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23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3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2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🔍 BUSCAR PACIENTES" sheetId="1" r:id="rId5"/>
    <sheet state="visible" name="🔍 BUSCAR PACIENTES 1" sheetId="2" r:id="rId6"/>
    <sheet state="hidden" name="Pérez Carreño 26062026" sheetId="3" r:id="rId7"/>
    <sheet state="hidden" name="Consolidado 25062026" sheetId="4" r:id="rId8"/>
    <sheet state="visible" name="Hospital Domingo Luciani" sheetId="5" r:id="rId9"/>
    <sheet state="visible" name="Hospital Universitario de Carac" sheetId="6" r:id="rId10"/>
    <sheet state="visible" name="Hospital Pérez Carreño" sheetId="7" r:id="rId11"/>
    <sheet state="visible" name="Cruz Roja" sheetId="8" r:id="rId12"/>
    <sheet state="visible" name="Periférico de Catia" sheetId="9" r:id="rId13"/>
    <sheet state="visible" name="Hospital General del Oeste" sheetId="10" r:id="rId14"/>
    <sheet state="visible" name="H. Ricardo Baquero Gonzalez" sheetId="11" r:id="rId15"/>
    <sheet state="visible" name="Centro de Acopio Caraballeda" sheetId="12" r:id="rId16"/>
    <sheet state="visible" name="Hospital Dr. José Gregorio Hern" sheetId="13" r:id="rId17"/>
    <sheet state="visible" name="Hospital Ana Francisca Pérez de" sheetId="14" r:id="rId18"/>
    <sheet state="visible" name="HOSPITAL VARGAS" sheetId="15" r:id="rId19"/>
    <sheet state="visible" name="Hospital Vargas de Caracas" sheetId="16" r:id="rId20"/>
    <sheet state="visible" name="Hospital Militar Dr. C. Arvelo" sheetId="17" r:id="rId21"/>
    <sheet state="visible" name="Clínica El Ávila" sheetId="18" r:id="rId22"/>
    <sheet state="visible" name="Hospital J.M. de los Ríos" sheetId="19" r:id="rId23"/>
    <sheet state="visible" name="Seguro Social La Guaira" sheetId="20" r:id="rId24"/>
    <sheet state="visible" name="H. Jose Maria Vargas LG" sheetId="21" r:id="rId25"/>
    <sheet state="visible" name="La Guaira Sin Hospital " sheetId="22" r:id="rId26"/>
    <sheet state="visible" name="Campo de Golf Playa los Cocos " sheetId="23" r:id="rId27"/>
  </sheets>
  <definedNames>
    <definedName hidden="1" localSheetId="4" name="_xlnm._FilterDatabase">'Hospital Domingo Luciani'!$B$2:$H$2</definedName>
    <definedName hidden="1" localSheetId="5" name="_xlnm._FilterDatabase">'Hospital Universitario de Carac'!$A$2:$G$2</definedName>
    <definedName hidden="1" localSheetId="6" name="_xlnm._FilterDatabase">'Hospital Pérez Carreño'!$A$2:$G$2</definedName>
    <definedName hidden="1" localSheetId="7" name="_xlnm._FilterDatabase">'Cruz Roja'!$A$2:$G$2</definedName>
    <definedName hidden="1" localSheetId="8" name="_xlnm._FilterDatabase">'Periférico de Catia'!$A$2:$G$2</definedName>
    <definedName hidden="1" localSheetId="9" name="_xlnm._FilterDatabase">'Hospital General del Oeste'!$A$2:$G$2</definedName>
    <definedName hidden="1" localSheetId="10" name="_xlnm._FilterDatabase">'H. Ricardo Baquero Gonzalez'!$A$2:$G$2</definedName>
    <definedName hidden="1" localSheetId="11" name="_xlnm._FilterDatabase">'Centro de Acopio Caraballeda'!$A$2:$G$2</definedName>
    <definedName hidden="1" localSheetId="12" name="_xlnm._FilterDatabase">'Hospital Dr. José Gregorio Hern'!$A$2:$G$2</definedName>
    <definedName hidden="1" localSheetId="13" name="_xlnm._FilterDatabase">'Hospital Ana Francisca Pérez de'!$A$2:$G$2</definedName>
    <definedName hidden="1" localSheetId="15" name="_xlnm._FilterDatabase">'Hospital Vargas de Caracas'!$A$2:$G$2</definedName>
    <definedName hidden="1" localSheetId="16" name="_xlnm._FilterDatabase">'Hospital Militar Dr. C. Arvelo'!$A$2:$G$2</definedName>
    <definedName hidden="1" localSheetId="17" name="_xlnm._FilterDatabase">'Clínica El Ávila'!$A$2:$G$2</definedName>
    <definedName hidden="1" localSheetId="19" name="_xlnm._FilterDatabase">'Seguro Social La Guaira'!$A$2:$G$2</definedName>
    <definedName hidden="1" localSheetId="20" name="_xlnm._FilterDatabase">'H. Jose Maria Vargas LG'!$A$2:$G$2</definedName>
  </definedNames>
  <calcPr/>
</workbook>
</file>

<file path=xl/sharedStrings.xml><?xml version="1.0" encoding="utf-8"?>
<sst xmlns="http://schemas.openxmlformats.org/spreadsheetml/2006/main" count="43048" uniqueCount="6087">
  <si>
    <t>REGISTRO MAESTRO DE PACIENTES – SISMO VENEZUELA 2026</t>
  </si>
  <si>
    <t>Para buscar: use Ctrl+F (Windows) o Cmd+F (Mac) y escriba el nombre o cédula   |   Actualizado: 26JUN26 15:12 (Venezuela)</t>
  </si>
  <si>
    <t>Todos los datos fueron suministrados por ciudadanos y fuentes civiles. Por la situation de emergencia nacional, la información puede variar en tiempo real. si detecta alguna imprecisión, por favor contactar a: beizextract@gmail.com</t>
  </si>
  <si>
    <t>N°</t>
  </si>
  <si>
    <t>HOSPITAL</t>
  </si>
  <si>
    <t>APELLIDOS Y NOMBRES</t>
  </si>
  <si>
    <t>EDAD</t>
  </si>
  <si>
    <t>CÉDULA / ID</t>
  </si>
  <si>
    <t>TELÉFONO</t>
  </si>
  <si>
    <t>DIRECCIÓN</t>
  </si>
  <si>
    <t>OBSERVACIONES</t>
  </si>
  <si>
    <t>Centro de Acopio Caraballeda</t>
  </si>
  <si>
    <t>ACOSTA (MENOR) ADRIANI</t>
  </si>
  <si>
    <t> </t>
  </si>
  <si>
    <t>No documentado</t>
  </si>
  <si>
    <t>Internado</t>
  </si>
  <si>
    <t>ACOSTA (MENOR) ASHLY</t>
  </si>
  <si>
    <t>ACOSTA ALAN</t>
  </si>
  <si>
    <t>ANDRADE MARLENE</t>
  </si>
  <si>
    <t>APARICIO JENNY</t>
  </si>
  <si>
    <t>ARANGUREN MARIANNYS</t>
  </si>
  <si>
    <t>ARIAS ENAIS</t>
  </si>
  <si>
    <t>ARMANZA EDGAR</t>
  </si>
  <si>
    <t>ARRATIA THIAGO</t>
  </si>
  <si>
    <t>AVILAN FRANCISCO</t>
  </si>
  <si>
    <t>AVILAN KATHERINE</t>
  </si>
  <si>
    <t>BARRIOS EBERTO</t>
  </si>
  <si>
    <t>BELLO USIEL</t>
  </si>
  <si>
    <t>BENAVIDES YOLIMAR</t>
  </si>
  <si>
    <t>BLANCO CLAUDIA</t>
  </si>
  <si>
    <t>BRICENO MARY</t>
  </si>
  <si>
    <t>CABREA MAGALY</t>
  </si>
  <si>
    <t>CADENAS JOSE GREGORIO</t>
  </si>
  <si>
    <t>CADENAS LANDRO</t>
  </si>
  <si>
    <t>CADENAS ONAS</t>
  </si>
  <si>
    <t>CALDERO MARIA ELENA</t>
  </si>
  <si>
    <t>CAMARGO ANGEL</t>
  </si>
  <si>
    <t>CAMARGO MARTIN</t>
  </si>
  <si>
    <t>CAMARGO RODNER</t>
  </si>
  <si>
    <t>Internado; MENOR</t>
  </si>
  <si>
    <t>CARMONA ALANIS</t>
  </si>
  <si>
    <t>CASTILLO (MENOR) NORELKYS</t>
  </si>
  <si>
    <t>CASTILLO BELKYS</t>
  </si>
  <si>
    <t>CASTILLO DOUGLAS</t>
  </si>
  <si>
    <t>CASTILLO MANUEL</t>
  </si>
  <si>
    <t>CASTILLO WILMER</t>
  </si>
  <si>
    <t>CASTILLO YELEISY</t>
  </si>
  <si>
    <t>CEJAS GERDIS</t>
  </si>
  <si>
    <t>CEJAS MIGUEL</t>
  </si>
  <si>
    <t>CERRO HARRY</t>
  </si>
  <si>
    <t>CESAR JULIO</t>
  </si>
  <si>
    <t>CHACON JULIO</t>
  </si>
  <si>
    <t>CHIVICO MICHEL</t>
  </si>
  <si>
    <t>CONDE DIANA</t>
  </si>
  <si>
    <t>CONTRAMAESTRE ARIANNI</t>
  </si>
  <si>
    <t>CONTRAMAESTRE SARAI</t>
  </si>
  <si>
    <t>CONTRERAS ANA</t>
  </si>
  <si>
    <t>DAVILA JOHAN</t>
  </si>
  <si>
    <t>DE BARRIOS ROSI</t>
  </si>
  <si>
    <t>DE YEPEZ CAURIMAR</t>
  </si>
  <si>
    <t>DELGADO ALBERT</t>
  </si>
  <si>
    <t>DELGADO ALDO</t>
  </si>
  <si>
    <t>DELGADO AUREILYS</t>
  </si>
  <si>
    <t>DELGADO JORDE</t>
  </si>
  <si>
    <t>DELGADO JOSEFINA</t>
  </si>
  <si>
    <t>DIAZ (MENOR) ADRIAN</t>
  </si>
  <si>
    <t>DIAZ (MENOR) ADRIANNYS</t>
  </si>
  <si>
    <t>DIAZ JUSTIN</t>
  </si>
  <si>
    <t>DIAZ YUNIELYS</t>
  </si>
  <si>
    <t>ESCOBAR JOSE</t>
  </si>
  <si>
    <t>FARFAN YEISON</t>
  </si>
  <si>
    <t>FARIAS (MENOR) JEAN</t>
  </si>
  <si>
    <t>FARIAS JEAN FRANCO</t>
  </si>
  <si>
    <t>FARIAS KARLIS</t>
  </si>
  <si>
    <t>FERREIRA DESLYBETH</t>
  </si>
  <si>
    <t>FIGUERA MARIELBY</t>
  </si>
  <si>
    <t>FLORES NAIROBI</t>
  </si>
  <si>
    <t>GALINDEZ ARIANGELY</t>
  </si>
  <si>
    <t>GALINDEZ LOREANGEL</t>
  </si>
  <si>
    <t>GALINDEZ LOREANY</t>
  </si>
  <si>
    <t>GALINDEZ MISYENY</t>
  </si>
  <si>
    <t>GALINDEZ VIRGILIO</t>
  </si>
  <si>
    <t>GALLARDO YEILI</t>
  </si>
  <si>
    <t>GARCIA EDWIN EFRAIN</t>
  </si>
  <si>
    <t>GARCIA JOEL ALBERTO</t>
  </si>
  <si>
    <t>GARCIA LIRALDYS</t>
  </si>
  <si>
    <t>GARCIA YEIKELIS</t>
  </si>
  <si>
    <t>GARCIA YEIKER</t>
  </si>
  <si>
    <t>GARCIA YUBELKIS</t>
  </si>
  <si>
    <t>GOMEZ DALIA</t>
  </si>
  <si>
    <t>GOMEZ FELIPE</t>
  </si>
  <si>
    <t>GOMEZ VLADIMIR</t>
  </si>
  <si>
    <t>GOMEZ WILMER</t>
  </si>
  <si>
    <t>GONZALES JUDITH</t>
  </si>
  <si>
    <t>GONZALES MEDINA NELIMAR</t>
  </si>
  <si>
    <t>GONZALEZ OSCAR</t>
  </si>
  <si>
    <t>GONZALEZ RAIZA</t>
  </si>
  <si>
    <t>GONZALEZ RICHARD</t>
  </si>
  <si>
    <t>GRATEROL (MENOR) GARI</t>
  </si>
  <si>
    <t>GRATEROL (MENOR) NAOMI</t>
  </si>
  <si>
    <t>GUARENAS ADOLFO</t>
  </si>
  <si>
    <t>GUERRA WILKELY</t>
  </si>
  <si>
    <t>GUERRIRE (MENOR) JENIFER</t>
  </si>
  <si>
    <t>GUEVARA (MENOR) JOEL</t>
  </si>
  <si>
    <t>HERMOSO ELIAS</t>
  </si>
  <si>
    <t>HERNANDEZ (MENOR) NICOLE</t>
  </si>
  <si>
    <t>HERNANDEZ (MENOR) SOFIA</t>
  </si>
  <si>
    <t>HERNANDEZ CARLOS</t>
  </si>
  <si>
    <t>HERNANDEZ DAYNELIS</t>
  </si>
  <si>
    <t>HERNANDEZ JAVIER</t>
  </si>
  <si>
    <t>HERNANDEZ MICHEL</t>
  </si>
  <si>
    <t>HERNANDEZ TEOBALDO</t>
  </si>
  <si>
    <t>HURTADO (MENOR) ADRAIB</t>
  </si>
  <si>
    <t>HURTADO ADRIAN</t>
  </si>
  <si>
    <t>IDRIARTE YUSMELY</t>
  </si>
  <si>
    <t>IRIARTE YARITZA</t>
  </si>
  <si>
    <t>IZAGUIRRE FREYMARY</t>
  </si>
  <si>
    <t>JAIMES FABIANA</t>
  </si>
  <si>
    <t>JARAMILLO CHARLIE</t>
  </si>
  <si>
    <t>JEAN LEON</t>
  </si>
  <si>
    <t>JHOAN GARCIA GENDERSON</t>
  </si>
  <si>
    <t>LAREZ COROMOTO</t>
  </si>
  <si>
    <t>Internado; (Menor)</t>
  </si>
  <si>
    <t>LEON ANDY</t>
  </si>
  <si>
    <t>LEON DANIEL</t>
  </si>
  <si>
    <t>LEON JESUS</t>
  </si>
  <si>
    <t>LEON LUDDY</t>
  </si>
  <si>
    <t>LLANES ELIAS</t>
  </si>
  <si>
    <t>LOPEZ ARIANA</t>
  </si>
  <si>
    <t>LOPEZ CARLOS</t>
  </si>
  <si>
    <t>LOPEZ WILBELYS</t>
  </si>
  <si>
    <t>LOPEZ WILLIANS</t>
  </si>
  <si>
    <t>MARCANO YELITZA</t>
  </si>
  <si>
    <t>MARQUEZ ROSA</t>
  </si>
  <si>
    <t>MARQUEZ ROSELY</t>
  </si>
  <si>
    <t>MARTINEZ DANIEL</t>
  </si>
  <si>
    <t>MARTINEZ ELIESER</t>
  </si>
  <si>
    <t>MARTINEZ MARY</t>
  </si>
  <si>
    <t>MARTINEZ MYKEDERLYN</t>
  </si>
  <si>
    <t>MARTINEZ SONI</t>
  </si>
  <si>
    <t>MARTINEZ YAJAIRA</t>
  </si>
  <si>
    <t>MARTINEZ YORFAN</t>
  </si>
  <si>
    <t>MARVAL IGNAMARY</t>
  </si>
  <si>
    <t>MEDINA ALBERT</t>
  </si>
  <si>
    <t>MEDINA ALEXANDER</t>
  </si>
  <si>
    <t>MEDINA O DARWIN</t>
  </si>
  <si>
    <t>MENDOZA (MENOR) ARIANI</t>
  </si>
  <si>
    <t>MENDOZA DANILO</t>
  </si>
  <si>
    <t>MENDOZA LEONARDO</t>
  </si>
  <si>
    <t>MENDOZA LEONEL</t>
  </si>
  <si>
    <t>MENDOZA PAOLA</t>
  </si>
  <si>
    <t>MENDOZA VIVIANA</t>
  </si>
  <si>
    <t>MEZA ARIYANLIS ARIANIS</t>
  </si>
  <si>
    <t>MILANO BRIGUITH</t>
  </si>
  <si>
    <t>MILANO FRANKIE</t>
  </si>
  <si>
    <t>MILANO INGRID</t>
  </si>
  <si>
    <t>MILANO JEFERSON</t>
  </si>
  <si>
    <t>MILANO MERCHORELI INGRID</t>
  </si>
  <si>
    <t>MILANO NESTOR</t>
  </si>
  <si>
    <t>MILANO RAFAEL</t>
  </si>
  <si>
    <t>MILANO WILLIAM</t>
  </si>
  <si>
    <t>MONJE ROSANA</t>
  </si>
  <si>
    <t>MONTILLA MARIA</t>
  </si>
  <si>
    <t>NAVARRO ENYER</t>
  </si>
  <si>
    <t>NAVARRO JAVIER</t>
  </si>
  <si>
    <t>NIEVES JOSUE</t>
  </si>
  <si>
    <t>NIEVES ROGER</t>
  </si>
  <si>
    <t>OCHOA ARON</t>
  </si>
  <si>
    <t>OCHOA YARNELIS</t>
  </si>
  <si>
    <t>OLIVARES DAYANA</t>
  </si>
  <si>
    <t>OLIVARES RONAIKER</t>
  </si>
  <si>
    <t>OLIVARES SAM</t>
  </si>
  <si>
    <t>ONTIVERO CARMEN ARACELY</t>
  </si>
  <si>
    <t>PALOMINO WILMER</t>
  </si>
  <si>
    <t>PANTOJA DAIMARIS</t>
  </si>
  <si>
    <t>PANTOJA DEIBERT</t>
  </si>
  <si>
    <t>PAREDES CARLA</t>
  </si>
  <si>
    <t>PAREDES CARLO</t>
  </si>
  <si>
    <t>PENA YELIBETH</t>
  </si>
  <si>
    <t>PERALTA GUSTAVO</t>
  </si>
  <si>
    <t>PERALTA ROGELIUS</t>
  </si>
  <si>
    <t>PERALTA RONIELYS</t>
  </si>
  <si>
    <t>PEREZ BERYARI</t>
  </si>
  <si>
    <t>PEREZ JOSE</t>
  </si>
  <si>
    <t>PEREZ YELINER</t>
  </si>
  <si>
    <t>PERNIA MERCEDES</t>
  </si>
  <si>
    <t>PLACIDO MARIA FILOMENA</t>
  </si>
  <si>
    <t>PLANA ANGELA</t>
  </si>
  <si>
    <t>PLANA MIGUEL</t>
  </si>
  <si>
    <t>PLANAS LUIS</t>
  </si>
  <si>
    <t>PLANAS MARCOS</t>
  </si>
  <si>
    <t>POLEO MIGUEL</t>
  </si>
  <si>
    <t>PUGARITA BONNIE</t>
  </si>
  <si>
    <t>PUGARITA MARILYN</t>
  </si>
  <si>
    <t>PUGARITA RONNY</t>
  </si>
  <si>
    <t>PUGARITA YEIBERT</t>
  </si>
  <si>
    <t>RADA YEISON</t>
  </si>
  <si>
    <t>RAMIREZ (MENOR) NIRZO</t>
  </si>
  <si>
    <t>RAMIREZ JEAN</t>
  </si>
  <si>
    <t>RAMIREZ VICTOR</t>
  </si>
  <si>
    <t>RAMOS JOEL</t>
  </si>
  <si>
    <t>RAMOS LOURDES</t>
  </si>
  <si>
    <t>RANGEL DENNIS</t>
  </si>
  <si>
    <t>RENOTT ABIGAIL</t>
  </si>
  <si>
    <t>RENOTT JOSE</t>
  </si>
  <si>
    <t>RENOTT KENEDY</t>
  </si>
  <si>
    <t>RIVAS WILBERT</t>
  </si>
  <si>
    <t>ROA CATHERINE</t>
  </si>
  <si>
    <t>RODRIGUEZ CRISMAR</t>
  </si>
  <si>
    <t>RODRIGUEZ DANIELA</t>
  </si>
  <si>
    <t>RODRIGUEZ ENDER</t>
  </si>
  <si>
    <t>RODRIGUEZ EULOGIO</t>
  </si>
  <si>
    <t>RODRIGUEZ GENESIS</t>
  </si>
  <si>
    <t>RODRIGUEZ JOSE G</t>
  </si>
  <si>
    <t>RODRIGUEZ MARIA</t>
  </si>
  <si>
    <t>RODRIGUEZ NAOMI</t>
  </si>
  <si>
    <t>RODRIGUEZ NEICE</t>
  </si>
  <si>
    <t>RODRIGUEZ ORIANNI</t>
  </si>
  <si>
    <t>RODRIGUEZ YEISON</t>
  </si>
  <si>
    <t>RODRIGUEZ YOSGUAR</t>
  </si>
  <si>
    <t>ROGER CAMARGO</t>
  </si>
  <si>
    <t>ROJAS MIGUEL</t>
  </si>
  <si>
    <t>ROMERO ARIANGEL</t>
  </si>
  <si>
    <t>ROMERO DANYER</t>
  </si>
  <si>
    <t>ROMERO JOHALIS</t>
  </si>
  <si>
    <t>ROMERO SORELIS</t>
  </si>
  <si>
    <t>ROMERO SORLI</t>
  </si>
  <si>
    <t>RUIZ VICTOR</t>
  </si>
  <si>
    <t>SALAZAR ANA</t>
  </si>
  <si>
    <t>SALAZAR ANTHONY</t>
  </si>
  <si>
    <t>SANCHEZ ENEIDA</t>
  </si>
  <si>
    <t>SANDOVAL YENDERSON</t>
  </si>
  <si>
    <t>SANOJA AIXA</t>
  </si>
  <si>
    <t>SANTADER SOE</t>
  </si>
  <si>
    <t>SANTANA ROSBELMA</t>
  </si>
  <si>
    <t>SEPULVEDA SARAY</t>
  </si>
  <si>
    <t>SERRANO ARELIS</t>
  </si>
  <si>
    <t>SILVA JOEL</t>
  </si>
  <si>
    <t>SILVA NELSON</t>
  </si>
  <si>
    <t>SOTIL ROSELYN</t>
  </si>
  <si>
    <t>SUAREZ JEFFERSON</t>
  </si>
  <si>
    <t>SUCRE ANGEL</t>
  </si>
  <si>
    <t>SUCRE JOHANDRY</t>
  </si>
  <si>
    <t>ULLOA ASDRUBAL</t>
  </si>
  <si>
    <t>URRUCHITO ORIANA</t>
  </si>
  <si>
    <t>UZCATEGUI JOSE</t>
  </si>
  <si>
    <t>VASQUEZ JOSE LUIS</t>
  </si>
  <si>
    <t>VEROES JENNI</t>
  </si>
  <si>
    <t>VIRALLES RAFAEL</t>
  </si>
  <si>
    <t>VIVAS YETXI</t>
  </si>
  <si>
    <t>YEPEZ EIDERT</t>
  </si>
  <si>
    <t>YEPEZ SHARON</t>
  </si>
  <si>
    <t>ZERPA JONAILFER</t>
  </si>
  <si>
    <t>Clínica El Ávila</t>
  </si>
  <si>
    <t>AGUILAR JOHANNY</t>
  </si>
  <si>
    <t>AGUILAR MARIBEL</t>
  </si>
  <si>
    <t>BADEL RICARDO</t>
  </si>
  <si>
    <t>BENITEZ FRENESI</t>
  </si>
  <si>
    <t>BERK CIM</t>
  </si>
  <si>
    <t>BOLOGNESI SOFIA</t>
  </si>
  <si>
    <t>COSTA JOSE LUIS</t>
  </si>
  <si>
    <t>DELGADO VICTORIA</t>
  </si>
  <si>
    <t>FENG JUCHI</t>
  </si>
  <si>
    <t>FENG SONIA</t>
  </si>
  <si>
    <t>FERNANDEZ ROSALIDA</t>
  </si>
  <si>
    <t>GINA MARBELIS</t>
  </si>
  <si>
    <t>GONZALEZ GABRIEL</t>
  </si>
  <si>
    <t>GONZALEZ GREISY</t>
  </si>
  <si>
    <t>GONZALEZ JUAN MIGUEL</t>
  </si>
  <si>
    <t>GONZALEZ MORAIMA</t>
  </si>
  <si>
    <t>GONZALEZ SOFIA</t>
  </si>
  <si>
    <t>GONZALEZ YOANI</t>
  </si>
  <si>
    <t>GRECIA GONZALEZ</t>
  </si>
  <si>
    <t>IALONGO ANA</t>
  </si>
  <si>
    <t>MARTINEZ ERIK</t>
  </si>
  <si>
    <t>MERO VANESA</t>
  </si>
  <si>
    <t>MILLAN FURGENCIA</t>
  </si>
  <si>
    <t>MILLAN YURIMAR</t>
  </si>
  <si>
    <t>MORILLO ALEJANDRO</t>
  </si>
  <si>
    <t>MORILLO BARBARA</t>
  </si>
  <si>
    <t>NOVOA MARTA</t>
  </si>
  <si>
    <t>NUOVO NICOLETTE</t>
  </si>
  <si>
    <t>RODRIGUEZ JUAN</t>
  </si>
  <si>
    <t>RODRIGUEZ MARIALEJANDRA</t>
  </si>
  <si>
    <t>RODRIGUEZ MIGUEL</t>
  </si>
  <si>
    <t>SALAH HASEM</t>
  </si>
  <si>
    <t>TOVAR ALEJANDRO</t>
  </si>
  <si>
    <t>ZERPA GRACIELA</t>
  </si>
  <si>
    <t>ZORRILLO DORIS</t>
  </si>
  <si>
    <t>Cruz Roja</t>
  </si>
  <si>
    <t>ACEVEDO HELENA</t>
  </si>
  <si>
    <t>22.504.101</t>
  </si>
  <si>
    <t>ALVARADO NAIROBIS</t>
  </si>
  <si>
    <t>Barquisimeto</t>
  </si>
  <si>
    <t>ARTEAGA BETI</t>
  </si>
  <si>
    <t>La Candelaria</t>
  </si>
  <si>
    <t>ARTEAGA/AHEDOGA BETI</t>
  </si>
  <si>
    <t>BARRETO IRAMA</t>
  </si>
  <si>
    <t>BEGOCHEA REINALDO</t>
  </si>
  <si>
    <t>Sarria</t>
  </si>
  <si>
    <t>BELANDRIA JOFFRE</t>
  </si>
  <si>
    <t>Valles del Tuy</t>
  </si>
  <si>
    <t>CASTILLO JORGE</t>
  </si>
  <si>
    <t>CASTILLO VALERIA</t>
  </si>
  <si>
    <t>31.088.668</t>
  </si>
  <si>
    <t>CEDENO CARLOS</t>
  </si>
  <si>
    <t>CHEN BOYE</t>
  </si>
  <si>
    <t>CONTRERAS ELIANA</t>
  </si>
  <si>
    <t>26.423.999</t>
  </si>
  <si>
    <t>DE QUERALES YONEIDA</t>
  </si>
  <si>
    <t>19.391.490</t>
  </si>
  <si>
    <t>FRANCO ANTONIO</t>
  </si>
  <si>
    <t>Av Fuerzas Armadas</t>
  </si>
  <si>
    <t>GARCIA ANTONIO</t>
  </si>
  <si>
    <t>Barinas</t>
  </si>
  <si>
    <t>GUERRA PETRA</t>
  </si>
  <si>
    <t>HERNANDEZ JACKELINE</t>
  </si>
  <si>
    <t>Misión Vivienda</t>
  </si>
  <si>
    <t>LLORET LAURA</t>
  </si>
  <si>
    <t>LLORET LILIANA</t>
  </si>
  <si>
    <t>MACHADO CARMEN</t>
  </si>
  <si>
    <t>MOISES (menor)</t>
  </si>
  <si>
    <t>MOY MARIA</t>
  </si>
  <si>
    <t>MUNOZ CAMILA</t>
  </si>
  <si>
    <t>Santa Monica</t>
  </si>
  <si>
    <t>OMANA RAIZA</t>
  </si>
  <si>
    <t>PEREZ CARMEN</t>
  </si>
  <si>
    <t>PEREZ CECALIO</t>
  </si>
  <si>
    <t>  | Internado</t>
  </si>
  <si>
    <t>QUERALES ALEIDA</t>
  </si>
  <si>
    <t>La Guaira</t>
  </si>
  <si>
    <t>RAMIREZ ELEYSA</t>
  </si>
  <si>
    <t>Edif Carabobo</t>
  </si>
  <si>
    <t>RODRIGUEZ MARBELIS</t>
  </si>
  <si>
    <t>Av Lecuna</t>
  </si>
  <si>
    <t>RODRIGUEZ YALITZA</t>
  </si>
  <si>
    <t>TINGY JOSE</t>
  </si>
  <si>
    <t>VARELA ANGEL</t>
  </si>
  <si>
    <t>ZHANGYOU CHEN</t>
  </si>
  <si>
    <t>Hospital Ana Francisca Pérez de</t>
  </si>
  <si>
    <t>ANYEL DIAZ DI-ABREU</t>
  </si>
  <si>
    <t>BERLIS SSO</t>
  </si>
  <si>
    <t>BLANCA CHACON</t>
  </si>
  <si>
    <t>Playa Grande</t>
  </si>
  <si>
    <t>CAMILA ORFAO</t>
  </si>
  <si>
    <t>CHINQUINQUEN ALALE</t>
  </si>
  <si>
    <t>Caribe</t>
  </si>
  <si>
    <t>DENWIN RAMOS</t>
  </si>
  <si>
    <t>DILAGRO ABATIMARCO</t>
  </si>
  <si>
    <t>EMAREL ACOSTA</t>
  </si>
  <si>
    <t>La Guaira (Monte Sano)</t>
  </si>
  <si>
    <t>ERICK CERDINO</t>
  </si>
  <si>
    <t>FABIANA ALVAREZ</t>
  </si>
  <si>
    <t>MAITLIN GUTIERREZ</t>
  </si>
  <si>
    <t>Barrio Betancourt</t>
  </si>
  <si>
    <t>MARIA CAROLINA LOPEZ</t>
  </si>
  <si>
    <t>MAURO VEQUIOLE</t>
  </si>
  <si>
    <t>NAIMIN AZARCA</t>
  </si>
  <si>
    <t>Palos Grande</t>
  </si>
  <si>
    <t>NEIDLIN ABREU</t>
  </si>
  <si>
    <t>PATRICIA EGEL</t>
  </si>
  <si>
    <t>SAMUEL ALYANDO BLANCO DIAS</t>
  </si>
  <si>
    <t>VIVIANA CARRIZO</t>
  </si>
  <si>
    <t>WILFRED QUEVEDO SALOMERA</t>
  </si>
  <si>
    <t>YEXALIT CHAGUANIA</t>
  </si>
  <si>
    <t>YORDIS FONETTE</t>
  </si>
  <si>
    <t>YOSLIN MOJO</t>
  </si>
  <si>
    <t>Hospital Ana Francisca Pérez de León 2</t>
  </si>
  <si>
    <t>ABARCA NEIULAN</t>
  </si>
  <si>
    <t>ABARIMANCO MILAGRO</t>
  </si>
  <si>
    <t>ACOSTA ELMANUEL</t>
  </si>
  <si>
    <t>ALVAREZ ABRAM</t>
  </si>
  <si>
    <t>ALVAREZ FABIANA</t>
  </si>
  <si>
    <t>AVILA HECTOR</t>
  </si>
  <si>
    <t>AZPARCA NAIMIN</t>
  </si>
  <si>
    <t>Catia La Mar</t>
  </si>
  <si>
    <t>BERLEZZA JOSE GREGORIO</t>
  </si>
  <si>
    <t>11.990.934</t>
  </si>
  <si>
    <t>Internado; QUIROFANO</t>
  </si>
  <si>
    <t>BLANCO DIAS SAMUEL ALGARDO</t>
  </si>
  <si>
    <t>BRAVO ARICEL</t>
  </si>
  <si>
    <t>16.681.690</t>
  </si>
  <si>
    <t>BRAZADO JOAQUIN</t>
  </si>
  <si>
    <t>BRICENO RONALD</t>
  </si>
  <si>
    <t>16.008.151</t>
  </si>
  <si>
    <t>CEDENO ERICK</t>
  </si>
  <si>
    <t>CHACON BLANCA</t>
  </si>
  <si>
    <t>CHAVARRIA YOSXALIT</t>
  </si>
  <si>
    <t>CORDOVA IVAN</t>
  </si>
  <si>
    <t>34.309.424</t>
  </si>
  <si>
    <t>CORNIZO NUVIANA</t>
  </si>
  <si>
    <t>Playa Grande / Monte Bono</t>
  </si>
  <si>
    <t>DE SOUSA AUGUSTO</t>
  </si>
  <si>
    <t>34.055.981</t>
  </si>
  <si>
    <t>DI ABREU ANYIR PAEZ</t>
  </si>
  <si>
    <t>ESCOBAR MARIO</t>
  </si>
  <si>
    <t>FAMILIA YORDIS</t>
  </si>
  <si>
    <t>FUENMAYOR MAGALI</t>
  </si>
  <si>
    <t>8.777.500</t>
  </si>
  <si>
    <t>GIL PATRICIA</t>
  </si>
  <si>
    <t>GUTIERREZ MALELLIN</t>
  </si>
  <si>
    <t>Barrio Bolívar</t>
  </si>
  <si>
    <t>HOYO JOSLIN</t>
  </si>
  <si>
    <t>LOPEZ MARIA CAROLINA</t>
  </si>
  <si>
    <t>MALO CHINQUINQUIR</t>
  </si>
  <si>
    <t>Caripe</t>
  </si>
  <si>
    <t>MANRIQUE MANUEL</t>
  </si>
  <si>
    <t>11.637.469</t>
  </si>
  <si>
    <t>MENDOZA JERRY</t>
  </si>
  <si>
    <t>33.729.687</t>
  </si>
  <si>
    <t>MENDOZA SEBASTIAN</t>
  </si>
  <si>
    <t>ORFAO PAMELA</t>
  </si>
  <si>
    <t>RAMOS DARWIN</t>
  </si>
  <si>
    <t>RIO GENESIS</t>
  </si>
  <si>
    <t>20.658.046</t>
  </si>
  <si>
    <t>RODRIGUEZ WINIFER</t>
  </si>
  <si>
    <t>21.478.247</t>
  </si>
  <si>
    <t>ROSALES AMADA</t>
  </si>
  <si>
    <t>7.999.326</t>
  </si>
  <si>
    <t>SALAMANCA WILFRIED GUERRA</t>
  </si>
  <si>
    <t>SAO BURLIS</t>
  </si>
  <si>
    <t>VASQUIOLE MAURO</t>
  </si>
  <si>
    <t>VIVAS ERICK</t>
  </si>
  <si>
    <t>Hospital Domingo Luciani</t>
  </si>
  <si>
    <t>ABELLO MATILDE</t>
  </si>
  <si>
    <t>Fallecida</t>
  </si>
  <si>
    <t>ABELLO WILMARI</t>
  </si>
  <si>
    <t>fallecida</t>
  </si>
  <si>
    <t>ABREU EMMA</t>
  </si>
  <si>
    <t>ABREU PAULINA</t>
  </si>
  <si>
    <t>ACEVEDO ESTEFANI</t>
  </si>
  <si>
    <t>Internado; POLIT EMERGENCIA NUEVA</t>
  </si>
  <si>
    <t>ACOSTA ALEXANDER</t>
  </si>
  <si>
    <t>ACOSTA ALI</t>
  </si>
  <si>
    <t>ACOSTA ISAEL</t>
  </si>
  <si>
    <t>ACOSTA ISRAEL</t>
  </si>
  <si>
    <t>ADONELLE MERRIN</t>
  </si>
  <si>
    <t>Politrauma Emerg. Vieja</t>
  </si>
  <si>
    <t>AGUILEN KELYNS</t>
  </si>
  <si>
    <t>La Guaira – Ingresos 9am</t>
  </si>
  <si>
    <t>AGUILERA YULEYMI</t>
  </si>
  <si>
    <t>Ingresos 6am-9:20pm</t>
  </si>
  <si>
    <t>AL HALABI YANNET</t>
  </si>
  <si>
    <t>ALAYON SUHYN</t>
  </si>
  <si>
    <t>ALBE MANUEL</t>
  </si>
  <si>
    <t>ALEM PIOBRAN</t>
  </si>
  <si>
    <t>Ya Barros – Ingresos 9am</t>
  </si>
  <si>
    <t>ANDERSON HUGO</t>
  </si>
  <si>
    <t>Internado; PEDIATRIA
PISO 6</t>
  </si>
  <si>
    <t>ANDREINA VASCONULO</t>
  </si>
  <si>
    <t>Politrauma</t>
  </si>
  <si>
    <t>ANDRES URIOS</t>
  </si>
  <si>
    <t>Pediatría</t>
  </si>
  <si>
    <t>ANEIS BRESIMO</t>
  </si>
  <si>
    <t>ANEZ AMIVI</t>
  </si>
  <si>
    <t>ANTHON JESUS</t>
  </si>
  <si>
    <t>ANTONELLE MERIN / ANTONELLE MERRIN</t>
  </si>
  <si>
    <t>APONTO JESSICA</t>
  </si>
  <si>
    <t>ARELLANO CAMILA</t>
  </si>
  <si>
    <t>33.420.428</t>
  </si>
  <si>
    <t>ARIAS FRANK</t>
  </si>
  <si>
    <t>ARISO RENIJILO</t>
  </si>
  <si>
    <t>ARRIETA DOLIS</t>
  </si>
  <si>
    <t>ARRIETA DORIS</t>
  </si>
  <si>
    <t>Quirófano</t>
  </si>
  <si>
    <t>ARRIETA OYOLA DORIS</t>
  </si>
  <si>
    <t>Baruta</t>
  </si>
  <si>
    <t>ARTEAGA AIDE</t>
  </si>
  <si>
    <t>Politrauma / Rx</t>
  </si>
  <si>
    <t>Politrauma – Rx</t>
  </si>
  <si>
    <t>ARTEAGA GLADYS</t>
  </si>
  <si>
    <t>ARVELO VALERI</t>
  </si>
  <si>
    <t>Internado; PEDIATRIA PISO 6</t>
  </si>
  <si>
    <t>ASCANIO LUIS</t>
  </si>
  <si>
    <t>Trauma</t>
  </si>
  <si>
    <t>AURORA ORDOZ</t>
  </si>
  <si>
    <t>BALASS GONZALEZ ESMERALDA ANTONIETA</t>
  </si>
  <si>
    <t>Politrauma Emerg. Nueva</t>
  </si>
  <si>
    <t>BALBUENO WILMED</t>
  </si>
  <si>
    <t>BALBUENO WILMER</t>
  </si>
  <si>
    <t>BARRETO RICARDO</t>
  </si>
  <si>
    <t>BARRETO YOSEANNY</t>
  </si>
  <si>
    <t>Quirófano – F</t>
  </si>
  <si>
    <t>BAUTE MORELIS</t>
  </si>
  <si>
    <t>Pol I – F; Politrauma</t>
  </si>
  <si>
    <t>BENCOMO NORKY</t>
  </si>
  <si>
    <t>Internado; PISO 2</t>
  </si>
  <si>
    <t>BERCOMO NAILIS</t>
  </si>
  <si>
    <t>Internado; POLITRAUMA</t>
  </si>
  <si>
    <t>BERCOMO NORKIS</t>
  </si>
  <si>
    <t>BETANCOURT MARIA</t>
  </si>
  <si>
    <t>PETARE</t>
  </si>
  <si>
    <t>BISVAL CLARA</t>
  </si>
  <si>
    <t>BLANCO CARMEN</t>
  </si>
  <si>
    <t>BLANCO JOSE</t>
  </si>
  <si>
    <t>BLANCO SOFIA SEGURA</t>
  </si>
  <si>
    <t>BLANCO YESICA</t>
  </si>
  <si>
    <t>PISO 2 |  </t>
  </si>
  <si>
    <t>BLANCO YVEREMIA</t>
  </si>
  <si>
    <t>Cardiología Piso 2 – H-10 – F</t>
  </si>
  <si>
    <t>BLANCOS YESSICA</t>
  </si>
  <si>
    <t>BLANDIN SEBASTIAN</t>
  </si>
  <si>
    <t>BOADA EVELYN</t>
  </si>
  <si>
    <t>BOADA MENDEZ EVELYN LUISA</t>
  </si>
  <si>
    <t>11.636.506</t>
  </si>
  <si>
    <t>BOADO EVOELYN</t>
  </si>
  <si>
    <t>BOMPARD RADHI</t>
  </si>
  <si>
    <t>BOMPARO RODNI</t>
  </si>
  <si>
    <t>BORGES CARMEN</t>
  </si>
  <si>
    <t>El Hatillo</t>
  </si>
  <si>
    <t>BORGES LILIANE</t>
  </si>
  <si>
    <t>BOSPARTTE RONNY</t>
  </si>
  <si>
    <t>BRICENO CARMEN BLANCO</t>
  </si>
  <si>
    <t>Internado; Politrauma</t>
  </si>
  <si>
    <t>BRICEÑO CARMEN BLANCO / BRICEÑO BLANCO CARMEN</t>
  </si>
  <si>
    <t>BRITO GINA</t>
  </si>
  <si>
    <t>Cardiología Piso 2 – H-11 – F</t>
  </si>
  <si>
    <t>BUBAL CLARA</t>
  </si>
  <si>
    <t>BUCE SAUL</t>
  </si>
  <si>
    <t>BUI DANNIS</t>
  </si>
  <si>
    <t>Quirófano – M</t>
  </si>
  <si>
    <t>CABARCA VENDEZILIN</t>
  </si>
  <si>
    <t>CABARCA YENDERLIN</t>
  </si>
  <si>
    <t>CABARCA YENDERLIN / CABARCA YENDEL</t>
  </si>
  <si>
    <t>CABRERA CARINA</t>
  </si>
  <si>
    <t>Politrauma – Trauma</t>
  </si>
  <si>
    <t>CABRERA KARINA</t>
  </si>
  <si>
    <t>CADARCA YENDERLI</t>
  </si>
  <si>
    <t>CALDERA LEWIS</t>
  </si>
  <si>
    <t>CALOS GONZALEZ</t>
  </si>
  <si>
    <t>CANDAD VICTORIA</t>
  </si>
  <si>
    <t>CARABALLO BRANYERLIS</t>
  </si>
  <si>
    <t>CARDOZO CARLA</t>
  </si>
  <si>
    <t>CARDOZO MARKA</t>
  </si>
  <si>
    <t>Medicina Interna</t>
  </si>
  <si>
    <t>CARLA CARDOZO</t>
  </si>
  <si>
    <t>CARLOS CASTRO</t>
  </si>
  <si>
    <t>CARRASQUEL SANTIAGO</t>
  </si>
  <si>
    <t>CARRIZAJE SANTIAGO</t>
  </si>
  <si>
    <t>CASTANEDA MARIA</t>
  </si>
  <si>
    <t>Internado; Fecha: 25/6/26 pm</t>
  </si>
  <si>
    <t>CASTANO CARLOS</t>
  </si>
  <si>
    <t>CASTANO DANNA</t>
  </si>
  <si>
    <t>CASTANO DONNA</t>
  </si>
  <si>
    <t>CASTANO UHANA</t>
  </si>
  <si>
    <t>Los Corales</t>
  </si>
  <si>
    <t>CASTAÑEDA MARIA / CASTAÑEDA MARIE / MARIA CASTAÑEDA</t>
  </si>
  <si>
    <t>Politrauma – Tel: 02128733207</t>
  </si>
  <si>
    <t>CASTAÑEDO MARIA</t>
  </si>
  <si>
    <t>Internado; Tomografía</t>
  </si>
  <si>
    <t>CASTAÑO CARLOS</t>
  </si>
  <si>
    <t>CASTAÑO DANNA</t>
  </si>
  <si>
    <t>CASTELLERO MARIA</t>
  </si>
  <si>
    <t>Politrauma – Guarena</t>
  </si>
  <si>
    <t>CASTILLO LUSIS</t>
  </si>
  <si>
    <t>CASTILLO RICARDO</t>
  </si>
  <si>
    <t>CASTILLO VICTORIA</t>
  </si>
  <si>
    <t>Pediatría – La Guaira</t>
  </si>
  <si>
    <t>CASTILLO YAISKAR</t>
  </si>
  <si>
    <t>CASTRO ERICK</t>
  </si>
  <si>
    <t>11.635.045</t>
  </si>
  <si>
    <t>CASTRO JUAN</t>
  </si>
  <si>
    <t>CELA TANIA</t>
  </si>
  <si>
    <t>CELIS TANIA</t>
  </si>
  <si>
    <t>CHACON CARLOS</t>
  </si>
  <si>
    <t>34.055.246</t>
  </si>
  <si>
    <t>Pediatría – Madre: Alexandra Gonzalez 0424-2086080</t>
  </si>
  <si>
    <t>CHACÓN CARLOS</t>
  </si>
  <si>
    <t>CHALON CARLOS</t>
  </si>
  <si>
    <t>CISNERO ROSA</t>
  </si>
  <si>
    <t>CORDOVA ARNALDO</t>
  </si>
  <si>
    <t>COYO RAFAEL</t>
  </si>
  <si>
    <t>DA SILVA ENGEERBUETH</t>
  </si>
  <si>
    <t>DASILVA ALEXANDRA</t>
  </si>
  <si>
    <t>DASILVA ANTHONY</t>
  </si>
  <si>
    <t>DASILVA ENGERBERTH</t>
  </si>
  <si>
    <t>DE CASTILLO LUCI</t>
  </si>
  <si>
    <t>DE COPE YOLANDA</t>
  </si>
  <si>
    <t>DEAZAT ESTEBAN</t>
  </si>
  <si>
    <t>16.116.675</t>
  </si>
  <si>
    <t>Internado; Alta</t>
  </si>
  <si>
    <t>DELGADO EDIMAR</t>
  </si>
  <si>
    <t>DESMON LEWIN</t>
  </si>
  <si>
    <t>DIAZ MAUBRI</t>
  </si>
  <si>
    <t>DIVITO ROSA</t>
  </si>
  <si>
    <t>chacao</t>
  </si>
  <si>
    <t>DONACIMIENTO SEBASTIAN</t>
  </si>
  <si>
    <t>DORIA EKARLE</t>
  </si>
  <si>
    <t>Internado; Accidente en moto</t>
  </si>
  <si>
    <t>DORIA SCARLET / DORIA KARLE / DORIA BKARLET</t>
  </si>
  <si>
    <t>DUCE SAMUEL</t>
  </si>
  <si>
    <t>DUGARTE ESTEFANY</t>
  </si>
  <si>
    <t>ECONGUELA JESUS</t>
  </si>
  <si>
    <t>Internado; PISO 4</t>
  </si>
  <si>
    <t>EDIS TANIA</t>
  </si>
  <si>
    <t>Internado; UCI</t>
  </si>
  <si>
    <t>EKARCE DORIA</t>
  </si>
  <si>
    <t>EKARCE/SCARLET DORIA</t>
  </si>
  <si>
    <t>Internado; Politrauma Emerg. Nueva</t>
  </si>
  <si>
    <t>ESCALONA IVIS</t>
  </si>
  <si>
    <t>ESPITIA YOHANY GARABUTO</t>
  </si>
  <si>
    <t>FABINA RIBAS</t>
  </si>
  <si>
    <t>FARINEZ ARELIS</t>
  </si>
  <si>
    <t>Pol I – F</t>
  </si>
  <si>
    <t>FARIÑA ARELIS</t>
  </si>
  <si>
    <t>11.058.065</t>
  </si>
  <si>
    <t>Internado; Rx</t>
  </si>
  <si>
    <t>FERNANDEZ EFRAIN</t>
  </si>
  <si>
    <t>FERNANDEZ EMILI</t>
  </si>
  <si>
    <t>Internado; UPT, llegó la familia</t>
  </si>
  <si>
    <t>FERNANDEZ NELSY</t>
  </si>
  <si>
    <t>FERNANDEZ SNELO</t>
  </si>
  <si>
    <t>Medicina Interna – F</t>
  </si>
  <si>
    <t>FERNANDEZ YASPINDY</t>
  </si>
  <si>
    <t>FERNANDEZ YOSKEIDY</t>
  </si>
  <si>
    <t>Internado; POLITRAUMA EMERG NUEVA</t>
  </si>
  <si>
    <t>FERNANDEZ YUSQUEIDY</t>
  </si>
  <si>
    <t>FERNANDY NEISY</t>
  </si>
  <si>
    <t>GUARENAS</t>
  </si>
  <si>
    <t>FIGUERA ALAN</t>
  </si>
  <si>
    <t>Internado; Espera familiar | Ingresos 6am-9:20pm</t>
  </si>
  <si>
    <t>FRAK ARIAS</t>
  </si>
  <si>
    <t>FRANKERIL RIVAS</t>
  </si>
  <si>
    <t>FRONTADO MIEL</t>
  </si>
  <si>
    <t>FRONTO LITEL</t>
  </si>
  <si>
    <t>CI: 10582260</t>
  </si>
  <si>
    <t>FUENTES ALBERTO</t>
  </si>
  <si>
    <t>FUENTES CARLOS</t>
  </si>
  <si>
    <t>FUENTES GALVIS ALBERTO</t>
  </si>
  <si>
    <t>GALCIA RODAS</t>
  </si>
  <si>
    <t>GALIS YALESKA</t>
  </si>
  <si>
    <t>GALUS ALBERTO FUENTE</t>
  </si>
  <si>
    <t>GALVIS FUENTES ALBERTO</t>
  </si>
  <si>
    <t>GARABITO YOSEANI</t>
  </si>
  <si>
    <t>GARAVITO ESPITIA YOHANY</t>
  </si>
  <si>
    <t>GARCIA BRADIAN</t>
  </si>
  <si>
    <t>GARCIA FERNANDA</t>
  </si>
  <si>
    <t>GARCIA JOSE</t>
  </si>
  <si>
    <t>GARCIA VEGA</t>
  </si>
  <si>
    <t>Internado; PEDIATRIA</t>
  </si>
  <si>
    <t>GARCIA YENNY</t>
  </si>
  <si>
    <t>GARCIAS ODALYS</t>
  </si>
  <si>
    <t>GARETT JUAN</t>
  </si>
  <si>
    <t>GATO YALESKA</t>
  </si>
  <si>
    <t>30.514.231</t>
  </si>
  <si>
    <t>GILBERT ANA</t>
  </si>
  <si>
    <t>GLADYS ARTEAGA</t>
  </si>
  <si>
    <t>GOMEZ LUCY</t>
  </si>
  <si>
    <t>Politrauma – Caribe; TRM</t>
  </si>
  <si>
    <t>GONCALVES LUCY</t>
  </si>
  <si>
    <t>GONZALEZ ALBEYMAR</t>
  </si>
  <si>
    <t>Altamira</t>
  </si>
  <si>
    <t>GONZALEZ ALBIMAR</t>
  </si>
  <si>
    <t>GONZALEZ ALEXANDER</t>
  </si>
  <si>
    <t>Politrauma | Politrauma; posible misma persona que 'Alexander Gonzalez'</t>
  </si>
  <si>
    <t>GONZALEZ ALEXANDRA / GONZALEZ ALEXANDRE</t>
  </si>
  <si>
    <t>GONZALEZ CARLOS</t>
  </si>
  <si>
    <t>GONZALEZ FRANCISCA</t>
  </si>
  <si>
    <t>Politrauma – La Guaira</t>
  </si>
  <si>
    <t>GONZALEZ KAIRYN</t>
  </si>
  <si>
    <t>GONZALEZ KELLY</t>
  </si>
  <si>
    <t>GONZALEZ LUCI</t>
  </si>
  <si>
    <t>GONZALEZ OLGA</t>
  </si>
  <si>
    <t>GONZALEZ RAFAEL</t>
  </si>
  <si>
    <t>GONZALEZ STEPHANY</t>
  </si>
  <si>
    <t>Caricuao</t>
  </si>
  <si>
    <t>GONZALEZ VALERI</t>
  </si>
  <si>
    <t>GONZALEZ YAILIN</t>
  </si>
  <si>
    <t>GONZALEZ YAILYN / GONZALEZ YAILIN</t>
  </si>
  <si>
    <t>GONZALEZ YOLANDA</t>
  </si>
  <si>
    <t>GORROS JULIA</t>
  </si>
  <si>
    <t>GOTTI JEAN</t>
  </si>
  <si>
    <t>GUAPINI EFREN</t>
  </si>
  <si>
    <t>Piso 2</t>
  </si>
  <si>
    <t>GUARINI PADRON EFREN</t>
  </si>
  <si>
    <t>GUAVINI EFREN P.2</t>
  </si>
  <si>
    <t>GUAVINI EFREN P.2 / GUAVINI PADRON EFREN / GUARIMBE EFREN</t>
  </si>
  <si>
    <t>GUERREIRO GUERREIRO</t>
  </si>
  <si>
    <t>GUERREIRO JESUS</t>
  </si>
  <si>
    <t>GUERRERO DEIVERSON</t>
  </si>
  <si>
    <t>GUZMAN PAOLA</t>
  </si>
  <si>
    <t>HARRUFO ARIANA</t>
  </si>
  <si>
    <t>HERNANDEZ FRANCISCO</t>
  </si>
  <si>
    <t>8.176.273</t>
  </si>
  <si>
    <t>Internado; UPT 2.</t>
  </si>
  <si>
    <t>HERRERO GLADIUSKA</t>
  </si>
  <si>
    <t>HERRERO MERLANO GLADIUSKA</t>
  </si>
  <si>
    <t>HILDEN ANZ</t>
  </si>
  <si>
    <t>HILDER ANA LUCIA</t>
  </si>
  <si>
    <t>HILDERS ANA</t>
  </si>
  <si>
    <t>HOGA ANDERSON</t>
  </si>
  <si>
    <t>HUGA ANDERSON</t>
  </si>
  <si>
    <t>HUOA ANDERSON</t>
  </si>
  <si>
    <t>IASKARA CASTILLO</t>
  </si>
  <si>
    <t>IBARRA ANA</t>
  </si>
  <si>
    <t>ISCALA YENNY</t>
  </si>
  <si>
    <t>ISQUIEL HENRIQUE</t>
  </si>
  <si>
    <t>ISQUIER HENRIQUE / ISQUIER HENRIAIQUE</t>
  </si>
  <si>
    <t>IVIS ESCALONA</t>
  </si>
  <si>
    <t>IZQUIERDO ENRIQUE</t>
  </si>
  <si>
    <t>Medicina Interna – M</t>
  </si>
  <si>
    <t>IZQUIERDO IRAIMA</t>
  </si>
  <si>
    <t>IZQUIERDO JEAN</t>
  </si>
  <si>
    <t>palos grande</t>
  </si>
  <si>
    <t>JANCEL REY</t>
  </si>
  <si>
    <t>JANELLY NABI</t>
  </si>
  <si>
    <t>Politrauma – Caribe</t>
  </si>
  <si>
    <t>JELANI RODRIGUEZ</t>
  </si>
  <si>
    <t>JENCEL REY</t>
  </si>
  <si>
    <t>JIMENEZ AXEL</t>
  </si>
  <si>
    <t>Pediatría – Madre: Mileidi Lopez |  </t>
  </si>
  <si>
    <t>JIMENEZ AXIEL / JIMENEZ AXEL</t>
  </si>
  <si>
    <t>JIVER SAMUEL</t>
  </si>
  <si>
    <t>JOIBER SILVA</t>
  </si>
  <si>
    <t>JOSEFINA MUÑOZ</t>
  </si>
  <si>
    <t>JUAN CASTRO</t>
  </si>
  <si>
    <t>JULL SAMUEL</t>
  </si>
  <si>
    <t>KARINA CABRERA</t>
  </si>
  <si>
    <t>Politrauma / Trauma</t>
  </si>
  <si>
    <t>LANDER SEBASTIAN</t>
  </si>
  <si>
    <t>Quirófano – H</t>
  </si>
  <si>
    <t>LANDO SEBASTIAN</t>
  </si>
  <si>
    <t>CI: 47513650</t>
  </si>
  <si>
    <t>LASTRA VISBAL CLARA</t>
  </si>
  <si>
    <t>LAURA BALAS</t>
  </si>
  <si>
    <t>LEWIN DESMON</t>
  </si>
  <si>
    <t>LEWIS CALDERA</t>
  </si>
  <si>
    <t>LEWIS DESMON</t>
  </si>
  <si>
    <t>Pediatría – Reanimación</t>
  </si>
  <si>
    <t>Pediatría – Madre: Elisa Calderon</t>
  </si>
  <si>
    <t>LEYIBE PEDRA</t>
  </si>
  <si>
    <t>Nombre incierto</t>
  </si>
  <si>
    <t>LISCANO PEDRO</t>
  </si>
  <si>
    <t>Cahacaito</t>
  </si>
  <si>
    <t>LOPEZ HADDY</t>
  </si>
  <si>
    <t>LOPEZ HADDY F</t>
  </si>
  <si>
    <t>LOYO CLARA</t>
  </si>
  <si>
    <t>LUCY DE CASTILLO</t>
  </si>
  <si>
    <t>LURE TORRES</t>
  </si>
  <si>
    <t>Internado; Vc Pediatría</t>
  </si>
  <si>
    <t>MACHADO ANABELLA</t>
  </si>
  <si>
    <t>MACHADO ANARELLA</t>
  </si>
  <si>
    <t>LaGuaira</t>
  </si>
  <si>
    <t>MACHADO ANARELLA / MACHADO ANARELA</t>
  </si>
  <si>
    <t>MAJANO JOSE</t>
  </si>
  <si>
    <t>MAMUD HALABI</t>
  </si>
  <si>
    <t>MARABITO JOSEANI</t>
  </si>
  <si>
    <t>MARABITO JOSEANI / MARABITO JOSCANI</t>
  </si>
  <si>
    <t>MARCANO KATIUSKA</t>
  </si>
  <si>
    <t>MARCANO ROSA</t>
  </si>
  <si>
    <t>MARIANGEL MUÑON</t>
  </si>
  <si>
    <t>MARRERO NOHEMI</t>
  </si>
  <si>
    <t>32.771.433</t>
  </si>
  <si>
    <t>Internado | Internado; POLITRAUMA EMERG VIEJA</t>
  </si>
  <si>
    <t>MARTINEZ ISAAC</t>
  </si>
  <si>
    <t>MARTINEZ JESUS</t>
  </si>
  <si>
    <t>MARTINEZ JOAN</t>
  </si>
  <si>
    <t>Pediatría |  </t>
  </si>
  <si>
    <t>MARTINEZ JOHAN ISAAC</t>
  </si>
  <si>
    <t>Pediatría – Padre: Carmen Midy</t>
  </si>
  <si>
    <t>MAUBIOS DIAZ</t>
  </si>
  <si>
    <t>MAURO VEQUIOLA</t>
  </si>
  <si>
    <t>MAYORCA DAVID</t>
  </si>
  <si>
    <t>MAYORCA JESUS</t>
  </si>
  <si>
    <t>MENDEZ YESIRE</t>
  </si>
  <si>
    <t>MENDOZA ASTRID</t>
  </si>
  <si>
    <t>20.781.654</t>
  </si>
  <si>
    <t>MERIN ANTONELLA</t>
  </si>
  <si>
    <t>MERLANO GLADIVSKA HERRERO / MERLANO HERRERO GLADIVSKA</t>
  </si>
  <si>
    <t>MIJARES ISOLIBETH</t>
  </si>
  <si>
    <t>MILANO GLADIVSKA</t>
  </si>
  <si>
    <t>MIRANDA JOSE</t>
  </si>
  <si>
    <t>MIRANDA VICTORIA</t>
  </si>
  <si>
    <t>MORENO GISMELI</t>
  </si>
  <si>
    <t>MUNON MARIANGEL</t>
  </si>
  <si>
    <t>MUNOZ JOSEFINA</t>
  </si>
  <si>
    <t>NOHORI MARRERO</t>
  </si>
  <si>
    <t>OBREGON DIEGO</t>
  </si>
  <si>
    <t>ODEBE MANUEL</t>
  </si>
  <si>
    <t>OJEDA DORIS ARRIETA</t>
  </si>
  <si>
    <t>OJEDA DORIS ARRIETA / OJEDA ARRIETA DORIS</t>
  </si>
  <si>
    <t>OMASIENTO SEBASTIAN</t>
  </si>
  <si>
    <t>UCI |  </t>
  </si>
  <si>
    <t>ORDAZ LUISANA / ORDAZ CARRION LUISANA</t>
  </si>
  <si>
    <t>ORDAZ LUSANA</t>
  </si>
  <si>
    <t>OSHO ELICK</t>
  </si>
  <si>
    <t>PADILLA GODOY</t>
  </si>
  <si>
    <t>Pediatría – Mamá: Andreina Vasconalo</t>
  </si>
  <si>
    <t>PADON EFREN GUALINO</t>
  </si>
  <si>
    <t>PADON EUILO</t>
  </si>
  <si>
    <t>PADRON CIRILO</t>
  </si>
  <si>
    <t>PADRON DOUGLAS</t>
  </si>
  <si>
    <t>Cardiología Piso 2 – H-9 – M</t>
  </si>
  <si>
    <t>PADRON JEAN FRANCO</t>
  </si>
  <si>
    <t>PAOLA ALCOIDO</t>
  </si>
  <si>
    <t>PARADA ANTONIO</t>
  </si>
  <si>
    <t>PARENYI PEREZ</t>
  </si>
  <si>
    <t>PARRA ESTEFANIA</t>
  </si>
  <si>
    <t>PARRA GABRIELA</t>
  </si>
  <si>
    <t>PARRA MISEL GABRIELA</t>
  </si>
  <si>
    <t>PAULINA ABREU</t>
  </si>
  <si>
    <t>PEDRO ALISCANO</t>
  </si>
  <si>
    <t>Alta/cirugía</t>
  </si>
  <si>
    <t>PEDRON DAVID</t>
  </si>
  <si>
    <t>PEDRON JESUS</t>
  </si>
  <si>
    <t>PEDRON JESÚS / PEDRON JESUS</t>
  </si>
  <si>
    <t>PEREZ ARANYI</t>
  </si>
  <si>
    <t>PEREZ ELIAMAR</t>
  </si>
  <si>
    <t>PEREZ FRANCISCO</t>
  </si>
  <si>
    <t>PEREZ PACINI</t>
  </si>
  <si>
    <t>PETER ANGY</t>
  </si>
  <si>
    <t>22.061.324</t>
  </si>
  <si>
    <t>Internado; Triaje</t>
  </si>
  <si>
    <t>PIASARDO REINIER</t>
  </si>
  <si>
    <t>CI: 16390168</t>
  </si>
  <si>
    <t>PINERO SEBASTIAN</t>
  </si>
  <si>
    <t>PIRETO SEBASTIAN</t>
  </si>
  <si>
    <t>PONCE INGRIDE</t>
  </si>
  <si>
    <t>Internado; (Misma C.I. que Angy Peter)</t>
  </si>
  <si>
    <t>PORTILLO OMAR</t>
  </si>
  <si>
    <t>Cardiología Piso 2 – H-12 – M</t>
  </si>
  <si>
    <t>POSADA ANTONIO</t>
  </si>
  <si>
    <t>PRADA GABRIELA</t>
  </si>
  <si>
    <t>CI: 24037224</t>
  </si>
  <si>
    <t>RADHI BOMPARD</t>
  </si>
  <si>
    <t>RAFAEL GOYO</t>
  </si>
  <si>
    <t>RAMIREZ ESCALANTE MARIANGEL</t>
  </si>
  <si>
    <t>RAMIREZ ESCALANTE MARIANGEL / RAMIREZ MARIANGEL</t>
  </si>
  <si>
    <t>RAMIREZ GABRIELA</t>
  </si>
  <si>
    <t>RAMIREZ JOSE</t>
  </si>
  <si>
    <t>RAMIREZ NAIROBY</t>
  </si>
  <si>
    <t>Pol I – F; S/P</t>
  </si>
  <si>
    <t>RAMIREZ QUINTANA</t>
  </si>
  <si>
    <t>Internado; SALA DE PARTO</t>
  </si>
  <si>
    <t>RAMIREZ QUINTERO</t>
  </si>
  <si>
    <t>Sala de Parto</t>
  </si>
  <si>
    <t>RAMÍREZ MARIANGEL</t>
  </si>
  <si>
    <t>RE YVAIRE</t>
  </si>
  <si>
    <t>REBOREDO LUIS</t>
  </si>
  <si>
    <t>Pol I – M</t>
  </si>
  <si>
    <t>RENGIFO ADELSO</t>
  </si>
  <si>
    <t>RENGIFO ADOLFO</t>
  </si>
  <si>
    <t>RENGIFO DELLI</t>
  </si>
  <si>
    <t>RENGIFO GUILLERMINA</t>
  </si>
  <si>
    <t>REQUENA DILIA</t>
  </si>
  <si>
    <t>Internado; Tiene familia</t>
  </si>
  <si>
    <t>REY JENNAL</t>
  </si>
  <si>
    <t>REY JENNCEL</t>
  </si>
  <si>
    <t>  | Quirófano</t>
  </si>
  <si>
    <t>REY JENNICEL / REY JENNAIL</t>
  </si>
  <si>
    <t>RICARDO BARRETO</t>
  </si>
  <si>
    <t>RIVAS FABINA</t>
  </si>
  <si>
    <t>  | Trauma</t>
  </si>
  <si>
    <t>RIVAS FRANCIS</t>
  </si>
  <si>
    <t>RIVAS FRANKENIL</t>
  </si>
  <si>
    <t>RIVAS JOSE</t>
  </si>
  <si>
    <t>RIVAS LOPEZ FRANCIS</t>
  </si>
  <si>
    <t>RIVERO DANIEL</t>
  </si>
  <si>
    <t>RIVERO JOSE</t>
  </si>
  <si>
    <t>RODA HEIDA</t>
  </si>
  <si>
    <t>RODAS GALICIA</t>
  </si>
  <si>
    <t>Internado; POLITRAUMA EMERG VIEJA</t>
  </si>
  <si>
    <t>RODES GALICIA</t>
  </si>
  <si>
    <t>RODOSKI PADILLA</t>
  </si>
  <si>
    <t>RODRIGUEZ CAMILA</t>
  </si>
  <si>
    <t>34.234.386</t>
  </si>
  <si>
    <t>RODRIGUEZ CARRENO MARIA SALOME</t>
  </si>
  <si>
    <t>5.609.377</t>
  </si>
  <si>
    <t>RODRIGUEZ EDUARDO</t>
  </si>
  <si>
    <t>RODRIGUEZ HARIA</t>
  </si>
  <si>
    <t>RODRIGUEZ HELARY</t>
  </si>
  <si>
    <t>RODRIGUEZ HERNANDEZ JESUS ENRIQUE</t>
  </si>
  <si>
    <t>RODRIGUEZ JOKSE</t>
  </si>
  <si>
    <t>ROJAS RAFAEL</t>
  </si>
  <si>
    <t>ROMERO JOSE</t>
  </si>
  <si>
    <t>Edad ilegible</t>
  </si>
  <si>
    <t>RONDON ANGEL</t>
  </si>
  <si>
    <t>RONNY BOSPARTE</t>
  </si>
  <si>
    <t>ROSA CISNERO</t>
  </si>
  <si>
    <t>ROSALIS VASQUEZ</t>
  </si>
  <si>
    <t>RREZ ELIOMOR</t>
  </si>
  <si>
    <t>RUEDA ISABEL</t>
  </si>
  <si>
    <t>RUIZ DENNI</t>
  </si>
  <si>
    <t>SALASAB ARTURO</t>
  </si>
  <si>
    <t>SALAZAR ARTURO</t>
  </si>
  <si>
    <t>SALAZAR HELEN</t>
  </si>
  <si>
    <t>SALEGA GAEM</t>
  </si>
  <si>
    <t>CI: 29819565</t>
  </si>
  <si>
    <t>SALOGAR ARTURO</t>
  </si>
  <si>
    <t>SANCHEZ ARELIS F</t>
  </si>
  <si>
    <t>Internado; POLITRAUMA MI</t>
  </si>
  <si>
    <t>SANCHEZ ASILDARO</t>
  </si>
  <si>
    <t>SANCHEZ CAMILLAS</t>
  </si>
  <si>
    <t>SANCHEZ CATALINA / CATALINA SANCHEZ</t>
  </si>
  <si>
    <t>SANCHEZ ESTIVEN</t>
  </si>
  <si>
    <t>28.037.310</t>
  </si>
  <si>
    <t>SANCHEZ KATALINA</t>
  </si>
  <si>
    <t>SANDOVAL ADRIANA</t>
  </si>
  <si>
    <t>SANDOVAL NELLY</t>
  </si>
  <si>
    <t>SANETH ATABONI</t>
  </si>
  <si>
    <t>SANTIAGO RIVAS</t>
  </si>
  <si>
    <t>33.285.910</t>
  </si>
  <si>
    <t>SEBASTIAN PIÑERO</t>
  </si>
  <si>
    <t>Posible misma persona que 'Omacuento Sebastian'</t>
  </si>
  <si>
    <t>SEQUERA BLANCO SOFIA</t>
  </si>
  <si>
    <t>SEQUERA SOFIA</t>
  </si>
  <si>
    <t>SEREZ FRANCISCA</t>
  </si>
  <si>
    <t>SERRA AMIRA</t>
  </si>
  <si>
    <t>SERRANO GONZALEZ NANCY</t>
  </si>
  <si>
    <t>SERRANO NANCY</t>
  </si>
  <si>
    <t>SERVIS CANINES</t>
  </si>
  <si>
    <t>SILVA JHOALBERT</t>
  </si>
  <si>
    <t>SILVA JOANDRI</t>
  </si>
  <si>
    <t>SILVA YOAIBER</t>
  </si>
  <si>
    <t>SILVA YOHAIVER / SILVA YOHAIBER</t>
  </si>
  <si>
    <t>SILVA YOHANDRY</t>
  </si>
  <si>
    <t>SUAREZ GRANADO RENE</t>
  </si>
  <si>
    <t>SUAREZ JULIO</t>
  </si>
  <si>
    <t>SUAREZ RENE</t>
  </si>
  <si>
    <t>SUAREZ TULIP</t>
  </si>
  <si>
    <t>SUHYN ALAYON</t>
  </si>
  <si>
    <t>TANIA CELIS / TANIC CELIS</t>
  </si>
  <si>
    <t>Politrauma Emerg. Vieja – Qx</t>
  </si>
  <si>
    <t>TANIE CELIS</t>
  </si>
  <si>
    <t>TORREALBA NUVIA</t>
  </si>
  <si>
    <t>Chacao</t>
  </si>
  <si>
    <t>TORRES LUNA</t>
  </si>
  <si>
    <t>TORRES MILAGROS</t>
  </si>
  <si>
    <t>TORTOSA JESUS</t>
  </si>
  <si>
    <t>TRUJILLO ELIAN</t>
  </si>
  <si>
    <t>TRUJILLO HENAM</t>
  </si>
  <si>
    <t>Terapia – M; La Guaira</t>
  </si>
  <si>
    <t>UEQUIOLA MAURO</t>
  </si>
  <si>
    <t>UGAS MARIA</t>
  </si>
  <si>
    <t>Internado; No tiene familia, Rx</t>
  </si>
  <si>
    <t>UGUELO KIMBERLY</t>
  </si>
  <si>
    <t>URBINA SILIBETO</t>
  </si>
  <si>
    <t>VALERI GONZALEZ</t>
  </si>
  <si>
    <t>VALERIN</t>
  </si>
  <si>
    <t>VARGAS YSABEL</t>
  </si>
  <si>
    <t>Internado; TRM (Misma C.I. que Esteban Deazat)</t>
  </si>
  <si>
    <t>VASCOCELO ANDREINA / VASCONELO ANDREINA</t>
  </si>
  <si>
    <t>VASCONCELO ANDREINA</t>
  </si>
  <si>
    <t>VASQUE JUIS</t>
  </si>
  <si>
    <t>VASQUEZ LUIS</t>
  </si>
  <si>
    <t>VASQUEZ ROSALIS</t>
  </si>
  <si>
    <t>VEGA SAMUEL</t>
  </si>
  <si>
    <t>VEGAS ISABEL</t>
  </si>
  <si>
    <t>Poli Emerg. Nueva – F; La Guaira</t>
  </si>
  <si>
    <t>VEGUIDE MAURO</t>
  </si>
  <si>
    <t>VEGUIOLE MENRO</t>
  </si>
  <si>
    <t>VILCHEZ BRAYAN</t>
  </si>
  <si>
    <t>VILLAMAR ARES</t>
  </si>
  <si>
    <t>VISBAL CLARA LOJO</t>
  </si>
  <si>
    <t>WINCHESTER KELLYS</t>
  </si>
  <si>
    <t>YANDI SEBASTIAN</t>
  </si>
  <si>
    <t>YANIESKA GALVI</t>
  </si>
  <si>
    <t>YAÑEZ YELITZA</t>
  </si>
  <si>
    <t>9.953.902</t>
  </si>
  <si>
    <t>Internado; Medicatura</t>
  </si>
  <si>
    <t>YENDERLIN CABARCA</t>
  </si>
  <si>
    <t>YENDI SEBASTIEN</t>
  </si>
  <si>
    <t>YENJEIL</t>
  </si>
  <si>
    <t>Quirófano – F; Carbacas</t>
  </si>
  <si>
    <t>YESSICA BLANCO</t>
  </si>
  <si>
    <t>YOSEANI GARABITO</t>
  </si>
  <si>
    <t>Hospital Dr. José Gregorio Hernández</t>
  </si>
  <si>
    <t>AGUERO JOHANNA</t>
  </si>
  <si>
    <t>Nuevo Jesús</t>
  </si>
  <si>
    <t>Reporte Diario Emergencia 26/06/26</t>
  </si>
  <si>
    <t>ALVAREZ MAIKILI</t>
  </si>
  <si>
    <t>ALVAREZ ROSA</t>
  </si>
  <si>
    <t>Catia</t>
  </si>
  <si>
    <t>ANDRES BEKELA</t>
  </si>
  <si>
    <t>ARANGUREN YMAIKER</t>
  </si>
  <si>
    <t>ARCEAR REINES</t>
  </si>
  <si>
    <t>ARRIETA JOSE</t>
  </si>
  <si>
    <t>BERMUDEZ GENESIS</t>
  </si>
  <si>
    <t>CANTERO TUNILDA</t>
  </si>
  <si>
    <t>CARRILLO JOSE</t>
  </si>
  <si>
    <t>Gramoven</t>
  </si>
  <si>
    <t>CASTRO YULIANYEL</t>
  </si>
  <si>
    <t>27.116.321</t>
  </si>
  <si>
    <t>COSTANDA CATALEYA</t>
  </si>
  <si>
    <t>Propatria</t>
  </si>
  <si>
    <t>DAREN ELIANYELIS</t>
  </si>
  <si>
    <t>Maiquetia</t>
  </si>
  <si>
    <t>DUISON MARIA</t>
  </si>
  <si>
    <t>Catia BIPI</t>
  </si>
  <si>
    <t>ESCORA TULIO</t>
  </si>
  <si>
    <t>33.037.605</t>
  </si>
  <si>
    <t>GIL MICHEL</t>
  </si>
  <si>
    <t>GUEIRA JUAN</t>
  </si>
  <si>
    <t>Guarenas</t>
  </si>
  <si>
    <t>HERNANDEZ BISLA</t>
  </si>
  <si>
    <t>HERNANDEZ CRIEMARY</t>
  </si>
  <si>
    <t>HERNANDEZ ESTEBAN</t>
  </si>
  <si>
    <t>Playa Verde</t>
  </si>
  <si>
    <t>Fractura de tibia y peroné – SIN FAMILIARES / ÚNICO SOBREVIVIENTE</t>
  </si>
  <si>
    <t>HOSCO URAMAIKA</t>
  </si>
  <si>
    <t>INFANTE JAIMES</t>
  </si>
  <si>
    <t>JIMENEZ HIDREL</t>
  </si>
  <si>
    <t>JIMENEZ LUIS JOSE</t>
  </si>
  <si>
    <t>13.044.965</t>
  </si>
  <si>
    <t>Internado; Politraumatismo</t>
  </si>
  <si>
    <t>JUICES ERICK</t>
  </si>
  <si>
    <t>MARQUEZ GABRIEL</t>
  </si>
  <si>
    <t>10.535.710</t>
  </si>
  <si>
    <t>MATA YOALBERT</t>
  </si>
  <si>
    <t>MAZA GALPAN</t>
  </si>
  <si>
    <t>20.779.273</t>
  </si>
  <si>
    <t>MORALES ZULEMA</t>
  </si>
  <si>
    <t>MORENO ERASMO</t>
  </si>
  <si>
    <t>12.232.756</t>
  </si>
  <si>
    <t>MORENO SAMUEL</t>
  </si>
  <si>
    <t>31.656.173</t>
  </si>
  <si>
    <t>PALMERO SALVANI</t>
  </si>
  <si>
    <t>PARRA ELEANYELIS</t>
  </si>
  <si>
    <t>Internado; Contusión Craneal</t>
  </si>
  <si>
    <t>PERA CARLOS</t>
  </si>
  <si>
    <t>PEREZ AMBAR</t>
  </si>
  <si>
    <t>PUEZO JUAN</t>
  </si>
  <si>
    <t>RIVAS MILAGROS</t>
  </si>
  <si>
    <t>RODRIGUEZ VANESSA</t>
  </si>
  <si>
    <t>ROMERO LUIS</t>
  </si>
  <si>
    <t>RONDON DAYANARA</t>
  </si>
  <si>
    <t>RONDON TUHANNE</t>
  </si>
  <si>
    <t>TORRES PARRA YERIXA D.</t>
  </si>
  <si>
    <t>Ciudad Caribea</t>
  </si>
  <si>
    <t>TOVAR SAMUEL</t>
  </si>
  <si>
    <t>URDANETA ALEXANDER</t>
  </si>
  <si>
    <t>Internado; Traumatismo Rodilla y Hombro</t>
  </si>
  <si>
    <t>URUCHUTO ALEXANDER</t>
  </si>
  <si>
    <t>ZAPATA CARMEN</t>
  </si>
  <si>
    <t>Mare II</t>
  </si>
  <si>
    <t>Hospital General del Oeste</t>
  </si>
  <si>
    <t>ARRIETA JOSÉ</t>
  </si>
  <si>
    <t>15.720.959</t>
  </si>
  <si>
    <t>Catia la Mar</t>
  </si>
  <si>
    <t>BERMÚDEZ GENESIS</t>
  </si>
  <si>
    <t>20.925.605</t>
  </si>
  <si>
    <t>GENIRE ELIANGELIS</t>
  </si>
  <si>
    <t>33.916.827</t>
  </si>
  <si>
    <t>Maiquetía</t>
  </si>
  <si>
    <t>GIL MICHELLE</t>
  </si>
  <si>
    <t>30.041.537</t>
  </si>
  <si>
    <t>HERNÁNDEZ EDEVAN</t>
  </si>
  <si>
    <t>14.935.718</t>
  </si>
  <si>
    <t>Sin familia</t>
  </si>
  <si>
    <t>PÉREZ ÁMBAR</t>
  </si>
  <si>
    <t>25.964.449</t>
  </si>
  <si>
    <t>Casarabia</t>
  </si>
  <si>
    <t>TORRES JENNY</t>
  </si>
  <si>
    <t>15.834.314</t>
  </si>
  <si>
    <t>30.010.914</t>
  </si>
  <si>
    <t>6.856.684</t>
  </si>
  <si>
    <t>Mare</t>
  </si>
  <si>
    <t>Hospital J.M. de los Ríos</t>
  </si>
  <si>
    <t>TORREALBA RODRIGUEZ SEBASTIAN</t>
  </si>
  <si>
    <t>Hospital José María Vargas - La Guaira</t>
  </si>
  <si>
    <t>ABEDARIO BEATRIZ</t>
  </si>
  <si>
    <t>ACOSTA MIGUEL</t>
  </si>
  <si>
    <t>ACOSTA SEBASTIAN</t>
  </si>
  <si>
    <t>AGUIRREZ DILAN</t>
  </si>
  <si>
    <t>ALTRA MORENO</t>
  </si>
  <si>
    <t>ALVAREZ ABRAHAM</t>
  </si>
  <si>
    <t>ALVAREZ JOSUE</t>
  </si>
  <si>
    <t>AMAYA ROSALBA</t>
  </si>
  <si>
    <t>AMUNDARAIN JOHANA</t>
  </si>
  <si>
    <t>AMUNDARAIN SONIA</t>
  </si>
  <si>
    <t>ANGARITA BELTRAN</t>
  </si>
  <si>
    <t>ANTUAM CARLOS</t>
  </si>
  <si>
    <t>ANZUATA ENDRIOSE</t>
  </si>
  <si>
    <t>ARENA GENYEILIS</t>
  </si>
  <si>
    <t>OPPE 27</t>
  </si>
  <si>
    <t>ARENA GENYELIS</t>
  </si>
  <si>
    <t>ARENA GENYERLIN</t>
  </si>
  <si>
    <t>ARIAS YONAY</t>
  </si>
  <si>
    <t>Macuto</t>
  </si>
  <si>
    <t>ARIES YONNY</t>
  </si>
  <si>
    <t>ARRAIZ KEIVIS</t>
  </si>
  <si>
    <t>ARRUGARE YONAIKER</t>
  </si>
  <si>
    <t>AVIILA HECTOR</t>
  </si>
  <si>
    <t>La Llanada</t>
  </si>
  <si>
    <t>AVILA HECTOR RAFAEL</t>
  </si>
  <si>
    <t>17.965.775</t>
  </si>
  <si>
    <t>AZUNTA EUDRI</t>
  </si>
  <si>
    <t>BADILLO YOSELIS</t>
  </si>
  <si>
    <t>Tanaguarena</t>
  </si>
  <si>
    <t>BARRIOS KATON</t>
  </si>
  <si>
    <t>BELLO JOSE LIN</t>
  </si>
  <si>
    <t>BELTRAL OMAR</t>
  </si>
  <si>
    <t>BETANCOURT NINOSCA</t>
  </si>
  <si>
    <t>BLANCO MAIKOL</t>
  </si>
  <si>
    <t>BLANDI SEBASTIAN</t>
  </si>
  <si>
    <t>BOGADO ANTONELLA</t>
  </si>
  <si>
    <t>BOLIVAR BLANCO</t>
  </si>
  <si>
    <t>BRACHO ADRIANA</t>
  </si>
  <si>
    <t>BRANDO ARIANE</t>
  </si>
  <si>
    <t>BRANDON ARANNA</t>
  </si>
  <si>
    <t>BRITO SAMUEL</t>
  </si>
  <si>
    <t>CABARGA YENDELIS</t>
  </si>
  <si>
    <t>32.273.006</t>
  </si>
  <si>
    <t>CABRERA LUCRECIA</t>
  </si>
  <si>
    <t>CAISEDO ARMANDO</t>
  </si>
  <si>
    <t>CALZADILLA YARILIS</t>
  </si>
  <si>
    <t>CAMACARO JUNIO</t>
  </si>
  <si>
    <t>Naiguata</t>
  </si>
  <si>
    <t>CANO RODRIGO</t>
  </si>
  <si>
    <t>CARDONA DAYANA</t>
  </si>
  <si>
    <t>OPPE 30</t>
  </si>
  <si>
    <t>CARNEIRO RORAIMA</t>
  </si>
  <si>
    <t>CARRILLO MIRIAN</t>
  </si>
  <si>
    <t>24.942.164</t>
  </si>
  <si>
    <t>CAUMACORA NATHIELIS</t>
  </si>
  <si>
    <t>CEDENO FRINEDYS</t>
  </si>
  <si>
    <t>CINATE JACINTA</t>
  </si>
  <si>
    <t>Internado; Fallecio</t>
  </si>
  <si>
    <t>COLO RODRIGO</t>
  </si>
  <si>
    <t>CORDERO CHARLES</t>
  </si>
  <si>
    <t>CORDERO DAYANA</t>
  </si>
  <si>
    <t>17.434.972</t>
  </si>
  <si>
    <t>CORONEL JOSNEL</t>
  </si>
  <si>
    <t>CORRO YONALY</t>
  </si>
  <si>
    <t>CUMA RUTH</t>
  </si>
  <si>
    <t>DE FREITES NELY</t>
  </si>
  <si>
    <t>Caraballeda</t>
  </si>
  <si>
    <t>DE SALCEDO MARIELA</t>
  </si>
  <si>
    <t>DE SOLANO MARIELIS</t>
  </si>
  <si>
    <t>6.488.422</t>
  </si>
  <si>
    <t>DIAZ ANYELI</t>
  </si>
  <si>
    <t>DIAZ DIEGO</t>
  </si>
  <si>
    <t>DIAZ TIBIZAI</t>
  </si>
  <si>
    <t>DISNEMELIA</t>
  </si>
  <si>
    <t>DOMINGUEZ ANZELYS</t>
  </si>
  <si>
    <t>DOMINGUEZ ANZUL</t>
  </si>
  <si>
    <t>DORANTE ERIC / DORANTE ERICK</t>
  </si>
  <si>
    <t>DURAN DARWIN</t>
  </si>
  <si>
    <t>ENRIQUE GISELA</t>
  </si>
  <si>
    <t>ESCOBAR ROSA</t>
  </si>
  <si>
    <t>ESPINOZA ALFONZO</t>
  </si>
  <si>
    <t>EURIETA MARIANA</t>
  </si>
  <si>
    <t>Guanape</t>
  </si>
  <si>
    <t>FALCON MARIA</t>
  </si>
  <si>
    <t>FARIAS AURIMAR</t>
  </si>
  <si>
    <t>FERNANDEZ EIFER</t>
  </si>
  <si>
    <t>FERNANDEZ GERALDINE</t>
  </si>
  <si>
    <t>FERNANDEZ HEYDER</t>
  </si>
  <si>
    <t>33.594.902</t>
  </si>
  <si>
    <t>FERNANDEZ YERALDIN</t>
  </si>
  <si>
    <t>FIGUEROA PAOLA</t>
  </si>
  <si>
    <t>FRONTEDOS MIELRAINE</t>
  </si>
  <si>
    <t>GALVIN NELSON</t>
  </si>
  <si>
    <t>GALVIS MARIA</t>
  </si>
  <si>
    <t>GARCIA ANA</t>
  </si>
  <si>
    <t>GARCIA JESUS</t>
  </si>
  <si>
    <t>GARCIA ODALIS</t>
  </si>
  <si>
    <t>GARCIA OLIANYELY</t>
  </si>
  <si>
    <t>GARCIA YAMILET</t>
  </si>
  <si>
    <t>GARCIA YAMILETH PAOLA</t>
  </si>
  <si>
    <t>Aeropuerto</t>
  </si>
  <si>
    <t>GENYELIS ARENA</t>
  </si>
  <si>
    <t>GIL ANAIS</t>
  </si>
  <si>
    <t>GIL ARAIS</t>
  </si>
  <si>
    <t>GIL ELCIO</t>
  </si>
  <si>
    <t>GIL NANCY</t>
  </si>
  <si>
    <t>GILMORE RERICA</t>
  </si>
  <si>
    <t>GOMEZ LUISANA</t>
  </si>
  <si>
    <t>GOMEZ NICOLA</t>
  </si>
  <si>
    <t>GOMEZ TOMAS</t>
  </si>
  <si>
    <t>GONZALES ABRAHAM</t>
  </si>
  <si>
    <t>GONZALES DIYONEISIS</t>
  </si>
  <si>
    <t>GONZALES ESTEFANI</t>
  </si>
  <si>
    <t>GONZALES EVANGELINA</t>
  </si>
  <si>
    <t>GONZALES KERVI</t>
  </si>
  <si>
    <t>GONZALES MARIELA</t>
  </si>
  <si>
    <t>GONZALES ROSIS</t>
  </si>
  <si>
    <t>GONZALES VANESA</t>
  </si>
  <si>
    <t>GONZALES WISTON</t>
  </si>
  <si>
    <t>GONZALEZ ALANA</t>
  </si>
  <si>
    <t>GONZALEZ ALEXANDRA</t>
  </si>
  <si>
    <t>GONZALEZ SEBASTIAM</t>
  </si>
  <si>
    <t>GONZALEZ VALERIS</t>
  </si>
  <si>
    <t>GONZALEZ VICTORIA</t>
  </si>
  <si>
    <t>GUANIPA VICTOR</t>
  </si>
  <si>
    <t>GUEDEZ AMARILY</t>
  </si>
  <si>
    <t>GUERRA EVELYN</t>
  </si>
  <si>
    <t>GUERRA JOSUE</t>
  </si>
  <si>
    <t>GUERRERO VICTORIA</t>
  </si>
  <si>
    <t>GUEVARA EVELIN</t>
  </si>
  <si>
    <t>GUEVARA YOSIDEIDY</t>
  </si>
  <si>
    <t>Palmar Este</t>
  </si>
  <si>
    <t>GUMENEZ CRISTIAM</t>
  </si>
  <si>
    <t>GUTIERREZ LILIBE</t>
  </si>
  <si>
    <t>HERMOSA ORTEGA</t>
  </si>
  <si>
    <t>HERNANDEZ LIONEL</t>
  </si>
  <si>
    <t>HERNANDEZ MARIA</t>
  </si>
  <si>
    <t>HERNANDEZ MARITZA</t>
  </si>
  <si>
    <t>HERNANDEZ MARIXA</t>
  </si>
  <si>
    <t>HERRERA MARIA</t>
  </si>
  <si>
    <t>HERRERA ROMERO ANTONIO</t>
  </si>
  <si>
    <t>HILDA ANA LUCIA</t>
  </si>
  <si>
    <t>HORRADA OSCATA</t>
  </si>
  <si>
    <t>IBARRA YORVIN</t>
  </si>
  <si>
    <t>IRIARTE GUSTAVO</t>
  </si>
  <si>
    <t>IRIARTE MAIGUALIDED</t>
  </si>
  <si>
    <t>JAIMES LISBETH</t>
  </si>
  <si>
    <t>JESSEN ESTEFFANY</t>
  </si>
  <si>
    <t>JIMENEZ ALEXANDER</t>
  </si>
  <si>
    <t>JIMENEZ AXIEL</t>
  </si>
  <si>
    <t>JIMENEZ JUAN CARLOS</t>
  </si>
  <si>
    <t>JIMENEZ LEONELA</t>
  </si>
  <si>
    <t>LANDAETA ARGEMIS</t>
  </si>
  <si>
    <t>LAVORCA WILMER</t>
  </si>
  <si>
    <t>LAYA ANDRES</t>
  </si>
  <si>
    <t>LEMUS YANNA</t>
  </si>
  <si>
    <t>LEON DEIRA</t>
  </si>
  <si>
    <t>LEON MANUEL</t>
  </si>
  <si>
    <t>LEON MAYA</t>
  </si>
  <si>
    <t>LIENDO JOSE</t>
  </si>
  <si>
    <t>LIZCANO JENIFER</t>
  </si>
  <si>
    <t>LOPEZ HAGADI</t>
  </si>
  <si>
    <t>LOPEZ JOHANA</t>
  </si>
  <si>
    <t>LOPEZ JUAN</t>
  </si>
  <si>
    <t>LOPEZ MARLIN</t>
  </si>
  <si>
    <t>LOPEZ TAIRY</t>
  </si>
  <si>
    <t>LOPEZ WILLIAM</t>
  </si>
  <si>
    <t>LOPEZ YOVANI</t>
  </si>
  <si>
    <t>LUNA ELIA</t>
  </si>
  <si>
    <t>LUNA EYLIN</t>
  </si>
  <si>
    <t>MALAVE REBECA</t>
  </si>
  <si>
    <t>MALAVE XIOMARA</t>
  </si>
  <si>
    <t>MANUEL JUAN</t>
  </si>
  <si>
    <t>MANUELIS</t>
  </si>
  <si>
    <t>MARCANO SORIELIS</t>
  </si>
  <si>
    <t>MARIN ANAIS</t>
  </si>
  <si>
    <t>MARQUEZ YOSIMAR</t>
  </si>
  <si>
    <t>MARTINEZ DANICA</t>
  </si>
  <si>
    <t>MARTINEZ MATILDE</t>
  </si>
  <si>
    <t>MAYORA FANNY</t>
  </si>
  <si>
    <t>MAYORA YOLANDA</t>
  </si>
  <si>
    <t>MAYORCA FANNYS</t>
  </si>
  <si>
    <t>MENDEZ ALEJANDRA</t>
  </si>
  <si>
    <t>MENDEZ CARMEN</t>
  </si>
  <si>
    <t>MERA LOURDES</t>
  </si>
  <si>
    <t>MERRA DOUGLAS</t>
  </si>
  <si>
    <t>MICHAEL MANRIQUE</t>
  </si>
  <si>
    <t>MIGNORE JENNY</t>
  </si>
  <si>
    <t>MILIANO ENDY</t>
  </si>
  <si>
    <t>MONTANA ROSIO</t>
  </si>
  <si>
    <t>MONZON YULEISI</t>
  </si>
  <si>
    <t>MORA NATHALIA</t>
  </si>
  <si>
    <t>MORA NESTOR JOSE</t>
  </si>
  <si>
    <t>MORAN STEFANNY</t>
  </si>
  <si>
    <t>MORILLO DIEGO</t>
  </si>
  <si>
    <t>9 meses</t>
  </si>
  <si>
    <t>MORON ALKELIS</t>
  </si>
  <si>
    <t>MORON ALQUILE</t>
  </si>
  <si>
    <t>MORON JUAN</t>
  </si>
  <si>
    <t>MORON JUAN LUIS</t>
  </si>
  <si>
    <t>MORON KARELIS</t>
  </si>
  <si>
    <t>MOSQUEDA SABRINA</t>
  </si>
  <si>
    <t>MOYER HERNESTO</t>
  </si>
  <si>
    <t>MUJICA NATIELYS</t>
  </si>
  <si>
    <t>MUSONI YOLANDA</t>
  </si>
  <si>
    <t>NAROZA JOEL</t>
  </si>
  <si>
    <t>NIEVES MOISES</t>
  </si>
  <si>
    <t>NUNEZ MAIRELLY</t>
  </si>
  <si>
    <t>OJEDA DEULIS</t>
  </si>
  <si>
    <t>ORAMA EDUAN</t>
  </si>
  <si>
    <t>ORTEGA CRISTIAN</t>
  </si>
  <si>
    <t>OPPE 33</t>
  </si>
  <si>
    <t>OSCATE HORRADA</t>
  </si>
  <si>
    <t>OTEREALBA MERVIN</t>
  </si>
  <si>
    <t>26.363.002</t>
  </si>
  <si>
    <t>PACHECO AUSTIN</t>
  </si>
  <si>
    <t>PACHECO CISA</t>
  </si>
  <si>
    <t>PACHECO ESTHER</t>
  </si>
  <si>
    <t>PACHECO MIRLA</t>
  </si>
  <si>
    <t>PALACIOS ANGEL</t>
  </si>
  <si>
    <t>PALACIOS JAVIER</t>
  </si>
  <si>
    <t>PALMAR MATIAS</t>
  </si>
  <si>
    <t>PALMILLANE YESIKA</t>
  </si>
  <si>
    <t>17.960.912</t>
  </si>
  <si>
    <t>PARDO HEYDERA FERNANDEZ</t>
  </si>
  <si>
    <t>PAVON DIEGO</t>
  </si>
  <si>
    <t>PAVON FIOLO</t>
  </si>
  <si>
    <t>PAZ LISS</t>
  </si>
  <si>
    <t>PEREZ ANGI</t>
  </si>
  <si>
    <t>PEREZ EDUAYERLIS</t>
  </si>
  <si>
    <t>PEREZ ELY</t>
  </si>
  <si>
    <t>PEREZ JESUS</t>
  </si>
  <si>
    <t>PEREZ VICTORIA</t>
  </si>
  <si>
    <t>PEZ ILIANA</t>
  </si>
  <si>
    <t>PICCARDO CAMILA</t>
  </si>
  <si>
    <t>PIS ANA</t>
  </si>
  <si>
    <t>PONCE JUANA</t>
  </si>
  <si>
    <t>POSA ESCOBAR OLGA</t>
  </si>
  <si>
    <t>QUERALES YESIRE</t>
  </si>
  <si>
    <t>QUINTERO BELEN</t>
  </si>
  <si>
    <t>Bowling</t>
  </si>
  <si>
    <t>QUISAIRA RIGAL</t>
  </si>
  <si>
    <t>RADA REINER</t>
  </si>
  <si>
    <t>RADINEZ ALFONZO</t>
  </si>
  <si>
    <t>RAMIREZ DARIO</t>
  </si>
  <si>
    <t>RAMIREZ FREIDERY</t>
  </si>
  <si>
    <t>RAMIREZ JULIAM</t>
  </si>
  <si>
    <t>RAMIREZ LUCIAN</t>
  </si>
  <si>
    <t>RAMIREZ RADE LENNY</t>
  </si>
  <si>
    <t>RAMOS FELIX</t>
  </si>
  <si>
    <t>Corapal</t>
  </si>
  <si>
    <t>RAMOS KATERIN</t>
  </si>
  <si>
    <t>RAMOS YONNIS</t>
  </si>
  <si>
    <t>REBOREDO ALEXANDRA</t>
  </si>
  <si>
    <t>REGINFO ADERSON</t>
  </si>
  <si>
    <t>RICKAC MALAVE</t>
  </si>
  <si>
    <t>RINCON GUSTAVO</t>
  </si>
  <si>
    <t>RIVAS FABIAN</t>
  </si>
  <si>
    <t>RIVAS FRANMY</t>
  </si>
  <si>
    <t>RIVAS RICHARD</t>
  </si>
  <si>
    <t>Camurichico</t>
  </si>
  <si>
    <t>RIVERO JOSE DANIEL</t>
  </si>
  <si>
    <t>RODON PEDRO</t>
  </si>
  <si>
    <t>RODRIGUEZ LIBIA</t>
  </si>
  <si>
    <t>RODRIGUEZ MARI</t>
  </si>
  <si>
    <t>RODRIGUEZ YOEVIYER</t>
  </si>
  <si>
    <t>OPPE 26</t>
  </si>
  <si>
    <t>RODRIGUEZ YONIERVIS</t>
  </si>
  <si>
    <t>ROJAS ANDREA</t>
  </si>
  <si>
    <t>ROMDON ARIYELIS</t>
  </si>
  <si>
    <t>ROMERO FRAIDELI</t>
  </si>
  <si>
    <t>ROMERO JONATAN</t>
  </si>
  <si>
    <t>ROSALES JAKE</t>
  </si>
  <si>
    <t>ROSALES JHOALUI</t>
  </si>
  <si>
    <t>ROSALES YOALBER</t>
  </si>
  <si>
    <t>ROSAS JOSE ANGEL</t>
  </si>
  <si>
    <t>RUSEN SAUL</t>
  </si>
  <si>
    <t>RUTH CLEMO</t>
  </si>
  <si>
    <t>34.056.073</t>
  </si>
  <si>
    <t>SALAZAR ELON</t>
  </si>
  <si>
    <t>SALAZAR ERIK</t>
  </si>
  <si>
    <t>SALAZAR HELLEN</t>
  </si>
  <si>
    <t>SALAZAR YOHAN</t>
  </si>
  <si>
    <t>SALCEDO JOSE SEBASTIAN</t>
  </si>
  <si>
    <t>SALCEDO SEBASTIAN</t>
  </si>
  <si>
    <t>SAMBRANO NAIKE</t>
  </si>
  <si>
    <t>SANBRANO NOIKER</t>
  </si>
  <si>
    <t>SANCHEZ EDGAR</t>
  </si>
  <si>
    <t>SANCHEZ ENRIQUE</t>
  </si>
  <si>
    <t>SANDOVAL YULEIVIS</t>
  </si>
  <si>
    <t>SANTAELLA GABRIEL</t>
  </si>
  <si>
    <t>34.064.137</t>
  </si>
  <si>
    <t>SERRA WEYNER</t>
  </si>
  <si>
    <t>SILVA GENESIS</t>
  </si>
  <si>
    <t>SOJO YULEIDI</t>
  </si>
  <si>
    <t>SOLORSANO ISMAEL</t>
  </si>
  <si>
    <t>SOSA DANY</t>
  </si>
  <si>
    <t>SOSA JOSE</t>
  </si>
  <si>
    <t>SOSA LUIS</t>
  </si>
  <si>
    <t>STEVEN JHONNY</t>
  </si>
  <si>
    <t>SUGELY</t>
  </si>
  <si>
    <t>SURA LUISA</t>
  </si>
  <si>
    <t>TABIO EDUARDO</t>
  </si>
  <si>
    <t>TABLANTE ADRIAN</t>
  </si>
  <si>
    <t>TERAN JOSE</t>
  </si>
  <si>
    <t>TORO ELIU</t>
  </si>
  <si>
    <t>TORO RAMON</t>
  </si>
  <si>
    <t>TORO RODA ANAIS</t>
  </si>
  <si>
    <t>TORO TORO ELIAS</t>
  </si>
  <si>
    <t>TORREALBA MAIKAL</t>
  </si>
  <si>
    <t>Brisas del Aeropuerto</t>
  </si>
  <si>
    <t>TORREALBA MERI</t>
  </si>
  <si>
    <t>TORRES RAUL</t>
  </si>
  <si>
    <t>Negra Hipolita</t>
  </si>
  <si>
    <t>TORREZ SEBASTIAN</t>
  </si>
  <si>
    <t>TOVAR OLGA</t>
  </si>
  <si>
    <t>TOVAR RAFAEL</t>
  </si>
  <si>
    <t>TOVAR USELMA</t>
  </si>
  <si>
    <t>TUMANI AMIRA</t>
  </si>
  <si>
    <t>UCZTEGUI DAYELISBETH</t>
  </si>
  <si>
    <t>UGUENTO JORGE</t>
  </si>
  <si>
    <t>UGUETO KEMBELIS</t>
  </si>
  <si>
    <t>URRIETA ZUGEY</t>
  </si>
  <si>
    <t>USCATEGUI JOSE</t>
  </si>
  <si>
    <t>VENDITTE ANTONIO</t>
  </si>
  <si>
    <t>VERA ANA</t>
  </si>
  <si>
    <t>VERGANA ARANZA</t>
  </si>
  <si>
    <t>VICMAR LUALZA</t>
  </si>
  <si>
    <t>VIEDRA MARIA</t>
  </si>
  <si>
    <t>VILLAFANDA YOHAN</t>
  </si>
  <si>
    <t>VILLAR MAILYN</t>
  </si>
  <si>
    <t>VILLARROEL ISMENIA</t>
  </si>
  <si>
    <t>VILLEGA JOSE</t>
  </si>
  <si>
    <t>YORLEN YOLTREN</t>
  </si>
  <si>
    <t>YOWAN VILLAFANDA</t>
  </si>
  <si>
    <t>Hospital Militar Universitario Dr. Carlos Arvelo</t>
  </si>
  <si>
    <t>ACOSTA AMBAR</t>
  </si>
  <si>
    <t>31.950.088</t>
  </si>
  <si>
    <t>San Juan</t>
  </si>
  <si>
    <t>PNA</t>
  </si>
  <si>
    <t>AGUILAR CARMEN</t>
  </si>
  <si>
    <t>San Martín</t>
  </si>
  <si>
    <t>AGUILAR RAUL</t>
  </si>
  <si>
    <t>ALONDRA DIAZ DELISMAR DEL V.</t>
  </si>
  <si>
    <t>20.102.925</t>
  </si>
  <si>
    <t>Higuerote</t>
  </si>
  <si>
    <t>S/P</t>
  </si>
  <si>
    <t>ALVAREZ ANDERSON</t>
  </si>
  <si>
    <t>17.755.833</t>
  </si>
  <si>
    <t>ALVAREZ BERMO ELSY</t>
  </si>
  <si>
    <t>11.697.809</t>
  </si>
  <si>
    <t>ANA DE PABLO</t>
  </si>
  <si>
    <t>4.631.806</t>
  </si>
  <si>
    <t>ANCHUNDIA ISAAC</t>
  </si>
  <si>
    <t>2.199.218</t>
  </si>
  <si>
    <t>Paraíso</t>
  </si>
  <si>
    <t>Afiliado</t>
  </si>
  <si>
    <t>ANZENDI JONATHAN</t>
  </si>
  <si>
    <t>19.035.791</t>
  </si>
  <si>
    <t>S/P GNB</t>
  </si>
  <si>
    <t>ARIAS FRUCTUOSO</t>
  </si>
  <si>
    <t>6.156.642</t>
  </si>
  <si>
    <t>GNB</t>
  </si>
  <si>
    <t>BARRIOS YOLANDA</t>
  </si>
  <si>
    <t>5.323.419</t>
  </si>
  <si>
    <t>BLANCO MILQUIADES</t>
  </si>
  <si>
    <t>15.147.810</t>
  </si>
  <si>
    <t>BRICENO MARIA</t>
  </si>
  <si>
    <t>1.445.299</t>
  </si>
  <si>
    <t>BRICENO MIRABAL JOSEFINA</t>
  </si>
  <si>
    <t>3.970.261</t>
  </si>
  <si>
    <t>BRITO ALVARADO CAMILA</t>
  </si>
  <si>
    <t>32.730.226</t>
  </si>
  <si>
    <t>BRITO VASQUEZ NELIDE</t>
  </si>
  <si>
    <t>5.120.175</t>
  </si>
  <si>
    <t>CARVAJAL JON</t>
  </si>
  <si>
    <t>17.982.017</t>
  </si>
  <si>
    <t>CASTILLO ALBA</t>
  </si>
  <si>
    <t>15.947.646</t>
  </si>
  <si>
    <t>CASTILLO DEIMAR</t>
  </si>
  <si>
    <t>21.282.503</t>
  </si>
  <si>
    <t>Antimano</t>
  </si>
  <si>
    <t>CASTILLO ROSANA</t>
  </si>
  <si>
    <t>15.366.629</t>
  </si>
  <si>
    <t>CASTRO LAURIANA</t>
  </si>
  <si>
    <t>COEN BLANCO</t>
  </si>
  <si>
    <t>5.013.048</t>
  </si>
  <si>
    <t>COEN CELIA</t>
  </si>
  <si>
    <t>5.613.048</t>
  </si>
  <si>
    <t>COGOLLO DEINER</t>
  </si>
  <si>
    <t>31.572.269</t>
  </si>
  <si>
    <t>DANIELI CARELIS GARCIA</t>
  </si>
  <si>
    <t>DELGADO MARISELA</t>
  </si>
  <si>
    <t>12.635.625</t>
  </si>
  <si>
    <t>Filas de Mariche</t>
  </si>
  <si>
    <t>DELIA DE GUERRERO PENA</t>
  </si>
  <si>
    <t>11.642.518</t>
  </si>
  <si>
    <t>DORTA RODRIGUEZ DELIA</t>
  </si>
  <si>
    <t>6.124.942</t>
  </si>
  <si>
    <t>Quinta Crespo</t>
  </si>
  <si>
    <t>DUQUE VALERIA</t>
  </si>
  <si>
    <t>3.138.243</t>
  </si>
  <si>
    <t>Hija GNB</t>
  </si>
  <si>
    <t>DURAN AURA</t>
  </si>
  <si>
    <t>6.330.439</t>
  </si>
  <si>
    <t>Los Teques</t>
  </si>
  <si>
    <t>DURAN JOSE</t>
  </si>
  <si>
    <t>10.549.929</t>
  </si>
  <si>
    <t>Artigas</t>
  </si>
  <si>
    <t>ELIAS MELO</t>
  </si>
  <si>
    <t>20.888.810</t>
  </si>
  <si>
    <t>ELVIS ETOLINO</t>
  </si>
  <si>
    <t>32.335.642</t>
  </si>
  <si>
    <t>ESPINOZA GERMAN</t>
  </si>
  <si>
    <t>10.810.746</t>
  </si>
  <si>
    <t>FLORIAN CEDENO ALBERTO</t>
  </si>
  <si>
    <t>26.898.085</t>
  </si>
  <si>
    <t>S/M3</t>
  </si>
  <si>
    <t>FRANKLIN PEREZ GUANCHE</t>
  </si>
  <si>
    <t>17.160.400</t>
  </si>
  <si>
    <t>FREDDY RODRIGUEZ</t>
  </si>
  <si>
    <t>FRIDAY RODRYS</t>
  </si>
  <si>
    <t>18.323.984</t>
  </si>
  <si>
    <t>GAMEZ TORRES HEYRIBI</t>
  </si>
  <si>
    <t>33.025.749</t>
  </si>
  <si>
    <t>Guarataro</t>
  </si>
  <si>
    <t>GARATLI COVA</t>
  </si>
  <si>
    <t>25.132.946</t>
  </si>
  <si>
    <t>GARAZO ANDREA</t>
  </si>
  <si>
    <t>19.445.453</t>
  </si>
  <si>
    <t>GARCIA DIANA</t>
  </si>
  <si>
    <t>6.270.588</t>
  </si>
  <si>
    <t>GARCIA ROSMERY</t>
  </si>
  <si>
    <t>14.216.454</t>
  </si>
  <si>
    <t>GENESIS SILVA</t>
  </si>
  <si>
    <t>25.874.216</t>
  </si>
  <si>
    <t>GIOVANNY LOPEZ</t>
  </si>
  <si>
    <t>15.625.037</t>
  </si>
  <si>
    <t>GOMEZ APOSTOL VALENTINA</t>
  </si>
  <si>
    <t>La Pastora</t>
  </si>
  <si>
    <t>GOMEZ CRISPULO</t>
  </si>
  <si>
    <t>GONZALEZ AHIMAR</t>
  </si>
  <si>
    <t>6.270.109</t>
  </si>
  <si>
    <t>Caracas</t>
  </si>
  <si>
    <t>GONZALEZ MARTINEZ MARIA CRISTINA</t>
  </si>
  <si>
    <t>11.192.750</t>
  </si>
  <si>
    <t>GONZALEZ VIVIANA</t>
  </si>
  <si>
    <t>12.540.389</t>
  </si>
  <si>
    <t>GUAMPA PAVIA MILAGRO</t>
  </si>
  <si>
    <t>8.203.313</t>
  </si>
  <si>
    <t>GUANCHE DELFIN</t>
  </si>
  <si>
    <t>3.611.764</t>
  </si>
  <si>
    <t>GUZMAN ARACELIS</t>
  </si>
  <si>
    <t>31.556.775</t>
  </si>
  <si>
    <t>San Antonio</t>
  </si>
  <si>
    <t>HAMER MORLES ALVAREZ</t>
  </si>
  <si>
    <t>32.922.380</t>
  </si>
  <si>
    <t>HARLAM CAMARGO</t>
  </si>
  <si>
    <t>19.937.977</t>
  </si>
  <si>
    <t>Tte. ARV</t>
  </si>
  <si>
    <t>HERNANDEZ DE COLLADO MONICA</t>
  </si>
  <si>
    <t>8.152.742</t>
  </si>
  <si>
    <t>HERNANDEZ LILIA</t>
  </si>
  <si>
    <t>16.598.007</t>
  </si>
  <si>
    <t>HERNANDEZ PEREZ ASDRUBAL</t>
  </si>
  <si>
    <t>13.641.724</t>
  </si>
  <si>
    <t>El Paraíso</t>
  </si>
  <si>
    <t>HERRERA VICTOR</t>
  </si>
  <si>
    <t>26.924.423</t>
  </si>
  <si>
    <t>HETTY SAM</t>
  </si>
  <si>
    <t>16.769.990</t>
  </si>
  <si>
    <t>Tte. Fragoza</t>
  </si>
  <si>
    <t>ISMAEL RUMANCA TORRES</t>
  </si>
  <si>
    <t>31.312.002</t>
  </si>
  <si>
    <t>S/Of. Seg.</t>
  </si>
  <si>
    <t>JAIDON CADENAS</t>
  </si>
  <si>
    <t>27.606.935</t>
  </si>
  <si>
    <t>JIMENEZ ROSMELI</t>
  </si>
  <si>
    <t>27.163.747</t>
  </si>
  <si>
    <t>JIMENEZ VICTOR</t>
  </si>
  <si>
    <t>11.398.889</t>
  </si>
  <si>
    <t>11.139.889</t>
  </si>
  <si>
    <t>JUSMARY TOVAR</t>
  </si>
  <si>
    <t>19.272.179</t>
  </si>
  <si>
    <t>LAYA YOSLI</t>
  </si>
  <si>
    <t>15.034.147</t>
  </si>
  <si>
    <t>Urdaneta</t>
  </si>
  <si>
    <t>Enferm. Hosp.</t>
  </si>
  <si>
    <t>LEGORBURU JUAN ANDRES</t>
  </si>
  <si>
    <t>6.914.851</t>
  </si>
  <si>
    <t>Los Palos Grandes</t>
  </si>
  <si>
    <t>LOPEZ JOSELYN</t>
  </si>
  <si>
    <t>15.034.143</t>
  </si>
  <si>
    <t>LOPEZ MORALES CESAR</t>
  </si>
  <si>
    <t>23.622.267</t>
  </si>
  <si>
    <t>Comandancia GNB</t>
  </si>
  <si>
    <t>Tte. GNB</t>
  </si>
  <si>
    <t>LOPEZ YEISAL</t>
  </si>
  <si>
    <t>19.477.270</t>
  </si>
  <si>
    <t>LOURDES JIMENEZ</t>
  </si>
  <si>
    <t>8.654.412</t>
  </si>
  <si>
    <t>Fuerte Tiuna</t>
  </si>
  <si>
    <t>Madre C.C.</t>
  </si>
  <si>
    <t>LUCA GONZALEZ YAMILET</t>
  </si>
  <si>
    <t>13.610.512</t>
  </si>
  <si>
    <t>LUIS MARTINEZ</t>
  </si>
  <si>
    <t>10.683.348</t>
  </si>
  <si>
    <t>6.683.348</t>
  </si>
  <si>
    <t>Casalta 3</t>
  </si>
  <si>
    <t>S/M GNB</t>
  </si>
  <si>
    <t>MAITE COA</t>
  </si>
  <si>
    <t>11.165.265</t>
  </si>
  <si>
    <t>MARCANO GONZALEZ MARA</t>
  </si>
  <si>
    <t>33.010.536</t>
  </si>
  <si>
    <t>MARCANO ODALIS</t>
  </si>
  <si>
    <t>10.581.191</t>
  </si>
  <si>
    <t>MARCANO SUSE</t>
  </si>
  <si>
    <t>25.612.616</t>
  </si>
  <si>
    <t>MARIANY SALAZAR</t>
  </si>
  <si>
    <t>32.454.171</t>
  </si>
  <si>
    <t>Macuto La Guaira</t>
  </si>
  <si>
    <t>S/2 GNB</t>
  </si>
  <si>
    <t>MARINO CASTELLO</t>
  </si>
  <si>
    <t>31.289.457</t>
  </si>
  <si>
    <t>Hijo Cnel.(F)</t>
  </si>
  <si>
    <t>MEDINA MARITZA</t>
  </si>
  <si>
    <t>28.001.615</t>
  </si>
  <si>
    <t>MILENS GLADYS</t>
  </si>
  <si>
    <t>5.114.187</t>
  </si>
  <si>
    <t>MONSALVE KIANA</t>
  </si>
  <si>
    <t>13.466.342</t>
  </si>
  <si>
    <t>MONTILLA ZELAYA HERRERA</t>
  </si>
  <si>
    <t>6.285.593</t>
  </si>
  <si>
    <t>MORA YOSMAR</t>
  </si>
  <si>
    <t>11.649.384</t>
  </si>
  <si>
    <t>MORENO YULITZA</t>
  </si>
  <si>
    <t>MORILLO HERNANDEZ NEHOMAR</t>
  </si>
  <si>
    <t>15.280.446</t>
  </si>
  <si>
    <t>Comandancia</t>
  </si>
  <si>
    <t>MURILLO LANDAETA KELIZ</t>
  </si>
  <si>
    <t>28.443.736</t>
  </si>
  <si>
    <t>Afiliada</t>
  </si>
  <si>
    <t>MURILLO LANDAETA YORGELIS YADILI</t>
  </si>
  <si>
    <t>28.440.024</t>
  </si>
  <si>
    <t>NAVAS YAYAIRA</t>
  </si>
  <si>
    <t>18.210.310</t>
  </si>
  <si>
    <t>NELDA BELLO</t>
  </si>
  <si>
    <t>11.015.849</t>
  </si>
  <si>
    <t>NOGUERA ARANGEL</t>
  </si>
  <si>
    <t>31.752.473</t>
  </si>
  <si>
    <t>OLIVARES HEYRYBER</t>
  </si>
  <si>
    <t>24.800.896</t>
  </si>
  <si>
    <t>S/Of. GNB</t>
  </si>
  <si>
    <t>OLIVERO ANA</t>
  </si>
  <si>
    <t>4.281.217</t>
  </si>
  <si>
    <t>ORTEGA BELDE</t>
  </si>
  <si>
    <t>5.827.267</t>
  </si>
  <si>
    <t>OSORIO ELVIA</t>
  </si>
  <si>
    <t>24.153.416</t>
  </si>
  <si>
    <t>S/M3 GNB</t>
  </si>
  <si>
    <t>PALMER DARLIMAN</t>
  </si>
  <si>
    <t>27.956.623</t>
  </si>
  <si>
    <t>PAOLA GONZALEZ</t>
  </si>
  <si>
    <t>27.042.446</t>
  </si>
  <si>
    <t>S/A</t>
  </si>
  <si>
    <t>PENA EMMA</t>
  </si>
  <si>
    <t>2.528.862</t>
  </si>
  <si>
    <t>PEREZ INFANTES</t>
  </si>
  <si>
    <t>33.218.435</t>
  </si>
  <si>
    <t>PEREZ JUAN</t>
  </si>
  <si>
    <t>16.083.970</t>
  </si>
  <si>
    <t>PERICAGUAN MILIBA</t>
  </si>
  <si>
    <t>13.375.459</t>
  </si>
  <si>
    <t>PESQUEDA JERRY JONNY</t>
  </si>
  <si>
    <t>16.147.144</t>
  </si>
  <si>
    <t>C.C. PNA</t>
  </si>
  <si>
    <t>PEÑA NADIA TERSE</t>
  </si>
  <si>
    <t>4.556.514</t>
  </si>
  <si>
    <t>PINTO JOSE</t>
  </si>
  <si>
    <t>PINTO LUISA</t>
  </si>
  <si>
    <t>3.342.558</t>
  </si>
  <si>
    <t>PIÑERO DIAZ QUIKLI</t>
  </si>
  <si>
    <t>29.910.706</t>
  </si>
  <si>
    <t>La Guaira (Fallecido)</t>
  </si>
  <si>
    <t>QUAO SUYLIN</t>
  </si>
  <si>
    <t>16.135.135</t>
  </si>
  <si>
    <t>RAMIREZ AMUNDARAIN IVANA</t>
  </si>
  <si>
    <t>14.451.022</t>
  </si>
  <si>
    <t>Capuchino</t>
  </si>
  <si>
    <t>RAMOS JOSELINA ALVAREDO</t>
  </si>
  <si>
    <t>6.916.206</t>
  </si>
  <si>
    <t>GNB Cnel.</t>
  </si>
  <si>
    <t>RAMOS MAYERLING</t>
  </si>
  <si>
    <t>15.780.524</t>
  </si>
  <si>
    <t>RANGEL DAPHNE</t>
  </si>
  <si>
    <t>29.619.923</t>
  </si>
  <si>
    <t>RANGEL YESENIA</t>
  </si>
  <si>
    <t>11.380.548</t>
  </si>
  <si>
    <t>RIVERO MARINA ROSA</t>
  </si>
  <si>
    <t>3.197.845</t>
  </si>
  <si>
    <t>Sra. GNB</t>
  </si>
  <si>
    <t>RODRIGUEZ LUIS</t>
  </si>
  <si>
    <t>24.802.937</t>
  </si>
  <si>
    <t>ROJAS JESUS</t>
  </si>
  <si>
    <t>2.321.156</t>
  </si>
  <si>
    <t>SALAS HECTOR</t>
  </si>
  <si>
    <t>5.921.822</t>
  </si>
  <si>
    <t>SALAS VILLAYA</t>
  </si>
  <si>
    <t>9.999.170</t>
  </si>
  <si>
    <t>Esposa S/M</t>
  </si>
  <si>
    <t>SALAZAR CARLOS</t>
  </si>
  <si>
    <t>27.178.947</t>
  </si>
  <si>
    <t>Paraí</t>
  </si>
  <si>
    <t>PT</t>
  </si>
  <si>
    <t>SALAZAR YAJAIRA</t>
  </si>
  <si>
    <t>15.160.619</t>
  </si>
  <si>
    <t>Delicias</t>
  </si>
  <si>
    <t>SALMA YESICA</t>
  </si>
  <si>
    <t>22.017.564</t>
  </si>
  <si>
    <t>Carapita</t>
  </si>
  <si>
    <t>SANCHEZ ALVARADO STEFANI</t>
  </si>
  <si>
    <t>31.913.023</t>
  </si>
  <si>
    <t>SANTOS FLORES MARIO H.</t>
  </si>
  <si>
    <t>24.869.842</t>
  </si>
  <si>
    <t>SEBASTIAN ROJAS</t>
  </si>
  <si>
    <t>9.212.014</t>
  </si>
  <si>
    <t>Papá S/P</t>
  </si>
  <si>
    <t>SERGIO PEREZ</t>
  </si>
  <si>
    <t>32.635.244</t>
  </si>
  <si>
    <t>SILVA STEFANL</t>
  </si>
  <si>
    <t>32.074.333</t>
  </si>
  <si>
    <t>STEFANI VILLEGAS</t>
  </si>
  <si>
    <t>28.453.309</t>
  </si>
  <si>
    <t>SUARES TOMASA</t>
  </si>
  <si>
    <t>33.067.691</t>
  </si>
  <si>
    <t>TADRON MIRIAN</t>
  </si>
  <si>
    <t>3.551.082</t>
  </si>
  <si>
    <t>TORRELLAS MARIA</t>
  </si>
  <si>
    <t>29.656.134</t>
  </si>
  <si>
    <t>TORRES YENILE</t>
  </si>
  <si>
    <t>23.634.549</t>
  </si>
  <si>
    <t>TRICONE ADRIAN</t>
  </si>
  <si>
    <t>15.831.958</t>
  </si>
  <si>
    <t>La Guaira Ampliación</t>
  </si>
  <si>
    <t>VARELA MARIA</t>
  </si>
  <si>
    <t>21.364.211</t>
  </si>
  <si>
    <t>VARGAS NANCY</t>
  </si>
  <si>
    <t>VELASQUEZ JOLIMAR</t>
  </si>
  <si>
    <t>11.638.401</t>
  </si>
  <si>
    <t>VILLAO PASTORA DUCLEIDIS</t>
  </si>
  <si>
    <t>VISEDHA GONZALEZ</t>
  </si>
  <si>
    <t>26.668.182</t>
  </si>
  <si>
    <t>WESOLSKI JULIA</t>
  </si>
  <si>
    <t>3.046.825</t>
  </si>
  <si>
    <t>YAKELIN SANTANA</t>
  </si>
  <si>
    <t>10.398.248</t>
  </si>
  <si>
    <t>YAN ILDUARA</t>
  </si>
  <si>
    <t>32.106.240</t>
  </si>
  <si>
    <t>YOSELYN GUERRA</t>
  </si>
  <si>
    <t>6.502.264</t>
  </si>
  <si>
    <t>31.752.478</t>
  </si>
  <si>
    <t>ZONIS NALLELI</t>
  </si>
  <si>
    <t>14.289.990</t>
  </si>
  <si>
    <t>Hospital Pérez Carreño</t>
  </si>
  <si>
    <t>AARON VILLALBA</t>
  </si>
  <si>
    <t>ACEVEDO MIA</t>
  </si>
  <si>
    <t>7 M</t>
  </si>
  <si>
    <t>ACOSTA BASTIDAS YANELIS DEL VALLE CAROLINA</t>
  </si>
  <si>
    <t>ADIAN MILAGRO</t>
  </si>
  <si>
    <t>Nuevos Ingresos</t>
  </si>
  <si>
    <t>ADRIANA SANDOVAL</t>
  </si>
  <si>
    <t>Sin información</t>
  </si>
  <si>
    <t>ADRIANO BASTIDO</t>
  </si>
  <si>
    <t>AGUILERA ANA</t>
  </si>
  <si>
    <t>ALBARRAN MARA</t>
  </si>
  <si>
    <t>Traumashock | Neurocirugía – Pasillo Asesor; La Guaira; Trauma, Neuro y Cirugía, Alta Médica</t>
  </si>
  <si>
    <t>ALEJANDRA SOSA</t>
  </si>
  <si>
    <t>ALFREDO QUINTANA</t>
  </si>
  <si>
    <t>ALONZO ISABEL</t>
  </si>
  <si>
    <t>Traumachok – Neurocirugía; La Guaira</t>
  </si>
  <si>
    <t>ALONZO OROPEZA ERIKA MANUELA</t>
  </si>
  <si>
    <t>ALOURO ISABEL</t>
  </si>
  <si>
    <t>Traumashock</t>
  </si>
  <si>
    <t>AMILCAR STABILITO</t>
  </si>
  <si>
    <t>ANA AGUILERA</t>
  </si>
  <si>
    <t>ANA FERNANDEZ</t>
  </si>
  <si>
    <t>ANA OLIVERO</t>
  </si>
  <si>
    <t>ANABELA MORILLO</t>
  </si>
  <si>
    <t>Triaje</t>
  </si>
  <si>
    <t>ANAQUE VUELTA MARIA JOSE</t>
  </si>
  <si>
    <t>ANDERSON MENDOZA</t>
  </si>
  <si>
    <t>ANDRADE MARIA</t>
  </si>
  <si>
    <t>Piso 3 – Traumachok; La Guaira</t>
  </si>
  <si>
    <t>ANDRADE MILAGRO</t>
  </si>
  <si>
    <t>Neuro Trauma – Pasillo Asesor; La Guaira</t>
  </si>
  <si>
    <t>ANGARITA CARRILLO CARMEN VICTORIA</t>
  </si>
  <si>
    <t>ANGEL FERNANDEZ</t>
  </si>
  <si>
    <t>ANYELI GONZALEZ</t>
  </si>
  <si>
    <t>Internado; Trauma shock
Pasillo de ascensor</t>
  </si>
  <si>
    <t>ARIANA O ADRIANA SANDOVAL</t>
  </si>
  <si>
    <t>Traslado desde La Guaira</t>
  </si>
  <si>
    <t>AROKA MILAGRO</t>
  </si>
  <si>
    <t>ARON YSAAC / AARON ISAAC</t>
  </si>
  <si>
    <t>Emerg. Pediátrica – Tanaguarena – SIN FAMILIAR</t>
  </si>
  <si>
    <t>ASHLY CARREÑO</t>
  </si>
  <si>
    <t>AURI CASTILLO</t>
  </si>
  <si>
    <t>AVEA WHILIAN</t>
  </si>
  <si>
    <t>19.768.837</t>
  </si>
  <si>
    <t>AVENDANO MARLENE</t>
  </si>
  <si>
    <t>Traumashock | Traumachok – Triaje; La Guaira</t>
  </si>
  <si>
    <t>AVENDANO WISTON</t>
  </si>
  <si>
    <t>Traumashock | Traumatología – Triaje; La Guaira</t>
  </si>
  <si>
    <t>AVEVZA WILIAN</t>
  </si>
  <si>
    <t>AZOCAR VALERIA</t>
  </si>
  <si>
    <t>AZOSTO YHELIA</t>
  </si>
  <si>
    <t>BACELO BELKIS</t>
  </si>
  <si>
    <t>BALBAS SENAIDA</t>
  </si>
  <si>
    <t>BAPTISTA HERRERA YERMAN EMMANUEL</t>
  </si>
  <si>
    <t>BAPTISTA YERMIN</t>
  </si>
  <si>
    <t>BARREGO JOSE</t>
  </si>
  <si>
    <t>BARRIOS KATHERINE</t>
  </si>
  <si>
    <t>BASTARDO VERCIA</t>
  </si>
  <si>
    <t>BASTIDO VERONICA</t>
  </si>
  <si>
    <t>BECERO LESEDI</t>
  </si>
  <si>
    <t>36.800.384</t>
  </si>
  <si>
    <t>BECERRA LEONARDO</t>
  </si>
  <si>
    <t>BELLO ALANA</t>
  </si>
  <si>
    <t>Emerg. Pediátrica</t>
  </si>
  <si>
    <t>BENA MANUELA</t>
  </si>
  <si>
    <t>18.449.889</t>
  </si>
  <si>
    <t>BENITES FREDDY</t>
  </si>
  <si>
    <t>Traumachok; todos los servicios; Tomografía; La Guaira</t>
  </si>
  <si>
    <t>BERNAL MARCELA</t>
  </si>
  <si>
    <t>BERONICA BASTARDA</t>
  </si>
  <si>
    <t>BIVZELA HARERID</t>
  </si>
  <si>
    <t>37.890.594</t>
  </si>
  <si>
    <t>BLANCO GALVIS MAXIMO MIGUEL</t>
  </si>
  <si>
    <t>BOLIVAR BOLIVAR J. JOSE</t>
  </si>
  <si>
    <t>BOLIVAR YETSELLE DANIELA</t>
  </si>
  <si>
    <t>BOUS CANDELARIO</t>
  </si>
  <si>
    <t>Traumachok – Traumatología; La Guaira</t>
  </si>
  <si>
    <t>BRACAMONTE ROJAS GENESIS</t>
  </si>
  <si>
    <t>BRICENO AMIKAR</t>
  </si>
  <si>
    <t>BRITO ANTONELLA</t>
  </si>
  <si>
    <t>Emerg. Pediátrica – La Guaira</t>
  </si>
  <si>
    <t>BRITO MORALES BRAYAN DAVID</t>
  </si>
  <si>
    <t>BRITO PINERO SAMUEL</t>
  </si>
  <si>
    <t>BRIZUELA GABRIEL</t>
  </si>
  <si>
    <t>BUENO DIAZ MERIDA</t>
  </si>
  <si>
    <t>BUENO MERIDO</t>
  </si>
  <si>
    <t>CABELLO BRISNEIDY</t>
  </si>
  <si>
    <t>Internado; Trauma Shock / Cirugía General</t>
  </si>
  <si>
    <t>CANDELANO ROIS</t>
  </si>
  <si>
    <t>CANDELARIO NAVAS</t>
  </si>
  <si>
    <t>CANDELARIO VOUIS</t>
  </si>
  <si>
    <t>CARDENAS ALAXDIA</t>
  </si>
  <si>
    <t>CARDENAS ALEXANDRA</t>
  </si>
  <si>
    <t>TRAUMASHOCK</t>
  </si>
  <si>
    <t>CARMEN ANGARITA</t>
  </si>
  <si>
    <t>CARRENO ASLY</t>
  </si>
  <si>
    <t>CARRENO DERECK</t>
  </si>
  <si>
    <t>Emerg. Pediátrica – Caraballeda – Hermanos</t>
  </si>
  <si>
    <t>CARRENO ESPINOZA ZULEIKA YAXNEI</t>
  </si>
  <si>
    <t>CARREÑO ASHLY / CARREÑO ASLY</t>
  </si>
  <si>
    <t>SIN FAMILIAR – Pediátrico | Emerg. Pediátrica – Caraballeda – Hermanos</t>
  </si>
  <si>
    <t>CARREÑO DERECHO</t>
  </si>
  <si>
    <t>SIN FAMILIAR – Pediátrico</t>
  </si>
  <si>
    <t>CARRIZO VIVANA</t>
  </si>
  <si>
    <t>CARUZZO VALENTINA VIVIANA</t>
  </si>
  <si>
    <t>CASSTITO AYARI</t>
  </si>
  <si>
    <t>CASTILLO DESCARA AYARI</t>
  </si>
  <si>
    <t>CASTRILLO ESTEFANY</t>
  </si>
  <si>
    <t>CEBALLO BRIONEIDY</t>
  </si>
  <si>
    <t>Traumachok – Cirugía Observación; La Guaira</t>
  </si>
  <si>
    <t>CEBALLOS BRISNEIBY</t>
  </si>
  <si>
    <t>Traumachok – Medicina Interna; La Guaira</t>
  </si>
  <si>
    <t>CEBALLOS BRUISNEIDY</t>
  </si>
  <si>
    <t>CEBALLOS GRANELDE</t>
  </si>
  <si>
    <t>CEDENO MARYURI</t>
  </si>
  <si>
    <t>CELIANA MIJARES</t>
  </si>
  <si>
    <t>CENDIELA PAREDEZ</t>
  </si>
  <si>
    <t>CESAR CHERMETO</t>
  </si>
  <si>
    <t>CHACON ELIZABETH</t>
  </si>
  <si>
    <t>CHAN ABEL</t>
  </si>
  <si>
    <t>CHARMELO CESAR</t>
  </si>
  <si>
    <t>Emerg. Pediátrica – Caraballeda</t>
  </si>
  <si>
    <t>CHAVEZ MERI</t>
  </si>
  <si>
    <t>TRIAJE</t>
  </si>
  <si>
    <t>CHERMETO CESAR</t>
  </si>
  <si>
    <t>CHIRINOS MARTINEZ MAXIMILIANO JOSE</t>
  </si>
  <si>
    <t>CHIRINOS MIRANDA DULCE</t>
  </si>
  <si>
    <t>CHUZO MERIDO</t>
  </si>
  <si>
    <t>CISDELIS QUINTERO</t>
  </si>
  <si>
    <t>CNEPEO LOUVIA</t>
  </si>
  <si>
    <t>24.718.019</t>
  </si>
  <si>
    <t>COHALUE GABRIEL</t>
  </si>
  <si>
    <t>Neuro – Traumachok; La Guaira</t>
  </si>
  <si>
    <t>COLINA ANGARITA YOHANDRI ABEL</t>
  </si>
  <si>
    <t>COLINA YOANDRI</t>
  </si>
  <si>
    <t>CONTRERAS JORLY</t>
  </si>
  <si>
    <t>CONTRERAS JOSE</t>
  </si>
  <si>
    <t>CONTRERAS YORGI / CONTRERAS YORXI</t>
  </si>
  <si>
    <t>CONTRERAS YORYI</t>
  </si>
  <si>
    <t>CORDERO ALEXIS JOSEFINA</t>
  </si>
  <si>
    <t>CORDERO PARYA WILLIAMS JOSE</t>
  </si>
  <si>
    <t>CORDERO YADIRA</t>
  </si>
  <si>
    <t>CORDOBA DAYANA</t>
  </si>
  <si>
    <t>CORONADO YESENIA</t>
  </si>
  <si>
    <t>CORREA DAINER</t>
  </si>
  <si>
    <t>CRISBEL GRANADO</t>
  </si>
  <si>
    <t>CRUZ HERNANDEZ</t>
  </si>
  <si>
    <t>CRUZCENAIDA PAREDEZ</t>
  </si>
  <si>
    <t>DAVID BRITO</t>
  </si>
  <si>
    <t>DAVILA MARLENE</t>
  </si>
  <si>
    <t>DAYANA CORDOBA</t>
  </si>
  <si>
    <t>DAYANA RONDON</t>
  </si>
  <si>
    <t>DE ANZOLA MANUELA</t>
  </si>
  <si>
    <t>DE FREITAS NELLY</t>
  </si>
  <si>
    <t>Internado; Trauma Shock / Neurocirugía</t>
  </si>
  <si>
    <t>DE MARTINEZ LONGA CARMEN ZORAIDA</t>
  </si>
  <si>
    <t>DE SANTIAGO JUANA</t>
  </si>
  <si>
    <t>DEFRESTA NELLY</t>
  </si>
  <si>
    <t>Piso 3 – Traumatología Neurocirugía; La Guaira</t>
  </si>
  <si>
    <t>DEJES HAILIMAR</t>
  </si>
  <si>
    <t>15.581.766</t>
  </si>
  <si>
    <t>DEL MONTE ZAMARA VALENTINE</t>
  </si>
  <si>
    <t>DELGADO LISBETH</t>
  </si>
  <si>
    <t>DELGADO MADY</t>
  </si>
  <si>
    <t>DERECHO CARREÑO</t>
  </si>
  <si>
    <t>DIACUA EDUAR</t>
  </si>
  <si>
    <t>DIALECSY CORDERO</t>
  </si>
  <si>
    <t>DIAS GEEUROSY</t>
  </si>
  <si>
    <t>DIAS LOZADA ANA FELICIA</t>
  </si>
  <si>
    <t>DIAZ ANA</t>
  </si>
  <si>
    <t>DIAZ ENRIQUE</t>
  </si>
  <si>
    <t>Piso 3 – Traumachok – Traumatología; La Guaira</t>
  </si>
  <si>
    <t>DIAZ GENNESY</t>
  </si>
  <si>
    <t>Internado; Trauma Shock</t>
  </si>
  <si>
    <t>DIAZ IRMA</t>
  </si>
  <si>
    <t>DIAZ ROMERO BRIANGELYS NAZARETH</t>
  </si>
  <si>
    <t>DIAZ SANDRA</t>
  </si>
  <si>
    <t>DIAZ VICTOR</t>
  </si>
  <si>
    <t>DIES GENNY</t>
  </si>
  <si>
    <t>Traumachok; La Guaira</t>
  </si>
  <si>
    <t>DORANTE ERIC</t>
  </si>
  <si>
    <t>Traumachok – Triaje; La Guaira | Traumashock</t>
  </si>
  <si>
    <t>DRANA EDUAR</t>
  </si>
  <si>
    <t>Sin cédula</t>
  </si>
  <si>
    <t>DUARTE JESUS</t>
  </si>
  <si>
    <t>DURAN PALENCIA GIANNIS DOHANY</t>
  </si>
  <si>
    <t>DUÑAR LOPEZ</t>
  </si>
  <si>
    <t>EDUANYELIS PÉREZ</t>
  </si>
  <si>
    <t>EDUAR ORANA</t>
  </si>
  <si>
    <t>EDVAR CORNA</t>
  </si>
  <si>
    <t>Sininformación</t>
  </si>
  <si>
    <t>EGIBELTO AMILKAR</t>
  </si>
  <si>
    <t>Piso 3 – Traumachok; Cirugía ATJ Ortopedia; La Guaira</t>
  </si>
  <si>
    <t>ELIANNI IDALGO</t>
  </si>
  <si>
    <t>ELISABETH CHACON</t>
  </si>
  <si>
    <t>EMAN GLADYS</t>
  </si>
  <si>
    <t>EMILI MOSQUERA</t>
  </si>
  <si>
    <t>EMILI RAMOS</t>
  </si>
  <si>
    <t>EMIRA GUERRA</t>
  </si>
  <si>
    <t>  | Sin información</t>
  </si>
  <si>
    <t>ERIC GODOY</t>
  </si>
  <si>
    <t>ERNAN GLADYS</t>
  </si>
  <si>
    <t>Internado; Trauma Shock / Traumatologia</t>
  </si>
  <si>
    <t>ESCALA YOISLER</t>
  </si>
  <si>
    <t>ESCOBAR JOYLER</t>
  </si>
  <si>
    <t>ESCOBAR YOINER</t>
  </si>
  <si>
    <t>Pediatría – Lista alta; Papá</t>
  </si>
  <si>
    <t>ESLUBILITO AMILKA</t>
  </si>
  <si>
    <t>Internado; Trauma Shock / Cirugía General
PISO 3</t>
  </si>
  <si>
    <t>ESPINOSA IVON</t>
  </si>
  <si>
    <t>Piso 3; La Guaira</t>
  </si>
  <si>
    <t>ESPINOZA BELLO KAREN DANIELA</t>
  </si>
  <si>
    <t>ESTEVES YOLNNYS</t>
  </si>
  <si>
    <t>FAJARDO ROMIEL</t>
  </si>
  <si>
    <t>FENENECA ANA</t>
  </si>
  <si>
    <t>FENEO ANGAL</t>
  </si>
  <si>
    <t>FERNADEZ FREITES RODRIGO FELIPE</t>
  </si>
  <si>
    <t>FERNANDA FIGUERA</t>
  </si>
  <si>
    <t>FERNANDES MARIA GONZALO</t>
  </si>
  <si>
    <t>FERNANDEZ MORILLO ALBERTO</t>
  </si>
  <si>
    <t>FERNANDEZ PINEDA ANA</t>
  </si>
  <si>
    <t>FERNANDEZ RODRIGO</t>
  </si>
  <si>
    <t>FERNANDEZ SANTIAGO</t>
  </si>
  <si>
    <t>FIGUERA CARMELO</t>
  </si>
  <si>
    <t>FIGUERA FERNANDA</t>
  </si>
  <si>
    <t>FIGUERA MORILDA</t>
  </si>
  <si>
    <t>FIGUERA YEANGEL</t>
  </si>
  <si>
    <t>FIGUEROA IRMA CELESTE</t>
  </si>
  <si>
    <t>FLEICI VALERO</t>
  </si>
  <si>
    <t>FLORES YORDANO</t>
  </si>
  <si>
    <t>FRAN RONDON</t>
  </si>
  <si>
    <t>FRANCIS MEDINA</t>
  </si>
  <si>
    <t>FREDY RODRIGUEZ</t>
  </si>
  <si>
    <t>GABRIEL BRIZUELA</t>
  </si>
  <si>
    <t>GABRIEL GONCALUEZ</t>
  </si>
  <si>
    <t>GARCIA ANDREA</t>
  </si>
  <si>
    <t>GARCIA DIEGO</t>
  </si>
  <si>
    <t>GARCIA HEILIMAR</t>
  </si>
  <si>
    <t>GARCIA JUAN</t>
  </si>
  <si>
    <t>GARCIA JUVER</t>
  </si>
  <si>
    <t>GARCIA MARIO</t>
  </si>
  <si>
    <t>GARCIA MARTINEZ KEILIMAR DAYANA</t>
  </si>
  <si>
    <t>GARCIA MELENDEZ OLEINIS VALENTINA</t>
  </si>
  <si>
    <t>GARCIA MENDOZA DIEGO</t>
  </si>
  <si>
    <t>GARCIA VELASQUEZ YARBET ARMANDO</t>
  </si>
  <si>
    <t>GARCIA VERDE GABRIEL EZEQUIEL</t>
  </si>
  <si>
    <t>GARCIA VOLEIBOR</t>
  </si>
  <si>
    <t>Traumachok – Neurocirugía; Tomografía; La Guaira</t>
  </si>
  <si>
    <t>GEEO MANUELA</t>
  </si>
  <si>
    <t>18.814.866</t>
  </si>
  <si>
    <t>GENESIS BRACAMONTE</t>
  </si>
  <si>
    <t>GIAMPIEDO FELICIANO</t>
  </si>
  <si>
    <t>Traumachok – Triaje Cirugía; La Guaira</t>
  </si>
  <si>
    <t>GIANPIERO FELICIANO</t>
  </si>
  <si>
    <t>GIFEROA CELESTE</t>
  </si>
  <si>
    <t>GIL LEOMANWIL</t>
  </si>
  <si>
    <t>GIL MIRIAM</t>
  </si>
  <si>
    <t>GIL ORRIETA MARIAM</t>
  </si>
  <si>
    <t>GODERA EMICA</t>
  </si>
  <si>
    <t>GODERZA EMIIEA</t>
  </si>
  <si>
    <t>GODOY ERIC</t>
  </si>
  <si>
    <t>GOLEARA EMIEA</t>
  </si>
  <si>
    <t>22.919.884</t>
  </si>
  <si>
    <t>GOLZEZA ELIZBTH</t>
  </si>
  <si>
    <t>GOMEZ MANUEL</t>
  </si>
  <si>
    <t>GONCALVES GABRIEL</t>
  </si>
  <si>
    <t>GONZALES DE ARISMENDI MILENIS YANETT</t>
  </si>
  <si>
    <t>GONZALES PEREZ VALERIA ORIANA</t>
  </si>
  <si>
    <t>GONZALES VELASQUEZ FABIAN</t>
  </si>
  <si>
    <t>Internado; Fecha: 24/6/26 11.54pm | Servicio: TRIAJE</t>
  </si>
  <si>
    <t>GONZALEZ ANGELY</t>
  </si>
  <si>
    <t>GONZALEZ ELIZABETH TRINIDAD</t>
  </si>
  <si>
    <t>GONZALEZ ISTURIZ ISABEL</t>
  </si>
  <si>
    <t>GONZALEZ JESUS</t>
  </si>
  <si>
    <t>GONZALEZ KEVI</t>
  </si>
  <si>
    <t>GONZALEZ LUISA</t>
  </si>
  <si>
    <t>GONZALEZ MENDEZ DANIELA ALEXANDRA</t>
  </si>
  <si>
    <t>GONZALEZ MILEIBIS</t>
  </si>
  <si>
    <t>GONZALEZ NYERLYS</t>
  </si>
  <si>
    <t>GONZALEZ VELASQUEZ FABIAN MAURICIO</t>
  </si>
  <si>
    <t>GONZALO LEON</t>
  </si>
  <si>
    <t>GOOHZA MILERBIS</t>
  </si>
  <si>
    <t>16.468.240</t>
  </si>
  <si>
    <t>GRAMA RODRIGUEZ EDUARD ALEXANDER</t>
  </si>
  <si>
    <t>GRANADO CRISBEL</t>
  </si>
  <si>
    <t>GUERRERO WILE</t>
  </si>
  <si>
    <t>GUILLEN GONZALES GUILLEN GONZALES</t>
  </si>
  <si>
    <t>GURSTOO EMIRA</t>
  </si>
  <si>
    <t>22.016.224</t>
  </si>
  <si>
    <t>GUTIERREZ JABRICIO</t>
  </si>
  <si>
    <t>Piso 3 – Traumachok – Pasillo Asesor – Traumatología; La Guaira</t>
  </si>
  <si>
    <t>GUTIERREZ JOSE</t>
  </si>
  <si>
    <t>HARLEIDI RIVERO</t>
  </si>
  <si>
    <t>HERNANDEZ CARLINA</t>
  </si>
  <si>
    <t>HERNANDEZ CRUZ</t>
  </si>
  <si>
    <t>HERNANDEZ GONZALES MARIA</t>
  </si>
  <si>
    <t>HERNANDEZ MAITE</t>
  </si>
  <si>
    <t>Traumachok – Cirugía Neurocirugía; caso social; La Guaira</t>
  </si>
  <si>
    <t>HERNDZO CRUSEL</t>
  </si>
  <si>
    <t>32.866.722</t>
  </si>
  <si>
    <t>HIDALGO ELIANNI</t>
  </si>
  <si>
    <t>HORAYDAYORU</t>
  </si>
  <si>
    <t>Traumatología Emergencias – Pasillo Asesor; La Guaira</t>
  </si>
  <si>
    <t>IBSEN IGLESIAS</t>
  </si>
  <si>
    <t>IGLESIAS IBSEN</t>
  </si>
  <si>
    <t>INFANTE YHELENA</t>
  </si>
  <si>
    <t>ISABEL GONZALES</t>
  </si>
  <si>
    <t>ISABEL TORRES</t>
  </si>
  <si>
    <t>ISABELLA REBOREDO</t>
  </si>
  <si>
    <t>JAIMES LISBET</t>
  </si>
  <si>
    <t>JIMENEZ MATIAS</t>
  </si>
  <si>
    <t>JIMENEZ RANGEL MATHIAS ALEJANDRO</t>
  </si>
  <si>
    <t>JONCALUEZ GABRIEL</t>
  </si>
  <si>
    <t>JOSCAR PETIT</t>
  </si>
  <si>
    <t>JOSE GUTIERREZ</t>
  </si>
  <si>
    <t>JUAN GARCIA</t>
  </si>
  <si>
    <t>JUAN ZALAZAR</t>
  </si>
  <si>
    <t>JUANA DE SANTIAGO</t>
  </si>
  <si>
    <t>JUDID PAREDES</t>
  </si>
  <si>
    <t>JUNIO T</t>
  </si>
  <si>
    <t>Pasillo Asesor; La Guaira</t>
  </si>
  <si>
    <t>JUVER GARCIA</t>
  </si>
  <si>
    <t>LA ROSA YOEL</t>
  </si>
  <si>
    <t>LADERA ELIAYELIS</t>
  </si>
  <si>
    <t>Pediatría – Lista alta; Mamá Yosbelis Díaz</t>
  </si>
  <si>
    <t>LAREZ GIEL</t>
  </si>
  <si>
    <t>LAUNSETT BURGOS CARLA ANTONIA</t>
  </si>
  <si>
    <t>LEMUS MARIA</t>
  </si>
  <si>
    <t>LEON GONZALO</t>
  </si>
  <si>
    <t>LEON MAILIN</t>
  </si>
  <si>
    <t>15.512.093</t>
  </si>
  <si>
    <t>LEON SOPHIA</t>
  </si>
  <si>
    <t>LEON YULIETH</t>
  </si>
  <si>
    <t>LEONARDO BECERRA</t>
  </si>
  <si>
    <t>LIAM</t>
  </si>
  <si>
    <t>Emerg. Pediátrica – solo nombre</t>
  </si>
  <si>
    <t>LISBET JAIMEN</t>
  </si>
  <si>
    <t>LISERCO BLADIMIR</t>
  </si>
  <si>
    <t>Traumachok; Guardia</t>
  </si>
  <si>
    <t>LISERCO TATIANA</t>
  </si>
  <si>
    <t>LOABEL SONIA MARIA</t>
  </si>
  <si>
    <t>LOPEZ DANIEL</t>
  </si>
  <si>
    <t>LOPEZ ELIMAR</t>
  </si>
  <si>
    <t>LOPEZ EMERSON</t>
  </si>
  <si>
    <t>LOPEZ FRANLEYDI</t>
  </si>
  <si>
    <t>TraumaShock</t>
  </si>
  <si>
    <t>LOPEZ MAILIN</t>
  </si>
  <si>
    <t>LOPEZ MAILY CAROLINA</t>
  </si>
  <si>
    <t>LOPEZ REVOREDO LUIS</t>
  </si>
  <si>
    <t>LOPEZ TAIVY</t>
  </si>
  <si>
    <t>Traumachok – Cirugía Observación; Qx; La Guaira</t>
  </si>
  <si>
    <t>LOPEZ THAIS</t>
  </si>
  <si>
    <t>LOPO FUFIAR</t>
  </si>
  <si>
    <t>LOURDES OROPEZA</t>
  </si>
  <si>
    <t>LOZO SIER</t>
  </si>
  <si>
    <t>LUCY VALERIA</t>
  </si>
  <si>
    <t>LUJANO ELIAS</t>
  </si>
  <si>
    <t>LUJANO GLOCES</t>
  </si>
  <si>
    <t>Emerg. Pediátrica – Catia La Mar</t>
  </si>
  <si>
    <t>MAIA MORENO</t>
  </si>
  <si>
    <t>MAILIN LOPEZ</t>
  </si>
  <si>
    <t>MAKTERIAN MARIESTE</t>
  </si>
  <si>
    <t>MALAVE ALANI</t>
  </si>
  <si>
    <t>Emerg. Pediátrica – La Guaira | Pediatría – Lista alta; Prima Daniela Villareal / Valery Cordero</t>
  </si>
  <si>
    <t>MALAVE ALFONSO SAMARA VALENTINA</t>
  </si>
  <si>
    <t>MALAVE SAMA</t>
  </si>
  <si>
    <t>MALAVE TAMARA</t>
  </si>
  <si>
    <t>MANUEL GOMEZ</t>
  </si>
  <si>
    <t>MANUELA DE ANZOLA</t>
  </si>
  <si>
    <t>MARAECO YENNI</t>
  </si>
  <si>
    <t>18.834.289</t>
  </si>
  <si>
    <t>MARCANO VENNI</t>
  </si>
  <si>
    <t>MARCANO YENNI</t>
  </si>
  <si>
    <t>MARCELA BERNAL</t>
  </si>
  <si>
    <t>MARCO REINA</t>
  </si>
  <si>
    <t>Piso 3 – FALLECIDO; La Guaira</t>
  </si>
  <si>
    <t>MARIA ARAQUE</t>
  </si>
  <si>
    <t>MARIA GUILLEN</t>
  </si>
  <si>
    <t>MARIA MONTOLLA</t>
  </si>
  <si>
    <t>MARIN TOVA VALESKA</t>
  </si>
  <si>
    <t>Internado; Traumatología
Pasillo de ascensor</t>
  </si>
  <si>
    <t>MARLENE DAVILA</t>
  </si>
  <si>
    <t>MARLIN MARTINEZ</t>
  </si>
  <si>
    <t>MARQUEZ ROBERTH</t>
  </si>
  <si>
    <t>MARTINEZ CLARIANGELA</t>
  </si>
  <si>
    <t>MARTINEZ GABRIEL</t>
  </si>
  <si>
    <t>MARTINEZ JAIKER</t>
  </si>
  <si>
    <t>Pediatría – Mamá: Génesis Martínez</t>
  </si>
  <si>
    <t>MARTINEZ LUIS</t>
  </si>
  <si>
    <t>MARTINEZ MARLIN</t>
  </si>
  <si>
    <t>MARTINEZ MARTINES EDUARDO RAFAEL</t>
  </si>
  <si>
    <t>MARTINEZ MARTINEZ MORLYN MARGARITA</t>
  </si>
  <si>
    <t>MARTINEZ WILLIAM JOSE</t>
  </si>
  <si>
    <t>MARTINEZ ZORAIDA</t>
  </si>
  <si>
    <t>MARTIZZ ZORIDA</t>
  </si>
  <si>
    <t>MARYURI SEDENO</t>
  </si>
  <si>
    <t>MARYURI SEDEÑO</t>
  </si>
  <si>
    <t>MATERANO ELIZABETH</t>
  </si>
  <si>
    <t>Pediatría – Lista alta; Tíos Gabriel Materano / Jasmín Ramos | Emerg. Pediátrica</t>
  </si>
  <si>
    <t>MATÍAS JIMÉNEZ</t>
  </si>
  <si>
    <t>MAXIMILIANO CHIRINOS</t>
  </si>
  <si>
    <t>MAYORA MARIA</t>
  </si>
  <si>
    <t>Traumashock – Embarazada</t>
  </si>
  <si>
    <t>MAYORA MARIA V.</t>
  </si>
  <si>
    <t>MEDICHIA DIEGO</t>
  </si>
  <si>
    <t>MEDINA ALMANDO</t>
  </si>
  <si>
    <t>MEDINA DIEGO ALEJANDRO</t>
  </si>
  <si>
    <t>MEDINA FRANIIS</t>
  </si>
  <si>
    <t>Cédula ilegible</t>
  </si>
  <si>
    <t>MEDINA HERNANDEZ HANSER</t>
  </si>
  <si>
    <t>MEDINA NATHAELIA</t>
  </si>
  <si>
    <t>MEDINA NAYICIA</t>
  </si>
  <si>
    <t>29.765.360</t>
  </si>
  <si>
    <t>MEDINA PARRA FERNANDO JOSE</t>
  </si>
  <si>
    <t>MEDINE AZUAJE MARIA SOFIA</t>
  </si>
  <si>
    <t>MELENDE DEISI</t>
  </si>
  <si>
    <t>Traumachok – Triaje; La Guaira</t>
  </si>
  <si>
    <t>MELENDE OLEIDY</t>
  </si>
  <si>
    <t>Traumatología – Traumachok; La Guaira</t>
  </si>
  <si>
    <t>MELENDES PASTRAN CLEINYS ALEJANDRA</t>
  </si>
  <si>
    <t>MELENDEZ OLEINI</t>
  </si>
  <si>
    <t>MELENDEZ OLIANYELI</t>
  </si>
  <si>
    <t>MENDEZ YOLIAMER</t>
  </si>
  <si>
    <t>MENDEZ YONEIDY / MENDEZ YOSNEIDY</t>
  </si>
  <si>
    <t>Emerg. Pediátrica – Tanaguarena</t>
  </si>
  <si>
    <t>MENDEZ YOSNEIDY</t>
  </si>
  <si>
    <t>MENDOZA ANDERSON</t>
  </si>
  <si>
    <t>MENDOZA LIGIA INES</t>
  </si>
  <si>
    <t>Piso 3 – Traumachok; La Guaira; menor</t>
  </si>
  <si>
    <t>MENDOZA LUZ</t>
  </si>
  <si>
    <t>MERADRO VICORIA</t>
  </si>
  <si>
    <t>MERIA YOLIBY</t>
  </si>
  <si>
    <t>Internado; Trauma Shock / Neurocirugia
Tomografia</t>
  </si>
  <si>
    <t>MERIDO BUENO</t>
  </si>
  <si>
    <t>MIJARES CELIANA</t>
  </si>
  <si>
    <t>MILAGRO ANDREA</t>
  </si>
  <si>
    <t>Internado; Neurocirugia / Traumatologia 
pasillo de ascensor</t>
  </si>
  <si>
    <t>MILANO EIDIMAR</t>
  </si>
  <si>
    <t>MILANO GUERRA INGRIA</t>
  </si>
  <si>
    <t>MILUDIZ OLEIDY</t>
  </si>
  <si>
    <t>MINORIS YIMMY</t>
  </si>
  <si>
    <t>MIVANDES VICTORIA</t>
  </si>
  <si>
    <t>Internado; Traumatología / pasillo de ascensor 
A cargo de Traumatología, Neurocirugía y Cirugía General
ALTA MEDICA POR ESPECIALISTA</t>
  </si>
  <si>
    <t>MOCERAL MARIA</t>
  </si>
  <si>
    <t>25.049.995</t>
  </si>
  <si>
    <t>MOLINA IGNACIO</t>
  </si>
  <si>
    <t>Pediatría – 1 año 5 meses; Mamá: Jhonelis Ortiveros</t>
  </si>
  <si>
    <t>MOLINA NAYIBI</t>
  </si>
  <si>
    <t>MOLINA ORIANA</t>
  </si>
  <si>
    <t>29.766.267</t>
  </si>
  <si>
    <t>MOLLINA NAYIICA</t>
  </si>
  <si>
    <t>MONTES KEISY</t>
  </si>
  <si>
    <t>MONTES MIA</t>
  </si>
  <si>
    <t>Emerg. Pediátrica – 6 meses – Catia La Mar</t>
  </si>
  <si>
    <t>MORALES JESSIRE</t>
  </si>
  <si>
    <t>Trauma Shock; La Guaira</t>
  </si>
  <si>
    <t>MORALES LESVIA</t>
  </si>
  <si>
    <t>MORENO DOMIEXIS</t>
  </si>
  <si>
    <t>MORENO TAPIA FRANXELIS ORIANA</t>
  </si>
  <si>
    <t>MORILLO ANABELLA</t>
  </si>
  <si>
    <t>MORZELO LESVIA</t>
  </si>
  <si>
    <t>46.965.996</t>
  </si>
  <si>
    <t>MOSQUERA EMILI</t>
  </si>
  <si>
    <t>MOVEZA LESIVIA</t>
  </si>
  <si>
    <t>54.800.756</t>
  </si>
  <si>
    <t>MURILLO ANABELA</t>
  </si>
  <si>
    <t>MURILLO MONTOYA ANABELLA VICTORIA</t>
  </si>
  <si>
    <t>MUÑON IVAN</t>
  </si>
  <si>
    <t>NADIN LOPEZ</t>
  </si>
  <si>
    <t>NATALIA ROMERO</t>
  </si>
  <si>
    <t>NATHACHA MEDINA</t>
  </si>
  <si>
    <t>NAVAS YODALIS MERCEDES</t>
  </si>
  <si>
    <t>NERI CHAVEZ</t>
  </si>
  <si>
    <t>NIVER GARCIA</t>
  </si>
  <si>
    <t>NOVEIS CANDERIA</t>
  </si>
  <si>
    <t>OLIVIO LILIAN</t>
  </si>
  <si>
    <t>ORAMA ANGEL</t>
  </si>
  <si>
    <t>Traumachok Neuro – Triaje; La Guaira</t>
  </si>
  <si>
    <t>ORANA EDUAR</t>
  </si>
  <si>
    <t>ORIANA RAMIREZ</t>
  </si>
  <si>
    <t>OROPEZA FRANCISCO</t>
  </si>
  <si>
    <t>OROPEZA LOURDE</t>
  </si>
  <si>
    <t>OROPEZA OROPEZA LANDER</t>
  </si>
  <si>
    <t>OROZCO DURAN CRISTINA</t>
  </si>
  <si>
    <t>OROZCO PELAEZ GABRIELA ISABELLA</t>
  </si>
  <si>
    <t>#######</t>
  </si>
  <si>
    <t>ORTEGA ANGEL</t>
  </si>
  <si>
    <t>ORTEGA CRISTINA</t>
  </si>
  <si>
    <t>ORTEGA CRISTOPHER</t>
  </si>
  <si>
    <t>ORTEGA FUENTES JESUS EDUARDO</t>
  </si>
  <si>
    <t>ORTIZ ALVARO</t>
  </si>
  <si>
    <t>ORTUNO YONNY</t>
  </si>
  <si>
    <t>OSECHE ADERLY</t>
  </si>
  <si>
    <t>OSETA VALERIA</t>
  </si>
  <si>
    <t>OSOTA VALERIA</t>
  </si>
  <si>
    <t>PACHECO CESAR</t>
  </si>
  <si>
    <t>PACHECO DIAZ CESAR EDUARDO</t>
  </si>
  <si>
    <t>PACNADO CRISBER</t>
  </si>
  <si>
    <t>26.926.366</t>
  </si>
  <si>
    <t>PADILLA MARCANO RONARGELIS ANELIS</t>
  </si>
  <si>
    <t>PALMA MILAGRO</t>
  </si>
  <si>
    <t>PALMA MOTA JOSE ANTONIO</t>
  </si>
  <si>
    <t>PALMA YOSE</t>
  </si>
  <si>
    <t>PALMO MILAGRO</t>
  </si>
  <si>
    <t>PARCERO JUVAN</t>
  </si>
  <si>
    <t>27.044.231</t>
  </si>
  <si>
    <t>PAREDES ANGEL</t>
  </si>
  <si>
    <t>PAREDES CRUZEENDDA</t>
  </si>
  <si>
    <t>PAREDES YUDI</t>
  </si>
  <si>
    <t>PAREZEO CESDA</t>
  </si>
  <si>
    <t>19.727.177</t>
  </si>
  <si>
    <t>PAREZZO CAIADA</t>
  </si>
  <si>
    <t>PARICA PARICA LAIAN DRAKE</t>
  </si>
  <si>
    <t>PARICA PARICA LARYAN YAQUE</t>
  </si>
  <si>
    <t>PELAEZ FRANGER</t>
  </si>
  <si>
    <t>PEREEO ROTARAL</t>
  </si>
  <si>
    <t>27.217.024</t>
  </si>
  <si>
    <t>PEREZ EDUANYELIS</t>
  </si>
  <si>
    <t>PEREZ EDVANYELI</t>
  </si>
  <si>
    <t>PEREZ MONTILLA RAMON</t>
  </si>
  <si>
    <t>PEREZ OLIVO EDUANYELI VALENTINE</t>
  </si>
  <si>
    <t>PEREZ RAMON</t>
  </si>
  <si>
    <t>Traumachok Neuro; La Guaira</t>
  </si>
  <si>
    <t>PEREZ RAWSON / PEREZ RAWON</t>
  </si>
  <si>
    <t>PEREZO RODOGO</t>
  </si>
  <si>
    <t>23.650.891</t>
  </si>
  <si>
    <t>PERLAEZ FRANCISCO</t>
  </si>
  <si>
    <t>PEROZA SAMUEL</t>
  </si>
  <si>
    <t>PETI JOSCAR</t>
  </si>
  <si>
    <t>PETRA SUCRE</t>
  </si>
  <si>
    <t>PIMENTEL MARIA</t>
  </si>
  <si>
    <t>PIMENTEL TABORES DANILEXI</t>
  </si>
  <si>
    <t>POLANCO YAURIPANA LIAN SANTIAGO</t>
  </si>
  <si>
    <t>PORRA DUGLAS</t>
  </si>
  <si>
    <t>Traumashock | Traumachok; La Guaira</t>
  </si>
  <si>
    <t>PRADA ENECY VALERIO</t>
  </si>
  <si>
    <t>PULIDO YURY</t>
  </si>
  <si>
    <t>Traumachok – Cirugía; La Guaira</t>
  </si>
  <si>
    <t>QUIALES JESSIRE</t>
  </si>
  <si>
    <t>QUILLEN MARIA</t>
  </si>
  <si>
    <t>QUINTANA ALFREDO</t>
  </si>
  <si>
    <t>QUINTERO BARBARA</t>
  </si>
  <si>
    <t>QUINTERO CRISDEILIS</t>
  </si>
  <si>
    <t>Sin información |  </t>
  </si>
  <si>
    <t>QUINTERO ROMERO BARBARA MADIUSKIS</t>
  </si>
  <si>
    <t>RAMIREZ BARBARA</t>
  </si>
  <si>
    <t>RAMIREZ DE REYES BARBARA DUNER</t>
  </si>
  <si>
    <t>RAMIREZ GERALDO</t>
  </si>
  <si>
    <t>RAMIREZ HILARY</t>
  </si>
  <si>
    <t>Pediatría – Lista alta; Mamá: Melanie Castellanos</t>
  </si>
  <si>
    <t>RAMIREZ JESUS</t>
  </si>
  <si>
    <t>RAMIREZ ORIANA</t>
  </si>
  <si>
    <t>RAMOS DIAZ FELIX EDUARDO</t>
  </si>
  <si>
    <t>RAMOS EMELY</t>
  </si>
  <si>
    <t>Pediatría – Lista alta; Papá José Ramos</t>
  </si>
  <si>
    <t>RAMOS EMILY / RAMOS EMELY</t>
  </si>
  <si>
    <t>RAMOS RAMOS</t>
  </si>
  <si>
    <t>Internado; 4.20 pm</t>
  </si>
  <si>
    <t>RAMOS VARGAS EMILY ESTEFANIA</t>
  </si>
  <si>
    <t>RANFI RAMON</t>
  </si>
  <si>
    <t>REBOLLEDO ISABELLA</t>
  </si>
  <si>
    <t>Pediatría – Lista alta; Tía | SIN FAMILIAR – Pediátrico</t>
  </si>
  <si>
    <t>RENDON CRUZA</t>
  </si>
  <si>
    <t>4.656.862</t>
  </si>
  <si>
    <t>REQUENA AILANO</t>
  </si>
  <si>
    <t>Pediatría – 2 meses; Mamá: María Piñada</t>
  </si>
  <si>
    <t>RERRIA HERLINA</t>
  </si>
  <si>
    <t>22.948.533</t>
  </si>
  <si>
    <t>RIVAS EVAN ARMANDO</t>
  </si>
  <si>
    <t>RIVERO KARLEIDI</t>
  </si>
  <si>
    <t>RLZZIAS IBSENI</t>
  </si>
  <si>
    <t>34.891.836</t>
  </si>
  <si>
    <t>RODRIGO FERNANDEZ</t>
  </si>
  <si>
    <t>RODRIGO RODRIGO</t>
  </si>
  <si>
    <t>RODRIGUEZ FREDY</t>
  </si>
  <si>
    <t>RODRIGUEZ GLEIDYS</t>
  </si>
  <si>
    <t>Traumachok; Charalleve (La Guaira)</t>
  </si>
  <si>
    <t>RODRIGUEZ LUCENA FREDDY ALIXO</t>
  </si>
  <si>
    <t>RODRIGUEZ OLIVO JOELVINGER JESUS</t>
  </si>
  <si>
    <t>RODRIGUEZ RODRIGO</t>
  </si>
  <si>
    <t>RODRIGUEZ YOELBINYER</t>
  </si>
  <si>
    <t>Emerg. Pediátrica – Caracas</t>
  </si>
  <si>
    <t>RODRIGUEZ YOISBELYS</t>
  </si>
  <si>
    <t>RODRIGUEZ YONEIVER</t>
  </si>
  <si>
    <t>RODRIGUEZ YONIELBYS</t>
  </si>
  <si>
    <t>SIN FAMILIAR – Pediátrico | Pediatría – Lista alta; de alta con Lilian Olivo</t>
  </si>
  <si>
    <t>RODRIGUEZ YOSBEILY</t>
  </si>
  <si>
    <t>Pediatría – Lista alta; de alta con Lilian Olivo</t>
  </si>
  <si>
    <t>ROMAN VULEIDY</t>
  </si>
  <si>
    <t>Traumachok – Triaje Neuro; La Guaira</t>
  </si>
  <si>
    <t>ROMERO JESUS</t>
  </si>
  <si>
    <t>Traumatología – Pasillo Asesor; Piso 1; La Guaira</t>
  </si>
  <si>
    <t>ROMERO NATALIO</t>
  </si>
  <si>
    <t>ROMERO YULEIDYS</t>
  </si>
  <si>
    <t>Internado; Trauma Shock / Triaje/ Neurocirugía</t>
  </si>
  <si>
    <t>ROMERO YUSLEIDY / ROMERO YULEIDY</t>
  </si>
  <si>
    <t>RONDON DAYANA</t>
  </si>
  <si>
    <t>18 años</t>
  </si>
  <si>
    <t>RONDON FRAN</t>
  </si>
  <si>
    <t>ROSA MARCANO</t>
  </si>
  <si>
    <t>ROSALINDA VIERA</t>
  </si>
  <si>
    <t>RUIZ JESUS / RUIZ JUNIOR JESUS</t>
  </si>
  <si>
    <t>RUMBOS VICTORIA</t>
  </si>
  <si>
    <t>SAAVEDRA ANYI</t>
  </si>
  <si>
    <t>SALAZAR KAMILA</t>
  </si>
  <si>
    <t>Traumachok – Cirugía; La Guaira; Alta</t>
  </si>
  <si>
    <t>SALAZAR RIHANNA</t>
  </si>
  <si>
    <t>Pediatría – Lista alta; Mamá Marisol Gil</t>
  </si>
  <si>
    <t>SALAZAR YOAN</t>
  </si>
  <si>
    <t>Traumachok – Pasillo Asesor – Triaje Neuro; La Guaira</t>
  </si>
  <si>
    <t>SALAZAR YOAU</t>
  </si>
  <si>
    <t>SALAZAR ZAMBRANO JOHAN ALEXANDER</t>
  </si>
  <si>
    <t>SALCEDO ACOSTA SEBASTIAN JOSE</t>
  </si>
  <si>
    <t>Pediatría – Lista alta; Papá César Salcedo</t>
  </si>
  <si>
    <t>SAMA MALAVE</t>
  </si>
  <si>
    <t>SAMUEL PEROZA</t>
  </si>
  <si>
    <t>SANABRIA ANGI</t>
  </si>
  <si>
    <t>SANDOVAL ARIANA</t>
  </si>
  <si>
    <t>SANDOVAL LOPEZ JESUARNY SOFIA</t>
  </si>
  <si>
    <t>SANDRA DIAS</t>
  </si>
  <si>
    <t>SANVICENTE LIAM</t>
  </si>
  <si>
    <t>Pediatría – Lista alta; Mamá Frangelis Mejía; Argenis Sanvicente</t>
  </si>
  <si>
    <t>SARMIENTO BRIGADA</t>
  </si>
  <si>
    <t>Traumashock | Traumachok – Pasillo Asesor; La Guaira</t>
  </si>
  <si>
    <t>SEIGAN YACHELYS</t>
  </si>
  <si>
    <t>SEIGAN YADEHIS</t>
  </si>
  <si>
    <t>Traumachok – Accidente moto; Rx; Triaje; La Guaira</t>
  </si>
  <si>
    <t>SILVA SOMARA</t>
  </si>
  <si>
    <t>Emerg. Pediátrica – Costabrava</t>
  </si>
  <si>
    <t>SOJA LOZADA REINA ALEJANDRA</t>
  </si>
  <si>
    <t>SOJO ALEJANDRA</t>
  </si>
  <si>
    <t>SOSA ALVAREZ ELIANGEYELI NAZARETH</t>
  </si>
  <si>
    <t>SOSA AZUETA JOSE LUIS</t>
  </si>
  <si>
    <t>SOSA ELISANYELIS</t>
  </si>
  <si>
    <t>STABILITO ANILEA</t>
  </si>
  <si>
    <t>STABLITO AMILCAR</t>
  </si>
  <si>
    <t>SUCRE FRANCIS MEDINA</t>
  </si>
  <si>
    <t>SUCRE PETRA</t>
  </si>
  <si>
    <t>traumachk</t>
  </si>
  <si>
    <t>T JUNIOR</t>
  </si>
  <si>
    <t>Internado; Pasillo de ascensor</t>
  </si>
  <si>
    <t>TIRADO LOVERA YUNIOR DAVID</t>
  </si>
  <si>
    <t>TORCATE JACINTA</t>
  </si>
  <si>
    <t>TORCATE JASIATA</t>
  </si>
  <si>
    <t>Traumatología – Pasillo Asesor; Piso 1; Alta Médica, La Guaira</t>
  </si>
  <si>
    <t>TORO ELISANYELIS</t>
  </si>
  <si>
    <t>Traumatología – Pasillo Asesor; La Guaira</t>
  </si>
  <si>
    <t>TORO SIET</t>
  </si>
  <si>
    <t>TORO VALESKA</t>
  </si>
  <si>
    <t>TORREALBA VICTOR</t>
  </si>
  <si>
    <t>Emerg. Pediátrica – Caraballeda – SIN FAMILIAR</t>
  </si>
  <si>
    <t>TORRES ISABEL</t>
  </si>
  <si>
    <t>TORRES JHON ALBERTO</t>
  </si>
  <si>
    <t>TORRES SOSA JENNY CAROLINA</t>
  </si>
  <si>
    <t>ULVIAU BREINER</t>
  </si>
  <si>
    <t>URBINA EDWIN</t>
  </si>
  <si>
    <t>URIBE VERONICA</t>
  </si>
  <si>
    <t>VALDIVEL ERICK GUSTAVO</t>
  </si>
  <si>
    <t>VALERIA AZOCAR</t>
  </si>
  <si>
    <t>VALERO FLEICI</t>
  </si>
  <si>
    <t>VALERO MARIA FELICIA</t>
  </si>
  <si>
    <t>VARGAS ANA</t>
  </si>
  <si>
    <t>Pediatría – Lista alta; 2-3 meses; Mamá Carla Jiménez</t>
  </si>
  <si>
    <t>VARGAS DAMIAN</t>
  </si>
  <si>
    <t>VASTIDAS ADRIANA</t>
  </si>
  <si>
    <t>VELAZCO F</t>
  </si>
  <si>
    <t>Traumachok – Pasillo Asesor; La Guaira</t>
  </si>
  <si>
    <t>VERGARA ARANTZA</t>
  </si>
  <si>
    <t>VERGARA BLANCA ARANZA</t>
  </si>
  <si>
    <t>VICTOR DIAS</t>
  </si>
  <si>
    <t>VICTORIA ALVARADO</t>
  </si>
  <si>
    <t>VICTORIA MIRANDA</t>
  </si>
  <si>
    <t>VIELMA MARIA</t>
  </si>
  <si>
    <t>VIERA ROSALINDA</t>
  </si>
  <si>
    <t>VILLAHERMOSA DELFINO YOHALBES JOSE</t>
  </si>
  <si>
    <t>VILLALBA AARON</t>
  </si>
  <si>
    <t>VILLASTRO ISAAC AARON</t>
  </si>
  <si>
    <t>Internado; SIN FAMILIAR</t>
  </si>
  <si>
    <t>VIVAS CAMILA</t>
  </si>
  <si>
    <t>Pediatría – Mamá: Luisa Núñez</t>
  </si>
  <si>
    <t>VIVIAN CARRIZO</t>
  </si>
  <si>
    <t>VIVIANI BREISER</t>
  </si>
  <si>
    <t>VIZEES GAOLRIA</t>
  </si>
  <si>
    <t>32.281.459</t>
  </si>
  <si>
    <t>WILIAN ALVAREZ</t>
  </si>
  <si>
    <t>WILLIAMS MARTINEZ</t>
  </si>
  <si>
    <t>YADIRA CORDERO</t>
  </si>
  <si>
    <t>YANELI ACOSTA</t>
  </si>
  <si>
    <t>YAURIPANA LUCENA GENESIS MARIA</t>
  </si>
  <si>
    <t>YDAYUVA MARIA</t>
  </si>
  <si>
    <t>Internado; Traumatologia / pasillo de ascensor</t>
  </si>
  <si>
    <t>YEGUE EIBAN</t>
  </si>
  <si>
    <t>YEGUE EIDANI</t>
  </si>
  <si>
    <t>YENNI MARCANO</t>
  </si>
  <si>
    <t>YEPEZ DOMINGUEZ CARLOS</t>
  </si>
  <si>
    <t>YERMIN BAPTISTA</t>
  </si>
  <si>
    <t>YOANDRA COLINA</t>
  </si>
  <si>
    <t>YOANDRI COLINA</t>
  </si>
  <si>
    <t>YODALIS NAVAS</t>
  </si>
  <si>
    <t>YOISBELYS RODRÍGUEZ</t>
  </si>
  <si>
    <t>YOLEBIS SEIGAR</t>
  </si>
  <si>
    <t>Internado; Trauma Shock / Accidente de moto
Rx
Triaje</t>
  </si>
  <si>
    <t>YONI ORTUÑO</t>
  </si>
  <si>
    <t>YONIELBYS RODRÍGUEZ</t>
  </si>
  <si>
    <t>YONNY ORTUÑO</t>
  </si>
  <si>
    <t>YORDANO FLORES</t>
  </si>
  <si>
    <t>YOSE PALMA</t>
  </si>
  <si>
    <t>YUDI PAREDES</t>
  </si>
  <si>
    <t>YUNIOR TIRADO</t>
  </si>
  <si>
    <t>ZALAZAR EDDY</t>
  </si>
  <si>
    <t>ZAMUENTO BRIGIDA</t>
  </si>
  <si>
    <t>ZANABRIA ANGI</t>
  </si>
  <si>
    <t>ZANORA MARIIA</t>
  </si>
  <si>
    <t>ZORAIDA MARTINEZ</t>
  </si>
  <si>
    <t>Hospital Ricardo Baquero González</t>
  </si>
  <si>
    <t>CORDOBA EDUANYELIS</t>
  </si>
  <si>
    <t>Internado; Cirugía General</t>
  </si>
  <si>
    <t>GONZALEZ YANESKA</t>
  </si>
  <si>
    <t>PEREIRA VILLAMIZAR MARIA ISABEL</t>
  </si>
  <si>
    <t>SEMERIA IRLLIS</t>
  </si>
  <si>
    <t>TOVAR YEISON</t>
  </si>
  <si>
    <t>Hospital Universitario de Caracas</t>
  </si>
  <si>
    <t>ABREU JOSE</t>
  </si>
  <si>
    <t>15.810.058</t>
  </si>
  <si>
    <t>ABREU JOSE LUIS</t>
  </si>
  <si>
    <t>Politraumatismo</t>
  </si>
  <si>
    <t>ACOSTA YOLERFAN</t>
  </si>
  <si>
    <t>28.136.168</t>
  </si>
  <si>
    <t>0412-3475759</t>
  </si>
  <si>
    <t>AHANMA ANTONIO</t>
  </si>
  <si>
    <t>5.072.832</t>
  </si>
  <si>
    <t>0424-2183524</t>
  </si>
  <si>
    <t>ANTEQUIA MAYULI</t>
  </si>
  <si>
    <t>12.882.457</t>
  </si>
  <si>
    <t>0424-5860106</t>
  </si>
  <si>
    <t>AVILA EDITH</t>
  </si>
  <si>
    <t>BARAJA ANDRES</t>
  </si>
  <si>
    <t>17.491.087</t>
  </si>
  <si>
    <t>0424-2738577</t>
  </si>
  <si>
    <t>BENEDETTI YORLIANIS</t>
  </si>
  <si>
    <t>25.846.221</t>
  </si>
  <si>
    <t>0424-1737018</t>
  </si>
  <si>
    <t>CACERES ELOISE</t>
  </si>
  <si>
    <t>11.061.197</t>
  </si>
  <si>
    <t>0426-1507138</t>
  </si>
  <si>
    <t>CACERES JOSE</t>
  </si>
  <si>
    <t>11.061.147</t>
  </si>
  <si>
    <t>CACERES NATALIA</t>
  </si>
  <si>
    <t>36.192.938</t>
  </si>
  <si>
    <t>0424-1507138</t>
  </si>
  <si>
    <t>CACERES PATRICIA</t>
  </si>
  <si>
    <t>32.790.475</t>
  </si>
  <si>
    <t>CAMARGO DIEGO</t>
  </si>
  <si>
    <t>CARRILLO YASMIN</t>
  </si>
  <si>
    <t>5.424.760</t>
  </si>
  <si>
    <t>0412-1825267</t>
  </si>
  <si>
    <t>CASTELLANO JOSE</t>
  </si>
  <si>
    <t>21.364.204</t>
  </si>
  <si>
    <t>CASTRO GERAL</t>
  </si>
  <si>
    <t>COA DEIVIS</t>
  </si>
  <si>
    <t>18.780.841</t>
  </si>
  <si>
    <t>0424-1534022</t>
  </si>
  <si>
    <t>CORTEZ NOELI</t>
  </si>
  <si>
    <t>22.538.576</t>
  </si>
  <si>
    <t>0424-2562305</t>
  </si>
  <si>
    <t>CUBA ANDREINA</t>
  </si>
  <si>
    <t>CUYAN FRAN</t>
  </si>
  <si>
    <t>10.235.290</t>
  </si>
  <si>
    <t>0424-2927910</t>
  </si>
  <si>
    <t>DE SILVA INDIRA</t>
  </si>
  <si>
    <t>DE SOUSA ANGEL</t>
  </si>
  <si>
    <t>Sala Cirugía 27-B – Esguince pie; Tx lumbar</t>
  </si>
  <si>
    <t>DIAZ DANIEL</t>
  </si>
  <si>
    <t>DIAZ YASMIN</t>
  </si>
  <si>
    <t>DINGYL LU</t>
  </si>
  <si>
    <t>Sala Cirugía – Fx clavícula derecha; Tx ocular izquierdo; Internado</t>
  </si>
  <si>
    <t>ENRIQUE MARIA</t>
  </si>
  <si>
    <t>Politraumatismo; Fx tibia abierta</t>
  </si>
  <si>
    <t>ESCALONA JOAQUIN</t>
  </si>
  <si>
    <t>6.482.918</t>
  </si>
  <si>
    <t>0414-9081729</t>
  </si>
  <si>
    <t>FLORES MAYRA</t>
  </si>
  <si>
    <t>Politraumatismo; Fx tibia y peroné</t>
  </si>
  <si>
    <t>GARCIA ANGEL</t>
  </si>
  <si>
    <t>Politraumatismo; Tx ocular</t>
  </si>
  <si>
    <t>GARCIA MIRIAM</t>
  </si>
  <si>
    <t>GOMEZ NURIA</t>
  </si>
  <si>
    <t>GONZALEZ EDGAR</t>
  </si>
  <si>
    <t>Traumatismo leve – Alta médica; Fx metatarsiano</t>
  </si>
  <si>
    <t>GOSLING RAIMON</t>
  </si>
  <si>
    <t>29.900.166</t>
  </si>
  <si>
    <t>Sala Cirugía 19-F – Fx húmero derecho | Politraumatismo; Fx húmero derecho</t>
  </si>
  <si>
    <t>GRANADO GAUDY</t>
  </si>
  <si>
    <t>GUZMAN ANGELICA</t>
  </si>
  <si>
    <t>13.717.596</t>
  </si>
  <si>
    <t>0424-2668717</t>
  </si>
  <si>
    <t>GUZMAN RICHARTSON</t>
  </si>
  <si>
    <t>IBARRA WUIKMER / WILMER</t>
  </si>
  <si>
    <t>15.332.705</t>
  </si>
  <si>
    <t>0412-9646938</t>
  </si>
  <si>
    <t>Sala Cirugía 19-A – Fx fémur izquierdo | Politraumatismo; Fx fémur izquierdo</t>
  </si>
  <si>
    <t>LA VERDE VICTOR</t>
  </si>
  <si>
    <t>30.334.452</t>
  </si>
  <si>
    <t>0412-8162456 / 0412-4162486</t>
  </si>
  <si>
    <t>LOPEZ EDIS</t>
  </si>
  <si>
    <t>6.045.544</t>
  </si>
  <si>
    <t>0412-2928549</t>
  </si>
  <si>
    <t>Politraumatismo; Fx cadera derecha</t>
  </si>
  <si>
    <t>LOPEZ FRANCISCA</t>
  </si>
  <si>
    <t>33.230.043</t>
  </si>
  <si>
    <t>0424-2414874</t>
  </si>
  <si>
    <t>LU DINGYI</t>
  </si>
  <si>
    <t>8.358.411</t>
  </si>
  <si>
    <t>0424-3579081</t>
  </si>
  <si>
    <t>LUCERO INDIRA / INDINA</t>
  </si>
  <si>
    <t>Emergencia Med 1 – Fx cab. fémur izq y rodilla izq</t>
  </si>
  <si>
    <t>MARRERO YORGELIS</t>
  </si>
  <si>
    <t>31.331.652</t>
  </si>
  <si>
    <t>0414-0209230</t>
  </si>
  <si>
    <t>MEDINA JOSE</t>
  </si>
  <si>
    <t>Emergencia Med 2 – Fx tibia derecha; Subir piso 5; Internado</t>
  </si>
  <si>
    <t>MENDOZA ANA</t>
  </si>
  <si>
    <t>5.343.446</t>
  </si>
  <si>
    <t>0424-1519166</t>
  </si>
  <si>
    <t>MENDOZA MARIO</t>
  </si>
  <si>
    <t>MONTILLA NANCY</t>
  </si>
  <si>
    <t>10.813.576</t>
  </si>
  <si>
    <t>0414-1878802 / 0414-1878803</t>
  </si>
  <si>
    <t>MORA NATALIA</t>
  </si>
  <si>
    <t>MORALES MARIA</t>
  </si>
  <si>
    <t>32.807.709</t>
  </si>
  <si>
    <t>⚠ FALLECIDA</t>
  </si>
  <si>
    <t>MOSQUERA MARIA</t>
  </si>
  <si>
    <t>⚠ FALLECIDA AL INGRESO</t>
  </si>
  <si>
    <t>MOYANO JAIME</t>
  </si>
  <si>
    <t>26.346.743</t>
  </si>
  <si>
    <t>0426-3844124</t>
  </si>
  <si>
    <t>MUÑOZ GEMA</t>
  </si>
  <si>
    <t>27.797.121</t>
  </si>
  <si>
    <t>0416-7537984 / 0414-7537994</t>
  </si>
  <si>
    <t>NOGUERA FABIAN</t>
  </si>
  <si>
    <t>30.334.636</t>
  </si>
  <si>
    <t>0424-2850105</t>
  </si>
  <si>
    <t>OJEDA CARLOS</t>
  </si>
  <si>
    <t>12.066.889</t>
  </si>
  <si>
    <t>0424-4437142</t>
  </si>
  <si>
    <t>OJEDA YONTACO</t>
  </si>
  <si>
    <t>13.470.155</t>
  </si>
  <si>
    <t>0424-8168787 / 0424-8168797</t>
  </si>
  <si>
    <t>OROPEZA CYNTHIA</t>
  </si>
  <si>
    <t>11.639.511</t>
  </si>
  <si>
    <t>Sala Cirugía 28-C – Fx cadera izquierda</t>
  </si>
  <si>
    <t>OROPEZA SOCORRO / SOBEIDA / ZOBEIDA</t>
  </si>
  <si>
    <t>11.639.518</t>
  </si>
  <si>
    <t>0412-2728549</t>
  </si>
  <si>
    <t>Sala Cirugía 28-D – TCE moderado; Tx músculo esquelético</t>
  </si>
  <si>
    <t>OROZCO YUSBELIS</t>
  </si>
  <si>
    <t>24.140.952</t>
  </si>
  <si>
    <t>0412-9970844</t>
  </si>
  <si>
    <t>PAEZ SABRINA</t>
  </si>
  <si>
    <t>PALACIO JHON</t>
  </si>
  <si>
    <t>25.304.211</t>
  </si>
  <si>
    <t>0412-5749550</t>
  </si>
  <si>
    <t>PANTOJA RAINER</t>
  </si>
  <si>
    <t>36.085.467</t>
  </si>
  <si>
    <t>PANTOJA TONI</t>
  </si>
  <si>
    <t>13.409.559</t>
  </si>
  <si>
    <t>PEREZ ARIANI</t>
  </si>
  <si>
    <t>24.175.821</t>
  </si>
  <si>
    <t>0414-7335723 / 0424-7225723</t>
  </si>
  <si>
    <t>PONCE LUIGI</t>
  </si>
  <si>
    <t>RAMIREZ YILMAR</t>
  </si>
  <si>
    <t>22.316.562</t>
  </si>
  <si>
    <t>0424-5364882 / 0424-5364892</t>
  </si>
  <si>
    <t>RAMOS MARYELIS / RAMOS SILVA MARYELIS</t>
  </si>
  <si>
    <t>32.111.741</t>
  </si>
  <si>
    <t>RAMOS MAYELY</t>
  </si>
  <si>
    <t>RAMOS NOHEMI</t>
  </si>
  <si>
    <t>Emergencia Med 5 – CHS4 supratesional + rabdomiólisis; Internado</t>
  </si>
  <si>
    <t>RIBAS YOSELIN</t>
  </si>
  <si>
    <t>Sala Cirugía 30-B – Fx nasal; Fx orbitaria; Fx húmero izq; Fx pelvis</t>
  </si>
  <si>
    <t>Sala Cirugía 19-M – Tx torácico cerrado complicado</t>
  </si>
  <si>
    <t>RODRIGUEZ MAIKEL</t>
  </si>
  <si>
    <t>16.208.203</t>
  </si>
  <si>
    <t>0412-2091099</t>
  </si>
  <si>
    <t>Politraumatismo; Luxofractura húmero; TCE moderado</t>
  </si>
  <si>
    <t>ROSIER LIZ / CLOSSIER LIZ</t>
  </si>
  <si>
    <t>26.068.002</t>
  </si>
  <si>
    <t>Politraumatismo; Fx pelvis</t>
  </si>
  <si>
    <t>RUANO GLORIA</t>
  </si>
  <si>
    <t>RUEDA JOSE</t>
  </si>
  <si>
    <t>15.430.608</t>
  </si>
  <si>
    <t>0416-7089152 / 0414-7059152</t>
  </si>
  <si>
    <t>SANCHEZ JOSE</t>
  </si>
  <si>
    <t>32.320.251</t>
  </si>
  <si>
    <t>0412-3574177</t>
  </si>
  <si>
    <t>Emergencia Med 3 – CTCE moderado</t>
  </si>
  <si>
    <t>SANCHEZ ROSIBEL</t>
  </si>
  <si>
    <t>Politraumatismo; Fx tobillo derecho; TCE leve</t>
  </si>
  <si>
    <t>SANDOVAL DORIS</t>
  </si>
  <si>
    <t>4.029.093</t>
  </si>
  <si>
    <t>0424-2577096</t>
  </si>
  <si>
    <t>SENDIN PABLO</t>
  </si>
  <si>
    <t>Emergencia Tx Shock 2; Internado</t>
  </si>
  <si>
    <t>SILVA ABRAHAN / IBRAHIM</t>
  </si>
  <si>
    <t>20.562.844</t>
  </si>
  <si>
    <t>Sala Cirugía 19-E – Fx tibia y fémur | Politraumatismo; Fx tibia y fémur</t>
  </si>
  <si>
    <t>SILVA ABRIL</t>
  </si>
  <si>
    <t>SILVA INDIANA</t>
  </si>
  <si>
    <t>14.929.760</t>
  </si>
  <si>
    <t>0412-0109465 / 0412-0109466</t>
  </si>
  <si>
    <t>SILVA LIA</t>
  </si>
  <si>
    <t>SOLORZANO AMARNO / OMAR</t>
  </si>
  <si>
    <t>31.445.070</t>
  </si>
  <si>
    <t>0412-3175785</t>
  </si>
  <si>
    <t>SOLORZANO MARGOT</t>
  </si>
  <si>
    <t>SOMOZA RIAND</t>
  </si>
  <si>
    <t>15.267.293</t>
  </si>
  <si>
    <t>0412-2983051</t>
  </si>
  <si>
    <t>SOSA EMILIA</t>
  </si>
  <si>
    <t>3.409.148</t>
  </si>
  <si>
    <t>0414-3367038 / 0414-3361038</t>
  </si>
  <si>
    <t>TEJERA MAITE</t>
  </si>
  <si>
    <t>Politraumatismo; Fx patela izquierda y maléolo</t>
  </si>
  <si>
    <t>TOVAR LUISANA / LUSONA</t>
  </si>
  <si>
    <t>17.443.980</t>
  </si>
  <si>
    <t>0412-6392426 / 0412-6390425</t>
  </si>
  <si>
    <t>TRIGOSO CARLO</t>
  </si>
  <si>
    <t>8.418.724</t>
  </si>
  <si>
    <t>0412-1290170</t>
  </si>
  <si>
    <t>UMBRIA MATIAS</t>
  </si>
  <si>
    <t>URBINA MOISES</t>
  </si>
  <si>
    <t>22.513.789</t>
  </si>
  <si>
    <t>0412-9854079 / 0424-3357891 / 0424-4854079</t>
  </si>
  <si>
    <t>WU HUA JIAH / WU JUAN</t>
  </si>
  <si>
    <t>8.229.616</t>
  </si>
  <si>
    <t>0412-3958541</t>
  </si>
  <si>
    <t>WU SUSUP / SUSANA</t>
  </si>
  <si>
    <t>34.553.337</t>
  </si>
  <si>
    <t>0412-3758541</t>
  </si>
  <si>
    <t>ZAMBRANO DOMINI / DONMANI</t>
  </si>
  <si>
    <t>18.274.233</t>
  </si>
  <si>
    <t>0412-2913570</t>
  </si>
  <si>
    <t>Hospital Vargas de Caracas</t>
  </si>
  <si>
    <t>ACOSTA JAIRO</t>
  </si>
  <si>
    <t>Pacientes x Sismo Edo La Guaira</t>
  </si>
  <si>
    <t>ADAD FIGUEROA</t>
  </si>
  <si>
    <t>UPT</t>
  </si>
  <si>
    <t>ADOLFO DIAZ VARONA</t>
  </si>
  <si>
    <t>AGUILAR YOANNY</t>
  </si>
  <si>
    <t>AGUILERA YULEINI</t>
  </si>
  <si>
    <t>ALBONY GUIOU</t>
  </si>
  <si>
    <t>Cuarto 3</t>
  </si>
  <si>
    <t>ALEXANDER CASTILLO</t>
  </si>
  <si>
    <t>Traumatología – consult</t>
  </si>
  <si>
    <t>ALEXIS BERDECIA</t>
  </si>
  <si>
    <t>ALEXIS MESA</t>
  </si>
  <si>
    <t>Guaira</t>
  </si>
  <si>
    <t>ALI JOSE</t>
  </si>
  <si>
    <t>ALI YOSEF</t>
  </si>
  <si>
    <t>ALLEN SAMUEL</t>
  </si>
  <si>
    <t>ALVAREZ EVA</t>
  </si>
  <si>
    <t>AMINTA AROA MORENO</t>
  </si>
  <si>
    <t>ANDREA JOSE</t>
  </si>
  <si>
    <t>Pediátrico</t>
  </si>
  <si>
    <t>ANIBAL ROSA</t>
  </si>
  <si>
    <t>ANNARILIS MARRERO</t>
  </si>
  <si>
    <t>ARANA HUMBERLIN</t>
  </si>
  <si>
    <t>ARIAS FRAN</t>
  </si>
  <si>
    <t>UPT – Aplastamiento</t>
  </si>
  <si>
    <t>AVELLANO SINDIA</t>
  </si>
  <si>
    <t>AVELLO SILVIA</t>
  </si>
  <si>
    <t>BAES MARIA</t>
  </si>
  <si>
    <t>BAEZ MARIA A.</t>
  </si>
  <si>
    <t>BAEZ MARIA ANYELICA</t>
  </si>
  <si>
    <t>BALAS LAURA</t>
  </si>
  <si>
    <t>BARAS ESMERALDA</t>
  </si>
  <si>
    <t>BARRIENTO ALIANA</t>
  </si>
  <si>
    <t>BAUTISTA JUANA</t>
  </si>
  <si>
    <t>BLANCO FRANK</t>
  </si>
  <si>
    <t>BOADA CESAR</t>
  </si>
  <si>
    <t>BORREGO JOSE</t>
  </si>
  <si>
    <t>BOWEYO JOSE</t>
  </si>
  <si>
    <t>CABRERAS OMAR</t>
  </si>
  <si>
    <t>CANELON MEIBER</t>
  </si>
  <si>
    <t>CANISAS GALA</t>
  </si>
  <si>
    <t>CANNABIS CORONEL</t>
  </si>
  <si>
    <t>CARIDAD VICTORIA</t>
  </si>
  <si>
    <t>CARRASQUELO SANTIAGO</t>
  </si>
  <si>
    <t>CARTAS MIGUEL</t>
  </si>
  <si>
    <t>CASTELLANO LUIS</t>
  </si>
  <si>
    <t>CASTILLO ALEXANDER</t>
  </si>
  <si>
    <t>CASTRO EDEBUN</t>
  </si>
  <si>
    <t>CEPE AQUILES</t>
  </si>
  <si>
    <t>CEZZEN JOLELANY</t>
  </si>
  <si>
    <t>CHACON FREDDY</t>
  </si>
  <si>
    <t>CHARLES LEIDI</t>
  </si>
  <si>
    <t>La Guaira (Bombona)</t>
  </si>
  <si>
    <t>UPT – No Habla</t>
  </si>
  <si>
    <t>CLAUDINES VERDE</t>
  </si>
  <si>
    <t>Hlam</t>
  </si>
  <si>
    <t>COLMENARES DARWIN</t>
  </si>
  <si>
    <t>COLMENARES DARWIN / COLIMENARES DARWIN</t>
  </si>
  <si>
    <t>CONTRERAS JEANSPIER</t>
  </si>
  <si>
    <t>CORONEL YONEL</t>
  </si>
  <si>
    <t>CRIQUELY MURGA</t>
  </si>
  <si>
    <t>CRISI VARGAS</t>
  </si>
  <si>
    <t>CRUZ CARMEN</t>
  </si>
  <si>
    <t>DAN VILLECOS</t>
  </si>
  <si>
    <t>DANIELA CLIMENT</t>
  </si>
  <si>
    <t>Sala 19</t>
  </si>
  <si>
    <t>Tapado – Trauma</t>
  </si>
  <si>
    <t>DANITA DIAZ VARONA</t>
  </si>
  <si>
    <t>DARBELY GARCIA</t>
  </si>
  <si>
    <t>DAYLIBER BIOATOJA</t>
  </si>
  <si>
    <t>Guaira – Politraumatismo consult</t>
  </si>
  <si>
    <t>La Guaira – Politraumatismo</t>
  </si>
  <si>
    <t>DE ABREU GERALDIN</t>
  </si>
  <si>
    <t>DE ABREU GERALDINE</t>
  </si>
  <si>
    <t>DE CEPE YOLANDA</t>
  </si>
  <si>
    <t>DENIS RUJA</t>
  </si>
  <si>
    <t>DIAS MUGUEL</t>
  </si>
  <si>
    <t>DIAZ MARYENIS</t>
  </si>
  <si>
    <t>DIAZ MAYERLIN</t>
  </si>
  <si>
    <t>DIAZ OZUNA ADONIS / DIAZ OZUNA ADONAIS</t>
  </si>
  <si>
    <t>DIAZ ROMERO CAMILA</t>
  </si>
  <si>
    <t>DOMELIN OLMEDO</t>
  </si>
  <si>
    <t>Accidente Moto</t>
  </si>
  <si>
    <t>DUARTE ES TLENY</t>
  </si>
  <si>
    <t>DUNILOP BINITU</t>
  </si>
  <si>
    <t>Fallecido</t>
  </si>
  <si>
    <t>ELITA HAYORE</t>
  </si>
  <si>
    <t>ESANPERO HILDREMAR</t>
  </si>
  <si>
    <t>ESPERANZA GONZALEZ</t>
  </si>
  <si>
    <t>ESTREJO LUIS</t>
  </si>
  <si>
    <t>FALCON JULIA</t>
  </si>
  <si>
    <t>FEMENINO SIN IDENTIFICAR</t>
  </si>
  <si>
    <t>⚠ FALLECIDA – Sin identificar</t>
  </si>
  <si>
    <t>FERNANDEZ EMILY</t>
  </si>
  <si>
    <t>UPT – Aplastamiento MI</t>
  </si>
  <si>
    <t>FERNANDEZ JUAN</t>
  </si>
  <si>
    <t>FIGUEROA MARYON</t>
  </si>
  <si>
    <t>FOSSIA LEANDRO</t>
  </si>
  <si>
    <t>FRANCIA JORGE</t>
  </si>
  <si>
    <t>FRANCISCO CORONEL</t>
  </si>
  <si>
    <t>Sala M 30</t>
  </si>
  <si>
    <t>FUENTES GILBERT</t>
  </si>
  <si>
    <t>FUENTES WILMER</t>
  </si>
  <si>
    <t>GALAIN TULIA</t>
  </si>
  <si>
    <t>GALIZ YALESKA</t>
  </si>
  <si>
    <t>GARCIA ALBANY</t>
  </si>
  <si>
    <t>GARCIA GN</t>
  </si>
  <si>
    <t>GARCIA JOLISHE</t>
  </si>
  <si>
    <t>GARCIA NARIN SAAVEDKI</t>
  </si>
  <si>
    <t>GARCIA YOLIBER</t>
  </si>
  <si>
    <t>⚠ FALLECIDO</t>
  </si>
  <si>
    <t>GAYALA DAIBERLIN</t>
  </si>
  <si>
    <t>GAZZAN YUSSEF</t>
  </si>
  <si>
    <t>GESU ESTEFANY / GIESU ESTEFANY</t>
  </si>
  <si>
    <t>GEZZEN JESTEFANY</t>
  </si>
  <si>
    <t>GIL CRISTOFER</t>
  </si>
  <si>
    <t>GIL CRISTOPER</t>
  </si>
  <si>
    <t>GIL HEILYN</t>
  </si>
  <si>
    <t>GIRON ROIMY</t>
  </si>
  <si>
    <t>GLEASON GREIN</t>
  </si>
  <si>
    <t>GOMEZ VANESA</t>
  </si>
  <si>
    <t>GOMEZ YARITZA</t>
  </si>
  <si>
    <t>GOMEZ YOLIBEL</t>
  </si>
  <si>
    <t>GONZALEZ DAIBERLY / GONZALEZ DARBEDLYN</t>
  </si>
  <si>
    <t>GONZALEZ DAIBERLYN</t>
  </si>
  <si>
    <t>GONZALEZ DARBEIDY</t>
  </si>
  <si>
    <t>GONZALEZ DUBRASKA</t>
  </si>
  <si>
    <t>GONZALEZ EDGARY</t>
  </si>
  <si>
    <t>GONZALEZ EVANGELINA</t>
  </si>
  <si>
    <t>GONZALEZ MAURA</t>
  </si>
  <si>
    <t>GONZALEZ VALERIA</t>
  </si>
  <si>
    <t>GONZALEZ VANESA</t>
  </si>
  <si>
    <t>GONZALEZ WINSTON</t>
  </si>
  <si>
    <t>GONZALEZ YAILYN</t>
  </si>
  <si>
    <t>GONZALEZ YHAJAHIRA</t>
  </si>
  <si>
    <t>GUERRA EVELIN</t>
  </si>
  <si>
    <t>GUERRA WILLIAMS</t>
  </si>
  <si>
    <t>GUESSU ESTEFANI</t>
  </si>
  <si>
    <t>GUEVARA ALENI</t>
  </si>
  <si>
    <t>GUSTAVO ANTONIO RUIZ</t>
  </si>
  <si>
    <t>Sala 14</t>
  </si>
  <si>
    <t>GUZMAN JOSEFINA</t>
  </si>
  <si>
    <t>HASSAN JOSEF</t>
  </si>
  <si>
    <t>HEBERTH CHIQUINQUIRA</t>
  </si>
  <si>
    <t>HENRIQUEZ ISQUIEL</t>
  </si>
  <si>
    <t>La Guaira – No Hablaba</t>
  </si>
  <si>
    <t>HERRERA JHOAN</t>
  </si>
  <si>
    <t>HERRERA VALENTINA</t>
  </si>
  <si>
    <t>HILAY PEROZA</t>
  </si>
  <si>
    <t>HURGUETO KIMBERLY</t>
  </si>
  <si>
    <t>ISAGUIRRE LUIS</t>
  </si>
  <si>
    <t>ITALBIS DELGADO</t>
  </si>
  <si>
    <t>Cueva</t>
  </si>
  <si>
    <t>JANITZA GIOIA</t>
  </si>
  <si>
    <t>JESSICA OLMEDO</t>
  </si>
  <si>
    <t>JOSE ALI</t>
  </si>
  <si>
    <t>JOSE ROPAS</t>
  </si>
  <si>
    <t>KALLERLEY GARCIA</t>
  </si>
  <si>
    <t>KERRY MEDINA</t>
  </si>
  <si>
    <t>La Jaso</t>
  </si>
  <si>
    <t>LARA INON</t>
  </si>
  <si>
    <t>LEAL AMERICA</t>
  </si>
  <si>
    <t>LEDEZMA GRISELDA</t>
  </si>
  <si>
    <t>LEDEZMA LISETH</t>
  </si>
  <si>
    <t>LLAVES HECTOR</t>
  </si>
  <si>
    <t>LOPEZ EMERSON / LOPEZ EMEISON</t>
  </si>
  <si>
    <t>LOPEZ NAZARETH</t>
  </si>
  <si>
    <t>LOPEZ OSMARY</t>
  </si>
  <si>
    <t>LUQUE ERICK</t>
  </si>
  <si>
    <t>MAGALIS APURA</t>
  </si>
  <si>
    <t>MARIA ELENA SANTA</t>
  </si>
  <si>
    <t>San Bernardino</t>
  </si>
  <si>
    <t>MARIA PIRDEZ</t>
  </si>
  <si>
    <t>MARIA QUINTANA</t>
  </si>
  <si>
    <t>MARIN ANTONELLA</t>
  </si>
  <si>
    <t>MARQUES DEYORELIS</t>
  </si>
  <si>
    <t>MARQUEZ ANA</t>
  </si>
  <si>
    <t>MARQUEZ CESAR</t>
  </si>
  <si>
    <t>MARQUEZ CÉSAR</t>
  </si>
  <si>
    <t>MARRERO CRISMARLY</t>
  </si>
  <si>
    <t>MARTINEZ CRISTINA</t>
  </si>
  <si>
    <t>MARYONE ELITA / MARYORE ELITA</t>
  </si>
  <si>
    <t>MASCULINO SIN IDENTIFICAR</t>
  </si>
  <si>
    <t>⚠ FALLECIDO – Sin identificar</t>
  </si>
  <si>
    <t>MATOS ARACELYS</t>
  </si>
  <si>
    <t>MATOS YAMILETH</t>
  </si>
  <si>
    <t>MATTETO CRISMALY</t>
  </si>
  <si>
    <t>15.164.295</t>
  </si>
  <si>
    <t>MATUZALEN GLEDYS</t>
  </si>
  <si>
    <t>MAURO DIAZ</t>
  </si>
  <si>
    <t>MAYORE ELITA</t>
  </si>
  <si>
    <t>Junquito</t>
  </si>
  <si>
    <t>El Junquito</t>
  </si>
  <si>
    <t>MEDINA REINA</t>
  </si>
  <si>
    <t>MENDOTA CARMEN</t>
  </si>
  <si>
    <t>MENDOZA LOURDES</t>
  </si>
  <si>
    <t>MONICA VIELMA</t>
  </si>
  <si>
    <t>MONTOYA NERIDE</t>
  </si>
  <si>
    <t>MORENO CRISNEILY</t>
  </si>
  <si>
    <t>MORENO NAILETH / MORENO NAPLETH</t>
  </si>
  <si>
    <t>MORENO VAILETH</t>
  </si>
  <si>
    <t>NAIGUEL LOPEZ</t>
  </si>
  <si>
    <t>NAPOLITANO EDWARD</t>
  </si>
  <si>
    <t>NAURA ALMEIDA</t>
  </si>
  <si>
    <t>NELIDE MONTOYO</t>
  </si>
  <si>
    <t>NESARIA DELA</t>
  </si>
  <si>
    <t>NIEVES MARLENIS</t>
  </si>
  <si>
    <t>NUESTRO VILLECON</t>
  </si>
  <si>
    <t>OLIVARES MARIA</t>
  </si>
  <si>
    <t>OROZCO YORMAN</t>
  </si>
  <si>
    <t>OYARBES HECTOR</t>
  </si>
  <si>
    <t>PERDOMO VALERIA</t>
  </si>
  <si>
    <t>PEREIRA DANIEL</t>
  </si>
  <si>
    <t>PEREIRA JOSE</t>
  </si>
  <si>
    <t>PEREZ ENRIQUE</t>
  </si>
  <si>
    <t>PEREZ KATIUSKA</t>
  </si>
  <si>
    <t>PEREZ MISAIRA</t>
  </si>
  <si>
    <t>PEREZ MISARRA</t>
  </si>
  <si>
    <t>PEREZ NESTOR</t>
  </si>
  <si>
    <t>PEREZ ODRA</t>
  </si>
  <si>
    <t>PEROZA HILARY</t>
  </si>
  <si>
    <t>PEÑA DILIO</t>
  </si>
  <si>
    <t>Pacientes x Sismo Edo La Guaira; Sala 4</t>
  </si>
  <si>
    <t>PIAR PAULA</t>
  </si>
  <si>
    <t>PINTON DANKER</t>
  </si>
  <si>
    <t>Revisar</t>
  </si>
  <si>
    <t>POSSO JUAN CARLOS</t>
  </si>
  <si>
    <t>QUINTERO ERINBER</t>
  </si>
  <si>
    <t>RAMIREZ NAIROBIS</t>
  </si>
  <si>
    <t>REQUENA YUSNEILY</t>
  </si>
  <si>
    <t>REQUJON DE ABREU GERALDIN</t>
  </si>
  <si>
    <t>RICO GUSTAVO ANIBAL</t>
  </si>
  <si>
    <t>Golipani</t>
  </si>
  <si>
    <t>RIERA CARLOS LUIS</t>
  </si>
  <si>
    <t>RIVAS BRICET</t>
  </si>
  <si>
    <t>RIVAS SANTIAGO</t>
  </si>
  <si>
    <t>RODA GALICIA</t>
  </si>
  <si>
    <t>RODRIGUEZ ANTONIA</t>
  </si>
  <si>
    <t>RODRIGUEZ DIONIS</t>
  </si>
  <si>
    <t>RODRIGUEZ GERANI</t>
  </si>
  <si>
    <t>RODRIGUEZ JESUS</t>
  </si>
  <si>
    <t>RODRIGUEZ KIARA ANTONIA</t>
  </si>
  <si>
    <t>RODRIGUEZ MADELEINE</t>
  </si>
  <si>
    <t>RODRIGUEZ MAGDALENA</t>
  </si>
  <si>
    <t>RODRIGUEZ MARIA ELENA</t>
  </si>
  <si>
    <t>ROJAS ALICIA</t>
  </si>
  <si>
    <t>ROMERO DAILA</t>
  </si>
  <si>
    <t>ROMERO NESTOR</t>
  </si>
  <si>
    <t>RUIZ NELIA</t>
  </si>
  <si>
    <t>SALAZAR GUIRLENYS</t>
  </si>
  <si>
    <t>SALTIERRA LEONARDO</t>
  </si>
  <si>
    <t>SANTANA MARIA ELENA</t>
  </si>
  <si>
    <t>SERDIER LUZ MARINA</t>
  </si>
  <si>
    <t>SUAREZ MARLENE</t>
  </si>
  <si>
    <t>SUAREZ YOSNEIKER</t>
  </si>
  <si>
    <t>TEJEDA GLADIS</t>
  </si>
  <si>
    <t>TERAN AUDIA</t>
  </si>
  <si>
    <t>TOLISHE GARCIA</t>
  </si>
  <si>
    <t>TOTUMO MARIA</t>
  </si>
  <si>
    <t>TOVAR TIBISAY</t>
  </si>
  <si>
    <t>TREBOL LUIS JOSE</t>
  </si>
  <si>
    <t>TUBOR TIBISAY</t>
  </si>
  <si>
    <t>URBINA CESAR</t>
  </si>
  <si>
    <t>UZATEGUI DAYIBETH</t>
  </si>
  <si>
    <t>VARGAS CARMEN</t>
  </si>
  <si>
    <t>VARYA CARMEN</t>
  </si>
  <si>
    <t>VASQUEZ ROSAEYS</t>
  </si>
  <si>
    <t>La Guaira – Petare</t>
  </si>
  <si>
    <t>VELASQUEZ CARMEN</t>
  </si>
  <si>
    <t>VELAZQUEZ CARMEN</t>
  </si>
  <si>
    <t>VELAZQUEZ LUIS</t>
  </si>
  <si>
    <t>VELEZ JULIAN JOSE</t>
  </si>
  <si>
    <t>VERDE CLAUDIA</t>
  </si>
  <si>
    <t>VERONIC BORREGO</t>
  </si>
  <si>
    <t>VIELMA MARIA / VPELMA MARIA</t>
  </si>
  <si>
    <t>VILLEGAS JOSE</t>
  </si>
  <si>
    <t>VILLEGAS JUANA</t>
  </si>
  <si>
    <t>VIVAS UBELINDA</t>
  </si>
  <si>
    <t>YOANNY MAROS</t>
  </si>
  <si>
    <t>YOVANA HASSAN</t>
  </si>
  <si>
    <t>Periférico de Catia</t>
  </si>
  <si>
    <t>ABDLY ABDELYS</t>
  </si>
  <si>
    <t>26.254.624</t>
  </si>
  <si>
    <t>Cirugía General</t>
  </si>
  <si>
    <t>ABREU ANA</t>
  </si>
  <si>
    <t>22.036.301</t>
  </si>
  <si>
    <t>ALBINO VARKER</t>
  </si>
  <si>
    <t>Esposa</t>
  </si>
  <si>
    <t>Madre</t>
  </si>
  <si>
    <t>ALBINO WALTER</t>
  </si>
  <si>
    <t>ALCANTARA AMALIS</t>
  </si>
  <si>
    <t>17.443.332</t>
  </si>
  <si>
    <t>ALETIS ZACARIES</t>
  </si>
  <si>
    <t>Solo</t>
  </si>
  <si>
    <t>ALEX PALENCIA</t>
  </si>
  <si>
    <t>ALEXANDRA CHIRINOS</t>
  </si>
  <si>
    <t>ALEXIS ZACARIAS</t>
  </si>
  <si>
    <t>Calle San Isidro</t>
  </si>
  <si>
    <t>ALFREDO NUÑEZ</t>
  </si>
  <si>
    <t>Los Magallanes</t>
  </si>
  <si>
    <t>H.I</t>
  </si>
  <si>
    <t>ANA ABREU</t>
  </si>
  <si>
    <t>ANGEL SILVA</t>
  </si>
  <si>
    <t>ANGELA GALAVIZ</t>
  </si>
  <si>
    <t>Emergencia</t>
  </si>
  <si>
    <t>BELQUIS NOVAZ</t>
  </si>
  <si>
    <t>BEREZA CELAMERIC</t>
  </si>
  <si>
    <t>CAPOTA HAROLD</t>
  </si>
  <si>
    <t>Solo |  </t>
  </si>
  <si>
    <t>CARLA LEÓN</t>
  </si>
  <si>
    <t>CARLOS MALIER</t>
  </si>
  <si>
    <t>La Guaira, Maiquetia</t>
  </si>
  <si>
    <t>Emerg</t>
  </si>
  <si>
    <t>CARMESN QUINTERA</t>
  </si>
  <si>
    <t>Sola</t>
  </si>
  <si>
    <t>CAROLINA SALAZAR</t>
  </si>
  <si>
    <t>CARRENO DANIELA</t>
  </si>
  <si>
    <t>32.525.559</t>
  </si>
  <si>
    <t>Cirugía/Trauma</t>
  </si>
  <si>
    <t>Nuevo ingreso / Hermano / Caída 2:16</t>
  </si>
  <si>
    <t>CERVELAN FERMINE</t>
  </si>
  <si>
    <t>CHACIN ALDAIR / CHACIN ALDAO</t>
  </si>
  <si>
    <t>Sobrine</t>
  </si>
  <si>
    <t>CHACIR TORTOZ</t>
  </si>
  <si>
    <t>Amigo</t>
  </si>
  <si>
    <t>CHIRINOS ALEXANDRA</t>
  </si>
  <si>
    <t>31.995.517</t>
  </si>
  <si>
    <t>CIPRIOTA SEVILLE</t>
  </si>
  <si>
    <t>COLIVERIARES QUELL</t>
  </si>
  <si>
    <t>COLMENARAS YADHER</t>
  </si>
  <si>
    <t>COLMENARES GISELL</t>
  </si>
  <si>
    <t>TRM</t>
  </si>
  <si>
    <t>COLMENERES VEZIER</t>
  </si>
  <si>
    <t>CORTEZ YORIMAR</t>
  </si>
  <si>
    <t>6.340.991</t>
  </si>
  <si>
    <t>DANELY RODRIGUEZ</t>
  </si>
  <si>
    <t>Los Paraísos de #13</t>
  </si>
  <si>
    <t>DANIELA CARREÑO</t>
  </si>
  <si>
    <t>DANIELA YSABEL</t>
  </si>
  <si>
    <t>Alta Vista 81</t>
  </si>
  <si>
    <t>DARIO RUBEN</t>
  </si>
  <si>
    <t>Los Frailes</t>
  </si>
  <si>
    <t>DAVID PÉREZ</t>
  </si>
  <si>
    <t>DEAGRELA JOSE</t>
  </si>
  <si>
    <t>13.373.135</t>
  </si>
  <si>
    <t>DERECK TORJAZ / DERECK TORRES</t>
  </si>
  <si>
    <t>DEREK FREQUEZ</t>
  </si>
  <si>
    <t>DIDILET GRILLET</t>
  </si>
  <si>
    <t>DILCIA LEMUS</t>
  </si>
  <si>
    <t>EDGAR GONZALEZ</t>
  </si>
  <si>
    <t>Carrizal Los Teques</t>
  </si>
  <si>
    <t>ENDER RANGEL</t>
  </si>
  <si>
    <t>por Suere</t>
  </si>
  <si>
    <t>Hermanos / Caída</t>
  </si>
  <si>
    <t>ESPINOSA FERMÍNE / ESPINOSA FERMINE / ESPINOSA FERMINA</t>
  </si>
  <si>
    <t>ESTEVEZ JOHNSON</t>
  </si>
  <si>
    <t>29.571.733</t>
  </si>
  <si>
    <t>FARGEL SENDER</t>
  </si>
  <si>
    <t>Av. Sucre</t>
  </si>
  <si>
    <t>FERMINE ESPINOSA</t>
  </si>
  <si>
    <t>FRANCIS MÁRQUEZ</t>
  </si>
  <si>
    <t>FRANKLIN AFFONOS</t>
  </si>
  <si>
    <t>FRANKLIN ALFONSO</t>
  </si>
  <si>
    <t>Amiga</t>
  </si>
  <si>
    <t>FRANKLIN ALFONSO / FRANKLIN AFFONOS</t>
  </si>
  <si>
    <t>Mosquito de Morolina</t>
  </si>
  <si>
    <t>GEORRIN VALELLA</t>
  </si>
  <si>
    <t>30.114.918</t>
  </si>
  <si>
    <t>GISBET PEÑA</t>
  </si>
  <si>
    <t>Casalta + sector Rio</t>
  </si>
  <si>
    <t>GONNEZ SEVILLAY</t>
  </si>
  <si>
    <t>Papa</t>
  </si>
  <si>
    <t>GONZALEZ ACOSTA MARCO ANTONIO</t>
  </si>
  <si>
    <t>10.279.036</t>
  </si>
  <si>
    <t>GONZALEZ ANA</t>
  </si>
  <si>
    <t>GONZALEZ ANDERSON</t>
  </si>
  <si>
    <t>Sobrino |  </t>
  </si>
  <si>
    <t>Cirugía/Trauma – La Guaira</t>
  </si>
  <si>
    <t>GONZALEZ YURMIS</t>
  </si>
  <si>
    <t>13.828.545</t>
  </si>
  <si>
    <t>GONZÁLEZ ANA</t>
  </si>
  <si>
    <t>GORDOFON GONZALEZ</t>
  </si>
  <si>
    <t>GREYSI OROPOZA</t>
  </si>
  <si>
    <t>La Guaira detras</t>
  </si>
  <si>
    <t>GUSTAVO AVILE</t>
  </si>
  <si>
    <t>GUSTAVO MAYORES</t>
  </si>
  <si>
    <t>GYOTTIS CARRASCO</t>
  </si>
  <si>
    <t>HADDEN YALETZY</t>
  </si>
  <si>
    <t>Casalta casa callejon Rodriguez</t>
  </si>
  <si>
    <t>HARIENZ NEIBER</t>
  </si>
  <si>
    <t>HAROLD CAPELLA</t>
  </si>
  <si>
    <t>HELINSSON AQUINO</t>
  </si>
  <si>
    <t>HERLANE LOPEZ</t>
  </si>
  <si>
    <t>HERNANDEZ YAMILETH</t>
  </si>
  <si>
    <t>HIANGELY NIETO</t>
  </si>
  <si>
    <t>Caraballeda, La Guaira</t>
  </si>
  <si>
    <t>TRM | Cirugía General</t>
  </si>
  <si>
    <t>INGRID LOPEZ</t>
  </si>
  <si>
    <t>Cirugía / Trauma</t>
  </si>
  <si>
    <t>JAIMEZ RUBEN DARIO</t>
  </si>
  <si>
    <t>6.433.372</t>
  </si>
  <si>
    <t>JESEL JOHN</t>
  </si>
  <si>
    <t>13.827.925</t>
  </si>
  <si>
    <t>JESUS VEGAS</t>
  </si>
  <si>
    <t>Calle Real Maiquetia bajo</t>
  </si>
  <si>
    <t>JHNNSON ESTEBAN</t>
  </si>
  <si>
    <t>Pareja</t>
  </si>
  <si>
    <t>JHON GESSEN</t>
  </si>
  <si>
    <t>JHONSON STEBAN</t>
  </si>
  <si>
    <t>JOSE ALARCON</t>
  </si>
  <si>
    <t>Ciudad Caribe</t>
  </si>
  <si>
    <t>JOSE COFFAIR</t>
  </si>
  <si>
    <t>Prepa</t>
  </si>
  <si>
    <t>JOSE CORDERO</t>
  </si>
  <si>
    <t>Alta Vista + RAN</t>
  </si>
  <si>
    <t>JOSÉ DEAGRELA</t>
  </si>
  <si>
    <t>KARLE JEAN</t>
  </si>
  <si>
    <t>KIMBERLY MORA</t>
  </si>
  <si>
    <t>LAMA DANIELA</t>
  </si>
  <si>
    <t>3er plan de la Selva</t>
  </si>
  <si>
    <t>LAPEZ NEIBER</t>
  </si>
  <si>
    <t>LEMUS DILCIA</t>
  </si>
  <si>
    <t>13.531.664</t>
  </si>
  <si>
    <t>LEONARDO MACHADO</t>
  </si>
  <si>
    <t>LEONEIDY SIVIRA</t>
  </si>
  <si>
    <t>LISMEN QUINTAN</t>
  </si>
  <si>
    <t>Gramoven Nuevo H.</t>
  </si>
  <si>
    <t>LOPEZ INGRID</t>
  </si>
  <si>
    <t>10.528.878</t>
  </si>
  <si>
    <t>LOPEZ MARIOLY</t>
  </si>
  <si>
    <t>LOPEZ NEIBER</t>
  </si>
  <si>
    <t>Pto. Caribe</t>
  </si>
  <si>
    <t>LOPEZ NEIBOY</t>
  </si>
  <si>
    <t>Pio Caído</t>
  </si>
  <si>
    <t>LOPEZ VALERIA</t>
  </si>
  <si>
    <t>31.341.560</t>
  </si>
  <si>
    <t>LOPON MIRIAM</t>
  </si>
  <si>
    <t>13.853.733</t>
  </si>
  <si>
    <t>LUISANGELY ZAPATA</t>
  </si>
  <si>
    <t>Esposa | Cirugía General</t>
  </si>
  <si>
    <t>MAA GONZALEZ</t>
  </si>
  <si>
    <t>MADDEN YALETZY</t>
  </si>
  <si>
    <t>MADNO VALKETZ</t>
  </si>
  <si>
    <t>MARCÓ MORTALES</t>
  </si>
  <si>
    <t>MARGARET PESTANO</t>
  </si>
  <si>
    <t>MARIA DITAZ JONNY</t>
  </si>
  <si>
    <t>MARIA FIGUEROA</t>
  </si>
  <si>
    <t>Calle Real Los Flores</t>
  </si>
  <si>
    <t>MARIA HABANA</t>
  </si>
  <si>
    <t>Caracas, La Guaira</t>
  </si>
  <si>
    <t>Emerg. TRM</t>
  </si>
  <si>
    <t>MARIA VALENTA</t>
  </si>
  <si>
    <t>MARIA ZABALA</t>
  </si>
  <si>
    <t>MARIA ZABEN</t>
  </si>
  <si>
    <t>MARIAN LÓPEZ</t>
  </si>
  <si>
    <t>MARIE BAMBA</t>
  </si>
  <si>
    <t>MARIE ZEAN</t>
  </si>
  <si>
    <t>Zolo</t>
  </si>
  <si>
    <t>MARIELA PÁEZ</t>
  </si>
  <si>
    <t>MARISOL COLMENARES</t>
  </si>
  <si>
    <t>MARLENE TERAN</t>
  </si>
  <si>
    <t>3er Plan de la Selva</t>
  </si>
  <si>
    <t>MARTINEZ YAMILITH</t>
  </si>
  <si>
    <t>Se. Grativia</t>
  </si>
  <si>
    <t>MARY DURON</t>
  </si>
  <si>
    <t>Ciudad Tiuna Torre 1</t>
  </si>
  <si>
    <t>MARY DURÓN</t>
  </si>
  <si>
    <t>MARY YEPES</t>
  </si>
  <si>
    <t>Hermana</t>
  </si>
  <si>
    <t>MARY YEPEZ</t>
  </si>
  <si>
    <t>Magallanes</t>
  </si>
  <si>
    <t>MARÍA ARAQUE</t>
  </si>
  <si>
    <t>MAVAR HEIVERSON</t>
  </si>
  <si>
    <t>Los Frailes de Cata #18 C/ Carmen</t>
  </si>
  <si>
    <t>MAYOR HENDERSON</t>
  </si>
  <si>
    <t>MAYORA GUSTAVO</t>
  </si>
  <si>
    <t>11.643.841</t>
  </si>
  <si>
    <t>MENDOZA REINA</t>
  </si>
  <si>
    <t>6.887.465</t>
  </si>
  <si>
    <t>MENIS NUÑEZ</t>
  </si>
  <si>
    <t>MERO MARIELA</t>
  </si>
  <si>
    <t>MIARA JANENES</t>
  </si>
  <si>
    <t>MICHEL RIVERA</t>
  </si>
  <si>
    <t>MIGUEL ANEZ</t>
  </si>
  <si>
    <t>MILAGROS JIMENEZ</t>
  </si>
  <si>
    <t>MILLAN SOILET</t>
  </si>
  <si>
    <t>18.142.695</t>
  </si>
  <si>
    <t>MORA KIMBERLY</t>
  </si>
  <si>
    <t>24.331.288</t>
  </si>
  <si>
    <t>MOREN DURAN</t>
  </si>
  <si>
    <t>Hija</t>
  </si>
  <si>
    <t>MORENO YADER</t>
  </si>
  <si>
    <t>MORENO YORBER</t>
  </si>
  <si>
    <t>B/ Federico Quiros parte #9</t>
  </si>
  <si>
    <t>NELSON NADINE</t>
  </si>
  <si>
    <t>Calle Caribe, Japon</t>
  </si>
  <si>
    <t>NELSOR ZABALA</t>
  </si>
  <si>
    <t>Ajenas</t>
  </si>
  <si>
    <t>NUÑEZ MARIA</t>
  </si>
  <si>
    <t>La Guaira, La Coca</t>
  </si>
  <si>
    <t>OLGA RAMÍREZ</t>
  </si>
  <si>
    <t>ORLANDO DEXGULLO</t>
  </si>
  <si>
    <t>ORLANDO GONZALEZ</t>
  </si>
  <si>
    <t>Cañada 22 d. Grupo</t>
  </si>
  <si>
    <t>OSBERT PENA</t>
  </si>
  <si>
    <t>Hermano</t>
  </si>
  <si>
    <t>OSCAR KALIA</t>
  </si>
  <si>
    <t>OSCAR TORTOZA</t>
  </si>
  <si>
    <t>La Guaira, Chican</t>
  </si>
  <si>
    <t>PABON MARIANGEL</t>
  </si>
  <si>
    <t>C/ Principal Antimano #14</t>
  </si>
  <si>
    <t>PASTONO GYAMILY</t>
  </si>
  <si>
    <t>Escalipto San Blas</t>
  </si>
  <si>
    <t>PATINA KENDILA</t>
  </si>
  <si>
    <t>PATINA KENDILLE</t>
  </si>
  <si>
    <t>PATRICIA VENDIBLE</t>
  </si>
  <si>
    <t>Calle Sanguden</t>
  </si>
  <si>
    <t>PENA YOHSEN</t>
  </si>
  <si>
    <t>PERDOMO JOINLY / PERDOMO YOINY</t>
  </si>
  <si>
    <t>Esposa/Sola</t>
  </si>
  <si>
    <t>PERDOMO SEVILLAY</t>
  </si>
  <si>
    <t>PEREIRA VILLAMIZAR MARIA ISABELLA</t>
  </si>
  <si>
    <t>PEREZ DAVID</t>
  </si>
  <si>
    <t>6.842.773</t>
  </si>
  <si>
    <t>PEREZ GENEZ</t>
  </si>
  <si>
    <t>PEREZ NENEZ</t>
  </si>
  <si>
    <t>PEREZ PENA</t>
  </si>
  <si>
    <t>PESTANO MARGARET</t>
  </si>
  <si>
    <t>19.915.985</t>
  </si>
  <si>
    <t>PICO DIAZ JENNY</t>
  </si>
  <si>
    <t>Casalta, Bloque 10</t>
  </si>
  <si>
    <t>PLANAS JOSE</t>
  </si>
  <si>
    <t>12.163.470</t>
  </si>
  <si>
    <t>PLATA BENITO</t>
  </si>
  <si>
    <t>Carayaca</t>
  </si>
  <si>
    <t>QUETOY YSABEL</t>
  </si>
  <si>
    <t>RANGEL ENDER</t>
  </si>
  <si>
    <t>RIO DUQUES MIGUEL</t>
  </si>
  <si>
    <t>10.073.429</t>
  </si>
  <si>
    <t>RIVAS MARY</t>
  </si>
  <si>
    <t>La Cortada de Calle</t>
  </si>
  <si>
    <t>RODRIGUEZ CINDY</t>
  </si>
  <si>
    <t>Mama |  </t>
  </si>
  <si>
    <t>RODRIGUEZ PINDIHOLE</t>
  </si>
  <si>
    <t>Calle Principal</t>
  </si>
  <si>
    <t>RODRIGUEZ SANELLY</t>
  </si>
  <si>
    <t>Caraballeda La Guaira</t>
  </si>
  <si>
    <t>ROOMEL REINA</t>
  </si>
  <si>
    <t>Santa Maria, Aragua</t>
  </si>
  <si>
    <t>ROSMEL MAJIA</t>
  </si>
  <si>
    <t>RUBÉN DARIO GIMÉNEZ</t>
  </si>
  <si>
    <t>SALAZAR CANCILES</t>
  </si>
  <si>
    <t>SALAZAR CAROLINE</t>
  </si>
  <si>
    <t>Ly/ Guiñare</t>
  </si>
  <si>
    <t>SANCHEZ MARIA</t>
  </si>
  <si>
    <t>Mama</t>
  </si>
  <si>
    <t>SEEISANGELY ZAPATA</t>
  </si>
  <si>
    <t>SIMÓN CONTRERAS</t>
  </si>
  <si>
    <t>SIVIRA LEONEIDY</t>
  </si>
  <si>
    <t>25.175.345</t>
  </si>
  <si>
    <t>SOLAZAR CAROLINA</t>
  </si>
  <si>
    <t>SORISLET MILLÁN</t>
  </si>
  <si>
    <t>SPINOLA KELLY</t>
  </si>
  <si>
    <t>17.482.090</t>
  </si>
  <si>
    <t>SÁNCHEZ MARIA</t>
  </si>
  <si>
    <t>TANIA TERÁN</t>
  </si>
  <si>
    <t>11.055.173</t>
  </si>
  <si>
    <t>TERAN TENIA</t>
  </si>
  <si>
    <t>11.409.997</t>
  </si>
  <si>
    <t>TORTOSO OSCAR</t>
  </si>
  <si>
    <t>20.558.047</t>
  </si>
  <si>
    <t>VALELLA GORRÍN</t>
  </si>
  <si>
    <t>VALENCIA ELIX</t>
  </si>
  <si>
    <t>VALENCIA FLIX</t>
  </si>
  <si>
    <t>VALENCIA HEIVERTON</t>
  </si>
  <si>
    <t>VALERIA CONTRERAS</t>
  </si>
  <si>
    <t>VEGAS JENCO</t>
  </si>
  <si>
    <t>34.273.706</t>
  </si>
  <si>
    <t>VILLAMIZAR ABOALY / VILLAMIZAR ABDALY</t>
  </si>
  <si>
    <t>Esposo</t>
  </si>
  <si>
    <t>YACHER NANCY DURAN</t>
  </si>
  <si>
    <t>Ciudad Nueva Torre</t>
  </si>
  <si>
    <t>YALEISY HADDAN</t>
  </si>
  <si>
    <t>Campo Js. Vi Gallego</t>
  </si>
  <si>
    <t>YANES SILVIA</t>
  </si>
  <si>
    <t>3.557.870</t>
  </si>
  <si>
    <t>YARITZA CAVARGAS</t>
  </si>
  <si>
    <t>YARLYS CONTRERAS</t>
  </si>
  <si>
    <t>YELITZA CAFFARIN</t>
  </si>
  <si>
    <t>YENIC SUAREZ</t>
  </si>
  <si>
    <t>Calle Real A. Ruiz</t>
  </si>
  <si>
    <t>YENNY SEVILLA</t>
  </si>
  <si>
    <t>Blandin C.V. bajos</t>
  </si>
  <si>
    <t>YONSON ESTEBEN</t>
  </si>
  <si>
    <t>YORIMAR CORTEZ</t>
  </si>
  <si>
    <t>YURMIS GONZÁLEZ</t>
  </si>
  <si>
    <t>YUSKELI MARTINEZ</t>
  </si>
  <si>
    <t>La Cortada de Cata</t>
  </si>
  <si>
    <t>ZEALARIO ALEXIS</t>
  </si>
  <si>
    <t>Carabilla + Sector Río</t>
  </si>
  <si>
    <t>ÁLVARO FADIA</t>
  </si>
  <si>
    <t>Seguro Social La Guaira</t>
  </si>
  <si>
    <t>ABRAHAN GONZALES</t>
  </si>
  <si>
    <t>Caribe OPP2</t>
  </si>
  <si>
    <t>ADERSON REGINFO</t>
  </si>
  <si>
    <t>OPP 27</t>
  </si>
  <si>
    <t>ALANA GONZALES</t>
  </si>
  <si>
    <t>ALFONZO PADRON</t>
  </si>
  <si>
    <t>ALKELIS MORON</t>
  </si>
  <si>
    <t>ALONZO SALAZAR BAO</t>
  </si>
  <si>
    <t>AMARENA MACHADO</t>
  </si>
  <si>
    <t>Torre A Altsumma</t>
  </si>
  <si>
    <t>AMIRA TUCMANI</t>
  </si>
  <si>
    <t>ANA LUCIA MITDO</t>
  </si>
  <si>
    <t>ANDRU ROJAS</t>
  </si>
  <si>
    <t>ANGI PEREZ</t>
  </si>
  <si>
    <t>ANTONIO HERRERA ROMERO</t>
  </si>
  <si>
    <t>ANTONIO VENDILLE</t>
  </si>
  <si>
    <t>ANZOLYO DOMINGUEZ</t>
  </si>
  <si>
    <t>Camuri</t>
  </si>
  <si>
    <t>ARANZA VERGARA</t>
  </si>
  <si>
    <t>Caribe OPP27</t>
  </si>
  <si>
    <t>ARGENIS LANDAETA</t>
  </si>
  <si>
    <t>ARIANA BRANDO</t>
  </si>
  <si>
    <t>ARMANDO CAISEDO</t>
  </si>
  <si>
    <t>BELEN QUINTERO</t>
  </si>
  <si>
    <t>Barlin</t>
  </si>
  <si>
    <t>CAMILE PICCARDO</t>
  </si>
  <si>
    <t>CARLINA HERNANDEZ</t>
  </si>
  <si>
    <t>CARMEN BLANCO</t>
  </si>
  <si>
    <t>CENDELIS ARENA</t>
  </si>
  <si>
    <t>CENYELIS ARENA</t>
  </si>
  <si>
    <t>DAFANE CORDOVA</t>
  </si>
  <si>
    <t>OPP 30</t>
  </si>
  <si>
    <t>DANY SOSA</t>
  </si>
  <si>
    <t>DARIO RAMIREZ</t>
  </si>
  <si>
    <t>DENWIN DOON</t>
  </si>
  <si>
    <t>Corales</t>
  </si>
  <si>
    <t>DIEGO DIAZ</t>
  </si>
  <si>
    <t>DIEGO MORILLO</t>
  </si>
  <si>
    <t>4 meses</t>
  </si>
  <si>
    <t>DUGLE MENA</t>
  </si>
  <si>
    <t>EDUARDO PEREZ</t>
  </si>
  <si>
    <t>EDVAN ORAMA</t>
  </si>
  <si>
    <t>ELCIO GIL</t>
  </si>
  <si>
    <t>ELIAS TORO TORO</t>
  </si>
  <si>
    <t>ERIK SALAZAR</t>
  </si>
  <si>
    <t>ESTEFANY JESSEN</t>
  </si>
  <si>
    <t>ESTHER PACHECO</t>
  </si>
  <si>
    <t>Hanover / Caraballeda</t>
  </si>
  <si>
    <t>EVANGELINA GONZALES</t>
  </si>
  <si>
    <t>EVELIN GUERRA</t>
  </si>
  <si>
    <t>FELIX RAMO</t>
  </si>
  <si>
    <t>Guapo</t>
  </si>
  <si>
    <t>FLORREDE OSCATA</t>
  </si>
  <si>
    <t>GERALDINE FAWADY</t>
  </si>
  <si>
    <t>GONZALES DHIONEISIS</t>
  </si>
  <si>
    <t>GUSBELYS</t>
  </si>
  <si>
    <t>HAYDER FAWADY</t>
  </si>
  <si>
    <t>HAYDI LOPEZ</t>
  </si>
  <si>
    <t>HELEN SALAZAR</t>
  </si>
  <si>
    <t>ILRANA PEZ</t>
  </si>
  <si>
    <t>JACINTA CÑATE</t>
  </si>
  <si>
    <t>JENIFER LIZCANO</t>
  </si>
  <si>
    <t>JHOALUI ROSALES</t>
  </si>
  <si>
    <t>JHONNY STEVEN</t>
  </si>
  <si>
    <t>JOEL NAKOZA</t>
  </si>
  <si>
    <t>JOHANA LOPEZ</t>
  </si>
  <si>
    <t>JONATAN ROMERO</t>
  </si>
  <si>
    <t>JOSE SOSA</t>
  </si>
  <si>
    <t>JOSE VILLEGA</t>
  </si>
  <si>
    <t>JOSNEL CORONEL</t>
  </si>
  <si>
    <t>JOSUE ALVAREZ</t>
  </si>
  <si>
    <t>JUAN CARLOS JIMENEZ</t>
  </si>
  <si>
    <t>JUAN WELLY</t>
  </si>
  <si>
    <t>JULIBE GUTIERREZ</t>
  </si>
  <si>
    <t>Caribe / Macuto</t>
  </si>
  <si>
    <t>JUNIO CAMACARO</t>
  </si>
  <si>
    <t>KEMBELIS UGUETO</t>
  </si>
  <si>
    <t>LILIBETH GUTIEREZ</t>
  </si>
  <si>
    <t>LUIS RODRIGUEZ</t>
  </si>
  <si>
    <t>MAIGUALIDA IRIARTE</t>
  </si>
  <si>
    <t>MAIKEL TOSCABE</t>
  </si>
  <si>
    <t>MAIOVA EURIETA</t>
  </si>
  <si>
    <t>MAIRIN ATEREALA</t>
  </si>
  <si>
    <t>MARIA HERNANDEZ</t>
  </si>
  <si>
    <t>Camuri Chico</t>
  </si>
  <si>
    <t>MARIA UGAS</t>
  </si>
  <si>
    <t>MARIA VIEDRA</t>
  </si>
  <si>
    <t>MARIELA DE SICARDO</t>
  </si>
  <si>
    <t>MARITZA HERNANDEZ</t>
  </si>
  <si>
    <t>MARIXA HERNANDEZ</t>
  </si>
  <si>
    <t>MAYA LEON</t>
  </si>
  <si>
    <t>MICHRAINE FRONTADOS</t>
  </si>
  <si>
    <t>MIGUEL ACOSTA</t>
  </si>
  <si>
    <t>NAIKE SAMBRANO</t>
  </si>
  <si>
    <t>NELY DE FREITAS</t>
  </si>
  <si>
    <t>NESTO JOSE NORA</t>
  </si>
  <si>
    <t>OLGA POSA ESCOBAR</t>
  </si>
  <si>
    <t>OLGA TOVAR</t>
  </si>
  <si>
    <t>PRARIS GL</t>
  </si>
  <si>
    <t>Maiquetia Pueblito</t>
  </si>
  <si>
    <t>RAUL TORRES</t>
  </si>
  <si>
    <t>REINER RADA</t>
  </si>
  <si>
    <t>Caribe OP27</t>
  </si>
  <si>
    <t>RICHARD RIVAS</t>
  </si>
  <si>
    <t>RODRIGO COLO</t>
  </si>
  <si>
    <t>RODRIGUEZ MARISELA</t>
  </si>
  <si>
    <t>ROSIO MONTANA</t>
  </si>
  <si>
    <t>ROSIS GONZALES</t>
  </si>
  <si>
    <t>SALAZAR ELEM</t>
  </si>
  <si>
    <t>SANTIAGO CARASQUEL</t>
  </si>
  <si>
    <t>SEBASTIAN BLANDI</t>
  </si>
  <si>
    <t>SEBASTIAN JOSE SALCEDO</t>
  </si>
  <si>
    <t>Edif Blanco</t>
  </si>
  <si>
    <t>SENNY RAMIREZ PRADO</t>
  </si>
  <si>
    <t>SOFIA SOGUERE</t>
  </si>
  <si>
    <t>TIBIZAR DIAZ</t>
  </si>
  <si>
    <t>TIRMEDYS CEDEÑO</t>
  </si>
  <si>
    <t>TOMAS GOMEZ</t>
  </si>
  <si>
    <t>Caribe / Bahia del Mar</t>
  </si>
  <si>
    <t>VALERIS GONZALES</t>
  </si>
  <si>
    <t>VANESA GOZALEZ</t>
  </si>
  <si>
    <t>VICTORIA CASTILLO</t>
  </si>
  <si>
    <t>VICTORIA GONZALES</t>
  </si>
  <si>
    <t>VICTORIA PEREZ</t>
  </si>
  <si>
    <t>WEYNER SERRA</t>
  </si>
  <si>
    <t>WILLIAME LOPEZ</t>
  </si>
  <si>
    <t>WISTON GONZALES</t>
  </si>
  <si>
    <t>XIOMARA MALAVE</t>
  </si>
  <si>
    <t>YACILIS CARZADILLA</t>
  </si>
  <si>
    <t>Caribe / Tanaguarena</t>
  </si>
  <si>
    <t>YENDELIS CABARGA</t>
  </si>
  <si>
    <t>YESIKA PALMULLANE</t>
  </si>
  <si>
    <t>YESSIRE QUEVEDES</t>
  </si>
  <si>
    <t>YISEL CASERES</t>
  </si>
  <si>
    <t>YOEVIYER RODRIGUEZ</t>
  </si>
  <si>
    <t>Caribe OPP22</t>
  </si>
  <si>
    <t>YONAY ARIAS</t>
  </si>
  <si>
    <t>Costa Sur Macuto</t>
  </si>
  <si>
    <t>YONIERVIS RODRIGUEZ</t>
  </si>
  <si>
    <t>Caribe OPP2C</t>
  </si>
  <si>
    <t>YOSELIE BADILLO</t>
  </si>
  <si>
    <t>YOWAN VILLAFANDE</t>
  </si>
  <si>
    <t>YULEIVIS SANDOVAL</t>
  </si>
  <si>
    <t>Consolidado 26/06/2026</t>
  </si>
  <si>
    <t/>
  </si>
  <si>
    <t>HOSPITAL PÉREZ CARREÑO 26.6.26</t>
  </si>
  <si>
    <t>Num</t>
  </si>
  <si>
    <t>Nombre y Apellido</t>
  </si>
  <si>
    <t>Edad</t>
  </si>
  <si>
    <t>CI</t>
  </si>
  <si>
    <t>Grupo</t>
  </si>
  <si>
    <t xml:space="preserve">Hospital </t>
  </si>
  <si>
    <t>Dìa</t>
  </si>
  <si>
    <t>Hora</t>
  </si>
  <si>
    <t>Detalle adicional</t>
  </si>
  <si>
    <t>Translado</t>
  </si>
  <si>
    <t>Angel Ortega</t>
  </si>
  <si>
    <t>Hospital Miguel Perez Carreño</t>
  </si>
  <si>
    <t>26/06/2026</t>
  </si>
  <si>
    <t>Sier Lozo</t>
  </si>
  <si>
    <t>14 años</t>
  </si>
  <si>
    <t>Robert Marquez</t>
  </si>
  <si>
    <t>21 años</t>
  </si>
  <si>
    <t>Keisy Montes</t>
  </si>
  <si>
    <t>23 años</t>
  </si>
  <si>
    <t>Brigida Sarmiento</t>
  </si>
  <si>
    <t>57 años</t>
  </si>
  <si>
    <t>Wile Guerrero</t>
  </si>
  <si>
    <t>40 años</t>
  </si>
  <si>
    <t>Romiel Fajardo</t>
  </si>
  <si>
    <t>33 años</t>
  </si>
  <si>
    <t>Eidimar Milano</t>
  </si>
  <si>
    <t>13 años</t>
  </si>
  <si>
    <t>Ingrid Milano Guzman</t>
  </si>
  <si>
    <t>Yesenia Coronado</t>
  </si>
  <si>
    <t>Duglas Parra</t>
  </si>
  <si>
    <t>35 años</t>
  </si>
  <si>
    <t>Kevi Gonzalez</t>
  </si>
  <si>
    <t>32 años</t>
  </si>
  <si>
    <t>Breiner Vivian</t>
  </si>
  <si>
    <t>24 años</t>
  </si>
  <si>
    <t>Nelly De Freites</t>
  </si>
  <si>
    <t>63 años</t>
  </si>
  <si>
    <t>Eli Sanyeli</t>
  </si>
  <si>
    <t>80 años (o 8 años)</t>
  </si>
  <si>
    <t>Valeska Toia</t>
  </si>
  <si>
    <t>Maria Albarran</t>
  </si>
  <si>
    <t>Neurocirugia</t>
  </si>
  <si>
    <t>Maria Mayorca</t>
  </si>
  <si>
    <t>Embarazada</t>
  </si>
  <si>
    <t>Traumatologia / extendida</t>
  </si>
  <si>
    <t>Jacinta Forcata</t>
  </si>
  <si>
    <t>Traumatologia. Piso 1. ALTA medica. Guaira</t>
  </si>
  <si>
    <t>Jesus Ramirez</t>
  </si>
  <si>
    <t>Traumatologia. Piso 1. Guaira</t>
  </si>
  <si>
    <t>Anyi Sanabria</t>
  </si>
  <si>
    <t>Anyely Gonzalez</t>
  </si>
  <si>
    <t>Traumatologia</t>
  </si>
  <si>
    <t>Noel La Rosa</t>
  </si>
  <si>
    <t>Milagro Andrea</t>
  </si>
  <si>
    <t>Neuro / Trauma</t>
  </si>
  <si>
    <t>Gabriel Goncalve</t>
  </si>
  <si>
    <t>Neuro. Guaira</t>
  </si>
  <si>
    <t>Oleidy Melendez</t>
  </si>
  <si>
    <t>Traumatologia. Guaira</t>
  </si>
  <si>
    <t>Ramon Perez</t>
  </si>
  <si>
    <t>Yorxi Contreras</t>
  </si>
  <si>
    <t>Traumachok. Pasillo Asesor. Guaira</t>
  </si>
  <si>
    <t>Eduar Orama</t>
  </si>
  <si>
    <t>Neuro. Triaje</t>
  </si>
  <si>
    <t>Celeste Yiferoa</t>
  </si>
  <si>
    <t>Gladys Eman</t>
  </si>
  <si>
    <t>Aderly Oseche Cordero</t>
  </si>
  <si>
    <t>Triaje. Guaira</t>
  </si>
  <si>
    <t>Alexis Josefina</t>
  </si>
  <si>
    <t>Cirugia. Guaira</t>
  </si>
  <si>
    <t>Freddy Benitez</t>
  </si>
  <si>
    <t>Todos los Servicios. Tomografia. Guaira / ALTA</t>
  </si>
  <si>
    <t>Irma Diaz</t>
  </si>
  <si>
    <t>Triaje Neuro. Guaira</t>
  </si>
  <si>
    <t>Yoan Salazar</t>
  </si>
  <si>
    <t>Pasillo Asesor (Triaje tachado). Guaira</t>
  </si>
  <si>
    <t>Yuleidy Romero</t>
  </si>
  <si>
    <t>Feliciano Gianpiero</t>
  </si>
  <si>
    <t>Triaje Cirugia. Guaira</t>
  </si>
  <si>
    <t>Jose Luis Sosa</t>
  </si>
  <si>
    <t>Volnnys Esteves</t>
  </si>
  <si>
    <t>Maoly Delgado</t>
  </si>
  <si>
    <t>Pasillo Asesor. Guaira</t>
  </si>
  <si>
    <t>Valeria Osota</t>
  </si>
  <si>
    <t>Medicina Interna. Guaira</t>
  </si>
  <si>
    <t>Briisneidy Ceballos</t>
  </si>
  <si>
    <t>Lisbet Jaimes</t>
  </si>
  <si>
    <t>Isabel Alonzo</t>
  </si>
  <si>
    <t>Neurocirugia. Guaira</t>
  </si>
  <si>
    <t>Dayana Cordoba</t>
  </si>
  <si>
    <t>Bovs Candelario</t>
  </si>
  <si>
    <t>Cruz Hernandez</t>
  </si>
  <si>
    <t>Cirugia observ. Guaira</t>
  </si>
  <si>
    <t>Tairy Lopez</t>
  </si>
  <si>
    <t>Maily Lopez</t>
  </si>
  <si>
    <t>Cirugia obstetrica / Rx</t>
  </si>
  <si>
    <t>Anabela Murillo</t>
  </si>
  <si>
    <t>Cirugia obstetrica / Fx pelvis</t>
  </si>
  <si>
    <t>Jesus Gonzales</t>
  </si>
  <si>
    <t>Dialecsy Cordero</t>
  </si>
  <si>
    <t>Belkis Bacelo</t>
  </si>
  <si>
    <t>Neurocir / Tomografia</t>
  </si>
  <si>
    <t>Yahelis Seigar</t>
  </si>
  <si>
    <t>Accidente moto / Rx / Triaje</t>
  </si>
  <si>
    <t>Marlene Avendaño</t>
  </si>
  <si>
    <t>Wiston Avendaño</t>
  </si>
  <si>
    <t>Erick Dorante</t>
  </si>
  <si>
    <t>15 años</t>
  </si>
  <si>
    <t>Alejandra Sojo</t>
  </si>
  <si>
    <t>Luis Martinez</t>
  </si>
  <si>
    <t>Medicina</t>
  </si>
  <si>
    <t>Oleini Melendez</t>
  </si>
  <si>
    <t>Triaje (Pasillo Asesor)</t>
  </si>
  <si>
    <t>Abel Chan</t>
  </si>
  <si>
    <t>Generosy Dias</t>
  </si>
  <si>
    <t>Jessire Quirales</t>
  </si>
  <si>
    <t>Eddy Zalazar</t>
  </si>
  <si>
    <t>Yorgi Contreras</t>
  </si>
  <si>
    <t>Erick Gustavo Valdivel</t>
  </si>
  <si>
    <t>Amilcar Nastao</t>
  </si>
  <si>
    <t>"Caraballeda"</t>
  </si>
  <si>
    <t>Maite Hernandez</t>
  </si>
  <si>
    <t>"Los Cosales/Corales"</t>
  </si>
  <si>
    <t>Amilka Estabilito</t>
  </si>
  <si>
    <t>64 años</t>
  </si>
  <si>
    <t>Cirugia / Pos. Ortopedia / Tubo pleural</t>
  </si>
  <si>
    <t>Nelly de Freitas</t>
  </si>
  <si>
    <t>Neurocirugia / Trauma Coxa</t>
  </si>
  <si>
    <t>Enrique Diaz</t>
  </si>
  <si>
    <t>Ivon Espinoza</t>
  </si>
  <si>
    <t>43 años</t>
  </si>
  <si>
    <t>Marco Reina</t>
  </si>
  <si>
    <t>49 años</t>
  </si>
  <si>
    <t>Sin signos vitales</t>
  </si>
  <si>
    <t>Clariangela Martinez</t>
  </si>
  <si>
    <t>30 años</t>
  </si>
  <si>
    <t>Fabricio Gutierrez</t>
  </si>
  <si>
    <t>Posible Ascenso</t>
  </si>
  <si>
    <t>Ranfi Ramos</t>
  </si>
  <si>
    <t>34 años</t>
  </si>
  <si>
    <t>Briceño Amilkar</t>
  </si>
  <si>
    <t>Angelitz Gonzalez</t>
  </si>
  <si>
    <t>37 años</t>
  </si>
  <si>
    <t>Posible Ascensor</t>
  </si>
  <si>
    <t>Elimar Lopez</t>
  </si>
  <si>
    <t>42 años</t>
  </si>
  <si>
    <t>Maria Andrade</t>
  </si>
  <si>
    <t>62 años</t>
  </si>
  <si>
    <t>Ligia Ines Mendoza (Menor)</t>
  </si>
  <si>
    <t>17 años</t>
  </si>
  <si>
    <t>Rosa Marcano</t>
  </si>
  <si>
    <t>4498435 (o 4493435, dígito borroso)</t>
  </si>
  <si>
    <t>Listado de nombres</t>
  </si>
  <si>
    <t>Adriana Sandoval</t>
  </si>
  <si>
    <t>Victoria Miranda</t>
  </si>
  <si>
    <t>Jose Gutierrez</t>
  </si>
  <si>
    <t>Eduar Orana</t>
  </si>
  <si>
    <t>(sin número visible)</t>
  </si>
  <si>
    <t>Traumatologia / Guaira</t>
  </si>
  <si>
    <t>Mileibis Gonzalez</t>
  </si>
  <si>
    <t>Emira Guerra</t>
  </si>
  <si>
    <t>Keilimar Garcia</t>
  </si>
  <si>
    <t>Gabriel Brizuela</t>
  </si>
  <si>
    <t>Viviana Carrizo</t>
  </si>
  <si>
    <t>Diego Garcia</t>
  </si>
  <si>
    <t>Manuela D Anzola</t>
  </si>
  <si>
    <t>Gonzalo Leon</t>
  </si>
  <si>
    <t>Celiana Mijares</t>
  </si>
  <si>
    <t>Manuel Gomez</t>
  </si>
  <si>
    <t>Ayari Castillo</t>
  </si>
  <si>
    <t>Nathaeha Medina</t>
  </si>
  <si>
    <t>Ibsen Iglesias</t>
  </si>
  <si>
    <t>Fleici Valero</t>
  </si>
  <si>
    <t>Maria Quillen</t>
  </si>
  <si>
    <t>Juver Garcia</t>
  </si>
  <si>
    <t>Crisbel Granado</t>
  </si>
  <si>
    <t>Wuilliams Martinez</t>
  </si>
  <si>
    <t>Mailin Lopez</t>
  </si>
  <si>
    <t>Thais Lopez</t>
  </si>
  <si>
    <t>Angel Fernandez</t>
  </si>
  <si>
    <t>Genesis Bracamonte</t>
  </si>
  <si>
    <t>Samuel Peroza</t>
  </si>
  <si>
    <t>Rosalinda Viera</t>
  </si>
  <si>
    <t>Candelario Vouis</t>
  </si>
  <si>
    <t>Lourdes Dropeza</t>
  </si>
  <si>
    <t>Milagro Palma</t>
  </si>
  <si>
    <t>Rodrigo Fernandez</t>
  </si>
  <si>
    <t>Alvaro Ortiz</t>
  </si>
  <si>
    <t>Barbara Quintero</t>
  </si>
  <si>
    <t>Yenni Marcano</t>
  </si>
  <si>
    <t>Manuela De Anzola</t>
  </si>
  <si>
    <t>Yonny Ortuño</t>
  </si>
  <si>
    <t>Ana Fernandez</t>
  </si>
  <si>
    <t>Alyandra Sojo</t>
  </si>
  <si>
    <t>Eiban Yegue</t>
  </si>
  <si>
    <t>Marcela Bernal</t>
  </si>
  <si>
    <t>Valeria Azocar</t>
  </si>
  <si>
    <t>Anabela Morillo</t>
  </si>
  <si>
    <t>Lesvia Morales</t>
  </si>
  <si>
    <t>Mendo Bueno</t>
  </si>
  <si>
    <t>Maria Montolla</t>
  </si>
  <si>
    <t>Karleidi Rivero</t>
  </si>
  <si>
    <t>Isabel Torres</t>
  </si>
  <si>
    <t>Duñar Lopez</t>
  </si>
  <si>
    <t>Yaneli Acosta</t>
  </si>
  <si>
    <t>Meri Chavez</t>
  </si>
  <si>
    <t>Elisabeth Chacon</t>
  </si>
  <si>
    <t>Elizabeth Gonzalez</t>
  </si>
  <si>
    <t>Alexandra Cardenas</t>
  </si>
  <si>
    <t>Fran Rondon</t>
  </si>
  <si>
    <t>Cenaida Paredez</t>
  </si>
  <si>
    <t>Alexandra Cardena</t>
  </si>
  <si>
    <t>(repetido)</t>
  </si>
  <si>
    <t>Yudi Paredes</t>
  </si>
  <si>
    <t>Adriana Bastido</t>
  </si>
  <si>
    <t>Ana Aguilera</t>
  </si>
  <si>
    <t>Juan Zalazar</t>
  </si>
  <si>
    <t>Veronica Bastardo</t>
  </si>
  <si>
    <t>Isabel Gonzales</t>
  </si>
  <si>
    <t>Elianni Idalgo</t>
  </si>
  <si>
    <t>Franleydi Lopez</t>
  </si>
  <si>
    <t>Amilcar Stabilito</t>
  </si>
  <si>
    <t>Yodalis Navas</t>
  </si>
  <si>
    <t>Gabriel Joncaluez</t>
  </si>
  <si>
    <t>Zoraida Martinez</t>
  </si>
  <si>
    <t>Cesar Pacheco</t>
  </si>
  <si>
    <t>Ana Dias</t>
  </si>
  <si>
    <t>Adriana Vastidas</t>
  </si>
  <si>
    <t>Petra Sucre</t>
  </si>
  <si>
    <t>Wilian Alvarez</t>
  </si>
  <si>
    <t>Francis Medina</t>
  </si>
  <si>
    <t>Leonardo Becerra</t>
  </si>
  <si>
    <t>Oriana Ramirez</t>
  </si>
  <si>
    <t>Judid Paredes</t>
  </si>
  <si>
    <t>Yadira Cordero</t>
  </si>
  <si>
    <t>Dayana Rondon</t>
  </si>
  <si>
    <t>18 años (edad, no cédula)</t>
  </si>
  <si>
    <t>Crisdeilis Quintero</t>
  </si>
  <si>
    <t>Eric Godoy</t>
  </si>
  <si>
    <t>Nagibi Molina</t>
  </si>
  <si>
    <t>Maria Zamora</t>
  </si>
  <si>
    <t>Yunior Tirado</t>
  </si>
  <si>
    <t>Emili Mosquera</t>
  </si>
  <si>
    <t>Victor Dias</t>
  </si>
  <si>
    <t>Maria Araque</t>
  </si>
  <si>
    <t>Maryuri Sedeño</t>
  </si>
  <si>
    <t>Barbara Ramirez</t>
  </si>
  <si>
    <t>David Brito</t>
  </si>
  <si>
    <t>Marlene Davila</t>
  </si>
  <si>
    <t>Maria Moreno</t>
  </si>
  <si>
    <t>Fredy Rodriguez</t>
  </si>
  <si>
    <t>Fernanda Figuera</t>
  </si>
  <si>
    <t>Jose Palma</t>
  </si>
  <si>
    <t>Carmen Anganta</t>
  </si>
  <si>
    <t>Yoandri Colina</t>
  </si>
  <si>
    <t>Yermin Vaptista</t>
  </si>
  <si>
    <t>Sandra Dias</t>
  </si>
  <si>
    <t>Juana de Santiago</t>
  </si>
  <si>
    <t>Yoni Ortuño</t>
  </si>
  <si>
    <t>Ana Olivero</t>
  </si>
  <si>
    <t>Marlin Martinez</t>
  </si>
  <si>
    <t>Juan Garcia</t>
  </si>
  <si>
    <t>Yeangel Figuera</t>
  </si>
  <si>
    <t>Nuevos Ingresos 25/06/2026</t>
  </si>
  <si>
    <t>Morilda Figuera</t>
  </si>
  <si>
    <t>Leomarwil G.</t>
  </si>
  <si>
    <t>Geraldo Ramirez</t>
  </si>
  <si>
    <t>Edwin Urbina</t>
  </si>
  <si>
    <t>Jesus Gonzalez</t>
  </si>
  <si>
    <t>Angi Zanabria</t>
  </si>
  <si>
    <t>Francisco Oropeza</t>
  </si>
  <si>
    <t>Armando Medina</t>
  </si>
  <si>
    <t>Andres Laya</t>
  </si>
  <si>
    <t>Jose Uzcategui</t>
  </si>
  <si>
    <t>Carlina Hernandez</t>
  </si>
  <si>
    <t>Anderson Mendoza</t>
  </si>
  <si>
    <t>Jenny Torres</t>
  </si>
  <si>
    <t>15141012 (parcialmente ilegible)</t>
  </si>
  <si>
    <t>Milagro Adrian</t>
  </si>
  <si>
    <t>Luisa Gonzalez</t>
  </si>
  <si>
    <t>45 años</t>
  </si>
  <si>
    <t>Repetida</t>
  </si>
  <si>
    <t>Cristian Ortega</t>
  </si>
  <si>
    <t>Repetido</t>
  </si>
  <si>
    <t>Erik Donante</t>
  </si>
  <si>
    <t>Yusleidy Romero</t>
  </si>
  <si>
    <t>Maria Mayora</t>
  </si>
  <si>
    <t>28 años</t>
  </si>
  <si>
    <t>Jesus Duarte</t>
  </si>
  <si>
    <t>91 años</t>
  </si>
  <si>
    <t>5142521 (o 74 años)</t>
  </si>
  <si>
    <t>Ivan Muñon</t>
  </si>
  <si>
    <t>Evan Armando Rivas</t>
  </si>
  <si>
    <t>20098909 (aprox)</t>
  </si>
  <si>
    <t>Diego Medina</t>
  </si>
  <si>
    <t>20 años</t>
  </si>
  <si>
    <t>31291319 (aprox)</t>
  </si>
  <si>
    <t>Anyerlys Gonzalez</t>
  </si>
  <si>
    <t>Carreño Derek Josue</t>
  </si>
  <si>
    <t>5 años</t>
  </si>
  <si>
    <t>Pediatria</t>
  </si>
  <si>
    <t>Mandy Yusleidy</t>
  </si>
  <si>
    <t>8 años</t>
  </si>
  <si>
    <t>Yadano Flores</t>
  </si>
  <si>
    <t>10 años</t>
  </si>
  <si>
    <t>sin familia</t>
  </si>
  <si>
    <t>Isabela Revoredo</t>
  </si>
  <si>
    <t>Isac Arron</t>
  </si>
  <si>
    <t>Emil Ramos</t>
  </si>
  <si>
    <t>Cesar Chemelo</t>
  </si>
  <si>
    <t>Matia Jimenez</t>
  </si>
  <si>
    <t>12 años</t>
  </si>
  <si>
    <t>Valesca Torres</t>
  </si>
  <si>
    <t>Victor Torrealba</t>
  </si>
  <si>
    <t>Garcia Julieth</t>
  </si>
  <si>
    <t>Villarta Baron</t>
  </si>
  <si>
    <t>Ruiz Junior</t>
  </si>
  <si>
    <t>Flores Yarclano</t>
  </si>
  <si>
    <t>Martinez Jyaitel</t>
  </si>
  <si>
    <t>Ladera Elianyelis</t>
  </si>
  <si>
    <t>1 año</t>
  </si>
  <si>
    <t>Silva Samara</t>
  </si>
  <si>
    <t>9 años</t>
  </si>
  <si>
    <t>Herrera Alfonzo</t>
  </si>
  <si>
    <t>Ramos Emilys</t>
  </si>
  <si>
    <t>Brito Antonella</t>
  </si>
  <si>
    <t>Garcia Gabriel</t>
  </si>
  <si>
    <t>Salcedo Sebastian</t>
  </si>
  <si>
    <t>Revoredo Isabella</t>
  </si>
  <si>
    <t>Ramirez Hilary</t>
  </si>
  <si>
    <t>Rambos Vittoria</t>
  </si>
  <si>
    <t>Mieles Andres</t>
  </si>
  <si>
    <t>Mendez Yoinelis</t>
  </si>
  <si>
    <t>11 años</t>
  </si>
  <si>
    <t>Rada Reinier</t>
  </si>
  <si>
    <t>Quiñonez Maximiliano</t>
  </si>
  <si>
    <t>6 años</t>
  </si>
  <si>
    <t>Jimenez Mathias</t>
  </si>
  <si>
    <t>Rondon Doyanara</t>
  </si>
  <si>
    <t>Traslados</t>
  </si>
  <si>
    <t>Gil Mirian</t>
  </si>
  <si>
    <t>Orama Angel</t>
  </si>
  <si>
    <t>Gil Briñata Honny Estefania</t>
  </si>
  <si>
    <t>Figueroa Tina Celeste</t>
  </si>
  <si>
    <t>Honono Tapia Ironyoles Oriana</t>
  </si>
  <si>
    <t>Pimentel Tabares Daileili</t>
  </si>
  <si>
    <t>Salcedo Acosta Sebastian Jose</t>
  </si>
  <si>
    <t>Villahermosa Del Fino Yoliabeth</t>
  </si>
  <si>
    <t>Medina Orcasitas Leovicia Sofia</t>
  </si>
  <si>
    <t>Gonzalez Perez Valofia Oriana</t>
  </si>
  <si>
    <t>Saunsett Burgos Carla Antonia</t>
  </si>
  <si>
    <t>Espinoza Bello Karen Daniela</t>
  </si>
  <si>
    <t>De Freita Nelly</t>
  </si>
  <si>
    <t>Sosa Alvarez Eliangely Nazareth</t>
  </si>
  <si>
    <t>Chirinos Miranda Dulce</t>
  </si>
  <si>
    <t>Barrios Katherin</t>
  </si>
  <si>
    <t>Carreño Espinoza Zuleika Yaxnei</t>
  </si>
  <si>
    <t>Sandoval Lopez Jesvarmy Sofia</t>
  </si>
  <si>
    <t>Medina Diego Alejandro Sofia</t>
  </si>
  <si>
    <t>Ramos Diaz Felix Eduardo</t>
  </si>
  <si>
    <t>Balbas Senaida</t>
  </si>
  <si>
    <t>Bnacho Adriana</t>
  </si>
  <si>
    <t>Contreras Jorly</t>
  </si>
  <si>
    <t>Perez Montilla Ramon</t>
  </si>
  <si>
    <t>Sosa Azueta Jose Luis</t>
  </si>
  <si>
    <t>Medina Parra Fernando Jose</t>
  </si>
  <si>
    <t>Parque Carabobo</t>
  </si>
  <si>
    <t>Cordero Paryo Williams Jose</t>
  </si>
  <si>
    <t>Portalleón III</t>
  </si>
  <si>
    <t>Murillo Montoya Anabella Victoria</t>
  </si>
  <si>
    <t>La Guaira - Tanaguarena</t>
  </si>
  <si>
    <t>Acosta Bastidas Yanels del Valle Carolina</t>
  </si>
  <si>
    <t>Mavelina</t>
  </si>
  <si>
    <t>Yauripanz Lucena Genesis Maria</t>
  </si>
  <si>
    <t>Guarira</t>
  </si>
  <si>
    <t>Polenco Yauripanz Lizan Santiago</t>
  </si>
  <si>
    <t>Loabel Soniz Maria</t>
  </si>
  <si>
    <t>Parice Parice Laian Diaxe</t>
  </si>
  <si>
    <t>Caribe La Guaira</t>
  </si>
  <si>
    <t>Salazar Zambrano Johan Alexander</t>
  </si>
  <si>
    <t>Gonzalez Isturiz Isabel</t>
  </si>
  <si>
    <t>Duon Polencia Giannis Dohany</t>
  </si>
  <si>
    <t>Ordonete</t>
  </si>
  <si>
    <t>Tirado Lovera Yonier David</t>
  </si>
  <si>
    <t>Anaque Wuelte Maria Jose</t>
  </si>
  <si>
    <t>Ramirez de Reyes Barbara Doner</t>
  </si>
  <si>
    <t>Brito Morales Brayan David</t>
  </si>
  <si>
    <t>La Guaira / Caribe</t>
  </si>
  <si>
    <t>Acevedo Miz</t>
  </si>
  <si>
    <t>Palma Mota Jose Antonio</t>
  </si>
  <si>
    <t>Angarita Carrillo Carmen Victoria</t>
  </si>
  <si>
    <t>Colina Angarita Yohandri Abel</t>
  </si>
  <si>
    <t>Baptista Herreros Yerman Emmanuel</t>
  </si>
  <si>
    <t>Diaz Romero Brianyelys Wozerafil</t>
  </si>
  <si>
    <t>Medina Hernandez Hanzer</t>
  </si>
  <si>
    <t>Kennedy</t>
  </si>
  <si>
    <t>Gonzalez Velasquez Fabian Mauricio</t>
  </si>
  <si>
    <t>Martinez Marinez Marlyn Margarita</t>
  </si>
  <si>
    <t>Rodriguez Diaz Yeumis Freddy Alixi</t>
  </si>
  <si>
    <t>Pacheco Diaz Cesar Eduardo</t>
  </si>
  <si>
    <t>Diaz Zorada Stris Adriana</t>
  </si>
  <si>
    <t>Ortiño Manrique Thony</t>
  </si>
  <si>
    <t>Castillo Oscary Agarr</t>
  </si>
  <si>
    <t>Valerin Lucy</t>
  </si>
  <si>
    <t>Gomez Cardona Manuel Adolfo</t>
  </si>
  <si>
    <t>Martinez Martinez Eduardo Rafael</t>
  </si>
  <si>
    <t>Salcedo Perez Joses Jose</t>
  </si>
  <si>
    <t>Valerio Prada Gracy</t>
  </si>
  <si>
    <t>Perlaez Francisco</t>
  </si>
  <si>
    <t>Garcia Velasquez Yaubert Armando</t>
  </si>
  <si>
    <t>Guillen Gonzalez Maria Eugenia</t>
  </si>
  <si>
    <t>Bracamonte Rojas Genesis</t>
  </si>
  <si>
    <t>Pelaez Franger</t>
  </si>
  <si>
    <t>Lopez Davila Thais Bernar</t>
  </si>
  <si>
    <t>Gonzalez Mendez Daniel Alexander</t>
  </si>
  <si>
    <t>Alfonzo Oropeza Eriks Maicob</t>
  </si>
  <si>
    <t>Granado Reator Cristel Naymar</t>
  </si>
  <si>
    <t>Toyes Bautista Matty Carolina</t>
  </si>
  <si>
    <t>Guifarro Viera Rosa Amelia</t>
  </si>
  <si>
    <t>Orozco Duran Casthy</t>
  </si>
  <si>
    <t>Orozco Pelaez Gabriel Diego</t>
  </si>
  <si>
    <t>Vergara Blanco Brontzi</t>
  </si>
  <si>
    <t>Rodriguez Olivo Joelinger Jesus</t>
  </si>
  <si>
    <t>Perez Bluangelyi Valentina</t>
  </si>
  <si>
    <t>Ortiz Arismendi Pluno Enrique</t>
  </si>
  <si>
    <t>Oropeza Oropeza Hander</t>
  </si>
  <si>
    <t>Padilla Marcano Pengelia Anais</t>
  </si>
  <si>
    <t>Gutierrez Romero Barbara Nadiuska</t>
  </si>
  <si>
    <t>Renez Vargas Emily Stefanny</t>
  </si>
  <si>
    <t>Sandoval Adriana</t>
  </si>
  <si>
    <t>Traslados con destino asignado</t>
  </si>
  <si>
    <t>Miranda Torres Victoria Reina</t>
  </si>
  <si>
    <t>Ceballos Granado</t>
  </si>
  <si>
    <t>Brito Pirreso Samuel</t>
  </si>
  <si>
    <t>Galuez Alfonso Sanchez Valentina</t>
  </si>
  <si>
    <t>Ozyana Rodriguez Maleny Alexandra</t>
  </si>
  <si>
    <t>Garcia Martins Kelman Bergana</t>
  </si>
  <si>
    <t>Bolivar Carlos</t>
  </si>
  <si>
    <t>Gargallote Emmanuela Mileth Yaneth</t>
  </si>
  <si>
    <t>Artiles Gabriel</t>
  </si>
  <si>
    <t>Caruzo Mendoza Diego</t>
  </si>
  <si>
    <t>Torres Alexis Jose Modesto</t>
  </si>
  <si>
    <t>Fernandez Andrea Naimar</t>
  </si>
  <si>
    <t>Sojo Cassandra</t>
  </si>
  <si>
    <t>Fernandez Pineda Ana</t>
  </si>
  <si>
    <t>Mattoq Vilca Jose</t>
  </si>
  <si>
    <t>Stable Jonia</t>
  </si>
  <si>
    <t>Naves Vidal Marcela</t>
  </si>
  <si>
    <t>Gonzalez Gabriel</t>
  </si>
  <si>
    <t>De Mezcalas Larga Crixon Zenida</t>
  </si>
  <si>
    <t>Gonzalez Eliyana</t>
  </si>
  <si>
    <t>Torres Saez Jenny / Carlo</t>
  </si>
  <si>
    <t>Park Jacob</t>
  </si>
  <si>
    <t>Donato Galas Marino Magdalena</t>
  </si>
  <si>
    <t>Whistlo Jesus Isaac</t>
  </si>
  <si>
    <t>Millman Alejandro</t>
  </si>
  <si>
    <t>Lozada Belkys Marinda</t>
  </si>
  <si>
    <t>Greco Romaro Asly Danirse</t>
  </si>
  <si>
    <t>Gonzalo Luisa Veronica</t>
  </si>
  <si>
    <t>Carlos Pacheco</t>
  </si>
  <si>
    <t>Carreño Romero Dory Jose</t>
  </si>
  <si>
    <t>Macuto / (otro destino, ilegible)</t>
  </si>
  <si>
    <t>Romero Duque Yaubelin Whaphira</t>
  </si>
  <si>
    <t>Tanaguarena Tour Sereyo Tina</t>
  </si>
  <si>
    <t>Dosbico Mateu</t>
  </si>
  <si>
    <t>Jerry Real Joel</t>
  </si>
  <si>
    <t>Hordoa Anderson</t>
  </si>
  <si>
    <t>Quintero Alfredo</t>
  </si>
  <si>
    <t>Playa Tury</t>
  </si>
  <si>
    <t>Reverdo Isabela</t>
  </si>
  <si>
    <t>Figeroa Mortin Luis</t>
  </si>
  <si>
    <t>Medina Almondo</t>
  </si>
  <si>
    <t>Tanaguarena / Playa Grande</t>
  </si>
  <si>
    <t>Vargas Damian</t>
  </si>
  <si>
    <t>Rodriguez Yulaity</t>
  </si>
  <si>
    <t>Gonzalez Lesedi</t>
  </si>
  <si>
    <t>Caira</t>
  </si>
  <si>
    <t>Aliongo Maria</t>
  </si>
  <si>
    <t>Oleo Alfian</t>
  </si>
  <si>
    <t>Mendoza Luz</t>
  </si>
  <si>
    <t>Luyano Elsn</t>
  </si>
  <si>
    <t>La Guaira Caribe</t>
  </si>
  <si>
    <t>Inpante Ithaleng</t>
  </si>
  <si>
    <t>Finoris Yimmy</t>
  </si>
  <si>
    <t>Junquito Tury</t>
  </si>
  <si>
    <t>Mayora Maria</t>
  </si>
  <si>
    <t>Halave Tamora</t>
  </si>
  <si>
    <t>Sanchorzal</t>
  </si>
  <si>
    <t>Mendoza Molinar</t>
  </si>
  <si>
    <t>La Gaira Tanaguarena</t>
  </si>
  <si>
    <t>Torrealba Victor</t>
  </si>
  <si>
    <t>La Vega</t>
  </si>
  <si>
    <t>Fernanda Daniliza</t>
  </si>
  <si>
    <t>La Guaira - Carballeda</t>
  </si>
  <si>
    <t>Eman Gladys</t>
  </si>
  <si>
    <t>La Guaira - Catia</t>
  </si>
  <si>
    <t>Castillo Sigaone</t>
  </si>
  <si>
    <t>Contreras Yarelis</t>
  </si>
  <si>
    <t>Torrente Yorelda</t>
  </si>
  <si>
    <t>Larez Gilo</t>
  </si>
  <si>
    <t>Granpelo Felisstrino</t>
  </si>
  <si>
    <t>Yacar Pdet</t>
  </si>
  <si>
    <t>Jara Jesus</t>
  </si>
  <si>
    <t>La Guaira / Carballeda</t>
  </si>
  <si>
    <t>Quenan Yidner</t>
  </si>
  <si>
    <t>Playa Grande, La Guaira</t>
  </si>
  <si>
    <t>Melendez Pastran Cleinys Bigundre</t>
  </si>
  <si>
    <t>La Guaira - Playa Caribe Iscaca</t>
  </si>
  <si>
    <t>Garcia Melendez Oleins Valentina</t>
  </si>
  <si>
    <t>Garcia Verde Gabriel Ezequil</t>
  </si>
  <si>
    <t>Esteves Carreño Yolinnys Alberto</t>
  </si>
  <si>
    <t>La Guaira - Playa Grande</t>
  </si>
  <si>
    <t>Malave Cordero Alani Isabela</t>
  </si>
  <si>
    <t>Catia / Agua Sosa</t>
  </si>
  <si>
    <t>Diaz Hirmenia</t>
  </si>
  <si>
    <t>Cordero Galaxis Josefina</t>
  </si>
  <si>
    <t>La Guaira - Caribe</t>
  </si>
  <si>
    <t>Leon Yulbet</t>
  </si>
  <si>
    <t>Aeron Sarmiento Sofia</t>
  </si>
  <si>
    <t>Zarmiento Bristida</t>
  </si>
  <si>
    <t>Delgado Torres Maoly</t>
  </si>
  <si>
    <t>Jaimes Gobeth</t>
  </si>
  <si>
    <t>Cordona Dayana</t>
  </si>
  <si>
    <t>Barcelo Diego</t>
  </si>
  <si>
    <t>Sejja Peña Valenis</t>
  </si>
  <si>
    <t>Semaruco / Tuy</t>
  </si>
  <si>
    <t>Ortega Cristofer</t>
  </si>
  <si>
    <t>Aponte Borges Carlos</t>
  </si>
  <si>
    <t>Materano Elizabeth</t>
  </si>
  <si>
    <t>Riniguez Yorinef</t>
  </si>
  <si>
    <t>Blanco Luis</t>
  </si>
  <si>
    <t>El Bolivar</t>
  </si>
  <si>
    <t>Ortega Isidor</t>
  </si>
  <si>
    <t>Salazar Eddy</t>
  </si>
  <si>
    <t>El Valle</t>
  </si>
  <si>
    <t>Riego Yenires</t>
  </si>
  <si>
    <t>Riego Enrique</t>
  </si>
  <si>
    <t>Jokan West</t>
  </si>
  <si>
    <t>Camurichito</t>
  </si>
  <si>
    <t>Quenales Justine</t>
  </si>
  <si>
    <t>Macondo Lis</t>
  </si>
  <si>
    <t>La Guaira - Los Corales</t>
  </si>
  <si>
    <t>Tion</t>
  </si>
  <si>
    <t>Riz Bello Sanchez</t>
  </si>
  <si>
    <t>Montes Yaxonio</t>
  </si>
  <si>
    <t>Fajardo Roniel</t>
  </si>
  <si>
    <t>Horoaria Galimar</t>
  </si>
  <si>
    <t>Coronado Yasenia</t>
  </si>
  <si>
    <t>Guarroro Willy</t>
  </si>
  <si>
    <t>Porras Douglas</t>
  </si>
  <si>
    <t>Porras Castro</t>
  </si>
  <si>
    <t>Castillo Landi</t>
  </si>
  <si>
    <t>La Guaira Playa Grande</t>
  </si>
  <si>
    <t>Coni La Castro Leidi Jarome</t>
  </si>
  <si>
    <t>La Guaira / Tanaguarena</t>
  </si>
  <si>
    <t>Reina Marco</t>
  </si>
  <si>
    <t>Buenaño Juan</t>
  </si>
  <si>
    <t>Martinez Flores Clarangela</t>
  </si>
  <si>
    <t>Gutierrez Fabricio</t>
  </si>
  <si>
    <t>Briceño Amilcar</t>
  </si>
  <si>
    <t>Diaz Briggith</t>
  </si>
  <si>
    <t>La Guaira / Anzi</t>
  </si>
  <si>
    <t>Padra Noe Isabel</t>
  </si>
  <si>
    <t>Escobar Chrismo Yoiler</t>
  </si>
  <si>
    <t>Martinez Madiuska</t>
  </si>
  <si>
    <t>Sur La Vida</t>
  </si>
  <si>
    <t>Mariño Amilcar</t>
  </si>
  <si>
    <t>Rodriguez Glendy</t>
  </si>
  <si>
    <t>Bramaneon</t>
  </si>
  <si>
    <t>Andrade de Vieira</t>
  </si>
  <si>
    <t>La Susana</t>
  </si>
  <si>
    <t>Mendoza Nerva Vejia</t>
  </si>
  <si>
    <t>Mendoza Sebastian</t>
  </si>
  <si>
    <t>Polido Morales Yule</t>
  </si>
  <si>
    <t>La Guaira - Los emales</t>
  </si>
  <si>
    <t>Mahtriam Maulette</t>
  </si>
  <si>
    <t>Honorato</t>
  </si>
  <si>
    <t>Herrera Lobo Alfonzo</t>
  </si>
  <si>
    <t>5/0-3</t>
  </si>
  <si>
    <t>Yoredes Reyes Angel</t>
  </si>
  <si>
    <t>Marc Isabel - Guaira</t>
  </si>
  <si>
    <t>Hemonda Romirez Maite</t>
  </si>
  <si>
    <t>Reisi Rodriguez La Guaira</t>
  </si>
  <si>
    <t>Sala Camila</t>
  </si>
  <si>
    <t>La Guaira - Punta Mulato</t>
  </si>
  <si>
    <t>Mieles Torres Andres</t>
  </si>
  <si>
    <t>Romirez Hilary Xarielys</t>
  </si>
  <si>
    <t>Caamare del Tuy</t>
  </si>
  <si>
    <t>Moreno Dimexis</t>
  </si>
  <si>
    <t>Pinoz Pucigro</t>
  </si>
  <si>
    <t>Liseno Wladmir</t>
  </si>
  <si>
    <t>La Seneo Tatiana</t>
  </si>
  <si>
    <t>La Guaira - Tanaguarena Sur</t>
  </si>
  <si>
    <t>Alvarado Contrera Yorgyn Andres</t>
  </si>
  <si>
    <t>Mayora Angelica</t>
  </si>
  <si>
    <t>La Guaira - Carballeda / Aktl</t>
  </si>
  <si>
    <t>INGRESOS POR SISMO EN HOSPITALES — Consolidado 25/06/2026, 2:25pm</t>
  </si>
  <si>
    <t>Apellidos y Nombre</t>
  </si>
  <si>
    <t>Cédula</t>
  </si>
  <si>
    <t>Sexo</t>
  </si>
  <si>
    <t>Procedencia</t>
  </si>
  <si>
    <t>Hospital</t>
  </si>
  <si>
    <t>Fecha / Hora actualización</t>
  </si>
  <si>
    <t>Servicio</t>
  </si>
  <si>
    <t>Abdly Abdelys</t>
  </si>
  <si>
    <t>Hospital Ricardo Baquero Gonzalez</t>
  </si>
  <si>
    <t>25/6/26</t>
  </si>
  <si>
    <t>Cirugia General</t>
  </si>
  <si>
    <t>Abello Matilde</t>
  </si>
  <si>
    <t>Hospital Domingo Luciani (El Llanito)</t>
  </si>
  <si>
    <t>25/6/26 pm</t>
  </si>
  <si>
    <t>Abello Wilmari</t>
  </si>
  <si>
    <t>F</t>
  </si>
  <si>
    <t>Petare</t>
  </si>
  <si>
    <t>25/6/26 1:50am</t>
  </si>
  <si>
    <t>Abreu Ana</t>
  </si>
  <si>
    <t>Abreu Emma</t>
  </si>
  <si>
    <t>Sabana Grande</t>
  </si>
  <si>
    <t>Abreu Jose</t>
  </si>
  <si>
    <t>M</t>
  </si>
  <si>
    <t>Abreu Paulina</t>
  </si>
  <si>
    <t>Acosta Alexander</t>
  </si>
  <si>
    <t>Acosta Ali</t>
  </si>
  <si>
    <t>Acosta Hasael</t>
  </si>
  <si>
    <t>Acosta Isael</t>
  </si>
  <si>
    <t>Acosta Israel</t>
  </si>
  <si>
    <t>Acosta Yaneli</t>
  </si>
  <si>
    <t>Hospital Perez Carreño</t>
  </si>
  <si>
    <t>24/6/26 11:54pm</t>
  </si>
  <si>
    <t>Acosta Yolerfan</t>
  </si>
  <si>
    <t>Aguilera Ana</t>
  </si>
  <si>
    <t>Alayon Suhyn</t>
  </si>
  <si>
    <t>Albe Manuel</t>
  </si>
  <si>
    <t>NR</t>
  </si>
  <si>
    <t>Alcantara Amalis</t>
  </si>
  <si>
    <t>Alvarez Wilian</t>
  </si>
  <si>
    <t>Antequia Mayuli</t>
  </si>
  <si>
    <t>Arana Eduar</t>
  </si>
  <si>
    <t>Arrieta Dolis</t>
  </si>
  <si>
    <t>Arrieta Doris</t>
  </si>
  <si>
    <t>Arrieta Oyola Doris</t>
  </si>
  <si>
    <t>Arteaga Aide</t>
  </si>
  <si>
    <t>Arteaga Gladys</t>
  </si>
  <si>
    <t>Azocar Valeria</t>
  </si>
  <si>
    <t>Balbuena Wilmer</t>
  </si>
  <si>
    <t>Balbueno Wilmer</t>
  </si>
  <si>
    <t>Baraja Andres</t>
  </si>
  <si>
    <t>Barreto Ricardo</t>
  </si>
  <si>
    <t>Bastardo Veronica</t>
  </si>
  <si>
    <t>Bastida Adriana</t>
  </si>
  <si>
    <t>Becerra Leonardo</t>
  </si>
  <si>
    <t>Benedetti Yorlianis</t>
  </si>
  <si>
    <t>Bernal Marcela</t>
  </si>
  <si>
    <t>Betancourt Maria</t>
  </si>
  <si>
    <t>Bisbal Clara</t>
  </si>
  <si>
    <t>Blanco Carmen</t>
  </si>
  <si>
    <t>Blanco Jose</t>
  </si>
  <si>
    <t>Blanco Yessika</t>
  </si>
  <si>
    <t>PISO 2</t>
  </si>
  <si>
    <t>Bompard Rodni</t>
  </si>
  <si>
    <t>Bosparte Ronny</t>
  </si>
  <si>
    <t>Boweyo Jose</t>
  </si>
  <si>
    <t>Bracamonte Genesis</t>
  </si>
  <si>
    <t>Brizuela Gabriel</t>
  </si>
  <si>
    <t>Bueno Merido</t>
  </si>
  <si>
    <t>Cabarca Yenderlin</t>
  </si>
  <si>
    <t>Cabrera Karina</t>
  </si>
  <si>
    <t>TRAUMA</t>
  </si>
  <si>
    <t>Caceres Eloise</t>
  </si>
  <si>
    <t>Caceres Nathalia</t>
  </si>
  <si>
    <t>Caceres Patricia</t>
  </si>
  <si>
    <t>Caldera Lewis</t>
  </si>
  <si>
    <t>Cardenas Alexandra</t>
  </si>
  <si>
    <t>Cardozo Carla</t>
  </si>
  <si>
    <t>Carrillo Yasmin</t>
  </si>
  <si>
    <t>Carrizo Viviana</t>
  </si>
  <si>
    <t>Castañeda Maria</t>
  </si>
  <si>
    <t>Castaño Carlos</t>
  </si>
  <si>
    <t>Castaño Danna</t>
  </si>
  <si>
    <t>Castellano Jose</t>
  </si>
  <si>
    <t>Castillo Ayari</t>
  </si>
  <si>
    <t>Castillo Victoria</t>
  </si>
  <si>
    <t>Castro Juan</t>
  </si>
  <si>
    <t>Chacon Carlos</t>
  </si>
  <si>
    <t>Chacon Elizabeth</t>
  </si>
  <si>
    <t>Chavez Meri</t>
  </si>
  <si>
    <t>Chirinos Alexandra</t>
  </si>
  <si>
    <t>Cisnero Roja</t>
  </si>
  <si>
    <t>Coa Deivis</t>
  </si>
  <si>
    <t>Colmenares Darwin</t>
  </si>
  <si>
    <t>Cordero Yadira</t>
  </si>
  <si>
    <t>Cordoba Eduanyelis</t>
  </si>
  <si>
    <t>Cordova Arnaldo</t>
  </si>
  <si>
    <t>Coronel Yonel</t>
  </si>
  <si>
    <t>Cortez Noeli</t>
  </si>
  <si>
    <t>Cortez Yorimar</t>
  </si>
  <si>
    <t>Cuyan Fran</t>
  </si>
  <si>
    <t>De Abreu Geraldine</t>
  </si>
  <si>
    <t>De Anzola Manuela</t>
  </si>
  <si>
    <t>Deagrela Jose</t>
  </si>
  <si>
    <t>Delgado Edimar</t>
  </si>
  <si>
    <t>San Martin</t>
  </si>
  <si>
    <t>Diaz Ana</t>
  </si>
  <si>
    <t>Divito Rosa</t>
  </si>
  <si>
    <t>Drana Eduar</t>
  </si>
  <si>
    <t>Escalona Ivis</t>
  </si>
  <si>
    <t>Escalona Joaquin</t>
  </si>
  <si>
    <t>Estevez Johnson</t>
  </si>
  <si>
    <t>Fernandez Ana</t>
  </si>
  <si>
    <t>Fernandez Angel</t>
  </si>
  <si>
    <t>Fernandez Efrain</t>
  </si>
  <si>
    <t>Fernandez Neisy</t>
  </si>
  <si>
    <t>Fernandez Rodrigo</t>
  </si>
  <si>
    <t>Frontado Miel</t>
  </si>
  <si>
    <t>Qx</t>
  </si>
  <si>
    <t>Fuentes Alberto</t>
  </si>
  <si>
    <t>Fuentes Galvis Alberto</t>
  </si>
  <si>
    <t>Garavito Espitia Yohany</t>
  </si>
  <si>
    <t>Garcia Albani</t>
  </si>
  <si>
    <t>Garcia Diaz Yenni Fernanda</t>
  </si>
  <si>
    <t>Garcia Diego</t>
  </si>
  <si>
    <t>Garcia Heilimar</t>
  </si>
  <si>
    <t>Garcia Jolisbe</t>
  </si>
  <si>
    <t>Garcia Juver</t>
  </si>
  <si>
    <t>Garcia Keilimar</t>
  </si>
  <si>
    <t>Georrin Valella</t>
  </si>
  <si>
    <t>Gil Cristofer</t>
  </si>
  <si>
    <t>Godoy Eric</t>
  </si>
  <si>
    <t>Gomez Manuel</t>
  </si>
  <si>
    <t>Goncalvez Gabriel</t>
  </si>
  <si>
    <t>Gonzalez Albimar</t>
  </si>
  <si>
    <t>Gonzalez Alexander</t>
  </si>
  <si>
    <t>Gonzalez Alexandra</t>
  </si>
  <si>
    <t>Gonzalez Daiberly</t>
  </si>
  <si>
    <t>Gonzalez Elizabeth</t>
  </si>
  <si>
    <t>Gonzalez Isabel</t>
  </si>
  <si>
    <t>Gonzalez Mileibis</t>
  </si>
  <si>
    <t>Gonzalez Olga</t>
  </si>
  <si>
    <t>Gonzalez Rafael</t>
  </si>
  <si>
    <t>Gonzalez Stephany</t>
  </si>
  <si>
    <t>Gonzalez Valeri</t>
  </si>
  <si>
    <t>Gonzalez Valeria</t>
  </si>
  <si>
    <t>Gonzalez Yaneska</t>
  </si>
  <si>
    <t>Gonzalez Yurmis</t>
  </si>
  <si>
    <t>Gosling Raymond</t>
  </si>
  <si>
    <t>Goyo Rafael</t>
  </si>
  <si>
    <t>Granado Crisbel</t>
  </si>
  <si>
    <t>Gualina Padron Efren</t>
  </si>
  <si>
    <t>Guapini Efren</t>
  </si>
  <si>
    <t>P2</t>
  </si>
  <si>
    <t>Guerra Emira</t>
  </si>
  <si>
    <t>Guerra Evelin</t>
  </si>
  <si>
    <t>Guerrero Deiverson</t>
  </si>
  <si>
    <t>Guessu Estefani</t>
  </si>
  <si>
    <t>Guillen Maria</t>
  </si>
  <si>
    <t>Gutierrez Jose</t>
  </si>
  <si>
    <t>Guzman Angelica</t>
  </si>
  <si>
    <t>Hanma Antonio</t>
  </si>
  <si>
    <t>Hernandez Cruz</t>
  </si>
  <si>
    <t>Herrero Merlano Gladiuska</t>
  </si>
  <si>
    <t>Hidalgo Elianni</t>
  </si>
  <si>
    <t>Ibarra Ana</t>
  </si>
  <si>
    <t>Ibarra Wuikmer/Wilmer</t>
  </si>
  <si>
    <t>Idalgo Elianni</t>
  </si>
  <si>
    <t>Iglesias Ibsen</t>
  </si>
  <si>
    <t>Iscala Yenny</t>
  </si>
  <si>
    <t>Izquierdo Jean</t>
  </si>
  <si>
    <t>Jaimez Ruben Dario</t>
  </si>
  <si>
    <t>Jimenez Axiel</t>
  </si>
  <si>
    <t>La Verde Victor</t>
  </si>
  <si>
    <t>Lander Sebastian</t>
  </si>
  <si>
    <t>Lemus Dilcia</t>
  </si>
  <si>
    <t>Leon Gonzalo</t>
  </si>
  <si>
    <t>Liscano Pedro</t>
  </si>
  <si>
    <t>Chacaito</t>
  </si>
  <si>
    <t>Lopez Dukar</t>
  </si>
  <si>
    <t>Lopez Edis</t>
  </si>
  <si>
    <t>Lopez Francisca</t>
  </si>
  <si>
    <t>Lopez Franleydi</t>
  </si>
  <si>
    <t>Lopez Haddy</t>
  </si>
  <si>
    <t>Lopez Ingrid</t>
  </si>
  <si>
    <t>Lopez Mailin</t>
  </si>
  <si>
    <t>Lopez Nazare</t>
  </si>
  <si>
    <t>Lopez Thais</t>
  </si>
  <si>
    <t>Lopez Valeria</t>
  </si>
  <si>
    <t>Loyo Visbal Clara</t>
  </si>
  <si>
    <t>Lu Dingpi</t>
  </si>
  <si>
    <t>Machado Anabela</t>
  </si>
  <si>
    <t>Marabito Espitia Joseani</t>
  </si>
  <si>
    <t>Marcano Katiuska</t>
  </si>
  <si>
    <t>Marcano Rosa</t>
  </si>
  <si>
    <t>Marcano Yenni</t>
  </si>
  <si>
    <t>Marquez Cesar</t>
  </si>
  <si>
    <t>Marrero Crismaly</t>
  </si>
  <si>
    <t>Marrero Yorgelis</t>
  </si>
  <si>
    <t>Martinez Jesus</t>
  </si>
  <si>
    <t>Martinez Johan</t>
  </si>
  <si>
    <t>Martinez Wuilliams</t>
  </si>
  <si>
    <t>Martinez Zoraida</t>
  </si>
  <si>
    <t>Mayora Gustavo</t>
  </si>
  <si>
    <t>Mayore Elita</t>
  </si>
  <si>
    <t>Medina Francis</t>
  </si>
  <si>
    <t>Medina Nathaelia/Nathacha</t>
  </si>
  <si>
    <t>Mendez Yesiree</t>
  </si>
  <si>
    <t>Mendoza Ana</t>
  </si>
  <si>
    <t>Mendoza Mario</t>
  </si>
  <si>
    <t>Mendoza Reina</t>
  </si>
  <si>
    <t>Mijares Celiana</t>
  </si>
  <si>
    <t>Milano Gladiuska</t>
  </si>
  <si>
    <t>Millan Soilet</t>
  </si>
  <si>
    <t>Miranda Victoria</t>
  </si>
  <si>
    <t>Molina Nayibi</t>
  </si>
  <si>
    <t>Montilla Nancy</t>
  </si>
  <si>
    <t>Montolla Maria</t>
  </si>
  <si>
    <t>Mora Kimberly</t>
  </si>
  <si>
    <t>Morales Lesvia</t>
  </si>
  <si>
    <t>Morales Maria</t>
  </si>
  <si>
    <t>Morillo Anabela</t>
  </si>
  <si>
    <t>Moyano Jaime</t>
  </si>
  <si>
    <t>Muñon Mariangel</t>
  </si>
  <si>
    <t>Muñoz Gema</t>
  </si>
  <si>
    <t>Muñoz Josefina</t>
  </si>
  <si>
    <t>Navas Yodalis</t>
  </si>
  <si>
    <t>Noguera Fabian</t>
  </si>
  <si>
    <t>Novis Candelario</t>
  </si>
  <si>
    <t>Obregon Diego</t>
  </si>
  <si>
    <t>Ojeda Carlos</t>
  </si>
  <si>
    <t>Ojeda Yontaco</t>
  </si>
  <si>
    <t>Omaciento Sebastian</t>
  </si>
  <si>
    <t>Ordaz Luisana</t>
  </si>
  <si>
    <t>Oropeza Catia</t>
  </si>
  <si>
    <t>Oropeza Lourdes</t>
  </si>
  <si>
    <t>Oropeza Socorro</t>
  </si>
  <si>
    <t>Orozco Yusbelis</t>
  </si>
  <si>
    <t>Ortiz Alvaro</t>
  </si>
  <si>
    <t>Ortuño Yonny</t>
  </si>
  <si>
    <t>Pacheco Cesar</t>
  </si>
  <si>
    <t>Padilla Rodoski</t>
  </si>
  <si>
    <t>Padron Jesus Cirilo</t>
  </si>
  <si>
    <t>Palacio Jhon</t>
  </si>
  <si>
    <t>Palma Milagro</t>
  </si>
  <si>
    <t>Pantoja Rainer</t>
  </si>
  <si>
    <t>Pantoja Toni</t>
  </si>
  <si>
    <t>Paredes Yudi</t>
  </si>
  <si>
    <t>Paredez Cruzcenaida</t>
  </si>
  <si>
    <t>Parra Estefania</t>
  </si>
  <si>
    <t>Parra Gabriela</t>
  </si>
  <si>
    <t>Parra Misel Gabriela</t>
  </si>
  <si>
    <t>Pedro Jesus</t>
  </si>
  <si>
    <t>Perdomo Valeria</t>
  </si>
  <si>
    <t>Pereira Villamizar Maria Isabel</t>
  </si>
  <si>
    <t>Perez Ariani</t>
  </si>
  <si>
    <t>Perez David</t>
  </si>
  <si>
    <t>Perez Enrique</t>
  </si>
  <si>
    <t>Perez Francisca</t>
  </si>
  <si>
    <t>Perez Francisco</t>
  </si>
  <si>
    <t>Perez Katiuska</t>
  </si>
  <si>
    <t>Perez Misarra</t>
  </si>
  <si>
    <t>Peroza Hilary</t>
  </si>
  <si>
    <t>Peroza Samuel</t>
  </si>
  <si>
    <t>Pestano Margaret</t>
  </si>
  <si>
    <t>Piñero Sebastian</t>
  </si>
  <si>
    <t>Planas Jose</t>
  </si>
  <si>
    <t>Portillo Omar</t>
  </si>
  <si>
    <t>Quintero Barbara</t>
  </si>
  <si>
    <t>Quintero Crisdeilis</t>
  </si>
  <si>
    <t>Ramirez Escalante Mariangel</t>
  </si>
  <si>
    <t>Ramirez Jose</t>
  </si>
  <si>
    <t>Ramirez Oriana</t>
  </si>
  <si>
    <t>Ramirez Yilmar</t>
  </si>
  <si>
    <t>Ramos/Silva Maryelis</t>
  </si>
  <si>
    <t>Rengifo Deili</t>
  </si>
  <si>
    <t>Rengifo Guillermina</t>
  </si>
  <si>
    <t>Rey Jennal</t>
  </si>
  <si>
    <t>Rey Jennicel</t>
  </si>
  <si>
    <t>Ribas Fabiana</t>
  </si>
  <si>
    <t>Rivas Frankenil</t>
  </si>
  <si>
    <t>Rivas Lopez Francis</t>
  </si>
  <si>
    <t>Rivero Daniel</t>
  </si>
  <si>
    <t>Macaracuay</t>
  </si>
  <si>
    <t>Rivero Karleidi</t>
  </si>
  <si>
    <t>Rodoski Padilla</t>
  </si>
  <si>
    <t>Rodriguez Eduardo</t>
  </si>
  <si>
    <t>Rodriguez Kiara Antonia</t>
  </si>
  <si>
    <t>Rodriguez Maikel</t>
  </si>
  <si>
    <t>Rojas Rafael</t>
  </si>
  <si>
    <t>Romero Jose</t>
  </si>
  <si>
    <t>Rondon Angel</t>
  </si>
  <si>
    <t>Rondon Dayana</t>
  </si>
  <si>
    <t>Rondon Fran</t>
  </si>
  <si>
    <t>Rosier Liz</t>
  </si>
  <si>
    <t>Rueda Jose</t>
  </si>
  <si>
    <t>Salazar Arturo</t>
  </si>
  <si>
    <t>Salazar Juan</t>
  </si>
  <si>
    <t>Sanchez Jose</t>
  </si>
  <si>
    <t>Sandoval Doris</t>
  </si>
  <si>
    <t>Semeria Irllis</t>
  </si>
  <si>
    <t>Sequera Blanco Sofia</t>
  </si>
  <si>
    <t>Sequera Sofia</t>
  </si>
  <si>
    <t>Serrano Gonzalez Nancy</t>
  </si>
  <si>
    <t>Serrano Nancy</t>
  </si>
  <si>
    <t>Silva Ibrahim</t>
  </si>
  <si>
    <t>Silva Indiana</t>
  </si>
  <si>
    <t>Sivira Leoneidy</t>
  </si>
  <si>
    <t>Solorzano Amar Ño</t>
  </si>
  <si>
    <t>Somoza Riand</t>
  </si>
  <si>
    <t>Sosa Emilia</t>
  </si>
  <si>
    <t>Soza Alejandra</t>
  </si>
  <si>
    <t>Spinola Kelly</t>
  </si>
  <si>
    <t>Stabilito Amilcar</t>
  </si>
  <si>
    <t>Suarez Granado Rene</t>
  </si>
  <si>
    <t>Suarez Rene</t>
  </si>
  <si>
    <t>Sucre Petra</t>
  </si>
  <si>
    <t>Teran Audia</t>
  </si>
  <si>
    <t>Teran Tenia</t>
  </si>
  <si>
    <t>Torrealba Nuvia</t>
  </si>
  <si>
    <t>Torrealba Rodriguez Sebastian</t>
  </si>
  <si>
    <t>Ciudad Caribia</t>
  </si>
  <si>
    <t>JM de los Rios (Hosp. de Niños)</t>
  </si>
  <si>
    <t>Torres Isabel</t>
  </si>
  <si>
    <t>Torres Milagros</t>
  </si>
  <si>
    <t>Tortoso Oscar</t>
  </si>
  <si>
    <t>Tovar Luisana</t>
  </si>
  <si>
    <t>Tovar Yeison</t>
  </si>
  <si>
    <t>Trigoso Carlo</t>
  </si>
  <si>
    <t>Trujillo Elian</t>
  </si>
  <si>
    <t>Urbina Moises</t>
  </si>
  <si>
    <t>Uribe Veronica</t>
  </si>
  <si>
    <t>Valero Fleici</t>
  </si>
  <si>
    <t>Varya Carmen</t>
  </si>
  <si>
    <t>Vascoceto Andreina</t>
  </si>
  <si>
    <t>Vasconcelo Andreina</t>
  </si>
  <si>
    <t>Vasquez Luis</t>
  </si>
  <si>
    <t>Sin familiar</t>
  </si>
  <si>
    <t>Vega Samuel</t>
  </si>
  <si>
    <t>Velazquez Carmen</t>
  </si>
  <si>
    <t>Viera Rosalinda</t>
  </si>
  <si>
    <t>Vilchez Brayan</t>
  </si>
  <si>
    <t>Vovis Candelario</t>
  </si>
  <si>
    <t>Winchester Kellys</t>
  </si>
  <si>
    <t>Wu Hua Juan</t>
  </si>
  <si>
    <t>Wu Susup</t>
  </si>
  <si>
    <t>Yanes Silvia</t>
  </si>
  <si>
    <t>Yegue Eiban</t>
  </si>
  <si>
    <t>Zambrano Domini</t>
  </si>
  <si>
    <t>HOSPITAL DOMINGO LUCIANI</t>
  </si>
  <si>
    <t>Paulina Abreu</t>
  </si>
  <si>
    <t>Abelb Wilmar</t>
  </si>
  <si>
    <t>Aide Asteaga</t>
  </si>
  <si>
    <t>Albedo Fuentes Galus</t>
  </si>
  <si>
    <t>Alexander Acosta</t>
  </si>
  <si>
    <t>Alexander Castaño</t>
  </si>
  <si>
    <t>Alexander Gonzalez</t>
  </si>
  <si>
    <t>Ama Hilders</t>
  </si>
  <si>
    <t>Amaldo Cordova</t>
  </si>
  <si>
    <t>Ana Hildei</t>
  </si>
  <si>
    <t>Ana Ibarra</t>
  </si>
  <si>
    <t>Anabella Machado</t>
  </si>
  <si>
    <t>Anderson Rosa</t>
  </si>
  <si>
    <t>Andreana Vascacelo</t>
  </si>
  <si>
    <t>Andrevna Vasconulo</t>
  </si>
  <si>
    <t>Arbeto Fuentes</t>
  </si>
  <si>
    <t>Arturo Salazer</t>
  </si>
  <si>
    <t>Arturo Salugar</t>
  </si>
  <si>
    <t>Astrid Hender</t>
  </si>
  <si>
    <t>Axel Lihenez</t>
  </si>
  <si>
    <t>Axiel Jimenez</t>
  </si>
  <si>
    <t>Bamy Zamora</t>
  </si>
  <si>
    <t>Carina Cabrera</t>
  </si>
  <si>
    <t>Carla Cardozo</t>
  </si>
  <si>
    <t>Carlos Castaño</t>
  </si>
  <si>
    <t>Carlos Chacón</t>
  </si>
  <si>
    <t>Carlos Gonzalez</t>
  </si>
  <si>
    <t>Carmen Blanco</t>
  </si>
  <si>
    <t>Carmen Blanco Briceño</t>
  </si>
  <si>
    <t>Cladiska Herrera</t>
  </si>
  <si>
    <t>cladiska Milano</t>
  </si>
  <si>
    <t>Clara Bustal</t>
  </si>
  <si>
    <t>Clara Lorio Uisbal</t>
  </si>
  <si>
    <t>Corbos Chacón</t>
  </si>
  <si>
    <t>Datis Arrieta</t>
  </si>
  <si>
    <t>Deily Hernandez</t>
  </si>
  <si>
    <t>Demma Casteño</t>
  </si>
  <si>
    <t>Diego Obregon</t>
  </si>
  <si>
    <t>Dios Arriero oyola</t>
  </si>
  <si>
    <t>Doris Arreta</t>
  </si>
  <si>
    <t>Edimar Delgado</t>
  </si>
  <si>
    <t>Efren Gualne Padron</t>
  </si>
  <si>
    <t>Efren Guapni</t>
  </si>
  <si>
    <t>Elian Trujillo</t>
  </si>
  <si>
    <t>Eliomar Reyes</t>
  </si>
  <si>
    <t>Ema Cordova</t>
  </si>
  <si>
    <t>Emili Fernandez</t>
  </si>
  <si>
    <t>Erino Podern Erris</t>
  </si>
  <si>
    <t>Espinosa Gonatulio</t>
  </si>
  <si>
    <t>Evelyn Broda</t>
  </si>
  <si>
    <t>Fania Parra Este</t>
  </si>
  <si>
    <t>Fraim Riuos Loper</t>
  </si>
  <si>
    <t>Frankenl Reyes</t>
  </si>
  <si>
    <t>Gabriela Para</t>
  </si>
  <si>
    <t>Gabriela Para Misol</t>
  </si>
  <si>
    <t>Gabriela Parra</t>
  </si>
  <si>
    <t>Gabriela Ramirez</t>
  </si>
  <si>
    <t>Haiddy Lopez</t>
  </si>
  <si>
    <t>Hasael Acosta</t>
  </si>
  <si>
    <t>Helen Salazar</t>
  </si>
  <si>
    <t>Horia Castañeda</t>
  </si>
  <si>
    <t>Ileida Roda</t>
  </si>
  <si>
    <t>Ioan Martinez</t>
  </si>
  <si>
    <t>Iraida Izquierdo</t>
  </si>
  <si>
    <t>Isaac Martinez</t>
  </si>
  <si>
    <t>Isabel Vega</t>
  </si>
  <si>
    <t>Israel Acosta</t>
  </si>
  <si>
    <t>Itaire Rihas</t>
  </si>
  <si>
    <t>Ivis Escalona</t>
  </si>
  <si>
    <t>Jano Garcia Vega</t>
  </si>
  <si>
    <t>Jaws Pedro</t>
  </si>
  <si>
    <t>Jessica Blanco</t>
  </si>
  <si>
    <t>Jesús Blanco</t>
  </si>
  <si>
    <t>Jesus Martinez</t>
  </si>
  <si>
    <t>Jesús Martinez</t>
  </si>
  <si>
    <t>Johan Martinez</t>
  </si>
  <si>
    <t>José Ramires</t>
  </si>
  <si>
    <t>José Ramirez</t>
  </si>
  <si>
    <t>Jose Romero</t>
  </si>
  <si>
    <t>Josefina Muñez</t>
  </si>
  <si>
    <t>Juan Castro</t>
  </si>
  <si>
    <t>Lewin Person</t>
  </si>
  <si>
    <t>Pediatría – Madre: Elisa Calderon - Reanimacion</t>
  </si>
  <si>
    <t>louis Caldera</t>
  </si>
  <si>
    <t>Lucia Caldera</t>
  </si>
  <si>
    <t>Lucia Castillo</t>
  </si>
  <si>
    <t>Lucy de Castillo</t>
  </si>
  <si>
    <t>Luis Vasquez</t>
  </si>
  <si>
    <t>Luis Vásquez</t>
  </si>
  <si>
    <t>Lusana Ordaz</t>
  </si>
  <si>
    <t>Manuel Oduber</t>
  </si>
  <si>
    <t>Maria Castañeda</t>
  </si>
  <si>
    <t>Menen Esquinuel</t>
  </si>
  <si>
    <t>Merlano Herrera cladiska</t>
  </si>
  <si>
    <t>Miel Castaño</t>
  </si>
  <si>
    <t>Miel Frontado</t>
  </si>
  <si>
    <t>Milagros Torres</t>
  </si>
  <si>
    <t>Nancy Cerrano</t>
  </si>
  <si>
    <t>Nancy Serrano</t>
  </si>
  <si>
    <t>Nancy Serrano Gonzalez</t>
  </si>
  <si>
    <t>Naucdy Ramirez</t>
  </si>
  <si>
    <t>Neisy Fernandez</t>
  </si>
  <si>
    <t>Nelly Sandoval</t>
  </si>
  <si>
    <t>Nivia Torresba</t>
  </si>
  <si>
    <t>Norguis Bercomo</t>
  </si>
  <si>
    <t>Omar Portilla</t>
  </si>
  <si>
    <t>Omor Portillo</t>
  </si>
  <si>
    <t>Paola Guzhan</t>
  </si>
  <si>
    <t>Pedro Liscano</t>
  </si>
  <si>
    <t>Rafael Coyo</t>
  </si>
  <si>
    <t>Rafael Gonzalez</t>
  </si>
  <si>
    <t>Rafael Royas</t>
  </si>
  <si>
    <t>Pol I – F; S/P - Politrauma Emerg. Nueva</t>
  </si>
  <si>
    <t>Rene Suarez</t>
  </si>
  <si>
    <t>René Suarez Granado</t>
  </si>
  <si>
    <t>Ricardo Barrera</t>
  </si>
  <si>
    <t>Rodri Bompard</t>
  </si>
  <si>
    <t>Rosa Cispero</t>
  </si>
  <si>
    <t>Roy Sercel</t>
  </si>
  <si>
    <t>Ruisora Oreloz</t>
  </si>
  <si>
    <t>Sebastian Doraciento</t>
  </si>
  <si>
    <t>Sebastian Doracimiento</t>
  </si>
  <si>
    <t>Sebastian Lander</t>
  </si>
  <si>
    <t>Sebastian Omamento</t>
  </si>
  <si>
    <t>Sebastien Enci</t>
  </si>
  <si>
    <t>Sobyn Alayón</t>
  </si>
  <si>
    <t>Sofía Milano cladiska</t>
  </si>
  <si>
    <t>Sofía Segrera</t>
  </si>
  <si>
    <t>Sofia Segura Blanco</t>
  </si>
  <si>
    <t>Stphany Gonzalez</t>
  </si>
  <si>
    <t>Tonny Bosquete</t>
  </si>
  <si>
    <t>Valeri Gonzalez</t>
  </si>
  <si>
    <t>Valerio Castillo</t>
  </si>
  <si>
    <t>Victoria Caridad</t>
  </si>
  <si>
    <t>Victoria Castillo</t>
  </si>
  <si>
    <t>William Joper</t>
  </si>
  <si>
    <t>Wilmer Balbueno</t>
  </si>
  <si>
    <t>Yenderli Ceberti</t>
  </si>
  <si>
    <t>Yenderlin Cabosca</t>
  </si>
  <si>
    <t>Yenderlin Cabrera</t>
  </si>
  <si>
    <t>Yenny Garcia</t>
  </si>
  <si>
    <t>Yessica Blanco</t>
  </si>
  <si>
    <t>Yina Brito</t>
  </si>
  <si>
    <t>Yoaiber Silva</t>
  </si>
  <si>
    <t>Yolande De lope</t>
  </si>
  <si>
    <t>Yordana Cordova</t>
  </si>
  <si>
    <t>Yoscanny Garobito</t>
  </si>
  <si>
    <t>Yuscoli Bolivar</t>
  </si>
  <si>
    <t>HOSPITAL UNIVERSITARIO DE CARACAS</t>
  </si>
  <si>
    <t>CLOSSIER LIZ</t>
  </si>
  <si>
    <t>Sala Cirugía 19-F – Fx húmero derecho</t>
  </si>
  <si>
    <t>GOSLING RAYMOND</t>
  </si>
  <si>
    <t>0414-5215646 / 0412-2520602</t>
  </si>
  <si>
    <t>Politraumatismo; Fx húmero derecho</t>
  </si>
  <si>
    <t>IBARRA WILMER</t>
  </si>
  <si>
    <t>Sala Cirugía 19-A – Fx fémur izquierdo</t>
  </si>
  <si>
    <t>Politraumatismo; Fx fémur izquierdo</t>
  </si>
  <si>
    <t>MORALES MARISA</t>
  </si>
  <si>
    <t>0412-9095086 / 0412-4095086</t>
  </si>
  <si>
    <t>SILVA ABRAHAM</t>
  </si>
  <si>
    <t>Sala Cirugía 19-E – Fx tibia y fémur</t>
  </si>
  <si>
    <t>Politraumatismo; Fx tibia y fémur</t>
  </si>
  <si>
    <t>Ana Mendoza</t>
  </si>
  <si>
    <t>Pinto Salinas</t>
  </si>
  <si>
    <t>Mayuli Antequia</t>
  </si>
  <si>
    <t>No especifica</t>
  </si>
  <si>
    <t>Nancy Montilla</t>
  </si>
  <si>
    <t>El Cementerio</t>
  </si>
  <si>
    <t>Moises Urbina</t>
  </si>
  <si>
    <t>Montalban</t>
  </si>
  <si>
    <t>Donmani Zambrano</t>
  </si>
  <si>
    <t>Jhon Palacio</t>
  </si>
  <si>
    <t>Coche</t>
  </si>
  <si>
    <t>Rainei Pantoja</t>
  </si>
  <si>
    <t>Las Mayas</t>
  </si>
  <si>
    <t>Traumatismo leve (alta medica)</t>
  </si>
  <si>
    <t>Toni Pantoja</t>
  </si>
  <si>
    <t>Antonio Ahanma</t>
  </si>
  <si>
    <t>Av. Roosevelt</t>
  </si>
  <si>
    <t>Deivys Coa</t>
  </si>
  <si>
    <t>Jose Rueda</t>
  </si>
  <si>
    <t>Av. Libertador</t>
  </si>
  <si>
    <t>Yusbeli Orozco</t>
  </si>
  <si>
    <t>Santa Rosalia</t>
  </si>
  <si>
    <t>Fran Cuyan</t>
  </si>
  <si>
    <t>La Florida</t>
  </si>
  <si>
    <t>Carlos Ojeda</t>
  </si>
  <si>
    <t>Yilmar Ramirez</t>
  </si>
  <si>
    <t>Plaza Venezuela</t>
  </si>
  <si>
    <t>Jaime Moyano</t>
  </si>
  <si>
    <t>Mariche</t>
  </si>
  <si>
    <t>Yorlianis Benedetti</t>
  </si>
  <si>
    <t>Carlos Trigoso</t>
  </si>
  <si>
    <t>Yorgelis Marrero</t>
  </si>
  <si>
    <t>Paracoto</t>
  </si>
  <si>
    <t>Luisana Tovar</t>
  </si>
  <si>
    <t>Yasmin Carrillo</t>
  </si>
  <si>
    <t>Los Rosales</t>
  </si>
  <si>
    <t>Fabian Noguera</t>
  </si>
  <si>
    <t>Doris Sandoval</t>
  </si>
  <si>
    <t>Avenida Lecuna</t>
  </si>
  <si>
    <t>Joaquin Escalona</t>
  </si>
  <si>
    <t>Jose Luis Abreu</t>
  </si>
  <si>
    <t>Hoyo de la Puerta</t>
  </si>
  <si>
    <t>Luigi Ponce</t>
  </si>
  <si>
    <t>Yoleifer Acosta</t>
  </si>
  <si>
    <t>Andreina Cuba</t>
  </si>
  <si>
    <t>Jose Sanchez</t>
  </si>
  <si>
    <t>Carrizal</t>
  </si>
  <si>
    <t>Margot Solorzano</t>
  </si>
  <si>
    <t>Richartson Guzman</t>
  </si>
  <si>
    <t>Lu Dingyi</t>
  </si>
  <si>
    <t>Natalia Mora</t>
  </si>
  <si>
    <t>Hua Jiah Wu</t>
  </si>
  <si>
    <t>Liz Closier</t>
  </si>
  <si>
    <t>Susana Wu</t>
  </si>
  <si>
    <t>Nathalia Caceres</t>
  </si>
  <si>
    <t>Patricia Caceres</t>
  </si>
  <si>
    <t>Wilmer Ibarra</t>
  </si>
  <si>
    <t>Jose Caceres</t>
  </si>
  <si>
    <t>Edis Lopez</t>
  </si>
  <si>
    <t>Sobeida Oropeza</t>
  </si>
  <si>
    <t>Cinthia Oropeza</t>
  </si>
  <si>
    <t>Victor La Vende</t>
  </si>
  <si>
    <t>Raymond Gosling</t>
  </si>
  <si>
    <t>Abril Silva</t>
  </si>
  <si>
    <t>Abrahan Silva</t>
  </si>
  <si>
    <t>Indira De Silva</t>
  </si>
  <si>
    <t>Nuria Gomez</t>
  </si>
  <si>
    <t>Mayely Ramos</t>
  </si>
  <si>
    <t>Edith Avila</t>
  </si>
  <si>
    <t>Las Adjuntas</t>
  </si>
  <si>
    <t>Edgar Gonzalez</t>
  </si>
  <si>
    <t>Yasmin Diaz</t>
  </si>
  <si>
    <t>Diego Camargo</t>
  </si>
  <si>
    <t>Miriam Garcia</t>
  </si>
  <si>
    <t>Gloria Ruano</t>
  </si>
  <si>
    <t>Maite Tejera</t>
  </si>
  <si>
    <t>Matias Umbria</t>
  </si>
  <si>
    <t>Maira Flores</t>
  </si>
  <si>
    <t>Geral Castro</t>
  </si>
  <si>
    <t>Rosibel Sanchez</t>
  </si>
  <si>
    <t>Maria Henrique</t>
  </si>
  <si>
    <t>Miguel Rodriguez</t>
  </si>
  <si>
    <t>Sabrina Paez</t>
  </si>
  <si>
    <t>No se la sabe</t>
  </si>
  <si>
    <t>Daniel Diaz</t>
  </si>
  <si>
    <t>Gaudy Granado</t>
  </si>
  <si>
    <t>Angel Garcia</t>
  </si>
  <si>
    <t>Maria Mosquera</t>
  </si>
  <si>
    <t>Fallecio al ingreso</t>
  </si>
  <si>
    <t>Lia Silva</t>
  </si>
  <si>
    <t>Marisa Morales</t>
  </si>
  <si>
    <t>HOSPITAL PÉREZ CARREÑO</t>
  </si>
  <si>
    <t>25/06/2026</t>
  </si>
  <si>
    <t>41 años</t>
  </si>
  <si>
    <t xml:space="preserve">Traumashock </t>
  </si>
  <si>
    <t>26/6/26</t>
  </si>
  <si>
    <t>Sube Piso 5. Guaira</t>
  </si>
  <si>
    <t>51 años</t>
  </si>
  <si>
    <t>La Guaira Tanaguarena</t>
  </si>
  <si>
    <t>La Guaira Caraballeda</t>
  </si>
  <si>
    <t>La Guaira Sector Castillo</t>
  </si>
  <si>
    <t>La Guaira Los Corales</t>
  </si>
  <si>
    <t>La Guaira Carballeda</t>
  </si>
  <si>
    <t>Macheta</t>
  </si>
  <si>
    <t>Yonidy Linda</t>
  </si>
  <si>
    <t>Cesar Charmelo</t>
  </si>
  <si>
    <t>Edvengely Perez</t>
  </si>
  <si>
    <t>2 años</t>
  </si>
  <si>
    <t>ALTA</t>
  </si>
  <si>
    <t>Asly Carreño</t>
  </si>
  <si>
    <t>Dereck Carreño</t>
  </si>
  <si>
    <t>4 años</t>
  </si>
  <si>
    <t>Yordano Flores</t>
  </si>
  <si>
    <t>Samara Silva</t>
  </si>
  <si>
    <t>Isabella Revoredo</t>
  </si>
  <si>
    <t>Isaac Avon</t>
  </si>
  <si>
    <t>Emily Ramos</t>
  </si>
  <si>
    <t>Mia Montes</t>
  </si>
  <si>
    <t>6 meses</t>
  </si>
  <si>
    <t>Yoelvanyer Rodriguez</t>
  </si>
  <si>
    <t>Caucagua</t>
  </si>
  <si>
    <t>Mathiel Jimenez</t>
  </si>
  <si>
    <t>Arantza Vergara</t>
  </si>
  <si>
    <t>Sebastian Salcedo</t>
  </si>
  <si>
    <t>Antonella Brito</t>
  </si>
  <si>
    <t>Gloria Tijero</t>
  </si>
  <si>
    <t>Gabriel Garcia</t>
  </si>
  <si>
    <t>Oliangel Melendez</t>
  </si>
  <si>
    <t>Alani Malave</t>
  </si>
  <si>
    <t>Lisbeth Materano</t>
  </si>
  <si>
    <t>3 años</t>
  </si>
  <si>
    <t>Cristopher Ortega</t>
  </si>
  <si>
    <t>Sophia Leon</t>
  </si>
  <si>
    <t>Yulieth Leon</t>
  </si>
  <si>
    <t>Elizabeth Materano</t>
  </si>
  <si>
    <t>CRUZ ROJA</t>
  </si>
  <si>
    <t>PERIFÉRICO DE CATIA</t>
  </si>
  <si>
    <t>Quirofano</t>
  </si>
  <si>
    <t>26/06/26</t>
  </si>
  <si>
    <t>Hilders Ana</t>
  </si>
  <si>
    <t>Jimenez Axel</t>
  </si>
  <si>
    <t>Martinez Isaac</t>
  </si>
  <si>
    <t>Ramirez Gabriela</t>
  </si>
  <si>
    <t>Castillo Luis</t>
  </si>
  <si>
    <t>Garabito Yoseanny</t>
  </si>
  <si>
    <t>Sencel Rey</t>
  </si>
  <si>
    <t>Quirofano — edad transcrita como 7 en una lista y 71 en otra ('Lista Actualizada'); ver tambien 'Sebastian Landi' en Pediatria</t>
  </si>
  <si>
    <t>Ana Hildert</t>
  </si>
  <si>
    <t>Pediatria. Todos procedentes de La Guaira segun nota del 26/06 7:00am — en tomografia segun nota anterior</t>
  </si>
  <si>
    <t>Jinderli Cavarca</t>
  </si>
  <si>
    <t>Pediatria. Todos procedentes de La Guaira segun nota del 26/06 7:00am</t>
  </si>
  <si>
    <t>Bradian Garcia</t>
  </si>
  <si>
    <t>Sebastian Landi</t>
  </si>
  <si>
    <t>Pediatria. Todos procedentes de La Guaira segun nota del 26/06 7:00am — en quirofano segun nota anterior</t>
  </si>
  <si>
    <t>Yoscarli Bolivar</t>
  </si>
  <si>
    <t>UCI</t>
  </si>
  <si>
    <t>Celis Tania</t>
  </si>
  <si>
    <t>Discamo Pedro</t>
  </si>
  <si>
    <t>Sebastian Donacimiento</t>
  </si>
  <si>
    <t>UCI (version anterior, lista UCI sin hora)</t>
  </si>
  <si>
    <t>Emeli Fernandez</t>
  </si>
  <si>
    <t>Blanco Jesica</t>
  </si>
  <si>
    <t>Politrauma Emergencia Nueva</t>
  </si>
  <si>
    <t>Goncalve Luci</t>
  </si>
  <si>
    <t>Mayorca Jesus</t>
  </si>
  <si>
    <t>Requena Dilia</t>
  </si>
  <si>
    <t>Vega Maria</t>
  </si>
  <si>
    <t>Hernandez Francisco</t>
  </si>
  <si>
    <t>De Castillo Luci</t>
  </si>
  <si>
    <t>Politrauma Emerg. Nueva (version anterior)</t>
  </si>
  <si>
    <t>Galis Yaleska</t>
  </si>
  <si>
    <t>Maubios Diaz</t>
  </si>
  <si>
    <t>Rosalis Vasquez</t>
  </si>
  <si>
    <t>Jesus Rodriguez</t>
  </si>
  <si>
    <t>Tania Celis</t>
  </si>
  <si>
    <t>Politrauma Emerg. Nueva (version anterior) — posible duplicado de 'Celis Tania' en UCI</t>
  </si>
  <si>
    <t>Gonzalez Yailyn</t>
  </si>
  <si>
    <t>Barras Esmeralda</t>
  </si>
  <si>
    <t>Balas Laura</t>
  </si>
  <si>
    <t>Isquiebo Henrrique</t>
  </si>
  <si>
    <t>Ekarce Doria</t>
  </si>
  <si>
    <t>Jesus Guerreiro</t>
  </si>
  <si>
    <t>Fernandez Yoskeidy</t>
  </si>
  <si>
    <t>Politrauma Emerg. Nueva (version anterior); ver tambien lista 8:30pm 'Fernandez Yusbeidy 35'</t>
  </si>
  <si>
    <t>De Cepe Yolande</t>
  </si>
  <si>
    <t>Poli Emerg. Nueva (hoja 'Sandoval Nelly')</t>
  </si>
  <si>
    <t>Ramirez Naudry</t>
  </si>
  <si>
    <t>Salazar Helen</t>
  </si>
  <si>
    <t>Gonzalez Carlos</t>
  </si>
  <si>
    <t>Boada Evelyn</t>
  </si>
  <si>
    <t>Roda Aleida</t>
  </si>
  <si>
    <t>Poli Emergencia Nueva (nota suelta; otra nota dice 'Isabel Vega 50, La Guaira')</t>
  </si>
  <si>
    <t>Estefani Acevedo</t>
  </si>
  <si>
    <t>Poli Emergencia Nueva (nota suelta)</t>
  </si>
  <si>
    <t>Nairoby Ramirez</t>
  </si>
  <si>
    <t>Poli-Trauma Emergencia Nueva (nota suelta, sin edad)</t>
  </si>
  <si>
    <t>Iaskara Castillo</t>
  </si>
  <si>
    <t>Politrauma Emergencia Vieja</t>
  </si>
  <si>
    <t>Gonzalez Alexandra (2)</t>
  </si>
  <si>
    <t>Politrauma Emergencia Vieja — homonimo de 'Gonzalez Alexandra 42' en Politrauma Emerg. Nueva; verificar si es la misma persona</t>
  </si>
  <si>
    <t>Castañeda Maria (2)</t>
  </si>
  <si>
    <t>Politrauma Emergencia Vieja — homonimo de 'Castañeda Maria 65' en Politrauma Emerg. Nueva; verificar si es la misma persona</t>
  </si>
  <si>
    <t>Da Silva Engerberth</t>
  </si>
  <si>
    <t>Da Silva Antony</t>
  </si>
  <si>
    <t>Garabito Yoseani</t>
  </si>
  <si>
    <t>Politrauma Emergencia Vieja — posible duplicado de 'Garabito Yoseanny 30' en Quirofano</t>
  </si>
  <si>
    <t>Uequiola Mauro</t>
  </si>
  <si>
    <t>Galvi Yanieska</t>
  </si>
  <si>
    <t>Politrauma Emergencia Vieja — dada de alta segun nota de 8:30pm</t>
  </si>
  <si>
    <t>Tania Celis (2)</t>
  </si>
  <si>
    <t>Politrauma Emergencia Vieja — posible triplicado de 'Celis Tania' (UCI) y 'Tania Celis' (Politrauma Emerg. Nueva)</t>
  </si>
  <si>
    <t>Antonella Marin</t>
  </si>
  <si>
    <t>Nohemy Marrero</t>
  </si>
  <si>
    <t>Arias Frank</t>
  </si>
  <si>
    <t>Nota adicional 8:30pm (mismo grupo Politrauma)</t>
  </si>
  <si>
    <t>Santiago Carrasquel</t>
  </si>
  <si>
    <t>Kairyn Gonzalez</t>
  </si>
  <si>
    <t>Nota adicional 8:30pm (mismo grupo Politrauma) (sin edad)</t>
  </si>
  <si>
    <t>David Pedron</t>
  </si>
  <si>
    <t>Julio Suarez</t>
  </si>
  <si>
    <t>Maria Castañeda (3)</t>
  </si>
  <si>
    <t>Nota adicional 8:30pm (mismo grupo Politrauma) (sin edad); contacto de referencia: hermana, telefono 0212 873 3207</t>
  </si>
  <si>
    <t>Frank Anias</t>
  </si>
  <si>
    <t>Nota adicional 8:30pm (mismo grupo Politrauma) — anotado como 'CG#' (sin edad)</t>
  </si>
  <si>
    <t>Yexkeidy Fernandez</t>
  </si>
  <si>
    <t>Yolanda Gonzalez</t>
  </si>
  <si>
    <t>Nota adicional 8:30pm (mismo grupo Politrauma) — dada de alta (nombre tachado en el original)</t>
  </si>
  <si>
    <t>Garcia Rodas</t>
  </si>
  <si>
    <t>Nota adicional 8:30pm (mismo grupo Politrauma) — dado de alta (sin edad)</t>
  </si>
  <si>
    <t>Politrauma (pizarra con anotaciones de ubicacion/estudio: Piso, Rx, Triaje, Trauma) — Piso 2 (Rx)</t>
  </si>
  <si>
    <t>Politrauma (pizarra con anotaciones de ubicacion/estudio: Piso, Rx, Triaje, Trauma) — Triaje de Cirugia, Alta, nota 'Bucomaxilo'</t>
  </si>
  <si>
    <t>Politrauma (pizarra con anotaciones de ubicacion/estudio: Piso, Rx, Triaje, Trauma)</t>
  </si>
  <si>
    <t>Politrauma (pizarra con anotaciones de ubicacion/estudio: Piso, Rx, Triaje, Trauma) — Trauma</t>
  </si>
  <si>
    <t>Aide Arteaga</t>
  </si>
  <si>
    <t>Politrauma (pizarra con anotaciones de ubicacion/estudio: Piso, Rx, Triaje, Trauma) — Rx</t>
  </si>
  <si>
    <t>Jose Ramirez</t>
  </si>
  <si>
    <t>Rodni Bompard</t>
  </si>
  <si>
    <t>Maria Castañeda (4)</t>
  </si>
  <si>
    <t>Politrauma (pizarra con anotaciones de ubicacion/estudio: Piso, Rx, Triaje, Trauma) — contacto de referencia: hermana, telefono 0212 873 3207</t>
  </si>
  <si>
    <t>Yaiskar Castillo</t>
  </si>
  <si>
    <t>Politrauma (pizarra con anotaciones de ubicacion/estudio: Piso, Rx, Triaje, Trauma) — posible duplicado de 'Iaskara Castillo 28' en Politrauma Emergencia Vieja</t>
  </si>
  <si>
    <t>Vequiole Mauro</t>
  </si>
  <si>
    <t>Politrauma (pizarra con anotaciones de ubicacion/estudio: Piso, Rx, Triaje, Trauma) — posible duplicado de 'Uequiola Mauro 55' en Politrauma Emergencia Vieja</t>
  </si>
  <si>
    <t>Desilve Engerberth</t>
  </si>
  <si>
    <t>Politrauma (pizarra con anotaciones de ubicacion/estudio: Piso, Rx, Triaje, Trauma) — posible duplicado de 'Da Silva Engerberth 21' en Politrauma Emergencia Vieja</t>
  </si>
  <si>
    <t>Desilve Anthony</t>
  </si>
  <si>
    <t>Politrauma (pizarra con anotaciones de ubicacion/estudio: Piso, Rx, Triaje, Trauma) — edad difiere de 'Da Silva Antony 19' en Politrauma Emergencia Vieja; verificar</t>
  </si>
  <si>
    <t>Segura Blanco Sofia</t>
  </si>
  <si>
    <t>Politrauma (continuacion, hoja sin edades)</t>
  </si>
  <si>
    <t>Blanco Briceño Carmen</t>
  </si>
  <si>
    <t>Garavito Espitia Yoriany</t>
  </si>
  <si>
    <t>Herrero Merlano Glodiuska</t>
  </si>
  <si>
    <t>Rivol Lopez Fronin</t>
  </si>
  <si>
    <t>Guarini Padron Efren</t>
  </si>
  <si>
    <t>Lastra Vistal Clara</t>
  </si>
  <si>
    <t>Omar Portillo</t>
  </si>
  <si>
    <t>Politrauma (continuacion, hoja sin edades) — Piso 2</t>
  </si>
  <si>
    <t>Ramirez Quintana</t>
  </si>
  <si>
    <t>Isabel Vega (2)</t>
  </si>
  <si>
    <t>Poli-Trauma Emergencia Nueva (hoja aparte); posible duplicado de 'Isabel Vega 54' / 'Isabel Vegas 54 años'</t>
  </si>
  <si>
    <t>Nairoby Ramirez (2)</t>
  </si>
  <si>
    <t>Sala de Parto (hoja aparte, sin edad); posible duplicado de 'Nairoby Ramirez' en Poli Emerg. Nueva</t>
  </si>
  <si>
    <t>Liscano Pedro (2)</t>
  </si>
  <si>
    <t>Terapia (hoja aparte); posible duplicado de 'Liscano Pedro 40' en lista UCI/Abreu Paulina</t>
  </si>
  <si>
    <t>Edis Tania</t>
  </si>
  <si>
    <t>Terapia (hoja aparte); posible duplicado de 'Celis Tania / Tania Celis 62'</t>
  </si>
  <si>
    <t>Trujillo Meriam</t>
  </si>
  <si>
    <t>Terapia (hoja aparte); posible duplicado de 'Trujillo Elian 19' (UCI) con apellido distinto; verificar</t>
  </si>
  <si>
    <t>Torres Milagros (2)</t>
  </si>
  <si>
    <t>Terapia (hoja aparte); posible duplicado de 'Torres Milagros 46' (UCI/Quirofano)</t>
  </si>
  <si>
    <t>Isabel Vegas (3)</t>
  </si>
  <si>
    <t>Poli Emergencia Nueva (nota suelta separada)</t>
  </si>
  <si>
    <t>Estefani Acevedo (2)</t>
  </si>
  <si>
    <t>Poli Emergencia Nueva (nota suelta separada); posible duplicado de 'Estefani Acevedo 37'</t>
  </si>
  <si>
    <t>Lista adicional (pizarra extensa sin titulo de sala especifico)</t>
  </si>
  <si>
    <t>Bengifo Guillermina</t>
  </si>
  <si>
    <t>Lista adicional (pizarra extensa sin titulo de sala especifico) — posible duplicado de 'Alayon Suhyn 25 años' en lista 'Abreu Paulina'</t>
  </si>
  <si>
    <t>Barreto Ricardo (2)</t>
  </si>
  <si>
    <t>Lista adicional (pizarra extensa sin titulo de sala especifico) — posible duplicado de 'Castillo Luis 42 / Barreto Ricardo 42' en Quirofano</t>
  </si>
  <si>
    <t>Lista adicional (pizarra extensa sin titulo de sala especifico) — posible duplicado de 'Diego Obregon' (Politrauma, sin edad)</t>
  </si>
  <si>
    <t>Gonzalez Alexandra (3)</t>
  </si>
  <si>
    <t>Lista adicional (pizarra extensa sin titulo de sala especifico) — posible duplicado de 'Gonzalez Alexandra 42' en Politrauma Emerg. Nueva</t>
  </si>
  <si>
    <t>Castillo Victoria (2)</t>
  </si>
  <si>
    <t>Lista adicional (pizarra extensa sin titulo de sala especifico) (Qx) — posible duplicado de 'Castillo Victoria 10' (Quirofano/Pediatria)</t>
  </si>
  <si>
    <t>Castaño Dana</t>
  </si>
  <si>
    <t>Torres Milagros (3)</t>
  </si>
  <si>
    <t>Lista adicional (pizarra extensa sin titulo de sala especifico) — posible duplicado de 'Torres Milagros 46' (UCI/Terapia)</t>
  </si>
  <si>
    <t>Parra Gabriela (2)</t>
  </si>
  <si>
    <t>Lista adicional (pizarra extensa sin titulo de sala especifico) — posible duplicado de 'Parra Gabriela 15' (Quirofano)</t>
  </si>
  <si>
    <t>Gonzalez Sthephany</t>
  </si>
  <si>
    <t>Lista adicional (pizarra extensa sin titulo de sala especifico) (edad ilegible en el original)</t>
  </si>
  <si>
    <t>Guapin Efren</t>
  </si>
  <si>
    <t>Lista adicional (pizarra extensa sin titulo de sala especifico) — P2 (Piso 2)</t>
  </si>
  <si>
    <t>Cisnero Rosa</t>
  </si>
  <si>
    <t>Ordaz Lusana</t>
  </si>
  <si>
    <t>Lista adicional (pizarra extensa sin titulo de sala especifico) — posible duplicado de 'Ordaz Luisana' (Politrauma, sin edad)</t>
  </si>
  <si>
    <t>Machado Anabella</t>
  </si>
  <si>
    <t>Frontado Miel (2)</t>
  </si>
  <si>
    <t>Lista adicional (pizarra extensa sin titulo de sala especifico) (Qx) — posible duplicado de 'Frontado Miel 7' (Quirofano/Pediatria)</t>
  </si>
  <si>
    <t>Jimenez Axiel (2)</t>
  </si>
  <si>
    <t>Lista adicional (pizarra extensa sin titulo de sala especifico) (Qx) — posible duplicado de 'Jimenez Axel 4' (Quirofano)</t>
  </si>
  <si>
    <t>Cardozo Carla (2)</t>
  </si>
  <si>
    <t>Lista adicional (pizarra extensa sin titulo de sala especifico) — posible duplicado de 'Cardozo Carla 25' (Politrauma Emerg. Nueva)</t>
  </si>
  <si>
    <t>Martinez Jesus (2)</t>
  </si>
  <si>
    <t>Lista adicional (pizarra extensa sin titulo de sala especifico) — posible duplicado de 'Martinez Jesus 7' (Quirofano)</t>
  </si>
  <si>
    <t>Castañeda Maria (5)</t>
  </si>
  <si>
    <t>Lista adicional (pizarra extensa sin titulo de sala especifico) — posible duplicado de 'Castañeda Maria 73' (Politrauma Emergencia Vieja)</t>
  </si>
  <si>
    <t>Vasque Luis</t>
  </si>
  <si>
    <t>Delgado Edimer</t>
  </si>
  <si>
    <t>Garcia Yenny</t>
  </si>
  <si>
    <t>Marabito Joseani</t>
  </si>
  <si>
    <t>Guerrero Delverson</t>
  </si>
  <si>
    <t>Cordova Arnaldo (2)</t>
  </si>
  <si>
    <t>Lista adicional (pizarra extensa sin titulo de sala especifico) — posible duplicado de 'Cordova Arnaldo 19' (Quirofano)</t>
  </si>
  <si>
    <t>Rey Sennicel</t>
  </si>
  <si>
    <t>Lista adicional (pizarra extensa sin titulo de sala especifico) — posible duplicado de 'Sencel Rey 29' (Quirofano)</t>
  </si>
  <si>
    <t>Fernandez Nelsy</t>
  </si>
  <si>
    <t>Trujillo Elian (2)</t>
  </si>
  <si>
    <t>Lista adicional (pizarra extensa sin titulo de sala especifico) — posible duplicado de 'Trujillo Elian 19' (UCI)</t>
  </si>
  <si>
    <t>Lista adicional (pizarra extensa sin titulo de sala especifico) — posible duplicado de 'Liscano Pedro 46 (Chacaito)' en hoja Terapia; verificar edad correcta</t>
  </si>
  <si>
    <t>Lista adicional (pizarra extensa sin titulo de sala especifico) — posible duplicado de 'Arrieta Doris 65' (Quirofano)</t>
  </si>
  <si>
    <t>Alayon Suhyn (2)</t>
  </si>
  <si>
    <t>Lista adicional (pizarra extensa sin titulo de sala especifico) — duplicado exacto de fila anterior 'Alayon Suhyn 25'</t>
  </si>
  <si>
    <t>Omacento Sebastian</t>
  </si>
  <si>
    <t>Blanco Carmen (2)</t>
  </si>
  <si>
    <t>Lista adicional (pizarra extensa sin titulo de sala especifico) — posible duplicado de 'Blanco Carmen 55' (Politrauma Emergencia Vieja)</t>
  </si>
  <si>
    <t>Cabarca Yenderlin (2)</t>
  </si>
  <si>
    <t>Lista adicional (pizarra extensa sin titulo de sala especifico) — posible duplicado de 'Cabarca Yenderlin 13' (Quirofano)</t>
  </si>
  <si>
    <t>Segura Sofia</t>
  </si>
  <si>
    <t>Salazar Arturo (2)</t>
  </si>
  <si>
    <t>Lista adicional (pizarra extensa sin titulo de sala especifico) — posible duplicado de 'Salazar Arturo 13' (UCI)</t>
  </si>
  <si>
    <t>Bustal Clara</t>
  </si>
  <si>
    <t>Lista adicional (pizarra extensa sin titulo de sala especifico) — posible duplicado de 'Omar Portillo' (Politrauma, sin edad)</t>
  </si>
  <si>
    <t>Lista adicional (pizarra extensa sin titulo de sala especifico) — posible duplicado de 'Suarez Granado Rene' (Politrauma, sin edad)</t>
  </si>
  <si>
    <t>Ribas Fabiola</t>
  </si>
  <si>
    <t>Mariangel Muñon</t>
  </si>
  <si>
    <t>Vascocelo Andreina</t>
  </si>
  <si>
    <t>Lista adicional (pizarra extensa sin titulo de sala especifico) — posible duplicado de 'Vasconcelo Andreina' (Politrauma, sin edad)</t>
  </si>
  <si>
    <t>HOSPITAL GENERAL DEL OESTE</t>
  </si>
  <si>
    <t>HOSPITAL RICARDO BAQUERO GONZALEZ</t>
  </si>
  <si>
    <t>CENTRO DE ACOPIO CARABALLEDA</t>
  </si>
  <si>
    <t>HOSPITAL DR. JOSÉ GREGORIO HERNÁNDEZ</t>
  </si>
  <si>
    <t>HOSPITAL ANA FRANCISCA PÉREZ DE LEÓN 2</t>
  </si>
  <si>
    <t>DIAGNÓSTICO</t>
  </si>
  <si>
    <t>HERIDOS ATENDIDOS EN EL HOSPITAL VARGAS — Movimiento telúrico 24/06/2026</t>
  </si>
  <si>
    <t>Nota</t>
  </si>
  <si>
    <t>Estado</t>
  </si>
  <si>
    <t>Adonis Díaz Ozuna</t>
  </si>
  <si>
    <t>Herido / atendido</t>
  </si>
  <si>
    <t xml:space="preserve">24.06.2026 </t>
  </si>
  <si>
    <t>Albany García</t>
  </si>
  <si>
    <t>Aleni Guevara</t>
  </si>
  <si>
    <t>Alexander Castillo</t>
  </si>
  <si>
    <t>Aliana Barriento</t>
  </si>
  <si>
    <t>Alicia Rojas</t>
  </si>
  <si>
    <t>América Leal</t>
  </si>
  <si>
    <t>Andrea García</t>
  </si>
  <si>
    <t>Aracelys Matos</t>
  </si>
  <si>
    <t>Audia Terán</t>
  </si>
  <si>
    <t>Camila Díaz Romero</t>
  </si>
  <si>
    <t>Carlos Luis Riera</t>
  </si>
  <si>
    <t>Carmen Cruz</t>
  </si>
  <si>
    <t>Carmen Vargas</t>
  </si>
  <si>
    <t>Carmen Velásquez</t>
  </si>
  <si>
    <t>Cesar Boada</t>
  </si>
  <si>
    <t>Cesar Márquez</t>
  </si>
  <si>
    <t>Cesar Urbina</t>
  </si>
  <si>
    <t>Cesy Márquez</t>
  </si>
  <si>
    <t>Chiquinquirá Heberth</t>
  </si>
  <si>
    <t>Claudia Verde</t>
  </si>
  <si>
    <t>Crismary Marrero</t>
  </si>
  <si>
    <t>Crisneily Moreno</t>
  </si>
  <si>
    <t>Cristina Martínez</t>
  </si>
  <si>
    <t>Cristofer Gil</t>
  </si>
  <si>
    <t>Cristopher Gil</t>
  </si>
  <si>
    <t>Daiberlin Gayala</t>
  </si>
  <si>
    <t>Daiberlyn González</t>
  </si>
  <si>
    <t>Daila Romero</t>
  </si>
  <si>
    <t>Daniel López</t>
  </si>
  <si>
    <t>Daniel Pereira</t>
  </si>
  <si>
    <t>Danker Pinto (F)</t>
  </si>
  <si>
    <t>Darwin Colmenarez</t>
  </si>
  <si>
    <t>Darwin Olmedo</t>
  </si>
  <si>
    <t>Dayilbeth Uzcátegui</t>
  </si>
  <si>
    <t>Deyorelis Marqués</t>
  </si>
  <si>
    <t>Dionis Rodriguez</t>
  </si>
  <si>
    <t>Dubraska González</t>
  </si>
  <si>
    <t>Edgary González</t>
  </si>
  <si>
    <t>Edgari González</t>
  </si>
  <si>
    <t>Edward Napolitano</t>
  </si>
  <si>
    <t>Ehilyn Gil</t>
  </si>
  <si>
    <t>Elietay Hayore</t>
  </si>
  <si>
    <t>Elita Maryore</t>
  </si>
  <si>
    <t>Emerson López</t>
  </si>
  <si>
    <t>Enrique Pérez</t>
  </si>
  <si>
    <t>Envangelina González</t>
  </si>
  <si>
    <t>Erick Luque</t>
  </si>
  <si>
    <t>Erinber Quintero</t>
  </si>
  <si>
    <t>Estapani Gesu</t>
  </si>
  <si>
    <t>Edebun Castro</t>
  </si>
  <si>
    <t>Esteban Castro</t>
  </si>
  <si>
    <t>Estefania Cerse</t>
  </si>
  <si>
    <t>Estefany Gesu</t>
  </si>
  <si>
    <t>Eva Álvarez</t>
  </si>
  <si>
    <t>Evangelina González</t>
  </si>
  <si>
    <t>Evelin Puerta</t>
  </si>
  <si>
    <t>Evelyn Guerra</t>
  </si>
  <si>
    <t>Evelin Guerra</t>
  </si>
  <si>
    <t>Frank Blanco</t>
  </si>
  <si>
    <t>Freddy Chacón</t>
  </si>
  <si>
    <t>Geraldin De Abreu</t>
  </si>
  <si>
    <t>Gilbert Fuentes</t>
  </si>
  <si>
    <t>Gladis Tejeda</t>
  </si>
  <si>
    <t>Gledys Matuzalen</t>
  </si>
  <si>
    <t>Griameli Marrero</t>
  </si>
  <si>
    <t>Griselda Ledezma</t>
  </si>
  <si>
    <t>Guirlenys Salazar</t>
  </si>
  <si>
    <t>Gustavo A. Rico</t>
  </si>
  <si>
    <t>Héctor Llarvez</t>
  </si>
  <si>
    <t>Héctor Oyarbes</t>
  </si>
  <si>
    <t>Heilyn Gil</t>
  </si>
  <si>
    <t>Hilary Peroza</t>
  </si>
  <si>
    <t>Hildremar Esanpero</t>
  </si>
  <si>
    <t>Humberlin Arana</t>
  </si>
  <si>
    <t>Jeanspier Contreras</t>
  </si>
  <si>
    <t>Jhoan Dosramos</t>
  </si>
  <si>
    <t>Jhoan Herrera</t>
  </si>
  <si>
    <t>Jorge Francia</t>
  </si>
  <si>
    <t>Jose Ali</t>
  </si>
  <si>
    <t>Jose Borrego</t>
  </si>
  <si>
    <t>José Borrego</t>
  </si>
  <si>
    <t>Jose Pereira</t>
  </si>
  <si>
    <t>José Villegas</t>
  </si>
  <si>
    <t>Josef Hassan</t>
  </si>
  <si>
    <t>Josef Hassau</t>
  </si>
  <si>
    <t>Josefina Guzmán</t>
  </si>
  <si>
    <t>Juan Carlos Posso</t>
  </si>
  <si>
    <t>Juan Fernández</t>
  </si>
  <si>
    <t>Juana Villegas</t>
  </si>
  <si>
    <t>Julia Falcón</t>
  </si>
  <si>
    <t>Julián José Vélez</t>
  </si>
  <si>
    <t>Katiuska Pérez</t>
  </si>
  <si>
    <t>Kiara Antonia Rodrys</t>
  </si>
  <si>
    <t>Kiara Rodriguez</t>
  </si>
  <si>
    <t>Leandro Fossis</t>
  </si>
  <si>
    <t>Leonardo Saltierra</t>
  </si>
  <si>
    <t>Lisbeth Delgado</t>
  </si>
  <si>
    <t>Liseth Ledezma</t>
  </si>
  <si>
    <t>Lourdes Mendoza</t>
  </si>
  <si>
    <t>Lucí Castellanos</t>
  </si>
  <si>
    <t>Luis Castellano</t>
  </si>
  <si>
    <t>Luis Estrejo</t>
  </si>
  <si>
    <t>Luis Isaguirre</t>
  </si>
  <si>
    <t>Luis José Trébol</t>
  </si>
  <si>
    <t>Luis Velázquez</t>
  </si>
  <si>
    <t>Luz Marina Serdier</t>
  </si>
  <si>
    <t>Madeleine Rodríguez</t>
  </si>
  <si>
    <t>Magdalena Rodríguez</t>
  </si>
  <si>
    <t>Maria A. Báez</t>
  </si>
  <si>
    <t>Maria Baes</t>
  </si>
  <si>
    <t>María Elena Rodríguez</t>
  </si>
  <si>
    <t>María Elena Santana</t>
  </si>
  <si>
    <t>Maria Olivares</t>
  </si>
  <si>
    <t>María Pimentel</t>
  </si>
  <si>
    <t>Maria Santana</t>
  </si>
  <si>
    <t>Maria Vielma</t>
  </si>
  <si>
    <t>Marlene Suárez</t>
  </si>
  <si>
    <t>Marlenis Nieves</t>
  </si>
  <si>
    <t>Maryenis Díaz</t>
  </si>
  <si>
    <t>Maura González</t>
  </si>
  <si>
    <t>Mayeris Figueroa</t>
  </si>
  <si>
    <t>Mayerlin Díaz</t>
  </si>
  <si>
    <t>Mayernis Diaz</t>
  </si>
  <si>
    <t>Maryori Figueroa</t>
  </si>
  <si>
    <t>Meiber Canelón</t>
  </si>
  <si>
    <t>Mesdane Pérez</t>
  </si>
  <si>
    <t>Miguel Cartas</t>
  </si>
  <si>
    <t>Misaira Pérez</t>
  </si>
  <si>
    <t>Muguel Días</t>
  </si>
  <si>
    <t>Naileth Moreno</t>
  </si>
  <si>
    <t>Nazareth López</t>
  </si>
  <si>
    <t>Nelia Ruiz</t>
  </si>
  <si>
    <t>Neride Montoya</t>
  </si>
  <si>
    <t>Nestor Romero</t>
  </si>
  <si>
    <t>Omar Cabreras</t>
  </si>
  <si>
    <t>Osmary López</t>
  </si>
  <si>
    <t>Patricia Gil</t>
  </si>
  <si>
    <t>Paula Piar</t>
  </si>
  <si>
    <t>Reina Medina</t>
  </si>
  <si>
    <t>Samuel Allen</t>
  </si>
  <si>
    <t>Silvia Avello</t>
  </si>
  <si>
    <t>Sindia Avellano</t>
  </si>
  <si>
    <t>Tibisay Tovar</t>
  </si>
  <si>
    <t>Tibisay Tubor</t>
  </si>
  <si>
    <t>Tisbeth Delgado</t>
  </si>
  <si>
    <t>Tulia Galain</t>
  </si>
  <si>
    <t>Ubelinda Vivas</t>
  </si>
  <si>
    <t>Vaileth Moreno</t>
  </si>
  <si>
    <t>Valentina Herrera</t>
  </si>
  <si>
    <t>Valeria Perdomo</t>
  </si>
  <si>
    <t>Vanesa Gómez</t>
  </si>
  <si>
    <t>Vanesa González</t>
  </si>
  <si>
    <t>Verónica Uribe</t>
  </si>
  <si>
    <t>Veronky Uribe</t>
  </si>
  <si>
    <t>Williams Guerra</t>
  </si>
  <si>
    <t>Wilmer Fuentes</t>
  </si>
  <si>
    <t>Wilmer Gómez</t>
  </si>
  <si>
    <t>Wisthon Gonzalez</t>
  </si>
  <si>
    <t>Winston Gonzalez</t>
  </si>
  <si>
    <t>Yanel Coronel</t>
  </si>
  <si>
    <t>Yaritza Gómez</t>
  </si>
  <si>
    <t>Yhajahira González</t>
  </si>
  <si>
    <t>Yoanny Aguilar</t>
  </si>
  <si>
    <t>Yolibel Gómez</t>
  </si>
  <si>
    <t>Yorman Orosco</t>
  </si>
  <si>
    <t>Yosef Ali</t>
  </si>
  <si>
    <t>Yosneiker Suárez</t>
  </si>
  <si>
    <t>Yusneily Requena</t>
  </si>
  <si>
    <t>Juana Bautista</t>
  </si>
  <si>
    <t>María Totumo</t>
  </si>
  <si>
    <t>Valeria González</t>
  </si>
  <si>
    <t>Yoliber García</t>
  </si>
  <si>
    <t>22 años</t>
  </si>
  <si>
    <t>Femenino sin identificar</t>
  </si>
  <si>
    <t>70 años</t>
  </si>
  <si>
    <t>Masculino sin identificar</t>
  </si>
  <si>
    <t>HOSPITAL VARGAS DE CARACAS</t>
  </si>
  <si>
    <t>SEXO</t>
  </si>
  <si>
    <t>PROCEDENCIA</t>
  </si>
  <si>
    <t>Valeria Gonzalez</t>
  </si>
  <si>
    <t>Misaira Perez</t>
  </si>
  <si>
    <t>Elita Mayore</t>
  </si>
  <si>
    <t>Audia Teran</t>
  </si>
  <si>
    <t>Solesbe Garcia</t>
  </si>
  <si>
    <t>Daiberlin Gonzalez</t>
  </si>
  <si>
    <t>Maria Pimentel</t>
  </si>
  <si>
    <t>Veronica Uribe</t>
  </si>
  <si>
    <t>Crismarly Marrero</t>
  </si>
  <si>
    <t>Katiuska Perez</t>
  </si>
  <si>
    <t>Darwin Colmenares</t>
  </si>
  <si>
    <t>Cesar Marquez</t>
  </si>
  <si>
    <t>Carmen Velasquez</t>
  </si>
  <si>
    <t>Nazareth Lopez</t>
  </si>
  <si>
    <t>Albany Garcia</t>
  </si>
  <si>
    <t>Edad escrita junto al nombre en el formulario original</t>
  </si>
  <si>
    <t>Enrique Perez</t>
  </si>
  <si>
    <t>Maria A. Baez</t>
  </si>
  <si>
    <t>El C.I. corresponde a la fila de 'Maria Angelica Baez' en el formulario original</t>
  </si>
  <si>
    <t>Daniel Lopez</t>
  </si>
  <si>
    <t>Emerson Lopez</t>
  </si>
  <si>
    <t>Andrea Garcia</t>
  </si>
  <si>
    <t>Nombre tomado de la pizarra de pacientes; no aparece en el formulario con C.I.</t>
  </si>
  <si>
    <t>Yaritza Gomez</t>
  </si>
  <si>
    <t>Vanesa Gonzalez</t>
  </si>
  <si>
    <t>Evangelina Gonzalez</t>
  </si>
  <si>
    <t>Edgary Gonzalez</t>
  </si>
  <si>
    <t>America Leal</t>
  </si>
  <si>
    <t>Maura Gonzalez</t>
  </si>
  <si>
    <t>Raina Medina</t>
  </si>
  <si>
    <t>Maria Elena Santana</t>
  </si>
  <si>
    <t>Nejide Montoya</t>
  </si>
  <si>
    <t>Danker Pintor</t>
  </si>
  <si>
    <t>Jose Villegas</t>
  </si>
  <si>
    <t>Adonais Diaz Ozuna</t>
  </si>
  <si>
    <t>Camila Diaz Romero</t>
  </si>
  <si>
    <t>Edad (9a) anotada junto al nombre en la pizarra original</t>
  </si>
  <si>
    <t>Dayilbeth Uzcategui</t>
  </si>
  <si>
    <t>Eriober Quintero</t>
  </si>
  <si>
    <t>HOSPITAL MILITAR UNIVERSITARIO "DR. CARLOS ARVELO"</t>
  </si>
  <si>
    <t>PARENTESCO/OBS</t>
  </si>
  <si>
    <t>FECHA</t>
  </si>
  <si>
    <t>Murillo Landaeta Kéliz</t>
  </si>
  <si>
    <t>AFILIADA</t>
  </si>
  <si>
    <t>24/6/2026</t>
  </si>
  <si>
    <t>López Joselyn</t>
  </si>
  <si>
    <t>Visedha González</t>
  </si>
  <si>
    <t>Mora Yosmar</t>
  </si>
  <si>
    <t>Castillo Deimar</t>
  </si>
  <si>
    <t>Gámez Torres Heyribi</t>
  </si>
  <si>
    <t>Rangel Yesenia</t>
  </si>
  <si>
    <t>Ramírez Amundaraín Ivana</t>
  </si>
  <si>
    <t>Briceño Mirabal Josefina</t>
  </si>
  <si>
    <t>Luca González Yamilet</t>
  </si>
  <si>
    <t>Montilla Zelaya Herrera</t>
  </si>
  <si>
    <t>Barrios Yolanda</t>
  </si>
  <si>
    <t>Álvarez Bermo Elsy</t>
  </si>
  <si>
    <t>Brito Alvarado Camila</t>
  </si>
  <si>
    <t>Dorta Rodríguez Delia</t>
  </si>
  <si>
    <t>Coen Blanco</t>
  </si>
  <si>
    <t>Morillo Hernández Nehomar</t>
  </si>
  <si>
    <t>AFILIADO</t>
  </si>
  <si>
    <t>Murillo Landaeta Yorgelis Yadili</t>
  </si>
  <si>
    <t>Castro Lauriana</t>
  </si>
  <si>
    <t>Hernández Lilia</t>
  </si>
  <si>
    <t>Sánchez Alvarado Stefaní</t>
  </si>
  <si>
    <t>Alondra Díaz Delismar del V.</t>
  </si>
  <si>
    <t>Torres Yenile</t>
  </si>
  <si>
    <t>Hernández Pérez Asdrúbal</t>
  </si>
  <si>
    <t>Aguilar Raúl</t>
  </si>
  <si>
    <t>Salas Héctor</t>
  </si>
  <si>
    <t>Peña Emma</t>
  </si>
  <si>
    <t>Guampa Pavia Milagro</t>
  </si>
  <si>
    <t>Castillo Rosana</t>
  </si>
  <si>
    <t>Coen Celia</t>
  </si>
  <si>
    <t>Pérez Juan</t>
  </si>
  <si>
    <t>Tadrón Mirian</t>
  </si>
  <si>
    <t>Milens Gladys</t>
  </si>
  <si>
    <t>Espinoza Germán</t>
  </si>
  <si>
    <t>Aguilar Carmen</t>
  </si>
  <si>
    <t>Pinto José</t>
  </si>
  <si>
    <t>Salma Yésica</t>
  </si>
  <si>
    <t>Gómez Crispulo</t>
  </si>
  <si>
    <t>Durán Aura</t>
  </si>
  <si>
    <t>Cogollo Deiner</t>
  </si>
  <si>
    <t>Guanche Delfín</t>
  </si>
  <si>
    <t>María Fragoza Peña</t>
  </si>
  <si>
    <t>Delia de Guerrero Peña</t>
  </si>
  <si>
    <t>Ana de Pablo</t>
  </si>
  <si>
    <t>Navas Yayaira</t>
  </si>
  <si>
    <t>García Diana</t>
  </si>
  <si>
    <t>Zonis Nalleli</t>
  </si>
  <si>
    <t>Suares Tomasa</t>
  </si>
  <si>
    <t>Velásquez Jolimar</t>
  </si>
  <si>
    <t>Varela María</t>
  </si>
  <si>
    <t>Villao Pastora Ducleidis</t>
  </si>
  <si>
    <t>Hernández de Collado Mónica</t>
  </si>
  <si>
    <t>González Viviana</t>
  </si>
  <si>
    <t>Brito Vasquez Nélide</t>
  </si>
  <si>
    <t>Guzmán Aracelis</t>
  </si>
  <si>
    <t>Gómez Apostol Valentina</t>
  </si>
  <si>
    <t>Herrera Víctor</t>
  </si>
  <si>
    <t>Rojas Jesús</t>
  </si>
  <si>
    <t>Santos Flores Mario H.</t>
  </si>
  <si>
    <t>Garatli Cova</t>
  </si>
  <si>
    <t>Briceño María</t>
  </si>
  <si>
    <t>Legorburu Juan Andrés</t>
  </si>
  <si>
    <t>Anchundia Isaac</t>
  </si>
  <si>
    <t>Pericaguan Miliba</t>
  </si>
  <si>
    <t>Blanco Milquiades</t>
  </si>
  <si>
    <t>Quao Suylin</t>
  </si>
  <si>
    <t>Castillo Alba</t>
  </si>
  <si>
    <t>Mariño Castello</t>
  </si>
  <si>
    <t>Hijo Cnel. (F)</t>
  </si>
  <si>
    <t>Marcano Suse</t>
  </si>
  <si>
    <t>Marcano Odalis</t>
  </si>
  <si>
    <t>Pérez Infantes</t>
  </si>
  <si>
    <t>Hetty Sam</t>
  </si>
  <si>
    <t>Garazo Andrea</t>
  </si>
  <si>
    <t>González Ahimar</t>
  </si>
  <si>
    <t>Olivero Ana</t>
  </si>
  <si>
    <t>Ramos Joselina Alvaredo</t>
  </si>
  <si>
    <t>Ismael Rumanca Torres</t>
  </si>
  <si>
    <t>Nelda Bello</t>
  </si>
  <si>
    <t>Monsalve Kiana</t>
  </si>
  <si>
    <t>Salas Villaya</t>
  </si>
  <si>
    <t>Laya Yosli</t>
  </si>
  <si>
    <t>Salazar Carlos</t>
  </si>
  <si>
    <t>Vargas Nancy</t>
  </si>
  <si>
    <t>Moreno Yulitza</t>
  </si>
  <si>
    <t>Salazar Yajaira</t>
  </si>
  <si>
    <t>Acosta Ámbar</t>
  </si>
  <si>
    <t>Durán José</t>
  </si>
  <si>
    <t>Fernández Lila</t>
  </si>
  <si>
    <t>Jiménez Rosmeli</t>
  </si>
  <si>
    <t>Delgado Marisela</t>
  </si>
  <si>
    <t>Jiménez Víctor</t>
  </si>
  <si>
    <t>Peña Nadia Terse</t>
  </si>
  <si>
    <t>Harlam Camargo</t>
  </si>
  <si>
    <t>Pesqueda Jerry Jonny</t>
  </si>
  <si>
    <t>Rivero Marina Rosa</t>
  </si>
  <si>
    <t>Olivares Heyryber</t>
  </si>
  <si>
    <t>Anzendi Jonathan</t>
  </si>
  <si>
    <t>Tricone Adrian</t>
  </si>
  <si>
    <t>Duque Valeria</t>
  </si>
  <si>
    <t>Pinto Luisa</t>
  </si>
  <si>
    <t>Sebastián Rojas</t>
  </si>
  <si>
    <t>Wesolski Julia</t>
  </si>
  <si>
    <t>Jaidón Cadenas</t>
  </si>
  <si>
    <t>López Yeisal</t>
  </si>
  <si>
    <t>Friday Rodrys</t>
  </si>
  <si>
    <t>Freddy Rodríguez (Padre)</t>
  </si>
  <si>
    <t>García Rosmery</t>
  </si>
  <si>
    <t>Silva Stefaní</t>
  </si>
  <si>
    <t>Medina Maritza</t>
  </si>
  <si>
    <t>Stefaní Villegas</t>
  </si>
  <si>
    <t>Álvarez Anderson</t>
  </si>
  <si>
    <t>Piñero Díaz Ouikli (Fallecido)</t>
  </si>
  <si>
    <t>Marcano González Mara</t>
  </si>
  <si>
    <t>Hamer Moríes Álvarez</t>
  </si>
  <si>
    <t>Carvajal Jon</t>
  </si>
  <si>
    <t>Jusmary Tovar</t>
  </si>
  <si>
    <t>Luis Martínez</t>
  </si>
  <si>
    <t>Giovanny López</t>
  </si>
  <si>
    <t>Torrellas María</t>
  </si>
  <si>
    <t>Ortega Belde</t>
  </si>
  <si>
    <t>(repetido, ver fila 74)</t>
  </si>
  <si>
    <t>Palmer Darliman</t>
  </si>
  <si>
    <t>Rodríguez Luis</t>
  </si>
  <si>
    <t>Paola González</t>
  </si>
  <si>
    <t>Ramos Mayerling</t>
  </si>
  <si>
    <t>Arias Fructuoso</t>
  </si>
  <si>
    <t>Belde Ortega</t>
  </si>
  <si>
    <t>Mayerling Ramos</t>
  </si>
  <si>
    <t>Yoselyn Guerra</t>
  </si>
  <si>
    <t>Lourdes Jiménez</t>
  </si>
  <si>
    <t>Yakelin Santana</t>
  </si>
  <si>
    <t>González Martínez María Cristina</t>
  </si>
  <si>
    <t>López Morales César</t>
  </si>
  <si>
    <t>Noguera Arángel</t>
  </si>
  <si>
    <t>Rangel Daphne</t>
  </si>
  <si>
    <t>Mariany Salazar</t>
  </si>
  <si>
    <t>Franklin Pérez Guanche</t>
  </si>
  <si>
    <t>Génesis Silva</t>
  </si>
  <si>
    <t>Danieli Carelis García</t>
  </si>
  <si>
    <t>Osorio Elvia</t>
  </si>
  <si>
    <t>Elías Melo</t>
  </si>
  <si>
    <t>Maite Coa</t>
  </si>
  <si>
    <t>Elvis Etolino</t>
  </si>
  <si>
    <t>Sergio Pérez</t>
  </si>
  <si>
    <t>Florián Cedeño Alberto</t>
  </si>
  <si>
    <t>Yan Ilduara</t>
  </si>
  <si>
    <t>CLÍNICA EL ÁVILA</t>
  </si>
  <si>
    <t>HOSPITAL J.M. DE LOS RÍOS (HOSPITAL DE NIÑOS)</t>
  </si>
  <si>
    <t>SEGURO SOCIAL LA GUAIRA</t>
  </si>
  <si>
    <t>HOSPITAL GENERAL REGIONAL DR. JOSE MARIA VARGAS - ESTADO LA GUAIRA</t>
  </si>
  <si>
    <t>Apellido</t>
  </si>
  <si>
    <t>Nombre</t>
  </si>
  <si>
    <t>Cedula</t>
  </si>
  <si>
    <t>Destino</t>
  </si>
  <si>
    <t>Fuente</t>
  </si>
  <si>
    <t>Acevedo Mez</t>
  </si>
  <si>
    <t>Listas solo con nombre</t>
  </si>
  <si>
    <t>Acosta</t>
  </si>
  <si>
    <t>Yaneli</t>
  </si>
  <si>
    <t>31760907</t>
  </si>
  <si>
    <t>Listas con cédula</t>
  </si>
  <si>
    <t>Acosta Bastidas</t>
  </si>
  <si>
    <t>Yanelis del Valle Caroline</t>
  </si>
  <si>
    <t>Aguilera</t>
  </si>
  <si>
    <t>Ana</t>
  </si>
  <si>
    <t>20003134</t>
  </si>
  <si>
    <t>Allaman</t>
  </si>
  <si>
    <t>Maria</t>
  </si>
  <si>
    <t>Listas con ubicación</t>
  </si>
  <si>
    <t>Alonzo Oropeza</t>
  </si>
  <si>
    <t>Erika Marvulo</t>
  </si>
  <si>
    <t>Alvarez</t>
  </si>
  <si>
    <t>Wilian</t>
  </si>
  <si>
    <t>16125101</t>
  </si>
  <si>
    <t>Willian</t>
  </si>
  <si>
    <t>Anaque Vuelta</t>
  </si>
  <si>
    <t>Maria Jose</t>
  </si>
  <si>
    <t>Angarita</t>
  </si>
  <si>
    <t>Carmen</t>
  </si>
  <si>
    <t>12060080</t>
  </si>
  <si>
    <t>Angarita Carrillo</t>
  </si>
  <si>
    <t>Carmen Mietona</t>
  </si>
  <si>
    <t>Araque</t>
  </si>
  <si>
    <t>28100561</t>
  </si>
  <si>
    <t>Azocar</t>
  </si>
  <si>
    <t>Valeria</t>
  </si>
  <si>
    <t>28544619</t>
  </si>
  <si>
    <t>Baptista</t>
  </si>
  <si>
    <t>Yermin</t>
  </si>
  <si>
    <t>31948173</t>
  </si>
  <si>
    <t>Baptista Herrero</t>
  </si>
  <si>
    <t>Yerman Emmanuel</t>
  </si>
  <si>
    <t>Bastardo</t>
  </si>
  <si>
    <t>Veronica</t>
  </si>
  <si>
    <t>30170676</t>
  </si>
  <si>
    <t>Bastido</t>
  </si>
  <si>
    <t>Adriana</t>
  </si>
  <si>
    <t>17856045</t>
  </si>
  <si>
    <t>Becerra</t>
  </si>
  <si>
    <t>Leonardo</t>
  </si>
  <si>
    <t>34800366</t>
  </si>
  <si>
    <t>Bernal</t>
  </si>
  <si>
    <t>Marcela</t>
  </si>
  <si>
    <t>6049995</t>
  </si>
  <si>
    <t>Bezeno</t>
  </si>
  <si>
    <t>Maximo Miguel Galvis</t>
  </si>
  <si>
    <t>Bolivar</t>
  </si>
  <si>
    <t>Daniela Yetselle</t>
  </si>
  <si>
    <t>Tanaguarenas</t>
  </si>
  <si>
    <t>Jose Jose</t>
  </si>
  <si>
    <t>Bracamonte</t>
  </si>
  <si>
    <t>Genesis</t>
  </si>
  <si>
    <t>31428533</t>
  </si>
  <si>
    <t>Bracamonte Rojas</t>
  </si>
  <si>
    <t>Brito</t>
  </si>
  <si>
    <t>Antonella</t>
  </si>
  <si>
    <t>David</t>
  </si>
  <si>
    <t>30678485</t>
  </si>
  <si>
    <t>Brito Morales</t>
  </si>
  <si>
    <t>Brayan David</t>
  </si>
  <si>
    <t>Brito Piñero</t>
  </si>
  <si>
    <t>Samuel</t>
  </si>
  <si>
    <t>Brizuela</t>
  </si>
  <si>
    <t>Gabnel</t>
  </si>
  <si>
    <t>Gabriel</t>
  </si>
  <si>
    <t>32781459</t>
  </si>
  <si>
    <t>Bueno</t>
  </si>
  <si>
    <t>Mendo</t>
  </si>
  <si>
    <t>17158021</t>
  </si>
  <si>
    <t>Merida Diaz</t>
  </si>
  <si>
    <t>Cardenas</t>
  </si>
  <si>
    <t>Alexandra</t>
  </si>
  <si>
    <t>28143770</t>
  </si>
  <si>
    <t>Alexndra</t>
  </si>
  <si>
    <t>Cardona</t>
  </si>
  <si>
    <t>Carrera</t>
  </si>
  <si>
    <t>Ashlys</t>
  </si>
  <si>
    <t>Caribe - La Guaira</t>
  </si>
  <si>
    <t>Carreño</t>
  </si>
  <si>
    <t>Asly Janzise</t>
  </si>
  <si>
    <t>Derek Josue</t>
  </si>
  <si>
    <t>Carrizo</t>
  </si>
  <si>
    <t>Viviana</t>
  </si>
  <si>
    <t>33232603</t>
  </si>
  <si>
    <t>Caruso</t>
  </si>
  <si>
    <t>Valentina Viviana</t>
  </si>
  <si>
    <t>Castillo</t>
  </si>
  <si>
    <t>Ayari</t>
  </si>
  <si>
    <t>26327913</t>
  </si>
  <si>
    <t>Oscaru Ayari</t>
  </si>
  <si>
    <t>Ceballos Gonzalez</t>
  </si>
  <si>
    <t>Gioanelde</t>
  </si>
  <si>
    <t>Chacon</t>
  </si>
  <si>
    <t>Elisabeth</t>
  </si>
  <si>
    <t>27374286</t>
  </si>
  <si>
    <t>Chavez</t>
  </si>
  <si>
    <t>Neri</t>
  </si>
  <si>
    <t>81462470</t>
  </si>
  <si>
    <t>Chirinos</t>
  </si>
  <si>
    <t>Jose Maximiliano Martinez</t>
  </si>
  <si>
    <t>La Guaira Hotel Eduard Suite</t>
  </si>
  <si>
    <t>Colina</t>
  </si>
  <si>
    <t>Yoxandri</t>
  </si>
  <si>
    <t>25872328</t>
  </si>
  <si>
    <t>Colina Angarita</t>
  </si>
  <si>
    <t>Yohandri Abel</t>
  </si>
  <si>
    <t>Cordero</t>
  </si>
  <si>
    <t>Yadira</t>
  </si>
  <si>
    <t>12763837</t>
  </si>
  <si>
    <t>Cordero Parra</t>
  </si>
  <si>
    <t>Willians Jose</t>
  </si>
  <si>
    <t>D Anzola</t>
  </si>
  <si>
    <t>Manuela</t>
  </si>
  <si>
    <t>296723</t>
  </si>
  <si>
    <t>Da Silva</t>
  </si>
  <si>
    <t>Jairo</t>
  </si>
  <si>
    <t>Davila</t>
  </si>
  <si>
    <t>Marlene</t>
  </si>
  <si>
    <t>19102824</t>
  </si>
  <si>
    <t>De Martinez</t>
  </si>
  <si>
    <t>Carmen Zoraida</t>
  </si>
  <si>
    <t>La Guaira Los Cocos</t>
  </si>
  <si>
    <t>De Santiago</t>
  </si>
  <si>
    <t>Juana</t>
  </si>
  <si>
    <t>11688834</t>
  </si>
  <si>
    <t>Deanzola</t>
  </si>
  <si>
    <t>Deti</t>
  </si>
  <si>
    <t>Joscar</t>
  </si>
  <si>
    <t>La Vega Camurichico</t>
  </si>
  <si>
    <t>Diaz</t>
  </si>
  <si>
    <t>10576803</t>
  </si>
  <si>
    <t>Sandra</t>
  </si>
  <si>
    <t>11638321</t>
  </si>
  <si>
    <t>Victor</t>
  </si>
  <si>
    <t>11517536</t>
  </si>
  <si>
    <t>Diaz Romero</t>
  </si>
  <si>
    <t>Briangellys Nazareth</t>
  </si>
  <si>
    <t>Diaz Soza</t>
  </si>
  <si>
    <t>Ana Alecia</t>
  </si>
  <si>
    <t>Dorante</t>
  </si>
  <si>
    <t>Erick</t>
  </si>
  <si>
    <t>Tanaguarenas - La Guaira</t>
  </si>
  <si>
    <t>Dropeza</t>
  </si>
  <si>
    <t>Lourdes</t>
  </si>
  <si>
    <t>14312752</t>
  </si>
  <si>
    <t>Duon Palencia</t>
  </si>
  <si>
    <t>Giannis Doheny</t>
  </si>
  <si>
    <t>Escala</t>
  </si>
  <si>
    <t>Yoiber</t>
  </si>
  <si>
    <t>La Guaira - Tanaguarenas</t>
  </si>
  <si>
    <t>Espinoza</t>
  </si>
  <si>
    <t>Fernandez</t>
  </si>
  <si>
    <t>Alberto Nando</t>
  </si>
  <si>
    <t>25699054</t>
  </si>
  <si>
    <t>Ana Pineda</t>
  </si>
  <si>
    <t>Angel</t>
  </si>
  <si>
    <t>16310014</t>
  </si>
  <si>
    <t>Rodrigo Felipe</t>
  </si>
  <si>
    <t>Figuera</t>
  </si>
  <si>
    <t>Carmelo</t>
  </si>
  <si>
    <t>Fernanda</t>
  </si>
  <si>
    <t>81659048</t>
  </si>
  <si>
    <t>Flormilda</t>
  </si>
  <si>
    <t>Figueroa</t>
  </si>
  <si>
    <t>Yeangel</t>
  </si>
  <si>
    <t>La Guaira Tanaguarenas</t>
  </si>
  <si>
    <t>Francisco</t>
  </si>
  <si>
    <t>Jose Orozco Torres</t>
  </si>
  <si>
    <t>Garcia</t>
  </si>
  <si>
    <t>Diego</t>
  </si>
  <si>
    <t>33423811</t>
  </si>
  <si>
    <t>Diego Mendoza</t>
  </si>
  <si>
    <t>Juan</t>
  </si>
  <si>
    <t>17755829</t>
  </si>
  <si>
    <t>Juver</t>
  </si>
  <si>
    <t>22877514</t>
  </si>
  <si>
    <t>Keilimar</t>
  </si>
  <si>
    <t>32543420</t>
  </si>
  <si>
    <t>Kofrman Bayanus Martinez</t>
  </si>
  <si>
    <t>Marquetia</t>
  </si>
  <si>
    <t>Garcia Velasquez</t>
  </si>
  <si>
    <t>Yarbert Armando</t>
  </si>
  <si>
    <t>Godoy</t>
  </si>
  <si>
    <t>Eric</t>
  </si>
  <si>
    <t>18749225</t>
  </si>
  <si>
    <t>Gomez</t>
  </si>
  <si>
    <t>Manuel</t>
  </si>
  <si>
    <t>18814839</t>
  </si>
  <si>
    <t>Gomez Cordova</t>
  </si>
  <si>
    <t>Manuel Alberto</t>
  </si>
  <si>
    <t>Gonzales</t>
  </si>
  <si>
    <t>Isabel</t>
  </si>
  <si>
    <t>29701695</t>
  </si>
  <si>
    <t>Gonzalez</t>
  </si>
  <si>
    <t>Elizabeth Trinidad</t>
  </si>
  <si>
    <t>Elizabetth</t>
  </si>
  <si>
    <t>17709218</t>
  </si>
  <si>
    <t>Hilmar Yarett De Arismendi</t>
  </si>
  <si>
    <t>La Guaira Playa Verde</t>
  </si>
  <si>
    <t>Jesus</t>
  </si>
  <si>
    <t>Mileibis</t>
  </si>
  <si>
    <t>26468240</t>
  </si>
  <si>
    <t>Veronica Luisa</t>
  </si>
  <si>
    <t>La Guaira Costa La Mar</t>
  </si>
  <si>
    <t>Gonzalez Isoloriz</t>
  </si>
  <si>
    <t>Gonzalez Mendez</t>
  </si>
  <si>
    <t>Daniel Alexander</t>
  </si>
  <si>
    <t>Gonzalez Velasquez</t>
  </si>
  <si>
    <t>Fabian Mauricio</t>
  </si>
  <si>
    <t>Grama</t>
  </si>
  <si>
    <t>Edward Alexander Rodriguez</t>
  </si>
  <si>
    <t>Granado</t>
  </si>
  <si>
    <t>Cristbal</t>
  </si>
  <si>
    <t>23926261</t>
  </si>
  <si>
    <t>Granados Rendon</t>
  </si>
  <si>
    <t>Crisbel Naymer</t>
  </si>
  <si>
    <t>Guerra</t>
  </si>
  <si>
    <t>Emira</t>
  </si>
  <si>
    <t>26019884</t>
  </si>
  <si>
    <t>Guillen</t>
  </si>
  <si>
    <t>6059288</t>
  </si>
  <si>
    <t>Guillen Gonzalez</t>
  </si>
  <si>
    <t>Mario Eugenio</t>
  </si>
  <si>
    <t>Gutierrez</t>
  </si>
  <si>
    <t>Jose</t>
  </si>
  <si>
    <t>28743519</t>
  </si>
  <si>
    <t>Sta Barbara - Barinas</t>
  </si>
  <si>
    <t>Hernandez</t>
  </si>
  <si>
    <t>Carolina</t>
  </si>
  <si>
    <t>Cruz</t>
  </si>
  <si>
    <t>4636722</t>
  </si>
  <si>
    <t>Hidalgo</t>
  </si>
  <si>
    <t>Elianni</t>
  </si>
  <si>
    <t>32976229</t>
  </si>
  <si>
    <t>Hinona</t>
  </si>
  <si>
    <t>Yimmy</t>
  </si>
  <si>
    <t>Iglesias</t>
  </si>
  <si>
    <t>Ibsen</t>
  </si>
  <si>
    <t>32359883</t>
  </si>
  <si>
    <t>Iglesias Peña</t>
  </si>
  <si>
    <t>Ibsen Jose</t>
  </si>
  <si>
    <t>Infante</t>
  </si>
  <si>
    <t>Yhelena</t>
  </si>
  <si>
    <t>La Guaira - Caraballeda</t>
  </si>
  <si>
    <t>Jimenez</t>
  </si>
  <si>
    <t>Mathias Alejandro Rangel</t>
  </si>
  <si>
    <t>La Rosa</t>
  </si>
  <si>
    <t>Noel</t>
  </si>
  <si>
    <t>La Guaira Hotel Eduard Suites</t>
  </si>
  <si>
    <t>Lemus</t>
  </si>
  <si>
    <t>Leon</t>
  </si>
  <si>
    <t>Gonzalo</t>
  </si>
  <si>
    <t>22916224</t>
  </si>
  <si>
    <t>León</t>
  </si>
  <si>
    <t>Loabel Soniz</t>
  </si>
  <si>
    <t>Lopez</t>
  </si>
  <si>
    <t>Dufar</t>
  </si>
  <si>
    <t>12115323</t>
  </si>
  <si>
    <t>Franley</t>
  </si>
  <si>
    <t>23241059</t>
  </si>
  <si>
    <t>Luis Revoredo</t>
  </si>
  <si>
    <t>Nailin</t>
  </si>
  <si>
    <t>15541666</t>
  </si>
  <si>
    <t>Thais</t>
  </si>
  <si>
    <t>13641870</t>
  </si>
  <si>
    <t>Lopez Davila</t>
  </si>
  <si>
    <t>Marly Carolina</t>
  </si>
  <si>
    <t>Thais Bernal</t>
  </si>
  <si>
    <t>Loyo</t>
  </si>
  <si>
    <t>Andres</t>
  </si>
  <si>
    <t>Lujano</t>
  </si>
  <si>
    <t>Elias</t>
  </si>
  <si>
    <t>Malave</t>
  </si>
  <si>
    <t>Alfonso Samara Valentina</t>
  </si>
  <si>
    <t>Tamara</t>
  </si>
  <si>
    <t>Marcano</t>
  </si>
  <si>
    <t>Rosa</t>
  </si>
  <si>
    <t>4498435</t>
  </si>
  <si>
    <t>Yenni</t>
  </si>
  <si>
    <t>18384289</t>
  </si>
  <si>
    <t>10384289</t>
  </si>
  <si>
    <t>Martinez</t>
  </si>
  <si>
    <t>Marlin</t>
  </si>
  <si>
    <t>10576891</t>
  </si>
  <si>
    <t>Wilian Jose</t>
  </si>
  <si>
    <t>Costa La Mar</t>
  </si>
  <si>
    <t>Williams</t>
  </si>
  <si>
    <t>19367804</t>
  </si>
  <si>
    <t>Zoraida</t>
  </si>
  <si>
    <t>6092167</t>
  </si>
  <si>
    <t>Martinez Martinez</t>
  </si>
  <si>
    <t>Eduardo Rafael</t>
  </si>
  <si>
    <t>Marlyn Margarita</t>
  </si>
  <si>
    <t>Mayora</t>
  </si>
  <si>
    <t>Medina</t>
  </si>
  <si>
    <t>Almando</t>
  </si>
  <si>
    <t>Francis</t>
  </si>
  <si>
    <t>285659</t>
  </si>
  <si>
    <t>Nathacha</t>
  </si>
  <si>
    <t>29565365</t>
  </si>
  <si>
    <t>Medina Hernandez</t>
  </si>
  <si>
    <t>Hanser</t>
  </si>
  <si>
    <t>Medina Parra</t>
  </si>
  <si>
    <t>Fernando Jose</t>
  </si>
  <si>
    <t>Mendez</t>
  </si>
  <si>
    <t>Yolimar</t>
  </si>
  <si>
    <t>Mendoza</t>
  </si>
  <si>
    <t>Anderson</t>
  </si>
  <si>
    <t>Plaza Grande La Guaira</t>
  </si>
  <si>
    <t>Luz</t>
  </si>
  <si>
    <t>Mijares</t>
  </si>
  <si>
    <t>Celiana</t>
  </si>
  <si>
    <t>19734177</t>
  </si>
  <si>
    <t>Miranda</t>
  </si>
  <si>
    <t>Victoria</t>
  </si>
  <si>
    <t>34054588</t>
  </si>
  <si>
    <t>Miranda Torres</t>
  </si>
  <si>
    <t>Victoria Elena</t>
  </si>
  <si>
    <t>Molina</t>
  </si>
  <si>
    <t>Nayibi</t>
  </si>
  <si>
    <t>29768360</t>
  </si>
  <si>
    <t>Montolla</t>
  </si>
  <si>
    <t>25025734</t>
  </si>
  <si>
    <t>Morales</t>
  </si>
  <si>
    <t>Lesvia</t>
  </si>
  <si>
    <t>5965096</t>
  </si>
  <si>
    <t>Moreno</t>
  </si>
  <si>
    <t>5613119</t>
  </si>
  <si>
    <t>Morillo</t>
  </si>
  <si>
    <t>Anabela</t>
  </si>
  <si>
    <t>34588981</t>
  </si>
  <si>
    <t>Mosquera</t>
  </si>
  <si>
    <t>Emili</t>
  </si>
  <si>
    <t>28285779</t>
  </si>
  <si>
    <t>Murillo Montoya</t>
  </si>
  <si>
    <t>Anabella Victoriz</t>
  </si>
  <si>
    <t>Navas</t>
  </si>
  <si>
    <t>Yodalis</t>
  </si>
  <si>
    <t>82230906</t>
  </si>
  <si>
    <t>Yodelis Mercedes</t>
  </si>
  <si>
    <t>Olivero</t>
  </si>
  <si>
    <t>4281217</t>
  </si>
  <si>
    <t>Olivio</t>
  </si>
  <si>
    <t>Lilian</t>
  </si>
  <si>
    <t>Orana</t>
  </si>
  <si>
    <t>Eduar</t>
  </si>
  <si>
    <t>Oropeza Oropeza</t>
  </si>
  <si>
    <t>Jander</t>
  </si>
  <si>
    <t>Orozco Devan</t>
  </si>
  <si>
    <t>Cristina</t>
  </si>
  <si>
    <t>Orozco Pelaez</t>
  </si>
  <si>
    <t>Gabriela Isabella</t>
  </si>
  <si>
    <t>Orozco Retez</t>
  </si>
  <si>
    <t>Ortega</t>
  </si>
  <si>
    <t>Cristian Miguel</t>
  </si>
  <si>
    <t>Ortiz</t>
  </si>
  <si>
    <t>Alvaro</t>
  </si>
  <si>
    <t>4163469</t>
  </si>
  <si>
    <t>Ortiz Arismendi</t>
  </si>
  <si>
    <t>Alvaro Enrique</t>
  </si>
  <si>
    <t>Ortuño</t>
  </si>
  <si>
    <t>Manrique Jhony</t>
  </si>
  <si>
    <t>Yoni</t>
  </si>
  <si>
    <t>5199693</t>
  </si>
  <si>
    <t>Yonny</t>
  </si>
  <si>
    <t>5199652</t>
  </si>
  <si>
    <t>Pacheco</t>
  </si>
  <si>
    <t>Cesar</t>
  </si>
  <si>
    <t>26327366</t>
  </si>
  <si>
    <t>Pacheco Diaz</t>
  </si>
  <si>
    <t>Cesar Eduardo</t>
  </si>
  <si>
    <t>Padilla Marcano</t>
  </si>
  <si>
    <t>Penangeli Anelis</t>
  </si>
  <si>
    <t>Palma</t>
  </si>
  <si>
    <t>Yose</t>
  </si>
  <si>
    <t>6448839</t>
  </si>
  <si>
    <t>Palma Mota</t>
  </si>
  <si>
    <t>Jose Antonio</t>
  </si>
  <si>
    <t>Paredes</t>
  </si>
  <si>
    <t>Cenida</t>
  </si>
  <si>
    <t>6405488</t>
  </si>
  <si>
    <t>Cruzcenida</t>
  </si>
  <si>
    <t>Judid</t>
  </si>
  <si>
    <t>3883421</t>
  </si>
  <si>
    <t>Yudi</t>
  </si>
  <si>
    <t>Parice Parice</t>
  </si>
  <si>
    <t>Laian Dizke</t>
  </si>
  <si>
    <t>Peláez</t>
  </si>
  <si>
    <t>Franger</t>
  </si>
  <si>
    <t>Perez Colmenares</t>
  </si>
  <si>
    <t>Valentina</t>
  </si>
  <si>
    <t>Peroza</t>
  </si>
  <si>
    <t>33020891</t>
  </si>
  <si>
    <t>Polanco Yauripano</t>
  </si>
  <si>
    <t>Liz Santiago</t>
  </si>
  <si>
    <t>Quintero</t>
  </si>
  <si>
    <t>Alfredo</t>
  </si>
  <si>
    <t>La Guaira Playa Caribe Los Cocos</t>
  </si>
  <si>
    <t>Crisdelis</t>
  </si>
  <si>
    <t>32662296</t>
  </si>
  <si>
    <t>Quintero Romero</t>
  </si>
  <si>
    <t>Barbara Noduska</t>
  </si>
  <si>
    <t>Quintero Viera</t>
  </si>
  <si>
    <t>Rosa Angela</t>
  </si>
  <si>
    <t>Quito</t>
  </si>
  <si>
    <t>Barbara</t>
  </si>
  <si>
    <t>13422890</t>
  </si>
  <si>
    <t>Ramirez</t>
  </si>
  <si>
    <t>18461886</t>
  </si>
  <si>
    <t>Oriana</t>
  </si>
  <si>
    <t>27006264</t>
  </si>
  <si>
    <t>Ramirez de Reyes</t>
  </si>
  <si>
    <t>Barbara Danea</t>
  </si>
  <si>
    <t>Ramos Vargas</t>
  </si>
  <si>
    <t>Emily Stefania</t>
  </si>
  <si>
    <t>Revoredo</t>
  </si>
  <si>
    <t>Isabela</t>
  </si>
  <si>
    <t>Rivero</t>
  </si>
  <si>
    <t>Karleidis</t>
  </si>
  <si>
    <t>36091784</t>
  </si>
  <si>
    <t>Rodriguez</t>
  </si>
  <si>
    <t>Fredy</t>
  </si>
  <si>
    <t>14424783</t>
  </si>
  <si>
    <t>Moneivar</t>
  </si>
  <si>
    <t>Yosbelly</t>
  </si>
  <si>
    <t>Rodriguez Oviedo</t>
  </si>
  <si>
    <t>Joelviger Javier</t>
  </si>
  <si>
    <t>Rodriguez Severino</t>
  </si>
  <si>
    <t>Freddy Alexis</t>
  </si>
  <si>
    <t>Romero</t>
  </si>
  <si>
    <t>Yusleivens</t>
  </si>
  <si>
    <t>Rondon</t>
  </si>
  <si>
    <t>Fian</t>
  </si>
  <si>
    <t>19659867</t>
  </si>
  <si>
    <t>Salazar Zambrano</t>
  </si>
  <si>
    <t>Johan Alexander</t>
  </si>
  <si>
    <t>Sanabria</t>
  </si>
  <si>
    <t>Angi</t>
  </si>
  <si>
    <t>Sandoval</t>
  </si>
  <si>
    <t>34518879</t>
  </si>
  <si>
    <t>Sedeña</t>
  </si>
  <si>
    <t>Maryuri</t>
  </si>
  <si>
    <t>14194021</t>
  </si>
  <si>
    <t>Sojo</t>
  </si>
  <si>
    <t>Alejandra</t>
  </si>
  <si>
    <t>6904629</t>
  </si>
  <si>
    <t>Reina Alejandra</t>
  </si>
  <si>
    <t>Stabilito</t>
  </si>
  <si>
    <t>Amilcar</t>
  </si>
  <si>
    <t>30072743</t>
  </si>
  <si>
    <t>Anilez</t>
  </si>
  <si>
    <t>Sucre</t>
  </si>
  <si>
    <t>Petra</t>
  </si>
  <si>
    <t>2945823</t>
  </si>
  <si>
    <t>Tamora</t>
  </si>
  <si>
    <t>27044236</t>
  </si>
  <si>
    <t>Tirado</t>
  </si>
  <si>
    <t>Yuniar</t>
  </si>
  <si>
    <t>26372024</t>
  </si>
  <si>
    <t>Tirado Lavez</t>
  </si>
  <si>
    <t>Yunior David</t>
  </si>
  <si>
    <t>Toro</t>
  </si>
  <si>
    <t>Valeska</t>
  </si>
  <si>
    <t>Torres</t>
  </si>
  <si>
    <t>Alberto Jhon</t>
  </si>
  <si>
    <t>4718019</t>
  </si>
  <si>
    <t>Jenny Carolina Soza</t>
  </si>
  <si>
    <t>Junquito Km 25</t>
  </si>
  <si>
    <t>Urbana</t>
  </si>
  <si>
    <t>Edwin</t>
  </si>
  <si>
    <t>Uzcategui</t>
  </si>
  <si>
    <t>Los Corales - La Guaira</t>
  </si>
  <si>
    <t>Valerio</t>
  </si>
  <si>
    <t>Lucy</t>
  </si>
  <si>
    <t>Valerio Prada</t>
  </si>
  <si>
    <t>Enecy</t>
  </si>
  <si>
    <t>Valero</t>
  </si>
  <si>
    <t>Fleici</t>
  </si>
  <si>
    <t>13574764</t>
  </si>
  <si>
    <t>Vargas</t>
  </si>
  <si>
    <t>Damian</t>
  </si>
  <si>
    <t>Catia Agua Salud</t>
  </si>
  <si>
    <t>Vergara Blanco</t>
  </si>
  <si>
    <t>Arantza</t>
  </si>
  <si>
    <t>Vestidas</t>
  </si>
  <si>
    <t>Viera</t>
  </si>
  <si>
    <t>Rosalinda</t>
  </si>
  <si>
    <t>12717087</t>
  </si>
  <si>
    <t>Villastro</t>
  </si>
  <si>
    <t>Isaac Aran</t>
  </si>
  <si>
    <t>Vous</t>
  </si>
  <si>
    <t>Candelario</t>
  </si>
  <si>
    <t>9416493</t>
  </si>
  <si>
    <t>Yauripano Locenz</t>
  </si>
  <si>
    <t>Genesis Maria</t>
  </si>
  <si>
    <t>Yegue</t>
  </si>
  <si>
    <t>Erban</t>
  </si>
  <si>
    <t>24058780</t>
  </si>
  <si>
    <t>Yepez</t>
  </si>
  <si>
    <t>Carlos Dominguez</t>
  </si>
  <si>
    <t>Yodelis</t>
  </si>
  <si>
    <t>Mercedes Navas</t>
  </si>
  <si>
    <t>Zalazar</t>
  </si>
  <si>
    <t>INFORMACIÓN</t>
  </si>
  <si>
    <t>Moreno Yaneth</t>
  </si>
  <si>
    <t>Franyerli Moreno</t>
  </si>
  <si>
    <t>Barbara Moreno</t>
  </si>
  <si>
    <t>Yandreina Corvo</t>
  </si>
  <si>
    <t>Yohan Corvo</t>
  </si>
  <si>
    <t>Yonaiker Diaz</t>
  </si>
  <si>
    <t>Danyerlis Diaz</t>
  </si>
  <si>
    <t>Jose Torres</t>
  </si>
  <si>
    <t>Yanetsi Peralta</t>
  </si>
  <si>
    <t>Luis Diaz</t>
  </si>
  <si>
    <t>Dylan Moreno</t>
  </si>
  <si>
    <t>Maria Montilla</t>
  </si>
  <si>
    <t>Julio Santana</t>
  </si>
  <si>
    <t>Jeferson Suarez Montilla</t>
  </si>
  <si>
    <t>Luis Rosales</t>
  </si>
  <si>
    <t>Nivia Escalante</t>
  </si>
  <si>
    <t>Yulianny Rosales</t>
  </si>
  <si>
    <t>Marco Palao</t>
  </si>
  <si>
    <t>Zoraily Dimas</t>
  </si>
  <si>
    <t>Nombre poco legible en el original</t>
  </si>
  <si>
    <t>Francisco Salinas</t>
  </si>
  <si>
    <t>Josli Coa</t>
  </si>
  <si>
    <t>Carmen Fuentes</t>
  </si>
  <si>
    <t>Carlos Ontiveros</t>
  </si>
  <si>
    <t>Carmen Aracely Ontiveros</t>
  </si>
  <si>
    <t>Daniela Tovar</t>
  </si>
  <si>
    <t>Milagros Hernandez</t>
  </si>
  <si>
    <t>Josmaily Silano</t>
  </si>
  <si>
    <t>Josemy Vasquez</t>
  </si>
  <si>
    <t>Anly Vasquez</t>
  </si>
  <si>
    <t>Mathias Vasquez</t>
  </si>
  <si>
    <t>Amairo Figuera</t>
  </si>
  <si>
    <t>Marielui Monasterio</t>
  </si>
  <si>
    <t>Isaac Figuera</t>
  </si>
  <si>
    <t>Ambar Figuera</t>
  </si>
  <si>
    <t>Jasmin Puerta</t>
  </si>
  <si>
    <t>Jose Araque</t>
  </si>
  <si>
    <t>Solaiby Farraes</t>
  </si>
  <si>
    <t>Mariolimar Benitez</t>
  </si>
  <si>
    <t>Robert Rodriguez</t>
  </si>
  <si>
    <t>Ida Santana</t>
  </si>
  <si>
    <t>Katherin Salas</t>
  </si>
  <si>
    <t>Isabela Berbesi</t>
  </si>
  <si>
    <t>Luis Rodriguez</t>
  </si>
  <si>
    <t>Sharon Yepez</t>
  </si>
  <si>
    <t>Inicio del nombre poco legible en el original</t>
  </si>
  <si>
    <t>Katlis Farias</t>
  </si>
  <si>
    <t>Katherine Avilan</t>
  </si>
  <si>
    <t>Adriannys Diaz</t>
  </si>
  <si>
    <t>menor</t>
  </si>
  <si>
    <t>Adrian Diaz</t>
  </si>
  <si>
    <t>Francisco Avilan</t>
  </si>
  <si>
    <t>Miguel Cejas</t>
  </si>
  <si>
    <t>Raiza Gonzales</t>
  </si>
  <si>
    <t>Gerdis Cejas</t>
  </si>
  <si>
    <t>Thiago Arratia</t>
  </si>
  <si>
    <t>Rosana Monge</t>
  </si>
  <si>
    <t>Jose Perez</t>
  </si>
  <si>
    <t>Eberto Barrios</t>
  </si>
  <si>
    <t>Rosi de Barrios</t>
  </si>
  <si>
    <t>Rusbelma Santana</t>
  </si>
  <si>
    <t>Judith Gonzales</t>
  </si>
  <si>
    <t>Ruben Santana</t>
  </si>
  <si>
    <t>Nairobi Flores</t>
  </si>
  <si>
    <t>Felipe Gomes</t>
  </si>
  <si>
    <t>Ana Contreras</t>
  </si>
  <si>
    <t>Oriana Urruchurto</t>
  </si>
  <si>
    <t>(Torres) - aclaracion en el original</t>
  </si>
  <si>
    <t>Fabiola Avilan</t>
  </si>
  <si>
    <t>Paola Avilan</t>
  </si>
  <si>
    <t>Branyeska Landaeta</t>
  </si>
  <si>
    <t>Yarnelis Ochoa</t>
  </si>
  <si>
    <t>Aron Ochoa</t>
  </si>
  <si>
    <t>Deilysbeth Ferreira</t>
  </si>
  <si>
    <t>Freymary Izagoirre</t>
  </si>
  <si>
    <t>Yusmely Idriarte</t>
  </si>
  <si>
    <t>Dainelis Hernandez</t>
  </si>
  <si>
    <t>Enyer Navarro</t>
  </si>
  <si>
    <t>Beryaki Perez</t>
  </si>
  <si>
    <t>Ender Rodriguez</t>
  </si>
  <si>
    <t>Asdrubal Ulloa</t>
  </si>
  <si>
    <t>Javier Hernandez</t>
  </si>
  <si>
    <t>Fabiana Jaimes</t>
  </si>
  <si>
    <t>Wilkely Gueira</t>
  </si>
  <si>
    <t>Jonailfer Zerpa</t>
  </si>
  <si>
    <t>Diana Conde</t>
  </si>
  <si>
    <t>Elias Hermoso</t>
  </si>
  <si>
    <t>Angel Hermoso</t>
  </si>
  <si>
    <t>Eiker Hermoso</t>
  </si>
  <si>
    <t>Dayana Sanchez</t>
  </si>
  <si>
    <t>Sonia Marcano</t>
  </si>
  <si>
    <t>Yanderson Diaz</t>
  </si>
  <si>
    <t>Liber Sanchez</t>
  </si>
  <si>
    <t>Yolimar Benavidez</t>
  </si>
  <si>
    <t>Michel Chivico</t>
  </si>
  <si>
    <t>Marlene Andrade</t>
  </si>
  <si>
    <t>Jean Farias</t>
  </si>
  <si>
    <t>Jean Franco Farias</t>
  </si>
  <si>
    <t>Jean Andrade Farias</t>
  </si>
  <si>
    <t>Palabra tachada despues del nombre en el original</t>
  </si>
  <si>
    <t>Carlos Paredes</t>
  </si>
  <si>
    <t>Carla Paredes</t>
  </si>
  <si>
    <t>Mercedes Pernia</t>
  </si>
  <si>
    <t>Magali Cabrera</t>
  </si>
  <si>
    <t>Nirxon Ramirez</t>
  </si>
  <si>
    <t>Adrian Hurtado</t>
  </si>
  <si>
    <t>Usiel Bello</t>
  </si>
  <si>
    <t>Rafael Viralles</t>
  </si>
  <si>
    <t>Joel Guevara</t>
  </si>
  <si>
    <t>Elias Yanez</t>
  </si>
  <si>
    <t>Victor Ruiz</t>
  </si>
  <si>
    <t>Teobaldo Hernandez</t>
  </si>
  <si>
    <t>Freddy Rodriguez</t>
  </si>
  <si>
    <t>Ericka Suarez</t>
  </si>
  <si>
    <t>Aixa Sanoja</t>
  </si>
  <si>
    <t>Gilmer Castillo</t>
  </si>
  <si>
    <t>Yeleisy Castillo</t>
  </si>
  <si>
    <t>Belkys Castillo</t>
  </si>
  <si>
    <t>Aurielys Delgado</t>
  </si>
  <si>
    <t>Adolfo Guarenas</t>
  </si>
  <si>
    <t>Yubelkys Garcia</t>
  </si>
  <si>
    <t>Yeison Rada</t>
  </si>
  <si>
    <t>Manuel Castillo</t>
  </si>
  <si>
    <t>Jenifer Guerire</t>
  </si>
  <si>
    <t>Sofia Hernandez</t>
  </si>
  <si>
    <t>Nicole Hernandez</t>
  </si>
  <si>
    <t>Michell Hernandez</t>
  </si>
  <si>
    <t>Norelkys Castillo</t>
  </si>
  <si>
    <t>Gari Graterol</t>
  </si>
  <si>
    <t>Nahomi Graterol</t>
  </si>
  <si>
    <t>Ashly Acosta</t>
  </si>
  <si>
    <t>Adriani Acosta</t>
  </si>
  <si>
    <t>Alan Acosta</t>
  </si>
  <si>
    <t>Jean Ramirez</t>
  </si>
  <si>
    <t>Alanis Carmona</t>
  </si>
  <si>
    <t>Arelis Serrano</t>
  </si>
  <si>
    <t>Abigail Renott</t>
  </si>
  <si>
    <t>Kenedy Renott</t>
  </si>
  <si>
    <t>Coromoto Larez</t>
  </si>
  <si>
    <t>Noel Silva</t>
  </si>
  <si>
    <t>Nelson Silva</t>
  </si>
  <si>
    <t>Ignamary Marval</t>
  </si>
  <si>
    <t>Anthony Salazar</t>
  </si>
  <si>
    <t>Ana Salazar</t>
  </si>
  <si>
    <t>Mayderlyn Martinez</t>
  </si>
  <si>
    <t>Mary Martinez</t>
  </si>
  <si>
    <t>Marcos Planas</t>
  </si>
  <si>
    <t>Mariannys Arangoren</t>
  </si>
  <si>
    <t>Luis Planas</t>
  </si>
  <si>
    <t>Daniela Rodriguez</t>
  </si>
  <si>
    <t>Anyela Planas</t>
  </si>
  <si>
    <t>Miguel Planas</t>
  </si>
  <si>
    <t>Bilomela Placido Maria</t>
  </si>
  <si>
    <t>Saray Sepulpeda</t>
  </si>
  <si>
    <t>Viviana Mendoza</t>
  </si>
  <si>
    <t>Ariari Mendoza</t>
  </si>
  <si>
    <t>Paola Mendoza</t>
  </si>
  <si>
    <t>Anyela Poleo</t>
  </si>
  <si>
    <t>Josefina Delgado</t>
  </si>
  <si>
    <t>Miguel Poleo</t>
  </si>
  <si>
    <t>Albert Delgado</t>
  </si>
  <si>
    <t>Yenderson Sandoval</t>
  </si>
  <si>
    <t>Enais Orias</t>
  </si>
  <si>
    <t>Aldo Delgado</t>
  </si>
  <si>
    <t>Rosa Marquez</t>
  </si>
  <si>
    <t>Ronni Pugarita</t>
  </si>
  <si>
    <t>Bonnie Pugarita</t>
  </si>
  <si>
    <t>Marilyn Pugarita</t>
  </si>
  <si>
    <t>Joselvis Vasquez</t>
  </si>
  <si>
    <t>Yeili Gallardo</t>
  </si>
  <si>
    <t>Williams Lopez</t>
  </si>
  <si>
    <t>Rosely Marquez</t>
  </si>
  <si>
    <t>Jose Uscategui</t>
  </si>
  <si>
    <t>Wilbert Rivas</t>
  </si>
  <si>
    <t>Wilbelys Lopez</t>
  </si>
  <si>
    <t>Yeibert Pugarita</t>
  </si>
  <si>
    <t>Richard Gonzalez</t>
  </si>
  <si>
    <t>Nelyari Blanco</t>
  </si>
  <si>
    <t>Jeremias Dewentt</t>
  </si>
  <si>
    <t>Benjamin Dewentt</t>
  </si>
  <si>
    <t>Orlando Jose Dewentt</t>
  </si>
  <si>
    <t>Orlando Dewentt</t>
  </si>
  <si>
    <t>Yanay Margarita Villarroel</t>
  </si>
  <si>
    <t>Nombre cortado en el borde de la foto original</t>
  </si>
  <si>
    <t>Domingo Blanco Verdugo</t>
  </si>
  <si>
    <t>Delmira Ojeda</t>
  </si>
  <si>
    <t>Angelimar Blanco</t>
  </si>
  <si>
    <t>Angelo Blanco</t>
  </si>
  <si>
    <t>Engeri Leon</t>
  </si>
  <si>
    <t>Yoleidy Perez</t>
  </si>
  <si>
    <t>Maria Perez</t>
  </si>
  <si>
    <t>Yesica Perez</t>
  </si>
  <si>
    <t>Dailenys Rodriguez</t>
  </si>
  <si>
    <t>Enrique Leon</t>
  </si>
  <si>
    <t>Valentina Romero</t>
  </si>
  <si>
    <t>Belkys Caraballo</t>
  </si>
  <si>
    <t>Marbelys Iriarte</t>
  </si>
  <si>
    <t>Alexandra Morales</t>
  </si>
  <si>
    <t>Yondeiber Morales</t>
  </si>
  <si>
    <t>Ronangel Olivares</t>
  </si>
  <si>
    <t>Ronaiker Olivares</t>
  </si>
  <si>
    <t>Sorelis Romero</t>
  </si>
  <si>
    <t>Soili Romero</t>
  </si>
  <si>
    <t>Yeison Farfan</t>
  </si>
  <si>
    <t>Ariangely Romero</t>
  </si>
  <si>
    <t>menor (segunda lista)</t>
  </si>
  <si>
    <t>Yeikelis Garcia</t>
  </si>
  <si>
    <t>Yeiker Garcia</t>
  </si>
  <si>
    <t>Charlie Jaramillo</t>
  </si>
  <si>
    <t>Onas Cadenas</t>
  </si>
  <si>
    <t>Jose Gregorio Ca.</t>
  </si>
  <si>
    <t>Landro Cadenas</t>
  </si>
  <si>
    <t>Eidert Yepez</t>
  </si>
  <si>
    <t>Javier Navarro</t>
  </si>
  <si>
    <t>Soe Santander</t>
  </si>
  <si>
    <t>Carlos Lopez</t>
  </si>
  <si>
    <t>Willmar Gomez</t>
  </si>
  <si>
    <t>Yelibeth Pena</t>
  </si>
  <si>
    <t>Jorge Delgado</t>
  </si>
  <si>
    <t>Yelitza Marcano</t>
  </si>
  <si>
    <t>Bladimir Gomez</t>
  </si>
  <si>
    <t>Geraldine Castillo</t>
  </si>
  <si>
    <t>Leonardo Mendoza</t>
  </si>
  <si>
    <t>Danilo Mendoza</t>
  </si>
  <si>
    <t>Leonel Mendoza</t>
  </si>
  <si>
    <t>Lourdes Ramos</t>
  </si>
  <si>
    <t>Daimari Pantoja</t>
  </si>
  <si>
    <t>Deibert Pantoja</t>
  </si>
  <si>
    <t>Joel Ramos</t>
  </si>
  <si>
    <t>Yetxi Vivas</t>
  </si>
  <si>
    <t>Orianni Rodriguez</t>
  </si>
  <si>
    <t>Arianni Contramaestre</t>
  </si>
  <si>
    <t>Sarai Contramaestre</t>
  </si>
  <si>
    <t>Eliecer Martinez</t>
  </si>
  <si>
    <t>menor; nombre con correccion en el original</t>
  </si>
  <si>
    <t>Yeliner Perez</t>
  </si>
  <si>
    <t>Maria Elena Caldero</t>
  </si>
  <si>
    <t>Genesis Rodriguez</t>
  </si>
  <si>
    <t>Wilmar Palomino</t>
  </si>
  <si>
    <t>Jose G. Rodriguez</t>
  </si>
  <si>
    <t>Jose A. Rodriguez</t>
  </si>
  <si>
    <t>Jose Rodriguez</t>
  </si>
  <si>
    <t>Crismar Rodriguez</t>
  </si>
  <si>
    <t>Nilie Rodriguez</t>
  </si>
  <si>
    <t>Nathaly Medina</t>
  </si>
  <si>
    <t>Yosneidy Medina</t>
  </si>
  <si>
    <t>Rosana Medina</t>
  </si>
  <si>
    <t>Jackson Rondon</t>
  </si>
  <si>
    <t>Katherin Roa</t>
  </si>
  <si>
    <t>Edgar Armanza</t>
  </si>
  <si>
    <t>Josue Nieves</t>
  </si>
  <si>
    <t>Jenni Veroes</t>
  </si>
  <si>
    <t>Jose Renott</t>
  </si>
  <si>
    <t>Daniel Leon</t>
  </si>
  <si>
    <t>Leudy Leon</t>
  </si>
  <si>
    <t>Claudia Blanco</t>
  </si>
  <si>
    <t>Georgelys Galindez</t>
  </si>
  <si>
    <t>Ariangely Galindez</t>
  </si>
  <si>
    <t>Misyeny Galidenz</t>
  </si>
  <si>
    <t>Yenifer Galidenz</t>
  </si>
  <si>
    <t>Loreany Galindez</t>
  </si>
  <si>
    <t>Loreangel Galindez</t>
  </si>
  <si>
    <t>Jesus Leon</t>
  </si>
  <si>
    <t>Jean Leon</t>
  </si>
  <si>
    <t>Andy Leon</t>
  </si>
  <si>
    <t>Roger Nieves</t>
  </si>
  <si>
    <t>Dalia Gomez</t>
  </si>
  <si>
    <t>Ariana Lopez</t>
  </si>
  <si>
    <t>Eneida Sanchez</t>
  </si>
  <si>
    <t>Douglas Castillo</t>
  </si>
  <si>
    <t>Yaritza Iriarte</t>
  </si>
  <si>
    <t>Albert Medina</t>
  </si>
  <si>
    <t>Ramon Medina</t>
  </si>
  <si>
    <t>Edgar Rojas</t>
  </si>
  <si>
    <t>Nombre cortado al final de la hoja original (papel roto)</t>
  </si>
  <si>
    <t>Reinal Suescum</t>
  </si>
  <si>
    <t>Yefferson Suarez</t>
  </si>
  <si>
    <t>Julio Cesar</t>
  </si>
  <si>
    <t>Angel Sucre</t>
  </si>
  <si>
    <t>Johandry Sucre</t>
  </si>
  <si>
    <t>Eulogio Rodriguez</t>
  </si>
  <si>
    <t>Ingrid Milano</t>
  </si>
  <si>
    <t>Jonny Aparicio</t>
  </si>
  <si>
    <t>William Milano</t>
  </si>
  <si>
    <t>Nestor Milano</t>
  </si>
  <si>
    <t>Ingrid Milano Merchoreli</t>
  </si>
  <si>
    <t>Jeferson Milano</t>
  </si>
  <si>
    <t>Brigith Milano</t>
  </si>
  <si>
    <t>Israel Milano</t>
  </si>
  <si>
    <t>Frankie Milano</t>
  </si>
  <si>
    <t>Roselyn Sotil</t>
  </si>
  <si>
    <t>Gustavo Peralta</t>
  </si>
  <si>
    <t>Ronielys Peralta</t>
  </si>
  <si>
    <t>Oscar Gonzalez</t>
  </si>
  <si>
    <t>Mari Briceno</t>
  </si>
  <si>
    <t>Dayana Olivares</t>
  </si>
  <si>
    <t>Sam Olivares</t>
  </si>
  <si>
    <t>Darwin Manuel Medina O.</t>
  </si>
  <si>
    <t>Derwin Manuel Medina O.</t>
  </si>
  <si>
    <t>Nelimar Gonzalez Medina</t>
  </si>
  <si>
    <t>Joel Alberto Garcia</t>
  </si>
  <si>
    <t>Genderson Jhoan Garcia</t>
  </si>
  <si>
    <t>Edwin Efrain Garcia</t>
  </si>
  <si>
    <t>Johen Davila</t>
  </si>
  <si>
    <t>Johalis Romero</t>
  </si>
  <si>
    <t>Aniyanlis Arionnis Meza</t>
  </si>
  <si>
    <t>Ariangelis Romero</t>
  </si>
  <si>
    <t>Danyer Romero</t>
  </si>
  <si>
    <t>Miguel Rojas</t>
  </si>
  <si>
    <t>Leonardo Ismael Rojas</t>
  </si>
  <si>
    <t>Anyeli Camargo</t>
  </si>
  <si>
    <t>Angeli Camargo</t>
  </si>
  <si>
    <t>Soni Martinez</t>
  </si>
  <si>
    <t>Ronner Camargo</t>
  </si>
  <si>
    <t>Daniel Martinez</t>
  </si>
  <si>
    <t>Nina Martinez Camargo</t>
  </si>
  <si>
    <t>menor; anotada como 'nina menor' en el original</t>
  </si>
  <si>
    <t>Yajaira Martinez Barrio</t>
  </si>
  <si>
    <t>Yerson Rodriguez</t>
  </si>
  <si>
    <t>Yosgar Rodriguez</t>
  </si>
  <si>
    <t>Nombre con baja legibilidad por brillo/reflejo en el original</t>
  </si>
  <si>
    <t>Hana Rodriguez</t>
  </si>
  <si>
    <t>Nahomi Rodriguez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</si>
</sst>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:mm am/pm"/>
  </numFmts>
  <fonts count="19">
    <font>
      <sz val="10.0"/>
      <color rgb="FF000000"/>
      <name val="Arial"/>
      <scheme val="minor"/>
    </font>
    <font>
      <b/>
      <sz val="14.0"/>
      <color rgb="FFFFFFFF"/>
      <name val="Arial"/>
    </font>
    <font/>
    <font>
      <sz val="11.0"/>
      <color theme="1"/>
      <name val="Calibri"/>
    </font>
    <font>
      <i/>
      <sz val="10.0"/>
      <color rgb="FF555555"/>
      <name val="Arial"/>
    </font>
    <font>
      <b/>
      <sz val="10.0"/>
      <color rgb="FFFFFFFF"/>
      <name val="Arial"/>
    </font>
    <font>
      <sz val="10.0"/>
      <color theme="1"/>
      <name val="Arial"/>
    </font>
    <font>
      <sz val="11.0"/>
      <color rgb="FF000000"/>
      <name val="Calibri"/>
    </font>
    <font>
      <b/>
      <sz val="12.0"/>
      <color theme="1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Arial"/>
    </font>
    <font>
      <b/>
      <sz val="13.0"/>
      <color rgb="FFFFFFFF"/>
      <name val="Arial"/>
    </font>
    <font>
      <b/>
      <sz val="11.0"/>
      <color rgb="FFFFFFFF"/>
      <name val="Arial"/>
    </font>
    <font>
      <color rgb="FF000000"/>
      <name val="Arial"/>
    </font>
    <font>
      <b/>
      <sz val="13.0"/>
      <color rgb="FF1F4E78"/>
      <name val="Arial"/>
    </font>
    <font>
      <b/>
      <color rgb="FFC00000"/>
      <name val="Arial"/>
    </font>
    <font>
      <b/>
      <sz val="12.0"/>
      <color rgb="FFFFFFFF"/>
      <name val="Arial"/>
    </font>
    <font>
      <b/>
      <sz val="11.0"/>
      <color theme="1"/>
      <name val="Calibri"/>
    </font>
  </fonts>
  <fills count="26">
    <fill>
      <patternFill patternType="none"/>
    </fill>
    <fill>
      <patternFill patternType="lightGray"/>
    </fill>
    <fill>
      <patternFill patternType="solid">
        <fgColor rgb="FFC0392B"/>
        <bgColor rgb="FFC0392B"/>
      </patternFill>
    </fill>
    <fill>
      <patternFill patternType="solid">
        <fgColor rgb="FFF9EBEA"/>
        <bgColor rgb="FFF9EBEA"/>
      </patternFill>
    </fill>
    <fill>
      <patternFill patternType="solid">
        <fgColor rgb="FF1F4E79"/>
        <bgColor rgb="FF1F4E79"/>
      </patternFill>
    </fill>
    <fill>
      <patternFill patternType="solid">
        <fgColor rgb="FFF1F8E9"/>
        <bgColor rgb="FFF1F8E9"/>
      </patternFill>
    </fill>
    <fill>
      <patternFill patternType="solid">
        <fgColor rgb="FFFFEBEE"/>
        <bgColor rgb="FFFFEBEE"/>
      </patternFill>
    </fill>
    <fill>
      <patternFill patternType="solid">
        <fgColor rgb="FFE0F7FA"/>
        <bgColor rgb="FFE0F7FA"/>
      </patternFill>
    </fill>
    <fill>
      <patternFill patternType="solid">
        <fgColor rgb="FFFFF2CC"/>
        <bgColor rgb="FFFFF2CC"/>
      </patternFill>
    </fill>
    <fill>
      <patternFill patternType="solid">
        <fgColor rgb="FFEDE7F6"/>
        <bgColor rgb="FFEDE7F6"/>
      </patternFill>
    </fill>
    <fill>
      <patternFill patternType="solid">
        <fgColor rgb="FFE8EAF6"/>
        <bgColor rgb="FFE8EAF6"/>
      </patternFill>
    </fill>
    <fill>
      <patternFill patternType="solid">
        <fgColor rgb="FFFFF8E1"/>
        <bgColor rgb="FFFFF8E1"/>
      </patternFill>
    </fill>
    <fill>
      <patternFill patternType="solid">
        <fgColor rgb="FFE0F2F1"/>
        <bgColor rgb="FFE0F2F1"/>
      </patternFill>
    </fill>
    <fill>
      <patternFill patternType="solid">
        <fgColor rgb="FFDCEDC8"/>
        <bgColor rgb="FFDCEDC8"/>
      </patternFill>
    </fill>
    <fill>
      <patternFill patternType="solid">
        <fgColor rgb="FFE3F2FD"/>
        <bgColor rgb="FFE3F2FD"/>
      </patternFill>
    </fill>
    <fill>
      <patternFill patternType="solid">
        <fgColor rgb="FFE8F5E9"/>
        <bgColor rgb="FFE8F5E9"/>
      </patternFill>
    </fill>
    <fill>
      <patternFill patternType="solid">
        <fgColor rgb="FFFCE4EC"/>
        <bgColor rgb="FFFCE4EC"/>
      </patternFill>
    </fill>
    <fill>
      <patternFill patternType="solid">
        <fgColor rgb="FFF3E5F5"/>
        <bgColor rgb="FFF3E5F5"/>
      </patternFill>
    </fill>
    <fill>
      <patternFill patternType="solid">
        <fgColor rgb="FFFFF9C4"/>
        <bgColor rgb="FFFFF9C4"/>
      </patternFill>
    </fill>
    <fill>
      <patternFill patternType="solid">
        <fgColor rgb="FFCFE2F3"/>
        <bgColor rgb="FFCFE2F3"/>
      </patternFill>
    </fill>
    <fill>
      <patternFill patternType="solid">
        <fgColor rgb="FF1F4E78"/>
        <bgColor rgb="FF1F4E78"/>
      </patternFill>
    </fill>
    <fill>
      <patternFill patternType="solid">
        <fgColor rgb="FFE6B8B7"/>
        <bgColor rgb="FFE6B8B7"/>
      </patternFill>
    </fill>
    <fill>
      <patternFill patternType="solid">
        <fgColor rgb="FFFFCDD2"/>
        <bgColor rgb="FFFFCDD2"/>
      </patternFill>
    </fill>
    <fill>
      <patternFill patternType="solid">
        <fgColor rgb="FFF2F2F2"/>
        <bgColor rgb="FFF2F2F2"/>
      </patternFill>
    </fill>
    <fill>
      <patternFill patternType="solid">
        <fgColor rgb="FFD9EAF7"/>
        <bgColor rgb="FFD9EAF7"/>
      </patternFill>
    </fill>
    <fill>
      <patternFill patternType="solid">
        <fgColor rgb="FF1F4E5F"/>
        <bgColor rgb="FF1F4E5F"/>
      </patternFill>
    </fill>
  </fills>
  <borders count="12">
    <border/>
    <border>
      <left/>
      <top/>
      <bottom/>
    </border>
    <border>
      <top/>
      <bottom/>
    </border>
    <border>
      <right/>
      <top/>
      <bottom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/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  <border>
      <top style="thin">
        <color rgb="FFFFFFFF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1" fillId="3" fontId="4" numFmtId="0" xfId="0" applyAlignment="1" applyBorder="1" applyFill="1" applyFont="1">
      <alignment horizontal="center"/>
    </xf>
    <xf borderId="1" fillId="3" fontId="4" numFmtId="0" xfId="0" applyAlignment="1" applyBorder="1" applyFont="1">
      <alignment horizontal="center" shrinkToFit="0" wrapText="1"/>
    </xf>
    <xf borderId="4" fillId="4" fontId="5" numFmtId="0" xfId="0" applyAlignment="1" applyBorder="1" applyFill="1" applyFont="1">
      <alignment shrinkToFit="0" wrapText="1"/>
    </xf>
    <xf borderId="5" fillId="4" fontId="5" numFmtId="0" xfId="0" applyAlignment="1" applyBorder="1" applyFont="1">
      <alignment shrinkToFit="0" wrapText="1"/>
    </xf>
    <xf borderId="6" fillId="5" fontId="6" numFmtId="0" xfId="0" applyAlignment="1" applyBorder="1" applyFill="1" applyFont="1">
      <alignment shrinkToFit="0" wrapText="1"/>
    </xf>
    <xf borderId="7" fillId="5" fontId="6" numFmtId="0" xfId="0" applyAlignment="1" applyBorder="1" applyFont="1">
      <alignment shrinkToFit="0" wrapText="1"/>
    </xf>
    <xf borderId="8" fillId="5" fontId="6" numFmtId="0" xfId="0" applyAlignment="1" applyBorder="1" applyFont="1">
      <alignment shrinkToFit="0" wrapText="1"/>
    </xf>
    <xf borderId="6" fillId="6" fontId="6" numFmtId="0" xfId="0" applyAlignment="1" applyBorder="1" applyFill="1" applyFont="1">
      <alignment shrinkToFit="0" wrapText="1"/>
    </xf>
    <xf borderId="8" fillId="6" fontId="6" numFmtId="0" xfId="0" applyAlignment="1" applyBorder="1" applyFont="1">
      <alignment shrinkToFit="0" wrapText="1"/>
    </xf>
    <xf borderId="6" fillId="7" fontId="6" numFmtId="0" xfId="0" applyAlignment="1" applyBorder="1" applyFill="1" applyFont="1">
      <alignment shrinkToFit="0" wrapText="1"/>
    </xf>
    <xf borderId="8" fillId="7" fontId="6" numFmtId="0" xfId="0" applyAlignment="1" applyBorder="1" applyFont="1">
      <alignment shrinkToFit="0" wrapText="1"/>
    </xf>
    <xf borderId="6" fillId="8" fontId="6" numFmtId="0" xfId="0" applyAlignment="1" applyBorder="1" applyFill="1" applyFont="1">
      <alignment shrinkToFit="0" wrapText="1"/>
    </xf>
    <xf borderId="8" fillId="8" fontId="6" numFmtId="0" xfId="0" applyAlignment="1" applyBorder="1" applyFont="1">
      <alignment shrinkToFit="0" wrapText="1"/>
    </xf>
    <xf borderId="6" fillId="9" fontId="6" numFmtId="0" xfId="0" applyAlignment="1" applyBorder="1" applyFill="1" applyFont="1">
      <alignment shrinkToFit="0" wrapText="1"/>
    </xf>
    <xf borderId="8" fillId="9" fontId="6" numFmtId="0" xfId="0" applyAlignment="1" applyBorder="1" applyFont="1">
      <alignment shrinkToFit="0" wrapText="1"/>
    </xf>
    <xf borderId="8" fillId="10" fontId="6" numFmtId="0" xfId="0" applyAlignment="1" applyBorder="1" applyFill="1" applyFont="1">
      <alignment shrinkToFit="0" wrapText="1"/>
    </xf>
    <xf borderId="6" fillId="11" fontId="6" numFmtId="0" xfId="0" applyAlignment="1" applyBorder="1" applyFill="1" applyFont="1">
      <alignment shrinkToFit="0" wrapText="1"/>
    </xf>
    <xf borderId="8" fillId="11" fontId="6" numFmtId="0" xfId="0" applyAlignment="1" applyBorder="1" applyFont="1">
      <alignment shrinkToFit="0" wrapText="1"/>
    </xf>
    <xf borderId="6" fillId="12" fontId="6" numFmtId="0" xfId="0" applyAlignment="1" applyBorder="1" applyFill="1" applyFont="1">
      <alignment shrinkToFit="0" wrapText="1"/>
    </xf>
    <xf borderId="8" fillId="12" fontId="6" numFmtId="0" xfId="0" applyAlignment="1" applyBorder="1" applyFont="1">
      <alignment shrinkToFit="0" wrapText="1"/>
    </xf>
    <xf borderId="6" fillId="13" fontId="6" numFmtId="0" xfId="0" applyAlignment="1" applyBorder="1" applyFill="1" applyFont="1">
      <alignment shrinkToFit="0" wrapText="1"/>
    </xf>
    <xf borderId="8" fillId="13" fontId="6" numFmtId="0" xfId="0" applyAlignment="1" applyBorder="1" applyFont="1">
      <alignment shrinkToFit="0" wrapText="1"/>
    </xf>
    <xf borderId="6" fillId="10" fontId="6" numFmtId="0" xfId="0" applyAlignment="1" applyBorder="1" applyFont="1">
      <alignment shrinkToFit="0" wrapText="1"/>
    </xf>
    <xf borderId="6" fillId="14" fontId="6" numFmtId="0" xfId="0" applyAlignment="1" applyBorder="1" applyFill="1" applyFont="1">
      <alignment shrinkToFit="0" wrapText="1"/>
    </xf>
    <xf borderId="8" fillId="14" fontId="6" numFmtId="0" xfId="0" applyAlignment="1" applyBorder="1" applyFont="1">
      <alignment shrinkToFit="0" wrapText="1"/>
    </xf>
    <xf borderId="6" fillId="15" fontId="6" numFmtId="0" xfId="0" applyAlignment="1" applyBorder="1" applyFill="1" applyFont="1">
      <alignment shrinkToFit="0" wrapText="1"/>
    </xf>
    <xf borderId="8" fillId="15" fontId="6" numFmtId="0" xfId="0" applyAlignment="1" applyBorder="1" applyFont="1">
      <alignment shrinkToFit="0" wrapText="1"/>
    </xf>
    <xf borderId="6" fillId="16" fontId="6" numFmtId="0" xfId="0" applyAlignment="1" applyBorder="1" applyFill="1" applyFont="1">
      <alignment shrinkToFit="0" wrapText="1"/>
    </xf>
    <xf borderId="8" fillId="16" fontId="6" numFmtId="0" xfId="0" applyAlignment="1" applyBorder="1" applyFont="1">
      <alignment shrinkToFit="0" wrapText="1"/>
    </xf>
    <xf borderId="6" fillId="17" fontId="6" numFmtId="0" xfId="0" applyAlignment="1" applyBorder="1" applyFill="1" applyFont="1">
      <alignment shrinkToFit="0" wrapText="1"/>
    </xf>
    <xf borderId="8" fillId="17" fontId="6" numFmtId="0" xfId="0" applyAlignment="1" applyBorder="1" applyFont="1">
      <alignment shrinkToFit="0" wrapText="1"/>
    </xf>
    <xf borderId="6" fillId="18" fontId="6" numFmtId="0" xfId="0" applyAlignment="1" applyBorder="1" applyFill="1" applyFont="1">
      <alignment shrinkToFit="0" wrapText="1"/>
    </xf>
    <xf borderId="8" fillId="18" fontId="6" numFmtId="0" xfId="0" applyAlignment="1" applyBorder="1" applyFont="1">
      <alignment shrinkToFit="0" wrapText="1"/>
    </xf>
    <xf borderId="0" fillId="0" fontId="7" numFmtId="0" xfId="0" applyFont="1"/>
    <xf borderId="0" fillId="19" fontId="8" numFmtId="0" xfId="0" applyAlignment="1" applyFill="1" applyFont="1">
      <alignment horizontal="center" readingOrder="0"/>
    </xf>
    <xf borderId="0" fillId="19" fontId="9" numFmtId="0" xfId="0" applyAlignment="1" applyFont="1">
      <alignment readingOrder="0"/>
    </xf>
    <xf borderId="0" fillId="19" fontId="9" numFmtId="0" xfId="0" applyFont="1"/>
    <xf borderId="0" fillId="0" fontId="10" numFmtId="0" xfId="0" applyFont="1"/>
    <xf borderId="0" fillId="0" fontId="10" numFmtId="0" xfId="0" applyAlignment="1" applyFont="1">
      <alignment readingOrder="0"/>
    </xf>
    <xf borderId="0" fillId="0" fontId="10" numFmtId="0" xfId="0" applyFont="1"/>
    <xf borderId="0" fillId="0" fontId="11" numFmtId="49" xfId="0" applyFont="1" applyNumberFormat="1"/>
    <xf borderId="0" fillId="0" fontId="9" numFmtId="0" xfId="0" applyFont="1"/>
    <xf borderId="1" fillId="4" fontId="12" numFmtId="0" xfId="0" applyAlignment="1" applyBorder="1" applyFont="1">
      <alignment readingOrder="0"/>
    </xf>
    <xf borderId="0" fillId="20" fontId="7" numFmtId="0" xfId="0" applyAlignment="1" applyFill="1" applyFont="1">
      <alignment shrinkToFit="0" vertical="bottom" wrapText="0"/>
    </xf>
    <xf borderId="0" fillId="20" fontId="10" numFmtId="0" xfId="0" applyFont="1"/>
    <xf borderId="0" fillId="20" fontId="13" numFmtId="0" xfId="0" applyAlignment="1" applyFont="1">
      <alignment horizontal="center" readingOrder="0" shrinkToFit="0" wrapText="0"/>
    </xf>
    <xf borderId="0" fillId="0" fontId="10" numFmtId="0" xfId="0" applyAlignment="1" applyFont="1">
      <alignment readingOrder="0"/>
    </xf>
    <xf borderId="0" fillId="0" fontId="14" numFmtId="0" xfId="0" applyAlignment="1" applyFont="1">
      <alignment readingOrder="0" vertical="bottom"/>
    </xf>
    <xf borderId="0" fillId="0" fontId="14" numFmtId="0" xfId="0" applyAlignment="1" applyFont="1">
      <alignment vertical="bottom"/>
    </xf>
    <xf borderId="0" fillId="0" fontId="14" numFmtId="0" xfId="0" applyAlignment="1" applyFont="1">
      <alignment horizontal="right" readingOrder="0" vertical="bottom"/>
    </xf>
    <xf borderId="0" fillId="0" fontId="14" numFmtId="164" xfId="0" applyAlignment="1" applyFont="1" applyNumberFormat="1">
      <alignment horizontal="right" readingOrder="0" vertical="bottom"/>
    </xf>
    <xf borderId="0" fillId="0" fontId="14" numFmtId="0" xfId="0" applyAlignment="1" applyFont="1">
      <alignment vertical="bottom"/>
    </xf>
    <xf borderId="0" fillId="0" fontId="11" numFmtId="164" xfId="0" applyFont="1" applyNumberFormat="1"/>
    <xf borderId="0" fillId="0" fontId="14" numFmtId="164" xfId="0" applyAlignment="1" applyFont="1" applyNumberFormat="1">
      <alignment vertical="bottom"/>
    </xf>
    <xf borderId="0" fillId="0" fontId="14" numFmtId="0" xfId="0" applyAlignment="1" applyFont="1">
      <alignment readingOrder="0" shrinkToFit="0" wrapText="0"/>
    </xf>
    <xf borderId="0" fillId="0" fontId="11" numFmtId="0" xfId="0" applyAlignment="1" applyFont="1">
      <alignment readingOrder="0"/>
    </xf>
    <xf borderId="0" fillId="0" fontId="11" numFmtId="0" xfId="0" applyFont="1"/>
    <xf borderId="0" fillId="0" fontId="14" numFmtId="0" xfId="0" applyAlignment="1" applyFont="1">
      <alignment readingOrder="0"/>
    </xf>
    <xf borderId="0" fillId="0" fontId="11" numFmtId="164" xfId="0" applyAlignment="1" applyFont="1" applyNumberFormat="1">
      <alignment readingOrder="0"/>
    </xf>
    <xf borderId="0" fillId="0" fontId="11" numFmtId="0" xfId="0" applyFont="1"/>
    <xf borderId="0" fillId="0" fontId="15" numFmtId="0" xfId="0" applyAlignment="1" applyFont="1">
      <alignment readingOrder="0" shrinkToFit="0" vertical="bottom" wrapText="0"/>
    </xf>
    <xf borderId="0" fillId="0" fontId="7" numFmtId="0" xfId="0" applyAlignment="1" applyFont="1">
      <alignment shrinkToFit="0" vertical="bottom" wrapText="0"/>
    </xf>
    <xf borderId="0" fillId="0" fontId="11" numFmtId="0" xfId="0" applyAlignment="1" applyFont="1">
      <alignment horizontal="right" readingOrder="0"/>
    </xf>
    <xf borderId="0" fillId="4" fontId="12" numFmtId="0" xfId="0" applyFont="1"/>
    <xf borderId="1" fillId="4" fontId="12" numFmtId="0" xfId="0" applyBorder="1" applyFont="1"/>
    <xf borderId="0" fillId="4" fontId="5" numFmtId="0" xfId="0" applyAlignment="1" applyFont="1">
      <alignment shrinkToFit="0" wrapText="1"/>
    </xf>
    <xf borderId="0" fillId="8" fontId="6" numFmtId="0" xfId="0" applyAlignment="1" applyFont="1">
      <alignment shrinkToFit="0" wrapText="1"/>
    </xf>
    <xf borderId="7" fillId="8" fontId="6" numFmtId="0" xfId="0" applyAlignment="1" applyBorder="1" applyFont="1">
      <alignment readingOrder="0" shrinkToFit="0" wrapText="1"/>
    </xf>
    <xf borderId="7" fillId="8" fontId="6" numFmtId="0" xfId="0" applyAlignment="1" applyBorder="1" applyFont="1">
      <alignment shrinkToFit="0" wrapText="1"/>
    </xf>
    <xf borderId="8" fillId="8" fontId="6" numFmtId="0" xfId="0" applyAlignment="1" applyBorder="1" applyFont="1">
      <alignment readingOrder="0" shrinkToFit="0" wrapText="1"/>
    </xf>
    <xf borderId="0" fillId="21" fontId="6" numFmtId="0" xfId="0" applyAlignment="1" applyFill="1" applyFont="1">
      <alignment shrinkToFit="0" wrapText="1"/>
    </xf>
    <xf borderId="8" fillId="21" fontId="6" numFmtId="0" xfId="0" applyAlignment="1" applyBorder="1" applyFont="1">
      <alignment readingOrder="0" shrinkToFit="0" wrapText="1"/>
    </xf>
    <xf borderId="8" fillId="21" fontId="6" numFmtId="0" xfId="0" applyAlignment="1" applyBorder="1" applyFont="1">
      <alignment shrinkToFit="0" wrapText="1"/>
    </xf>
    <xf borderId="0" fillId="0" fontId="7" numFmtId="0" xfId="0" applyAlignment="1" applyFont="1">
      <alignment readingOrder="0"/>
    </xf>
    <xf borderId="0" fillId="0" fontId="7" numFmtId="0" xfId="0" applyAlignment="1" applyFont="1">
      <alignment shrinkToFit="0" wrapText="1"/>
    </xf>
    <xf borderId="0" fillId="0" fontId="3" numFmtId="0" xfId="0" applyAlignment="1" applyFont="1">
      <alignment readingOrder="0"/>
    </xf>
    <xf borderId="7" fillId="15" fontId="6" numFmtId="0" xfId="0" applyAlignment="1" applyBorder="1" applyFont="1">
      <alignment shrinkToFit="0" wrapText="1"/>
    </xf>
    <xf borderId="6" fillId="22" fontId="6" numFmtId="0" xfId="0" applyAlignment="1" applyBorder="1" applyFill="1" applyFont="1">
      <alignment shrinkToFit="0" wrapText="1"/>
    </xf>
    <xf borderId="8" fillId="22" fontId="6" numFmtId="0" xfId="0" applyAlignment="1" applyBorder="1" applyFont="1">
      <alignment shrinkToFit="0" wrapText="1"/>
    </xf>
    <xf borderId="9" fillId="0" fontId="11" numFmtId="0" xfId="0" applyAlignment="1" applyBorder="1" applyFont="1">
      <alignment horizontal="left" readingOrder="0" shrinkToFit="0" wrapText="0"/>
    </xf>
    <xf borderId="9" fillId="0" fontId="11" numFmtId="0" xfId="0" applyAlignment="1" applyBorder="1" applyFont="1">
      <alignment horizontal="center" readingOrder="0" shrinkToFit="0" wrapText="0"/>
    </xf>
    <xf borderId="9" fillId="0" fontId="11" numFmtId="0" xfId="0" applyAlignment="1" applyBorder="1" applyFont="1">
      <alignment horizontal="center" shrinkToFit="0" wrapText="0"/>
    </xf>
    <xf borderId="9" fillId="23" fontId="11" numFmtId="0" xfId="0" applyAlignment="1" applyBorder="1" applyFill="1" applyFont="1">
      <alignment horizontal="left" readingOrder="0" shrinkToFit="0" wrapText="0"/>
    </xf>
    <xf borderId="9" fillId="23" fontId="11" numFmtId="0" xfId="0" applyAlignment="1" applyBorder="1" applyFont="1">
      <alignment horizontal="center" readingOrder="0" shrinkToFit="0" wrapText="0"/>
    </xf>
    <xf borderId="9" fillId="23" fontId="11" numFmtId="0" xfId="0" applyAlignment="1" applyBorder="1" applyFont="1">
      <alignment horizontal="center" shrinkToFit="0" wrapText="0"/>
    </xf>
    <xf borderId="7" fillId="14" fontId="6" numFmtId="0" xfId="0" applyAlignment="1" applyBorder="1" applyFont="1">
      <alignment shrinkToFit="0" wrapText="1"/>
    </xf>
    <xf borderId="4" fillId="14" fontId="6" numFmtId="0" xfId="0" applyAlignment="1" applyBorder="1" applyFont="1">
      <alignment shrinkToFit="0" wrapText="1"/>
    </xf>
    <xf borderId="7" fillId="6" fontId="6" numFmtId="0" xfId="0" applyAlignment="1" applyBorder="1" applyFont="1">
      <alignment shrinkToFit="0" wrapText="1"/>
    </xf>
    <xf borderId="7" fillId="17" fontId="6" numFmtId="0" xfId="0" applyAlignment="1" applyBorder="1" applyFont="1">
      <alignment shrinkToFit="0" wrapText="1"/>
    </xf>
    <xf borderId="9" fillId="0" fontId="11" numFmtId="0" xfId="0" applyAlignment="1" applyBorder="1" applyFont="1">
      <alignment horizontal="left" readingOrder="0"/>
    </xf>
    <xf borderId="9" fillId="0" fontId="11" numFmtId="164" xfId="0" applyAlignment="1" applyBorder="1" applyFont="1" applyNumberFormat="1">
      <alignment horizontal="center" readingOrder="0" shrinkToFit="0" wrapText="0"/>
    </xf>
    <xf borderId="9" fillId="23" fontId="11" numFmtId="0" xfId="0" applyAlignment="1" applyBorder="1" applyFont="1">
      <alignment horizontal="left" readingOrder="0"/>
    </xf>
    <xf borderId="9" fillId="23" fontId="11" numFmtId="164" xfId="0" applyAlignment="1" applyBorder="1" applyFont="1" applyNumberFormat="1">
      <alignment horizontal="center" readingOrder="0" shrinkToFit="0" wrapText="0"/>
    </xf>
    <xf borderId="9" fillId="23" fontId="11" numFmtId="0" xfId="0" applyAlignment="1" applyBorder="1" applyFont="1">
      <alignment horizontal="center" shrinkToFit="0" wrapText="0"/>
    </xf>
    <xf borderId="9" fillId="0" fontId="11" numFmtId="0" xfId="0" applyAlignment="1" applyBorder="1" applyFont="1">
      <alignment horizontal="center" shrinkToFit="0" wrapText="0"/>
    </xf>
    <xf borderId="10" fillId="0" fontId="7" numFmtId="0" xfId="0" applyBorder="1" applyFont="1"/>
    <xf borderId="10" fillId="0" fontId="2" numFmtId="0" xfId="0" applyBorder="1" applyFont="1"/>
    <xf borderId="7" fillId="10" fontId="6" numFmtId="0" xfId="0" applyAlignment="1" applyBorder="1" applyFont="1">
      <alignment shrinkToFit="0" wrapText="1"/>
    </xf>
    <xf borderId="4" fillId="10" fontId="6" numFmtId="0" xfId="0" applyAlignment="1" applyBorder="1" applyFont="1">
      <alignment shrinkToFit="0" wrapText="1"/>
    </xf>
    <xf borderId="7" fillId="7" fontId="6" numFmtId="0" xfId="0" applyAlignment="1" applyBorder="1" applyFont="1">
      <alignment shrinkToFit="0" wrapText="1"/>
    </xf>
    <xf borderId="0" fillId="0" fontId="16" numFmtId="0" xfId="0" applyAlignment="1" applyFont="1">
      <alignment horizontal="right" readingOrder="0"/>
    </xf>
    <xf borderId="0" fillId="0" fontId="16" numFmtId="0" xfId="0" applyAlignment="1" applyFont="1">
      <alignment readingOrder="0"/>
    </xf>
    <xf borderId="0" fillId="0" fontId="16" numFmtId="0" xfId="0" applyFont="1"/>
    <xf borderId="7" fillId="16" fontId="6" numFmtId="0" xfId="0" applyAlignment="1" applyBorder="1" applyFont="1">
      <alignment shrinkToFit="0" wrapText="1"/>
    </xf>
    <xf borderId="4" fillId="16" fontId="6" numFmtId="0" xfId="0" applyAlignment="1" applyBorder="1" applyFont="1">
      <alignment shrinkToFit="0" wrapText="1"/>
    </xf>
    <xf borderId="9" fillId="0" fontId="11" numFmtId="0" xfId="0" applyAlignment="1" applyBorder="1" applyFont="1">
      <alignment horizontal="left" shrinkToFit="0" wrapText="0"/>
    </xf>
    <xf borderId="9" fillId="23" fontId="11" numFmtId="0" xfId="0" applyAlignment="1" applyBorder="1" applyFont="1">
      <alignment horizontal="center" shrinkToFit="0" wrapText="0"/>
    </xf>
    <xf borderId="9" fillId="23" fontId="11" numFmtId="0" xfId="0" applyAlignment="1" applyBorder="1" applyFont="1">
      <alignment horizontal="left" shrinkToFit="0" wrapText="0"/>
    </xf>
    <xf borderId="9" fillId="0" fontId="13" numFmtId="0" xfId="0" applyAlignment="1" applyBorder="1" applyFont="1">
      <alignment horizontal="center" readingOrder="0" shrinkToFit="0" wrapText="0"/>
    </xf>
    <xf borderId="9" fillId="0" fontId="11" numFmtId="0" xfId="0" applyAlignment="1" applyBorder="1" applyFont="1">
      <alignment horizontal="center" shrinkToFit="0" wrapText="0"/>
    </xf>
    <xf borderId="1" fillId="4" fontId="17" numFmtId="0" xfId="0" applyAlignment="1" applyBorder="1" applyFont="1">
      <alignment shrinkToFit="0" wrapText="1"/>
    </xf>
    <xf borderId="0" fillId="0" fontId="11" numFmtId="0" xfId="0" applyAlignment="1" applyFont="1">
      <alignment horizontal="center" readingOrder="0"/>
    </xf>
    <xf borderId="0" fillId="0" fontId="11" numFmtId="0" xfId="0" applyAlignment="1" applyFont="1">
      <alignment horizontal="left" readingOrder="0"/>
    </xf>
    <xf borderId="0" fillId="0" fontId="11" numFmtId="0" xfId="0" applyAlignment="1" applyFont="1">
      <alignment horizontal="left"/>
    </xf>
    <xf borderId="0" fillId="0" fontId="16" numFmtId="0" xfId="0" applyAlignment="1" applyFont="1">
      <alignment horizontal="center" readingOrder="0"/>
    </xf>
    <xf borderId="0" fillId="0" fontId="16" numFmtId="0" xfId="0" applyAlignment="1" applyFont="1">
      <alignment horizontal="left" readingOrder="0"/>
    </xf>
    <xf borderId="0" fillId="0" fontId="11" numFmtId="0" xfId="0" applyAlignment="1" applyFont="1">
      <alignment horizontal="left"/>
    </xf>
    <xf borderId="0" fillId="0" fontId="7" numFmtId="0" xfId="0" applyAlignment="1" applyFont="1">
      <alignment shrinkToFit="0" vertical="bottom" wrapText="0"/>
    </xf>
    <xf borderId="1" fillId="4" fontId="12" numFmtId="0" xfId="0" applyAlignment="1" applyBorder="1" applyFont="1">
      <alignment horizontal="center" vertical="center"/>
    </xf>
    <xf borderId="4" fillId="4" fontId="5" numFmtId="0" xfId="0" applyAlignment="1" applyBorder="1" applyFont="1">
      <alignment horizontal="center" shrinkToFit="0" vertical="center" wrapText="1"/>
    </xf>
    <xf borderId="4" fillId="12" fontId="6" numFmtId="0" xfId="0" applyAlignment="1" applyBorder="1" applyFont="1">
      <alignment shrinkToFit="0" vertical="center" wrapText="1"/>
    </xf>
    <xf borderId="7" fillId="18" fontId="6" numFmtId="0" xfId="0" applyAlignment="1" applyBorder="1" applyFont="1">
      <alignment shrinkToFit="0" wrapText="1"/>
    </xf>
    <xf borderId="11" fillId="24" fontId="18" numFmtId="0" xfId="0" applyAlignment="1" applyBorder="1" applyFill="1" applyFont="1">
      <alignment horizontal="center" vertical="top"/>
    </xf>
    <xf borderId="9" fillId="25" fontId="13" numFmtId="0" xfId="0" applyAlignment="1" applyBorder="1" applyFill="1" applyFont="1">
      <alignment horizontal="center" readingOrder="0" shrinkToFit="0" wrapText="0"/>
    </xf>
    <xf borderId="9" fillId="0" fontId="11" numFmtId="0" xfId="0" applyAlignment="1" applyBorder="1" applyFont="1">
      <alignment horizontal="left" shrinkToFit="0" wrapText="0"/>
    </xf>
    <xf borderId="9" fillId="23" fontId="11" numFmtId="0" xfId="0" applyAlignment="1" applyBorder="1" applyFont="1">
      <alignment horizontal="left" shrinkToFit="0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3" pivot="0" name="🔍 BUSCAR PACIENTES 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22" Type="http://schemas.openxmlformats.org/officeDocument/2006/relationships/worksheet" Target="worksheets/sheet18.xml"/><Relationship Id="rId21" Type="http://schemas.openxmlformats.org/officeDocument/2006/relationships/worksheet" Target="worksheets/sheet17.xml"/><Relationship Id="rId24" Type="http://schemas.openxmlformats.org/officeDocument/2006/relationships/worksheet" Target="worksheets/sheet20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26" Type="http://schemas.openxmlformats.org/officeDocument/2006/relationships/worksheet" Target="worksheets/sheet22.xml"/><Relationship Id="rId25" Type="http://schemas.openxmlformats.org/officeDocument/2006/relationships/worksheet" Target="worksheets/sheet21.xml"/><Relationship Id="rId27" Type="http://schemas.openxmlformats.org/officeDocument/2006/relationships/worksheet" Target="worksheets/sheet23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2:J3637" displayName="Table_1" name="Table_1" id="1">
  <tableColumns count="10">
    <tableColumn name="N°" id="1"/>
    <tableColumn name="HOSPITAL" id="2"/>
    <tableColumn name="APELLIDOS Y NOMBRES" id="3"/>
    <tableColumn name="EDAD" id="4"/>
    <tableColumn name="CÉDULA / ID" id="5"/>
    <tableColumn name="SEXO" id="6"/>
    <tableColumn name="TELÉFONO" id="7"/>
    <tableColumn name="DIRECCIÓN / PROCEDENCIA" id="8"/>
    <tableColumn name="OBSERVACIONES" id="9"/>
    <tableColumn name="FECHA" id="10"/>
  </tableColumns>
  <tableStyleInfo name="🔍 BUSCAR PACIENTES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4.38"/>
    <col customWidth="1" min="2" max="2" width="24.5"/>
    <col customWidth="1" min="3" max="3" width="26.25"/>
    <col customWidth="1" min="4" max="4" width="7.0"/>
    <col customWidth="1" min="5" max="6" width="15.75"/>
    <col customWidth="1" min="7" max="7" width="26.25"/>
    <col customWidth="1" min="8" max="8" width="21.88"/>
    <col customWidth="1" min="9" max="9" width="7.63"/>
  </cols>
  <sheetData>
    <row r="1" ht="30.0" customHeight="1">
      <c r="A1" s="1" t="s">
        <v>0</v>
      </c>
      <c r="B1" s="2"/>
      <c r="C1" s="2"/>
      <c r="D1" s="2"/>
      <c r="E1" s="2"/>
      <c r="F1" s="2"/>
      <c r="G1" s="2"/>
      <c r="H1" s="3"/>
      <c r="I1" s="4"/>
    </row>
    <row r="2" ht="19.5" customHeight="1">
      <c r="A2" s="5" t="s">
        <v>1</v>
      </c>
      <c r="B2" s="2"/>
      <c r="C2" s="2"/>
      <c r="D2" s="2"/>
      <c r="E2" s="2"/>
      <c r="F2" s="2"/>
      <c r="G2" s="2"/>
      <c r="H2" s="3"/>
      <c r="I2" s="4"/>
    </row>
    <row r="3" ht="40.5" customHeight="1">
      <c r="A3" s="6" t="s">
        <v>2</v>
      </c>
      <c r="B3" s="2"/>
      <c r="C3" s="2"/>
      <c r="D3" s="2"/>
      <c r="E3" s="2"/>
      <c r="F3" s="2"/>
      <c r="G3" s="2"/>
      <c r="H3" s="3"/>
      <c r="I3" s="4"/>
    </row>
    <row r="4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4"/>
    </row>
    <row r="5">
      <c r="A5" s="9">
        <v>1.0</v>
      </c>
      <c r="B5" s="10" t="s">
        <v>11</v>
      </c>
      <c r="C5" s="10" t="s">
        <v>12</v>
      </c>
      <c r="D5" s="10" t="s">
        <v>13</v>
      </c>
      <c r="E5" s="10" t="s">
        <v>14</v>
      </c>
      <c r="F5" s="10" t="s">
        <v>13</v>
      </c>
      <c r="G5" s="10" t="s">
        <v>13</v>
      </c>
      <c r="H5" s="10" t="s">
        <v>15</v>
      </c>
      <c r="I5" s="4"/>
    </row>
    <row r="6">
      <c r="A6" s="9">
        <v>2.0</v>
      </c>
      <c r="B6" s="11" t="s">
        <v>11</v>
      </c>
      <c r="C6" s="11" t="s">
        <v>16</v>
      </c>
      <c r="D6" s="11" t="s">
        <v>13</v>
      </c>
      <c r="E6" s="11" t="s">
        <v>14</v>
      </c>
      <c r="F6" s="11" t="s">
        <v>13</v>
      </c>
      <c r="G6" s="11" t="s">
        <v>13</v>
      </c>
      <c r="H6" s="11" t="s">
        <v>15</v>
      </c>
      <c r="I6" s="4"/>
    </row>
    <row r="7">
      <c r="A7" s="9">
        <v>3.0</v>
      </c>
      <c r="B7" s="11" t="s">
        <v>11</v>
      </c>
      <c r="C7" s="11" t="s">
        <v>17</v>
      </c>
      <c r="D7" s="11" t="s">
        <v>13</v>
      </c>
      <c r="E7" s="11" t="s">
        <v>14</v>
      </c>
      <c r="F7" s="11" t="s">
        <v>13</v>
      </c>
      <c r="G7" s="11" t="s">
        <v>13</v>
      </c>
      <c r="H7" s="11" t="s">
        <v>15</v>
      </c>
      <c r="I7" s="4"/>
    </row>
    <row r="8">
      <c r="A8" s="9">
        <v>4.0</v>
      </c>
      <c r="B8" s="11" t="s">
        <v>11</v>
      </c>
      <c r="C8" s="11" t="s">
        <v>18</v>
      </c>
      <c r="D8" s="11" t="s">
        <v>13</v>
      </c>
      <c r="E8" s="11" t="s">
        <v>14</v>
      </c>
      <c r="F8" s="11" t="s">
        <v>13</v>
      </c>
      <c r="G8" s="11" t="s">
        <v>13</v>
      </c>
      <c r="H8" s="11" t="s">
        <v>15</v>
      </c>
      <c r="I8" s="4"/>
    </row>
    <row r="9">
      <c r="A9" s="9">
        <v>5.0</v>
      </c>
      <c r="B9" s="11" t="s">
        <v>11</v>
      </c>
      <c r="C9" s="11" t="s">
        <v>19</v>
      </c>
      <c r="D9" s="11" t="s">
        <v>13</v>
      </c>
      <c r="E9" s="11" t="s">
        <v>14</v>
      </c>
      <c r="F9" s="11" t="s">
        <v>13</v>
      </c>
      <c r="G9" s="11" t="s">
        <v>13</v>
      </c>
      <c r="H9" s="11" t="s">
        <v>15</v>
      </c>
      <c r="I9" s="4"/>
    </row>
    <row r="10">
      <c r="A10" s="9">
        <v>6.0</v>
      </c>
      <c r="B10" s="11" t="s">
        <v>11</v>
      </c>
      <c r="C10" s="11" t="s">
        <v>20</v>
      </c>
      <c r="D10" s="11" t="s">
        <v>13</v>
      </c>
      <c r="E10" s="11" t="s">
        <v>14</v>
      </c>
      <c r="F10" s="11" t="s">
        <v>13</v>
      </c>
      <c r="G10" s="11" t="s">
        <v>13</v>
      </c>
      <c r="H10" s="11" t="s">
        <v>15</v>
      </c>
      <c r="I10" s="4"/>
    </row>
    <row r="11">
      <c r="A11" s="9">
        <v>7.0</v>
      </c>
      <c r="B11" s="11" t="s">
        <v>11</v>
      </c>
      <c r="C11" s="11" t="s">
        <v>21</v>
      </c>
      <c r="D11" s="11" t="s">
        <v>13</v>
      </c>
      <c r="E11" s="11" t="s">
        <v>14</v>
      </c>
      <c r="F11" s="11" t="s">
        <v>13</v>
      </c>
      <c r="G11" s="11" t="s">
        <v>13</v>
      </c>
      <c r="H11" s="11" t="s">
        <v>15</v>
      </c>
      <c r="I11" s="4"/>
    </row>
    <row r="12">
      <c r="A12" s="9">
        <v>8.0</v>
      </c>
      <c r="B12" s="11" t="s">
        <v>11</v>
      </c>
      <c r="C12" s="11" t="s">
        <v>22</v>
      </c>
      <c r="D12" s="11" t="s">
        <v>13</v>
      </c>
      <c r="E12" s="11" t="s">
        <v>14</v>
      </c>
      <c r="F12" s="11" t="s">
        <v>13</v>
      </c>
      <c r="G12" s="11" t="s">
        <v>13</v>
      </c>
      <c r="H12" s="11" t="s">
        <v>15</v>
      </c>
      <c r="I12" s="4"/>
    </row>
    <row r="13">
      <c r="A13" s="9">
        <v>9.0</v>
      </c>
      <c r="B13" s="11" t="s">
        <v>11</v>
      </c>
      <c r="C13" s="11" t="s">
        <v>23</v>
      </c>
      <c r="D13" s="11" t="s">
        <v>13</v>
      </c>
      <c r="E13" s="11" t="s">
        <v>14</v>
      </c>
      <c r="F13" s="11" t="s">
        <v>13</v>
      </c>
      <c r="G13" s="11" t="s">
        <v>13</v>
      </c>
      <c r="H13" s="11" t="s">
        <v>15</v>
      </c>
      <c r="I13" s="4"/>
    </row>
    <row r="14">
      <c r="A14" s="9">
        <v>10.0</v>
      </c>
      <c r="B14" s="11" t="s">
        <v>11</v>
      </c>
      <c r="C14" s="11" t="s">
        <v>24</v>
      </c>
      <c r="D14" s="11" t="s">
        <v>13</v>
      </c>
      <c r="E14" s="11" t="s">
        <v>14</v>
      </c>
      <c r="F14" s="11" t="s">
        <v>13</v>
      </c>
      <c r="G14" s="11" t="s">
        <v>13</v>
      </c>
      <c r="H14" s="11" t="s">
        <v>15</v>
      </c>
      <c r="I14" s="4"/>
    </row>
    <row r="15">
      <c r="A15" s="9">
        <v>11.0</v>
      </c>
      <c r="B15" s="11" t="s">
        <v>11</v>
      </c>
      <c r="C15" s="11" t="s">
        <v>25</v>
      </c>
      <c r="D15" s="11" t="s">
        <v>13</v>
      </c>
      <c r="E15" s="11" t="s">
        <v>14</v>
      </c>
      <c r="F15" s="11" t="s">
        <v>13</v>
      </c>
      <c r="G15" s="11" t="s">
        <v>13</v>
      </c>
      <c r="H15" s="11" t="s">
        <v>15</v>
      </c>
      <c r="I15" s="4"/>
    </row>
    <row r="16">
      <c r="A16" s="9">
        <v>12.0</v>
      </c>
      <c r="B16" s="11" t="s">
        <v>11</v>
      </c>
      <c r="C16" s="11" t="s">
        <v>26</v>
      </c>
      <c r="D16" s="11" t="s">
        <v>13</v>
      </c>
      <c r="E16" s="11" t="s">
        <v>14</v>
      </c>
      <c r="F16" s="11" t="s">
        <v>13</v>
      </c>
      <c r="G16" s="11" t="s">
        <v>13</v>
      </c>
      <c r="H16" s="11" t="s">
        <v>15</v>
      </c>
      <c r="I16" s="4"/>
    </row>
    <row r="17">
      <c r="A17" s="9">
        <v>13.0</v>
      </c>
      <c r="B17" s="11" t="s">
        <v>11</v>
      </c>
      <c r="C17" s="11" t="s">
        <v>27</v>
      </c>
      <c r="D17" s="11" t="s">
        <v>13</v>
      </c>
      <c r="E17" s="11" t="s">
        <v>14</v>
      </c>
      <c r="F17" s="11" t="s">
        <v>13</v>
      </c>
      <c r="G17" s="11" t="s">
        <v>13</v>
      </c>
      <c r="H17" s="11" t="s">
        <v>15</v>
      </c>
      <c r="I17" s="4"/>
    </row>
    <row r="18">
      <c r="A18" s="9">
        <v>14.0</v>
      </c>
      <c r="B18" s="11" t="s">
        <v>11</v>
      </c>
      <c r="C18" s="11" t="s">
        <v>28</v>
      </c>
      <c r="D18" s="11" t="s">
        <v>13</v>
      </c>
      <c r="E18" s="11" t="s">
        <v>14</v>
      </c>
      <c r="F18" s="11" t="s">
        <v>13</v>
      </c>
      <c r="G18" s="11" t="s">
        <v>13</v>
      </c>
      <c r="H18" s="11" t="s">
        <v>15</v>
      </c>
      <c r="I18" s="4"/>
    </row>
    <row r="19">
      <c r="A19" s="9">
        <v>15.0</v>
      </c>
      <c r="B19" s="11" t="s">
        <v>11</v>
      </c>
      <c r="C19" s="11" t="s">
        <v>29</v>
      </c>
      <c r="D19" s="11" t="s">
        <v>13</v>
      </c>
      <c r="E19" s="11" t="s">
        <v>14</v>
      </c>
      <c r="F19" s="11" t="s">
        <v>13</v>
      </c>
      <c r="G19" s="11" t="s">
        <v>13</v>
      </c>
      <c r="H19" s="11" t="s">
        <v>15</v>
      </c>
      <c r="I19" s="4"/>
    </row>
    <row r="20">
      <c r="A20" s="9">
        <v>16.0</v>
      </c>
      <c r="B20" s="11" t="s">
        <v>11</v>
      </c>
      <c r="C20" s="11" t="s">
        <v>30</v>
      </c>
      <c r="D20" s="11" t="s">
        <v>13</v>
      </c>
      <c r="E20" s="11" t="s">
        <v>14</v>
      </c>
      <c r="F20" s="11" t="s">
        <v>13</v>
      </c>
      <c r="G20" s="11" t="s">
        <v>13</v>
      </c>
      <c r="H20" s="11" t="s">
        <v>15</v>
      </c>
      <c r="I20" s="4"/>
    </row>
    <row r="21">
      <c r="A21" s="9">
        <v>17.0</v>
      </c>
      <c r="B21" s="11" t="s">
        <v>11</v>
      </c>
      <c r="C21" s="11" t="s">
        <v>31</v>
      </c>
      <c r="D21" s="11" t="s">
        <v>13</v>
      </c>
      <c r="E21" s="11" t="s">
        <v>14</v>
      </c>
      <c r="F21" s="11" t="s">
        <v>13</v>
      </c>
      <c r="G21" s="11" t="s">
        <v>13</v>
      </c>
      <c r="H21" s="11" t="s">
        <v>15</v>
      </c>
      <c r="I21" s="4"/>
    </row>
    <row r="22">
      <c r="A22" s="9">
        <v>18.0</v>
      </c>
      <c r="B22" s="11" t="s">
        <v>11</v>
      </c>
      <c r="C22" s="11" t="s">
        <v>32</v>
      </c>
      <c r="D22" s="11" t="s">
        <v>13</v>
      </c>
      <c r="E22" s="11" t="s">
        <v>14</v>
      </c>
      <c r="F22" s="11" t="s">
        <v>13</v>
      </c>
      <c r="G22" s="11" t="s">
        <v>13</v>
      </c>
      <c r="H22" s="11" t="s">
        <v>15</v>
      </c>
      <c r="I22" s="4"/>
    </row>
    <row r="23">
      <c r="A23" s="9">
        <v>19.0</v>
      </c>
      <c r="B23" s="11" t="s">
        <v>11</v>
      </c>
      <c r="C23" s="11" t="s">
        <v>33</v>
      </c>
      <c r="D23" s="11" t="s">
        <v>13</v>
      </c>
      <c r="E23" s="11" t="s">
        <v>14</v>
      </c>
      <c r="F23" s="11" t="s">
        <v>13</v>
      </c>
      <c r="G23" s="11" t="s">
        <v>13</v>
      </c>
      <c r="H23" s="11" t="s">
        <v>15</v>
      </c>
      <c r="I23" s="4"/>
    </row>
    <row r="24">
      <c r="A24" s="9">
        <v>20.0</v>
      </c>
      <c r="B24" s="11" t="s">
        <v>11</v>
      </c>
      <c r="C24" s="11" t="s">
        <v>34</v>
      </c>
      <c r="D24" s="11" t="s">
        <v>13</v>
      </c>
      <c r="E24" s="11" t="s">
        <v>14</v>
      </c>
      <c r="F24" s="11" t="s">
        <v>13</v>
      </c>
      <c r="G24" s="11" t="s">
        <v>13</v>
      </c>
      <c r="H24" s="11" t="s">
        <v>15</v>
      </c>
      <c r="I24" s="4"/>
    </row>
    <row r="25">
      <c r="A25" s="9">
        <v>21.0</v>
      </c>
      <c r="B25" s="11" t="s">
        <v>11</v>
      </c>
      <c r="C25" s="11" t="s">
        <v>35</v>
      </c>
      <c r="D25" s="11" t="s">
        <v>13</v>
      </c>
      <c r="E25" s="11" t="s">
        <v>14</v>
      </c>
      <c r="F25" s="11" t="s">
        <v>13</v>
      </c>
      <c r="G25" s="11" t="s">
        <v>13</v>
      </c>
      <c r="H25" s="11" t="s">
        <v>15</v>
      </c>
      <c r="I25" s="4"/>
    </row>
    <row r="26">
      <c r="A26" s="9">
        <v>22.0</v>
      </c>
      <c r="B26" s="11" t="s">
        <v>11</v>
      </c>
      <c r="C26" s="11" t="s">
        <v>36</v>
      </c>
      <c r="D26" s="11" t="s">
        <v>13</v>
      </c>
      <c r="E26" s="11" t="s">
        <v>14</v>
      </c>
      <c r="F26" s="11" t="s">
        <v>13</v>
      </c>
      <c r="G26" s="11" t="s">
        <v>13</v>
      </c>
      <c r="H26" s="11" t="s">
        <v>15</v>
      </c>
      <c r="I26" s="4"/>
    </row>
    <row r="27">
      <c r="A27" s="9">
        <v>23.0</v>
      </c>
      <c r="B27" s="11" t="s">
        <v>11</v>
      </c>
      <c r="C27" s="11" t="s">
        <v>37</v>
      </c>
      <c r="D27" s="11" t="s">
        <v>13</v>
      </c>
      <c r="E27" s="11" t="s">
        <v>14</v>
      </c>
      <c r="F27" s="11" t="s">
        <v>13</v>
      </c>
      <c r="G27" s="11" t="s">
        <v>13</v>
      </c>
      <c r="H27" s="11" t="s">
        <v>15</v>
      </c>
      <c r="I27" s="4"/>
    </row>
    <row r="28">
      <c r="A28" s="9">
        <v>24.0</v>
      </c>
      <c r="B28" s="11" t="s">
        <v>11</v>
      </c>
      <c r="C28" s="11" t="s">
        <v>38</v>
      </c>
      <c r="D28" s="11" t="s">
        <v>13</v>
      </c>
      <c r="E28" s="11" t="s">
        <v>14</v>
      </c>
      <c r="F28" s="11" t="s">
        <v>13</v>
      </c>
      <c r="G28" s="11" t="s">
        <v>13</v>
      </c>
      <c r="H28" s="11" t="s">
        <v>39</v>
      </c>
      <c r="I28" s="4"/>
    </row>
    <row r="29">
      <c r="A29" s="9">
        <v>25.0</v>
      </c>
      <c r="B29" s="11" t="s">
        <v>11</v>
      </c>
      <c r="C29" s="11" t="s">
        <v>40</v>
      </c>
      <c r="D29" s="11" t="s">
        <v>13</v>
      </c>
      <c r="E29" s="11" t="s">
        <v>14</v>
      </c>
      <c r="F29" s="11" t="s">
        <v>13</v>
      </c>
      <c r="G29" s="11" t="s">
        <v>13</v>
      </c>
      <c r="H29" s="11" t="s">
        <v>15</v>
      </c>
      <c r="I29" s="4"/>
    </row>
    <row r="30">
      <c r="A30" s="9">
        <v>26.0</v>
      </c>
      <c r="B30" s="11" t="s">
        <v>11</v>
      </c>
      <c r="C30" s="11" t="s">
        <v>41</v>
      </c>
      <c r="D30" s="11" t="s">
        <v>13</v>
      </c>
      <c r="E30" s="11" t="s">
        <v>14</v>
      </c>
      <c r="F30" s="11" t="s">
        <v>13</v>
      </c>
      <c r="G30" s="11" t="s">
        <v>13</v>
      </c>
      <c r="H30" s="11" t="s">
        <v>15</v>
      </c>
      <c r="I30" s="4"/>
    </row>
    <row r="31">
      <c r="A31" s="9">
        <v>27.0</v>
      </c>
      <c r="B31" s="11" t="s">
        <v>11</v>
      </c>
      <c r="C31" s="11" t="s">
        <v>42</v>
      </c>
      <c r="D31" s="11" t="s">
        <v>13</v>
      </c>
      <c r="E31" s="11" t="s">
        <v>14</v>
      </c>
      <c r="F31" s="11" t="s">
        <v>13</v>
      </c>
      <c r="G31" s="11" t="s">
        <v>13</v>
      </c>
      <c r="H31" s="11" t="s">
        <v>15</v>
      </c>
      <c r="I31" s="4"/>
    </row>
    <row r="32">
      <c r="A32" s="9">
        <v>28.0</v>
      </c>
      <c r="B32" s="11" t="s">
        <v>11</v>
      </c>
      <c r="C32" s="11" t="s">
        <v>43</v>
      </c>
      <c r="D32" s="11" t="s">
        <v>13</v>
      </c>
      <c r="E32" s="11" t="s">
        <v>14</v>
      </c>
      <c r="F32" s="11" t="s">
        <v>13</v>
      </c>
      <c r="G32" s="11" t="s">
        <v>13</v>
      </c>
      <c r="H32" s="11" t="s">
        <v>15</v>
      </c>
      <c r="I32" s="4"/>
    </row>
    <row r="33">
      <c r="A33" s="9">
        <v>29.0</v>
      </c>
      <c r="B33" s="11" t="s">
        <v>11</v>
      </c>
      <c r="C33" s="11" t="s">
        <v>44</v>
      </c>
      <c r="D33" s="11" t="s">
        <v>13</v>
      </c>
      <c r="E33" s="11" t="s">
        <v>14</v>
      </c>
      <c r="F33" s="11" t="s">
        <v>13</v>
      </c>
      <c r="G33" s="11" t="s">
        <v>13</v>
      </c>
      <c r="H33" s="11" t="s">
        <v>15</v>
      </c>
      <c r="I33" s="4"/>
    </row>
    <row r="34">
      <c r="A34" s="9">
        <v>30.0</v>
      </c>
      <c r="B34" s="11" t="s">
        <v>11</v>
      </c>
      <c r="C34" s="11" t="s">
        <v>45</v>
      </c>
      <c r="D34" s="11" t="s">
        <v>13</v>
      </c>
      <c r="E34" s="11" t="s">
        <v>14</v>
      </c>
      <c r="F34" s="11" t="s">
        <v>13</v>
      </c>
      <c r="G34" s="11" t="s">
        <v>13</v>
      </c>
      <c r="H34" s="11" t="s">
        <v>15</v>
      </c>
      <c r="I34" s="4"/>
    </row>
    <row r="35">
      <c r="A35" s="9">
        <v>31.0</v>
      </c>
      <c r="B35" s="11" t="s">
        <v>11</v>
      </c>
      <c r="C35" s="11" t="s">
        <v>46</v>
      </c>
      <c r="D35" s="11" t="s">
        <v>13</v>
      </c>
      <c r="E35" s="11" t="s">
        <v>14</v>
      </c>
      <c r="F35" s="11" t="s">
        <v>13</v>
      </c>
      <c r="G35" s="11" t="s">
        <v>13</v>
      </c>
      <c r="H35" s="11" t="s">
        <v>15</v>
      </c>
      <c r="I35" s="4"/>
    </row>
    <row r="36">
      <c r="A36" s="9">
        <v>32.0</v>
      </c>
      <c r="B36" s="11" t="s">
        <v>11</v>
      </c>
      <c r="C36" s="11" t="s">
        <v>47</v>
      </c>
      <c r="D36" s="11" t="s">
        <v>13</v>
      </c>
      <c r="E36" s="11" t="s">
        <v>14</v>
      </c>
      <c r="F36" s="11" t="s">
        <v>13</v>
      </c>
      <c r="G36" s="11" t="s">
        <v>13</v>
      </c>
      <c r="H36" s="11" t="s">
        <v>15</v>
      </c>
      <c r="I36" s="4"/>
    </row>
    <row r="37">
      <c r="A37" s="9">
        <v>33.0</v>
      </c>
      <c r="B37" s="11" t="s">
        <v>11</v>
      </c>
      <c r="C37" s="11" t="s">
        <v>48</v>
      </c>
      <c r="D37" s="11" t="s">
        <v>13</v>
      </c>
      <c r="E37" s="11" t="s">
        <v>14</v>
      </c>
      <c r="F37" s="11" t="s">
        <v>13</v>
      </c>
      <c r="G37" s="11" t="s">
        <v>13</v>
      </c>
      <c r="H37" s="11" t="s">
        <v>15</v>
      </c>
      <c r="I37" s="4"/>
    </row>
    <row r="38">
      <c r="A38" s="9">
        <v>34.0</v>
      </c>
      <c r="B38" s="11" t="s">
        <v>11</v>
      </c>
      <c r="C38" s="11" t="s">
        <v>49</v>
      </c>
      <c r="D38" s="11" t="s">
        <v>13</v>
      </c>
      <c r="E38" s="11" t="s">
        <v>14</v>
      </c>
      <c r="F38" s="11" t="s">
        <v>13</v>
      </c>
      <c r="G38" s="11" t="s">
        <v>13</v>
      </c>
      <c r="H38" s="11" t="s">
        <v>15</v>
      </c>
      <c r="I38" s="4"/>
    </row>
    <row r="39">
      <c r="A39" s="9">
        <v>35.0</v>
      </c>
      <c r="B39" s="11" t="s">
        <v>11</v>
      </c>
      <c r="C39" s="11" t="s">
        <v>50</v>
      </c>
      <c r="D39" s="11" t="s">
        <v>13</v>
      </c>
      <c r="E39" s="11" t="s">
        <v>14</v>
      </c>
      <c r="F39" s="11" t="s">
        <v>13</v>
      </c>
      <c r="G39" s="11" t="s">
        <v>13</v>
      </c>
      <c r="H39" s="11" t="s">
        <v>15</v>
      </c>
      <c r="I39" s="4"/>
    </row>
    <row r="40">
      <c r="A40" s="9">
        <v>36.0</v>
      </c>
      <c r="B40" s="11" t="s">
        <v>11</v>
      </c>
      <c r="C40" s="11" t="s">
        <v>51</v>
      </c>
      <c r="D40" s="11" t="s">
        <v>13</v>
      </c>
      <c r="E40" s="11" t="s">
        <v>14</v>
      </c>
      <c r="F40" s="11" t="s">
        <v>13</v>
      </c>
      <c r="G40" s="11" t="s">
        <v>13</v>
      </c>
      <c r="H40" s="11" t="s">
        <v>15</v>
      </c>
      <c r="I40" s="4"/>
    </row>
    <row r="41">
      <c r="A41" s="12">
        <v>37.0</v>
      </c>
      <c r="B41" s="13" t="s">
        <v>11</v>
      </c>
      <c r="C41" s="13" t="s">
        <v>52</v>
      </c>
      <c r="D41" s="13" t="s">
        <v>13</v>
      </c>
      <c r="E41" s="13" t="s">
        <v>14</v>
      </c>
      <c r="F41" s="13" t="s">
        <v>13</v>
      </c>
      <c r="G41" s="13" t="s">
        <v>13</v>
      </c>
      <c r="H41" s="13" t="s">
        <v>15</v>
      </c>
      <c r="I41" s="4"/>
    </row>
    <row r="42">
      <c r="A42" s="12">
        <v>38.0</v>
      </c>
      <c r="B42" s="13" t="s">
        <v>11</v>
      </c>
      <c r="C42" s="13" t="s">
        <v>53</v>
      </c>
      <c r="D42" s="13" t="s">
        <v>13</v>
      </c>
      <c r="E42" s="13" t="s">
        <v>14</v>
      </c>
      <c r="F42" s="13" t="s">
        <v>13</v>
      </c>
      <c r="G42" s="13" t="s">
        <v>13</v>
      </c>
      <c r="H42" s="13" t="s">
        <v>15</v>
      </c>
      <c r="I42" s="4"/>
    </row>
    <row r="43">
      <c r="A43" s="12">
        <v>39.0</v>
      </c>
      <c r="B43" s="13" t="s">
        <v>11</v>
      </c>
      <c r="C43" s="13" t="s">
        <v>54</v>
      </c>
      <c r="D43" s="13" t="s">
        <v>13</v>
      </c>
      <c r="E43" s="13" t="s">
        <v>14</v>
      </c>
      <c r="F43" s="13" t="s">
        <v>13</v>
      </c>
      <c r="G43" s="13" t="s">
        <v>13</v>
      </c>
      <c r="H43" s="13" t="s">
        <v>15</v>
      </c>
      <c r="I43" s="4"/>
    </row>
    <row r="44">
      <c r="A44" s="12">
        <v>40.0</v>
      </c>
      <c r="B44" s="13" t="s">
        <v>11</v>
      </c>
      <c r="C44" s="13" t="s">
        <v>55</v>
      </c>
      <c r="D44" s="13" t="s">
        <v>13</v>
      </c>
      <c r="E44" s="13" t="s">
        <v>14</v>
      </c>
      <c r="F44" s="13" t="s">
        <v>13</v>
      </c>
      <c r="G44" s="13" t="s">
        <v>13</v>
      </c>
      <c r="H44" s="13" t="s">
        <v>15</v>
      </c>
      <c r="I44" s="4"/>
    </row>
    <row r="45">
      <c r="A45" s="12">
        <v>41.0</v>
      </c>
      <c r="B45" s="13" t="s">
        <v>11</v>
      </c>
      <c r="C45" s="13" t="s">
        <v>56</v>
      </c>
      <c r="D45" s="13" t="s">
        <v>13</v>
      </c>
      <c r="E45" s="13" t="s">
        <v>14</v>
      </c>
      <c r="F45" s="13" t="s">
        <v>13</v>
      </c>
      <c r="G45" s="13" t="s">
        <v>13</v>
      </c>
      <c r="H45" s="13" t="s">
        <v>15</v>
      </c>
      <c r="I45" s="4"/>
    </row>
    <row r="46">
      <c r="A46" s="12">
        <v>42.0</v>
      </c>
      <c r="B46" s="13" t="s">
        <v>11</v>
      </c>
      <c r="C46" s="13" t="s">
        <v>57</v>
      </c>
      <c r="D46" s="13" t="s">
        <v>13</v>
      </c>
      <c r="E46" s="13" t="s">
        <v>14</v>
      </c>
      <c r="F46" s="13" t="s">
        <v>13</v>
      </c>
      <c r="G46" s="13" t="s">
        <v>13</v>
      </c>
      <c r="H46" s="13" t="s">
        <v>15</v>
      </c>
      <c r="I46" s="4"/>
    </row>
    <row r="47">
      <c r="A47" s="12">
        <v>43.0</v>
      </c>
      <c r="B47" s="13" t="s">
        <v>11</v>
      </c>
      <c r="C47" s="13" t="s">
        <v>58</v>
      </c>
      <c r="D47" s="13" t="s">
        <v>13</v>
      </c>
      <c r="E47" s="13" t="s">
        <v>14</v>
      </c>
      <c r="F47" s="13" t="s">
        <v>13</v>
      </c>
      <c r="G47" s="13" t="s">
        <v>13</v>
      </c>
      <c r="H47" s="13" t="s">
        <v>15</v>
      </c>
      <c r="I47" s="4"/>
    </row>
    <row r="48">
      <c r="A48" s="12">
        <v>44.0</v>
      </c>
      <c r="B48" s="13" t="s">
        <v>11</v>
      </c>
      <c r="C48" s="13" t="s">
        <v>59</v>
      </c>
      <c r="D48" s="13" t="s">
        <v>13</v>
      </c>
      <c r="E48" s="13" t="s">
        <v>14</v>
      </c>
      <c r="F48" s="13" t="s">
        <v>13</v>
      </c>
      <c r="G48" s="13" t="s">
        <v>13</v>
      </c>
      <c r="H48" s="13" t="s">
        <v>15</v>
      </c>
      <c r="I48" s="4"/>
    </row>
    <row r="49">
      <c r="A49" s="12">
        <v>45.0</v>
      </c>
      <c r="B49" s="13" t="s">
        <v>11</v>
      </c>
      <c r="C49" s="13" t="s">
        <v>60</v>
      </c>
      <c r="D49" s="13" t="s">
        <v>13</v>
      </c>
      <c r="E49" s="13" t="s">
        <v>14</v>
      </c>
      <c r="F49" s="13" t="s">
        <v>13</v>
      </c>
      <c r="G49" s="13" t="s">
        <v>13</v>
      </c>
      <c r="H49" s="13" t="s">
        <v>15</v>
      </c>
      <c r="I49" s="4"/>
    </row>
    <row r="50">
      <c r="A50" s="12">
        <v>46.0</v>
      </c>
      <c r="B50" s="13" t="s">
        <v>11</v>
      </c>
      <c r="C50" s="13" t="s">
        <v>61</v>
      </c>
      <c r="D50" s="13" t="s">
        <v>13</v>
      </c>
      <c r="E50" s="13" t="s">
        <v>14</v>
      </c>
      <c r="F50" s="13" t="s">
        <v>13</v>
      </c>
      <c r="G50" s="13" t="s">
        <v>13</v>
      </c>
      <c r="H50" s="13" t="s">
        <v>15</v>
      </c>
      <c r="I50" s="4"/>
    </row>
    <row r="51">
      <c r="A51" s="12">
        <v>47.0</v>
      </c>
      <c r="B51" s="13" t="s">
        <v>11</v>
      </c>
      <c r="C51" s="13" t="s">
        <v>62</v>
      </c>
      <c r="D51" s="13" t="s">
        <v>13</v>
      </c>
      <c r="E51" s="13" t="s">
        <v>14</v>
      </c>
      <c r="F51" s="13" t="s">
        <v>13</v>
      </c>
      <c r="G51" s="13" t="s">
        <v>13</v>
      </c>
      <c r="H51" s="13" t="s">
        <v>15</v>
      </c>
      <c r="I51" s="4"/>
    </row>
    <row r="52">
      <c r="A52" s="12">
        <v>48.0</v>
      </c>
      <c r="B52" s="13" t="s">
        <v>11</v>
      </c>
      <c r="C52" s="13" t="s">
        <v>63</v>
      </c>
      <c r="D52" s="13" t="s">
        <v>13</v>
      </c>
      <c r="E52" s="13" t="s">
        <v>14</v>
      </c>
      <c r="F52" s="13" t="s">
        <v>13</v>
      </c>
      <c r="G52" s="13" t="s">
        <v>13</v>
      </c>
      <c r="H52" s="13" t="s">
        <v>15</v>
      </c>
      <c r="I52" s="4"/>
    </row>
    <row r="53">
      <c r="A53" s="12">
        <v>49.0</v>
      </c>
      <c r="B53" s="13" t="s">
        <v>11</v>
      </c>
      <c r="C53" s="13" t="s">
        <v>64</v>
      </c>
      <c r="D53" s="13" t="s">
        <v>13</v>
      </c>
      <c r="E53" s="13" t="s">
        <v>14</v>
      </c>
      <c r="F53" s="13" t="s">
        <v>13</v>
      </c>
      <c r="G53" s="13" t="s">
        <v>13</v>
      </c>
      <c r="H53" s="13" t="s">
        <v>15</v>
      </c>
      <c r="I53" s="4"/>
    </row>
    <row r="54">
      <c r="A54" s="12">
        <v>50.0</v>
      </c>
      <c r="B54" s="13" t="s">
        <v>11</v>
      </c>
      <c r="C54" s="13" t="s">
        <v>65</v>
      </c>
      <c r="D54" s="13" t="s">
        <v>13</v>
      </c>
      <c r="E54" s="13" t="s">
        <v>14</v>
      </c>
      <c r="F54" s="13" t="s">
        <v>13</v>
      </c>
      <c r="G54" s="13" t="s">
        <v>13</v>
      </c>
      <c r="H54" s="13" t="s">
        <v>15</v>
      </c>
      <c r="I54" s="4"/>
    </row>
    <row r="55">
      <c r="A55" s="12">
        <v>51.0</v>
      </c>
      <c r="B55" s="13" t="s">
        <v>11</v>
      </c>
      <c r="C55" s="13" t="s">
        <v>66</v>
      </c>
      <c r="D55" s="13" t="s">
        <v>13</v>
      </c>
      <c r="E55" s="13" t="s">
        <v>14</v>
      </c>
      <c r="F55" s="13" t="s">
        <v>13</v>
      </c>
      <c r="G55" s="13" t="s">
        <v>13</v>
      </c>
      <c r="H55" s="13" t="s">
        <v>15</v>
      </c>
      <c r="I55" s="4"/>
    </row>
    <row r="56">
      <c r="A56" s="12">
        <v>52.0</v>
      </c>
      <c r="B56" s="13" t="s">
        <v>11</v>
      </c>
      <c r="C56" s="13" t="s">
        <v>67</v>
      </c>
      <c r="D56" s="13" t="s">
        <v>13</v>
      </c>
      <c r="E56" s="13" t="s">
        <v>14</v>
      </c>
      <c r="F56" s="13" t="s">
        <v>13</v>
      </c>
      <c r="G56" s="13" t="s">
        <v>13</v>
      </c>
      <c r="H56" s="13" t="s">
        <v>15</v>
      </c>
      <c r="I56" s="4"/>
    </row>
    <row r="57">
      <c r="A57" s="12">
        <v>53.0</v>
      </c>
      <c r="B57" s="13" t="s">
        <v>11</v>
      </c>
      <c r="C57" s="13" t="s">
        <v>68</v>
      </c>
      <c r="D57" s="13" t="s">
        <v>13</v>
      </c>
      <c r="E57" s="13" t="s">
        <v>14</v>
      </c>
      <c r="F57" s="13" t="s">
        <v>13</v>
      </c>
      <c r="G57" s="13" t="s">
        <v>13</v>
      </c>
      <c r="H57" s="13" t="s">
        <v>15</v>
      </c>
      <c r="I57" s="4"/>
    </row>
    <row r="58">
      <c r="A58" s="12">
        <v>54.0</v>
      </c>
      <c r="B58" s="13" t="s">
        <v>11</v>
      </c>
      <c r="C58" s="13" t="s">
        <v>69</v>
      </c>
      <c r="D58" s="13" t="s">
        <v>13</v>
      </c>
      <c r="E58" s="13" t="s">
        <v>14</v>
      </c>
      <c r="F58" s="13" t="s">
        <v>13</v>
      </c>
      <c r="G58" s="13" t="s">
        <v>13</v>
      </c>
      <c r="H58" s="13" t="s">
        <v>15</v>
      </c>
      <c r="I58" s="4"/>
    </row>
    <row r="59">
      <c r="A59" s="12">
        <v>55.0</v>
      </c>
      <c r="B59" s="13" t="s">
        <v>11</v>
      </c>
      <c r="C59" s="13" t="s">
        <v>70</v>
      </c>
      <c r="D59" s="13" t="s">
        <v>13</v>
      </c>
      <c r="E59" s="13" t="s">
        <v>14</v>
      </c>
      <c r="F59" s="13" t="s">
        <v>13</v>
      </c>
      <c r="G59" s="13" t="s">
        <v>13</v>
      </c>
      <c r="H59" s="13" t="s">
        <v>15</v>
      </c>
      <c r="I59" s="4"/>
    </row>
    <row r="60">
      <c r="A60" s="12">
        <v>56.0</v>
      </c>
      <c r="B60" s="13" t="s">
        <v>11</v>
      </c>
      <c r="C60" s="13" t="s">
        <v>71</v>
      </c>
      <c r="D60" s="13" t="s">
        <v>13</v>
      </c>
      <c r="E60" s="13" t="s">
        <v>14</v>
      </c>
      <c r="F60" s="13" t="s">
        <v>13</v>
      </c>
      <c r="G60" s="13" t="s">
        <v>13</v>
      </c>
      <c r="H60" s="13" t="s">
        <v>15</v>
      </c>
      <c r="I60" s="4"/>
    </row>
    <row r="61">
      <c r="A61" s="12">
        <v>57.0</v>
      </c>
      <c r="B61" s="13" t="s">
        <v>11</v>
      </c>
      <c r="C61" s="13" t="s">
        <v>72</v>
      </c>
      <c r="D61" s="13" t="s">
        <v>13</v>
      </c>
      <c r="E61" s="13" t="s">
        <v>14</v>
      </c>
      <c r="F61" s="13" t="s">
        <v>13</v>
      </c>
      <c r="G61" s="13" t="s">
        <v>13</v>
      </c>
      <c r="H61" s="13" t="s">
        <v>15</v>
      </c>
      <c r="I61" s="4"/>
    </row>
    <row r="62">
      <c r="A62" s="12">
        <v>58.0</v>
      </c>
      <c r="B62" s="13" t="s">
        <v>11</v>
      </c>
      <c r="C62" s="13" t="s">
        <v>73</v>
      </c>
      <c r="D62" s="13" t="s">
        <v>13</v>
      </c>
      <c r="E62" s="13" t="s">
        <v>14</v>
      </c>
      <c r="F62" s="13" t="s">
        <v>13</v>
      </c>
      <c r="G62" s="13" t="s">
        <v>13</v>
      </c>
      <c r="H62" s="13" t="s">
        <v>15</v>
      </c>
      <c r="I62" s="4"/>
    </row>
    <row r="63">
      <c r="A63" s="12">
        <v>59.0</v>
      </c>
      <c r="B63" s="13" t="s">
        <v>11</v>
      </c>
      <c r="C63" s="13" t="s">
        <v>74</v>
      </c>
      <c r="D63" s="13" t="s">
        <v>13</v>
      </c>
      <c r="E63" s="13" t="s">
        <v>14</v>
      </c>
      <c r="F63" s="13" t="s">
        <v>13</v>
      </c>
      <c r="G63" s="13" t="s">
        <v>13</v>
      </c>
      <c r="H63" s="13" t="s">
        <v>15</v>
      </c>
      <c r="I63" s="4"/>
    </row>
    <row r="64">
      <c r="A64" s="12">
        <v>60.0</v>
      </c>
      <c r="B64" s="13" t="s">
        <v>11</v>
      </c>
      <c r="C64" s="13" t="s">
        <v>75</v>
      </c>
      <c r="D64" s="13" t="s">
        <v>13</v>
      </c>
      <c r="E64" s="13" t="s">
        <v>14</v>
      </c>
      <c r="F64" s="13" t="s">
        <v>13</v>
      </c>
      <c r="G64" s="13" t="s">
        <v>13</v>
      </c>
      <c r="H64" s="13" t="s">
        <v>15</v>
      </c>
      <c r="I64" s="4"/>
    </row>
    <row r="65">
      <c r="A65" s="12">
        <v>61.0</v>
      </c>
      <c r="B65" s="13" t="s">
        <v>11</v>
      </c>
      <c r="C65" s="13" t="s">
        <v>76</v>
      </c>
      <c r="D65" s="13" t="s">
        <v>13</v>
      </c>
      <c r="E65" s="13" t="s">
        <v>14</v>
      </c>
      <c r="F65" s="13" t="s">
        <v>13</v>
      </c>
      <c r="G65" s="13" t="s">
        <v>13</v>
      </c>
      <c r="H65" s="13" t="s">
        <v>15</v>
      </c>
      <c r="I65" s="4"/>
    </row>
    <row r="66">
      <c r="A66" s="12">
        <v>62.0</v>
      </c>
      <c r="B66" s="13" t="s">
        <v>11</v>
      </c>
      <c r="C66" s="13" t="s">
        <v>77</v>
      </c>
      <c r="D66" s="13" t="s">
        <v>13</v>
      </c>
      <c r="E66" s="13" t="s">
        <v>14</v>
      </c>
      <c r="F66" s="13" t="s">
        <v>13</v>
      </c>
      <c r="G66" s="13" t="s">
        <v>13</v>
      </c>
      <c r="H66" s="13" t="s">
        <v>15</v>
      </c>
      <c r="I66" s="4"/>
    </row>
    <row r="67">
      <c r="A67" s="12">
        <v>63.0</v>
      </c>
      <c r="B67" s="13" t="s">
        <v>11</v>
      </c>
      <c r="C67" s="13" t="s">
        <v>78</v>
      </c>
      <c r="D67" s="13" t="s">
        <v>13</v>
      </c>
      <c r="E67" s="13" t="s">
        <v>14</v>
      </c>
      <c r="F67" s="13" t="s">
        <v>13</v>
      </c>
      <c r="G67" s="13" t="s">
        <v>13</v>
      </c>
      <c r="H67" s="13" t="s">
        <v>15</v>
      </c>
      <c r="I67" s="4"/>
    </row>
    <row r="68">
      <c r="A68" s="14">
        <v>64.0</v>
      </c>
      <c r="B68" s="15" t="s">
        <v>11</v>
      </c>
      <c r="C68" s="15" t="s">
        <v>79</v>
      </c>
      <c r="D68" s="15" t="s">
        <v>13</v>
      </c>
      <c r="E68" s="15" t="s">
        <v>14</v>
      </c>
      <c r="F68" s="15" t="s">
        <v>13</v>
      </c>
      <c r="G68" s="15" t="s">
        <v>13</v>
      </c>
      <c r="H68" s="15" t="s">
        <v>15</v>
      </c>
      <c r="I68" s="4"/>
    </row>
    <row r="69">
      <c r="A69" s="14">
        <v>65.0</v>
      </c>
      <c r="B69" s="15" t="s">
        <v>11</v>
      </c>
      <c r="C69" s="15" t="s">
        <v>80</v>
      </c>
      <c r="D69" s="15" t="s">
        <v>13</v>
      </c>
      <c r="E69" s="15" t="s">
        <v>14</v>
      </c>
      <c r="F69" s="15" t="s">
        <v>13</v>
      </c>
      <c r="G69" s="15" t="s">
        <v>13</v>
      </c>
      <c r="H69" s="15" t="s">
        <v>15</v>
      </c>
      <c r="I69" s="4"/>
    </row>
    <row r="70">
      <c r="A70" s="14">
        <v>66.0</v>
      </c>
      <c r="B70" s="15" t="s">
        <v>11</v>
      </c>
      <c r="C70" s="15" t="s">
        <v>81</v>
      </c>
      <c r="D70" s="15" t="s">
        <v>13</v>
      </c>
      <c r="E70" s="15" t="s">
        <v>14</v>
      </c>
      <c r="F70" s="15" t="s">
        <v>13</v>
      </c>
      <c r="G70" s="15" t="s">
        <v>13</v>
      </c>
      <c r="H70" s="15" t="s">
        <v>15</v>
      </c>
      <c r="I70" s="4"/>
    </row>
    <row r="71">
      <c r="A71" s="14">
        <v>67.0</v>
      </c>
      <c r="B71" s="15" t="s">
        <v>11</v>
      </c>
      <c r="C71" s="15" t="s">
        <v>82</v>
      </c>
      <c r="D71" s="15" t="s">
        <v>13</v>
      </c>
      <c r="E71" s="15" t="s">
        <v>14</v>
      </c>
      <c r="F71" s="15" t="s">
        <v>13</v>
      </c>
      <c r="G71" s="15" t="s">
        <v>13</v>
      </c>
      <c r="H71" s="15" t="s">
        <v>15</v>
      </c>
      <c r="I71" s="4"/>
    </row>
    <row r="72">
      <c r="A72" s="14">
        <v>68.0</v>
      </c>
      <c r="B72" s="15" t="s">
        <v>11</v>
      </c>
      <c r="C72" s="15" t="s">
        <v>83</v>
      </c>
      <c r="D72" s="15" t="s">
        <v>13</v>
      </c>
      <c r="E72" s="15" t="s">
        <v>14</v>
      </c>
      <c r="F72" s="15" t="s">
        <v>13</v>
      </c>
      <c r="G72" s="15" t="s">
        <v>13</v>
      </c>
      <c r="H72" s="15" t="s">
        <v>15</v>
      </c>
      <c r="I72" s="4"/>
    </row>
    <row r="73">
      <c r="A73" s="14">
        <v>69.0</v>
      </c>
      <c r="B73" s="15" t="s">
        <v>11</v>
      </c>
      <c r="C73" s="15" t="s">
        <v>84</v>
      </c>
      <c r="D73" s="15" t="s">
        <v>13</v>
      </c>
      <c r="E73" s="15" t="s">
        <v>14</v>
      </c>
      <c r="F73" s="15" t="s">
        <v>13</v>
      </c>
      <c r="G73" s="15" t="s">
        <v>13</v>
      </c>
      <c r="H73" s="15" t="s">
        <v>15</v>
      </c>
      <c r="I73" s="4"/>
    </row>
    <row r="74">
      <c r="A74" s="14">
        <v>70.0</v>
      </c>
      <c r="B74" s="15" t="s">
        <v>11</v>
      </c>
      <c r="C74" s="15" t="s">
        <v>85</v>
      </c>
      <c r="D74" s="15" t="s">
        <v>13</v>
      </c>
      <c r="E74" s="15" t="s">
        <v>14</v>
      </c>
      <c r="F74" s="15" t="s">
        <v>13</v>
      </c>
      <c r="G74" s="15" t="s">
        <v>13</v>
      </c>
      <c r="H74" s="15" t="s">
        <v>15</v>
      </c>
      <c r="I74" s="4"/>
    </row>
    <row r="75">
      <c r="A75" s="14">
        <v>71.0</v>
      </c>
      <c r="B75" s="15" t="s">
        <v>11</v>
      </c>
      <c r="C75" s="15" t="s">
        <v>86</v>
      </c>
      <c r="D75" s="15" t="s">
        <v>13</v>
      </c>
      <c r="E75" s="15" t="s">
        <v>14</v>
      </c>
      <c r="F75" s="15" t="s">
        <v>13</v>
      </c>
      <c r="G75" s="15" t="s">
        <v>13</v>
      </c>
      <c r="H75" s="15" t="s">
        <v>15</v>
      </c>
      <c r="I75" s="4"/>
    </row>
    <row r="76">
      <c r="A76" s="14">
        <v>72.0</v>
      </c>
      <c r="B76" s="15" t="s">
        <v>11</v>
      </c>
      <c r="C76" s="15" t="s">
        <v>87</v>
      </c>
      <c r="D76" s="15" t="s">
        <v>13</v>
      </c>
      <c r="E76" s="15" t="s">
        <v>14</v>
      </c>
      <c r="F76" s="15" t="s">
        <v>13</v>
      </c>
      <c r="G76" s="15" t="s">
        <v>13</v>
      </c>
      <c r="H76" s="15" t="s">
        <v>15</v>
      </c>
      <c r="I76" s="4"/>
    </row>
    <row r="77">
      <c r="A77" s="14">
        <v>73.0</v>
      </c>
      <c r="B77" s="15" t="s">
        <v>11</v>
      </c>
      <c r="C77" s="15" t="s">
        <v>88</v>
      </c>
      <c r="D77" s="15" t="s">
        <v>13</v>
      </c>
      <c r="E77" s="15" t="s">
        <v>14</v>
      </c>
      <c r="F77" s="15" t="s">
        <v>13</v>
      </c>
      <c r="G77" s="15" t="s">
        <v>13</v>
      </c>
      <c r="H77" s="15" t="s">
        <v>15</v>
      </c>
      <c r="I77" s="4"/>
    </row>
    <row r="78">
      <c r="A78" s="14">
        <v>74.0</v>
      </c>
      <c r="B78" s="15" t="s">
        <v>11</v>
      </c>
      <c r="C78" s="15" t="s">
        <v>89</v>
      </c>
      <c r="D78" s="15" t="s">
        <v>13</v>
      </c>
      <c r="E78" s="15" t="s">
        <v>14</v>
      </c>
      <c r="F78" s="15" t="s">
        <v>13</v>
      </c>
      <c r="G78" s="15" t="s">
        <v>13</v>
      </c>
      <c r="H78" s="15" t="s">
        <v>15</v>
      </c>
      <c r="I78" s="4"/>
    </row>
    <row r="79">
      <c r="A79" s="14">
        <v>75.0</v>
      </c>
      <c r="B79" s="15" t="s">
        <v>11</v>
      </c>
      <c r="C79" s="15" t="s">
        <v>90</v>
      </c>
      <c r="D79" s="15" t="s">
        <v>13</v>
      </c>
      <c r="E79" s="15" t="s">
        <v>14</v>
      </c>
      <c r="F79" s="15" t="s">
        <v>13</v>
      </c>
      <c r="G79" s="15" t="s">
        <v>13</v>
      </c>
      <c r="H79" s="15" t="s">
        <v>15</v>
      </c>
      <c r="I79" s="4"/>
    </row>
    <row r="80">
      <c r="A80" s="14">
        <v>76.0</v>
      </c>
      <c r="B80" s="15" t="s">
        <v>11</v>
      </c>
      <c r="C80" s="15" t="s">
        <v>91</v>
      </c>
      <c r="D80" s="15" t="s">
        <v>13</v>
      </c>
      <c r="E80" s="15" t="s">
        <v>14</v>
      </c>
      <c r="F80" s="15" t="s">
        <v>13</v>
      </c>
      <c r="G80" s="15" t="s">
        <v>13</v>
      </c>
      <c r="H80" s="15" t="s">
        <v>15</v>
      </c>
      <c r="I80" s="4"/>
    </row>
    <row r="81">
      <c r="A81" s="14">
        <v>77.0</v>
      </c>
      <c r="B81" s="15" t="s">
        <v>11</v>
      </c>
      <c r="C81" s="15" t="s">
        <v>92</v>
      </c>
      <c r="D81" s="15" t="s">
        <v>13</v>
      </c>
      <c r="E81" s="15" t="s">
        <v>14</v>
      </c>
      <c r="F81" s="15" t="s">
        <v>13</v>
      </c>
      <c r="G81" s="15" t="s">
        <v>13</v>
      </c>
      <c r="H81" s="15" t="s">
        <v>15</v>
      </c>
      <c r="I81" s="4"/>
    </row>
    <row r="82">
      <c r="A82" s="14">
        <v>78.0</v>
      </c>
      <c r="B82" s="15" t="s">
        <v>11</v>
      </c>
      <c r="C82" s="15" t="s">
        <v>93</v>
      </c>
      <c r="D82" s="15" t="s">
        <v>13</v>
      </c>
      <c r="E82" s="15" t="s">
        <v>14</v>
      </c>
      <c r="F82" s="15" t="s">
        <v>13</v>
      </c>
      <c r="G82" s="15" t="s">
        <v>13</v>
      </c>
      <c r="H82" s="15" t="s">
        <v>15</v>
      </c>
      <c r="I82" s="4"/>
    </row>
    <row r="83">
      <c r="A83" s="14">
        <v>79.0</v>
      </c>
      <c r="B83" s="15" t="s">
        <v>11</v>
      </c>
      <c r="C83" s="15" t="s">
        <v>94</v>
      </c>
      <c r="D83" s="15" t="s">
        <v>13</v>
      </c>
      <c r="E83" s="15" t="s">
        <v>14</v>
      </c>
      <c r="F83" s="15" t="s">
        <v>13</v>
      </c>
      <c r="G83" s="15" t="s">
        <v>13</v>
      </c>
      <c r="H83" s="15" t="s">
        <v>15</v>
      </c>
      <c r="I83" s="4"/>
    </row>
    <row r="84">
      <c r="A84" s="14">
        <v>80.0</v>
      </c>
      <c r="B84" s="15" t="s">
        <v>11</v>
      </c>
      <c r="C84" s="15" t="s">
        <v>95</v>
      </c>
      <c r="D84" s="15" t="s">
        <v>13</v>
      </c>
      <c r="E84" s="15" t="s">
        <v>14</v>
      </c>
      <c r="F84" s="15" t="s">
        <v>13</v>
      </c>
      <c r="G84" s="15" t="s">
        <v>13</v>
      </c>
      <c r="H84" s="15" t="s">
        <v>15</v>
      </c>
      <c r="I84" s="4"/>
    </row>
    <row r="85">
      <c r="A85" s="14">
        <v>81.0</v>
      </c>
      <c r="B85" s="15" t="s">
        <v>11</v>
      </c>
      <c r="C85" s="15" t="s">
        <v>96</v>
      </c>
      <c r="D85" s="15" t="s">
        <v>13</v>
      </c>
      <c r="E85" s="15" t="s">
        <v>14</v>
      </c>
      <c r="F85" s="15" t="s">
        <v>13</v>
      </c>
      <c r="G85" s="15" t="s">
        <v>13</v>
      </c>
      <c r="H85" s="15" t="s">
        <v>15</v>
      </c>
      <c r="I85" s="4"/>
    </row>
    <row r="86">
      <c r="A86" s="14">
        <v>82.0</v>
      </c>
      <c r="B86" s="15" t="s">
        <v>11</v>
      </c>
      <c r="C86" s="15" t="s">
        <v>97</v>
      </c>
      <c r="D86" s="15" t="s">
        <v>13</v>
      </c>
      <c r="E86" s="15" t="s">
        <v>14</v>
      </c>
      <c r="F86" s="15" t="s">
        <v>13</v>
      </c>
      <c r="G86" s="15" t="s">
        <v>13</v>
      </c>
      <c r="H86" s="15" t="s">
        <v>15</v>
      </c>
      <c r="I86" s="4"/>
    </row>
    <row r="87">
      <c r="A87" s="14">
        <v>83.0</v>
      </c>
      <c r="B87" s="15" t="s">
        <v>11</v>
      </c>
      <c r="C87" s="15" t="s">
        <v>98</v>
      </c>
      <c r="D87" s="15" t="s">
        <v>13</v>
      </c>
      <c r="E87" s="15" t="s">
        <v>14</v>
      </c>
      <c r="F87" s="15" t="s">
        <v>13</v>
      </c>
      <c r="G87" s="15" t="s">
        <v>13</v>
      </c>
      <c r="H87" s="15" t="s">
        <v>15</v>
      </c>
      <c r="I87" s="4"/>
    </row>
    <row r="88">
      <c r="A88" s="14">
        <v>84.0</v>
      </c>
      <c r="B88" s="15" t="s">
        <v>11</v>
      </c>
      <c r="C88" s="15" t="s">
        <v>99</v>
      </c>
      <c r="D88" s="15" t="s">
        <v>13</v>
      </c>
      <c r="E88" s="15" t="s">
        <v>14</v>
      </c>
      <c r="F88" s="15" t="s">
        <v>13</v>
      </c>
      <c r="G88" s="15" t="s">
        <v>13</v>
      </c>
      <c r="H88" s="15" t="s">
        <v>15</v>
      </c>
      <c r="I88" s="4"/>
    </row>
    <row r="89">
      <c r="A89" s="14">
        <v>85.0</v>
      </c>
      <c r="B89" s="15" t="s">
        <v>11</v>
      </c>
      <c r="C89" s="15" t="s">
        <v>100</v>
      </c>
      <c r="D89" s="15" t="s">
        <v>13</v>
      </c>
      <c r="E89" s="15" t="s">
        <v>14</v>
      </c>
      <c r="F89" s="15" t="s">
        <v>13</v>
      </c>
      <c r="G89" s="15" t="s">
        <v>13</v>
      </c>
      <c r="H89" s="15" t="s">
        <v>15</v>
      </c>
      <c r="I89" s="4"/>
    </row>
    <row r="90">
      <c r="A90" s="14">
        <v>86.0</v>
      </c>
      <c r="B90" s="15" t="s">
        <v>11</v>
      </c>
      <c r="C90" s="15" t="s">
        <v>101</v>
      </c>
      <c r="D90" s="15" t="s">
        <v>13</v>
      </c>
      <c r="E90" s="15" t="s">
        <v>14</v>
      </c>
      <c r="F90" s="15" t="s">
        <v>13</v>
      </c>
      <c r="G90" s="15" t="s">
        <v>13</v>
      </c>
      <c r="H90" s="15" t="s">
        <v>15</v>
      </c>
      <c r="I90" s="4"/>
    </row>
    <row r="91">
      <c r="A91" s="14">
        <v>87.0</v>
      </c>
      <c r="B91" s="15" t="s">
        <v>11</v>
      </c>
      <c r="C91" s="15" t="s">
        <v>102</v>
      </c>
      <c r="D91" s="15" t="s">
        <v>13</v>
      </c>
      <c r="E91" s="15" t="s">
        <v>14</v>
      </c>
      <c r="F91" s="15" t="s">
        <v>13</v>
      </c>
      <c r="G91" s="15" t="s">
        <v>13</v>
      </c>
      <c r="H91" s="15" t="s">
        <v>15</v>
      </c>
      <c r="I91" s="4"/>
    </row>
    <row r="92">
      <c r="A92" s="14">
        <v>88.0</v>
      </c>
      <c r="B92" s="15" t="s">
        <v>11</v>
      </c>
      <c r="C92" s="15" t="s">
        <v>103</v>
      </c>
      <c r="D92" s="15" t="s">
        <v>13</v>
      </c>
      <c r="E92" s="15" t="s">
        <v>14</v>
      </c>
      <c r="F92" s="15" t="s">
        <v>13</v>
      </c>
      <c r="G92" s="15" t="s">
        <v>13</v>
      </c>
      <c r="H92" s="15" t="s">
        <v>15</v>
      </c>
      <c r="I92" s="4"/>
    </row>
    <row r="93">
      <c r="A93" s="14">
        <v>89.0</v>
      </c>
      <c r="B93" s="15" t="s">
        <v>11</v>
      </c>
      <c r="C93" s="15" t="s">
        <v>104</v>
      </c>
      <c r="D93" s="15" t="s">
        <v>13</v>
      </c>
      <c r="E93" s="15" t="s">
        <v>14</v>
      </c>
      <c r="F93" s="15" t="s">
        <v>13</v>
      </c>
      <c r="G93" s="15" t="s">
        <v>13</v>
      </c>
      <c r="H93" s="15" t="s">
        <v>15</v>
      </c>
      <c r="I93" s="4"/>
    </row>
    <row r="94">
      <c r="A94" s="14">
        <v>90.0</v>
      </c>
      <c r="B94" s="15" t="s">
        <v>11</v>
      </c>
      <c r="C94" s="15" t="s">
        <v>105</v>
      </c>
      <c r="D94" s="15" t="s">
        <v>13</v>
      </c>
      <c r="E94" s="15" t="s">
        <v>14</v>
      </c>
      <c r="F94" s="15" t="s">
        <v>13</v>
      </c>
      <c r="G94" s="15" t="s">
        <v>13</v>
      </c>
      <c r="H94" s="15" t="s">
        <v>15</v>
      </c>
      <c r="I94" s="4"/>
    </row>
    <row r="95">
      <c r="A95" s="14">
        <v>91.0</v>
      </c>
      <c r="B95" s="15" t="s">
        <v>11</v>
      </c>
      <c r="C95" s="15" t="s">
        <v>106</v>
      </c>
      <c r="D95" s="15" t="s">
        <v>13</v>
      </c>
      <c r="E95" s="15" t="s">
        <v>14</v>
      </c>
      <c r="F95" s="15" t="s">
        <v>13</v>
      </c>
      <c r="G95" s="15" t="s">
        <v>13</v>
      </c>
      <c r="H95" s="15" t="s">
        <v>15</v>
      </c>
      <c r="I95" s="4"/>
    </row>
    <row r="96">
      <c r="A96" s="14">
        <v>92.0</v>
      </c>
      <c r="B96" s="15" t="s">
        <v>11</v>
      </c>
      <c r="C96" s="15" t="s">
        <v>107</v>
      </c>
      <c r="D96" s="15" t="s">
        <v>13</v>
      </c>
      <c r="E96" s="15" t="s">
        <v>14</v>
      </c>
      <c r="F96" s="15" t="s">
        <v>13</v>
      </c>
      <c r="G96" s="15" t="s">
        <v>13</v>
      </c>
      <c r="H96" s="15" t="s">
        <v>15</v>
      </c>
      <c r="I96" s="4"/>
    </row>
    <row r="97">
      <c r="A97" s="14">
        <v>93.0</v>
      </c>
      <c r="B97" s="15" t="s">
        <v>11</v>
      </c>
      <c r="C97" s="15" t="s">
        <v>108</v>
      </c>
      <c r="D97" s="15" t="s">
        <v>13</v>
      </c>
      <c r="E97" s="15" t="s">
        <v>14</v>
      </c>
      <c r="F97" s="15" t="s">
        <v>13</v>
      </c>
      <c r="G97" s="15" t="s">
        <v>13</v>
      </c>
      <c r="H97" s="15" t="s">
        <v>15</v>
      </c>
      <c r="I97" s="4"/>
    </row>
    <row r="98">
      <c r="A98" s="14">
        <v>94.0</v>
      </c>
      <c r="B98" s="15" t="s">
        <v>11</v>
      </c>
      <c r="C98" s="15" t="s">
        <v>109</v>
      </c>
      <c r="D98" s="15" t="s">
        <v>13</v>
      </c>
      <c r="E98" s="15" t="s">
        <v>14</v>
      </c>
      <c r="F98" s="15" t="s">
        <v>13</v>
      </c>
      <c r="G98" s="15" t="s">
        <v>13</v>
      </c>
      <c r="H98" s="15" t="s">
        <v>15</v>
      </c>
      <c r="I98" s="4"/>
    </row>
    <row r="99">
      <c r="A99" s="14">
        <v>95.0</v>
      </c>
      <c r="B99" s="15" t="s">
        <v>11</v>
      </c>
      <c r="C99" s="15" t="s">
        <v>110</v>
      </c>
      <c r="D99" s="15" t="s">
        <v>13</v>
      </c>
      <c r="E99" s="15" t="s">
        <v>14</v>
      </c>
      <c r="F99" s="15" t="s">
        <v>13</v>
      </c>
      <c r="G99" s="15" t="s">
        <v>13</v>
      </c>
      <c r="H99" s="15" t="s">
        <v>15</v>
      </c>
      <c r="I99" s="4"/>
    </row>
    <row r="100">
      <c r="A100" s="14">
        <v>96.0</v>
      </c>
      <c r="B100" s="15" t="s">
        <v>11</v>
      </c>
      <c r="C100" s="15" t="s">
        <v>111</v>
      </c>
      <c r="D100" s="15" t="s">
        <v>13</v>
      </c>
      <c r="E100" s="15" t="s">
        <v>14</v>
      </c>
      <c r="F100" s="15" t="s">
        <v>13</v>
      </c>
      <c r="G100" s="15" t="s">
        <v>13</v>
      </c>
      <c r="H100" s="15" t="s">
        <v>15</v>
      </c>
      <c r="I100" s="4"/>
    </row>
    <row r="101">
      <c r="A101" s="14">
        <v>97.0</v>
      </c>
      <c r="B101" s="15" t="s">
        <v>11</v>
      </c>
      <c r="C101" s="15" t="s">
        <v>112</v>
      </c>
      <c r="D101" s="15" t="s">
        <v>13</v>
      </c>
      <c r="E101" s="15" t="s">
        <v>14</v>
      </c>
      <c r="F101" s="15" t="s">
        <v>13</v>
      </c>
      <c r="G101" s="15" t="s">
        <v>13</v>
      </c>
      <c r="H101" s="15" t="s">
        <v>15</v>
      </c>
      <c r="I101" s="4"/>
    </row>
    <row r="102">
      <c r="A102" s="14">
        <v>98.0</v>
      </c>
      <c r="B102" s="15" t="s">
        <v>11</v>
      </c>
      <c r="C102" s="15" t="s">
        <v>113</v>
      </c>
      <c r="D102" s="15" t="s">
        <v>13</v>
      </c>
      <c r="E102" s="15" t="s">
        <v>14</v>
      </c>
      <c r="F102" s="15" t="s">
        <v>13</v>
      </c>
      <c r="G102" s="15" t="s">
        <v>13</v>
      </c>
      <c r="H102" s="15" t="s">
        <v>15</v>
      </c>
      <c r="I102" s="4"/>
    </row>
    <row r="103">
      <c r="A103" s="14">
        <v>99.0</v>
      </c>
      <c r="B103" s="15" t="s">
        <v>11</v>
      </c>
      <c r="C103" s="15" t="s">
        <v>114</v>
      </c>
      <c r="D103" s="15" t="s">
        <v>13</v>
      </c>
      <c r="E103" s="15" t="s">
        <v>14</v>
      </c>
      <c r="F103" s="15" t="s">
        <v>13</v>
      </c>
      <c r="G103" s="15" t="s">
        <v>13</v>
      </c>
      <c r="H103" s="15" t="s">
        <v>15</v>
      </c>
      <c r="I103" s="4"/>
    </row>
    <row r="104">
      <c r="A104" s="14">
        <v>100.0</v>
      </c>
      <c r="B104" s="15" t="s">
        <v>11</v>
      </c>
      <c r="C104" s="15" t="s">
        <v>115</v>
      </c>
      <c r="D104" s="15" t="s">
        <v>13</v>
      </c>
      <c r="E104" s="15" t="s">
        <v>14</v>
      </c>
      <c r="F104" s="15" t="s">
        <v>13</v>
      </c>
      <c r="G104" s="15" t="s">
        <v>13</v>
      </c>
      <c r="H104" s="15" t="s">
        <v>15</v>
      </c>
      <c r="I104" s="4"/>
    </row>
    <row r="105">
      <c r="A105" s="14">
        <v>101.0</v>
      </c>
      <c r="B105" s="15" t="s">
        <v>11</v>
      </c>
      <c r="C105" s="15" t="s">
        <v>116</v>
      </c>
      <c r="D105" s="15" t="s">
        <v>13</v>
      </c>
      <c r="E105" s="15" t="s">
        <v>14</v>
      </c>
      <c r="F105" s="15" t="s">
        <v>13</v>
      </c>
      <c r="G105" s="15" t="s">
        <v>13</v>
      </c>
      <c r="H105" s="15" t="s">
        <v>15</v>
      </c>
      <c r="I105" s="4"/>
    </row>
    <row r="106">
      <c r="A106" s="14">
        <v>102.0</v>
      </c>
      <c r="B106" s="15" t="s">
        <v>11</v>
      </c>
      <c r="C106" s="15" t="s">
        <v>117</v>
      </c>
      <c r="D106" s="15" t="s">
        <v>13</v>
      </c>
      <c r="E106" s="15" t="s">
        <v>14</v>
      </c>
      <c r="F106" s="15" t="s">
        <v>13</v>
      </c>
      <c r="G106" s="15" t="s">
        <v>13</v>
      </c>
      <c r="H106" s="15" t="s">
        <v>15</v>
      </c>
      <c r="I106" s="4"/>
    </row>
    <row r="107">
      <c r="A107" s="14">
        <v>103.0</v>
      </c>
      <c r="B107" s="15" t="s">
        <v>11</v>
      </c>
      <c r="C107" s="15" t="s">
        <v>118</v>
      </c>
      <c r="D107" s="15" t="s">
        <v>13</v>
      </c>
      <c r="E107" s="15" t="s">
        <v>14</v>
      </c>
      <c r="F107" s="15" t="s">
        <v>13</v>
      </c>
      <c r="G107" s="15" t="s">
        <v>13</v>
      </c>
      <c r="H107" s="15" t="s">
        <v>15</v>
      </c>
      <c r="I107" s="4"/>
    </row>
    <row r="108">
      <c r="A108" s="14">
        <v>104.0</v>
      </c>
      <c r="B108" s="15" t="s">
        <v>11</v>
      </c>
      <c r="C108" s="15" t="s">
        <v>119</v>
      </c>
      <c r="D108" s="15" t="s">
        <v>13</v>
      </c>
      <c r="E108" s="15" t="s">
        <v>14</v>
      </c>
      <c r="F108" s="15" t="s">
        <v>13</v>
      </c>
      <c r="G108" s="15" t="s">
        <v>13</v>
      </c>
      <c r="H108" s="15" t="s">
        <v>15</v>
      </c>
      <c r="I108" s="4"/>
    </row>
    <row r="109">
      <c r="A109" s="14">
        <v>105.0</v>
      </c>
      <c r="B109" s="15" t="s">
        <v>11</v>
      </c>
      <c r="C109" s="15" t="s">
        <v>120</v>
      </c>
      <c r="D109" s="15" t="s">
        <v>13</v>
      </c>
      <c r="E109" s="15" t="s">
        <v>14</v>
      </c>
      <c r="F109" s="15" t="s">
        <v>13</v>
      </c>
      <c r="G109" s="15" t="s">
        <v>13</v>
      </c>
      <c r="H109" s="15" t="s">
        <v>15</v>
      </c>
      <c r="I109" s="4"/>
    </row>
    <row r="110">
      <c r="A110" s="14">
        <v>106.0</v>
      </c>
      <c r="B110" s="15" t="s">
        <v>11</v>
      </c>
      <c r="C110" s="15" t="s">
        <v>121</v>
      </c>
      <c r="D110" s="15" t="s">
        <v>13</v>
      </c>
      <c r="E110" s="15" t="s">
        <v>14</v>
      </c>
      <c r="F110" s="15" t="s">
        <v>13</v>
      </c>
      <c r="G110" s="15" t="s">
        <v>13</v>
      </c>
      <c r="H110" s="15" t="s">
        <v>122</v>
      </c>
      <c r="I110" s="4"/>
    </row>
    <row r="111">
      <c r="A111" s="14">
        <v>107.0</v>
      </c>
      <c r="B111" s="15" t="s">
        <v>11</v>
      </c>
      <c r="C111" s="15" t="s">
        <v>123</v>
      </c>
      <c r="D111" s="15" t="s">
        <v>13</v>
      </c>
      <c r="E111" s="15" t="s">
        <v>14</v>
      </c>
      <c r="F111" s="15" t="s">
        <v>13</v>
      </c>
      <c r="G111" s="15" t="s">
        <v>13</v>
      </c>
      <c r="H111" s="15" t="s">
        <v>15</v>
      </c>
      <c r="I111" s="4"/>
    </row>
    <row r="112">
      <c r="A112" s="16">
        <v>108.0</v>
      </c>
      <c r="B112" s="17" t="s">
        <v>11</v>
      </c>
      <c r="C112" s="17" t="s">
        <v>124</v>
      </c>
      <c r="D112" s="17" t="s">
        <v>13</v>
      </c>
      <c r="E112" s="17" t="s">
        <v>14</v>
      </c>
      <c r="F112" s="17" t="s">
        <v>13</v>
      </c>
      <c r="G112" s="17" t="s">
        <v>13</v>
      </c>
      <c r="H112" s="17" t="s">
        <v>15</v>
      </c>
      <c r="I112" s="4"/>
    </row>
    <row r="113">
      <c r="A113" s="16">
        <v>109.0</v>
      </c>
      <c r="B113" s="17" t="s">
        <v>11</v>
      </c>
      <c r="C113" s="17" t="s">
        <v>125</v>
      </c>
      <c r="D113" s="17" t="s">
        <v>13</v>
      </c>
      <c r="E113" s="17" t="s">
        <v>14</v>
      </c>
      <c r="F113" s="17" t="s">
        <v>13</v>
      </c>
      <c r="G113" s="17" t="s">
        <v>13</v>
      </c>
      <c r="H113" s="17" t="s">
        <v>15</v>
      </c>
      <c r="I113" s="4"/>
    </row>
    <row r="114">
      <c r="A114" s="16">
        <v>110.0</v>
      </c>
      <c r="B114" s="17" t="s">
        <v>11</v>
      </c>
      <c r="C114" s="17" t="s">
        <v>126</v>
      </c>
      <c r="D114" s="17" t="s">
        <v>13</v>
      </c>
      <c r="E114" s="17" t="s">
        <v>14</v>
      </c>
      <c r="F114" s="17" t="s">
        <v>13</v>
      </c>
      <c r="G114" s="17" t="s">
        <v>13</v>
      </c>
      <c r="H114" s="17" t="s">
        <v>15</v>
      </c>
      <c r="I114" s="4"/>
    </row>
    <row r="115">
      <c r="A115" s="16">
        <v>111.0</v>
      </c>
      <c r="B115" s="17" t="s">
        <v>11</v>
      </c>
      <c r="C115" s="17" t="s">
        <v>127</v>
      </c>
      <c r="D115" s="17" t="s">
        <v>13</v>
      </c>
      <c r="E115" s="17" t="s">
        <v>14</v>
      </c>
      <c r="F115" s="17" t="s">
        <v>13</v>
      </c>
      <c r="G115" s="17" t="s">
        <v>13</v>
      </c>
      <c r="H115" s="17" t="s">
        <v>15</v>
      </c>
      <c r="I115" s="4"/>
    </row>
    <row r="116">
      <c r="A116" s="16">
        <v>112.0</v>
      </c>
      <c r="B116" s="17" t="s">
        <v>11</v>
      </c>
      <c r="C116" s="17" t="s">
        <v>128</v>
      </c>
      <c r="D116" s="17" t="s">
        <v>13</v>
      </c>
      <c r="E116" s="17" t="s">
        <v>14</v>
      </c>
      <c r="F116" s="17" t="s">
        <v>13</v>
      </c>
      <c r="G116" s="17" t="s">
        <v>13</v>
      </c>
      <c r="H116" s="17" t="s">
        <v>15</v>
      </c>
      <c r="I116" s="4"/>
    </row>
    <row r="117">
      <c r="A117" s="16">
        <v>113.0</v>
      </c>
      <c r="B117" s="17" t="s">
        <v>11</v>
      </c>
      <c r="C117" s="17" t="s">
        <v>129</v>
      </c>
      <c r="D117" s="17" t="s">
        <v>13</v>
      </c>
      <c r="E117" s="17" t="s">
        <v>14</v>
      </c>
      <c r="F117" s="17" t="s">
        <v>13</v>
      </c>
      <c r="G117" s="17" t="s">
        <v>13</v>
      </c>
      <c r="H117" s="17" t="s">
        <v>15</v>
      </c>
      <c r="I117" s="4"/>
    </row>
    <row r="118">
      <c r="A118" s="16">
        <v>114.0</v>
      </c>
      <c r="B118" s="17" t="s">
        <v>11</v>
      </c>
      <c r="C118" s="17" t="s">
        <v>130</v>
      </c>
      <c r="D118" s="17" t="s">
        <v>13</v>
      </c>
      <c r="E118" s="17" t="s">
        <v>14</v>
      </c>
      <c r="F118" s="17" t="s">
        <v>13</v>
      </c>
      <c r="G118" s="17" t="s">
        <v>13</v>
      </c>
      <c r="H118" s="17" t="s">
        <v>15</v>
      </c>
      <c r="I118" s="4"/>
    </row>
    <row r="119">
      <c r="A119" s="16">
        <v>115.0</v>
      </c>
      <c r="B119" s="17" t="s">
        <v>11</v>
      </c>
      <c r="C119" s="17" t="s">
        <v>131</v>
      </c>
      <c r="D119" s="17" t="s">
        <v>13</v>
      </c>
      <c r="E119" s="17" t="s">
        <v>14</v>
      </c>
      <c r="F119" s="17" t="s">
        <v>13</v>
      </c>
      <c r="G119" s="17" t="s">
        <v>13</v>
      </c>
      <c r="H119" s="17" t="s">
        <v>15</v>
      </c>
      <c r="I119" s="4"/>
    </row>
    <row r="120">
      <c r="A120" s="16">
        <v>116.0</v>
      </c>
      <c r="B120" s="17" t="s">
        <v>11</v>
      </c>
      <c r="C120" s="17" t="s">
        <v>132</v>
      </c>
      <c r="D120" s="17" t="s">
        <v>13</v>
      </c>
      <c r="E120" s="17" t="s">
        <v>14</v>
      </c>
      <c r="F120" s="17" t="s">
        <v>13</v>
      </c>
      <c r="G120" s="17" t="s">
        <v>13</v>
      </c>
      <c r="H120" s="17" t="s">
        <v>15</v>
      </c>
      <c r="I120" s="4"/>
    </row>
    <row r="121">
      <c r="A121" s="16">
        <v>117.0</v>
      </c>
      <c r="B121" s="17" t="s">
        <v>11</v>
      </c>
      <c r="C121" s="17" t="s">
        <v>133</v>
      </c>
      <c r="D121" s="17" t="s">
        <v>13</v>
      </c>
      <c r="E121" s="17" t="s">
        <v>14</v>
      </c>
      <c r="F121" s="17" t="s">
        <v>13</v>
      </c>
      <c r="G121" s="17" t="s">
        <v>13</v>
      </c>
      <c r="H121" s="17" t="s">
        <v>15</v>
      </c>
      <c r="I121" s="4"/>
    </row>
    <row r="122">
      <c r="A122" s="16">
        <v>118.0</v>
      </c>
      <c r="B122" s="17" t="s">
        <v>11</v>
      </c>
      <c r="C122" s="17" t="s">
        <v>134</v>
      </c>
      <c r="D122" s="17" t="s">
        <v>13</v>
      </c>
      <c r="E122" s="17" t="s">
        <v>14</v>
      </c>
      <c r="F122" s="17" t="s">
        <v>13</v>
      </c>
      <c r="G122" s="17" t="s">
        <v>13</v>
      </c>
      <c r="H122" s="17" t="s">
        <v>15</v>
      </c>
      <c r="I122" s="4"/>
    </row>
    <row r="123">
      <c r="A123" s="16">
        <v>119.0</v>
      </c>
      <c r="B123" s="17" t="s">
        <v>11</v>
      </c>
      <c r="C123" s="17" t="s">
        <v>135</v>
      </c>
      <c r="D123" s="17" t="s">
        <v>13</v>
      </c>
      <c r="E123" s="17" t="s">
        <v>14</v>
      </c>
      <c r="F123" s="17" t="s">
        <v>13</v>
      </c>
      <c r="G123" s="17" t="s">
        <v>13</v>
      </c>
      <c r="H123" s="17" t="s">
        <v>15</v>
      </c>
      <c r="I123" s="4"/>
    </row>
    <row r="124">
      <c r="A124" s="16">
        <v>120.0</v>
      </c>
      <c r="B124" s="17" t="s">
        <v>11</v>
      </c>
      <c r="C124" s="17" t="s">
        <v>136</v>
      </c>
      <c r="D124" s="17" t="s">
        <v>13</v>
      </c>
      <c r="E124" s="17" t="s">
        <v>14</v>
      </c>
      <c r="F124" s="17" t="s">
        <v>13</v>
      </c>
      <c r="G124" s="17" t="s">
        <v>13</v>
      </c>
      <c r="H124" s="17" t="s">
        <v>15</v>
      </c>
      <c r="I124" s="4"/>
    </row>
    <row r="125">
      <c r="A125" s="16">
        <v>121.0</v>
      </c>
      <c r="B125" s="17" t="s">
        <v>11</v>
      </c>
      <c r="C125" s="17" t="s">
        <v>137</v>
      </c>
      <c r="D125" s="17" t="s">
        <v>13</v>
      </c>
      <c r="E125" s="17" t="s">
        <v>14</v>
      </c>
      <c r="F125" s="17" t="s">
        <v>13</v>
      </c>
      <c r="G125" s="17" t="s">
        <v>13</v>
      </c>
      <c r="H125" s="17" t="s">
        <v>15</v>
      </c>
      <c r="I125" s="4"/>
    </row>
    <row r="126">
      <c r="A126" s="16">
        <v>122.0</v>
      </c>
      <c r="B126" s="17" t="s">
        <v>11</v>
      </c>
      <c r="C126" s="17" t="s">
        <v>138</v>
      </c>
      <c r="D126" s="17" t="s">
        <v>13</v>
      </c>
      <c r="E126" s="17" t="s">
        <v>14</v>
      </c>
      <c r="F126" s="17" t="s">
        <v>13</v>
      </c>
      <c r="G126" s="17" t="s">
        <v>13</v>
      </c>
      <c r="H126" s="17" t="s">
        <v>15</v>
      </c>
      <c r="I126" s="4"/>
    </row>
    <row r="127">
      <c r="A127" s="16">
        <v>123.0</v>
      </c>
      <c r="B127" s="17" t="s">
        <v>11</v>
      </c>
      <c r="C127" s="17" t="s">
        <v>139</v>
      </c>
      <c r="D127" s="17" t="s">
        <v>13</v>
      </c>
      <c r="E127" s="17" t="s">
        <v>14</v>
      </c>
      <c r="F127" s="17" t="s">
        <v>13</v>
      </c>
      <c r="G127" s="17" t="s">
        <v>13</v>
      </c>
      <c r="H127" s="17" t="s">
        <v>15</v>
      </c>
      <c r="I127" s="4"/>
    </row>
    <row r="128">
      <c r="A128" s="16">
        <v>124.0</v>
      </c>
      <c r="B128" s="17" t="s">
        <v>11</v>
      </c>
      <c r="C128" s="17" t="s">
        <v>140</v>
      </c>
      <c r="D128" s="17" t="s">
        <v>13</v>
      </c>
      <c r="E128" s="17" t="s">
        <v>14</v>
      </c>
      <c r="F128" s="17" t="s">
        <v>13</v>
      </c>
      <c r="G128" s="17" t="s">
        <v>13</v>
      </c>
      <c r="H128" s="17" t="s">
        <v>15</v>
      </c>
      <c r="I128" s="4"/>
    </row>
    <row r="129">
      <c r="A129" s="16">
        <v>125.0</v>
      </c>
      <c r="B129" s="17" t="s">
        <v>11</v>
      </c>
      <c r="C129" s="17" t="s">
        <v>141</v>
      </c>
      <c r="D129" s="17" t="s">
        <v>13</v>
      </c>
      <c r="E129" s="17" t="s">
        <v>14</v>
      </c>
      <c r="F129" s="17" t="s">
        <v>13</v>
      </c>
      <c r="G129" s="17" t="s">
        <v>13</v>
      </c>
      <c r="H129" s="17" t="s">
        <v>15</v>
      </c>
      <c r="I129" s="4"/>
    </row>
    <row r="130">
      <c r="A130" s="16">
        <v>126.0</v>
      </c>
      <c r="B130" s="17" t="s">
        <v>11</v>
      </c>
      <c r="C130" s="17" t="s">
        <v>142</v>
      </c>
      <c r="D130" s="17" t="s">
        <v>13</v>
      </c>
      <c r="E130" s="17" t="s">
        <v>14</v>
      </c>
      <c r="F130" s="17" t="s">
        <v>13</v>
      </c>
      <c r="G130" s="17" t="s">
        <v>13</v>
      </c>
      <c r="H130" s="17" t="s">
        <v>15</v>
      </c>
      <c r="I130" s="4"/>
    </row>
    <row r="131">
      <c r="A131" s="16">
        <v>127.0</v>
      </c>
      <c r="B131" s="17" t="s">
        <v>11</v>
      </c>
      <c r="C131" s="17" t="s">
        <v>143</v>
      </c>
      <c r="D131" s="17" t="s">
        <v>13</v>
      </c>
      <c r="E131" s="17" t="s">
        <v>14</v>
      </c>
      <c r="F131" s="17" t="s">
        <v>13</v>
      </c>
      <c r="G131" s="17" t="s">
        <v>13</v>
      </c>
      <c r="H131" s="17" t="s">
        <v>15</v>
      </c>
      <c r="I131" s="4"/>
    </row>
    <row r="132">
      <c r="A132" s="16">
        <v>128.0</v>
      </c>
      <c r="B132" s="17" t="s">
        <v>11</v>
      </c>
      <c r="C132" s="17" t="s">
        <v>144</v>
      </c>
      <c r="D132" s="17" t="s">
        <v>13</v>
      </c>
      <c r="E132" s="17" t="s">
        <v>14</v>
      </c>
      <c r="F132" s="17" t="s">
        <v>13</v>
      </c>
      <c r="G132" s="17" t="s">
        <v>13</v>
      </c>
      <c r="H132" s="17" t="s">
        <v>15</v>
      </c>
      <c r="I132" s="4"/>
    </row>
    <row r="133">
      <c r="A133" s="16">
        <v>129.0</v>
      </c>
      <c r="B133" s="17" t="s">
        <v>11</v>
      </c>
      <c r="C133" s="17" t="s">
        <v>145</v>
      </c>
      <c r="D133" s="17" t="s">
        <v>13</v>
      </c>
      <c r="E133" s="17" t="s">
        <v>14</v>
      </c>
      <c r="F133" s="17" t="s">
        <v>13</v>
      </c>
      <c r="G133" s="17" t="s">
        <v>13</v>
      </c>
      <c r="H133" s="17" t="s">
        <v>15</v>
      </c>
      <c r="I133" s="4"/>
    </row>
    <row r="134">
      <c r="A134" s="16">
        <v>130.0</v>
      </c>
      <c r="B134" s="17" t="s">
        <v>11</v>
      </c>
      <c r="C134" s="17" t="s">
        <v>146</v>
      </c>
      <c r="D134" s="17" t="s">
        <v>13</v>
      </c>
      <c r="E134" s="17" t="s">
        <v>14</v>
      </c>
      <c r="F134" s="17" t="s">
        <v>13</v>
      </c>
      <c r="G134" s="17" t="s">
        <v>13</v>
      </c>
      <c r="H134" s="17" t="s">
        <v>15</v>
      </c>
      <c r="I134" s="4"/>
    </row>
    <row r="135">
      <c r="A135" s="16">
        <v>131.0</v>
      </c>
      <c r="B135" s="17" t="s">
        <v>11</v>
      </c>
      <c r="C135" s="17" t="s">
        <v>147</v>
      </c>
      <c r="D135" s="17" t="s">
        <v>13</v>
      </c>
      <c r="E135" s="17" t="s">
        <v>14</v>
      </c>
      <c r="F135" s="17" t="s">
        <v>13</v>
      </c>
      <c r="G135" s="17" t="s">
        <v>13</v>
      </c>
      <c r="H135" s="17" t="s">
        <v>15</v>
      </c>
      <c r="I135" s="4"/>
    </row>
    <row r="136">
      <c r="A136" s="16">
        <v>132.0</v>
      </c>
      <c r="B136" s="17" t="s">
        <v>11</v>
      </c>
      <c r="C136" s="17" t="s">
        <v>148</v>
      </c>
      <c r="D136" s="17" t="s">
        <v>13</v>
      </c>
      <c r="E136" s="17" t="s">
        <v>14</v>
      </c>
      <c r="F136" s="17" t="s">
        <v>13</v>
      </c>
      <c r="G136" s="17" t="s">
        <v>13</v>
      </c>
      <c r="H136" s="17" t="s">
        <v>15</v>
      </c>
      <c r="I136" s="4"/>
    </row>
    <row r="137">
      <c r="A137" s="16">
        <v>133.0</v>
      </c>
      <c r="B137" s="17" t="s">
        <v>11</v>
      </c>
      <c r="C137" s="17" t="s">
        <v>149</v>
      </c>
      <c r="D137" s="17" t="s">
        <v>13</v>
      </c>
      <c r="E137" s="17" t="s">
        <v>14</v>
      </c>
      <c r="F137" s="17" t="s">
        <v>13</v>
      </c>
      <c r="G137" s="17" t="s">
        <v>13</v>
      </c>
      <c r="H137" s="17" t="s">
        <v>15</v>
      </c>
      <c r="I137" s="4"/>
    </row>
    <row r="138">
      <c r="A138" s="16">
        <v>134.0</v>
      </c>
      <c r="B138" s="17" t="s">
        <v>11</v>
      </c>
      <c r="C138" s="17" t="s">
        <v>150</v>
      </c>
      <c r="D138" s="17" t="s">
        <v>13</v>
      </c>
      <c r="E138" s="17" t="s">
        <v>14</v>
      </c>
      <c r="F138" s="17" t="s">
        <v>13</v>
      </c>
      <c r="G138" s="17" t="s">
        <v>13</v>
      </c>
      <c r="H138" s="17" t="s">
        <v>15</v>
      </c>
      <c r="I138" s="4"/>
    </row>
    <row r="139">
      <c r="A139" s="16">
        <v>135.0</v>
      </c>
      <c r="B139" s="17" t="s">
        <v>11</v>
      </c>
      <c r="C139" s="17" t="s">
        <v>151</v>
      </c>
      <c r="D139" s="17" t="s">
        <v>13</v>
      </c>
      <c r="E139" s="17" t="s">
        <v>14</v>
      </c>
      <c r="F139" s="17" t="s">
        <v>13</v>
      </c>
      <c r="G139" s="17" t="s">
        <v>13</v>
      </c>
      <c r="H139" s="17" t="s">
        <v>15</v>
      </c>
      <c r="I139" s="4"/>
    </row>
    <row r="140">
      <c r="A140" s="16">
        <v>136.0</v>
      </c>
      <c r="B140" s="17" t="s">
        <v>11</v>
      </c>
      <c r="C140" s="17" t="s">
        <v>152</v>
      </c>
      <c r="D140" s="17" t="s">
        <v>13</v>
      </c>
      <c r="E140" s="17" t="s">
        <v>14</v>
      </c>
      <c r="F140" s="17" t="s">
        <v>13</v>
      </c>
      <c r="G140" s="17" t="s">
        <v>13</v>
      </c>
      <c r="H140" s="17" t="s">
        <v>15</v>
      </c>
      <c r="I140" s="4"/>
    </row>
    <row r="141">
      <c r="A141" s="16">
        <v>137.0</v>
      </c>
      <c r="B141" s="17" t="s">
        <v>11</v>
      </c>
      <c r="C141" s="17" t="s">
        <v>153</v>
      </c>
      <c r="D141" s="17" t="s">
        <v>13</v>
      </c>
      <c r="E141" s="17" t="s">
        <v>14</v>
      </c>
      <c r="F141" s="17" t="s">
        <v>13</v>
      </c>
      <c r="G141" s="17" t="s">
        <v>13</v>
      </c>
      <c r="H141" s="17" t="s">
        <v>15</v>
      </c>
      <c r="I141" s="4"/>
    </row>
    <row r="142">
      <c r="A142" s="16">
        <v>138.0</v>
      </c>
      <c r="B142" s="17" t="s">
        <v>11</v>
      </c>
      <c r="C142" s="17" t="s">
        <v>154</v>
      </c>
      <c r="D142" s="17" t="s">
        <v>13</v>
      </c>
      <c r="E142" s="17" t="s">
        <v>14</v>
      </c>
      <c r="F142" s="17" t="s">
        <v>13</v>
      </c>
      <c r="G142" s="17" t="s">
        <v>13</v>
      </c>
      <c r="H142" s="17" t="s">
        <v>15</v>
      </c>
      <c r="I142" s="4"/>
    </row>
    <row r="143">
      <c r="A143" s="16">
        <v>139.0</v>
      </c>
      <c r="B143" s="17" t="s">
        <v>11</v>
      </c>
      <c r="C143" s="17" t="s">
        <v>155</v>
      </c>
      <c r="D143" s="17" t="s">
        <v>13</v>
      </c>
      <c r="E143" s="17" t="s">
        <v>14</v>
      </c>
      <c r="F143" s="17" t="s">
        <v>13</v>
      </c>
      <c r="G143" s="17" t="s">
        <v>13</v>
      </c>
      <c r="H143" s="17" t="s">
        <v>15</v>
      </c>
      <c r="I143" s="4"/>
    </row>
    <row r="144">
      <c r="A144" s="16">
        <v>140.0</v>
      </c>
      <c r="B144" s="17" t="s">
        <v>11</v>
      </c>
      <c r="C144" s="17" t="s">
        <v>156</v>
      </c>
      <c r="D144" s="17" t="s">
        <v>13</v>
      </c>
      <c r="E144" s="17" t="s">
        <v>14</v>
      </c>
      <c r="F144" s="17" t="s">
        <v>13</v>
      </c>
      <c r="G144" s="17" t="s">
        <v>13</v>
      </c>
      <c r="H144" s="17" t="s">
        <v>15</v>
      </c>
      <c r="I144" s="4"/>
    </row>
    <row r="145">
      <c r="A145" s="16">
        <v>141.0</v>
      </c>
      <c r="B145" s="17" t="s">
        <v>11</v>
      </c>
      <c r="C145" s="17" t="s">
        <v>157</v>
      </c>
      <c r="D145" s="17" t="s">
        <v>13</v>
      </c>
      <c r="E145" s="17" t="s">
        <v>14</v>
      </c>
      <c r="F145" s="17" t="s">
        <v>13</v>
      </c>
      <c r="G145" s="17" t="s">
        <v>13</v>
      </c>
      <c r="H145" s="17" t="s">
        <v>15</v>
      </c>
      <c r="I145" s="4"/>
    </row>
    <row r="146">
      <c r="A146" s="16">
        <v>142.0</v>
      </c>
      <c r="B146" s="17" t="s">
        <v>11</v>
      </c>
      <c r="C146" s="17" t="s">
        <v>158</v>
      </c>
      <c r="D146" s="17" t="s">
        <v>13</v>
      </c>
      <c r="E146" s="17" t="s">
        <v>14</v>
      </c>
      <c r="F146" s="17" t="s">
        <v>13</v>
      </c>
      <c r="G146" s="17" t="s">
        <v>13</v>
      </c>
      <c r="H146" s="17" t="s">
        <v>15</v>
      </c>
      <c r="I146" s="4"/>
    </row>
    <row r="147">
      <c r="A147" s="16">
        <v>143.0</v>
      </c>
      <c r="B147" s="17" t="s">
        <v>11</v>
      </c>
      <c r="C147" s="17" t="s">
        <v>159</v>
      </c>
      <c r="D147" s="17" t="s">
        <v>13</v>
      </c>
      <c r="E147" s="17" t="s">
        <v>14</v>
      </c>
      <c r="F147" s="17" t="s">
        <v>13</v>
      </c>
      <c r="G147" s="17" t="s">
        <v>13</v>
      </c>
      <c r="H147" s="17" t="s">
        <v>15</v>
      </c>
      <c r="I147" s="4"/>
    </row>
    <row r="148">
      <c r="A148" s="16">
        <v>144.0</v>
      </c>
      <c r="B148" s="17" t="s">
        <v>11</v>
      </c>
      <c r="C148" s="17" t="s">
        <v>160</v>
      </c>
      <c r="D148" s="17" t="s">
        <v>13</v>
      </c>
      <c r="E148" s="17" t="s">
        <v>14</v>
      </c>
      <c r="F148" s="17" t="s">
        <v>13</v>
      </c>
      <c r="G148" s="17" t="s">
        <v>13</v>
      </c>
      <c r="H148" s="17" t="s">
        <v>15</v>
      </c>
      <c r="I148" s="4"/>
    </row>
    <row r="149">
      <c r="A149" s="16">
        <v>145.0</v>
      </c>
      <c r="B149" s="17" t="s">
        <v>11</v>
      </c>
      <c r="C149" s="17" t="s">
        <v>161</v>
      </c>
      <c r="D149" s="17" t="s">
        <v>13</v>
      </c>
      <c r="E149" s="17" t="s">
        <v>14</v>
      </c>
      <c r="F149" s="17" t="s">
        <v>13</v>
      </c>
      <c r="G149" s="17" t="s">
        <v>13</v>
      </c>
      <c r="H149" s="17" t="s">
        <v>15</v>
      </c>
      <c r="I149" s="4"/>
    </row>
    <row r="150">
      <c r="A150" s="16">
        <v>146.0</v>
      </c>
      <c r="B150" s="17" t="s">
        <v>11</v>
      </c>
      <c r="C150" s="17" t="s">
        <v>162</v>
      </c>
      <c r="D150" s="17" t="s">
        <v>13</v>
      </c>
      <c r="E150" s="17" t="s">
        <v>14</v>
      </c>
      <c r="F150" s="17" t="s">
        <v>13</v>
      </c>
      <c r="G150" s="17" t="s">
        <v>13</v>
      </c>
      <c r="H150" s="17" t="s">
        <v>15</v>
      </c>
      <c r="I150" s="4"/>
    </row>
    <row r="151">
      <c r="A151" s="16">
        <v>147.0</v>
      </c>
      <c r="B151" s="17" t="s">
        <v>11</v>
      </c>
      <c r="C151" s="17" t="s">
        <v>163</v>
      </c>
      <c r="D151" s="17" t="s">
        <v>13</v>
      </c>
      <c r="E151" s="17" t="s">
        <v>14</v>
      </c>
      <c r="F151" s="17" t="s">
        <v>13</v>
      </c>
      <c r="G151" s="17" t="s">
        <v>13</v>
      </c>
      <c r="H151" s="17" t="s">
        <v>15</v>
      </c>
      <c r="I151" s="4"/>
    </row>
    <row r="152">
      <c r="A152" s="16">
        <v>148.0</v>
      </c>
      <c r="B152" s="17" t="s">
        <v>11</v>
      </c>
      <c r="C152" s="17" t="s">
        <v>164</v>
      </c>
      <c r="D152" s="17" t="s">
        <v>13</v>
      </c>
      <c r="E152" s="17" t="s">
        <v>14</v>
      </c>
      <c r="F152" s="17" t="s">
        <v>13</v>
      </c>
      <c r="G152" s="17" t="s">
        <v>13</v>
      </c>
      <c r="H152" s="17" t="s">
        <v>15</v>
      </c>
      <c r="I152" s="4"/>
    </row>
    <row r="153">
      <c r="A153" s="16">
        <v>149.0</v>
      </c>
      <c r="B153" s="17" t="s">
        <v>11</v>
      </c>
      <c r="C153" s="17" t="s">
        <v>165</v>
      </c>
      <c r="D153" s="17" t="s">
        <v>13</v>
      </c>
      <c r="E153" s="17" t="s">
        <v>14</v>
      </c>
      <c r="F153" s="17" t="s">
        <v>13</v>
      </c>
      <c r="G153" s="17" t="s">
        <v>13</v>
      </c>
      <c r="H153" s="17" t="s">
        <v>15</v>
      </c>
      <c r="I153" s="4"/>
    </row>
    <row r="154">
      <c r="A154" s="16">
        <v>150.0</v>
      </c>
      <c r="B154" s="17" t="s">
        <v>11</v>
      </c>
      <c r="C154" s="17" t="s">
        <v>166</v>
      </c>
      <c r="D154" s="17" t="s">
        <v>13</v>
      </c>
      <c r="E154" s="17" t="s">
        <v>14</v>
      </c>
      <c r="F154" s="17" t="s">
        <v>13</v>
      </c>
      <c r="G154" s="17" t="s">
        <v>13</v>
      </c>
      <c r="H154" s="17" t="s">
        <v>15</v>
      </c>
      <c r="I154" s="4"/>
    </row>
    <row r="155">
      <c r="A155" s="16">
        <v>151.0</v>
      </c>
      <c r="B155" s="17" t="s">
        <v>11</v>
      </c>
      <c r="C155" s="17" t="s">
        <v>167</v>
      </c>
      <c r="D155" s="17" t="s">
        <v>13</v>
      </c>
      <c r="E155" s="17" t="s">
        <v>14</v>
      </c>
      <c r="F155" s="17" t="s">
        <v>13</v>
      </c>
      <c r="G155" s="17" t="s">
        <v>13</v>
      </c>
      <c r="H155" s="17" t="s">
        <v>15</v>
      </c>
      <c r="I155" s="4"/>
    </row>
    <row r="156">
      <c r="A156" s="16">
        <v>152.0</v>
      </c>
      <c r="B156" s="17" t="s">
        <v>11</v>
      </c>
      <c r="C156" s="17" t="s">
        <v>168</v>
      </c>
      <c r="D156" s="17" t="s">
        <v>13</v>
      </c>
      <c r="E156" s="17" t="s">
        <v>14</v>
      </c>
      <c r="F156" s="17" t="s">
        <v>13</v>
      </c>
      <c r="G156" s="17" t="s">
        <v>13</v>
      </c>
      <c r="H156" s="17" t="s">
        <v>15</v>
      </c>
      <c r="I156" s="4"/>
    </row>
    <row r="157">
      <c r="A157" s="16">
        <v>153.0</v>
      </c>
      <c r="B157" s="17" t="s">
        <v>11</v>
      </c>
      <c r="C157" s="17" t="s">
        <v>169</v>
      </c>
      <c r="D157" s="17" t="s">
        <v>13</v>
      </c>
      <c r="E157" s="17" t="s">
        <v>14</v>
      </c>
      <c r="F157" s="17" t="s">
        <v>13</v>
      </c>
      <c r="G157" s="17" t="s">
        <v>13</v>
      </c>
      <c r="H157" s="17" t="s">
        <v>15</v>
      </c>
      <c r="I157" s="4"/>
    </row>
    <row r="158">
      <c r="A158" s="16">
        <v>154.0</v>
      </c>
      <c r="B158" s="17" t="s">
        <v>11</v>
      </c>
      <c r="C158" s="17" t="s">
        <v>170</v>
      </c>
      <c r="D158" s="17" t="s">
        <v>13</v>
      </c>
      <c r="E158" s="17" t="s">
        <v>14</v>
      </c>
      <c r="F158" s="17" t="s">
        <v>13</v>
      </c>
      <c r="G158" s="17" t="s">
        <v>13</v>
      </c>
      <c r="H158" s="17" t="s">
        <v>15</v>
      </c>
      <c r="I158" s="4"/>
    </row>
    <row r="159">
      <c r="A159" s="16">
        <v>155.0</v>
      </c>
      <c r="B159" s="17" t="s">
        <v>11</v>
      </c>
      <c r="C159" s="17" t="s">
        <v>171</v>
      </c>
      <c r="D159" s="17" t="s">
        <v>13</v>
      </c>
      <c r="E159" s="17" t="s">
        <v>14</v>
      </c>
      <c r="F159" s="17" t="s">
        <v>13</v>
      </c>
      <c r="G159" s="17" t="s">
        <v>13</v>
      </c>
      <c r="H159" s="17" t="s">
        <v>15</v>
      </c>
      <c r="I159" s="4"/>
    </row>
    <row r="160">
      <c r="A160" s="16">
        <v>156.0</v>
      </c>
      <c r="B160" s="17" t="s">
        <v>11</v>
      </c>
      <c r="C160" s="17" t="s">
        <v>172</v>
      </c>
      <c r="D160" s="17" t="s">
        <v>13</v>
      </c>
      <c r="E160" s="17" t="s">
        <v>14</v>
      </c>
      <c r="F160" s="17" t="s">
        <v>13</v>
      </c>
      <c r="G160" s="17" t="s">
        <v>13</v>
      </c>
      <c r="H160" s="17" t="s">
        <v>15</v>
      </c>
      <c r="I160" s="4"/>
    </row>
    <row r="161">
      <c r="A161" s="16">
        <v>157.0</v>
      </c>
      <c r="B161" s="17" t="s">
        <v>11</v>
      </c>
      <c r="C161" s="17" t="s">
        <v>173</v>
      </c>
      <c r="D161" s="17" t="s">
        <v>13</v>
      </c>
      <c r="E161" s="17" t="s">
        <v>14</v>
      </c>
      <c r="F161" s="17" t="s">
        <v>13</v>
      </c>
      <c r="G161" s="17" t="s">
        <v>13</v>
      </c>
      <c r="H161" s="17" t="s">
        <v>15</v>
      </c>
      <c r="I161" s="4"/>
    </row>
    <row r="162">
      <c r="A162" s="16">
        <v>158.0</v>
      </c>
      <c r="B162" s="17" t="s">
        <v>11</v>
      </c>
      <c r="C162" s="17" t="s">
        <v>174</v>
      </c>
      <c r="D162" s="17" t="s">
        <v>13</v>
      </c>
      <c r="E162" s="17" t="s">
        <v>14</v>
      </c>
      <c r="F162" s="17" t="s">
        <v>13</v>
      </c>
      <c r="G162" s="17" t="s">
        <v>13</v>
      </c>
      <c r="H162" s="17" t="s">
        <v>15</v>
      </c>
      <c r="I162" s="4"/>
    </row>
    <row r="163">
      <c r="A163" s="16">
        <v>159.0</v>
      </c>
      <c r="B163" s="17" t="s">
        <v>11</v>
      </c>
      <c r="C163" s="17" t="s">
        <v>175</v>
      </c>
      <c r="D163" s="17" t="s">
        <v>13</v>
      </c>
      <c r="E163" s="17" t="s">
        <v>14</v>
      </c>
      <c r="F163" s="17" t="s">
        <v>13</v>
      </c>
      <c r="G163" s="17" t="s">
        <v>13</v>
      </c>
      <c r="H163" s="17" t="s">
        <v>15</v>
      </c>
      <c r="I163" s="4"/>
    </row>
    <row r="164">
      <c r="A164" s="16">
        <v>160.0</v>
      </c>
      <c r="B164" s="17" t="s">
        <v>11</v>
      </c>
      <c r="C164" s="17" t="s">
        <v>176</v>
      </c>
      <c r="D164" s="17" t="s">
        <v>13</v>
      </c>
      <c r="E164" s="17" t="s">
        <v>14</v>
      </c>
      <c r="F164" s="17" t="s">
        <v>13</v>
      </c>
      <c r="G164" s="17" t="s">
        <v>13</v>
      </c>
      <c r="H164" s="17" t="s">
        <v>15</v>
      </c>
      <c r="I164" s="4"/>
    </row>
    <row r="165">
      <c r="A165" s="16">
        <v>161.0</v>
      </c>
      <c r="B165" s="17" t="s">
        <v>11</v>
      </c>
      <c r="C165" s="17" t="s">
        <v>177</v>
      </c>
      <c r="D165" s="17" t="s">
        <v>13</v>
      </c>
      <c r="E165" s="17" t="s">
        <v>14</v>
      </c>
      <c r="F165" s="17" t="s">
        <v>13</v>
      </c>
      <c r="G165" s="17" t="s">
        <v>13</v>
      </c>
      <c r="H165" s="17" t="s">
        <v>15</v>
      </c>
      <c r="I165" s="4"/>
    </row>
    <row r="166">
      <c r="A166" s="16">
        <v>162.0</v>
      </c>
      <c r="B166" s="17" t="s">
        <v>11</v>
      </c>
      <c r="C166" s="17" t="s">
        <v>178</v>
      </c>
      <c r="D166" s="17" t="s">
        <v>13</v>
      </c>
      <c r="E166" s="17" t="s">
        <v>14</v>
      </c>
      <c r="F166" s="17" t="s">
        <v>13</v>
      </c>
      <c r="G166" s="17" t="s">
        <v>13</v>
      </c>
      <c r="H166" s="17" t="s">
        <v>15</v>
      </c>
      <c r="I166" s="4"/>
    </row>
    <row r="167">
      <c r="A167" s="16">
        <v>163.0</v>
      </c>
      <c r="B167" s="17" t="s">
        <v>11</v>
      </c>
      <c r="C167" s="17" t="s">
        <v>179</v>
      </c>
      <c r="D167" s="17" t="s">
        <v>13</v>
      </c>
      <c r="E167" s="17" t="s">
        <v>14</v>
      </c>
      <c r="F167" s="17" t="s">
        <v>13</v>
      </c>
      <c r="G167" s="17" t="s">
        <v>13</v>
      </c>
      <c r="H167" s="17" t="s">
        <v>15</v>
      </c>
      <c r="I167" s="4"/>
    </row>
    <row r="168">
      <c r="A168" s="16">
        <v>164.0</v>
      </c>
      <c r="B168" s="17" t="s">
        <v>11</v>
      </c>
      <c r="C168" s="17" t="s">
        <v>180</v>
      </c>
      <c r="D168" s="17" t="s">
        <v>13</v>
      </c>
      <c r="E168" s="17" t="s">
        <v>14</v>
      </c>
      <c r="F168" s="17" t="s">
        <v>13</v>
      </c>
      <c r="G168" s="17" t="s">
        <v>13</v>
      </c>
      <c r="H168" s="17" t="s">
        <v>15</v>
      </c>
      <c r="I168" s="4"/>
    </row>
    <row r="169">
      <c r="A169" s="16">
        <v>165.0</v>
      </c>
      <c r="B169" s="17" t="s">
        <v>11</v>
      </c>
      <c r="C169" s="17" t="s">
        <v>181</v>
      </c>
      <c r="D169" s="17" t="s">
        <v>13</v>
      </c>
      <c r="E169" s="17" t="s">
        <v>14</v>
      </c>
      <c r="F169" s="17" t="s">
        <v>13</v>
      </c>
      <c r="G169" s="17" t="s">
        <v>13</v>
      </c>
      <c r="H169" s="17" t="s">
        <v>15</v>
      </c>
      <c r="I169" s="4"/>
    </row>
    <row r="170">
      <c r="A170" s="16">
        <v>166.0</v>
      </c>
      <c r="B170" s="17" t="s">
        <v>11</v>
      </c>
      <c r="C170" s="17" t="s">
        <v>182</v>
      </c>
      <c r="D170" s="17" t="s">
        <v>13</v>
      </c>
      <c r="E170" s="17" t="s">
        <v>14</v>
      </c>
      <c r="F170" s="17" t="s">
        <v>13</v>
      </c>
      <c r="G170" s="17" t="s">
        <v>13</v>
      </c>
      <c r="H170" s="17" t="s">
        <v>15</v>
      </c>
      <c r="I170" s="4"/>
    </row>
    <row r="171">
      <c r="A171" s="16">
        <v>167.0</v>
      </c>
      <c r="B171" s="17" t="s">
        <v>11</v>
      </c>
      <c r="C171" s="17" t="s">
        <v>183</v>
      </c>
      <c r="D171" s="17" t="s">
        <v>13</v>
      </c>
      <c r="E171" s="17" t="s">
        <v>14</v>
      </c>
      <c r="F171" s="17" t="s">
        <v>13</v>
      </c>
      <c r="G171" s="17" t="s">
        <v>13</v>
      </c>
      <c r="H171" s="17" t="s">
        <v>15</v>
      </c>
      <c r="I171" s="4"/>
    </row>
    <row r="172">
      <c r="A172" s="16">
        <v>168.0</v>
      </c>
      <c r="B172" s="17" t="s">
        <v>11</v>
      </c>
      <c r="C172" s="17" t="s">
        <v>184</v>
      </c>
      <c r="D172" s="17" t="s">
        <v>13</v>
      </c>
      <c r="E172" s="17" t="s">
        <v>14</v>
      </c>
      <c r="F172" s="17" t="s">
        <v>13</v>
      </c>
      <c r="G172" s="17" t="s">
        <v>13</v>
      </c>
      <c r="H172" s="17" t="s">
        <v>15</v>
      </c>
      <c r="I172" s="4"/>
    </row>
    <row r="173">
      <c r="A173" s="16">
        <v>169.0</v>
      </c>
      <c r="B173" s="17" t="s">
        <v>11</v>
      </c>
      <c r="C173" s="17" t="s">
        <v>185</v>
      </c>
      <c r="D173" s="17" t="s">
        <v>13</v>
      </c>
      <c r="E173" s="17" t="s">
        <v>14</v>
      </c>
      <c r="F173" s="17" t="s">
        <v>13</v>
      </c>
      <c r="G173" s="17" t="s">
        <v>13</v>
      </c>
      <c r="H173" s="17" t="s">
        <v>15</v>
      </c>
      <c r="I173" s="4"/>
    </row>
    <row r="174">
      <c r="A174" s="16">
        <v>170.0</v>
      </c>
      <c r="B174" s="17" t="s">
        <v>11</v>
      </c>
      <c r="C174" s="17" t="s">
        <v>186</v>
      </c>
      <c r="D174" s="17" t="s">
        <v>13</v>
      </c>
      <c r="E174" s="17" t="s">
        <v>14</v>
      </c>
      <c r="F174" s="17" t="s">
        <v>13</v>
      </c>
      <c r="G174" s="17" t="s">
        <v>13</v>
      </c>
      <c r="H174" s="17" t="s">
        <v>15</v>
      </c>
      <c r="I174" s="4"/>
    </row>
    <row r="175">
      <c r="A175" s="16">
        <v>171.0</v>
      </c>
      <c r="B175" s="17" t="s">
        <v>11</v>
      </c>
      <c r="C175" s="17" t="s">
        <v>187</v>
      </c>
      <c r="D175" s="17" t="s">
        <v>13</v>
      </c>
      <c r="E175" s="17" t="s">
        <v>14</v>
      </c>
      <c r="F175" s="17" t="s">
        <v>13</v>
      </c>
      <c r="G175" s="17" t="s">
        <v>13</v>
      </c>
      <c r="H175" s="17" t="s">
        <v>15</v>
      </c>
      <c r="I175" s="4"/>
    </row>
    <row r="176">
      <c r="A176" s="16">
        <v>172.0</v>
      </c>
      <c r="B176" s="17" t="s">
        <v>11</v>
      </c>
      <c r="C176" s="17" t="s">
        <v>188</v>
      </c>
      <c r="D176" s="17" t="s">
        <v>13</v>
      </c>
      <c r="E176" s="17" t="s">
        <v>14</v>
      </c>
      <c r="F176" s="17" t="s">
        <v>13</v>
      </c>
      <c r="G176" s="17" t="s">
        <v>13</v>
      </c>
      <c r="H176" s="17" t="s">
        <v>15</v>
      </c>
      <c r="I176" s="4"/>
    </row>
    <row r="177">
      <c r="A177" s="16">
        <v>173.0</v>
      </c>
      <c r="B177" s="17" t="s">
        <v>11</v>
      </c>
      <c r="C177" s="17" t="s">
        <v>189</v>
      </c>
      <c r="D177" s="17" t="s">
        <v>13</v>
      </c>
      <c r="E177" s="17" t="s">
        <v>14</v>
      </c>
      <c r="F177" s="17" t="s">
        <v>13</v>
      </c>
      <c r="G177" s="17" t="s">
        <v>13</v>
      </c>
      <c r="H177" s="17" t="s">
        <v>15</v>
      </c>
      <c r="I177" s="4"/>
    </row>
    <row r="178">
      <c r="A178" s="16">
        <v>174.0</v>
      </c>
      <c r="B178" s="17" t="s">
        <v>11</v>
      </c>
      <c r="C178" s="17" t="s">
        <v>190</v>
      </c>
      <c r="D178" s="17" t="s">
        <v>13</v>
      </c>
      <c r="E178" s="17" t="s">
        <v>14</v>
      </c>
      <c r="F178" s="17" t="s">
        <v>13</v>
      </c>
      <c r="G178" s="17" t="s">
        <v>13</v>
      </c>
      <c r="H178" s="17" t="s">
        <v>15</v>
      </c>
      <c r="I178" s="4"/>
    </row>
    <row r="179">
      <c r="A179" s="16">
        <v>175.0</v>
      </c>
      <c r="B179" s="17" t="s">
        <v>11</v>
      </c>
      <c r="C179" s="17" t="s">
        <v>191</v>
      </c>
      <c r="D179" s="17" t="s">
        <v>13</v>
      </c>
      <c r="E179" s="17" t="s">
        <v>14</v>
      </c>
      <c r="F179" s="17" t="s">
        <v>13</v>
      </c>
      <c r="G179" s="17" t="s">
        <v>13</v>
      </c>
      <c r="H179" s="17" t="s">
        <v>39</v>
      </c>
      <c r="I179" s="4"/>
    </row>
    <row r="180">
      <c r="A180" s="16">
        <v>176.0</v>
      </c>
      <c r="B180" s="17" t="s">
        <v>11</v>
      </c>
      <c r="C180" s="17" t="s">
        <v>192</v>
      </c>
      <c r="D180" s="17" t="s">
        <v>13</v>
      </c>
      <c r="E180" s="17" t="s">
        <v>14</v>
      </c>
      <c r="F180" s="17" t="s">
        <v>13</v>
      </c>
      <c r="G180" s="17" t="s">
        <v>13</v>
      </c>
      <c r="H180" s="17" t="s">
        <v>15</v>
      </c>
      <c r="I180" s="4"/>
    </row>
    <row r="181">
      <c r="A181" s="16">
        <v>177.0</v>
      </c>
      <c r="B181" s="17" t="s">
        <v>11</v>
      </c>
      <c r="C181" s="17" t="s">
        <v>193</v>
      </c>
      <c r="D181" s="17" t="s">
        <v>13</v>
      </c>
      <c r="E181" s="17" t="s">
        <v>14</v>
      </c>
      <c r="F181" s="17" t="s">
        <v>13</v>
      </c>
      <c r="G181" s="17" t="s">
        <v>13</v>
      </c>
      <c r="H181" s="17" t="s">
        <v>15</v>
      </c>
      <c r="I181" s="4"/>
    </row>
    <row r="182">
      <c r="A182" s="16">
        <v>178.0</v>
      </c>
      <c r="B182" s="17" t="s">
        <v>11</v>
      </c>
      <c r="C182" s="17" t="s">
        <v>194</v>
      </c>
      <c r="D182" s="17" t="s">
        <v>13</v>
      </c>
      <c r="E182" s="17" t="s">
        <v>14</v>
      </c>
      <c r="F182" s="17" t="s">
        <v>13</v>
      </c>
      <c r="G182" s="17" t="s">
        <v>13</v>
      </c>
      <c r="H182" s="17" t="s">
        <v>15</v>
      </c>
      <c r="I182" s="4"/>
    </row>
    <row r="183">
      <c r="A183" s="16">
        <v>179.0</v>
      </c>
      <c r="B183" s="17" t="s">
        <v>11</v>
      </c>
      <c r="C183" s="17" t="s">
        <v>195</v>
      </c>
      <c r="D183" s="17" t="s">
        <v>13</v>
      </c>
      <c r="E183" s="17" t="s">
        <v>14</v>
      </c>
      <c r="F183" s="17" t="s">
        <v>13</v>
      </c>
      <c r="G183" s="17" t="s">
        <v>13</v>
      </c>
      <c r="H183" s="17" t="s">
        <v>15</v>
      </c>
      <c r="I183" s="4"/>
    </row>
    <row r="184">
      <c r="A184" s="16">
        <v>180.0</v>
      </c>
      <c r="B184" s="17" t="s">
        <v>11</v>
      </c>
      <c r="C184" s="17" t="s">
        <v>196</v>
      </c>
      <c r="D184" s="17" t="s">
        <v>13</v>
      </c>
      <c r="E184" s="17" t="s">
        <v>14</v>
      </c>
      <c r="F184" s="17" t="s">
        <v>13</v>
      </c>
      <c r="G184" s="17" t="s">
        <v>13</v>
      </c>
      <c r="H184" s="17" t="s">
        <v>15</v>
      </c>
      <c r="I184" s="4"/>
    </row>
    <row r="185">
      <c r="A185" s="16">
        <v>181.0</v>
      </c>
      <c r="B185" s="17" t="s">
        <v>11</v>
      </c>
      <c r="C185" s="17" t="s">
        <v>197</v>
      </c>
      <c r="D185" s="17" t="s">
        <v>13</v>
      </c>
      <c r="E185" s="17" t="s">
        <v>14</v>
      </c>
      <c r="F185" s="17" t="s">
        <v>13</v>
      </c>
      <c r="G185" s="17" t="s">
        <v>13</v>
      </c>
      <c r="H185" s="17" t="s">
        <v>15</v>
      </c>
      <c r="I185" s="4"/>
    </row>
    <row r="186">
      <c r="A186" s="16">
        <v>182.0</v>
      </c>
      <c r="B186" s="17" t="s">
        <v>11</v>
      </c>
      <c r="C186" s="17" t="s">
        <v>198</v>
      </c>
      <c r="D186" s="17" t="s">
        <v>13</v>
      </c>
      <c r="E186" s="17" t="s">
        <v>14</v>
      </c>
      <c r="F186" s="17" t="s">
        <v>13</v>
      </c>
      <c r="G186" s="17" t="s">
        <v>13</v>
      </c>
      <c r="H186" s="17" t="s">
        <v>15</v>
      </c>
      <c r="I186" s="4"/>
    </row>
    <row r="187">
      <c r="A187" s="16">
        <v>183.0</v>
      </c>
      <c r="B187" s="17" t="s">
        <v>11</v>
      </c>
      <c r="C187" s="17" t="s">
        <v>199</v>
      </c>
      <c r="D187" s="17" t="s">
        <v>13</v>
      </c>
      <c r="E187" s="17" t="s">
        <v>14</v>
      </c>
      <c r="F187" s="17" t="s">
        <v>13</v>
      </c>
      <c r="G187" s="17" t="s">
        <v>13</v>
      </c>
      <c r="H187" s="17" t="s">
        <v>15</v>
      </c>
      <c r="I187" s="4"/>
    </row>
    <row r="188">
      <c r="A188" s="16">
        <v>184.0</v>
      </c>
      <c r="B188" s="17" t="s">
        <v>11</v>
      </c>
      <c r="C188" s="17" t="s">
        <v>200</v>
      </c>
      <c r="D188" s="17" t="s">
        <v>13</v>
      </c>
      <c r="E188" s="17" t="s">
        <v>14</v>
      </c>
      <c r="F188" s="17" t="s">
        <v>13</v>
      </c>
      <c r="G188" s="17" t="s">
        <v>13</v>
      </c>
      <c r="H188" s="17" t="s">
        <v>15</v>
      </c>
      <c r="I188" s="4"/>
    </row>
    <row r="189">
      <c r="A189" s="16">
        <v>185.0</v>
      </c>
      <c r="B189" s="17" t="s">
        <v>11</v>
      </c>
      <c r="C189" s="17" t="s">
        <v>201</v>
      </c>
      <c r="D189" s="17" t="s">
        <v>13</v>
      </c>
      <c r="E189" s="17" t="s">
        <v>14</v>
      </c>
      <c r="F189" s="17" t="s">
        <v>13</v>
      </c>
      <c r="G189" s="17" t="s">
        <v>13</v>
      </c>
      <c r="H189" s="17" t="s">
        <v>15</v>
      </c>
      <c r="I189" s="4"/>
    </row>
    <row r="190">
      <c r="A190" s="16">
        <v>186.0</v>
      </c>
      <c r="B190" s="17" t="s">
        <v>11</v>
      </c>
      <c r="C190" s="17" t="s">
        <v>202</v>
      </c>
      <c r="D190" s="17" t="s">
        <v>13</v>
      </c>
      <c r="E190" s="17" t="s">
        <v>14</v>
      </c>
      <c r="F190" s="17" t="s">
        <v>13</v>
      </c>
      <c r="G190" s="17" t="s">
        <v>13</v>
      </c>
      <c r="H190" s="17" t="s">
        <v>15</v>
      </c>
      <c r="I190" s="4"/>
    </row>
    <row r="191">
      <c r="A191" s="16">
        <v>187.0</v>
      </c>
      <c r="B191" s="17" t="s">
        <v>11</v>
      </c>
      <c r="C191" s="17" t="s">
        <v>203</v>
      </c>
      <c r="D191" s="17" t="s">
        <v>13</v>
      </c>
      <c r="E191" s="17" t="s">
        <v>14</v>
      </c>
      <c r="F191" s="17" t="s">
        <v>13</v>
      </c>
      <c r="G191" s="17" t="s">
        <v>13</v>
      </c>
      <c r="H191" s="17" t="s">
        <v>15</v>
      </c>
      <c r="I191" s="4"/>
    </row>
    <row r="192">
      <c r="A192" s="16">
        <v>188.0</v>
      </c>
      <c r="B192" s="17" t="s">
        <v>11</v>
      </c>
      <c r="C192" s="17" t="s">
        <v>204</v>
      </c>
      <c r="D192" s="17" t="s">
        <v>13</v>
      </c>
      <c r="E192" s="17" t="s">
        <v>14</v>
      </c>
      <c r="F192" s="17" t="s">
        <v>13</v>
      </c>
      <c r="G192" s="17" t="s">
        <v>13</v>
      </c>
      <c r="H192" s="17" t="s">
        <v>15</v>
      </c>
      <c r="I192" s="4"/>
    </row>
    <row r="193">
      <c r="A193" s="16">
        <v>189.0</v>
      </c>
      <c r="B193" s="17" t="s">
        <v>11</v>
      </c>
      <c r="C193" s="17" t="s">
        <v>205</v>
      </c>
      <c r="D193" s="17" t="s">
        <v>13</v>
      </c>
      <c r="E193" s="17" t="s">
        <v>14</v>
      </c>
      <c r="F193" s="17" t="s">
        <v>13</v>
      </c>
      <c r="G193" s="17" t="s">
        <v>13</v>
      </c>
      <c r="H193" s="17" t="s">
        <v>15</v>
      </c>
      <c r="I193" s="4"/>
    </row>
    <row r="194">
      <c r="A194" s="16">
        <v>190.0</v>
      </c>
      <c r="B194" s="17" t="s">
        <v>11</v>
      </c>
      <c r="C194" s="17" t="s">
        <v>206</v>
      </c>
      <c r="D194" s="17" t="s">
        <v>13</v>
      </c>
      <c r="E194" s="17" t="s">
        <v>14</v>
      </c>
      <c r="F194" s="17" t="s">
        <v>13</v>
      </c>
      <c r="G194" s="17" t="s">
        <v>13</v>
      </c>
      <c r="H194" s="17" t="s">
        <v>15</v>
      </c>
      <c r="I194" s="4"/>
    </row>
    <row r="195">
      <c r="A195" s="16">
        <v>191.0</v>
      </c>
      <c r="B195" s="17" t="s">
        <v>11</v>
      </c>
      <c r="C195" s="17" t="s">
        <v>207</v>
      </c>
      <c r="D195" s="17" t="s">
        <v>13</v>
      </c>
      <c r="E195" s="17" t="s">
        <v>14</v>
      </c>
      <c r="F195" s="17" t="s">
        <v>13</v>
      </c>
      <c r="G195" s="17" t="s">
        <v>13</v>
      </c>
      <c r="H195" s="17" t="s">
        <v>15</v>
      </c>
      <c r="I195" s="4"/>
    </row>
    <row r="196">
      <c r="A196" s="16">
        <v>192.0</v>
      </c>
      <c r="B196" s="17" t="s">
        <v>11</v>
      </c>
      <c r="C196" s="17" t="s">
        <v>208</v>
      </c>
      <c r="D196" s="17" t="s">
        <v>13</v>
      </c>
      <c r="E196" s="17" t="s">
        <v>14</v>
      </c>
      <c r="F196" s="17" t="s">
        <v>13</v>
      </c>
      <c r="G196" s="17" t="s">
        <v>13</v>
      </c>
      <c r="H196" s="17" t="s">
        <v>15</v>
      </c>
      <c r="I196" s="4"/>
    </row>
    <row r="197">
      <c r="A197" s="16">
        <v>193.0</v>
      </c>
      <c r="B197" s="17" t="s">
        <v>11</v>
      </c>
      <c r="C197" s="17" t="s">
        <v>209</v>
      </c>
      <c r="D197" s="17" t="s">
        <v>13</v>
      </c>
      <c r="E197" s="17" t="s">
        <v>14</v>
      </c>
      <c r="F197" s="17" t="s">
        <v>13</v>
      </c>
      <c r="G197" s="17" t="s">
        <v>13</v>
      </c>
      <c r="H197" s="17" t="s">
        <v>15</v>
      </c>
      <c r="I197" s="4"/>
    </row>
    <row r="198">
      <c r="A198" s="16">
        <v>194.0</v>
      </c>
      <c r="B198" s="17" t="s">
        <v>11</v>
      </c>
      <c r="C198" s="17" t="s">
        <v>210</v>
      </c>
      <c r="D198" s="17" t="s">
        <v>13</v>
      </c>
      <c r="E198" s="17" t="s">
        <v>14</v>
      </c>
      <c r="F198" s="17" t="s">
        <v>13</v>
      </c>
      <c r="G198" s="17" t="s">
        <v>13</v>
      </c>
      <c r="H198" s="17" t="s">
        <v>15</v>
      </c>
      <c r="I198" s="4"/>
    </row>
    <row r="199">
      <c r="A199" s="16">
        <v>195.0</v>
      </c>
      <c r="B199" s="17" t="s">
        <v>11</v>
      </c>
      <c r="C199" s="17" t="s">
        <v>211</v>
      </c>
      <c r="D199" s="17" t="s">
        <v>13</v>
      </c>
      <c r="E199" s="17" t="s">
        <v>14</v>
      </c>
      <c r="F199" s="17" t="s">
        <v>13</v>
      </c>
      <c r="G199" s="17" t="s">
        <v>13</v>
      </c>
      <c r="H199" s="17" t="s">
        <v>15</v>
      </c>
      <c r="I199" s="4"/>
    </row>
    <row r="200">
      <c r="A200" s="16">
        <v>196.0</v>
      </c>
      <c r="B200" s="17" t="s">
        <v>11</v>
      </c>
      <c r="C200" s="17" t="s">
        <v>212</v>
      </c>
      <c r="D200" s="17" t="s">
        <v>13</v>
      </c>
      <c r="E200" s="17" t="s">
        <v>14</v>
      </c>
      <c r="F200" s="17" t="s">
        <v>13</v>
      </c>
      <c r="G200" s="17" t="s">
        <v>13</v>
      </c>
      <c r="H200" s="17" t="s">
        <v>15</v>
      </c>
      <c r="I200" s="4"/>
    </row>
    <row r="201">
      <c r="A201" s="16">
        <v>197.0</v>
      </c>
      <c r="B201" s="17" t="s">
        <v>11</v>
      </c>
      <c r="C201" s="17" t="s">
        <v>213</v>
      </c>
      <c r="D201" s="17" t="s">
        <v>13</v>
      </c>
      <c r="E201" s="17" t="s">
        <v>14</v>
      </c>
      <c r="F201" s="17" t="s">
        <v>13</v>
      </c>
      <c r="G201" s="17" t="s">
        <v>13</v>
      </c>
      <c r="H201" s="17" t="s">
        <v>15</v>
      </c>
      <c r="I201" s="4"/>
    </row>
    <row r="202">
      <c r="A202" s="16">
        <v>198.0</v>
      </c>
      <c r="B202" s="17" t="s">
        <v>11</v>
      </c>
      <c r="C202" s="17" t="s">
        <v>214</v>
      </c>
      <c r="D202" s="17" t="s">
        <v>13</v>
      </c>
      <c r="E202" s="17" t="s">
        <v>14</v>
      </c>
      <c r="F202" s="17" t="s">
        <v>13</v>
      </c>
      <c r="G202" s="17" t="s">
        <v>13</v>
      </c>
      <c r="H202" s="17" t="s">
        <v>15</v>
      </c>
      <c r="I202" s="4"/>
    </row>
    <row r="203">
      <c r="A203" s="16">
        <v>199.0</v>
      </c>
      <c r="B203" s="17" t="s">
        <v>11</v>
      </c>
      <c r="C203" s="17" t="s">
        <v>215</v>
      </c>
      <c r="D203" s="17" t="s">
        <v>13</v>
      </c>
      <c r="E203" s="17" t="s">
        <v>14</v>
      </c>
      <c r="F203" s="17" t="s">
        <v>13</v>
      </c>
      <c r="G203" s="17" t="s">
        <v>13</v>
      </c>
      <c r="H203" s="17" t="s">
        <v>15</v>
      </c>
      <c r="I203" s="4"/>
    </row>
    <row r="204">
      <c r="A204" s="16">
        <v>200.0</v>
      </c>
      <c r="B204" s="17" t="s">
        <v>11</v>
      </c>
      <c r="C204" s="17" t="s">
        <v>216</v>
      </c>
      <c r="D204" s="17" t="s">
        <v>13</v>
      </c>
      <c r="E204" s="17" t="s">
        <v>14</v>
      </c>
      <c r="F204" s="17" t="s">
        <v>13</v>
      </c>
      <c r="G204" s="17" t="s">
        <v>13</v>
      </c>
      <c r="H204" s="17" t="s">
        <v>15</v>
      </c>
      <c r="I204" s="4"/>
    </row>
    <row r="205">
      <c r="A205" s="16">
        <v>201.0</v>
      </c>
      <c r="B205" s="17" t="s">
        <v>11</v>
      </c>
      <c r="C205" s="17" t="s">
        <v>217</v>
      </c>
      <c r="D205" s="17" t="s">
        <v>13</v>
      </c>
      <c r="E205" s="17" t="s">
        <v>14</v>
      </c>
      <c r="F205" s="17" t="s">
        <v>13</v>
      </c>
      <c r="G205" s="17" t="s">
        <v>13</v>
      </c>
      <c r="H205" s="17" t="s">
        <v>15</v>
      </c>
      <c r="I205" s="4"/>
    </row>
    <row r="206">
      <c r="A206" s="16">
        <v>202.0</v>
      </c>
      <c r="B206" s="17" t="s">
        <v>11</v>
      </c>
      <c r="C206" s="17" t="s">
        <v>218</v>
      </c>
      <c r="D206" s="17" t="s">
        <v>13</v>
      </c>
      <c r="E206" s="17" t="s">
        <v>14</v>
      </c>
      <c r="F206" s="17" t="s">
        <v>13</v>
      </c>
      <c r="G206" s="17" t="s">
        <v>13</v>
      </c>
      <c r="H206" s="17" t="s">
        <v>15</v>
      </c>
      <c r="I206" s="4"/>
    </row>
    <row r="207">
      <c r="A207" s="16">
        <v>203.0</v>
      </c>
      <c r="B207" s="17" t="s">
        <v>11</v>
      </c>
      <c r="C207" s="17" t="s">
        <v>219</v>
      </c>
      <c r="D207" s="17" t="s">
        <v>13</v>
      </c>
      <c r="E207" s="17" t="s">
        <v>14</v>
      </c>
      <c r="F207" s="17" t="s">
        <v>13</v>
      </c>
      <c r="G207" s="17" t="s">
        <v>13</v>
      </c>
      <c r="H207" s="17" t="s">
        <v>15</v>
      </c>
      <c r="I207" s="4"/>
    </row>
    <row r="208">
      <c r="A208" s="16">
        <v>204.0</v>
      </c>
      <c r="B208" s="17" t="s">
        <v>11</v>
      </c>
      <c r="C208" s="17" t="s">
        <v>220</v>
      </c>
      <c r="D208" s="17" t="s">
        <v>13</v>
      </c>
      <c r="E208" s="17" t="s">
        <v>14</v>
      </c>
      <c r="F208" s="17" t="s">
        <v>13</v>
      </c>
      <c r="G208" s="17" t="s">
        <v>13</v>
      </c>
      <c r="H208" s="17" t="s">
        <v>15</v>
      </c>
      <c r="I208" s="4"/>
    </row>
    <row r="209">
      <c r="A209" s="16">
        <v>205.0</v>
      </c>
      <c r="B209" s="17" t="s">
        <v>11</v>
      </c>
      <c r="C209" s="17" t="s">
        <v>221</v>
      </c>
      <c r="D209" s="17" t="s">
        <v>13</v>
      </c>
      <c r="E209" s="17" t="s">
        <v>14</v>
      </c>
      <c r="F209" s="17" t="s">
        <v>13</v>
      </c>
      <c r="G209" s="17" t="s">
        <v>13</v>
      </c>
      <c r="H209" s="17" t="s">
        <v>15</v>
      </c>
      <c r="I209" s="4"/>
    </row>
    <row r="210">
      <c r="A210" s="16">
        <v>206.0</v>
      </c>
      <c r="B210" s="17" t="s">
        <v>11</v>
      </c>
      <c r="C210" s="17" t="s">
        <v>222</v>
      </c>
      <c r="D210" s="17" t="s">
        <v>13</v>
      </c>
      <c r="E210" s="17" t="s">
        <v>14</v>
      </c>
      <c r="F210" s="17" t="s">
        <v>13</v>
      </c>
      <c r="G210" s="17" t="s">
        <v>13</v>
      </c>
      <c r="H210" s="17" t="s">
        <v>15</v>
      </c>
      <c r="I210" s="4"/>
    </row>
    <row r="211">
      <c r="A211" s="16">
        <v>207.0</v>
      </c>
      <c r="B211" s="17" t="s">
        <v>11</v>
      </c>
      <c r="C211" s="17" t="s">
        <v>223</v>
      </c>
      <c r="D211" s="17" t="s">
        <v>13</v>
      </c>
      <c r="E211" s="17" t="s">
        <v>14</v>
      </c>
      <c r="F211" s="17" t="s">
        <v>13</v>
      </c>
      <c r="G211" s="17" t="s">
        <v>13</v>
      </c>
      <c r="H211" s="17" t="s">
        <v>15</v>
      </c>
      <c r="I211" s="4"/>
    </row>
    <row r="212">
      <c r="A212" s="16">
        <v>208.0</v>
      </c>
      <c r="B212" s="17" t="s">
        <v>11</v>
      </c>
      <c r="C212" s="17" t="s">
        <v>224</v>
      </c>
      <c r="D212" s="17" t="s">
        <v>13</v>
      </c>
      <c r="E212" s="17" t="s">
        <v>14</v>
      </c>
      <c r="F212" s="17" t="s">
        <v>13</v>
      </c>
      <c r="G212" s="17" t="s">
        <v>13</v>
      </c>
      <c r="H212" s="17" t="s">
        <v>15</v>
      </c>
      <c r="I212" s="4"/>
    </row>
    <row r="213">
      <c r="A213" s="16">
        <v>209.0</v>
      </c>
      <c r="B213" s="17" t="s">
        <v>11</v>
      </c>
      <c r="C213" s="17" t="s">
        <v>225</v>
      </c>
      <c r="D213" s="17" t="s">
        <v>13</v>
      </c>
      <c r="E213" s="17" t="s">
        <v>14</v>
      </c>
      <c r="F213" s="17" t="s">
        <v>13</v>
      </c>
      <c r="G213" s="17" t="s">
        <v>13</v>
      </c>
      <c r="H213" s="17" t="s">
        <v>15</v>
      </c>
      <c r="I213" s="4"/>
    </row>
    <row r="214">
      <c r="A214" s="16">
        <v>210.0</v>
      </c>
      <c r="B214" s="17" t="s">
        <v>11</v>
      </c>
      <c r="C214" s="17" t="s">
        <v>226</v>
      </c>
      <c r="D214" s="17" t="s">
        <v>13</v>
      </c>
      <c r="E214" s="17" t="s">
        <v>14</v>
      </c>
      <c r="F214" s="17" t="s">
        <v>13</v>
      </c>
      <c r="G214" s="17" t="s">
        <v>13</v>
      </c>
      <c r="H214" s="17" t="s">
        <v>15</v>
      </c>
      <c r="I214" s="4"/>
    </row>
    <row r="215">
      <c r="A215" s="16">
        <v>211.0</v>
      </c>
      <c r="B215" s="17" t="s">
        <v>11</v>
      </c>
      <c r="C215" s="17" t="s">
        <v>227</v>
      </c>
      <c r="D215" s="17" t="s">
        <v>13</v>
      </c>
      <c r="E215" s="17" t="s">
        <v>14</v>
      </c>
      <c r="F215" s="17" t="s">
        <v>13</v>
      </c>
      <c r="G215" s="17" t="s">
        <v>13</v>
      </c>
      <c r="H215" s="17" t="s">
        <v>15</v>
      </c>
      <c r="I215" s="4"/>
    </row>
    <row r="216">
      <c r="A216" s="16">
        <v>212.0</v>
      </c>
      <c r="B216" s="17" t="s">
        <v>11</v>
      </c>
      <c r="C216" s="17" t="s">
        <v>228</v>
      </c>
      <c r="D216" s="17" t="s">
        <v>13</v>
      </c>
      <c r="E216" s="17" t="s">
        <v>14</v>
      </c>
      <c r="F216" s="17" t="s">
        <v>13</v>
      </c>
      <c r="G216" s="17" t="s">
        <v>13</v>
      </c>
      <c r="H216" s="17" t="s">
        <v>15</v>
      </c>
      <c r="I216" s="4"/>
    </row>
    <row r="217">
      <c r="A217" s="16">
        <v>213.0</v>
      </c>
      <c r="B217" s="17" t="s">
        <v>11</v>
      </c>
      <c r="C217" s="17" t="s">
        <v>229</v>
      </c>
      <c r="D217" s="17" t="s">
        <v>13</v>
      </c>
      <c r="E217" s="17" t="s">
        <v>14</v>
      </c>
      <c r="F217" s="17" t="s">
        <v>13</v>
      </c>
      <c r="G217" s="17" t="s">
        <v>13</v>
      </c>
      <c r="H217" s="17" t="s">
        <v>15</v>
      </c>
      <c r="I217" s="4"/>
    </row>
    <row r="218">
      <c r="A218" s="16">
        <v>214.0</v>
      </c>
      <c r="B218" s="17" t="s">
        <v>11</v>
      </c>
      <c r="C218" s="17" t="s">
        <v>230</v>
      </c>
      <c r="D218" s="17" t="s">
        <v>13</v>
      </c>
      <c r="E218" s="17" t="s">
        <v>14</v>
      </c>
      <c r="F218" s="17" t="s">
        <v>13</v>
      </c>
      <c r="G218" s="17" t="s">
        <v>13</v>
      </c>
      <c r="H218" s="17" t="s">
        <v>15</v>
      </c>
      <c r="I218" s="4"/>
    </row>
    <row r="219">
      <c r="A219" s="16">
        <v>215.0</v>
      </c>
      <c r="B219" s="17" t="s">
        <v>11</v>
      </c>
      <c r="C219" s="17" t="s">
        <v>231</v>
      </c>
      <c r="D219" s="17" t="s">
        <v>13</v>
      </c>
      <c r="E219" s="17" t="s">
        <v>14</v>
      </c>
      <c r="F219" s="17" t="s">
        <v>13</v>
      </c>
      <c r="G219" s="17" t="s">
        <v>13</v>
      </c>
      <c r="H219" s="17" t="s">
        <v>15</v>
      </c>
      <c r="I219" s="4"/>
    </row>
    <row r="220">
      <c r="A220" s="16">
        <v>216.0</v>
      </c>
      <c r="B220" s="17" t="s">
        <v>11</v>
      </c>
      <c r="C220" s="17" t="s">
        <v>232</v>
      </c>
      <c r="D220" s="17" t="s">
        <v>13</v>
      </c>
      <c r="E220" s="17" t="s">
        <v>14</v>
      </c>
      <c r="F220" s="17" t="s">
        <v>13</v>
      </c>
      <c r="G220" s="17" t="s">
        <v>13</v>
      </c>
      <c r="H220" s="17" t="s">
        <v>15</v>
      </c>
      <c r="I220" s="4"/>
    </row>
    <row r="221">
      <c r="A221" s="16">
        <v>217.0</v>
      </c>
      <c r="B221" s="17" t="s">
        <v>11</v>
      </c>
      <c r="C221" s="17" t="s">
        <v>233</v>
      </c>
      <c r="D221" s="17" t="s">
        <v>13</v>
      </c>
      <c r="E221" s="17" t="s">
        <v>14</v>
      </c>
      <c r="F221" s="17" t="s">
        <v>13</v>
      </c>
      <c r="G221" s="17" t="s">
        <v>13</v>
      </c>
      <c r="H221" s="17" t="s">
        <v>15</v>
      </c>
      <c r="I221" s="4"/>
    </row>
    <row r="222">
      <c r="A222" s="16">
        <v>218.0</v>
      </c>
      <c r="B222" s="17" t="s">
        <v>11</v>
      </c>
      <c r="C222" s="17" t="s">
        <v>234</v>
      </c>
      <c r="D222" s="17" t="s">
        <v>13</v>
      </c>
      <c r="E222" s="17" t="s">
        <v>14</v>
      </c>
      <c r="F222" s="17" t="s">
        <v>13</v>
      </c>
      <c r="G222" s="17" t="s">
        <v>13</v>
      </c>
      <c r="H222" s="17" t="s">
        <v>15</v>
      </c>
      <c r="I222" s="4"/>
    </row>
    <row r="223">
      <c r="A223" s="16">
        <v>219.0</v>
      </c>
      <c r="B223" s="17" t="s">
        <v>11</v>
      </c>
      <c r="C223" s="17" t="s">
        <v>235</v>
      </c>
      <c r="D223" s="17" t="s">
        <v>13</v>
      </c>
      <c r="E223" s="17" t="s">
        <v>14</v>
      </c>
      <c r="F223" s="17" t="s">
        <v>13</v>
      </c>
      <c r="G223" s="17" t="s">
        <v>13</v>
      </c>
      <c r="H223" s="17" t="s">
        <v>15</v>
      </c>
      <c r="I223" s="4"/>
    </row>
    <row r="224">
      <c r="A224" s="16">
        <v>220.0</v>
      </c>
      <c r="B224" s="17" t="s">
        <v>11</v>
      </c>
      <c r="C224" s="17" t="s">
        <v>236</v>
      </c>
      <c r="D224" s="17" t="s">
        <v>13</v>
      </c>
      <c r="E224" s="17" t="s">
        <v>14</v>
      </c>
      <c r="F224" s="17" t="s">
        <v>13</v>
      </c>
      <c r="G224" s="17" t="s">
        <v>13</v>
      </c>
      <c r="H224" s="17" t="s">
        <v>15</v>
      </c>
      <c r="I224" s="4"/>
    </row>
    <row r="225">
      <c r="A225" s="16">
        <v>221.0</v>
      </c>
      <c r="B225" s="17" t="s">
        <v>11</v>
      </c>
      <c r="C225" s="17" t="s">
        <v>237</v>
      </c>
      <c r="D225" s="17" t="s">
        <v>13</v>
      </c>
      <c r="E225" s="17" t="s">
        <v>14</v>
      </c>
      <c r="F225" s="17" t="s">
        <v>13</v>
      </c>
      <c r="G225" s="17" t="s">
        <v>13</v>
      </c>
      <c r="H225" s="17" t="s">
        <v>15</v>
      </c>
      <c r="I225" s="4"/>
    </row>
    <row r="226">
      <c r="A226" s="16">
        <v>222.0</v>
      </c>
      <c r="B226" s="17" t="s">
        <v>11</v>
      </c>
      <c r="C226" s="17" t="s">
        <v>238</v>
      </c>
      <c r="D226" s="17" t="s">
        <v>13</v>
      </c>
      <c r="E226" s="17" t="s">
        <v>14</v>
      </c>
      <c r="F226" s="17" t="s">
        <v>13</v>
      </c>
      <c r="G226" s="17" t="s">
        <v>13</v>
      </c>
      <c r="H226" s="17" t="s">
        <v>15</v>
      </c>
      <c r="I226" s="4"/>
    </row>
    <row r="227">
      <c r="A227" s="16">
        <v>223.0</v>
      </c>
      <c r="B227" s="17" t="s">
        <v>11</v>
      </c>
      <c r="C227" s="17" t="s">
        <v>239</v>
      </c>
      <c r="D227" s="17" t="s">
        <v>13</v>
      </c>
      <c r="E227" s="17" t="s">
        <v>14</v>
      </c>
      <c r="F227" s="17" t="s">
        <v>13</v>
      </c>
      <c r="G227" s="17" t="s">
        <v>13</v>
      </c>
      <c r="H227" s="17" t="s">
        <v>15</v>
      </c>
      <c r="I227" s="4"/>
    </row>
    <row r="228">
      <c r="A228" s="16">
        <v>224.0</v>
      </c>
      <c r="B228" s="17" t="s">
        <v>11</v>
      </c>
      <c r="C228" s="17" t="s">
        <v>240</v>
      </c>
      <c r="D228" s="17" t="s">
        <v>13</v>
      </c>
      <c r="E228" s="17" t="s">
        <v>14</v>
      </c>
      <c r="F228" s="17" t="s">
        <v>13</v>
      </c>
      <c r="G228" s="17" t="s">
        <v>13</v>
      </c>
      <c r="H228" s="17" t="s">
        <v>15</v>
      </c>
      <c r="I228" s="4"/>
    </row>
    <row r="229">
      <c r="A229" s="16">
        <v>225.0</v>
      </c>
      <c r="B229" s="17" t="s">
        <v>11</v>
      </c>
      <c r="C229" s="17" t="s">
        <v>241</v>
      </c>
      <c r="D229" s="17" t="s">
        <v>13</v>
      </c>
      <c r="E229" s="17" t="s">
        <v>14</v>
      </c>
      <c r="F229" s="17" t="s">
        <v>13</v>
      </c>
      <c r="G229" s="17" t="s">
        <v>13</v>
      </c>
      <c r="H229" s="17" t="s">
        <v>15</v>
      </c>
      <c r="I229" s="4"/>
    </row>
    <row r="230">
      <c r="A230" s="16">
        <v>226.0</v>
      </c>
      <c r="B230" s="17" t="s">
        <v>11</v>
      </c>
      <c r="C230" s="17" t="s">
        <v>242</v>
      </c>
      <c r="D230" s="17" t="s">
        <v>13</v>
      </c>
      <c r="E230" s="17" t="s">
        <v>14</v>
      </c>
      <c r="F230" s="17" t="s">
        <v>13</v>
      </c>
      <c r="G230" s="17" t="s">
        <v>13</v>
      </c>
      <c r="H230" s="17" t="s">
        <v>15</v>
      </c>
      <c r="I230" s="4"/>
    </row>
    <row r="231">
      <c r="A231" s="16">
        <v>227.0</v>
      </c>
      <c r="B231" s="17" t="s">
        <v>11</v>
      </c>
      <c r="C231" s="17" t="s">
        <v>243</v>
      </c>
      <c r="D231" s="17" t="s">
        <v>13</v>
      </c>
      <c r="E231" s="17" t="s">
        <v>14</v>
      </c>
      <c r="F231" s="17" t="s">
        <v>13</v>
      </c>
      <c r="G231" s="17" t="s">
        <v>13</v>
      </c>
      <c r="H231" s="17" t="s">
        <v>15</v>
      </c>
      <c r="I231" s="4"/>
    </row>
    <row r="232">
      <c r="A232" s="16">
        <v>228.0</v>
      </c>
      <c r="B232" s="17" t="s">
        <v>11</v>
      </c>
      <c r="C232" s="17" t="s">
        <v>244</v>
      </c>
      <c r="D232" s="17" t="s">
        <v>13</v>
      </c>
      <c r="E232" s="17" t="s">
        <v>14</v>
      </c>
      <c r="F232" s="17" t="s">
        <v>13</v>
      </c>
      <c r="G232" s="17" t="s">
        <v>13</v>
      </c>
      <c r="H232" s="17" t="s">
        <v>15</v>
      </c>
      <c r="I232" s="4"/>
    </row>
    <row r="233">
      <c r="A233" s="16">
        <v>229.0</v>
      </c>
      <c r="B233" s="17" t="s">
        <v>11</v>
      </c>
      <c r="C233" s="17" t="s">
        <v>245</v>
      </c>
      <c r="D233" s="17" t="s">
        <v>13</v>
      </c>
      <c r="E233" s="17" t="s">
        <v>14</v>
      </c>
      <c r="F233" s="17" t="s">
        <v>13</v>
      </c>
      <c r="G233" s="17" t="s">
        <v>13</v>
      </c>
      <c r="H233" s="17" t="s">
        <v>15</v>
      </c>
      <c r="I233" s="4"/>
    </row>
    <row r="234">
      <c r="A234" s="16">
        <v>230.0</v>
      </c>
      <c r="B234" s="17" t="s">
        <v>11</v>
      </c>
      <c r="C234" s="17" t="s">
        <v>246</v>
      </c>
      <c r="D234" s="17" t="s">
        <v>13</v>
      </c>
      <c r="E234" s="17" t="s">
        <v>14</v>
      </c>
      <c r="F234" s="17" t="s">
        <v>13</v>
      </c>
      <c r="G234" s="17" t="s">
        <v>13</v>
      </c>
      <c r="H234" s="17" t="s">
        <v>15</v>
      </c>
      <c r="I234" s="4"/>
    </row>
    <row r="235">
      <c r="A235" s="16">
        <v>231.0</v>
      </c>
      <c r="B235" s="17" t="s">
        <v>11</v>
      </c>
      <c r="C235" s="17" t="s">
        <v>247</v>
      </c>
      <c r="D235" s="17" t="s">
        <v>13</v>
      </c>
      <c r="E235" s="17" t="s">
        <v>14</v>
      </c>
      <c r="F235" s="17" t="s">
        <v>13</v>
      </c>
      <c r="G235" s="17" t="s">
        <v>13</v>
      </c>
      <c r="H235" s="17" t="s">
        <v>15</v>
      </c>
      <c r="I235" s="4"/>
    </row>
    <row r="236">
      <c r="A236" s="16">
        <v>232.0</v>
      </c>
      <c r="B236" s="17" t="s">
        <v>11</v>
      </c>
      <c r="C236" s="17" t="s">
        <v>248</v>
      </c>
      <c r="D236" s="17" t="s">
        <v>13</v>
      </c>
      <c r="E236" s="17" t="s">
        <v>14</v>
      </c>
      <c r="F236" s="17" t="s">
        <v>13</v>
      </c>
      <c r="G236" s="17" t="s">
        <v>13</v>
      </c>
      <c r="H236" s="17" t="s">
        <v>15</v>
      </c>
      <c r="I236" s="4"/>
    </row>
    <row r="237">
      <c r="A237" s="16">
        <v>233.0</v>
      </c>
      <c r="B237" s="17" t="s">
        <v>11</v>
      </c>
      <c r="C237" s="17" t="s">
        <v>249</v>
      </c>
      <c r="D237" s="17" t="s">
        <v>13</v>
      </c>
      <c r="E237" s="17" t="s">
        <v>14</v>
      </c>
      <c r="F237" s="17" t="s">
        <v>13</v>
      </c>
      <c r="G237" s="17" t="s">
        <v>13</v>
      </c>
      <c r="H237" s="17" t="s">
        <v>15</v>
      </c>
      <c r="I237" s="4"/>
    </row>
    <row r="238">
      <c r="A238" s="16">
        <v>234.0</v>
      </c>
      <c r="B238" s="17" t="s">
        <v>11</v>
      </c>
      <c r="C238" s="17" t="s">
        <v>250</v>
      </c>
      <c r="D238" s="17" t="s">
        <v>13</v>
      </c>
      <c r="E238" s="17" t="s">
        <v>14</v>
      </c>
      <c r="F238" s="17" t="s">
        <v>13</v>
      </c>
      <c r="G238" s="17" t="s">
        <v>13</v>
      </c>
      <c r="H238" s="17" t="s">
        <v>15</v>
      </c>
      <c r="I238" s="4"/>
    </row>
    <row r="239">
      <c r="A239" s="16">
        <v>235.0</v>
      </c>
      <c r="B239" s="17" t="s">
        <v>11</v>
      </c>
      <c r="C239" s="17" t="s">
        <v>251</v>
      </c>
      <c r="D239" s="17" t="s">
        <v>13</v>
      </c>
      <c r="E239" s="17" t="s">
        <v>14</v>
      </c>
      <c r="F239" s="17" t="s">
        <v>13</v>
      </c>
      <c r="G239" s="17" t="s">
        <v>13</v>
      </c>
      <c r="H239" s="17" t="s">
        <v>15</v>
      </c>
      <c r="I239" s="4"/>
    </row>
    <row r="240">
      <c r="A240" s="16">
        <v>236.0</v>
      </c>
      <c r="B240" s="17" t="s">
        <v>11</v>
      </c>
      <c r="C240" s="17" t="s">
        <v>252</v>
      </c>
      <c r="D240" s="17" t="s">
        <v>13</v>
      </c>
      <c r="E240" s="17" t="s">
        <v>14</v>
      </c>
      <c r="F240" s="17" t="s">
        <v>13</v>
      </c>
      <c r="G240" s="17" t="s">
        <v>13</v>
      </c>
      <c r="H240" s="17" t="s">
        <v>15</v>
      </c>
      <c r="I240" s="4"/>
    </row>
    <row r="241">
      <c r="A241" s="16">
        <v>237.0</v>
      </c>
      <c r="B241" s="17" t="s">
        <v>253</v>
      </c>
      <c r="C241" s="17" t="s">
        <v>254</v>
      </c>
      <c r="D241" s="17" t="s">
        <v>13</v>
      </c>
      <c r="E241" s="17" t="s">
        <v>13</v>
      </c>
      <c r="F241" s="17" t="s">
        <v>13</v>
      </c>
      <c r="G241" s="17" t="s">
        <v>13</v>
      </c>
      <c r="H241" s="17" t="s">
        <v>13</v>
      </c>
      <c r="I241" s="4"/>
    </row>
    <row r="242">
      <c r="A242" s="16">
        <v>238.0</v>
      </c>
      <c r="B242" s="17" t="s">
        <v>253</v>
      </c>
      <c r="C242" s="17" t="s">
        <v>255</v>
      </c>
      <c r="D242" s="17" t="s">
        <v>13</v>
      </c>
      <c r="E242" s="17" t="s">
        <v>13</v>
      </c>
      <c r="F242" s="17" t="s">
        <v>13</v>
      </c>
      <c r="G242" s="17" t="s">
        <v>13</v>
      </c>
      <c r="H242" s="17" t="s">
        <v>13</v>
      </c>
      <c r="I242" s="4"/>
    </row>
    <row r="243">
      <c r="A243" s="16">
        <v>239.0</v>
      </c>
      <c r="B243" s="17" t="s">
        <v>253</v>
      </c>
      <c r="C243" s="17" t="s">
        <v>256</v>
      </c>
      <c r="D243" s="17" t="s">
        <v>13</v>
      </c>
      <c r="E243" s="17" t="s">
        <v>13</v>
      </c>
      <c r="F243" s="17" t="s">
        <v>13</v>
      </c>
      <c r="G243" s="17" t="s">
        <v>13</v>
      </c>
      <c r="H243" s="17" t="s">
        <v>13</v>
      </c>
      <c r="I243" s="4"/>
    </row>
    <row r="244">
      <c r="A244" s="16">
        <v>240.0</v>
      </c>
      <c r="B244" s="17" t="s">
        <v>253</v>
      </c>
      <c r="C244" s="17" t="s">
        <v>257</v>
      </c>
      <c r="D244" s="17" t="s">
        <v>13</v>
      </c>
      <c r="E244" s="17" t="s">
        <v>13</v>
      </c>
      <c r="F244" s="17" t="s">
        <v>13</v>
      </c>
      <c r="G244" s="17" t="s">
        <v>13</v>
      </c>
      <c r="H244" s="17" t="s">
        <v>13</v>
      </c>
      <c r="I244" s="4"/>
    </row>
    <row r="245">
      <c r="A245" s="16">
        <v>241.0</v>
      </c>
      <c r="B245" s="17" t="s">
        <v>253</v>
      </c>
      <c r="C245" s="17" t="s">
        <v>258</v>
      </c>
      <c r="D245" s="17" t="s">
        <v>13</v>
      </c>
      <c r="E245" s="17" t="s">
        <v>13</v>
      </c>
      <c r="F245" s="17" t="s">
        <v>13</v>
      </c>
      <c r="G245" s="17" t="s">
        <v>13</v>
      </c>
      <c r="H245" s="17" t="s">
        <v>13</v>
      </c>
      <c r="I245" s="4"/>
    </row>
    <row r="246">
      <c r="A246" s="16">
        <v>242.0</v>
      </c>
      <c r="B246" s="17" t="s">
        <v>253</v>
      </c>
      <c r="C246" s="17" t="s">
        <v>259</v>
      </c>
      <c r="D246" s="17" t="s">
        <v>13</v>
      </c>
      <c r="E246" s="17" t="s">
        <v>13</v>
      </c>
      <c r="F246" s="17" t="s">
        <v>13</v>
      </c>
      <c r="G246" s="17" t="s">
        <v>13</v>
      </c>
      <c r="H246" s="17" t="s">
        <v>13</v>
      </c>
      <c r="I246" s="4"/>
    </row>
    <row r="247">
      <c r="A247" s="16">
        <v>243.0</v>
      </c>
      <c r="B247" s="17" t="s">
        <v>253</v>
      </c>
      <c r="C247" s="17" t="s">
        <v>260</v>
      </c>
      <c r="D247" s="17" t="s">
        <v>13</v>
      </c>
      <c r="E247" s="17" t="s">
        <v>13</v>
      </c>
      <c r="F247" s="17" t="s">
        <v>13</v>
      </c>
      <c r="G247" s="17" t="s">
        <v>13</v>
      </c>
      <c r="H247" s="17" t="s">
        <v>13</v>
      </c>
      <c r="I247" s="4"/>
    </row>
    <row r="248">
      <c r="A248" s="16">
        <v>244.0</v>
      </c>
      <c r="B248" s="17" t="s">
        <v>253</v>
      </c>
      <c r="C248" s="17" t="s">
        <v>261</v>
      </c>
      <c r="D248" s="17" t="s">
        <v>13</v>
      </c>
      <c r="E248" s="17" t="s">
        <v>13</v>
      </c>
      <c r="F248" s="17" t="s">
        <v>13</v>
      </c>
      <c r="G248" s="17" t="s">
        <v>13</v>
      </c>
      <c r="H248" s="17" t="s">
        <v>13</v>
      </c>
      <c r="I248" s="4"/>
    </row>
    <row r="249">
      <c r="A249" s="16">
        <v>245.0</v>
      </c>
      <c r="B249" s="17" t="s">
        <v>253</v>
      </c>
      <c r="C249" s="17" t="s">
        <v>262</v>
      </c>
      <c r="D249" s="17" t="s">
        <v>13</v>
      </c>
      <c r="E249" s="17" t="s">
        <v>13</v>
      </c>
      <c r="F249" s="17" t="s">
        <v>13</v>
      </c>
      <c r="G249" s="17" t="s">
        <v>13</v>
      </c>
      <c r="H249" s="17" t="s">
        <v>13</v>
      </c>
      <c r="I249" s="4"/>
    </row>
    <row r="250">
      <c r="A250" s="16">
        <v>246.0</v>
      </c>
      <c r="B250" s="17" t="s">
        <v>253</v>
      </c>
      <c r="C250" s="17" t="s">
        <v>263</v>
      </c>
      <c r="D250" s="17" t="s">
        <v>13</v>
      </c>
      <c r="E250" s="17" t="s">
        <v>13</v>
      </c>
      <c r="F250" s="17" t="s">
        <v>13</v>
      </c>
      <c r="G250" s="17" t="s">
        <v>13</v>
      </c>
      <c r="H250" s="17" t="s">
        <v>13</v>
      </c>
      <c r="I250" s="4"/>
    </row>
    <row r="251">
      <c r="A251" s="16">
        <v>247.0</v>
      </c>
      <c r="B251" s="17" t="s">
        <v>253</v>
      </c>
      <c r="C251" s="17" t="s">
        <v>264</v>
      </c>
      <c r="D251" s="17" t="s">
        <v>13</v>
      </c>
      <c r="E251" s="17" t="s">
        <v>13</v>
      </c>
      <c r="F251" s="17" t="s">
        <v>13</v>
      </c>
      <c r="G251" s="17" t="s">
        <v>13</v>
      </c>
      <c r="H251" s="17" t="s">
        <v>13</v>
      </c>
      <c r="I251" s="4"/>
    </row>
    <row r="252">
      <c r="A252" s="16">
        <v>248.0</v>
      </c>
      <c r="B252" s="17" t="s">
        <v>253</v>
      </c>
      <c r="C252" s="17" t="s">
        <v>265</v>
      </c>
      <c r="D252" s="17" t="s">
        <v>13</v>
      </c>
      <c r="E252" s="17" t="s">
        <v>13</v>
      </c>
      <c r="F252" s="17" t="s">
        <v>13</v>
      </c>
      <c r="G252" s="17" t="s">
        <v>13</v>
      </c>
      <c r="H252" s="17" t="s">
        <v>13</v>
      </c>
      <c r="I252" s="4"/>
    </row>
    <row r="253">
      <c r="A253" s="16">
        <v>249.0</v>
      </c>
      <c r="B253" s="17" t="s">
        <v>253</v>
      </c>
      <c r="C253" s="17" t="s">
        <v>266</v>
      </c>
      <c r="D253" s="17" t="s">
        <v>13</v>
      </c>
      <c r="E253" s="17" t="s">
        <v>13</v>
      </c>
      <c r="F253" s="17" t="s">
        <v>13</v>
      </c>
      <c r="G253" s="17" t="s">
        <v>13</v>
      </c>
      <c r="H253" s="17" t="s">
        <v>13</v>
      </c>
      <c r="I253" s="4"/>
    </row>
    <row r="254">
      <c r="A254" s="16">
        <v>250.0</v>
      </c>
      <c r="B254" s="17" t="s">
        <v>253</v>
      </c>
      <c r="C254" s="17" t="s">
        <v>267</v>
      </c>
      <c r="D254" s="17" t="s">
        <v>13</v>
      </c>
      <c r="E254" s="17" t="s">
        <v>13</v>
      </c>
      <c r="F254" s="17" t="s">
        <v>13</v>
      </c>
      <c r="G254" s="17" t="s">
        <v>13</v>
      </c>
      <c r="H254" s="17" t="s">
        <v>13</v>
      </c>
      <c r="I254" s="4"/>
    </row>
    <row r="255">
      <c r="A255" s="16">
        <v>251.0</v>
      </c>
      <c r="B255" s="17" t="s">
        <v>253</v>
      </c>
      <c r="C255" s="17" t="s">
        <v>268</v>
      </c>
      <c r="D255" s="17" t="s">
        <v>13</v>
      </c>
      <c r="E255" s="17" t="s">
        <v>13</v>
      </c>
      <c r="F255" s="17" t="s">
        <v>13</v>
      </c>
      <c r="G255" s="17" t="s">
        <v>13</v>
      </c>
      <c r="H255" s="17" t="s">
        <v>13</v>
      </c>
      <c r="I255" s="4"/>
    </row>
    <row r="256">
      <c r="A256" s="16">
        <v>252.0</v>
      </c>
      <c r="B256" s="17" t="s">
        <v>253</v>
      </c>
      <c r="C256" s="17" t="s">
        <v>268</v>
      </c>
      <c r="D256" s="17" t="s">
        <v>13</v>
      </c>
      <c r="E256" s="17" t="s">
        <v>13</v>
      </c>
      <c r="F256" s="17" t="s">
        <v>13</v>
      </c>
      <c r="G256" s="17" t="s">
        <v>13</v>
      </c>
      <c r="H256" s="17" t="s">
        <v>13</v>
      </c>
      <c r="I256" s="4"/>
    </row>
    <row r="257">
      <c r="A257" s="16">
        <v>253.0</v>
      </c>
      <c r="B257" s="17" t="s">
        <v>253</v>
      </c>
      <c r="C257" s="17" t="s">
        <v>269</v>
      </c>
      <c r="D257" s="17" t="s">
        <v>13</v>
      </c>
      <c r="E257" s="17" t="s">
        <v>13</v>
      </c>
      <c r="F257" s="17" t="s">
        <v>13</v>
      </c>
      <c r="G257" s="17" t="s">
        <v>13</v>
      </c>
      <c r="H257" s="17" t="s">
        <v>13</v>
      </c>
      <c r="I257" s="4"/>
    </row>
    <row r="258">
      <c r="A258" s="16">
        <v>254.0</v>
      </c>
      <c r="B258" s="17" t="s">
        <v>253</v>
      </c>
      <c r="C258" s="17" t="s">
        <v>270</v>
      </c>
      <c r="D258" s="17" t="s">
        <v>13</v>
      </c>
      <c r="E258" s="17" t="s">
        <v>13</v>
      </c>
      <c r="F258" s="17" t="s">
        <v>13</v>
      </c>
      <c r="G258" s="17" t="s">
        <v>13</v>
      </c>
      <c r="H258" s="17" t="s">
        <v>13</v>
      </c>
      <c r="I258" s="4"/>
    </row>
    <row r="259">
      <c r="A259" s="16">
        <v>255.0</v>
      </c>
      <c r="B259" s="17" t="s">
        <v>253</v>
      </c>
      <c r="C259" s="17" t="s">
        <v>271</v>
      </c>
      <c r="D259" s="17" t="s">
        <v>13</v>
      </c>
      <c r="E259" s="17" t="s">
        <v>13</v>
      </c>
      <c r="F259" s="17" t="s">
        <v>13</v>
      </c>
      <c r="G259" s="17" t="s">
        <v>13</v>
      </c>
      <c r="H259" s="17" t="s">
        <v>13</v>
      </c>
      <c r="I259" s="4"/>
    </row>
    <row r="260">
      <c r="A260" s="16">
        <v>256.0</v>
      </c>
      <c r="B260" s="17" t="s">
        <v>253</v>
      </c>
      <c r="C260" s="17" t="s">
        <v>272</v>
      </c>
      <c r="D260" s="17" t="s">
        <v>13</v>
      </c>
      <c r="E260" s="17" t="s">
        <v>13</v>
      </c>
      <c r="F260" s="17" t="s">
        <v>13</v>
      </c>
      <c r="G260" s="17" t="s">
        <v>13</v>
      </c>
      <c r="H260" s="17" t="s">
        <v>13</v>
      </c>
      <c r="I260" s="4"/>
    </row>
    <row r="261">
      <c r="A261" s="16">
        <v>257.0</v>
      </c>
      <c r="B261" s="17" t="s">
        <v>253</v>
      </c>
      <c r="C261" s="17" t="s">
        <v>273</v>
      </c>
      <c r="D261" s="17" t="s">
        <v>13</v>
      </c>
      <c r="E261" s="17" t="s">
        <v>13</v>
      </c>
      <c r="F261" s="17" t="s">
        <v>13</v>
      </c>
      <c r="G261" s="17" t="s">
        <v>13</v>
      </c>
      <c r="H261" s="17" t="s">
        <v>13</v>
      </c>
      <c r="I261" s="4"/>
    </row>
    <row r="262">
      <c r="A262" s="16">
        <v>258.0</v>
      </c>
      <c r="B262" s="17" t="s">
        <v>253</v>
      </c>
      <c r="C262" s="17" t="s">
        <v>274</v>
      </c>
      <c r="D262" s="17" t="s">
        <v>13</v>
      </c>
      <c r="E262" s="17" t="s">
        <v>13</v>
      </c>
      <c r="F262" s="17" t="s">
        <v>13</v>
      </c>
      <c r="G262" s="17" t="s">
        <v>13</v>
      </c>
      <c r="H262" s="17" t="s">
        <v>13</v>
      </c>
      <c r="I262" s="4"/>
    </row>
    <row r="263">
      <c r="A263" s="16">
        <v>259.0</v>
      </c>
      <c r="B263" s="17" t="s">
        <v>253</v>
      </c>
      <c r="C263" s="17" t="s">
        <v>275</v>
      </c>
      <c r="D263" s="17" t="s">
        <v>13</v>
      </c>
      <c r="E263" s="17" t="s">
        <v>13</v>
      </c>
      <c r="F263" s="17" t="s">
        <v>13</v>
      </c>
      <c r="G263" s="17" t="s">
        <v>13</v>
      </c>
      <c r="H263" s="17" t="s">
        <v>13</v>
      </c>
      <c r="I263" s="4"/>
    </row>
    <row r="264">
      <c r="A264" s="16">
        <v>260.0</v>
      </c>
      <c r="B264" s="17" t="s">
        <v>253</v>
      </c>
      <c r="C264" s="17" t="s">
        <v>276</v>
      </c>
      <c r="D264" s="17" t="s">
        <v>13</v>
      </c>
      <c r="E264" s="17" t="s">
        <v>13</v>
      </c>
      <c r="F264" s="17" t="s">
        <v>13</v>
      </c>
      <c r="G264" s="17" t="s">
        <v>13</v>
      </c>
      <c r="H264" s="17" t="s">
        <v>13</v>
      </c>
      <c r="I264" s="4"/>
    </row>
    <row r="265">
      <c r="A265" s="16">
        <v>261.0</v>
      </c>
      <c r="B265" s="17" t="s">
        <v>253</v>
      </c>
      <c r="C265" s="17" t="s">
        <v>277</v>
      </c>
      <c r="D265" s="17" t="s">
        <v>13</v>
      </c>
      <c r="E265" s="17" t="s">
        <v>13</v>
      </c>
      <c r="F265" s="17" t="s">
        <v>13</v>
      </c>
      <c r="G265" s="17" t="s">
        <v>13</v>
      </c>
      <c r="H265" s="17" t="s">
        <v>13</v>
      </c>
      <c r="I265" s="4"/>
    </row>
    <row r="266">
      <c r="A266" s="16">
        <v>262.0</v>
      </c>
      <c r="B266" s="17" t="s">
        <v>253</v>
      </c>
      <c r="C266" s="17" t="s">
        <v>278</v>
      </c>
      <c r="D266" s="17" t="s">
        <v>13</v>
      </c>
      <c r="E266" s="17" t="s">
        <v>13</v>
      </c>
      <c r="F266" s="17" t="s">
        <v>13</v>
      </c>
      <c r="G266" s="17" t="s">
        <v>13</v>
      </c>
      <c r="H266" s="17" t="s">
        <v>13</v>
      </c>
      <c r="I266" s="4"/>
    </row>
    <row r="267">
      <c r="A267" s="16">
        <v>263.0</v>
      </c>
      <c r="B267" s="17" t="s">
        <v>253</v>
      </c>
      <c r="C267" s="17" t="s">
        <v>279</v>
      </c>
      <c r="D267" s="17" t="s">
        <v>13</v>
      </c>
      <c r="E267" s="17" t="s">
        <v>13</v>
      </c>
      <c r="F267" s="17" t="s">
        <v>13</v>
      </c>
      <c r="G267" s="17" t="s">
        <v>13</v>
      </c>
      <c r="H267" s="17" t="s">
        <v>13</v>
      </c>
      <c r="I267" s="4"/>
    </row>
    <row r="268">
      <c r="A268" s="16">
        <v>264.0</v>
      </c>
      <c r="B268" s="17" t="s">
        <v>253</v>
      </c>
      <c r="C268" s="17" t="s">
        <v>280</v>
      </c>
      <c r="D268" s="17" t="s">
        <v>13</v>
      </c>
      <c r="E268" s="17" t="s">
        <v>13</v>
      </c>
      <c r="F268" s="17" t="s">
        <v>13</v>
      </c>
      <c r="G268" s="17" t="s">
        <v>13</v>
      </c>
      <c r="H268" s="17" t="s">
        <v>13</v>
      </c>
      <c r="I268" s="4"/>
    </row>
    <row r="269">
      <c r="A269" s="16">
        <v>265.0</v>
      </c>
      <c r="B269" s="17" t="s">
        <v>253</v>
      </c>
      <c r="C269" s="17" t="s">
        <v>281</v>
      </c>
      <c r="D269" s="17" t="s">
        <v>13</v>
      </c>
      <c r="E269" s="17" t="s">
        <v>13</v>
      </c>
      <c r="F269" s="17" t="s">
        <v>13</v>
      </c>
      <c r="G269" s="17" t="s">
        <v>13</v>
      </c>
      <c r="H269" s="17" t="s">
        <v>13</v>
      </c>
      <c r="I269" s="4"/>
    </row>
    <row r="270">
      <c r="A270" s="16">
        <v>266.0</v>
      </c>
      <c r="B270" s="17" t="s">
        <v>253</v>
      </c>
      <c r="C270" s="17" t="s">
        <v>282</v>
      </c>
      <c r="D270" s="17" t="s">
        <v>13</v>
      </c>
      <c r="E270" s="17" t="s">
        <v>13</v>
      </c>
      <c r="F270" s="17" t="s">
        <v>13</v>
      </c>
      <c r="G270" s="17" t="s">
        <v>13</v>
      </c>
      <c r="H270" s="17" t="s">
        <v>13</v>
      </c>
      <c r="I270" s="4"/>
    </row>
    <row r="271">
      <c r="A271" s="16">
        <v>267.0</v>
      </c>
      <c r="B271" s="17" t="s">
        <v>253</v>
      </c>
      <c r="C271" s="17" t="s">
        <v>283</v>
      </c>
      <c r="D271" s="17" t="s">
        <v>13</v>
      </c>
      <c r="E271" s="17" t="s">
        <v>13</v>
      </c>
      <c r="F271" s="17" t="s">
        <v>13</v>
      </c>
      <c r="G271" s="17" t="s">
        <v>13</v>
      </c>
      <c r="H271" s="17" t="s">
        <v>13</v>
      </c>
      <c r="I271" s="4"/>
    </row>
    <row r="272">
      <c r="A272" s="16">
        <v>268.0</v>
      </c>
      <c r="B272" s="17" t="s">
        <v>253</v>
      </c>
      <c r="C272" s="17" t="s">
        <v>284</v>
      </c>
      <c r="D272" s="17" t="s">
        <v>13</v>
      </c>
      <c r="E272" s="17" t="s">
        <v>13</v>
      </c>
      <c r="F272" s="17" t="s">
        <v>13</v>
      </c>
      <c r="G272" s="17" t="s">
        <v>13</v>
      </c>
      <c r="H272" s="17" t="s">
        <v>13</v>
      </c>
      <c r="I272" s="4"/>
    </row>
    <row r="273">
      <c r="A273" s="16">
        <v>269.0</v>
      </c>
      <c r="B273" s="17" t="s">
        <v>253</v>
      </c>
      <c r="C273" s="17" t="s">
        <v>285</v>
      </c>
      <c r="D273" s="17" t="s">
        <v>13</v>
      </c>
      <c r="E273" s="17" t="s">
        <v>13</v>
      </c>
      <c r="F273" s="17" t="s">
        <v>13</v>
      </c>
      <c r="G273" s="17" t="s">
        <v>13</v>
      </c>
      <c r="H273" s="17" t="s">
        <v>13</v>
      </c>
      <c r="I273" s="4"/>
    </row>
    <row r="274">
      <c r="A274" s="16">
        <v>270.0</v>
      </c>
      <c r="B274" s="17" t="s">
        <v>253</v>
      </c>
      <c r="C274" s="17" t="s">
        <v>286</v>
      </c>
      <c r="D274" s="17" t="s">
        <v>13</v>
      </c>
      <c r="E274" s="17" t="s">
        <v>13</v>
      </c>
      <c r="F274" s="17" t="s">
        <v>13</v>
      </c>
      <c r="G274" s="17" t="s">
        <v>13</v>
      </c>
      <c r="H274" s="17" t="s">
        <v>13</v>
      </c>
      <c r="I274" s="4"/>
    </row>
    <row r="275">
      <c r="A275" s="16">
        <v>271.0</v>
      </c>
      <c r="B275" s="17" t="s">
        <v>253</v>
      </c>
      <c r="C275" s="17" t="s">
        <v>287</v>
      </c>
      <c r="D275" s="17" t="s">
        <v>13</v>
      </c>
      <c r="E275" s="17" t="s">
        <v>13</v>
      </c>
      <c r="F275" s="17" t="s">
        <v>13</v>
      </c>
      <c r="G275" s="17" t="s">
        <v>13</v>
      </c>
      <c r="H275" s="17" t="s">
        <v>13</v>
      </c>
      <c r="I275" s="4"/>
    </row>
    <row r="276">
      <c r="A276" s="16">
        <v>272.0</v>
      </c>
      <c r="B276" s="17" t="s">
        <v>253</v>
      </c>
      <c r="C276" s="17" t="s">
        <v>288</v>
      </c>
      <c r="D276" s="17" t="s">
        <v>13</v>
      </c>
      <c r="E276" s="17" t="s">
        <v>13</v>
      </c>
      <c r="F276" s="17" t="s">
        <v>13</v>
      </c>
      <c r="G276" s="17" t="s">
        <v>13</v>
      </c>
      <c r="H276" s="17" t="s">
        <v>13</v>
      </c>
      <c r="I276" s="4"/>
    </row>
    <row r="277">
      <c r="A277" s="16">
        <v>273.0</v>
      </c>
      <c r="B277" s="17" t="s">
        <v>289</v>
      </c>
      <c r="C277" s="17" t="s">
        <v>290</v>
      </c>
      <c r="D277" s="17">
        <v>88.0</v>
      </c>
      <c r="E277" s="17" t="s">
        <v>291</v>
      </c>
      <c r="F277" s="17" t="s">
        <v>13</v>
      </c>
      <c r="G277" s="17" t="s">
        <v>13</v>
      </c>
      <c r="H277" s="17" t="s">
        <v>15</v>
      </c>
      <c r="I277" s="4"/>
    </row>
    <row r="278">
      <c r="A278" s="16">
        <v>274.0</v>
      </c>
      <c r="B278" s="17" t="s">
        <v>289</v>
      </c>
      <c r="C278" s="17" t="s">
        <v>292</v>
      </c>
      <c r="D278" s="17">
        <v>32.0</v>
      </c>
      <c r="E278" s="17" t="s">
        <v>13</v>
      </c>
      <c r="F278" s="17">
        <v>2.2262602E7</v>
      </c>
      <c r="G278" s="17" t="s">
        <v>293</v>
      </c>
      <c r="H278" s="17" t="s">
        <v>13</v>
      </c>
      <c r="I278" s="4"/>
    </row>
    <row r="279">
      <c r="A279" s="16">
        <v>275.0</v>
      </c>
      <c r="B279" s="17" t="s">
        <v>289</v>
      </c>
      <c r="C279" s="17" t="s">
        <v>294</v>
      </c>
      <c r="D279" s="17">
        <v>51.0</v>
      </c>
      <c r="E279" s="17" t="s">
        <v>13</v>
      </c>
      <c r="F279" s="17">
        <v>1.206737E7</v>
      </c>
      <c r="G279" s="17" t="s">
        <v>295</v>
      </c>
      <c r="H279" s="17" t="s">
        <v>13</v>
      </c>
      <c r="I279" s="4"/>
    </row>
    <row r="280">
      <c r="A280" s="16">
        <v>276.0</v>
      </c>
      <c r="B280" s="17" t="s">
        <v>289</v>
      </c>
      <c r="C280" s="17" t="s">
        <v>296</v>
      </c>
      <c r="D280" s="17">
        <v>51.0</v>
      </c>
      <c r="E280" s="17" t="s">
        <v>14</v>
      </c>
      <c r="F280" s="17" t="s">
        <v>13</v>
      </c>
      <c r="G280" s="17" t="s">
        <v>13</v>
      </c>
      <c r="H280" s="17" t="s">
        <v>15</v>
      </c>
      <c r="I280" s="4"/>
    </row>
    <row r="281">
      <c r="A281" s="16">
        <v>277.0</v>
      </c>
      <c r="B281" s="17" t="s">
        <v>289</v>
      </c>
      <c r="C281" s="17" t="s">
        <v>297</v>
      </c>
      <c r="D281" s="17">
        <v>74.0</v>
      </c>
      <c r="E281" s="17" t="s">
        <v>13</v>
      </c>
      <c r="F281" s="17" t="s">
        <v>13</v>
      </c>
      <c r="G281" s="17" t="s">
        <v>295</v>
      </c>
      <c r="H281" s="17" t="s">
        <v>13</v>
      </c>
      <c r="I281" s="4"/>
    </row>
    <row r="282">
      <c r="A282" s="16">
        <v>278.0</v>
      </c>
      <c r="B282" s="17" t="s">
        <v>289</v>
      </c>
      <c r="C282" s="17" t="s">
        <v>298</v>
      </c>
      <c r="D282" s="17">
        <v>43.0</v>
      </c>
      <c r="E282" s="17" t="s">
        <v>13</v>
      </c>
      <c r="F282" s="17" t="s">
        <v>13</v>
      </c>
      <c r="G282" s="17" t="s">
        <v>299</v>
      </c>
      <c r="H282" s="17" t="s">
        <v>13</v>
      </c>
      <c r="I282" s="4"/>
    </row>
    <row r="283">
      <c r="A283" s="16">
        <v>279.0</v>
      </c>
      <c r="B283" s="17" t="s">
        <v>289</v>
      </c>
      <c r="C283" s="17" t="s">
        <v>300</v>
      </c>
      <c r="D283" s="17">
        <v>63.0</v>
      </c>
      <c r="E283" s="17" t="s">
        <v>13</v>
      </c>
      <c r="F283" s="17" t="s">
        <v>13</v>
      </c>
      <c r="G283" s="17" t="s">
        <v>301</v>
      </c>
      <c r="H283" s="17" t="s">
        <v>13</v>
      </c>
      <c r="I283" s="4"/>
    </row>
    <row r="284">
      <c r="A284" s="16">
        <v>280.0</v>
      </c>
      <c r="B284" s="17" t="s">
        <v>289</v>
      </c>
      <c r="C284" s="17" t="s">
        <v>302</v>
      </c>
      <c r="D284" s="17" t="s">
        <v>13</v>
      </c>
      <c r="E284" s="17" t="s">
        <v>14</v>
      </c>
      <c r="F284" s="17" t="s">
        <v>13</v>
      </c>
      <c r="G284" s="17" t="s">
        <v>13</v>
      </c>
      <c r="H284" s="17" t="s">
        <v>15</v>
      </c>
      <c r="I284" s="4"/>
    </row>
    <row r="285">
      <c r="A285" s="16">
        <v>281.0</v>
      </c>
      <c r="B285" s="17" t="s">
        <v>289</v>
      </c>
      <c r="C285" s="17" t="s">
        <v>303</v>
      </c>
      <c r="D285" s="17">
        <v>20.0</v>
      </c>
      <c r="E285" s="17" t="s">
        <v>304</v>
      </c>
      <c r="F285" s="17" t="s">
        <v>13</v>
      </c>
      <c r="G285" s="17" t="s">
        <v>13</v>
      </c>
      <c r="H285" s="17" t="s">
        <v>15</v>
      </c>
      <c r="I285" s="4"/>
    </row>
    <row r="286">
      <c r="A286" s="16">
        <v>282.0</v>
      </c>
      <c r="B286" s="17" t="s">
        <v>289</v>
      </c>
      <c r="C286" s="17" t="s">
        <v>305</v>
      </c>
      <c r="D286" s="17">
        <v>76.0</v>
      </c>
      <c r="E286" s="17" t="s">
        <v>13</v>
      </c>
      <c r="F286" s="17" t="s">
        <v>13</v>
      </c>
      <c r="G286" s="17" t="s">
        <v>13</v>
      </c>
      <c r="H286" s="17" t="s">
        <v>13</v>
      </c>
      <c r="I286" s="4"/>
    </row>
    <row r="287">
      <c r="A287" s="16">
        <v>283.0</v>
      </c>
      <c r="B287" s="17" t="s">
        <v>289</v>
      </c>
      <c r="C287" s="17" t="s">
        <v>306</v>
      </c>
      <c r="D287" s="17">
        <v>21.0</v>
      </c>
      <c r="E287" s="17" t="s">
        <v>13</v>
      </c>
      <c r="F287" s="17" t="s">
        <v>13</v>
      </c>
      <c r="G287" s="17" t="s">
        <v>13</v>
      </c>
      <c r="H287" s="17" t="s">
        <v>13</v>
      </c>
      <c r="I287" s="4"/>
    </row>
    <row r="288">
      <c r="A288" s="16">
        <v>284.0</v>
      </c>
      <c r="B288" s="17" t="s">
        <v>289</v>
      </c>
      <c r="C288" s="17" t="s">
        <v>307</v>
      </c>
      <c r="D288" s="17">
        <v>29.0</v>
      </c>
      <c r="E288" s="17" t="s">
        <v>308</v>
      </c>
      <c r="F288" s="17" t="s">
        <v>13</v>
      </c>
      <c r="G288" s="17" t="s">
        <v>13</v>
      </c>
      <c r="H288" s="17" t="s">
        <v>15</v>
      </c>
      <c r="I288" s="4"/>
    </row>
    <row r="289">
      <c r="A289" s="16">
        <v>285.0</v>
      </c>
      <c r="B289" s="17" t="s">
        <v>289</v>
      </c>
      <c r="C289" s="17" t="s">
        <v>309</v>
      </c>
      <c r="D289" s="17">
        <v>35.0</v>
      </c>
      <c r="E289" s="17" t="s">
        <v>310</v>
      </c>
      <c r="F289" s="17" t="s">
        <v>13</v>
      </c>
      <c r="G289" s="17" t="s">
        <v>13</v>
      </c>
      <c r="H289" s="17" t="s">
        <v>15</v>
      </c>
      <c r="I289" s="4"/>
    </row>
    <row r="290">
      <c r="A290" s="16">
        <v>286.0</v>
      </c>
      <c r="B290" s="17" t="s">
        <v>289</v>
      </c>
      <c r="C290" s="17" t="s">
        <v>311</v>
      </c>
      <c r="D290" s="17">
        <v>63.0</v>
      </c>
      <c r="E290" s="17" t="s">
        <v>13</v>
      </c>
      <c r="F290" s="17" t="s">
        <v>13</v>
      </c>
      <c r="G290" s="17" t="s">
        <v>312</v>
      </c>
      <c r="H290" s="17" t="s">
        <v>13</v>
      </c>
      <c r="I290" s="4"/>
    </row>
    <row r="291">
      <c r="A291" s="16">
        <v>287.0</v>
      </c>
      <c r="B291" s="17" t="s">
        <v>289</v>
      </c>
      <c r="C291" s="17" t="s">
        <v>313</v>
      </c>
      <c r="D291" s="17">
        <v>36.0</v>
      </c>
      <c r="E291" s="17" t="s">
        <v>13</v>
      </c>
      <c r="F291" s="17">
        <v>2.010141E7</v>
      </c>
      <c r="G291" s="17" t="s">
        <v>314</v>
      </c>
      <c r="H291" s="17" t="s">
        <v>13</v>
      </c>
      <c r="I291" s="4"/>
    </row>
    <row r="292">
      <c r="A292" s="16">
        <v>288.0</v>
      </c>
      <c r="B292" s="17" t="s">
        <v>289</v>
      </c>
      <c r="C292" s="17" t="s">
        <v>315</v>
      </c>
      <c r="D292" s="17">
        <v>72.0</v>
      </c>
      <c r="E292" s="17" t="s">
        <v>13</v>
      </c>
      <c r="F292" s="17">
        <v>4806707.0</v>
      </c>
      <c r="G292" s="17" t="s">
        <v>295</v>
      </c>
      <c r="H292" s="17" t="s">
        <v>13</v>
      </c>
      <c r="I292" s="4"/>
    </row>
    <row r="293">
      <c r="A293" s="16">
        <v>289.0</v>
      </c>
      <c r="B293" s="17" t="s">
        <v>289</v>
      </c>
      <c r="C293" s="17" t="s">
        <v>316</v>
      </c>
      <c r="D293" s="17">
        <v>62.0</v>
      </c>
      <c r="E293" s="17" t="s">
        <v>13</v>
      </c>
      <c r="F293" s="17" t="s">
        <v>13</v>
      </c>
      <c r="G293" s="17" t="s">
        <v>317</v>
      </c>
      <c r="H293" s="17" t="s">
        <v>13</v>
      </c>
      <c r="I293" s="4"/>
    </row>
    <row r="294">
      <c r="A294" s="16">
        <v>290.0</v>
      </c>
      <c r="B294" s="17" t="s">
        <v>289</v>
      </c>
      <c r="C294" s="17" t="s">
        <v>318</v>
      </c>
      <c r="D294" s="17">
        <v>85.0</v>
      </c>
      <c r="E294" s="17" t="s">
        <v>13</v>
      </c>
      <c r="F294" s="17" t="s">
        <v>13</v>
      </c>
      <c r="G294" s="17" t="s">
        <v>295</v>
      </c>
      <c r="H294" s="17" t="s">
        <v>13</v>
      </c>
      <c r="I294" s="4"/>
    </row>
    <row r="295">
      <c r="A295" s="16">
        <v>291.0</v>
      </c>
      <c r="B295" s="17" t="s">
        <v>289</v>
      </c>
      <c r="C295" s="17" t="s">
        <v>319</v>
      </c>
      <c r="D295" s="17">
        <v>59.0</v>
      </c>
      <c r="E295" s="17" t="s">
        <v>13</v>
      </c>
      <c r="F295" s="17" t="s">
        <v>13</v>
      </c>
      <c r="G295" s="17" t="s">
        <v>295</v>
      </c>
      <c r="H295" s="17" t="s">
        <v>13</v>
      </c>
      <c r="I295" s="4"/>
    </row>
    <row r="296">
      <c r="A296" s="16">
        <v>292.0</v>
      </c>
      <c r="B296" s="17" t="s">
        <v>289</v>
      </c>
      <c r="C296" s="17" t="s">
        <v>320</v>
      </c>
      <c r="D296" s="17">
        <v>77.0</v>
      </c>
      <c r="E296" s="17" t="s">
        <v>13</v>
      </c>
      <c r="F296" s="17" t="s">
        <v>13</v>
      </c>
      <c r="G296" s="17" t="s">
        <v>295</v>
      </c>
      <c r="H296" s="17" t="s">
        <v>13</v>
      </c>
      <c r="I296" s="4"/>
    </row>
    <row r="297">
      <c r="A297" s="16">
        <v>293.0</v>
      </c>
      <c r="B297" s="17" t="s">
        <v>289</v>
      </c>
      <c r="C297" s="17" t="s">
        <v>321</v>
      </c>
      <c r="D297" s="17">
        <v>5.0</v>
      </c>
      <c r="E297" s="17" t="s">
        <v>13</v>
      </c>
      <c r="F297" s="17" t="s">
        <v>13</v>
      </c>
      <c r="G297" s="17" t="s">
        <v>295</v>
      </c>
      <c r="H297" s="17" t="s">
        <v>13</v>
      </c>
      <c r="I297" s="4"/>
    </row>
    <row r="298">
      <c r="A298" s="16">
        <v>294.0</v>
      </c>
      <c r="B298" s="17" t="s">
        <v>289</v>
      </c>
      <c r="C298" s="17" t="s">
        <v>322</v>
      </c>
      <c r="D298" s="17">
        <v>47.0</v>
      </c>
      <c r="E298" s="17" t="s">
        <v>13</v>
      </c>
      <c r="F298" s="17" t="s">
        <v>13</v>
      </c>
      <c r="G298" s="17" t="s">
        <v>295</v>
      </c>
      <c r="H298" s="17" t="s">
        <v>13</v>
      </c>
      <c r="I298" s="4"/>
    </row>
    <row r="299">
      <c r="A299" s="16">
        <v>295.0</v>
      </c>
      <c r="B299" s="17" t="s">
        <v>289</v>
      </c>
      <c r="C299" s="17" t="s">
        <v>323</v>
      </c>
      <c r="D299" s="17">
        <v>15.0</v>
      </c>
      <c r="E299" s="17" t="s">
        <v>13</v>
      </c>
      <c r="F299" s="17" t="s">
        <v>13</v>
      </c>
      <c r="G299" s="17" t="s">
        <v>324</v>
      </c>
      <c r="H299" s="17" t="s">
        <v>13</v>
      </c>
      <c r="I299" s="4"/>
    </row>
    <row r="300">
      <c r="A300" s="16">
        <v>296.0</v>
      </c>
      <c r="B300" s="17" t="s">
        <v>289</v>
      </c>
      <c r="C300" s="17" t="s">
        <v>325</v>
      </c>
      <c r="D300" s="17">
        <v>45.0</v>
      </c>
      <c r="E300" s="17" t="s">
        <v>13</v>
      </c>
      <c r="F300" s="17" t="s">
        <v>13</v>
      </c>
      <c r="G300" s="17" t="s">
        <v>295</v>
      </c>
      <c r="H300" s="17" t="s">
        <v>13</v>
      </c>
      <c r="I300" s="4"/>
    </row>
    <row r="301">
      <c r="A301" s="16">
        <v>297.0</v>
      </c>
      <c r="B301" s="17" t="s">
        <v>289</v>
      </c>
      <c r="C301" s="17" t="s">
        <v>326</v>
      </c>
      <c r="D301" s="17">
        <v>64.0</v>
      </c>
      <c r="E301" s="17" t="s">
        <v>13</v>
      </c>
      <c r="F301" s="17" t="s">
        <v>13</v>
      </c>
      <c r="G301" s="17" t="s">
        <v>295</v>
      </c>
      <c r="H301" s="17" t="s">
        <v>13</v>
      </c>
      <c r="I301" s="4"/>
    </row>
    <row r="302">
      <c r="A302" s="16">
        <v>298.0</v>
      </c>
      <c r="B302" s="17" t="s">
        <v>289</v>
      </c>
      <c r="C302" s="17" t="s">
        <v>327</v>
      </c>
      <c r="D302" s="17">
        <v>72.0</v>
      </c>
      <c r="E302" s="17" t="s">
        <v>14</v>
      </c>
      <c r="F302" s="17" t="s">
        <v>13</v>
      </c>
      <c r="G302" s="17" t="s">
        <v>295</v>
      </c>
      <c r="H302" s="17" t="s">
        <v>328</v>
      </c>
      <c r="I302" s="4"/>
    </row>
    <row r="303">
      <c r="A303" s="16">
        <v>299.0</v>
      </c>
      <c r="B303" s="17" t="s">
        <v>289</v>
      </c>
      <c r="C303" s="17" t="s">
        <v>329</v>
      </c>
      <c r="D303" s="17">
        <v>64.0</v>
      </c>
      <c r="E303" s="17" t="s">
        <v>13</v>
      </c>
      <c r="F303" s="17">
        <v>9.9289918E7</v>
      </c>
      <c r="G303" s="17" t="s">
        <v>330</v>
      </c>
      <c r="H303" s="17" t="s">
        <v>13</v>
      </c>
      <c r="I303" s="4"/>
    </row>
    <row r="304">
      <c r="A304" s="16">
        <v>300.0</v>
      </c>
      <c r="B304" s="17" t="s">
        <v>289</v>
      </c>
      <c r="C304" s="17" t="s">
        <v>331</v>
      </c>
      <c r="D304" s="17">
        <v>64.0</v>
      </c>
      <c r="E304" s="17" t="s">
        <v>13</v>
      </c>
      <c r="F304" s="17" t="s">
        <v>13</v>
      </c>
      <c r="G304" s="17" t="s">
        <v>332</v>
      </c>
      <c r="H304" s="17" t="s">
        <v>13</v>
      </c>
      <c r="I304" s="4"/>
    </row>
    <row r="305">
      <c r="A305" s="16">
        <v>301.0</v>
      </c>
      <c r="B305" s="17" t="s">
        <v>289</v>
      </c>
      <c r="C305" s="17" t="s">
        <v>333</v>
      </c>
      <c r="D305" s="17">
        <v>52.0</v>
      </c>
      <c r="E305" s="17" t="s">
        <v>13</v>
      </c>
      <c r="F305" s="17" t="s">
        <v>13</v>
      </c>
      <c r="G305" s="17" t="s">
        <v>334</v>
      </c>
      <c r="H305" s="17" t="s">
        <v>13</v>
      </c>
      <c r="I305" s="4"/>
    </row>
    <row r="306">
      <c r="A306" s="16">
        <v>302.0</v>
      </c>
      <c r="B306" s="17" t="s">
        <v>289</v>
      </c>
      <c r="C306" s="17" t="s">
        <v>335</v>
      </c>
      <c r="D306" s="17">
        <v>57.0</v>
      </c>
      <c r="E306" s="17" t="s">
        <v>13</v>
      </c>
      <c r="F306" s="17" t="s">
        <v>13</v>
      </c>
      <c r="G306" s="17" t="s">
        <v>334</v>
      </c>
      <c r="H306" s="17" t="s">
        <v>13</v>
      </c>
      <c r="I306" s="4"/>
    </row>
    <row r="307">
      <c r="A307" s="16">
        <v>303.0</v>
      </c>
      <c r="B307" s="17" t="s">
        <v>289</v>
      </c>
      <c r="C307" s="17" t="s">
        <v>336</v>
      </c>
      <c r="D307" s="17">
        <v>44.0</v>
      </c>
      <c r="E307" s="17" t="s">
        <v>13</v>
      </c>
      <c r="F307" s="17" t="s">
        <v>13</v>
      </c>
      <c r="G307" s="17" t="s">
        <v>295</v>
      </c>
      <c r="H307" s="17" t="s">
        <v>13</v>
      </c>
      <c r="I307" s="4"/>
    </row>
    <row r="308">
      <c r="A308" s="16">
        <v>304.0</v>
      </c>
      <c r="B308" s="17" t="s">
        <v>289</v>
      </c>
      <c r="C308" s="17" t="s">
        <v>337</v>
      </c>
      <c r="D308" s="17">
        <v>47.0</v>
      </c>
      <c r="E308" s="17" t="s">
        <v>13</v>
      </c>
      <c r="F308" s="17" t="s">
        <v>13</v>
      </c>
      <c r="G308" s="17" t="s">
        <v>299</v>
      </c>
      <c r="H308" s="17" t="s">
        <v>13</v>
      </c>
      <c r="I308" s="4"/>
    </row>
    <row r="309">
      <c r="A309" s="16">
        <v>305.0</v>
      </c>
      <c r="B309" s="17" t="s">
        <v>289</v>
      </c>
      <c r="C309" s="17" t="s">
        <v>338</v>
      </c>
      <c r="D309" s="17">
        <v>57.0</v>
      </c>
      <c r="E309" s="17" t="s">
        <v>13</v>
      </c>
      <c r="F309" s="17" t="s">
        <v>13</v>
      </c>
      <c r="G309" s="17" t="s">
        <v>13</v>
      </c>
      <c r="H309" s="17" t="s">
        <v>13</v>
      </c>
      <c r="I309" s="4"/>
    </row>
    <row r="310">
      <c r="A310" s="16">
        <v>306.0</v>
      </c>
      <c r="B310" s="17" t="s">
        <v>339</v>
      </c>
      <c r="C310" s="17" t="s">
        <v>340</v>
      </c>
      <c r="D310" s="17">
        <v>22.0</v>
      </c>
      <c r="E310" s="17">
        <v>8.090993E8</v>
      </c>
      <c r="F310" s="17" t="s">
        <v>13</v>
      </c>
      <c r="G310" s="17" t="s">
        <v>330</v>
      </c>
      <c r="H310" s="17" t="s">
        <v>13</v>
      </c>
      <c r="I310" s="4"/>
    </row>
    <row r="311">
      <c r="A311" s="16">
        <v>307.0</v>
      </c>
      <c r="B311" s="17" t="s">
        <v>339</v>
      </c>
      <c r="C311" s="17" t="s">
        <v>341</v>
      </c>
      <c r="D311" s="17">
        <v>53.0</v>
      </c>
      <c r="E311" s="17">
        <v>1.048198E8</v>
      </c>
      <c r="F311" s="17" t="s">
        <v>13</v>
      </c>
      <c r="G311" s="17" t="s">
        <v>330</v>
      </c>
      <c r="H311" s="17" t="s">
        <v>13</v>
      </c>
      <c r="I311" s="4"/>
    </row>
    <row r="312">
      <c r="A312" s="16">
        <v>308.0</v>
      </c>
      <c r="B312" s="17" t="s">
        <v>339</v>
      </c>
      <c r="C312" s="17" t="s">
        <v>342</v>
      </c>
      <c r="D312" s="17">
        <v>71.0</v>
      </c>
      <c r="E312" s="17">
        <v>5.13329E7</v>
      </c>
      <c r="F312" s="17" t="s">
        <v>13</v>
      </c>
      <c r="G312" s="17" t="s">
        <v>343</v>
      </c>
      <c r="H312" s="17" t="s">
        <v>13</v>
      </c>
      <c r="I312" s="4"/>
    </row>
    <row r="313">
      <c r="A313" s="16">
        <v>309.0</v>
      </c>
      <c r="B313" s="17" t="s">
        <v>339</v>
      </c>
      <c r="C313" s="17" t="s">
        <v>344</v>
      </c>
      <c r="D313" s="17">
        <v>12.0</v>
      </c>
      <c r="E313" s="17">
        <v>3.6108151E8</v>
      </c>
      <c r="F313" s="17" t="s">
        <v>13</v>
      </c>
      <c r="G313" s="17" t="s">
        <v>330</v>
      </c>
      <c r="H313" s="17" t="s">
        <v>13</v>
      </c>
      <c r="I313" s="4"/>
    </row>
    <row r="314">
      <c r="A314" s="16">
        <v>310.0</v>
      </c>
      <c r="B314" s="17" t="s">
        <v>339</v>
      </c>
      <c r="C314" s="17" t="s">
        <v>345</v>
      </c>
      <c r="D314" s="17">
        <v>1.0</v>
      </c>
      <c r="E314" s="17">
        <v>2.5088412E8</v>
      </c>
      <c r="F314" s="17" t="s">
        <v>13</v>
      </c>
      <c r="G314" s="17" t="s">
        <v>346</v>
      </c>
      <c r="H314" s="17" t="s">
        <v>13</v>
      </c>
      <c r="I314" s="4"/>
    </row>
    <row r="315">
      <c r="A315" s="16">
        <v>311.0</v>
      </c>
      <c r="B315" s="17" t="s">
        <v>339</v>
      </c>
      <c r="C315" s="17" t="s">
        <v>347</v>
      </c>
      <c r="D315" s="17">
        <v>27.0</v>
      </c>
      <c r="E315" s="17">
        <v>2.676304E7</v>
      </c>
      <c r="F315" s="17" t="s">
        <v>13</v>
      </c>
      <c r="G315" s="17" t="s">
        <v>330</v>
      </c>
      <c r="H315" s="17" t="s">
        <v>13</v>
      </c>
      <c r="I315" s="4"/>
    </row>
    <row r="316">
      <c r="A316" s="16">
        <v>312.0</v>
      </c>
      <c r="B316" s="17" t="s">
        <v>339</v>
      </c>
      <c r="C316" s="17" t="s">
        <v>348</v>
      </c>
      <c r="D316" s="17">
        <v>24.0</v>
      </c>
      <c r="E316" s="17">
        <v>2.3576063E8</v>
      </c>
      <c r="F316" s="17" t="s">
        <v>13</v>
      </c>
      <c r="G316" s="17" t="s">
        <v>330</v>
      </c>
      <c r="H316" s="17" t="s">
        <v>13</v>
      </c>
      <c r="I316" s="4"/>
    </row>
    <row r="317">
      <c r="A317" s="16">
        <v>313.0</v>
      </c>
      <c r="B317" s="17" t="s">
        <v>339</v>
      </c>
      <c r="C317" s="17" t="s">
        <v>349</v>
      </c>
      <c r="D317" s="17">
        <v>49.0</v>
      </c>
      <c r="E317" s="17">
        <v>1.3333342E8</v>
      </c>
      <c r="F317" s="17" t="s">
        <v>13</v>
      </c>
      <c r="G317" s="17" t="s">
        <v>350</v>
      </c>
      <c r="H317" s="17" t="s">
        <v>13</v>
      </c>
      <c r="I317" s="4"/>
    </row>
    <row r="318">
      <c r="A318" s="16">
        <v>314.0</v>
      </c>
      <c r="B318" s="17" t="s">
        <v>339</v>
      </c>
      <c r="C318" s="17" t="s">
        <v>351</v>
      </c>
      <c r="D318" s="17">
        <v>14.0</v>
      </c>
      <c r="E318" s="17">
        <v>3.2943786E8</v>
      </c>
      <c r="F318" s="17" t="s">
        <v>13</v>
      </c>
      <c r="G318" s="17" t="s">
        <v>330</v>
      </c>
      <c r="H318" s="17" t="s">
        <v>13</v>
      </c>
      <c r="I318" s="4"/>
    </row>
    <row r="319">
      <c r="A319" s="16">
        <v>315.0</v>
      </c>
      <c r="B319" s="17" t="s">
        <v>339</v>
      </c>
      <c r="C319" s="17" t="s">
        <v>352</v>
      </c>
      <c r="D319" s="17">
        <v>12.0</v>
      </c>
      <c r="E319" s="17">
        <v>3.5015044E8</v>
      </c>
      <c r="F319" s="17" t="s">
        <v>13</v>
      </c>
      <c r="G319" s="17" t="s">
        <v>330</v>
      </c>
      <c r="H319" s="17" t="s">
        <v>13</v>
      </c>
      <c r="I319" s="4"/>
    </row>
    <row r="320">
      <c r="A320" s="16">
        <v>316.0</v>
      </c>
      <c r="B320" s="17" t="s">
        <v>339</v>
      </c>
      <c r="C320" s="17" t="s">
        <v>353</v>
      </c>
      <c r="D320" s="17">
        <v>25.0</v>
      </c>
      <c r="E320" s="17">
        <v>2.7746169E8</v>
      </c>
      <c r="F320" s="17" t="s">
        <v>13</v>
      </c>
      <c r="G320" s="17" t="s">
        <v>354</v>
      </c>
      <c r="H320" s="17" t="s">
        <v>13</v>
      </c>
      <c r="I320" s="4"/>
    </row>
    <row r="321">
      <c r="A321" s="16">
        <v>317.0</v>
      </c>
      <c r="B321" s="17" t="s">
        <v>339</v>
      </c>
      <c r="C321" s="17" t="s">
        <v>355</v>
      </c>
      <c r="D321" s="17">
        <v>55.0</v>
      </c>
      <c r="E321" s="17">
        <v>6.263737E7</v>
      </c>
      <c r="F321" s="17" t="s">
        <v>13</v>
      </c>
      <c r="G321" s="17" t="s">
        <v>330</v>
      </c>
      <c r="H321" s="17" t="s">
        <v>13</v>
      </c>
      <c r="I321" s="4"/>
    </row>
    <row r="322">
      <c r="A322" s="16">
        <v>318.0</v>
      </c>
      <c r="B322" s="17" t="s">
        <v>339</v>
      </c>
      <c r="C322" s="17" t="s">
        <v>356</v>
      </c>
      <c r="D322" s="17">
        <v>52.0</v>
      </c>
      <c r="E322" s="17">
        <v>1.1994645E8</v>
      </c>
      <c r="F322" s="17" t="s">
        <v>13</v>
      </c>
      <c r="G322" s="17" t="s">
        <v>330</v>
      </c>
      <c r="H322" s="17" t="s">
        <v>13</v>
      </c>
      <c r="I322" s="4"/>
    </row>
    <row r="323">
      <c r="A323" s="16">
        <v>319.0</v>
      </c>
      <c r="B323" s="17" t="s">
        <v>339</v>
      </c>
      <c r="C323" s="17" t="s">
        <v>357</v>
      </c>
      <c r="D323" s="17">
        <v>42.0</v>
      </c>
      <c r="E323" s="17">
        <v>1.7881615E8</v>
      </c>
      <c r="F323" s="17" t="s">
        <v>13</v>
      </c>
      <c r="G323" s="17" t="s">
        <v>358</v>
      </c>
      <c r="H323" s="17" t="s">
        <v>13</v>
      </c>
      <c r="I323" s="4"/>
    </row>
    <row r="324">
      <c r="A324" s="16">
        <v>320.0</v>
      </c>
      <c r="B324" s="17" t="s">
        <v>339</v>
      </c>
      <c r="C324" s="17" t="s">
        <v>359</v>
      </c>
      <c r="D324" s="17">
        <v>42.0</v>
      </c>
      <c r="E324" s="17">
        <v>1.5881615E8</v>
      </c>
      <c r="F324" s="17" t="s">
        <v>13</v>
      </c>
      <c r="G324" s="17" t="s">
        <v>330</v>
      </c>
      <c r="H324" s="17" t="s">
        <v>13</v>
      </c>
      <c r="I324" s="4"/>
    </row>
    <row r="325">
      <c r="A325" s="16">
        <v>321.0</v>
      </c>
      <c r="B325" s="17" t="s">
        <v>339</v>
      </c>
      <c r="C325" s="17" t="s">
        <v>360</v>
      </c>
      <c r="D325" s="17">
        <v>24.0</v>
      </c>
      <c r="E325" s="17">
        <v>2.9572168E8</v>
      </c>
      <c r="F325" s="17" t="s">
        <v>13</v>
      </c>
      <c r="G325" s="17" t="s">
        <v>330</v>
      </c>
      <c r="H325" s="17" t="s">
        <v>13</v>
      </c>
      <c r="I325" s="4"/>
    </row>
    <row r="326">
      <c r="A326" s="16">
        <v>322.0</v>
      </c>
      <c r="B326" s="17" t="s">
        <v>339</v>
      </c>
      <c r="C326" s="17" t="s">
        <v>361</v>
      </c>
      <c r="D326" s="17">
        <v>23.0</v>
      </c>
      <c r="E326" s="17">
        <v>8.1308834E8</v>
      </c>
      <c r="F326" s="17" t="s">
        <v>13</v>
      </c>
      <c r="G326" s="17" t="s">
        <v>330</v>
      </c>
      <c r="H326" s="17" t="s">
        <v>13</v>
      </c>
      <c r="I326" s="4"/>
    </row>
    <row r="327">
      <c r="A327" s="16">
        <v>323.0</v>
      </c>
      <c r="B327" s="17" t="s">
        <v>339</v>
      </c>
      <c r="C327" s="17" t="s">
        <v>362</v>
      </c>
      <c r="D327" s="17">
        <v>16.0</v>
      </c>
      <c r="E327" s="17">
        <v>3.3232686E8</v>
      </c>
      <c r="F327" s="17" t="s">
        <v>13</v>
      </c>
      <c r="G327" s="17" t="s">
        <v>343</v>
      </c>
      <c r="H327" s="17" t="s">
        <v>13</v>
      </c>
      <c r="I327" s="4"/>
    </row>
    <row r="328">
      <c r="A328" s="16">
        <v>324.0</v>
      </c>
      <c r="B328" s="17" t="s">
        <v>339</v>
      </c>
      <c r="C328" s="17" t="s">
        <v>363</v>
      </c>
      <c r="D328" s="17">
        <v>37.0</v>
      </c>
      <c r="E328" s="17">
        <v>1.470982E8</v>
      </c>
      <c r="F328" s="17" t="s">
        <v>13</v>
      </c>
      <c r="G328" s="17" t="s">
        <v>330</v>
      </c>
      <c r="H328" s="17" t="s">
        <v>13</v>
      </c>
      <c r="I328" s="4"/>
    </row>
    <row r="329">
      <c r="A329" s="16">
        <v>325.0</v>
      </c>
      <c r="B329" s="17" t="s">
        <v>339</v>
      </c>
      <c r="C329" s="17" t="s">
        <v>364</v>
      </c>
      <c r="D329" s="17">
        <v>48.0</v>
      </c>
      <c r="E329" s="17">
        <v>1.4569432E8</v>
      </c>
      <c r="F329" s="17" t="s">
        <v>13</v>
      </c>
      <c r="G329" s="17" t="s">
        <v>330</v>
      </c>
      <c r="H329" s="17" t="s">
        <v>13</v>
      </c>
      <c r="I329" s="4"/>
    </row>
    <row r="330">
      <c r="A330" s="16">
        <v>326.0</v>
      </c>
      <c r="B330" s="17" t="s">
        <v>339</v>
      </c>
      <c r="C330" s="17" t="s">
        <v>365</v>
      </c>
      <c r="D330" s="17">
        <v>20.0</v>
      </c>
      <c r="E330" s="17">
        <v>3.191432E7</v>
      </c>
      <c r="F330" s="17" t="s">
        <v>13</v>
      </c>
      <c r="G330" s="17" t="s">
        <v>330</v>
      </c>
      <c r="H330" s="17" t="s">
        <v>13</v>
      </c>
      <c r="I330" s="4"/>
    </row>
    <row r="331">
      <c r="A331" s="16">
        <v>327.0</v>
      </c>
      <c r="B331" s="17" t="s">
        <v>339</v>
      </c>
      <c r="C331" s="17" t="s">
        <v>366</v>
      </c>
      <c r="D331" s="17">
        <v>33.0</v>
      </c>
      <c r="E331" s="17">
        <v>2.020934E8</v>
      </c>
      <c r="F331" s="17" t="s">
        <v>13</v>
      </c>
      <c r="G331" s="17" t="s">
        <v>330</v>
      </c>
      <c r="H331" s="17" t="s">
        <v>13</v>
      </c>
      <c r="I331" s="4"/>
    </row>
    <row r="332">
      <c r="A332" s="16">
        <v>328.0</v>
      </c>
      <c r="B332" s="17" t="s">
        <v>367</v>
      </c>
      <c r="C332" s="17" t="s">
        <v>368</v>
      </c>
      <c r="D332" s="17">
        <v>12.0</v>
      </c>
      <c r="E332" s="17">
        <v>1.5881615E7</v>
      </c>
      <c r="F332" s="17" t="s">
        <v>13</v>
      </c>
      <c r="G332" s="17" t="s">
        <v>330</v>
      </c>
      <c r="H332" s="17" t="s">
        <v>13</v>
      </c>
      <c r="I332" s="4"/>
    </row>
    <row r="333">
      <c r="A333" s="16">
        <v>329.0</v>
      </c>
      <c r="B333" s="17" t="s">
        <v>367</v>
      </c>
      <c r="C333" s="17" t="s">
        <v>369</v>
      </c>
      <c r="D333" s="17">
        <v>24.0</v>
      </c>
      <c r="E333" s="17">
        <v>2.2576068E7</v>
      </c>
      <c r="F333" s="17" t="s">
        <v>13</v>
      </c>
      <c r="G333" s="17" t="s">
        <v>330</v>
      </c>
      <c r="H333" s="17" t="s">
        <v>13</v>
      </c>
      <c r="I333" s="4"/>
    </row>
    <row r="334">
      <c r="A334" s="16">
        <v>330.0</v>
      </c>
      <c r="B334" s="17" t="s">
        <v>367</v>
      </c>
      <c r="C334" s="17" t="s">
        <v>370</v>
      </c>
      <c r="D334" s="17">
        <v>49.0</v>
      </c>
      <c r="E334" s="17">
        <v>1.3133322E7</v>
      </c>
      <c r="F334" s="17" t="s">
        <v>13</v>
      </c>
      <c r="G334" s="17" t="s">
        <v>330</v>
      </c>
      <c r="H334" s="17" t="s">
        <v>13</v>
      </c>
      <c r="I334" s="4"/>
    </row>
    <row r="335">
      <c r="A335" s="16">
        <v>331.0</v>
      </c>
      <c r="B335" s="17" t="s">
        <v>367</v>
      </c>
      <c r="C335" s="17" t="s">
        <v>371</v>
      </c>
      <c r="D335" s="17">
        <v>38.0</v>
      </c>
      <c r="E335" s="17">
        <v>186.322</v>
      </c>
      <c r="F335" s="17" t="s">
        <v>13</v>
      </c>
      <c r="G335" s="17" t="s">
        <v>13</v>
      </c>
      <c r="H335" s="17" t="s">
        <v>15</v>
      </c>
      <c r="I335" s="4"/>
    </row>
    <row r="336">
      <c r="A336" s="16">
        <v>332.0</v>
      </c>
      <c r="B336" s="17" t="s">
        <v>367</v>
      </c>
      <c r="C336" s="17" t="s">
        <v>372</v>
      </c>
      <c r="D336" s="17">
        <v>12.0</v>
      </c>
      <c r="E336" s="17">
        <v>3505049.0</v>
      </c>
      <c r="F336" s="17" t="s">
        <v>13</v>
      </c>
      <c r="G336" s="17" t="s">
        <v>330</v>
      </c>
      <c r="H336" s="17" t="s">
        <v>13</v>
      </c>
      <c r="I336" s="4"/>
    </row>
    <row r="337">
      <c r="A337" s="16">
        <v>333.0</v>
      </c>
      <c r="B337" s="17" t="s">
        <v>367</v>
      </c>
      <c r="C337" s="17" t="s">
        <v>373</v>
      </c>
      <c r="D337" s="17">
        <v>43.0</v>
      </c>
      <c r="E337" s="17">
        <v>179.657</v>
      </c>
      <c r="F337" s="17" t="s">
        <v>13</v>
      </c>
      <c r="G337" s="17" t="s">
        <v>13</v>
      </c>
      <c r="H337" s="17" t="s">
        <v>15</v>
      </c>
      <c r="I337" s="4"/>
    </row>
    <row r="338">
      <c r="A338" s="16">
        <v>334.0</v>
      </c>
      <c r="B338" s="17" t="s">
        <v>367</v>
      </c>
      <c r="C338" s="17" t="s">
        <v>374</v>
      </c>
      <c r="D338" s="17">
        <v>42.0</v>
      </c>
      <c r="E338" s="17">
        <v>1.7821615E7</v>
      </c>
      <c r="F338" s="17" t="s">
        <v>13</v>
      </c>
      <c r="G338" s="17" t="s">
        <v>375</v>
      </c>
      <c r="H338" s="17" t="s">
        <v>13</v>
      </c>
      <c r="I338" s="4"/>
    </row>
    <row r="339">
      <c r="A339" s="16">
        <v>335.0</v>
      </c>
      <c r="B339" s="17" t="s">
        <v>367</v>
      </c>
      <c r="C339" s="17" t="s">
        <v>376</v>
      </c>
      <c r="D339" s="17">
        <v>52.0</v>
      </c>
      <c r="E339" s="17" t="s">
        <v>377</v>
      </c>
      <c r="F339" s="17" t="s">
        <v>13</v>
      </c>
      <c r="G339" s="17" t="s">
        <v>13</v>
      </c>
      <c r="H339" s="17" t="s">
        <v>378</v>
      </c>
      <c r="I339" s="4"/>
    </row>
    <row r="340">
      <c r="A340" s="16">
        <v>336.0</v>
      </c>
      <c r="B340" s="17" t="s">
        <v>367</v>
      </c>
      <c r="C340" s="17" t="s">
        <v>379</v>
      </c>
      <c r="D340" s="17">
        <v>23.0</v>
      </c>
      <c r="E340" s="17">
        <v>3.1588884E7</v>
      </c>
      <c r="F340" s="17" t="s">
        <v>13</v>
      </c>
      <c r="G340" s="17" t="s">
        <v>330</v>
      </c>
      <c r="H340" s="17" t="s">
        <v>13</v>
      </c>
      <c r="I340" s="4"/>
    </row>
    <row r="341">
      <c r="A341" s="16">
        <v>337.0</v>
      </c>
      <c r="B341" s="17" t="s">
        <v>367</v>
      </c>
      <c r="C341" s="17" t="s">
        <v>380</v>
      </c>
      <c r="D341" s="17">
        <v>42.0</v>
      </c>
      <c r="E341" s="17" t="s">
        <v>381</v>
      </c>
      <c r="F341" s="17" t="s">
        <v>13</v>
      </c>
      <c r="G341" s="17" t="s">
        <v>13</v>
      </c>
      <c r="H341" s="17" t="s">
        <v>15</v>
      </c>
      <c r="I341" s="4"/>
    </row>
    <row r="342">
      <c r="A342" s="16">
        <v>338.0</v>
      </c>
      <c r="B342" s="17" t="s">
        <v>367</v>
      </c>
      <c r="C342" s="17" t="s">
        <v>382</v>
      </c>
      <c r="D342" s="17">
        <v>7.0</v>
      </c>
      <c r="E342" s="17" t="s">
        <v>14</v>
      </c>
      <c r="F342" s="17" t="s">
        <v>13</v>
      </c>
      <c r="G342" s="17" t="s">
        <v>13</v>
      </c>
      <c r="H342" s="17" t="s">
        <v>15</v>
      </c>
      <c r="I342" s="4"/>
    </row>
    <row r="343">
      <c r="A343" s="16">
        <v>339.0</v>
      </c>
      <c r="B343" s="17" t="s">
        <v>367</v>
      </c>
      <c r="C343" s="17" t="s">
        <v>383</v>
      </c>
      <c r="D343" s="17">
        <v>43.0</v>
      </c>
      <c r="E343" s="17" t="s">
        <v>384</v>
      </c>
      <c r="F343" s="17" t="s">
        <v>13</v>
      </c>
      <c r="G343" s="17" t="s">
        <v>13</v>
      </c>
      <c r="H343" s="17" t="s">
        <v>15</v>
      </c>
      <c r="I343" s="4"/>
    </row>
    <row r="344">
      <c r="A344" s="16">
        <v>340.0</v>
      </c>
      <c r="B344" s="17" t="s">
        <v>367</v>
      </c>
      <c r="C344" s="17" t="s">
        <v>385</v>
      </c>
      <c r="D344" s="17">
        <v>14.0</v>
      </c>
      <c r="E344" s="17">
        <v>2.7943786E7</v>
      </c>
      <c r="F344" s="17" t="s">
        <v>13</v>
      </c>
      <c r="G344" s="17" t="s">
        <v>330</v>
      </c>
      <c r="H344" s="17" t="s">
        <v>13</v>
      </c>
      <c r="I344" s="4"/>
    </row>
    <row r="345">
      <c r="A345" s="16">
        <v>341.0</v>
      </c>
      <c r="B345" s="17" t="s">
        <v>367</v>
      </c>
      <c r="C345" s="17" t="s">
        <v>386</v>
      </c>
      <c r="D345" s="17">
        <v>71.0</v>
      </c>
      <c r="E345" s="17">
        <v>5133290.0</v>
      </c>
      <c r="F345" s="17" t="s">
        <v>13</v>
      </c>
      <c r="G345" s="17" t="s">
        <v>343</v>
      </c>
      <c r="H345" s="17" t="s">
        <v>13</v>
      </c>
      <c r="I345" s="4"/>
    </row>
    <row r="346">
      <c r="A346" s="16">
        <v>342.0</v>
      </c>
      <c r="B346" s="17" t="s">
        <v>367</v>
      </c>
      <c r="C346" s="17" t="s">
        <v>387</v>
      </c>
      <c r="D346" s="17">
        <v>48.0</v>
      </c>
      <c r="E346" s="17">
        <v>1.4568432E7</v>
      </c>
      <c r="F346" s="17" t="s">
        <v>13</v>
      </c>
      <c r="G346" s="17" t="s">
        <v>330</v>
      </c>
      <c r="H346" s="17" t="s">
        <v>13</v>
      </c>
      <c r="I346" s="4"/>
    </row>
    <row r="347">
      <c r="A347" s="16">
        <v>343.0</v>
      </c>
      <c r="B347" s="17" t="s">
        <v>367</v>
      </c>
      <c r="C347" s="17" t="s">
        <v>388</v>
      </c>
      <c r="D347" s="17">
        <v>17.0</v>
      </c>
      <c r="E347" s="17" t="s">
        <v>389</v>
      </c>
      <c r="F347" s="17" t="s">
        <v>13</v>
      </c>
      <c r="G347" s="17" t="s">
        <v>13</v>
      </c>
      <c r="H347" s="17" t="s">
        <v>15</v>
      </c>
      <c r="I347" s="4"/>
    </row>
    <row r="348">
      <c r="A348" s="16">
        <v>344.0</v>
      </c>
      <c r="B348" s="17" t="s">
        <v>367</v>
      </c>
      <c r="C348" s="17" t="s">
        <v>390</v>
      </c>
      <c r="D348" s="17">
        <v>16.0</v>
      </c>
      <c r="E348" s="17">
        <v>3.3232686E7</v>
      </c>
      <c r="F348" s="17" t="s">
        <v>13</v>
      </c>
      <c r="G348" s="17" t="s">
        <v>391</v>
      </c>
      <c r="H348" s="17" t="s">
        <v>13</v>
      </c>
      <c r="I348" s="4"/>
    </row>
    <row r="349">
      <c r="A349" s="16">
        <v>345.0</v>
      </c>
      <c r="B349" s="17" t="s">
        <v>367</v>
      </c>
      <c r="C349" s="17" t="s">
        <v>392</v>
      </c>
      <c r="D349" s="17">
        <v>11.0</v>
      </c>
      <c r="E349" s="17" t="s">
        <v>393</v>
      </c>
      <c r="F349" s="17" t="s">
        <v>13</v>
      </c>
      <c r="G349" s="17" t="s">
        <v>13</v>
      </c>
      <c r="H349" s="17" t="s">
        <v>378</v>
      </c>
      <c r="I349" s="4"/>
    </row>
    <row r="350">
      <c r="A350" s="16">
        <v>346.0</v>
      </c>
      <c r="B350" s="17" t="s">
        <v>367</v>
      </c>
      <c r="C350" s="17" t="s">
        <v>394</v>
      </c>
      <c r="D350" s="17">
        <v>22.0</v>
      </c>
      <c r="E350" s="17">
        <v>8.090998E7</v>
      </c>
      <c r="F350" s="17" t="s">
        <v>13</v>
      </c>
      <c r="G350" s="17" t="s">
        <v>330</v>
      </c>
      <c r="H350" s="17" t="s">
        <v>13</v>
      </c>
      <c r="I350" s="4"/>
    </row>
    <row r="351">
      <c r="A351" s="16">
        <v>347.0</v>
      </c>
      <c r="B351" s="17" t="s">
        <v>367</v>
      </c>
      <c r="C351" s="17" t="s">
        <v>395</v>
      </c>
      <c r="D351" s="17">
        <v>56.0</v>
      </c>
      <c r="E351" s="17">
        <v>995.521</v>
      </c>
      <c r="F351" s="17" t="s">
        <v>13</v>
      </c>
      <c r="G351" s="17" t="s">
        <v>13</v>
      </c>
      <c r="H351" s="17" t="s">
        <v>15</v>
      </c>
      <c r="I351" s="4"/>
    </row>
    <row r="352">
      <c r="A352" s="16">
        <v>348.0</v>
      </c>
      <c r="B352" s="17" t="s">
        <v>367</v>
      </c>
      <c r="C352" s="17" t="s">
        <v>396</v>
      </c>
      <c r="D352" s="17">
        <v>20.0</v>
      </c>
      <c r="E352" s="17">
        <v>3.1191432E7</v>
      </c>
      <c r="F352" s="17" t="s">
        <v>13</v>
      </c>
      <c r="G352" s="17" t="s">
        <v>330</v>
      </c>
      <c r="H352" s="17" t="s">
        <v>13</v>
      </c>
      <c r="I352" s="4"/>
    </row>
    <row r="353">
      <c r="A353" s="16">
        <v>349.0</v>
      </c>
      <c r="B353" s="17" t="s">
        <v>367</v>
      </c>
      <c r="C353" s="17" t="s">
        <v>397</v>
      </c>
      <c r="D353" s="17">
        <v>56.0</v>
      </c>
      <c r="E353" s="17" t="s">
        <v>398</v>
      </c>
      <c r="F353" s="17" t="s">
        <v>13</v>
      </c>
      <c r="G353" s="17" t="s">
        <v>13</v>
      </c>
      <c r="H353" s="17" t="s">
        <v>15</v>
      </c>
      <c r="I353" s="4"/>
    </row>
    <row r="354">
      <c r="A354" s="16">
        <v>350.0</v>
      </c>
      <c r="B354" s="17" t="s">
        <v>367</v>
      </c>
      <c r="C354" s="17" t="s">
        <v>399</v>
      </c>
      <c r="D354" s="17">
        <v>24.0</v>
      </c>
      <c r="E354" s="17">
        <v>2.9572168E7</v>
      </c>
      <c r="F354" s="17" t="s">
        <v>13</v>
      </c>
      <c r="G354" s="17" t="s">
        <v>330</v>
      </c>
      <c r="H354" s="17" t="s">
        <v>13</v>
      </c>
      <c r="I354" s="4"/>
    </row>
    <row r="355">
      <c r="A355" s="16">
        <v>351.0</v>
      </c>
      <c r="B355" s="17" t="s">
        <v>367</v>
      </c>
      <c r="C355" s="17" t="s">
        <v>400</v>
      </c>
      <c r="D355" s="17">
        <v>25.0</v>
      </c>
      <c r="E355" s="17">
        <v>2.7761169E7</v>
      </c>
      <c r="F355" s="17" t="s">
        <v>13</v>
      </c>
      <c r="G355" s="17" t="s">
        <v>401</v>
      </c>
      <c r="H355" s="17" t="s">
        <v>13</v>
      </c>
      <c r="I355" s="4"/>
    </row>
    <row r="356">
      <c r="A356" s="16">
        <v>352.0</v>
      </c>
      <c r="B356" s="17" t="s">
        <v>367</v>
      </c>
      <c r="C356" s="17" t="s">
        <v>402</v>
      </c>
      <c r="D356" s="17">
        <v>33.0</v>
      </c>
      <c r="E356" s="17">
        <v>2.070341E7</v>
      </c>
      <c r="F356" s="17" t="s">
        <v>13</v>
      </c>
      <c r="G356" s="17" t="s">
        <v>330</v>
      </c>
      <c r="H356" s="17" t="s">
        <v>13</v>
      </c>
      <c r="I356" s="4"/>
    </row>
    <row r="357">
      <c r="A357" s="16">
        <v>353.0</v>
      </c>
      <c r="B357" s="17" t="s">
        <v>367</v>
      </c>
      <c r="C357" s="17" t="s">
        <v>403</v>
      </c>
      <c r="D357" s="17">
        <v>35.0</v>
      </c>
      <c r="E357" s="17">
        <v>6262497.0</v>
      </c>
      <c r="F357" s="17" t="s">
        <v>13</v>
      </c>
      <c r="G357" s="17" t="s">
        <v>330</v>
      </c>
      <c r="H357" s="17" t="s">
        <v>13</v>
      </c>
      <c r="I357" s="4"/>
    </row>
    <row r="358">
      <c r="A358" s="16">
        <v>354.0</v>
      </c>
      <c r="B358" s="17" t="s">
        <v>367</v>
      </c>
      <c r="C358" s="17" t="s">
        <v>404</v>
      </c>
      <c r="D358" s="17">
        <v>61.0</v>
      </c>
      <c r="E358" s="17">
        <v>2.5088412E7</v>
      </c>
      <c r="F358" s="17" t="s">
        <v>13</v>
      </c>
      <c r="G358" s="17" t="s">
        <v>405</v>
      </c>
      <c r="H358" s="17" t="s">
        <v>13</v>
      </c>
      <c r="I358" s="4"/>
    </row>
    <row r="359">
      <c r="A359" s="16">
        <v>355.0</v>
      </c>
      <c r="B359" s="17" t="s">
        <v>367</v>
      </c>
      <c r="C359" s="17" t="s">
        <v>406</v>
      </c>
      <c r="D359" s="17">
        <v>56.0</v>
      </c>
      <c r="E359" s="17" t="s">
        <v>407</v>
      </c>
      <c r="F359" s="17" t="s">
        <v>13</v>
      </c>
      <c r="G359" s="17" t="s">
        <v>13</v>
      </c>
      <c r="H359" s="17" t="s">
        <v>15</v>
      </c>
      <c r="I359" s="4"/>
    </row>
    <row r="360">
      <c r="A360" s="16">
        <v>356.0</v>
      </c>
      <c r="B360" s="17" t="s">
        <v>367</v>
      </c>
      <c r="C360" s="17" t="s">
        <v>408</v>
      </c>
      <c r="D360" s="17">
        <v>17.0</v>
      </c>
      <c r="E360" s="17" t="s">
        <v>409</v>
      </c>
      <c r="F360" s="17" t="s">
        <v>13</v>
      </c>
      <c r="G360" s="17" t="s">
        <v>13</v>
      </c>
      <c r="H360" s="17" t="s">
        <v>15</v>
      </c>
      <c r="I360" s="4"/>
    </row>
    <row r="361">
      <c r="A361" s="16">
        <v>357.0</v>
      </c>
      <c r="B361" s="17" t="s">
        <v>367</v>
      </c>
      <c r="C361" s="17" t="s">
        <v>410</v>
      </c>
      <c r="D361" s="17">
        <v>9.0</v>
      </c>
      <c r="E361" s="17" t="s">
        <v>14</v>
      </c>
      <c r="F361" s="17" t="s">
        <v>13</v>
      </c>
      <c r="G361" s="17" t="s">
        <v>13</v>
      </c>
      <c r="H361" s="17" t="s">
        <v>378</v>
      </c>
      <c r="I361" s="4"/>
    </row>
    <row r="362">
      <c r="A362" s="16">
        <v>358.0</v>
      </c>
      <c r="B362" s="17" t="s">
        <v>367</v>
      </c>
      <c r="C362" s="17" t="s">
        <v>411</v>
      </c>
      <c r="D362" s="17">
        <v>12.0</v>
      </c>
      <c r="E362" s="17">
        <v>3.6308151E7</v>
      </c>
      <c r="F362" s="17" t="s">
        <v>13</v>
      </c>
      <c r="G362" s="17" t="s">
        <v>330</v>
      </c>
      <c r="H362" s="17" t="s">
        <v>13</v>
      </c>
      <c r="I362" s="4"/>
    </row>
    <row r="363">
      <c r="A363" s="16">
        <v>359.0</v>
      </c>
      <c r="B363" s="17" t="s">
        <v>367</v>
      </c>
      <c r="C363" s="17" t="s">
        <v>412</v>
      </c>
      <c r="D363" s="17">
        <v>27.0</v>
      </c>
      <c r="E363" s="17">
        <v>2.6763304E7</v>
      </c>
      <c r="F363" s="17" t="s">
        <v>13</v>
      </c>
      <c r="G363" s="17" t="s">
        <v>330</v>
      </c>
      <c r="H363" s="17" t="s">
        <v>13</v>
      </c>
      <c r="I363" s="4"/>
    </row>
    <row r="364">
      <c r="A364" s="16">
        <v>360.0</v>
      </c>
      <c r="B364" s="17" t="s">
        <v>367</v>
      </c>
      <c r="C364" s="17" t="s">
        <v>413</v>
      </c>
      <c r="D364" s="17" t="s">
        <v>13</v>
      </c>
      <c r="E364" s="17" t="s">
        <v>414</v>
      </c>
      <c r="F364" s="17" t="s">
        <v>13</v>
      </c>
      <c r="G364" s="17" t="s">
        <v>13</v>
      </c>
      <c r="H364" s="17" t="s">
        <v>15</v>
      </c>
      <c r="I364" s="4"/>
    </row>
    <row r="365">
      <c r="A365" s="16">
        <v>361.0</v>
      </c>
      <c r="B365" s="17" t="s">
        <v>367</v>
      </c>
      <c r="C365" s="17" t="s">
        <v>415</v>
      </c>
      <c r="D365" s="17" t="s">
        <v>13</v>
      </c>
      <c r="E365" s="17" t="s">
        <v>416</v>
      </c>
      <c r="F365" s="17" t="s">
        <v>13</v>
      </c>
      <c r="G365" s="17" t="s">
        <v>13</v>
      </c>
      <c r="H365" s="17" t="s">
        <v>15</v>
      </c>
      <c r="I365" s="4"/>
    </row>
    <row r="366">
      <c r="A366" s="16">
        <v>362.0</v>
      </c>
      <c r="B366" s="17" t="s">
        <v>367</v>
      </c>
      <c r="C366" s="17" t="s">
        <v>417</v>
      </c>
      <c r="D366" s="17">
        <v>55.0</v>
      </c>
      <c r="E366" s="17" t="s">
        <v>418</v>
      </c>
      <c r="F366" s="17" t="s">
        <v>13</v>
      </c>
      <c r="G366" s="17" t="s">
        <v>13</v>
      </c>
      <c r="H366" s="17" t="s">
        <v>15</v>
      </c>
      <c r="I366" s="4"/>
    </row>
    <row r="367">
      <c r="A367" s="16">
        <v>363.0</v>
      </c>
      <c r="B367" s="17" t="s">
        <v>367</v>
      </c>
      <c r="C367" s="17" t="s">
        <v>419</v>
      </c>
      <c r="D367" s="17">
        <v>84.0</v>
      </c>
      <c r="E367" s="17">
        <v>1.430982E7</v>
      </c>
      <c r="F367" s="17" t="s">
        <v>13</v>
      </c>
      <c r="G367" s="17" t="s">
        <v>330</v>
      </c>
      <c r="H367" s="17" t="s">
        <v>13</v>
      </c>
      <c r="I367" s="4"/>
    </row>
    <row r="368">
      <c r="A368" s="16">
        <v>364.0</v>
      </c>
      <c r="B368" s="17" t="s">
        <v>367</v>
      </c>
      <c r="C368" s="17" t="s">
        <v>420</v>
      </c>
      <c r="D368" s="17">
        <v>53.0</v>
      </c>
      <c r="E368" s="17">
        <v>1.048198E7</v>
      </c>
      <c r="F368" s="17" t="s">
        <v>13</v>
      </c>
      <c r="G368" s="17" t="s">
        <v>330</v>
      </c>
      <c r="H368" s="17" t="s">
        <v>13</v>
      </c>
      <c r="I368" s="4"/>
    </row>
    <row r="369">
      <c r="A369" s="16">
        <v>365.0</v>
      </c>
      <c r="B369" s="17" t="s">
        <v>367</v>
      </c>
      <c r="C369" s="17" t="s">
        <v>421</v>
      </c>
      <c r="D369" s="17">
        <v>52.0</v>
      </c>
      <c r="E369" s="17">
        <v>1.1934645E7</v>
      </c>
      <c r="F369" s="17" t="s">
        <v>13</v>
      </c>
      <c r="G369" s="17" t="s">
        <v>330</v>
      </c>
      <c r="H369" s="17" t="s">
        <v>13</v>
      </c>
      <c r="I369" s="4"/>
    </row>
    <row r="370">
      <c r="A370" s="16">
        <v>366.0</v>
      </c>
      <c r="B370" s="17" t="s">
        <v>367</v>
      </c>
      <c r="C370" s="17" t="s">
        <v>422</v>
      </c>
      <c r="D370" s="17">
        <v>31.0</v>
      </c>
      <c r="E370" s="17" t="s">
        <v>14</v>
      </c>
      <c r="F370" s="17" t="s">
        <v>13</v>
      </c>
      <c r="G370" s="17" t="s">
        <v>13</v>
      </c>
      <c r="H370" s="17" t="s">
        <v>15</v>
      </c>
      <c r="I370" s="4"/>
    </row>
    <row r="371">
      <c r="A371" s="16">
        <v>367.0</v>
      </c>
      <c r="B371" s="17" t="s">
        <v>423</v>
      </c>
      <c r="C371" s="17" t="s">
        <v>424</v>
      </c>
      <c r="D371" s="17">
        <v>36.0</v>
      </c>
      <c r="E371" s="17" t="s">
        <v>13</v>
      </c>
      <c r="F371" s="17" t="s">
        <v>13</v>
      </c>
      <c r="G371" s="17" t="s">
        <v>13</v>
      </c>
      <c r="H371" s="17" t="s">
        <v>425</v>
      </c>
      <c r="I371" s="4"/>
    </row>
    <row r="372">
      <c r="A372" s="16">
        <v>368.0</v>
      </c>
      <c r="B372" s="17" t="s">
        <v>423</v>
      </c>
      <c r="C372" s="17" t="s">
        <v>426</v>
      </c>
      <c r="D372" s="17">
        <v>36.0</v>
      </c>
      <c r="E372" s="17" t="s">
        <v>13</v>
      </c>
      <c r="F372" s="17" t="s">
        <v>13</v>
      </c>
      <c r="G372" s="17" t="s">
        <v>13</v>
      </c>
      <c r="H372" s="17" t="s">
        <v>427</v>
      </c>
      <c r="I372" s="4"/>
    </row>
    <row r="373">
      <c r="A373" s="16">
        <v>369.0</v>
      </c>
      <c r="B373" s="17" t="s">
        <v>423</v>
      </c>
      <c r="C373" s="17" t="s">
        <v>428</v>
      </c>
      <c r="D373" s="17">
        <v>8.0</v>
      </c>
      <c r="E373" s="17" t="s">
        <v>13</v>
      </c>
      <c r="F373" s="17" t="s">
        <v>13</v>
      </c>
      <c r="G373" s="17" t="s">
        <v>13</v>
      </c>
      <c r="H373" s="17" t="s">
        <v>13</v>
      </c>
      <c r="I373" s="4"/>
    </row>
    <row r="374">
      <c r="A374" s="16">
        <v>370.0</v>
      </c>
      <c r="B374" s="17" t="s">
        <v>423</v>
      </c>
      <c r="C374" s="17" t="s">
        <v>429</v>
      </c>
      <c r="D374" s="17">
        <v>8.0</v>
      </c>
      <c r="E374" s="17" t="s">
        <v>13</v>
      </c>
      <c r="F374" s="17" t="s">
        <v>13</v>
      </c>
      <c r="G374" s="17" t="s">
        <v>13</v>
      </c>
      <c r="H374" s="17" t="s">
        <v>13</v>
      </c>
      <c r="I374" s="4"/>
    </row>
    <row r="375">
      <c r="A375" s="16">
        <v>371.0</v>
      </c>
      <c r="B375" s="17" t="s">
        <v>423</v>
      </c>
      <c r="C375" s="17" t="s">
        <v>430</v>
      </c>
      <c r="D375" s="17">
        <v>37.0</v>
      </c>
      <c r="E375" s="17" t="s">
        <v>14</v>
      </c>
      <c r="F375" s="17" t="s">
        <v>13</v>
      </c>
      <c r="G375" s="17" t="s">
        <v>13</v>
      </c>
      <c r="H375" s="17" t="s">
        <v>431</v>
      </c>
      <c r="I375" s="4"/>
    </row>
    <row r="376">
      <c r="A376" s="16">
        <v>372.0</v>
      </c>
      <c r="B376" s="17" t="s">
        <v>423</v>
      </c>
      <c r="C376" s="17" t="s">
        <v>432</v>
      </c>
      <c r="D376" s="17">
        <v>47.0</v>
      </c>
      <c r="E376" s="17" t="s">
        <v>13</v>
      </c>
      <c r="F376" s="17" t="s">
        <v>13</v>
      </c>
      <c r="G376" s="17" t="s">
        <v>13</v>
      </c>
      <c r="H376" s="17" t="s">
        <v>13</v>
      </c>
      <c r="I376" s="4"/>
    </row>
    <row r="377">
      <c r="A377" s="16">
        <v>373.0</v>
      </c>
      <c r="B377" s="17" t="s">
        <v>423</v>
      </c>
      <c r="C377" s="17" t="s">
        <v>433</v>
      </c>
      <c r="D377" s="17">
        <v>47.0</v>
      </c>
      <c r="E377" s="17" t="s">
        <v>13</v>
      </c>
      <c r="F377" s="17" t="s">
        <v>13</v>
      </c>
      <c r="G377" s="17" t="s">
        <v>13</v>
      </c>
      <c r="H377" s="17" t="s">
        <v>13</v>
      </c>
      <c r="I377" s="4"/>
    </row>
    <row r="378">
      <c r="A378" s="16">
        <v>374.0</v>
      </c>
      <c r="B378" s="17" t="s">
        <v>423</v>
      </c>
      <c r="C378" s="17" t="s">
        <v>434</v>
      </c>
      <c r="D378" s="17">
        <v>13.0</v>
      </c>
      <c r="E378" s="17" t="s">
        <v>13</v>
      </c>
      <c r="F378" s="17" t="s">
        <v>13</v>
      </c>
      <c r="G378" s="17" t="s">
        <v>13</v>
      </c>
      <c r="H378" s="17" t="s">
        <v>13</v>
      </c>
      <c r="I378" s="4"/>
    </row>
    <row r="379">
      <c r="A379" s="16">
        <v>375.0</v>
      </c>
      <c r="B379" s="17" t="s">
        <v>423</v>
      </c>
      <c r="C379" s="17" t="s">
        <v>435</v>
      </c>
      <c r="D379" s="17">
        <v>10.0</v>
      </c>
      <c r="E379" s="17" t="s">
        <v>13</v>
      </c>
      <c r="F379" s="17" t="s">
        <v>13</v>
      </c>
      <c r="G379" s="17" t="s">
        <v>13</v>
      </c>
      <c r="H379" s="17" t="s">
        <v>13</v>
      </c>
      <c r="I379" s="4"/>
    </row>
    <row r="380">
      <c r="A380" s="16">
        <v>376.0</v>
      </c>
      <c r="B380" s="17" t="s">
        <v>423</v>
      </c>
      <c r="C380" s="17" t="s">
        <v>435</v>
      </c>
      <c r="D380" s="17">
        <v>10.0</v>
      </c>
      <c r="E380" s="17" t="s">
        <v>13</v>
      </c>
      <c r="F380" s="17" t="s">
        <v>13</v>
      </c>
      <c r="G380" s="17" t="s">
        <v>13</v>
      </c>
      <c r="H380" s="17" t="s">
        <v>13</v>
      </c>
      <c r="I380" s="4"/>
    </row>
    <row r="381">
      <c r="A381" s="16">
        <v>377.0</v>
      </c>
      <c r="B381" s="17" t="s">
        <v>423</v>
      </c>
      <c r="C381" s="17" t="s">
        <v>436</v>
      </c>
      <c r="D381" s="17">
        <v>17.0</v>
      </c>
      <c r="E381" s="17" t="s">
        <v>13</v>
      </c>
      <c r="F381" s="17" t="s">
        <v>13</v>
      </c>
      <c r="G381" s="17" t="s">
        <v>13</v>
      </c>
      <c r="H381" s="17" t="s">
        <v>437</v>
      </c>
      <c r="I381" s="4"/>
    </row>
    <row r="382">
      <c r="A382" s="16">
        <v>378.0</v>
      </c>
      <c r="B382" s="17" t="s">
        <v>423</v>
      </c>
      <c r="C382" s="17" t="s">
        <v>438</v>
      </c>
      <c r="D382" s="17" t="s">
        <v>13</v>
      </c>
      <c r="E382" s="17" t="s">
        <v>13</v>
      </c>
      <c r="F382" s="17" t="s">
        <v>13</v>
      </c>
      <c r="G382" s="17" t="s">
        <v>13</v>
      </c>
      <c r="H382" s="17" t="s">
        <v>439</v>
      </c>
      <c r="I382" s="4"/>
    </row>
    <row r="383">
      <c r="A383" s="16">
        <v>379.0</v>
      </c>
      <c r="B383" s="17" t="s">
        <v>423</v>
      </c>
      <c r="C383" s="17" t="s">
        <v>440</v>
      </c>
      <c r="D383" s="17">
        <v>39.0</v>
      </c>
      <c r="E383" s="17" t="s">
        <v>13</v>
      </c>
      <c r="F383" s="17" t="s">
        <v>13</v>
      </c>
      <c r="G383" s="17" t="s">
        <v>330</v>
      </c>
      <c r="H383" s="17" t="s">
        <v>441</v>
      </c>
      <c r="I383" s="4"/>
    </row>
    <row r="384">
      <c r="A384" s="16">
        <v>380.0</v>
      </c>
      <c r="B384" s="17" t="s">
        <v>423</v>
      </c>
      <c r="C384" s="17" t="s">
        <v>442</v>
      </c>
      <c r="D384" s="17">
        <v>73.0</v>
      </c>
      <c r="E384" s="17" t="s">
        <v>14</v>
      </c>
      <c r="F384" s="17" t="s">
        <v>13</v>
      </c>
      <c r="G384" s="17" t="s">
        <v>13</v>
      </c>
      <c r="H384" s="17" t="s">
        <v>15</v>
      </c>
      <c r="I384" s="4"/>
    </row>
    <row r="385">
      <c r="A385" s="16">
        <v>381.0</v>
      </c>
      <c r="B385" s="17" t="s">
        <v>423</v>
      </c>
      <c r="C385" s="17" t="s">
        <v>443</v>
      </c>
      <c r="D385" s="17">
        <v>25.0</v>
      </c>
      <c r="E385" s="17" t="s">
        <v>13</v>
      </c>
      <c r="F385" s="17" t="s">
        <v>13</v>
      </c>
      <c r="G385" s="17" t="s">
        <v>13</v>
      </c>
      <c r="H385" s="17" t="s">
        <v>13</v>
      </c>
      <c r="I385" s="4"/>
    </row>
    <row r="386">
      <c r="A386" s="16">
        <v>382.0</v>
      </c>
      <c r="B386" s="17" t="s">
        <v>423</v>
      </c>
      <c r="C386" s="17" t="s">
        <v>444</v>
      </c>
      <c r="D386" s="17">
        <v>77.0</v>
      </c>
      <c r="E386" s="17" t="s">
        <v>13</v>
      </c>
      <c r="F386" s="17" t="s">
        <v>13</v>
      </c>
      <c r="G386" s="17" t="s">
        <v>13</v>
      </c>
      <c r="H386" s="17" t="s">
        <v>13</v>
      </c>
      <c r="I386" s="4"/>
    </row>
    <row r="387">
      <c r="A387" s="16">
        <v>383.0</v>
      </c>
      <c r="B387" s="17" t="s">
        <v>423</v>
      </c>
      <c r="C387" s="17" t="s">
        <v>445</v>
      </c>
      <c r="D387" s="17">
        <v>54.0</v>
      </c>
      <c r="E387" s="17" t="s">
        <v>13</v>
      </c>
      <c r="F387" s="17" t="s">
        <v>13</v>
      </c>
      <c r="G387" s="17" t="s">
        <v>13</v>
      </c>
      <c r="H387" s="17" t="s">
        <v>446</v>
      </c>
      <c r="I387" s="4"/>
    </row>
    <row r="388">
      <c r="A388" s="16">
        <v>384.0</v>
      </c>
      <c r="B388" s="17" t="s">
        <v>423</v>
      </c>
      <c r="C388" s="17" t="s">
        <v>447</v>
      </c>
      <c r="D388" s="17">
        <v>9.0</v>
      </c>
      <c r="E388" s="17" t="s">
        <v>14</v>
      </c>
      <c r="F388" s="17" t="s">
        <v>13</v>
      </c>
      <c r="G388" s="17" t="s">
        <v>13</v>
      </c>
      <c r="H388" s="17" t="s">
        <v>448</v>
      </c>
      <c r="I388" s="4"/>
    </row>
    <row r="389">
      <c r="A389" s="16">
        <v>385.0</v>
      </c>
      <c r="B389" s="17" t="s">
        <v>423</v>
      </c>
      <c r="C389" s="17" t="s">
        <v>449</v>
      </c>
      <c r="D389" s="17" t="s">
        <v>13</v>
      </c>
      <c r="E389" s="17" t="s">
        <v>13</v>
      </c>
      <c r="F389" s="17" t="s">
        <v>13</v>
      </c>
      <c r="G389" s="17" t="s">
        <v>13</v>
      </c>
      <c r="H389" s="17" t="s">
        <v>450</v>
      </c>
      <c r="I389" s="4"/>
    </row>
    <row r="390">
      <c r="A390" s="16">
        <v>386.0</v>
      </c>
      <c r="B390" s="17" t="s">
        <v>423</v>
      </c>
      <c r="C390" s="17" t="s">
        <v>451</v>
      </c>
      <c r="D390" s="17">
        <v>9.0</v>
      </c>
      <c r="E390" s="17" t="s">
        <v>13</v>
      </c>
      <c r="F390" s="17" t="s">
        <v>13</v>
      </c>
      <c r="G390" s="17" t="s">
        <v>13</v>
      </c>
      <c r="H390" s="17" t="s">
        <v>452</v>
      </c>
      <c r="I390" s="4"/>
    </row>
    <row r="391">
      <c r="A391" s="16">
        <v>387.0</v>
      </c>
      <c r="B391" s="17" t="s">
        <v>423</v>
      </c>
      <c r="C391" s="17" t="s">
        <v>453</v>
      </c>
      <c r="D391" s="17">
        <v>37.0</v>
      </c>
      <c r="E391" s="17" t="s">
        <v>13</v>
      </c>
      <c r="F391" s="17" t="s">
        <v>13</v>
      </c>
      <c r="G391" s="17" t="s">
        <v>13</v>
      </c>
      <c r="H391" s="17" t="s">
        <v>439</v>
      </c>
      <c r="I391" s="4"/>
    </row>
    <row r="392">
      <c r="A392" s="16">
        <v>388.0</v>
      </c>
      <c r="B392" s="17" t="s">
        <v>423</v>
      </c>
      <c r="C392" s="17" t="s">
        <v>454</v>
      </c>
      <c r="D392" s="17">
        <v>34.0</v>
      </c>
      <c r="E392" s="17" t="s">
        <v>13</v>
      </c>
      <c r="F392" s="17" t="s">
        <v>13</v>
      </c>
      <c r="G392" s="17" t="s">
        <v>13</v>
      </c>
      <c r="H392" s="17" t="s">
        <v>439</v>
      </c>
      <c r="I392" s="4"/>
    </row>
    <row r="393">
      <c r="A393" s="16">
        <v>389.0</v>
      </c>
      <c r="B393" s="17" t="s">
        <v>423</v>
      </c>
      <c r="C393" s="17" t="s">
        <v>455</v>
      </c>
      <c r="D393" s="17">
        <v>52.0</v>
      </c>
      <c r="E393" s="17" t="s">
        <v>13</v>
      </c>
      <c r="F393" s="17" t="s">
        <v>13</v>
      </c>
      <c r="G393" s="17" t="s">
        <v>13</v>
      </c>
      <c r="H393" s="17" t="s">
        <v>439</v>
      </c>
      <c r="I393" s="4"/>
    </row>
    <row r="394">
      <c r="A394" s="16">
        <v>390.0</v>
      </c>
      <c r="B394" s="17" t="s">
        <v>423</v>
      </c>
      <c r="C394" s="17" t="s">
        <v>456</v>
      </c>
      <c r="D394" s="17">
        <v>17.0</v>
      </c>
      <c r="E394" s="17" t="s">
        <v>13</v>
      </c>
      <c r="F394" s="17" t="s">
        <v>13</v>
      </c>
      <c r="G394" s="17" t="s">
        <v>13</v>
      </c>
      <c r="H394" s="17" t="s">
        <v>437</v>
      </c>
      <c r="I394" s="4"/>
    </row>
    <row r="395">
      <c r="A395" s="16">
        <v>391.0</v>
      </c>
      <c r="B395" s="17" t="s">
        <v>423</v>
      </c>
      <c r="C395" s="17" t="s">
        <v>457</v>
      </c>
      <c r="D395" s="17" t="s">
        <v>13</v>
      </c>
      <c r="E395" s="17" t="s">
        <v>14</v>
      </c>
      <c r="F395" s="17" t="s">
        <v>13</v>
      </c>
      <c r="G395" s="17" t="s">
        <v>13</v>
      </c>
      <c r="H395" s="17" t="s">
        <v>15</v>
      </c>
      <c r="I395" s="4"/>
    </row>
    <row r="396">
      <c r="A396" s="16">
        <v>392.0</v>
      </c>
      <c r="B396" s="17" t="s">
        <v>423</v>
      </c>
      <c r="C396" s="17" t="s">
        <v>458</v>
      </c>
      <c r="D396" s="17">
        <v>17.0</v>
      </c>
      <c r="E396" s="17" t="s">
        <v>459</v>
      </c>
      <c r="F396" s="17" t="s">
        <v>13</v>
      </c>
      <c r="G396" s="17" t="s">
        <v>13</v>
      </c>
      <c r="H396" s="17" t="s">
        <v>15</v>
      </c>
      <c r="I396" s="4"/>
    </row>
    <row r="397">
      <c r="A397" s="16">
        <v>393.0</v>
      </c>
      <c r="B397" s="17" t="s">
        <v>423</v>
      </c>
      <c r="C397" s="17" t="s">
        <v>460</v>
      </c>
      <c r="D397" s="17">
        <v>18.0</v>
      </c>
      <c r="E397" s="17" t="s">
        <v>13</v>
      </c>
      <c r="F397" s="17" t="s">
        <v>13</v>
      </c>
      <c r="G397" s="17" t="s">
        <v>13</v>
      </c>
      <c r="H397" s="17" t="s">
        <v>437</v>
      </c>
      <c r="I397" s="4"/>
    </row>
    <row r="398">
      <c r="A398" s="16">
        <v>394.0</v>
      </c>
      <c r="B398" s="17" t="s">
        <v>423</v>
      </c>
      <c r="C398" s="17" t="s">
        <v>461</v>
      </c>
      <c r="D398" s="17">
        <v>54.0</v>
      </c>
      <c r="E398" s="17" t="s">
        <v>13</v>
      </c>
      <c r="F398" s="17" t="s">
        <v>13</v>
      </c>
      <c r="G398" s="17" t="s">
        <v>13</v>
      </c>
      <c r="H398" s="17" t="s">
        <v>439</v>
      </c>
      <c r="I398" s="4"/>
    </row>
    <row r="399">
      <c r="A399" s="16">
        <v>395.0</v>
      </c>
      <c r="B399" s="17" t="s">
        <v>423</v>
      </c>
      <c r="C399" s="17" t="s">
        <v>462</v>
      </c>
      <c r="D399" s="17">
        <v>65.0</v>
      </c>
      <c r="E399" s="17" t="s">
        <v>13</v>
      </c>
      <c r="F399" s="17" t="s">
        <v>13</v>
      </c>
      <c r="G399" s="17" t="s">
        <v>13</v>
      </c>
      <c r="H399" s="17" t="s">
        <v>13</v>
      </c>
      <c r="I399" s="4"/>
    </row>
    <row r="400">
      <c r="A400" s="16">
        <v>396.0</v>
      </c>
      <c r="B400" s="17" t="s">
        <v>423</v>
      </c>
      <c r="C400" s="17" t="s">
        <v>463</v>
      </c>
      <c r="D400" s="17" t="s">
        <v>13</v>
      </c>
      <c r="E400" s="17" t="s">
        <v>13</v>
      </c>
      <c r="F400" s="17" t="s">
        <v>13</v>
      </c>
      <c r="G400" s="17" t="s">
        <v>13</v>
      </c>
      <c r="H400" s="17" t="s">
        <v>464</v>
      </c>
      <c r="I400" s="4"/>
    </row>
    <row r="401">
      <c r="A401" s="16">
        <v>397.0</v>
      </c>
      <c r="B401" s="17" t="s">
        <v>423</v>
      </c>
      <c r="C401" s="17" t="s">
        <v>465</v>
      </c>
      <c r="D401" s="17">
        <v>65.0</v>
      </c>
      <c r="E401" s="17" t="s">
        <v>13</v>
      </c>
      <c r="F401" s="17" t="s">
        <v>13</v>
      </c>
      <c r="G401" s="17" t="s">
        <v>466</v>
      </c>
      <c r="H401" s="17" t="s">
        <v>13</v>
      </c>
      <c r="I401" s="4"/>
    </row>
    <row r="402">
      <c r="A402" s="16">
        <v>398.0</v>
      </c>
      <c r="B402" s="17" t="s">
        <v>423</v>
      </c>
      <c r="C402" s="17" t="s">
        <v>465</v>
      </c>
      <c r="D402" s="17" t="s">
        <v>13</v>
      </c>
      <c r="E402" s="17" t="s">
        <v>13</v>
      </c>
      <c r="F402" s="17" t="s">
        <v>13</v>
      </c>
      <c r="G402" s="17" t="s">
        <v>13</v>
      </c>
      <c r="H402" s="17" t="s">
        <v>13</v>
      </c>
      <c r="I402" s="4"/>
    </row>
    <row r="403">
      <c r="A403" s="16">
        <v>399.0</v>
      </c>
      <c r="B403" s="17" t="s">
        <v>423</v>
      </c>
      <c r="C403" s="17" t="s">
        <v>467</v>
      </c>
      <c r="D403" s="17" t="s">
        <v>13</v>
      </c>
      <c r="E403" s="17" t="s">
        <v>13</v>
      </c>
      <c r="F403" s="17" t="s">
        <v>13</v>
      </c>
      <c r="G403" s="17" t="s">
        <v>13</v>
      </c>
      <c r="H403" s="17" t="s">
        <v>468</v>
      </c>
      <c r="I403" s="4"/>
    </row>
    <row r="404">
      <c r="A404" s="16">
        <v>400.0</v>
      </c>
      <c r="B404" s="17" t="s">
        <v>423</v>
      </c>
      <c r="C404" s="17" t="s">
        <v>467</v>
      </c>
      <c r="D404" s="17" t="s">
        <v>13</v>
      </c>
      <c r="E404" s="17" t="s">
        <v>13</v>
      </c>
      <c r="F404" s="17" t="s">
        <v>13</v>
      </c>
      <c r="G404" s="17" t="s">
        <v>13</v>
      </c>
      <c r="H404" s="17" t="s">
        <v>469</v>
      </c>
      <c r="I404" s="4"/>
    </row>
    <row r="405">
      <c r="A405" s="16">
        <v>401.0</v>
      </c>
      <c r="B405" s="17" t="s">
        <v>423</v>
      </c>
      <c r="C405" s="17" t="s">
        <v>470</v>
      </c>
      <c r="D405" s="17">
        <v>72.0</v>
      </c>
      <c r="E405" s="17" t="s">
        <v>13</v>
      </c>
      <c r="F405" s="17" t="s">
        <v>13</v>
      </c>
      <c r="G405" s="17" t="s">
        <v>13</v>
      </c>
      <c r="H405" s="17" t="s">
        <v>13</v>
      </c>
      <c r="I405" s="4"/>
    </row>
    <row r="406">
      <c r="A406" s="16">
        <v>402.0</v>
      </c>
      <c r="B406" s="17" t="s">
        <v>423</v>
      </c>
      <c r="C406" s="17" t="s">
        <v>471</v>
      </c>
      <c r="D406" s="17">
        <v>6.0</v>
      </c>
      <c r="E406" s="17" t="s">
        <v>14</v>
      </c>
      <c r="F406" s="17" t="s">
        <v>13</v>
      </c>
      <c r="G406" s="17" t="s">
        <v>13</v>
      </c>
      <c r="H406" s="17" t="s">
        <v>472</v>
      </c>
      <c r="I406" s="4"/>
    </row>
    <row r="407">
      <c r="A407" s="16">
        <v>403.0</v>
      </c>
      <c r="B407" s="17" t="s">
        <v>423</v>
      </c>
      <c r="C407" s="17" t="s">
        <v>473</v>
      </c>
      <c r="D407" s="17">
        <v>15.0</v>
      </c>
      <c r="E407" s="17" t="s">
        <v>13</v>
      </c>
      <c r="F407" s="17" t="s">
        <v>13</v>
      </c>
      <c r="G407" s="17" t="s">
        <v>13</v>
      </c>
      <c r="H407" s="17" t="s">
        <v>474</v>
      </c>
      <c r="I407" s="4"/>
    </row>
    <row r="408">
      <c r="A408" s="16">
        <v>404.0</v>
      </c>
      <c r="B408" s="17" t="s">
        <v>423</v>
      </c>
      <c r="C408" s="17" t="s">
        <v>475</v>
      </c>
      <c r="D408" s="17" t="s">
        <v>13</v>
      </c>
      <c r="E408" s="17" t="s">
        <v>13</v>
      </c>
      <c r="F408" s="17" t="s">
        <v>13</v>
      </c>
      <c r="G408" s="17" t="s">
        <v>13</v>
      </c>
      <c r="H408" s="17" t="s">
        <v>450</v>
      </c>
      <c r="I408" s="4"/>
    </row>
    <row r="409">
      <c r="A409" s="16">
        <v>405.0</v>
      </c>
      <c r="B409" s="17" t="s">
        <v>423</v>
      </c>
      <c r="C409" s="17" t="s">
        <v>476</v>
      </c>
      <c r="D409" s="17">
        <v>54.0</v>
      </c>
      <c r="E409" s="17" t="s">
        <v>13</v>
      </c>
      <c r="F409" s="17" t="s">
        <v>13</v>
      </c>
      <c r="G409" s="17" t="s">
        <v>13</v>
      </c>
      <c r="H409" s="17" t="s">
        <v>477</v>
      </c>
      <c r="I409" s="4"/>
    </row>
    <row r="410">
      <c r="A410" s="16">
        <v>406.0</v>
      </c>
      <c r="B410" s="17" t="s">
        <v>423</v>
      </c>
      <c r="C410" s="17" t="s">
        <v>478</v>
      </c>
      <c r="D410" s="17">
        <v>37.0</v>
      </c>
      <c r="E410" s="17" t="s">
        <v>13</v>
      </c>
      <c r="F410" s="17" t="s">
        <v>13</v>
      </c>
      <c r="G410" s="17" t="s">
        <v>13</v>
      </c>
      <c r="H410" s="17" t="s">
        <v>13</v>
      </c>
      <c r="I410" s="4"/>
    </row>
    <row r="411">
      <c r="A411" s="16">
        <v>407.0</v>
      </c>
      <c r="B411" s="17" t="s">
        <v>423</v>
      </c>
      <c r="C411" s="17" t="s">
        <v>479</v>
      </c>
      <c r="D411" s="17">
        <v>37.0</v>
      </c>
      <c r="E411" s="17" t="s">
        <v>13</v>
      </c>
      <c r="F411" s="17" t="s">
        <v>13</v>
      </c>
      <c r="G411" s="17" t="s">
        <v>13</v>
      </c>
      <c r="H411" s="17" t="s">
        <v>13</v>
      </c>
      <c r="I411" s="4"/>
    </row>
    <row r="412">
      <c r="A412" s="16">
        <v>408.0</v>
      </c>
      <c r="B412" s="17" t="s">
        <v>423</v>
      </c>
      <c r="C412" s="17" t="s">
        <v>480</v>
      </c>
      <c r="D412" s="17">
        <v>42.0</v>
      </c>
      <c r="E412" s="17" t="s">
        <v>13</v>
      </c>
      <c r="F412" s="17" t="s">
        <v>13</v>
      </c>
      <c r="G412" s="17" t="s">
        <v>13</v>
      </c>
      <c r="H412" s="17" t="s">
        <v>13</v>
      </c>
      <c r="I412" s="4"/>
    </row>
    <row r="413">
      <c r="A413" s="16">
        <v>409.0</v>
      </c>
      <c r="B413" s="17" t="s">
        <v>423</v>
      </c>
      <c r="C413" s="17" t="s">
        <v>481</v>
      </c>
      <c r="D413" s="17">
        <v>30.0</v>
      </c>
      <c r="E413" s="17" t="s">
        <v>13</v>
      </c>
      <c r="F413" s="17" t="s">
        <v>13</v>
      </c>
      <c r="G413" s="17" t="s">
        <v>13</v>
      </c>
      <c r="H413" s="17" t="s">
        <v>482</v>
      </c>
      <c r="I413" s="4"/>
    </row>
    <row r="414">
      <c r="A414" s="16">
        <v>410.0</v>
      </c>
      <c r="B414" s="17" t="s">
        <v>423</v>
      </c>
      <c r="C414" s="17" t="s">
        <v>483</v>
      </c>
      <c r="D414" s="17">
        <v>65.0</v>
      </c>
      <c r="E414" s="17" t="s">
        <v>13</v>
      </c>
      <c r="F414" s="17" t="s">
        <v>13</v>
      </c>
      <c r="G414" s="17" t="s">
        <v>13</v>
      </c>
      <c r="H414" s="17" t="s">
        <v>484</v>
      </c>
      <c r="I414" s="4"/>
    </row>
    <row r="415">
      <c r="A415" s="16">
        <v>411.0</v>
      </c>
      <c r="B415" s="17" t="s">
        <v>423</v>
      </c>
      <c r="C415" s="17" t="s">
        <v>485</v>
      </c>
      <c r="D415" s="17">
        <v>37.0</v>
      </c>
      <c r="E415" s="17" t="s">
        <v>14</v>
      </c>
      <c r="F415" s="17" t="s">
        <v>13</v>
      </c>
      <c r="G415" s="17" t="s">
        <v>13</v>
      </c>
      <c r="H415" s="17" t="s">
        <v>486</v>
      </c>
      <c r="I415" s="4"/>
    </row>
    <row r="416">
      <c r="A416" s="16">
        <v>412.0</v>
      </c>
      <c r="B416" s="17" t="s">
        <v>423</v>
      </c>
      <c r="C416" s="17" t="s">
        <v>487</v>
      </c>
      <c r="D416" s="17">
        <v>37.0</v>
      </c>
      <c r="E416" s="17" t="s">
        <v>14</v>
      </c>
      <c r="F416" s="17" t="s">
        <v>13</v>
      </c>
      <c r="G416" s="17" t="s">
        <v>13</v>
      </c>
      <c r="H416" s="17" t="s">
        <v>488</v>
      </c>
      <c r="I416" s="4"/>
    </row>
    <row r="417">
      <c r="A417" s="16">
        <v>413.0</v>
      </c>
      <c r="B417" s="17" t="s">
        <v>423</v>
      </c>
      <c r="C417" s="17" t="s">
        <v>489</v>
      </c>
      <c r="D417" s="17">
        <v>37.0</v>
      </c>
      <c r="E417" s="17" t="s">
        <v>13</v>
      </c>
      <c r="F417" s="17" t="s">
        <v>13</v>
      </c>
      <c r="G417" s="17" t="s">
        <v>330</v>
      </c>
      <c r="H417" s="17" t="s">
        <v>441</v>
      </c>
      <c r="I417" s="4"/>
    </row>
    <row r="418">
      <c r="A418" s="16">
        <v>414.0</v>
      </c>
      <c r="B418" s="17" t="s">
        <v>423</v>
      </c>
      <c r="C418" s="17" t="s">
        <v>490</v>
      </c>
      <c r="D418" s="17">
        <v>74.0</v>
      </c>
      <c r="E418" s="17" t="s">
        <v>13</v>
      </c>
      <c r="F418" s="17" t="s">
        <v>13</v>
      </c>
      <c r="G418" s="17" t="s">
        <v>491</v>
      </c>
      <c r="H418" s="17" t="s">
        <v>13</v>
      </c>
      <c r="I418" s="4"/>
    </row>
    <row r="419">
      <c r="A419" s="16">
        <v>415.0</v>
      </c>
      <c r="B419" s="17" t="s">
        <v>423</v>
      </c>
      <c r="C419" s="17" t="s">
        <v>490</v>
      </c>
      <c r="D419" s="17">
        <v>74.0</v>
      </c>
      <c r="E419" s="17" t="s">
        <v>13</v>
      </c>
      <c r="F419" s="17" t="s">
        <v>13</v>
      </c>
      <c r="G419" s="17" t="s">
        <v>13</v>
      </c>
      <c r="H419" s="17" t="s">
        <v>425</v>
      </c>
      <c r="I419" s="4"/>
    </row>
    <row r="420">
      <c r="A420" s="16">
        <v>416.0</v>
      </c>
      <c r="B420" s="17" t="s">
        <v>423</v>
      </c>
      <c r="C420" s="17" t="s">
        <v>492</v>
      </c>
      <c r="D420" s="17">
        <v>62.0</v>
      </c>
      <c r="E420" s="17" t="s">
        <v>13</v>
      </c>
      <c r="F420" s="17" t="s">
        <v>13</v>
      </c>
      <c r="G420" s="17" t="s">
        <v>13</v>
      </c>
      <c r="H420" s="17" t="s">
        <v>13</v>
      </c>
      <c r="I420" s="4"/>
    </row>
    <row r="421">
      <c r="A421" s="16">
        <v>417.0</v>
      </c>
      <c r="B421" s="17" t="s">
        <v>423</v>
      </c>
      <c r="C421" s="17" t="s">
        <v>492</v>
      </c>
      <c r="D421" s="17">
        <v>62.0</v>
      </c>
      <c r="E421" s="17" t="s">
        <v>13</v>
      </c>
      <c r="F421" s="17" t="s">
        <v>13</v>
      </c>
      <c r="G421" s="17" t="s">
        <v>13</v>
      </c>
      <c r="H421" s="17" t="s">
        <v>13</v>
      </c>
      <c r="I421" s="4"/>
    </row>
    <row r="422">
      <c r="A422" s="16">
        <v>418.0</v>
      </c>
      <c r="B422" s="17" t="s">
        <v>423</v>
      </c>
      <c r="C422" s="17" t="s">
        <v>493</v>
      </c>
      <c r="D422" s="17">
        <v>55.0</v>
      </c>
      <c r="E422" s="17" t="s">
        <v>13</v>
      </c>
      <c r="F422" s="17" t="s">
        <v>13</v>
      </c>
      <c r="G422" s="17" t="s">
        <v>13</v>
      </c>
      <c r="H422" s="17" t="s">
        <v>13</v>
      </c>
      <c r="I422" s="4"/>
    </row>
    <row r="423">
      <c r="A423" s="16">
        <v>419.0</v>
      </c>
      <c r="B423" s="17" t="s">
        <v>423</v>
      </c>
      <c r="C423" s="17" t="s">
        <v>494</v>
      </c>
      <c r="D423" s="17">
        <v>6.0</v>
      </c>
      <c r="E423" s="17" t="s">
        <v>13</v>
      </c>
      <c r="F423" s="17" t="s">
        <v>13</v>
      </c>
      <c r="G423" s="17" t="s">
        <v>13</v>
      </c>
      <c r="H423" s="17" t="s">
        <v>13</v>
      </c>
      <c r="I423" s="4"/>
    </row>
    <row r="424">
      <c r="A424" s="16">
        <v>420.0</v>
      </c>
      <c r="B424" s="17" t="s">
        <v>423</v>
      </c>
      <c r="C424" s="17" t="s">
        <v>495</v>
      </c>
      <c r="D424" s="17" t="s">
        <v>13</v>
      </c>
      <c r="E424" s="17" t="s">
        <v>13</v>
      </c>
      <c r="F424" s="17" t="s">
        <v>13</v>
      </c>
      <c r="G424" s="17" t="s">
        <v>13</v>
      </c>
      <c r="H424" s="17" t="s">
        <v>450</v>
      </c>
      <c r="I424" s="4"/>
    </row>
    <row r="425">
      <c r="A425" s="16">
        <v>421.0</v>
      </c>
      <c r="B425" s="17" t="s">
        <v>423</v>
      </c>
      <c r="C425" s="17" t="s">
        <v>496</v>
      </c>
      <c r="D425" s="17">
        <v>53.0</v>
      </c>
      <c r="E425" s="17" t="s">
        <v>13</v>
      </c>
      <c r="F425" s="17" t="s">
        <v>13</v>
      </c>
      <c r="G425" s="17" t="s">
        <v>13</v>
      </c>
      <c r="H425" s="17" t="s">
        <v>497</v>
      </c>
      <c r="I425" s="4"/>
    </row>
    <row r="426">
      <c r="A426" s="16">
        <v>422.0</v>
      </c>
      <c r="B426" s="17" t="s">
        <v>423</v>
      </c>
      <c r="C426" s="17" t="s">
        <v>498</v>
      </c>
      <c r="D426" s="17" t="s">
        <v>13</v>
      </c>
      <c r="E426" s="17" t="s">
        <v>13</v>
      </c>
      <c r="F426" s="17" t="s">
        <v>13</v>
      </c>
      <c r="G426" s="17" t="s">
        <v>13</v>
      </c>
      <c r="H426" s="17" t="s">
        <v>499</v>
      </c>
      <c r="I426" s="4"/>
    </row>
    <row r="427">
      <c r="A427" s="16">
        <v>423.0</v>
      </c>
      <c r="B427" s="17" t="s">
        <v>423</v>
      </c>
      <c r="C427" s="17" t="s">
        <v>500</v>
      </c>
      <c r="D427" s="17">
        <v>53.0</v>
      </c>
      <c r="E427" s="17" t="s">
        <v>13</v>
      </c>
      <c r="F427" s="17" t="s">
        <v>13</v>
      </c>
      <c r="G427" s="17" t="s">
        <v>13</v>
      </c>
      <c r="H427" s="17" t="s">
        <v>13</v>
      </c>
      <c r="I427" s="4"/>
    </row>
    <row r="428">
      <c r="A428" s="16">
        <v>424.0</v>
      </c>
      <c r="B428" s="17" t="s">
        <v>423</v>
      </c>
      <c r="C428" s="17" t="s">
        <v>501</v>
      </c>
      <c r="D428" s="17">
        <v>7.0</v>
      </c>
      <c r="E428" s="17" t="s">
        <v>13</v>
      </c>
      <c r="F428" s="17" t="s">
        <v>13</v>
      </c>
      <c r="G428" s="17" t="s">
        <v>330</v>
      </c>
      <c r="H428" s="17" t="s">
        <v>452</v>
      </c>
      <c r="I428" s="4"/>
    </row>
    <row r="429">
      <c r="A429" s="16">
        <v>425.0</v>
      </c>
      <c r="B429" s="17" t="s">
        <v>423</v>
      </c>
      <c r="C429" s="17" t="s">
        <v>502</v>
      </c>
      <c r="D429" s="17">
        <v>5.0</v>
      </c>
      <c r="E429" s="17" t="s">
        <v>13</v>
      </c>
      <c r="F429" s="17" t="s">
        <v>13</v>
      </c>
      <c r="G429" s="17" t="s">
        <v>13</v>
      </c>
      <c r="H429" s="17" t="s">
        <v>474</v>
      </c>
      <c r="I429" s="4"/>
    </row>
    <row r="430">
      <c r="A430" s="16">
        <v>426.0</v>
      </c>
      <c r="B430" s="17" t="s">
        <v>423</v>
      </c>
      <c r="C430" s="17" t="s">
        <v>503</v>
      </c>
      <c r="D430" s="17">
        <v>54.0</v>
      </c>
      <c r="E430" s="17" t="s">
        <v>504</v>
      </c>
      <c r="F430" s="17" t="s">
        <v>13</v>
      </c>
      <c r="G430" s="17" t="s">
        <v>13</v>
      </c>
      <c r="H430" s="17" t="s">
        <v>15</v>
      </c>
      <c r="I430" s="4"/>
    </row>
    <row r="431">
      <c r="A431" s="16">
        <v>427.0</v>
      </c>
      <c r="B431" s="17" t="s">
        <v>423</v>
      </c>
      <c r="C431" s="17" t="s">
        <v>505</v>
      </c>
      <c r="D431" s="17" t="s">
        <v>13</v>
      </c>
      <c r="E431" s="17" t="s">
        <v>13</v>
      </c>
      <c r="F431" s="17" t="s">
        <v>13</v>
      </c>
      <c r="G431" s="17" t="s">
        <v>13</v>
      </c>
      <c r="H431" s="17" t="s">
        <v>477</v>
      </c>
      <c r="I431" s="4"/>
    </row>
    <row r="432">
      <c r="A432" s="16">
        <v>428.0</v>
      </c>
      <c r="B432" s="17" t="s">
        <v>423</v>
      </c>
      <c r="C432" s="17" t="s">
        <v>506</v>
      </c>
      <c r="D432" s="17" t="s">
        <v>13</v>
      </c>
      <c r="E432" s="17" t="s">
        <v>13</v>
      </c>
      <c r="F432" s="17" t="s">
        <v>13</v>
      </c>
      <c r="G432" s="17" t="s">
        <v>13</v>
      </c>
      <c r="H432" s="17" t="s">
        <v>450</v>
      </c>
      <c r="I432" s="4"/>
    </row>
    <row r="433">
      <c r="A433" s="16">
        <v>429.0</v>
      </c>
      <c r="B433" s="17" t="s">
        <v>423</v>
      </c>
      <c r="C433" s="17" t="s">
        <v>507</v>
      </c>
      <c r="D433" s="17" t="s">
        <v>13</v>
      </c>
      <c r="E433" s="17" t="s">
        <v>13</v>
      </c>
      <c r="F433" s="17" t="s">
        <v>13</v>
      </c>
      <c r="G433" s="17" t="s">
        <v>13</v>
      </c>
      <c r="H433" s="17" t="s">
        <v>13</v>
      </c>
      <c r="I433" s="4"/>
    </row>
    <row r="434">
      <c r="A434" s="16">
        <v>430.0</v>
      </c>
      <c r="B434" s="17" t="s">
        <v>423</v>
      </c>
      <c r="C434" s="17" t="s">
        <v>508</v>
      </c>
      <c r="D434" s="17">
        <v>68.0</v>
      </c>
      <c r="E434" s="17" t="s">
        <v>13</v>
      </c>
      <c r="F434" s="17" t="s">
        <v>13</v>
      </c>
      <c r="G434" s="17" t="s">
        <v>509</v>
      </c>
      <c r="H434" s="17" t="s">
        <v>13</v>
      </c>
      <c r="I434" s="4"/>
    </row>
    <row r="435">
      <c r="A435" s="16">
        <v>431.0</v>
      </c>
      <c r="B435" s="17" t="s">
        <v>423</v>
      </c>
      <c r="C435" s="17" t="s">
        <v>510</v>
      </c>
      <c r="D435" s="17">
        <v>21.0</v>
      </c>
      <c r="E435" s="17" t="s">
        <v>13</v>
      </c>
      <c r="F435" s="17" t="s">
        <v>13</v>
      </c>
      <c r="G435" s="17" t="s">
        <v>330</v>
      </c>
      <c r="H435" s="17" t="s">
        <v>13</v>
      </c>
      <c r="I435" s="4"/>
    </row>
    <row r="436">
      <c r="A436" s="16">
        <v>432.0</v>
      </c>
      <c r="B436" s="17" t="s">
        <v>423</v>
      </c>
      <c r="C436" s="17" t="s">
        <v>510</v>
      </c>
      <c r="D436" s="17">
        <v>21.0</v>
      </c>
      <c r="E436" s="17" t="s">
        <v>13</v>
      </c>
      <c r="F436" s="17" t="s">
        <v>13</v>
      </c>
      <c r="G436" s="17" t="s">
        <v>13</v>
      </c>
      <c r="H436" s="17" t="s">
        <v>13</v>
      </c>
      <c r="I436" s="4"/>
    </row>
    <row r="437">
      <c r="A437" s="16">
        <v>433.0</v>
      </c>
      <c r="B437" s="17" t="s">
        <v>423</v>
      </c>
      <c r="C437" s="17" t="s">
        <v>511</v>
      </c>
      <c r="D437" s="17">
        <v>33.0</v>
      </c>
      <c r="E437" s="17" t="s">
        <v>13</v>
      </c>
      <c r="F437" s="17" t="s">
        <v>13</v>
      </c>
      <c r="G437" s="17" t="s">
        <v>13</v>
      </c>
      <c r="H437" s="17" t="s">
        <v>13</v>
      </c>
      <c r="I437" s="4"/>
    </row>
    <row r="438">
      <c r="A438" s="16">
        <v>434.0</v>
      </c>
      <c r="B438" s="17" t="s">
        <v>423</v>
      </c>
      <c r="C438" s="17" t="s">
        <v>511</v>
      </c>
      <c r="D438" s="17">
        <v>38.0</v>
      </c>
      <c r="E438" s="17" t="s">
        <v>13</v>
      </c>
      <c r="F438" s="17" t="s">
        <v>13</v>
      </c>
      <c r="G438" s="17" t="s">
        <v>13</v>
      </c>
      <c r="H438" s="17" t="s">
        <v>13</v>
      </c>
      <c r="I438" s="4"/>
    </row>
    <row r="439">
      <c r="A439" s="16">
        <v>435.0</v>
      </c>
      <c r="B439" s="17" t="s">
        <v>423</v>
      </c>
      <c r="C439" s="17" t="s">
        <v>512</v>
      </c>
      <c r="D439" s="17" t="s">
        <v>13</v>
      </c>
      <c r="E439" s="17" t="s">
        <v>14</v>
      </c>
      <c r="F439" s="17" t="s">
        <v>13</v>
      </c>
      <c r="G439" s="17" t="s">
        <v>13</v>
      </c>
      <c r="H439" s="17" t="s">
        <v>513</v>
      </c>
      <c r="I439" s="4"/>
    </row>
    <row r="440">
      <c r="A440" s="16">
        <v>436.0</v>
      </c>
      <c r="B440" s="17" t="s">
        <v>423</v>
      </c>
      <c r="C440" s="17" t="s">
        <v>514</v>
      </c>
      <c r="D440" s="17" t="s">
        <v>13</v>
      </c>
      <c r="E440" s="17" t="s">
        <v>13</v>
      </c>
      <c r="F440" s="17" t="s">
        <v>13</v>
      </c>
      <c r="G440" s="17" t="s">
        <v>13</v>
      </c>
      <c r="H440" s="17" t="s">
        <v>450</v>
      </c>
      <c r="I440" s="4"/>
    </row>
    <row r="441">
      <c r="A441" s="16">
        <v>437.0</v>
      </c>
      <c r="B441" s="17" t="s">
        <v>423</v>
      </c>
      <c r="C441" s="17" t="s">
        <v>515</v>
      </c>
      <c r="D441" s="17">
        <v>49.0</v>
      </c>
      <c r="E441" s="17" t="s">
        <v>13</v>
      </c>
      <c r="F441" s="17" t="s">
        <v>13</v>
      </c>
      <c r="G441" s="17" t="s">
        <v>13</v>
      </c>
      <c r="H441" s="17" t="s">
        <v>516</v>
      </c>
      <c r="I441" s="4"/>
    </row>
    <row r="442">
      <c r="A442" s="16">
        <v>438.0</v>
      </c>
      <c r="B442" s="17" t="s">
        <v>423</v>
      </c>
      <c r="C442" s="17" t="s">
        <v>517</v>
      </c>
      <c r="D442" s="17">
        <v>62.0</v>
      </c>
      <c r="E442" s="17" t="s">
        <v>13</v>
      </c>
      <c r="F442" s="17" t="s">
        <v>13</v>
      </c>
      <c r="G442" s="17" t="s">
        <v>13</v>
      </c>
      <c r="H442" s="17" t="s">
        <v>13</v>
      </c>
      <c r="I442" s="4"/>
    </row>
    <row r="443">
      <c r="A443" s="16">
        <v>439.0</v>
      </c>
      <c r="B443" s="17" t="s">
        <v>423</v>
      </c>
      <c r="C443" s="17" t="s">
        <v>518</v>
      </c>
      <c r="D443" s="17">
        <v>26.0</v>
      </c>
      <c r="E443" s="17" t="s">
        <v>13</v>
      </c>
      <c r="F443" s="17" t="s">
        <v>13</v>
      </c>
      <c r="G443" s="17" t="s">
        <v>13</v>
      </c>
      <c r="H443" s="17" t="s">
        <v>474</v>
      </c>
      <c r="I443" s="4"/>
    </row>
    <row r="444">
      <c r="A444" s="16">
        <v>440.0</v>
      </c>
      <c r="B444" s="17" t="s">
        <v>423</v>
      </c>
      <c r="C444" s="17" t="s">
        <v>519</v>
      </c>
      <c r="D444" s="17">
        <v>41.0</v>
      </c>
      <c r="E444" s="17" t="s">
        <v>13</v>
      </c>
      <c r="F444" s="17" t="s">
        <v>13</v>
      </c>
      <c r="G444" s="17" t="s">
        <v>13</v>
      </c>
      <c r="H444" s="17" t="s">
        <v>520</v>
      </c>
      <c r="I444" s="4"/>
    </row>
    <row r="445">
      <c r="A445" s="16">
        <v>441.0</v>
      </c>
      <c r="B445" s="17" t="s">
        <v>423</v>
      </c>
      <c r="C445" s="17" t="s">
        <v>521</v>
      </c>
      <c r="D445" s="17">
        <v>13.0</v>
      </c>
      <c r="E445" s="17" t="s">
        <v>13</v>
      </c>
      <c r="F445" s="17" t="s">
        <v>13</v>
      </c>
      <c r="G445" s="17" t="s">
        <v>13</v>
      </c>
      <c r="H445" s="17" t="s">
        <v>13</v>
      </c>
      <c r="I445" s="4"/>
    </row>
    <row r="446">
      <c r="A446" s="16">
        <v>442.0</v>
      </c>
      <c r="B446" s="17" t="s">
        <v>423</v>
      </c>
      <c r="C446" s="17" t="s">
        <v>522</v>
      </c>
      <c r="D446" s="17">
        <v>12.0</v>
      </c>
      <c r="E446" s="17" t="s">
        <v>13</v>
      </c>
      <c r="F446" s="17" t="s">
        <v>13</v>
      </c>
      <c r="G446" s="17" t="s">
        <v>346</v>
      </c>
      <c r="H446" s="17" t="s">
        <v>452</v>
      </c>
      <c r="I446" s="4"/>
    </row>
    <row r="447">
      <c r="A447" s="16">
        <v>443.0</v>
      </c>
      <c r="B447" s="17" t="s">
        <v>423</v>
      </c>
      <c r="C447" s="17" t="s">
        <v>523</v>
      </c>
      <c r="D447" s="17">
        <v>13.0</v>
      </c>
      <c r="E447" s="17" t="s">
        <v>13</v>
      </c>
      <c r="F447" s="17" t="s">
        <v>13</v>
      </c>
      <c r="G447" s="17" t="s">
        <v>13</v>
      </c>
      <c r="H447" s="17" t="s">
        <v>13</v>
      </c>
      <c r="I447" s="4"/>
    </row>
    <row r="448">
      <c r="A448" s="16">
        <v>444.0</v>
      </c>
      <c r="B448" s="17" t="s">
        <v>423</v>
      </c>
      <c r="C448" s="17" t="s">
        <v>524</v>
      </c>
      <c r="D448" s="17" t="s">
        <v>13</v>
      </c>
      <c r="E448" s="17" t="s">
        <v>13</v>
      </c>
      <c r="F448" s="17" t="s">
        <v>13</v>
      </c>
      <c r="G448" s="17" t="s">
        <v>13</v>
      </c>
      <c r="H448" s="17" t="s">
        <v>525</v>
      </c>
      <c r="I448" s="4"/>
    </row>
    <row r="449">
      <c r="A449" s="16">
        <v>445.0</v>
      </c>
      <c r="B449" s="17" t="s">
        <v>423</v>
      </c>
      <c r="C449" s="17" t="s">
        <v>526</v>
      </c>
      <c r="D449" s="17">
        <v>30.0</v>
      </c>
      <c r="E449" s="17" t="s">
        <v>13</v>
      </c>
      <c r="F449" s="17" t="s">
        <v>13</v>
      </c>
      <c r="G449" s="17" t="s">
        <v>13</v>
      </c>
      <c r="H449" s="17" t="s">
        <v>13</v>
      </c>
      <c r="I449" s="4"/>
    </row>
    <row r="450">
      <c r="A450" s="16">
        <v>446.0</v>
      </c>
      <c r="B450" s="17" t="s">
        <v>423</v>
      </c>
      <c r="C450" s="17" t="s">
        <v>526</v>
      </c>
      <c r="D450" s="17">
        <v>30.0</v>
      </c>
      <c r="E450" s="17" t="s">
        <v>13</v>
      </c>
      <c r="F450" s="17" t="s">
        <v>13</v>
      </c>
      <c r="G450" s="17" t="s">
        <v>13</v>
      </c>
      <c r="H450" s="17" t="s">
        <v>13</v>
      </c>
      <c r="I450" s="4"/>
    </row>
    <row r="451">
      <c r="A451" s="16">
        <v>447.0</v>
      </c>
      <c r="B451" s="17" t="s">
        <v>423</v>
      </c>
      <c r="C451" s="17" t="s">
        <v>527</v>
      </c>
      <c r="D451" s="17" t="s">
        <v>13</v>
      </c>
      <c r="E451" s="17" t="s">
        <v>13</v>
      </c>
      <c r="F451" s="17" t="s">
        <v>13</v>
      </c>
      <c r="G451" s="17" t="s">
        <v>13</v>
      </c>
      <c r="H451" s="17" t="s">
        <v>452</v>
      </c>
      <c r="I451" s="4"/>
    </row>
    <row r="452">
      <c r="A452" s="16">
        <v>448.0</v>
      </c>
      <c r="B452" s="17" t="s">
        <v>423</v>
      </c>
      <c r="C452" s="17" t="s">
        <v>528</v>
      </c>
      <c r="D452" s="17">
        <v>40.0</v>
      </c>
      <c r="E452" s="17" t="s">
        <v>13</v>
      </c>
      <c r="F452" s="17" t="s">
        <v>13</v>
      </c>
      <c r="G452" s="17" t="s">
        <v>13</v>
      </c>
      <c r="H452" s="17" t="s">
        <v>13</v>
      </c>
      <c r="I452" s="4"/>
    </row>
    <row r="453">
      <c r="A453" s="16">
        <v>449.0</v>
      </c>
      <c r="B453" s="17" t="s">
        <v>423</v>
      </c>
      <c r="C453" s="17" t="s">
        <v>529</v>
      </c>
      <c r="D453" s="17" t="s">
        <v>13</v>
      </c>
      <c r="E453" s="17" t="s">
        <v>13</v>
      </c>
      <c r="F453" s="17" t="s">
        <v>13</v>
      </c>
      <c r="G453" s="17" t="s">
        <v>13</v>
      </c>
      <c r="H453" s="17" t="s">
        <v>477</v>
      </c>
      <c r="I453" s="4"/>
    </row>
    <row r="454">
      <c r="A454" s="16">
        <v>450.0</v>
      </c>
      <c r="B454" s="17" t="s">
        <v>423</v>
      </c>
      <c r="C454" s="17" t="s">
        <v>530</v>
      </c>
      <c r="D454" s="17">
        <v>29.0</v>
      </c>
      <c r="E454" s="17" t="s">
        <v>13</v>
      </c>
      <c r="F454" s="17" t="s">
        <v>13</v>
      </c>
      <c r="G454" s="17" t="s">
        <v>13</v>
      </c>
      <c r="H454" s="17" t="s">
        <v>474</v>
      </c>
      <c r="I454" s="4"/>
    </row>
    <row r="455">
      <c r="A455" s="16">
        <v>451.0</v>
      </c>
      <c r="B455" s="17" t="s">
        <v>423</v>
      </c>
      <c r="C455" s="17" t="s">
        <v>531</v>
      </c>
      <c r="D455" s="17">
        <v>29.0</v>
      </c>
      <c r="E455" s="17" t="s">
        <v>13</v>
      </c>
      <c r="F455" s="17" t="s">
        <v>13</v>
      </c>
      <c r="G455" s="17" t="s">
        <v>13</v>
      </c>
      <c r="H455" s="17" t="s">
        <v>516</v>
      </c>
      <c r="I455" s="4"/>
    </row>
    <row r="456">
      <c r="A456" s="16">
        <v>452.0</v>
      </c>
      <c r="B456" s="17" t="s">
        <v>423</v>
      </c>
      <c r="C456" s="17" t="s">
        <v>532</v>
      </c>
      <c r="D456" s="17">
        <v>25.0</v>
      </c>
      <c r="E456" s="17" t="s">
        <v>13</v>
      </c>
      <c r="F456" s="17" t="s">
        <v>13</v>
      </c>
      <c r="G456" s="17" t="s">
        <v>13</v>
      </c>
      <c r="H456" s="17" t="s">
        <v>13</v>
      </c>
      <c r="I456" s="4"/>
    </row>
    <row r="457">
      <c r="A457" s="16">
        <v>453.0</v>
      </c>
      <c r="B457" s="17" t="s">
        <v>423</v>
      </c>
      <c r="C457" s="17" t="s">
        <v>533</v>
      </c>
      <c r="D457" s="17">
        <v>26.0</v>
      </c>
      <c r="E457" s="17" t="s">
        <v>13</v>
      </c>
      <c r="F457" s="17" t="s">
        <v>13</v>
      </c>
      <c r="G457" s="17" t="s">
        <v>13</v>
      </c>
      <c r="H457" s="17" t="s">
        <v>534</v>
      </c>
      <c r="I457" s="4"/>
    </row>
    <row r="458">
      <c r="A458" s="16">
        <v>454.0</v>
      </c>
      <c r="B458" s="17" t="s">
        <v>423</v>
      </c>
      <c r="C458" s="17" t="s">
        <v>535</v>
      </c>
      <c r="D458" s="17" t="s">
        <v>13</v>
      </c>
      <c r="E458" s="17" t="s">
        <v>13</v>
      </c>
      <c r="F458" s="17" t="s">
        <v>13</v>
      </c>
      <c r="G458" s="17" t="s">
        <v>13</v>
      </c>
      <c r="H458" s="17" t="s">
        <v>13</v>
      </c>
      <c r="I458" s="4"/>
    </row>
    <row r="459">
      <c r="A459" s="16">
        <v>455.0</v>
      </c>
      <c r="B459" s="17" t="s">
        <v>423</v>
      </c>
      <c r="C459" s="17" t="s">
        <v>536</v>
      </c>
      <c r="D459" s="17" t="s">
        <v>13</v>
      </c>
      <c r="E459" s="17" t="s">
        <v>13</v>
      </c>
      <c r="F459" s="17" t="s">
        <v>13</v>
      </c>
      <c r="G459" s="17" t="s">
        <v>13</v>
      </c>
      <c r="H459" s="17" t="s">
        <v>468</v>
      </c>
      <c r="I459" s="4"/>
    </row>
    <row r="460">
      <c r="A460" s="16">
        <v>456.0</v>
      </c>
      <c r="B460" s="17" t="s">
        <v>423</v>
      </c>
      <c r="C460" s="17" t="s">
        <v>537</v>
      </c>
      <c r="D460" s="17">
        <v>14.0</v>
      </c>
      <c r="E460" s="17" t="s">
        <v>13</v>
      </c>
      <c r="F460" s="17" t="s">
        <v>13</v>
      </c>
      <c r="G460" s="17" t="s">
        <v>330</v>
      </c>
      <c r="H460" s="17" t="s">
        <v>441</v>
      </c>
      <c r="I460" s="4"/>
    </row>
    <row r="461">
      <c r="A461" s="16">
        <v>457.0</v>
      </c>
      <c r="B461" s="17" t="s">
        <v>423</v>
      </c>
      <c r="C461" s="17" t="s">
        <v>538</v>
      </c>
      <c r="D461" s="17">
        <v>94.0</v>
      </c>
      <c r="E461" s="17" t="s">
        <v>13</v>
      </c>
      <c r="F461" s="17" t="s">
        <v>13</v>
      </c>
      <c r="G461" s="17" t="s">
        <v>13</v>
      </c>
      <c r="H461" s="17" t="s">
        <v>439</v>
      </c>
      <c r="I461" s="4"/>
    </row>
    <row r="462">
      <c r="A462" s="16">
        <v>458.0</v>
      </c>
      <c r="B462" s="17" t="s">
        <v>423</v>
      </c>
      <c r="C462" s="17" t="s">
        <v>539</v>
      </c>
      <c r="D462" s="17">
        <v>73.0</v>
      </c>
      <c r="E462" s="17" t="s">
        <v>14</v>
      </c>
      <c r="F462" s="17" t="s">
        <v>13</v>
      </c>
      <c r="G462" s="17" t="s">
        <v>13</v>
      </c>
      <c r="H462" s="17" t="s">
        <v>540</v>
      </c>
      <c r="I462" s="4"/>
    </row>
    <row r="463">
      <c r="A463" s="16">
        <v>459.0</v>
      </c>
      <c r="B463" s="17" t="s">
        <v>423</v>
      </c>
      <c r="C463" s="17" t="s">
        <v>541</v>
      </c>
      <c r="D463" s="17" t="s">
        <v>13</v>
      </c>
      <c r="E463" s="17" t="s">
        <v>13</v>
      </c>
      <c r="F463" s="17" t="s">
        <v>13</v>
      </c>
      <c r="G463" s="17" t="s">
        <v>13</v>
      </c>
      <c r="H463" s="17" t="s">
        <v>469</v>
      </c>
      <c r="I463" s="4"/>
    </row>
    <row r="464">
      <c r="A464" s="16">
        <v>460.0</v>
      </c>
      <c r="B464" s="17" t="s">
        <v>423</v>
      </c>
      <c r="C464" s="17" t="s">
        <v>542</v>
      </c>
      <c r="D464" s="17">
        <v>17.0</v>
      </c>
      <c r="E464" s="17" t="s">
        <v>13</v>
      </c>
      <c r="F464" s="17" t="s">
        <v>13</v>
      </c>
      <c r="G464" s="17" t="s">
        <v>13</v>
      </c>
      <c r="H464" s="17" t="s">
        <v>13</v>
      </c>
      <c r="I464" s="4"/>
    </row>
    <row r="465">
      <c r="A465" s="16">
        <v>461.0</v>
      </c>
      <c r="B465" s="17" t="s">
        <v>423</v>
      </c>
      <c r="C465" s="17" t="s">
        <v>543</v>
      </c>
      <c r="D465" s="17">
        <v>12.0</v>
      </c>
      <c r="E465" s="17" t="s">
        <v>13</v>
      </c>
      <c r="F465" s="17" t="s">
        <v>13</v>
      </c>
      <c r="G465" s="17" t="s">
        <v>13</v>
      </c>
      <c r="H465" s="17" t="s">
        <v>452</v>
      </c>
      <c r="I465" s="4"/>
    </row>
    <row r="466">
      <c r="A466" s="16">
        <v>462.0</v>
      </c>
      <c r="B466" s="17" t="s">
        <v>423</v>
      </c>
      <c r="C466" s="17" t="s">
        <v>544</v>
      </c>
      <c r="D466" s="17">
        <v>12.0</v>
      </c>
      <c r="E466" s="17" t="s">
        <v>13</v>
      </c>
      <c r="F466" s="17" t="s">
        <v>13</v>
      </c>
      <c r="G466" s="17" t="s">
        <v>545</v>
      </c>
      <c r="H466" s="17" t="s">
        <v>452</v>
      </c>
      <c r="I466" s="4"/>
    </row>
    <row r="467">
      <c r="A467" s="16">
        <v>463.0</v>
      </c>
      <c r="B467" s="17" t="s">
        <v>423</v>
      </c>
      <c r="C467" s="17" t="s">
        <v>546</v>
      </c>
      <c r="D467" s="17" t="s">
        <v>13</v>
      </c>
      <c r="E467" s="17" t="s">
        <v>13</v>
      </c>
      <c r="F467" s="17" t="s">
        <v>13</v>
      </c>
      <c r="G467" s="17" t="s">
        <v>13</v>
      </c>
      <c r="H467" s="17" t="s">
        <v>547</v>
      </c>
      <c r="I467" s="4"/>
    </row>
    <row r="468">
      <c r="A468" s="16">
        <v>464.0</v>
      </c>
      <c r="B468" s="17" t="s">
        <v>423</v>
      </c>
      <c r="C468" s="17" t="s">
        <v>548</v>
      </c>
      <c r="D468" s="17">
        <v>65.0</v>
      </c>
      <c r="E468" s="17" t="s">
        <v>14</v>
      </c>
      <c r="F468" s="17" t="s">
        <v>13</v>
      </c>
      <c r="G468" s="17" t="s">
        <v>13</v>
      </c>
      <c r="H468" s="17" t="s">
        <v>549</v>
      </c>
      <c r="I468" s="4"/>
    </row>
    <row r="469">
      <c r="A469" s="16">
        <v>465.0</v>
      </c>
      <c r="B469" s="17" t="s">
        <v>423</v>
      </c>
      <c r="C469" s="17" t="s">
        <v>550</v>
      </c>
      <c r="D469" s="17">
        <v>47.0</v>
      </c>
      <c r="E469" s="17" t="s">
        <v>13</v>
      </c>
      <c r="F469" s="17" t="s">
        <v>13</v>
      </c>
      <c r="G469" s="17" t="s">
        <v>13</v>
      </c>
      <c r="H469" s="17" t="s">
        <v>13</v>
      </c>
      <c r="I469" s="4"/>
    </row>
    <row r="470">
      <c r="A470" s="16">
        <v>466.0</v>
      </c>
      <c r="B470" s="17" t="s">
        <v>423</v>
      </c>
      <c r="C470" s="17" t="s">
        <v>551</v>
      </c>
      <c r="D470" s="17">
        <v>12.0</v>
      </c>
      <c r="E470" s="17" t="s">
        <v>13</v>
      </c>
      <c r="F470" s="17" t="s">
        <v>13</v>
      </c>
      <c r="G470" s="17" t="s">
        <v>13</v>
      </c>
      <c r="H470" s="17" t="s">
        <v>13</v>
      </c>
      <c r="I470" s="4"/>
    </row>
    <row r="471">
      <c r="A471" s="16">
        <v>467.0</v>
      </c>
      <c r="B471" s="17" t="s">
        <v>423</v>
      </c>
      <c r="C471" s="17" t="s">
        <v>552</v>
      </c>
      <c r="D471" s="17">
        <v>65.0</v>
      </c>
      <c r="E471" s="17" t="s">
        <v>13</v>
      </c>
      <c r="F471" s="17" t="s">
        <v>13</v>
      </c>
      <c r="G471" s="17" t="s">
        <v>13</v>
      </c>
      <c r="H471" s="17" t="s">
        <v>553</v>
      </c>
      <c r="I471" s="4"/>
    </row>
    <row r="472">
      <c r="A472" s="16">
        <v>468.0</v>
      </c>
      <c r="B472" s="17" t="s">
        <v>423</v>
      </c>
      <c r="C472" s="17" t="s">
        <v>554</v>
      </c>
      <c r="D472" s="17" t="s">
        <v>13</v>
      </c>
      <c r="E472" s="17" t="s">
        <v>13</v>
      </c>
      <c r="F472" s="17" t="s">
        <v>13</v>
      </c>
      <c r="G472" s="17" t="s">
        <v>13</v>
      </c>
      <c r="H472" s="17" t="s">
        <v>464</v>
      </c>
      <c r="I472" s="4"/>
    </row>
    <row r="473">
      <c r="A473" s="16">
        <v>469.0</v>
      </c>
      <c r="B473" s="17" t="s">
        <v>423</v>
      </c>
      <c r="C473" s="17" t="s">
        <v>554</v>
      </c>
      <c r="D473" s="17">
        <v>42.0</v>
      </c>
      <c r="E473" s="17" t="s">
        <v>13</v>
      </c>
      <c r="F473" s="17" t="s">
        <v>13</v>
      </c>
      <c r="G473" s="17" t="s">
        <v>13</v>
      </c>
      <c r="H473" s="17" t="s">
        <v>482</v>
      </c>
      <c r="I473" s="4"/>
    </row>
    <row r="474">
      <c r="A474" s="16">
        <v>470.0</v>
      </c>
      <c r="B474" s="17" t="s">
        <v>423</v>
      </c>
      <c r="C474" s="17" t="s">
        <v>555</v>
      </c>
      <c r="D474" s="17">
        <v>42.0</v>
      </c>
      <c r="E474" s="17" t="s">
        <v>13</v>
      </c>
      <c r="F474" s="17" t="s">
        <v>13</v>
      </c>
      <c r="G474" s="17" t="s">
        <v>13</v>
      </c>
      <c r="H474" s="17" t="s">
        <v>464</v>
      </c>
      <c r="I474" s="4"/>
    </row>
    <row r="475">
      <c r="A475" s="16">
        <v>471.0</v>
      </c>
      <c r="B475" s="17" t="s">
        <v>423</v>
      </c>
      <c r="C475" s="17" t="s">
        <v>556</v>
      </c>
      <c r="D475" s="17">
        <v>40.0</v>
      </c>
      <c r="E475" s="17" t="s">
        <v>13</v>
      </c>
      <c r="F475" s="17" t="s">
        <v>13</v>
      </c>
      <c r="G475" s="17" t="s">
        <v>13</v>
      </c>
      <c r="H475" s="17" t="s">
        <v>13</v>
      </c>
      <c r="I475" s="4"/>
    </row>
    <row r="476">
      <c r="A476" s="16">
        <v>472.0</v>
      </c>
      <c r="B476" s="17" t="s">
        <v>423</v>
      </c>
      <c r="C476" s="17" t="s">
        <v>556</v>
      </c>
      <c r="D476" s="17">
        <v>10.0</v>
      </c>
      <c r="E476" s="17" t="s">
        <v>13</v>
      </c>
      <c r="F476" s="17" t="s">
        <v>13</v>
      </c>
      <c r="G476" s="17" t="s">
        <v>13</v>
      </c>
      <c r="H476" s="17" t="s">
        <v>557</v>
      </c>
      <c r="I476" s="4"/>
    </row>
    <row r="477">
      <c r="A477" s="16">
        <v>473.0</v>
      </c>
      <c r="B477" s="17" t="s">
        <v>423</v>
      </c>
      <c r="C477" s="17" t="s">
        <v>558</v>
      </c>
      <c r="D477" s="17">
        <v>28.0</v>
      </c>
      <c r="E477" s="17" t="s">
        <v>13</v>
      </c>
      <c r="F477" s="17" t="s">
        <v>13</v>
      </c>
      <c r="G477" s="17" t="s">
        <v>13</v>
      </c>
      <c r="H477" s="17" t="s">
        <v>437</v>
      </c>
      <c r="I477" s="4"/>
    </row>
    <row r="478">
      <c r="A478" s="16">
        <v>474.0</v>
      </c>
      <c r="B478" s="17" t="s">
        <v>423</v>
      </c>
      <c r="C478" s="17" t="s">
        <v>559</v>
      </c>
      <c r="D478" s="17">
        <v>51.0</v>
      </c>
      <c r="E478" s="17" t="s">
        <v>560</v>
      </c>
      <c r="F478" s="17" t="s">
        <v>13</v>
      </c>
      <c r="G478" s="17" t="s">
        <v>13</v>
      </c>
      <c r="H478" s="17" t="s">
        <v>488</v>
      </c>
      <c r="I478" s="4"/>
    </row>
    <row r="479">
      <c r="A479" s="16">
        <v>475.0</v>
      </c>
      <c r="B479" s="17" t="s">
        <v>423</v>
      </c>
      <c r="C479" s="17" t="s">
        <v>561</v>
      </c>
      <c r="D479" s="17">
        <v>26.0</v>
      </c>
      <c r="E479" s="17" t="s">
        <v>13</v>
      </c>
      <c r="F479" s="17" t="s">
        <v>13</v>
      </c>
      <c r="G479" s="17" t="s">
        <v>13</v>
      </c>
      <c r="H479" s="17" t="s">
        <v>13</v>
      </c>
      <c r="I479" s="4"/>
    </row>
    <row r="480">
      <c r="A480" s="16">
        <v>476.0</v>
      </c>
      <c r="B480" s="17" t="s">
        <v>423</v>
      </c>
      <c r="C480" s="17" t="s">
        <v>562</v>
      </c>
      <c r="D480" s="17">
        <v>34.0</v>
      </c>
      <c r="E480" s="17" t="s">
        <v>13</v>
      </c>
      <c r="F480" s="17" t="s">
        <v>13</v>
      </c>
      <c r="G480" s="17" t="s">
        <v>13</v>
      </c>
      <c r="H480" s="17" t="s">
        <v>13</v>
      </c>
      <c r="I480" s="4"/>
    </row>
    <row r="481">
      <c r="A481" s="16">
        <v>477.0</v>
      </c>
      <c r="B481" s="17" t="s">
        <v>423</v>
      </c>
      <c r="C481" s="17" t="s">
        <v>563</v>
      </c>
      <c r="D481" s="17">
        <v>62.0</v>
      </c>
      <c r="E481" s="17" t="s">
        <v>13</v>
      </c>
      <c r="F481" s="17" t="s">
        <v>13</v>
      </c>
      <c r="G481" s="17" t="s">
        <v>13</v>
      </c>
      <c r="H481" s="17" t="s">
        <v>477</v>
      </c>
      <c r="I481" s="4"/>
    </row>
    <row r="482">
      <c r="A482" s="16">
        <v>478.0</v>
      </c>
      <c r="B482" s="17" t="s">
        <v>423</v>
      </c>
      <c r="C482" s="17" t="s">
        <v>563</v>
      </c>
      <c r="D482" s="17" t="s">
        <v>13</v>
      </c>
      <c r="E482" s="17" t="s">
        <v>13</v>
      </c>
      <c r="F482" s="17" t="s">
        <v>13</v>
      </c>
      <c r="G482" s="17" t="s">
        <v>13</v>
      </c>
      <c r="H482" s="17" t="s">
        <v>477</v>
      </c>
      <c r="I482" s="4"/>
    </row>
    <row r="483">
      <c r="A483" s="16">
        <v>479.0</v>
      </c>
      <c r="B483" s="17" t="s">
        <v>423</v>
      </c>
      <c r="C483" s="17" t="s">
        <v>564</v>
      </c>
      <c r="D483" s="17">
        <v>13.0</v>
      </c>
      <c r="E483" s="17" t="s">
        <v>565</v>
      </c>
      <c r="F483" s="17" t="s">
        <v>13</v>
      </c>
      <c r="G483" s="17" t="s">
        <v>346</v>
      </c>
      <c r="H483" s="17" t="s">
        <v>566</v>
      </c>
      <c r="I483" s="4"/>
    </row>
    <row r="484">
      <c r="A484" s="16">
        <v>480.0</v>
      </c>
      <c r="B484" s="17" t="s">
        <v>423</v>
      </c>
      <c r="C484" s="17" t="s">
        <v>567</v>
      </c>
      <c r="D484" s="17">
        <v>43.0</v>
      </c>
      <c r="E484" s="17" t="s">
        <v>13</v>
      </c>
      <c r="F484" s="17" t="s">
        <v>13</v>
      </c>
      <c r="G484" s="17" t="s">
        <v>13</v>
      </c>
      <c r="H484" s="17" t="s">
        <v>13</v>
      </c>
      <c r="I484" s="4"/>
    </row>
    <row r="485">
      <c r="A485" s="18">
        <v>481.0</v>
      </c>
      <c r="B485" s="19" t="s">
        <v>423</v>
      </c>
      <c r="C485" s="19" t="s">
        <v>568</v>
      </c>
      <c r="D485" s="19" t="s">
        <v>13</v>
      </c>
      <c r="E485" s="19" t="s">
        <v>13</v>
      </c>
      <c r="F485" s="19" t="s">
        <v>13</v>
      </c>
      <c r="G485" s="19" t="s">
        <v>13</v>
      </c>
      <c r="H485" s="20" t="s">
        <v>452</v>
      </c>
      <c r="I485" s="4"/>
    </row>
    <row r="486">
      <c r="A486" s="18">
        <v>482.0</v>
      </c>
      <c r="B486" s="19" t="s">
        <v>423</v>
      </c>
      <c r="C486" s="19" t="s">
        <v>569</v>
      </c>
      <c r="D486" s="19">
        <v>57.0</v>
      </c>
      <c r="E486" s="19" t="s">
        <v>13</v>
      </c>
      <c r="F486" s="19" t="s">
        <v>13</v>
      </c>
      <c r="G486" s="19" t="s">
        <v>13</v>
      </c>
      <c r="H486" s="19" t="s">
        <v>13</v>
      </c>
      <c r="I486" s="4"/>
    </row>
    <row r="487">
      <c r="A487" s="18">
        <v>483.0</v>
      </c>
      <c r="B487" s="19" t="s">
        <v>423</v>
      </c>
      <c r="C487" s="19" t="s">
        <v>569</v>
      </c>
      <c r="D487" s="19">
        <v>57.0</v>
      </c>
      <c r="E487" s="19" t="s">
        <v>13</v>
      </c>
      <c r="F487" s="19" t="s">
        <v>13</v>
      </c>
      <c r="G487" s="19" t="s">
        <v>13</v>
      </c>
      <c r="H487" s="19" t="s">
        <v>13</v>
      </c>
      <c r="I487" s="4"/>
    </row>
    <row r="488">
      <c r="A488" s="18">
        <v>484.0</v>
      </c>
      <c r="B488" s="19" t="s">
        <v>423</v>
      </c>
      <c r="C488" s="19" t="s">
        <v>570</v>
      </c>
      <c r="D488" s="19">
        <v>19.0</v>
      </c>
      <c r="E488" s="19" t="s">
        <v>13</v>
      </c>
      <c r="F488" s="19" t="s">
        <v>13</v>
      </c>
      <c r="G488" s="19" t="s">
        <v>13</v>
      </c>
      <c r="H488" s="19" t="s">
        <v>13</v>
      </c>
      <c r="I488" s="4"/>
    </row>
    <row r="489">
      <c r="A489" s="18">
        <v>485.0</v>
      </c>
      <c r="B489" s="19" t="s">
        <v>423</v>
      </c>
      <c r="C489" s="19" t="s">
        <v>571</v>
      </c>
      <c r="D489" s="19">
        <v>32.0</v>
      </c>
      <c r="E489" s="19" t="s">
        <v>13</v>
      </c>
      <c r="F489" s="19" t="s">
        <v>13</v>
      </c>
      <c r="G489" s="19" t="s">
        <v>13</v>
      </c>
      <c r="H489" s="19" t="s">
        <v>13</v>
      </c>
      <c r="I489" s="4"/>
    </row>
    <row r="490">
      <c r="A490" s="18">
        <v>486.0</v>
      </c>
      <c r="B490" s="19" t="s">
        <v>423</v>
      </c>
      <c r="C490" s="19" t="s">
        <v>572</v>
      </c>
      <c r="D490" s="19">
        <v>19.0</v>
      </c>
      <c r="E490" s="19" t="s">
        <v>13</v>
      </c>
      <c r="F490" s="19" t="s">
        <v>13</v>
      </c>
      <c r="G490" s="19" t="s">
        <v>13</v>
      </c>
      <c r="H490" s="19" t="s">
        <v>437</v>
      </c>
      <c r="I490" s="4"/>
    </row>
    <row r="491">
      <c r="A491" s="18">
        <v>487.0</v>
      </c>
      <c r="B491" s="19" t="s">
        <v>423</v>
      </c>
      <c r="C491" s="19" t="s">
        <v>572</v>
      </c>
      <c r="D491" s="19">
        <v>21.0</v>
      </c>
      <c r="E491" s="19" t="s">
        <v>13</v>
      </c>
      <c r="F491" s="19" t="s">
        <v>13</v>
      </c>
      <c r="G491" s="19" t="s">
        <v>13</v>
      </c>
      <c r="H491" s="19" t="s">
        <v>437</v>
      </c>
      <c r="I491" s="4"/>
    </row>
    <row r="492">
      <c r="A492" s="18">
        <v>488.0</v>
      </c>
      <c r="B492" s="19" t="s">
        <v>423</v>
      </c>
      <c r="C492" s="19" t="s">
        <v>573</v>
      </c>
      <c r="D492" s="19">
        <v>21.0</v>
      </c>
      <c r="E492" s="19" t="s">
        <v>13</v>
      </c>
      <c r="F492" s="19" t="s">
        <v>13</v>
      </c>
      <c r="G492" s="19" t="s">
        <v>13</v>
      </c>
      <c r="H492" s="19" t="s">
        <v>437</v>
      </c>
      <c r="I492" s="4"/>
    </row>
    <row r="493">
      <c r="A493" s="18">
        <v>489.0</v>
      </c>
      <c r="B493" s="19" t="s">
        <v>423</v>
      </c>
      <c r="C493" s="19" t="s">
        <v>574</v>
      </c>
      <c r="D493" s="19">
        <v>14.0</v>
      </c>
      <c r="E493" s="19" t="s">
        <v>13</v>
      </c>
      <c r="F493" s="19" t="s">
        <v>13</v>
      </c>
      <c r="G493" s="19" t="s">
        <v>13</v>
      </c>
      <c r="H493" s="19" t="s">
        <v>437</v>
      </c>
      <c r="I493" s="4"/>
    </row>
    <row r="494">
      <c r="A494" s="18">
        <v>490.0</v>
      </c>
      <c r="B494" s="19" t="s">
        <v>423</v>
      </c>
      <c r="C494" s="19" t="s">
        <v>575</v>
      </c>
      <c r="D494" s="19">
        <v>21.0</v>
      </c>
      <c r="E494" s="19" t="s">
        <v>13</v>
      </c>
      <c r="F494" s="19" t="s">
        <v>13</v>
      </c>
      <c r="G494" s="19" t="s">
        <v>13</v>
      </c>
      <c r="H494" s="20" t="s">
        <v>437</v>
      </c>
      <c r="I494" s="4"/>
    </row>
    <row r="495">
      <c r="A495" s="18">
        <v>491.0</v>
      </c>
      <c r="B495" s="19" t="s">
        <v>423</v>
      </c>
      <c r="C495" s="19" t="s">
        <v>576</v>
      </c>
      <c r="D495" s="19">
        <v>48.0</v>
      </c>
      <c r="E495" s="19" t="s">
        <v>13</v>
      </c>
      <c r="F495" s="19" t="s">
        <v>13</v>
      </c>
      <c r="G495" s="19" t="s">
        <v>13</v>
      </c>
      <c r="H495" s="19" t="s">
        <v>477</v>
      </c>
      <c r="I495" s="4"/>
    </row>
    <row r="496">
      <c r="A496" s="18">
        <v>492.0</v>
      </c>
      <c r="B496" s="19" t="s">
        <v>423</v>
      </c>
      <c r="C496" s="19" t="s">
        <v>577</v>
      </c>
      <c r="D496" s="19" t="s">
        <v>13</v>
      </c>
      <c r="E496" s="19" t="s">
        <v>13</v>
      </c>
      <c r="F496" s="19" t="s">
        <v>13</v>
      </c>
      <c r="G496" s="19" t="s">
        <v>13</v>
      </c>
      <c r="H496" s="19" t="s">
        <v>477</v>
      </c>
      <c r="I496" s="4"/>
    </row>
    <row r="497">
      <c r="A497" s="18">
        <v>493.0</v>
      </c>
      <c r="B497" s="19" t="s">
        <v>423</v>
      </c>
      <c r="C497" s="19" t="s">
        <v>578</v>
      </c>
      <c r="D497" s="19">
        <v>50.0</v>
      </c>
      <c r="E497" s="19" t="s">
        <v>579</v>
      </c>
      <c r="F497" s="19" t="s">
        <v>13</v>
      </c>
      <c r="G497" s="19" t="s">
        <v>13</v>
      </c>
      <c r="H497" s="19" t="s">
        <v>580</v>
      </c>
      <c r="I497" s="4"/>
    </row>
    <row r="498">
      <c r="A498" s="18">
        <v>494.0</v>
      </c>
      <c r="B498" s="19" t="s">
        <v>423</v>
      </c>
      <c r="C498" s="19" t="s">
        <v>581</v>
      </c>
      <c r="D498" s="19">
        <v>23.0</v>
      </c>
      <c r="E498" s="19" t="s">
        <v>13</v>
      </c>
      <c r="F498" s="19" t="s">
        <v>13</v>
      </c>
      <c r="G498" s="19" t="s">
        <v>13</v>
      </c>
      <c r="H498" s="19" t="s">
        <v>13</v>
      </c>
      <c r="I498" s="4"/>
    </row>
    <row r="499">
      <c r="A499" s="18">
        <v>495.0</v>
      </c>
      <c r="B499" s="19" t="s">
        <v>423</v>
      </c>
      <c r="C499" s="19" t="s">
        <v>582</v>
      </c>
      <c r="D499" s="19">
        <v>10.0</v>
      </c>
      <c r="E499" s="19" t="s">
        <v>13</v>
      </c>
      <c r="F499" s="19" t="s">
        <v>13</v>
      </c>
      <c r="G499" s="19" t="s">
        <v>13</v>
      </c>
      <c r="H499" s="19" t="s">
        <v>452</v>
      </c>
      <c r="I499" s="4"/>
    </row>
    <row r="500">
      <c r="A500" s="18">
        <v>496.0</v>
      </c>
      <c r="B500" s="19" t="s">
        <v>423</v>
      </c>
      <c r="C500" s="19" t="s">
        <v>583</v>
      </c>
      <c r="D500" s="19" t="s">
        <v>13</v>
      </c>
      <c r="E500" s="19" t="s">
        <v>13</v>
      </c>
      <c r="F500" s="19" t="s">
        <v>13</v>
      </c>
      <c r="G500" s="19" t="s">
        <v>13</v>
      </c>
      <c r="H500" s="19" t="s">
        <v>477</v>
      </c>
      <c r="I500" s="4"/>
    </row>
    <row r="501">
      <c r="A501" s="18">
        <v>497.0</v>
      </c>
      <c r="B501" s="19" t="s">
        <v>423</v>
      </c>
      <c r="C501" s="19" t="s">
        <v>584</v>
      </c>
      <c r="D501" s="19">
        <v>64.0</v>
      </c>
      <c r="E501" s="19" t="s">
        <v>13</v>
      </c>
      <c r="F501" s="19" t="s">
        <v>13</v>
      </c>
      <c r="G501" s="19" t="s">
        <v>585</v>
      </c>
      <c r="H501" s="19" t="s">
        <v>13</v>
      </c>
      <c r="I501" s="4"/>
    </row>
    <row r="502">
      <c r="A502" s="18">
        <v>498.0</v>
      </c>
      <c r="B502" s="19" t="s">
        <v>423</v>
      </c>
      <c r="C502" s="19" t="s">
        <v>584</v>
      </c>
      <c r="D502" s="19">
        <v>64.0</v>
      </c>
      <c r="E502" s="19" t="s">
        <v>13</v>
      </c>
      <c r="F502" s="19" t="s">
        <v>13</v>
      </c>
      <c r="G502" s="19" t="s">
        <v>13</v>
      </c>
      <c r="H502" s="19" t="s">
        <v>13</v>
      </c>
      <c r="I502" s="4"/>
    </row>
    <row r="503">
      <c r="A503" s="18">
        <v>499.0</v>
      </c>
      <c r="B503" s="19" t="s">
        <v>423</v>
      </c>
      <c r="C503" s="19" t="s">
        <v>586</v>
      </c>
      <c r="D503" s="19">
        <v>16.0</v>
      </c>
      <c r="E503" s="19" t="s">
        <v>13</v>
      </c>
      <c r="F503" s="19" t="s">
        <v>13</v>
      </c>
      <c r="G503" s="19" t="s">
        <v>13</v>
      </c>
      <c r="H503" s="19" t="s">
        <v>13</v>
      </c>
      <c r="I503" s="4"/>
    </row>
    <row r="504">
      <c r="A504" s="18">
        <v>500.0</v>
      </c>
      <c r="B504" s="19" t="s">
        <v>423</v>
      </c>
      <c r="C504" s="19" t="s">
        <v>587</v>
      </c>
      <c r="D504" s="19">
        <v>23.0</v>
      </c>
      <c r="E504" s="19" t="s">
        <v>14</v>
      </c>
      <c r="F504" s="19" t="s">
        <v>13</v>
      </c>
      <c r="G504" s="19" t="s">
        <v>13</v>
      </c>
      <c r="H504" s="19" t="s">
        <v>588</v>
      </c>
      <c r="I504" s="4"/>
    </row>
    <row r="505">
      <c r="A505" s="18">
        <v>501.0</v>
      </c>
      <c r="B505" s="19" t="s">
        <v>423</v>
      </c>
      <c r="C505" s="19" t="s">
        <v>589</v>
      </c>
      <c r="D505" s="19" t="s">
        <v>13</v>
      </c>
      <c r="E505" s="19" t="s">
        <v>13</v>
      </c>
      <c r="F505" s="19" t="s">
        <v>13</v>
      </c>
      <c r="G505" s="19" t="s">
        <v>13</v>
      </c>
      <c r="H505" s="19" t="s">
        <v>477</v>
      </c>
      <c r="I505" s="4"/>
    </row>
    <row r="506">
      <c r="A506" s="18">
        <v>502.0</v>
      </c>
      <c r="B506" s="19" t="s">
        <v>423</v>
      </c>
      <c r="C506" s="19" t="s">
        <v>590</v>
      </c>
      <c r="D506" s="19">
        <v>25.0</v>
      </c>
      <c r="E506" s="19" t="s">
        <v>13</v>
      </c>
      <c r="F506" s="19" t="s">
        <v>13</v>
      </c>
      <c r="G506" s="19" t="s">
        <v>330</v>
      </c>
      <c r="H506" s="19" t="s">
        <v>441</v>
      </c>
      <c r="I506" s="4"/>
    </row>
    <row r="507">
      <c r="A507" s="18">
        <v>503.0</v>
      </c>
      <c r="B507" s="19" t="s">
        <v>423</v>
      </c>
      <c r="C507" s="19" t="s">
        <v>591</v>
      </c>
      <c r="D507" s="19">
        <v>34.0</v>
      </c>
      <c r="E507" s="19" t="s">
        <v>14</v>
      </c>
      <c r="F507" s="19" t="s">
        <v>13</v>
      </c>
      <c r="G507" s="19" t="s">
        <v>13</v>
      </c>
      <c r="H507" s="19" t="s">
        <v>15</v>
      </c>
      <c r="I507" s="4"/>
    </row>
    <row r="508">
      <c r="A508" s="18">
        <v>504.0</v>
      </c>
      <c r="B508" s="19" t="s">
        <v>423</v>
      </c>
      <c r="C508" s="19" t="s">
        <v>592</v>
      </c>
      <c r="D508" s="19">
        <v>60.0</v>
      </c>
      <c r="E508" s="19" t="s">
        <v>14</v>
      </c>
      <c r="F508" s="19" t="s">
        <v>13</v>
      </c>
      <c r="G508" s="19" t="s">
        <v>13</v>
      </c>
      <c r="H508" s="19" t="s">
        <v>593</v>
      </c>
      <c r="I508" s="4"/>
    </row>
    <row r="509">
      <c r="A509" s="18">
        <v>505.0</v>
      </c>
      <c r="B509" s="19" t="s">
        <v>423</v>
      </c>
      <c r="C509" s="19" t="s">
        <v>594</v>
      </c>
      <c r="D509" s="19">
        <v>62.0</v>
      </c>
      <c r="E509" s="19" t="s">
        <v>14</v>
      </c>
      <c r="F509" s="19" t="s">
        <v>13</v>
      </c>
      <c r="G509" s="19" t="s">
        <v>13</v>
      </c>
      <c r="H509" s="19" t="s">
        <v>595</v>
      </c>
      <c r="I509" s="4"/>
    </row>
    <row r="510">
      <c r="A510" s="18">
        <v>506.0</v>
      </c>
      <c r="B510" s="19" t="s">
        <v>423</v>
      </c>
      <c r="C510" s="19" t="s">
        <v>596</v>
      </c>
      <c r="D510" s="19">
        <v>23.0</v>
      </c>
      <c r="E510" s="19" t="s">
        <v>13</v>
      </c>
      <c r="F510" s="19" t="s">
        <v>13</v>
      </c>
      <c r="G510" s="19" t="s">
        <v>13</v>
      </c>
      <c r="H510" s="19" t="s">
        <v>477</v>
      </c>
      <c r="I510" s="4"/>
    </row>
    <row r="511">
      <c r="A511" s="18">
        <v>507.0</v>
      </c>
      <c r="B511" s="19" t="s">
        <v>423</v>
      </c>
      <c r="C511" s="19" t="s">
        <v>597</v>
      </c>
      <c r="D511" s="19">
        <v>23.0</v>
      </c>
      <c r="E511" s="19" t="s">
        <v>14</v>
      </c>
      <c r="F511" s="19" t="s">
        <v>13</v>
      </c>
      <c r="G511" s="19" t="s">
        <v>13</v>
      </c>
      <c r="H511" s="19" t="s">
        <v>598</v>
      </c>
      <c r="I511" s="4"/>
    </row>
    <row r="512">
      <c r="A512" s="18">
        <v>508.0</v>
      </c>
      <c r="B512" s="19" t="s">
        <v>423</v>
      </c>
      <c r="C512" s="19" t="s">
        <v>599</v>
      </c>
      <c r="D512" s="19">
        <v>55.0</v>
      </c>
      <c r="E512" s="19" t="s">
        <v>13</v>
      </c>
      <c r="F512" s="19" t="s">
        <v>13</v>
      </c>
      <c r="G512" s="19" t="s">
        <v>13</v>
      </c>
      <c r="H512" s="19" t="s">
        <v>13</v>
      </c>
      <c r="I512" s="4"/>
    </row>
    <row r="513">
      <c r="A513" s="18">
        <v>509.0</v>
      </c>
      <c r="B513" s="19" t="s">
        <v>423</v>
      </c>
      <c r="C513" s="19" t="s">
        <v>600</v>
      </c>
      <c r="D513" s="19" t="s">
        <v>13</v>
      </c>
      <c r="E513" s="19" t="s">
        <v>13</v>
      </c>
      <c r="F513" s="19" t="s">
        <v>13</v>
      </c>
      <c r="G513" s="19" t="s">
        <v>13</v>
      </c>
      <c r="H513" s="19" t="s">
        <v>450</v>
      </c>
      <c r="I513" s="4"/>
    </row>
    <row r="514">
      <c r="A514" s="18">
        <v>510.0</v>
      </c>
      <c r="B514" s="19" t="s">
        <v>423</v>
      </c>
      <c r="C514" s="19" t="s">
        <v>601</v>
      </c>
      <c r="D514" s="19" t="s">
        <v>13</v>
      </c>
      <c r="E514" s="19" t="s">
        <v>13</v>
      </c>
      <c r="F514" s="19" t="s">
        <v>13</v>
      </c>
      <c r="G514" s="19" t="s">
        <v>13</v>
      </c>
      <c r="H514" s="19" t="s">
        <v>13</v>
      </c>
      <c r="I514" s="4"/>
    </row>
    <row r="515">
      <c r="A515" s="18">
        <v>511.0</v>
      </c>
      <c r="B515" s="19" t="s">
        <v>423</v>
      </c>
      <c r="C515" s="19" t="s">
        <v>602</v>
      </c>
      <c r="D515" s="19">
        <v>53.0</v>
      </c>
      <c r="E515" s="19" t="s">
        <v>13</v>
      </c>
      <c r="F515" s="19" t="s">
        <v>13</v>
      </c>
      <c r="G515" s="19" t="s">
        <v>13</v>
      </c>
      <c r="H515" s="19" t="s">
        <v>603</v>
      </c>
      <c r="I515" s="4"/>
    </row>
    <row r="516">
      <c r="A516" s="18">
        <v>512.0</v>
      </c>
      <c r="B516" s="19" t="s">
        <v>423</v>
      </c>
      <c r="C516" s="19" t="s">
        <v>604</v>
      </c>
      <c r="D516" s="19">
        <v>53.0</v>
      </c>
      <c r="E516" s="19" t="s">
        <v>605</v>
      </c>
      <c r="F516" s="19" t="s">
        <v>13</v>
      </c>
      <c r="G516" s="19" t="s">
        <v>13</v>
      </c>
      <c r="H516" s="19" t="s">
        <v>606</v>
      </c>
      <c r="I516" s="4"/>
    </row>
    <row r="517">
      <c r="A517" s="18">
        <v>513.0</v>
      </c>
      <c r="B517" s="19" t="s">
        <v>423</v>
      </c>
      <c r="C517" s="19" t="s">
        <v>607</v>
      </c>
      <c r="D517" s="19">
        <v>31.0</v>
      </c>
      <c r="E517" s="19" t="s">
        <v>13</v>
      </c>
      <c r="F517" s="19" t="s">
        <v>13</v>
      </c>
      <c r="G517" s="19" t="s">
        <v>13</v>
      </c>
      <c r="H517" s="19" t="s">
        <v>13</v>
      </c>
      <c r="I517" s="4"/>
    </row>
    <row r="518">
      <c r="A518" s="18">
        <v>514.0</v>
      </c>
      <c r="B518" s="19" t="s">
        <v>423</v>
      </c>
      <c r="C518" s="19" t="s">
        <v>608</v>
      </c>
      <c r="D518" s="19">
        <v>31.0</v>
      </c>
      <c r="E518" s="19" t="s">
        <v>14</v>
      </c>
      <c r="F518" s="19" t="s">
        <v>13</v>
      </c>
      <c r="G518" s="19" t="s">
        <v>13</v>
      </c>
      <c r="H518" s="19" t="s">
        <v>609</v>
      </c>
      <c r="I518" s="4"/>
    </row>
    <row r="519">
      <c r="A519" s="18">
        <v>515.0</v>
      </c>
      <c r="B519" s="19" t="s">
        <v>423</v>
      </c>
      <c r="C519" s="19" t="s">
        <v>610</v>
      </c>
      <c r="D519" s="19">
        <v>57.0</v>
      </c>
      <c r="E519" s="19" t="s">
        <v>13</v>
      </c>
      <c r="F519" s="19" t="s">
        <v>13</v>
      </c>
      <c r="G519" s="19" t="s">
        <v>13</v>
      </c>
      <c r="H519" s="19" t="s">
        <v>13</v>
      </c>
      <c r="I519" s="4"/>
    </row>
    <row r="520">
      <c r="A520" s="18">
        <v>516.0</v>
      </c>
      <c r="B520" s="19" t="s">
        <v>423</v>
      </c>
      <c r="C520" s="19" t="s">
        <v>611</v>
      </c>
      <c r="D520" s="19">
        <v>31.0</v>
      </c>
      <c r="E520" s="19" t="s">
        <v>13</v>
      </c>
      <c r="F520" s="19" t="s">
        <v>13</v>
      </c>
      <c r="G520" s="19" t="s">
        <v>13</v>
      </c>
      <c r="H520" s="19" t="s">
        <v>612</v>
      </c>
      <c r="I520" s="4"/>
    </row>
    <row r="521">
      <c r="A521" s="18">
        <v>517.0</v>
      </c>
      <c r="B521" s="19" t="s">
        <v>423</v>
      </c>
      <c r="C521" s="19" t="s">
        <v>613</v>
      </c>
      <c r="D521" s="19">
        <v>33.0</v>
      </c>
      <c r="E521" s="19" t="s">
        <v>13</v>
      </c>
      <c r="F521" s="19" t="s">
        <v>13</v>
      </c>
      <c r="G521" s="19" t="s">
        <v>13</v>
      </c>
      <c r="H521" s="19" t="s">
        <v>13</v>
      </c>
      <c r="I521" s="4"/>
    </row>
    <row r="522">
      <c r="A522" s="18">
        <v>518.0</v>
      </c>
      <c r="B522" s="19" t="s">
        <v>423</v>
      </c>
      <c r="C522" s="19" t="s">
        <v>614</v>
      </c>
      <c r="D522" s="19">
        <v>35.0</v>
      </c>
      <c r="E522" s="19" t="s">
        <v>14</v>
      </c>
      <c r="F522" s="19" t="s">
        <v>13</v>
      </c>
      <c r="G522" s="19" t="s">
        <v>13</v>
      </c>
      <c r="H522" s="19" t="s">
        <v>615</v>
      </c>
      <c r="I522" s="4"/>
    </row>
    <row r="523">
      <c r="A523" s="18">
        <v>519.0</v>
      </c>
      <c r="B523" s="19" t="s">
        <v>423</v>
      </c>
      <c r="C523" s="19" t="s">
        <v>616</v>
      </c>
      <c r="D523" s="19">
        <v>37.0</v>
      </c>
      <c r="E523" s="19" t="s">
        <v>13</v>
      </c>
      <c r="F523" s="19" t="s">
        <v>13</v>
      </c>
      <c r="G523" s="19" t="s">
        <v>13</v>
      </c>
      <c r="H523" s="19" t="s">
        <v>13</v>
      </c>
      <c r="I523" s="4"/>
    </row>
    <row r="524">
      <c r="A524" s="21">
        <v>520.0</v>
      </c>
      <c r="B524" s="22" t="s">
        <v>423</v>
      </c>
      <c r="C524" s="22" t="s">
        <v>617</v>
      </c>
      <c r="D524" s="22">
        <v>37.0</v>
      </c>
      <c r="E524" s="22" t="s">
        <v>13</v>
      </c>
      <c r="F524" s="22" t="s">
        <v>13</v>
      </c>
      <c r="G524" s="22" t="s">
        <v>618</v>
      </c>
      <c r="H524" s="22" t="s">
        <v>13</v>
      </c>
      <c r="I524" s="4"/>
    </row>
    <row r="525">
      <c r="A525" s="21">
        <v>521.0</v>
      </c>
      <c r="B525" s="22" t="s">
        <v>423</v>
      </c>
      <c r="C525" s="22" t="s">
        <v>619</v>
      </c>
      <c r="D525" s="22">
        <v>14.0</v>
      </c>
      <c r="E525" s="22" t="s">
        <v>14</v>
      </c>
      <c r="F525" s="22" t="s">
        <v>13</v>
      </c>
      <c r="G525" s="22" t="s">
        <v>13</v>
      </c>
      <c r="H525" s="22" t="s">
        <v>620</v>
      </c>
      <c r="I525" s="4"/>
    </row>
    <row r="526">
      <c r="A526" s="21">
        <v>522.0</v>
      </c>
      <c r="B526" s="22" t="s">
        <v>423</v>
      </c>
      <c r="C526" s="22" t="s">
        <v>621</v>
      </c>
      <c r="D526" s="22">
        <v>18.0</v>
      </c>
      <c r="E526" s="22" t="s">
        <v>13</v>
      </c>
      <c r="F526" s="22" t="s">
        <v>13</v>
      </c>
      <c r="G526" s="22" t="s">
        <v>13</v>
      </c>
      <c r="H526" s="22" t="s">
        <v>437</v>
      </c>
      <c r="I526" s="4"/>
    </row>
    <row r="527">
      <c r="A527" s="21">
        <v>523.0</v>
      </c>
      <c r="B527" s="22" t="s">
        <v>423</v>
      </c>
      <c r="C527" s="22" t="s">
        <v>622</v>
      </c>
      <c r="D527" s="22" t="s">
        <v>13</v>
      </c>
      <c r="E527" s="22" t="s">
        <v>13</v>
      </c>
      <c r="F527" s="22" t="s">
        <v>13</v>
      </c>
      <c r="G527" s="22" t="s">
        <v>13</v>
      </c>
      <c r="H527" s="22" t="s">
        <v>13</v>
      </c>
      <c r="I527" s="4"/>
    </row>
    <row r="528">
      <c r="A528" s="21">
        <v>524.0</v>
      </c>
      <c r="B528" s="22" t="s">
        <v>423</v>
      </c>
      <c r="C528" s="22" t="s">
        <v>623</v>
      </c>
      <c r="D528" s="22">
        <v>7.0</v>
      </c>
      <c r="E528" s="22" t="s">
        <v>13</v>
      </c>
      <c r="F528" s="22" t="s">
        <v>13</v>
      </c>
      <c r="G528" s="22" t="s">
        <v>13</v>
      </c>
      <c r="H528" s="22" t="s">
        <v>13</v>
      </c>
      <c r="I528" s="4"/>
    </row>
    <row r="529">
      <c r="A529" s="21">
        <v>525.0</v>
      </c>
      <c r="B529" s="22" t="s">
        <v>423</v>
      </c>
      <c r="C529" s="22" t="s">
        <v>624</v>
      </c>
      <c r="D529" s="22" t="s">
        <v>13</v>
      </c>
      <c r="E529" s="22" t="s">
        <v>13</v>
      </c>
      <c r="F529" s="22" t="s">
        <v>13</v>
      </c>
      <c r="G529" s="22" t="s">
        <v>13</v>
      </c>
      <c r="H529" s="22" t="s">
        <v>625</v>
      </c>
      <c r="I529" s="4"/>
    </row>
    <row r="530">
      <c r="A530" s="21">
        <v>526.0</v>
      </c>
      <c r="B530" s="22" t="s">
        <v>423</v>
      </c>
      <c r="C530" s="22" t="s">
        <v>626</v>
      </c>
      <c r="D530" s="22">
        <v>52.0</v>
      </c>
      <c r="E530" s="22" t="s">
        <v>13</v>
      </c>
      <c r="F530" s="22" t="s">
        <v>13</v>
      </c>
      <c r="G530" s="22" t="s">
        <v>13</v>
      </c>
      <c r="H530" s="22" t="s">
        <v>13</v>
      </c>
      <c r="I530" s="4"/>
    </row>
    <row r="531">
      <c r="A531" s="21">
        <v>527.0</v>
      </c>
      <c r="B531" s="22" t="s">
        <v>423</v>
      </c>
      <c r="C531" s="22" t="s">
        <v>627</v>
      </c>
      <c r="D531" s="22" t="s">
        <v>13</v>
      </c>
      <c r="E531" s="22" t="s">
        <v>14</v>
      </c>
      <c r="F531" s="22" t="s">
        <v>13</v>
      </c>
      <c r="G531" s="22" t="s">
        <v>13</v>
      </c>
      <c r="H531" s="22" t="s">
        <v>540</v>
      </c>
      <c r="I531" s="4"/>
    </row>
    <row r="532">
      <c r="A532" s="21">
        <v>528.0</v>
      </c>
      <c r="B532" s="22" t="s">
        <v>423</v>
      </c>
      <c r="C532" s="22" t="s">
        <v>628</v>
      </c>
      <c r="D532" s="22" t="s">
        <v>13</v>
      </c>
      <c r="E532" s="22" t="s">
        <v>13</v>
      </c>
      <c r="F532" s="22" t="s">
        <v>13</v>
      </c>
      <c r="G532" s="22" t="s">
        <v>13</v>
      </c>
      <c r="H532" s="22" t="s">
        <v>13</v>
      </c>
      <c r="I532" s="4"/>
    </row>
    <row r="533">
      <c r="A533" s="23">
        <v>529.0</v>
      </c>
      <c r="B533" s="24" t="s">
        <v>423</v>
      </c>
      <c r="C533" s="24" t="s">
        <v>629</v>
      </c>
      <c r="D533" s="24">
        <v>71.0</v>
      </c>
      <c r="E533" s="24" t="s">
        <v>13</v>
      </c>
      <c r="F533" s="24" t="s">
        <v>13</v>
      </c>
      <c r="G533" s="24" t="s">
        <v>13</v>
      </c>
      <c r="H533" s="24" t="s">
        <v>437</v>
      </c>
      <c r="I533" s="4"/>
    </row>
    <row r="534">
      <c r="A534" s="25">
        <v>530.0</v>
      </c>
      <c r="B534" s="26" t="s">
        <v>423</v>
      </c>
      <c r="C534" s="26" t="s">
        <v>630</v>
      </c>
      <c r="D534" s="26">
        <v>23.0</v>
      </c>
      <c r="E534" s="26" t="s">
        <v>13</v>
      </c>
      <c r="F534" s="26" t="s">
        <v>13</v>
      </c>
      <c r="G534" s="26" t="s">
        <v>13</v>
      </c>
      <c r="H534" s="26" t="s">
        <v>477</v>
      </c>
      <c r="I534" s="4"/>
    </row>
    <row r="535">
      <c r="A535" s="25">
        <v>531.0</v>
      </c>
      <c r="B535" s="26" t="s">
        <v>423</v>
      </c>
      <c r="C535" s="26" t="s">
        <v>631</v>
      </c>
      <c r="D535" s="26" t="s">
        <v>13</v>
      </c>
      <c r="E535" s="26" t="s">
        <v>13</v>
      </c>
      <c r="F535" s="26" t="s">
        <v>13</v>
      </c>
      <c r="G535" s="26" t="s">
        <v>13</v>
      </c>
      <c r="H535" s="26" t="s">
        <v>450</v>
      </c>
      <c r="I535" s="4"/>
    </row>
    <row r="536">
      <c r="A536" s="25">
        <v>532.0</v>
      </c>
      <c r="B536" s="26" t="s">
        <v>423</v>
      </c>
      <c r="C536" s="26" t="s">
        <v>632</v>
      </c>
      <c r="D536" s="26" t="s">
        <v>13</v>
      </c>
      <c r="E536" s="26" t="s">
        <v>13</v>
      </c>
      <c r="F536" s="26" t="s">
        <v>13</v>
      </c>
      <c r="G536" s="26" t="s">
        <v>13</v>
      </c>
      <c r="H536" s="26" t="s">
        <v>450</v>
      </c>
      <c r="I536" s="4"/>
    </row>
    <row r="537">
      <c r="A537" s="25">
        <v>533.0</v>
      </c>
      <c r="B537" s="26" t="s">
        <v>423</v>
      </c>
      <c r="C537" s="26" t="s">
        <v>633</v>
      </c>
      <c r="D537" s="26">
        <v>30.0</v>
      </c>
      <c r="E537" s="26" t="s">
        <v>13</v>
      </c>
      <c r="F537" s="26" t="s">
        <v>13</v>
      </c>
      <c r="G537" s="26" t="s">
        <v>13</v>
      </c>
      <c r="H537" s="26" t="s">
        <v>437</v>
      </c>
      <c r="I537" s="4"/>
    </row>
    <row r="538">
      <c r="A538" s="25">
        <v>534.0</v>
      </c>
      <c r="B538" s="26" t="s">
        <v>423</v>
      </c>
      <c r="C538" s="26" t="s">
        <v>634</v>
      </c>
      <c r="D538" s="26" t="s">
        <v>13</v>
      </c>
      <c r="E538" s="26" t="s">
        <v>13</v>
      </c>
      <c r="F538" s="26" t="s">
        <v>13</v>
      </c>
      <c r="G538" s="26" t="s">
        <v>13</v>
      </c>
      <c r="H538" s="26" t="s">
        <v>13</v>
      </c>
      <c r="I538" s="4"/>
    </row>
    <row r="539">
      <c r="A539" s="25">
        <v>535.0</v>
      </c>
      <c r="B539" s="26" t="s">
        <v>423</v>
      </c>
      <c r="C539" s="26" t="s">
        <v>635</v>
      </c>
      <c r="D539" s="26">
        <v>8.0</v>
      </c>
      <c r="E539" s="26" t="s">
        <v>13</v>
      </c>
      <c r="F539" s="26" t="s">
        <v>13</v>
      </c>
      <c r="G539" s="26" t="s">
        <v>13</v>
      </c>
      <c r="H539" s="26" t="s">
        <v>557</v>
      </c>
      <c r="I539" s="4"/>
    </row>
    <row r="540">
      <c r="A540" s="25">
        <v>536.0</v>
      </c>
      <c r="B540" s="26" t="s">
        <v>423</v>
      </c>
      <c r="C540" s="26" t="s">
        <v>636</v>
      </c>
      <c r="D540" s="26">
        <v>34.0</v>
      </c>
      <c r="E540" s="26" t="s">
        <v>13</v>
      </c>
      <c r="F540" s="26" t="s">
        <v>13</v>
      </c>
      <c r="G540" s="26" t="s">
        <v>13</v>
      </c>
      <c r="H540" s="26" t="s">
        <v>13</v>
      </c>
      <c r="I540" s="4"/>
    </row>
    <row r="541">
      <c r="A541" s="25">
        <v>537.0</v>
      </c>
      <c r="B541" s="26" t="s">
        <v>423</v>
      </c>
      <c r="C541" s="26" t="s">
        <v>637</v>
      </c>
      <c r="D541" s="26">
        <v>54.0</v>
      </c>
      <c r="E541" s="26" t="s">
        <v>13</v>
      </c>
      <c r="F541" s="26" t="s">
        <v>13</v>
      </c>
      <c r="G541" s="26" t="s">
        <v>13</v>
      </c>
      <c r="H541" s="26" t="s">
        <v>474</v>
      </c>
      <c r="I541" s="4"/>
    </row>
    <row r="542">
      <c r="A542" s="25">
        <v>538.0</v>
      </c>
      <c r="B542" s="26" t="s">
        <v>423</v>
      </c>
      <c r="C542" s="26" t="s">
        <v>638</v>
      </c>
      <c r="D542" s="26">
        <v>1.0</v>
      </c>
      <c r="E542" s="26" t="s">
        <v>14</v>
      </c>
      <c r="F542" s="26" t="s">
        <v>13</v>
      </c>
      <c r="G542" s="26" t="s">
        <v>13</v>
      </c>
      <c r="H542" s="26" t="s">
        <v>639</v>
      </c>
      <c r="I542" s="4"/>
    </row>
    <row r="543">
      <c r="A543" s="25">
        <v>539.0</v>
      </c>
      <c r="B543" s="26" t="s">
        <v>423</v>
      </c>
      <c r="C543" s="26" t="s">
        <v>640</v>
      </c>
      <c r="D543" s="26">
        <v>34.0</v>
      </c>
      <c r="E543" s="26" t="s">
        <v>13</v>
      </c>
      <c r="F543" s="26" t="s">
        <v>13</v>
      </c>
      <c r="G543" s="26" t="s">
        <v>13</v>
      </c>
      <c r="H543" s="26" t="s">
        <v>13</v>
      </c>
      <c r="I543" s="4"/>
    </row>
    <row r="544">
      <c r="A544" s="25">
        <v>540.0</v>
      </c>
      <c r="B544" s="26" t="s">
        <v>423</v>
      </c>
      <c r="C544" s="26" t="s">
        <v>641</v>
      </c>
      <c r="D544" s="26">
        <v>43.0</v>
      </c>
      <c r="E544" s="26" t="s">
        <v>13</v>
      </c>
      <c r="F544" s="26" t="s">
        <v>13</v>
      </c>
      <c r="G544" s="26" t="s">
        <v>13</v>
      </c>
      <c r="H544" s="26" t="s">
        <v>612</v>
      </c>
      <c r="I544" s="4"/>
    </row>
    <row r="545">
      <c r="A545" s="25">
        <v>541.0</v>
      </c>
      <c r="B545" s="26" t="s">
        <v>423</v>
      </c>
      <c r="C545" s="26" t="s">
        <v>642</v>
      </c>
      <c r="D545" s="26">
        <v>41.0</v>
      </c>
      <c r="E545" s="26" t="s">
        <v>13</v>
      </c>
      <c r="F545" s="26" t="s">
        <v>13</v>
      </c>
      <c r="G545" s="26" t="s">
        <v>330</v>
      </c>
      <c r="H545" s="26" t="s">
        <v>441</v>
      </c>
      <c r="I545" s="4"/>
    </row>
    <row r="546">
      <c r="A546" s="25">
        <v>542.0</v>
      </c>
      <c r="B546" s="26" t="s">
        <v>423</v>
      </c>
      <c r="C546" s="26" t="s">
        <v>643</v>
      </c>
      <c r="D546" s="26">
        <v>23.0</v>
      </c>
      <c r="E546" s="26" t="s">
        <v>644</v>
      </c>
      <c r="F546" s="26" t="s">
        <v>13</v>
      </c>
      <c r="G546" s="26" t="s">
        <v>13</v>
      </c>
      <c r="H546" s="26" t="s">
        <v>15</v>
      </c>
      <c r="I546" s="4"/>
    </row>
    <row r="547">
      <c r="A547" s="25">
        <v>543.0</v>
      </c>
      <c r="B547" s="26" t="s">
        <v>423</v>
      </c>
      <c r="C547" s="26" t="s">
        <v>645</v>
      </c>
      <c r="D547" s="26">
        <v>4.0</v>
      </c>
      <c r="E547" s="26" t="s">
        <v>13</v>
      </c>
      <c r="F547" s="26" t="s">
        <v>13</v>
      </c>
      <c r="G547" s="26" t="s">
        <v>13</v>
      </c>
      <c r="H547" s="26" t="s">
        <v>557</v>
      </c>
      <c r="I547" s="4"/>
    </row>
    <row r="548">
      <c r="A548" s="25">
        <v>544.0</v>
      </c>
      <c r="B548" s="26" t="s">
        <v>423</v>
      </c>
      <c r="C548" s="26" t="s">
        <v>646</v>
      </c>
      <c r="D548" s="26" t="s">
        <v>13</v>
      </c>
      <c r="E548" s="26" t="s">
        <v>13</v>
      </c>
      <c r="F548" s="26" t="s">
        <v>13</v>
      </c>
      <c r="G548" s="26" t="s">
        <v>13</v>
      </c>
      <c r="H548" s="26" t="s">
        <v>13</v>
      </c>
      <c r="I548" s="4"/>
    </row>
    <row r="549">
      <c r="A549" s="25">
        <v>545.0</v>
      </c>
      <c r="B549" s="26" t="s">
        <v>423</v>
      </c>
      <c r="C549" s="26" t="s">
        <v>647</v>
      </c>
      <c r="D549" s="26">
        <v>61.0</v>
      </c>
      <c r="E549" s="26" t="s">
        <v>13</v>
      </c>
      <c r="F549" s="26" t="s">
        <v>13</v>
      </c>
      <c r="G549" s="26" t="s">
        <v>13</v>
      </c>
      <c r="H549" s="26" t="s">
        <v>648</v>
      </c>
      <c r="I549" s="4"/>
    </row>
    <row r="550">
      <c r="A550" s="25">
        <v>546.0</v>
      </c>
      <c r="B550" s="26" t="s">
        <v>423</v>
      </c>
      <c r="C550" s="26" t="s">
        <v>649</v>
      </c>
      <c r="D550" s="26">
        <v>61.0</v>
      </c>
      <c r="E550" s="26" t="s">
        <v>13</v>
      </c>
      <c r="F550" s="26" t="s">
        <v>13</v>
      </c>
      <c r="G550" s="26" t="s">
        <v>13</v>
      </c>
      <c r="H550" s="26" t="s">
        <v>474</v>
      </c>
      <c r="I550" s="4"/>
    </row>
    <row r="551">
      <c r="A551" s="25">
        <v>547.0</v>
      </c>
      <c r="B551" s="26" t="s">
        <v>423</v>
      </c>
      <c r="C551" s="26" t="s">
        <v>650</v>
      </c>
      <c r="D551" s="26">
        <v>59.0</v>
      </c>
      <c r="E551" s="26" t="s">
        <v>13</v>
      </c>
      <c r="F551" s="26" t="s">
        <v>13</v>
      </c>
      <c r="G551" s="26" t="s">
        <v>651</v>
      </c>
      <c r="H551" s="26" t="s">
        <v>13</v>
      </c>
      <c r="I551" s="4"/>
    </row>
    <row r="552">
      <c r="A552" s="25">
        <v>548.0</v>
      </c>
      <c r="B552" s="26" t="s">
        <v>423</v>
      </c>
      <c r="C552" s="26" t="s">
        <v>652</v>
      </c>
      <c r="D552" s="26">
        <v>59.0</v>
      </c>
      <c r="E552" s="26" t="s">
        <v>13</v>
      </c>
      <c r="F552" s="26" t="s">
        <v>13</v>
      </c>
      <c r="G552" s="26" t="s">
        <v>13</v>
      </c>
      <c r="H552" s="26" t="s">
        <v>13</v>
      </c>
      <c r="I552" s="4"/>
    </row>
    <row r="553">
      <c r="A553" s="25">
        <v>549.0</v>
      </c>
      <c r="B553" s="26" t="s">
        <v>423</v>
      </c>
      <c r="C553" s="26" t="s">
        <v>653</v>
      </c>
      <c r="D553" s="26" t="s">
        <v>13</v>
      </c>
      <c r="E553" s="26" t="s">
        <v>13</v>
      </c>
      <c r="F553" s="26" t="s">
        <v>13</v>
      </c>
      <c r="G553" s="26" t="s">
        <v>13</v>
      </c>
      <c r="H553" s="26" t="s">
        <v>654</v>
      </c>
      <c r="I553" s="4"/>
    </row>
    <row r="554">
      <c r="A554" s="25">
        <v>550.0</v>
      </c>
      <c r="B554" s="26" t="s">
        <v>423</v>
      </c>
      <c r="C554" s="26" t="s">
        <v>655</v>
      </c>
      <c r="D554" s="26">
        <v>42.0</v>
      </c>
      <c r="E554" s="26" t="s">
        <v>13</v>
      </c>
      <c r="F554" s="26" t="s">
        <v>13</v>
      </c>
      <c r="G554" s="26" t="s">
        <v>13</v>
      </c>
      <c r="H554" s="26" t="s">
        <v>13</v>
      </c>
      <c r="I554" s="4"/>
    </row>
    <row r="555">
      <c r="A555" s="25">
        <v>551.0</v>
      </c>
      <c r="B555" s="26" t="s">
        <v>423</v>
      </c>
      <c r="C555" s="26" t="s">
        <v>656</v>
      </c>
      <c r="D555" s="26" t="s">
        <v>13</v>
      </c>
      <c r="E555" s="26" t="s">
        <v>14</v>
      </c>
      <c r="F555" s="26" t="s">
        <v>13</v>
      </c>
      <c r="G555" s="26" t="s">
        <v>13</v>
      </c>
      <c r="H555" s="26" t="s">
        <v>15</v>
      </c>
      <c r="I555" s="4"/>
    </row>
    <row r="556">
      <c r="A556" s="25">
        <v>552.0</v>
      </c>
      <c r="B556" s="26" t="s">
        <v>423</v>
      </c>
      <c r="C556" s="26" t="s">
        <v>657</v>
      </c>
      <c r="D556" s="26">
        <v>83.0</v>
      </c>
      <c r="E556" s="26" t="s">
        <v>13</v>
      </c>
      <c r="F556" s="26" t="s">
        <v>13</v>
      </c>
      <c r="G556" s="26" t="s">
        <v>13</v>
      </c>
      <c r="H556" s="26" t="s">
        <v>658</v>
      </c>
      <c r="I556" s="4"/>
    </row>
    <row r="557">
      <c r="A557" s="25">
        <v>553.0</v>
      </c>
      <c r="B557" s="26" t="s">
        <v>423</v>
      </c>
      <c r="C557" s="26" t="s">
        <v>659</v>
      </c>
      <c r="D557" s="26" t="s">
        <v>13</v>
      </c>
      <c r="E557" s="26" t="s">
        <v>14</v>
      </c>
      <c r="F557" s="26" t="s">
        <v>13</v>
      </c>
      <c r="G557" s="26" t="s">
        <v>13</v>
      </c>
      <c r="H557" s="26" t="s">
        <v>15</v>
      </c>
      <c r="I557" s="4"/>
    </row>
    <row r="558">
      <c r="A558" s="25">
        <v>554.0</v>
      </c>
      <c r="B558" s="26" t="s">
        <v>423</v>
      </c>
      <c r="C558" s="26" t="s">
        <v>660</v>
      </c>
      <c r="D558" s="26">
        <v>36.0</v>
      </c>
      <c r="E558" s="26" t="s">
        <v>13</v>
      </c>
      <c r="F558" s="26" t="s">
        <v>13</v>
      </c>
      <c r="G558" s="26" t="s">
        <v>13</v>
      </c>
      <c r="H558" s="26" t="s">
        <v>439</v>
      </c>
      <c r="I558" s="4"/>
    </row>
    <row r="559">
      <c r="A559" s="25">
        <v>555.0</v>
      </c>
      <c r="B559" s="26" t="s">
        <v>423</v>
      </c>
      <c r="C559" s="26" t="s">
        <v>661</v>
      </c>
      <c r="D559" s="26">
        <v>61.0</v>
      </c>
      <c r="E559" s="26" t="s">
        <v>13</v>
      </c>
      <c r="F559" s="26" t="s">
        <v>13</v>
      </c>
      <c r="G559" s="26" t="s">
        <v>13</v>
      </c>
      <c r="H559" s="26" t="s">
        <v>439</v>
      </c>
      <c r="I559" s="4"/>
    </row>
    <row r="560">
      <c r="A560" s="25">
        <v>556.0</v>
      </c>
      <c r="B560" s="26" t="s">
        <v>423</v>
      </c>
      <c r="C560" s="26" t="s">
        <v>661</v>
      </c>
      <c r="D560" s="26">
        <v>61.0</v>
      </c>
      <c r="E560" s="26" t="s">
        <v>13</v>
      </c>
      <c r="F560" s="26" t="s">
        <v>13</v>
      </c>
      <c r="G560" s="26" t="s">
        <v>330</v>
      </c>
      <c r="H560" s="26" t="s">
        <v>441</v>
      </c>
      <c r="I560" s="4"/>
    </row>
    <row r="561">
      <c r="A561" s="25">
        <v>557.0</v>
      </c>
      <c r="B561" s="26" t="s">
        <v>423</v>
      </c>
      <c r="C561" s="26" t="s">
        <v>662</v>
      </c>
      <c r="D561" s="26">
        <v>63.0</v>
      </c>
      <c r="E561" s="26" t="s">
        <v>13</v>
      </c>
      <c r="F561" s="26" t="s">
        <v>13</v>
      </c>
      <c r="G561" s="26" t="s">
        <v>13</v>
      </c>
      <c r="H561" s="26" t="s">
        <v>13</v>
      </c>
      <c r="I561" s="4"/>
    </row>
    <row r="562">
      <c r="A562" s="25">
        <v>558.0</v>
      </c>
      <c r="B562" s="26" t="s">
        <v>423</v>
      </c>
      <c r="C562" s="26" t="s">
        <v>663</v>
      </c>
      <c r="D562" s="26">
        <v>39.0</v>
      </c>
      <c r="E562" s="26" t="s">
        <v>13</v>
      </c>
      <c r="F562" s="26" t="s">
        <v>13</v>
      </c>
      <c r="G562" s="26" t="s">
        <v>13</v>
      </c>
      <c r="H562" s="26" t="s">
        <v>13</v>
      </c>
      <c r="I562" s="4"/>
    </row>
    <row r="563">
      <c r="A563" s="25">
        <v>559.0</v>
      </c>
      <c r="B563" s="26" t="s">
        <v>423</v>
      </c>
      <c r="C563" s="26" t="s">
        <v>664</v>
      </c>
      <c r="D563" s="26">
        <v>22.0</v>
      </c>
      <c r="E563" s="26" t="s">
        <v>13</v>
      </c>
      <c r="F563" s="26" t="s">
        <v>13</v>
      </c>
      <c r="G563" s="26" t="s">
        <v>665</v>
      </c>
      <c r="H563" s="26" t="s">
        <v>13</v>
      </c>
      <c r="I563" s="4"/>
    </row>
    <row r="564">
      <c r="A564" s="25">
        <v>560.0</v>
      </c>
      <c r="B564" s="26" t="s">
        <v>423</v>
      </c>
      <c r="C564" s="26" t="s">
        <v>664</v>
      </c>
      <c r="D564" s="26">
        <v>22.0</v>
      </c>
      <c r="E564" s="26" t="s">
        <v>13</v>
      </c>
      <c r="F564" s="26" t="s">
        <v>13</v>
      </c>
      <c r="G564" s="26" t="s">
        <v>13</v>
      </c>
      <c r="H564" s="26" t="s">
        <v>13</v>
      </c>
      <c r="I564" s="4"/>
    </row>
    <row r="565">
      <c r="A565" s="25">
        <v>561.0</v>
      </c>
      <c r="B565" s="26" t="s">
        <v>423</v>
      </c>
      <c r="C565" s="26" t="s">
        <v>666</v>
      </c>
      <c r="D565" s="26">
        <v>10.0</v>
      </c>
      <c r="E565" s="26" t="s">
        <v>13</v>
      </c>
      <c r="F565" s="26" t="s">
        <v>13</v>
      </c>
      <c r="G565" s="26" t="s">
        <v>13</v>
      </c>
      <c r="H565" s="26" t="s">
        <v>452</v>
      </c>
      <c r="I565" s="4"/>
    </row>
    <row r="566">
      <c r="A566" s="25">
        <v>562.0</v>
      </c>
      <c r="B566" s="26" t="s">
        <v>423</v>
      </c>
      <c r="C566" s="26" t="s">
        <v>667</v>
      </c>
      <c r="D566" s="26">
        <v>26.0</v>
      </c>
      <c r="E566" s="26" t="s">
        <v>13</v>
      </c>
      <c r="F566" s="26" t="s">
        <v>13</v>
      </c>
      <c r="G566" s="26" t="s">
        <v>330</v>
      </c>
      <c r="H566" s="26" t="s">
        <v>441</v>
      </c>
      <c r="I566" s="4"/>
    </row>
    <row r="567">
      <c r="A567" s="25">
        <v>563.0</v>
      </c>
      <c r="B567" s="26" t="s">
        <v>423</v>
      </c>
      <c r="C567" s="26" t="s">
        <v>668</v>
      </c>
      <c r="D567" s="26">
        <v>26.0</v>
      </c>
      <c r="E567" s="26" t="s">
        <v>13</v>
      </c>
      <c r="F567" s="26" t="s">
        <v>13</v>
      </c>
      <c r="G567" s="26" t="s">
        <v>13</v>
      </c>
      <c r="H567" s="26" t="s">
        <v>477</v>
      </c>
      <c r="I567" s="4"/>
    </row>
    <row r="568">
      <c r="A568" s="25">
        <v>564.0</v>
      </c>
      <c r="B568" s="26" t="s">
        <v>423</v>
      </c>
      <c r="C568" s="26" t="s">
        <v>669</v>
      </c>
      <c r="D568" s="26" t="s">
        <v>13</v>
      </c>
      <c r="E568" s="26" t="s">
        <v>14</v>
      </c>
      <c r="F568" s="26" t="s">
        <v>13</v>
      </c>
      <c r="G568" s="26" t="s">
        <v>13</v>
      </c>
      <c r="H568" s="26" t="s">
        <v>580</v>
      </c>
      <c r="I568" s="4"/>
    </row>
    <row r="569">
      <c r="A569" s="25">
        <v>565.0</v>
      </c>
      <c r="B569" s="26" t="s">
        <v>423</v>
      </c>
      <c r="C569" s="26" t="s">
        <v>670</v>
      </c>
      <c r="D569" s="26">
        <v>34.0</v>
      </c>
      <c r="E569" s="26" t="s">
        <v>13</v>
      </c>
      <c r="F569" s="26" t="s">
        <v>13</v>
      </c>
      <c r="G569" s="26" t="s">
        <v>13</v>
      </c>
      <c r="H569" s="26" t="s">
        <v>439</v>
      </c>
      <c r="I569" s="4"/>
    </row>
    <row r="570">
      <c r="A570" s="25">
        <v>566.0</v>
      </c>
      <c r="B570" s="26" t="s">
        <v>423</v>
      </c>
      <c r="C570" s="26" t="s">
        <v>671</v>
      </c>
      <c r="D570" s="26">
        <v>44.0</v>
      </c>
      <c r="E570" s="26" t="s">
        <v>13</v>
      </c>
      <c r="F570" s="26" t="s">
        <v>13</v>
      </c>
      <c r="G570" s="26" t="s">
        <v>13</v>
      </c>
      <c r="H570" s="26" t="s">
        <v>439</v>
      </c>
      <c r="I570" s="4"/>
    </row>
    <row r="571">
      <c r="A571" s="25">
        <v>567.0</v>
      </c>
      <c r="B571" s="26" t="s">
        <v>423</v>
      </c>
      <c r="C571" s="26" t="s">
        <v>672</v>
      </c>
      <c r="D571" s="26">
        <v>30.0</v>
      </c>
      <c r="E571" s="26" t="s">
        <v>13</v>
      </c>
      <c r="F571" s="26" t="s">
        <v>13</v>
      </c>
      <c r="G571" s="26" t="s">
        <v>13</v>
      </c>
      <c r="H571" s="26" t="s">
        <v>673</v>
      </c>
      <c r="I571" s="4"/>
    </row>
    <row r="572">
      <c r="A572" s="25">
        <v>568.0</v>
      </c>
      <c r="B572" s="26" t="s">
        <v>423</v>
      </c>
      <c r="C572" s="26" t="s">
        <v>674</v>
      </c>
      <c r="D572" s="26" t="s">
        <v>13</v>
      </c>
      <c r="E572" s="26" t="s">
        <v>13</v>
      </c>
      <c r="F572" s="26" t="s">
        <v>13</v>
      </c>
      <c r="G572" s="26" t="s">
        <v>13</v>
      </c>
      <c r="H572" s="26" t="s">
        <v>13</v>
      </c>
      <c r="I572" s="4"/>
    </row>
    <row r="573">
      <c r="A573" s="25">
        <v>569.0</v>
      </c>
      <c r="B573" s="26" t="s">
        <v>423</v>
      </c>
      <c r="C573" s="26" t="s">
        <v>675</v>
      </c>
      <c r="D573" s="26">
        <v>30.0</v>
      </c>
      <c r="E573" s="26" t="s">
        <v>13</v>
      </c>
      <c r="F573" s="26" t="s">
        <v>13</v>
      </c>
      <c r="G573" s="26" t="s">
        <v>13</v>
      </c>
      <c r="H573" s="26" t="s">
        <v>13</v>
      </c>
      <c r="I573" s="4"/>
    </row>
    <row r="574">
      <c r="A574" s="25">
        <v>570.0</v>
      </c>
      <c r="B574" s="26" t="s">
        <v>423</v>
      </c>
      <c r="C574" s="26" t="s">
        <v>676</v>
      </c>
      <c r="D574" s="26">
        <v>30.0</v>
      </c>
      <c r="E574" s="26" t="s">
        <v>13</v>
      </c>
      <c r="F574" s="26" t="s">
        <v>13</v>
      </c>
      <c r="G574" s="26" t="s">
        <v>13</v>
      </c>
      <c r="H574" s="26" t="s">
        <v>13</v>
      </c>
      <c r="I574" s="4"/>
    </row>
    <row r="575">
      <c r="A575" s="25">
        <v>571.0</v>
      </c>
      <c r="B575" s="26" t="s">
        <v>423</v>
      </c>
      <c r="C575" s="26" t="s">
        <v>677</v>
      </c>
      <c r="D575" s="26" t="s">
        <v>13</v>
      </c>
      <c r="E575" s="26" t="s">
        <v>14</v>
      </c>
      <c r="F575" s="26" t="s">
        <v>13</v>
      </c>
      <c r="G575" s="26" t="s">
        <v>13</v>
      </c>
      <c r="H575" s="26" t="s">
        <v>615</v>
      </c>
      <c r="I575" s="4"/>
    </row>
    <row r="576">
      <c r="A576" s="25">
        <v>572.0</v>
      </c>
      <c r="B576" s="26" t="s">
        <v>423</v>
      </c>
      <c r="C576" s="26" t="s">
        <v>678</v>
      </c>
      <c r="D576" s="26">
        <v>44.0</v>
      </c>
      <c r="E576" s="26" t="s">
        <v>13</v>
      </c>
      <c r="F576" s="26" t="s">
        <v>13</v>
      </c>
      <c r="G576" s="26" t="s">
        <v>13</v>
      </c>
      <c r="H576" s="26" t="s">
        <v>477</v>
      </c>
      <c r="I576" s="4"/>
    </row>
    <row r="577">
      <c r="A577" s="25">
        <v>573.0</v>
      </c>
      <c r="B577" s="26" t="s">
        <v>423</v>
      </c>
      <c r="C577" s="26" t="s">
        <v>679</v>
      </c>
      <c r="D577" s="26" t="s">
        <v>13</v>
      </c>
      <c r="E577" s="26" t="s">
        <v>13</v>
      </c>
      <c r="F577" s="26" t="s">
        <v>13</v>
      </c>
      <c r="G577" s="26" t="s">
        <v>13</v>
      </c>
      <c r="H577" s="26" t="s">
        <v>13</v>
      </c>
      <c r="I577" s="4"/>
    </row>
    <row r="578">
      <c r="A578" s="25">
        <v>574.0</v>
      </c>
      <c r="B578" s="26" t="s">
        <v>423</v>
      </c>
      <c r="C578" s="26" t="s">
        <v>679</v>
      </c>
      <c r="D578" s="26">
        <v>20.0</v>
      </c>
      <c r="E578" s="26" t="s">
        <v>13</v>
      </c>
      <c r="F578" s="26" t="s">
        <v>13</v>
      </c>
      <c r="G578" s="26" t="s">
        <v>13</v>
      </c>
      <c r="H578" s="26" t="s">
        <v>13</v>
      </c>
      <c r="I578" s="4"/>
    </row>
    <row r="579">
      <c r="A579" s="25">
        <v>575.0</v>
      </c>
      <c r="B579" s="26" t="s">
        <v>423</v>
      </c>
      <c r="C579" s="26" t="s">
        <v>680</v>
      </c>
      <c r="D579" s="26">
        <v>12.0</v>
      </c>
      <c r="E579" s="26" t="s">
        <v>13</v>
      </c>
      <c r="F579" s="26" t="s">
        <v>13</v>
      </c>
      <c r="G579" s="26" t="s">
        <v>13</v>
      </c>
      <c r="H579" s="26" t="s">
        <v>13</v>
      </c>
      <c r="I579" s="4"/>
    </row>
    <row r="580">
      <c r="A580" s="25">
        <v>576.0</v>
      </c>
      <c r="B580" s="26" t="s">
        <v>423</v>
      </c>
      <c r="C580" s="26" t="s">
        <v>681</v>
      </c>
      <c r="D580" s="26">
        <v>84.0</v>
      </c>
      <c r="E580" s="26" t="s">
        <v>13</v>
      </c>
      <c r="F580" s="26" t="s">
        <v>13</v>
      </c>
      <c r="G580" s="26" t="s">
        <v>13</v>
      </c>
      <c r="H580" s="26" t="s">
        <v>474</v>
      </c>
      <c r="I580" s="4"/>
    </row>
    <row r="581">
      <c r="A581" s="25">
        <v>577.0</v>
      </c>
      <c r="B581" s="26" t="s">
        <v>423</v>
      </c>
      <c r="C581" s="26" t="s">
        <v>682</v>
      </c>
      <c r="D581" s="26">
        <v>62.0</v>
      </c>
      <c r="E581" s="26" t="s">
        <v>683</v>
      </c>
      <c r="F581" s="26" t="s">
        <v>13</v>
      </c>
      <c r="G581" s="26" t="s">
        <v>13</v>
      </c>
      <c r="H581" s="26" t="s">
        <v>684</v>
      </c>
      <c r="I581" s="4"/>
    </row>
    <row r="582">
      <c r="A582" s="25">
        <v>578.0</v>
      </c>
      <c r="B582" s="26" t="s">
        <v>423</v>
      </c>
      <c r="C582" s="26" t="s">
        <v>685</v>
      </c>
      <c r="D582" s="26">
        <v>26.0</v>
      </c>
      <c r="E582" s="26" t="s">
        <v>13</v>
      </c>
      <c r="F582" s="26" t="s">
        <v>13</v>
      </c>
      <c r="G582" s="26" t="s">
        <v>13</v>
      </c>
      <c r="H582" s="26" t="s">
        <v>499</v>
      </c>
      <c r="I582" s="4"/>
    </row>
    <row r="583">
      <c r="A583" s="25">
        <v>579.0</v>
      </c>
      <c r="B583" s="26" t="s">
        <v>423</v>
      </c>
      <c r="C583" s="26" t="s">
        <v>686</v>
      </c>
      <c r="D583" s="26" t="s">
        <v>13</v>
      </c>
      <c r="E583" s="26" t="s">
        <v>13</v>
      </c>
      <c r="F583" s="26" t="s">
        <v>13</v>
      </c>
      <c r="G583" s="26" t="s">
        <v>13</v>
      </c>
      <c r="H583" s="26" t="s">
        <v>13</v>
      </c>
      <c r="I583" s="4"/>
    </row>
    <row r="584">
      <c r="A584" s="25">
        <v>580.0</v>
      </c>
      <c r="B584" s="26" t="s">
        <v>423</v>
      </c>
      <c r="C584" s="26" t="s">
        <v>686</v>
      </c>
      <c r="D584" s="26" t="s">
        <v>13</v>
      </c>
      <c r="E584" s="26" t="s">
        <v>13</v>
      </c>
      <c r="F584" s="26" t="s">
        <v>13</v>
      </c>
      <c r="G584" s="26" t="s">
        <v>13</v>
      </c>
      <c r="H584" s="26" t="s">
        <v>13</v>
      </c>
      <c r="I584" s="4"/>
    </row>
    <row r="585">
      <c r="A585" s="25">
        <v>581.0</v>
      </c>
      <c r="B585" s="26" t="s">
        <v>423</v>
      </c>
      <c r="C585" s="26" t="s">
        <v>687</v>
      </c>
      <c r="D585" s="26">
        <v>4.0</v>
      </c>
      <c r="E585" s="26" t="s">
        <v>13</v>
      </c>
      <c r="F585" s="26" t="s">
        <v>13</v>
      </c>
      <c r="G585" s="26" t="s">
        <v>13</v>
      </c>
      <c r="H585" s="26" t="s">
        <v>452</v>
      </c>
      <c r="I585" s="4"/>
    </row>
    <row r="586">
      <c r="A586" s="25">
        <v>582.0</v>
      </c>
      <c r="B586" s="26" t="s">
        <v>423</v>
      </c>
      <c r="C586" s="26" t="s">
        <v>688</v>
      </c>
      <c r="D586" s="26">
        <v>4.0</v>
      </c>
      <c r="E586" s="26" t="s">
        <v>13</v>
      </c>
      <c r="F586" s="26" t="s">
        <v>13</v>
      </c>
      <c r="G586" s="26" t="s">
        <v>545</v>
      </c>
      <c r="H586" s="26" t="s">
        <v>452</v>
      </c>
      <c r="I586" s="4"/>
    </row>
    <row r="587">
      <c r="A587" s="25">
        <v>583.0</v>
      </c>
      <c r="B587" s="26" t="s">
        <v>423</v>
      </c>
      <c r="C587" s="26" t="s">
        <v>689</v>
      </c>
      <c r="D587" s="26">
        <v>4.0</v>
      </c>
      <c r="E587" s="26" t="s">
        <v>13</v>
      </c>
      <c r="F587" s="26" t="s">
        <v>13</v>
      </c>
      <c r="G587" s="26" t="s">
        <v>13</v>
      </c>
      <c r="H587" s="26" t="s">
        <v>464</v>
      </c>
      <c r="I587" s="4"/>
    </row>
    <row r="588">
      <c r="A588" s="25">
        <v>584.0</v>
      </c>
      <c r="B588" s="26" t="s">
        <v>423</v>
      </c>
      <c r="C588" s="26" t="s">
        <v>690</v>
      </c>
      <c r="D588" s="26" t="s">
        <v>13</v>
      </c>
      <c r="E588" s="26" t="s">
        <v>13</v>
      </c>
      <c r="F588" s="26" t="s">
        <v>13</v>
      </c>
      <c r="G588" s="26" t="s">
        <v>13</v>
      </c>
      <c r="H588" s="26" t="s">
        <v>452</v>
      </c>
      <c r="I588" s="4"/>
    </row>
    <row r="589">
      <c r="A589" s="25">
        <v>585.0</v>
      </c>
      <c r="B589" s="26" t="s">
        <v>423</v>
      </c>
      <c r="C589" s="26" t="s">
        <v>691</v>
      </c>
      <c r="D589" s="26" t="s">
        <v>13</v>
      </c>
      <c r="E589" s="26" t="s">
        <v>13</v>
      </c>
      <c r="F589" s="26" t="s">
        <v>13</v>
      </c>
      <c r="G589" s="26" t="s">
        <v>13</v>
      </c>
      <c r="H589" s="26" t="s">
        <v>452</v>
      </c>
      <c r="I589" s="4"/>
    </row>
    <row r="590">
      <c r="A590" s="25">
        <v>586.0</v>
      </c>
      <c r="B590" s="26" t="s">
        <v>423</v>
      </c>
      <c r="C590" s="26" t="s">
        <v>692</v>
      </c>
      <c r="D590" s="26">
        <v>9.0</v>
      </c>
      <c r="E590" s="26" t="s">
        <v>13</v>
      </c>
      <c r="F590" s="26" t="s">
        <v>13</v>
      </c>
      <c r="G590" s="26" t="s">
        <v>13</v>
      </c>
      <c r="H590" s="26" t="s">
        <v>452</v>
      </c>
      <c r="I590" s="4"/>
    </row>
    <row r="591">
      <c r="A591" s="25">
        <v>587.0</v>
      </c>
      <c r="B591" s="26" t="s">
        <v>423</v>
      </c>
      <c r="C591" s="26" t="s">
        <v>693</v>
      </c>
      <c r="D591" s="26">
        <v>28.0</v>
      </c>
      <c r="E591" s="26" t="s">
        <v>13</v>
      </c>
      <c r="F591" s="26" t="s">
        <v>13</v>
      </c>
      <c r="G591" s="26" t="s">
        <v>13</v>
      </c>
      <c r="H591" s="26" t="s">
        <v>13</v>
      </c>
      <c r="I591" s="4"/>
    </row>
    <row r="592">
      <c r="A592" s="25">
        <v>588.0</v>
      </c>
      <c r="B592" s="26" t="s">
        <v>423</v>
      </c>
      <c r="C592" s="26" t="s">
        <v>694</v>
      </c>
      <c r="D592" s="26" t="s">
        <v>13</v>
      </c>
      <c r="E592" s="26" t="s">
        <v>13</v>
      </c>
      <c r="F592" s="26" t="s">
        <v>13</v>
      </c>
      <c r="G592" s="26" t="s">
        <v>13</v>
      </c>
      <c r="H592" s="26" t="s">
        <v>13</v>
      </c>
      <c r="I592" s="4"/>
    </row>
    <row r="593">
      <c r="A593" s="25">
        <v>589.0</v>
      </c>
      <c r="B593" s="26" t="s">
        <v>423</v>
      </c>
      <c r="C593" s="26" t="s">
        <v>694</v>
      </c>
      <c r="D593" s="26">
        <v>74.0</v>
      </c>
      <c r="E593" s="26" t="s">
        <v>13</v>
      </c>
      <c r="F593" s="26" t="s">
        <v>13</v>
      </c>
      <c r="G593" s="26" t="s">
        <v>13</v>
      </c>
      <c r="H593" s="26" t="s">
        <v>13</v>
      </c>
      <c r="I593" s="4"/>
    </row>
    <row r="594">
      <c r="A594" s="25">
        <v>590.0</v>
      </c>
      <c r="B594" s="26" t="s">
        <v>423</v>
      </c>
      <c r="C594" s="26" t="s">
        <v>695</v>
      </c>
      <c r="D594" s="26">
        <v>42.0</v>
      </c>
      <c r="E594" s="26" t="s">
        <v>13</v>
      </c>
      <c r="F594" s="26" t="s">
        <v>13</v>
      </c>
      <c r="G594" s="26" t="s">
        <v>13</v>
      </c>
      <c r="H594" s="26" t="s">
        <v>499</v>
      </c>
      <c r="I594" s="4"/>
    </row>
    <row r="595">
      <c r="A595" s="25">
        <v>591.0</v>
      </c>
      <c r="B595" s="26" t="s">
        <v>423</v>
      </c>
      <c r="C595" s="26" t="s">
        <v>695</v>
      </c>
      <c r="D595" s="26">
        <v>42.0</v>
      </c>
      <c r="E595" s="26" t="s">
        <v>13</v>
      </c>
      <c r="F595" s="26" t="s">
        <v>13</v>
      </c>
      <c r="G595" s="26" t="s">
        <v>13</v>
      </c>
      <c r="H595" s="26" t="s">
        <v>13</v>
      </c>
      <c r="I595" s="4"/>
    </row>
    <row r="596">
      <c r="A596" s="25">
        <v>592.0</v>
      </c>
      <c r="B596" s="26" t="s">
        <v>423</v>
      </c>
      <c r="C596" s="26" t="s">
        <v>696</v>
      </c>
      <c r="D596" s="26">
        <v>55.0</v>
      </c>
      <c r="E596" s="26" t="s">
        <v>13</v>
      </c>
      <c r="F596" s="26" t="s">
        <v>13</v>
      </c>
      <c r="G596" s="26" t="s">
        <v>13</v>
      </c>
      <c r="H596" s="26" t="s">
        <v>477</v>
      </c>
      <c r="I596" s="4"/>
    </row>
    <row r="597">
      <c r="A597" s="25">
        <v>593.0</v>
      </c>
      <c r="B597" s="26" t="s">
        <v>423</v>
      </c>
      <c r="C597" s="26" t="s">
        <v>697</v>
      </c>
      <c r="D597" s="26" t="s">
        <v>13</v>
      </c>
      <c r="E597" s="26" t="s">
        <v>13</v>
      </c>
      <c r="F597" s="26" t="s">
        <v>13</v>
      </c>
      <c r="G597" s="26" t="s">
        <v>13</v>
      </c>
      <c r="H597" s="26" t="s">
        <v>477</v>
      </c>
      <c r="I597" s="4"/>
    </row>
    <row r="598">
      <c r="A598" s="25">
        <v>594.0</v>
      </c>
      <c r="B598" s="26" t="s">
        <v>423</v>
      </c>
      <c r="C598" s="26" t="s">
        <v>698</v>
      </c>
      <c r="D598" s="26" t="s">
        <v>13</v>
      </c>
      <c r="E598" s="26" t="s">
        <v>13</v>
      </c>
      <c r="F598" s="26" t="s">
        <v>13</v>
      </c>
      <c r="G598" s="26" t="s">
        <v>13</v>
      </c>
      <c r="H598" s="26" t="s">
        <v>13</v>
      </c>
      <c r="I598" s="4"/>
    </row>
    <row r="599">
      <c r="A599" s="25">
        <v>595.0</v>
      </c>
      <c r="B599" s="26" t="s">
        <v>423</v>
      </c>
      <c r="C599" s="26" t="s">
        <v>699</v>
      </c>
      <c r="D599" s="26">
        <v>63.0</v>
      </c>
      <c r="E599" s="26" t="s">
        <v>13</v>
      </c>
      <c r="F599" s="26" t="s">
        <v>13</v>
      </c>
      <c r="G599" s="26" t="s">
        <v>13</v>
      </c>
      <c r="H599" s="26" t="s">
        <v>700</v>
      </c>
      <c r="I599" s="4"/>
    </row>
    <row r="600">
      <c r="A600" s="25">
        <v>596.0</v>
      </c>
      <c r="B600" s="26" t="s">
        <v>423</v>
      </c>
      <c r="C600" s="26" t="s">
        <v>701</v>
      </c>
      <c r="D600" s="26">
        <v>83.0</v>
      </c>
      <c r="E600" s="26" t="s">
        <v>13</v>
      </c>
      <c r="F600" s="26" t="s">
        <v>13</v>
      </c>
      <c r="G600" s="26" t="s">
        <v>13</v>
      </c>
      <c r="H600" s="26" t="s">
        <v>425</v>
      </c>
      <c r="I600" s="4"/>
    </row>
    <row r="601">
      <c r="A601" s="25">
        <v>597.0</v>
      </c>
      <c r="B601" s="26" t="s">
        <v>423</v>
      </c>
      <c r="C601" s="26" t="s">
        <v>702</v>
      </c>
      <c r="D601" s="26">
        <v>83.0</v>
      </c>
      <c r="E601" s="26" t="s">
        <v>13</v>
      </c>
      <c r="F601" s="26" t="s">
        <v>13</v>
      </c>
      <c r="G601" s="26" t="s">
        <v>703</v>
      </c>
      <c r="H601" s="26" t="s">
        <v>13</v>
      </c>
      <c r="I601" s="4"/>
    </row>
    <row r="602">
      <c r="A602" s="25">
        <v>598.0</v>
      </c>
      <c r="B602" s="26" t="s">
        <v>423</v>
      </c>
      <c r="C602" s="26" t="s">
        <v>702</v>
      </c>
      <c r="D602" s="26">
        <v>83.0</v>
      </c>
      <c r="E602" s="26" t="s">
        <v>13</v>
      </c>
      <c r="F602" s="26" t="s">
        <v>13</v>
      </c>
      <c r="G602" s="26" t="s">
        <v>13</v>
      </c>
      <c r="H602" s="26" t="s">
        <v>13</v>
      </c>
      <c r="I602" s="4"/>
    </row>
    <row r="603">
      <c r="A603" s="25">
        <v>599.0</v>
      </c>
      <c r="B603" s="26" t="s">
        <v>423</v>
      </c>
      <c r="C603" s="26" t="s">
        <v>704</v>
      </c>
      <c r="D603" s="26" t="s">
        <v>13</v>
      </c>
      <c r="E603" s="26" t="s">
        <v>13</v>
      </c>
      <c r="F603" s="26" t="s">
        <v>13</v>
      </c>
      <c r="G603" s="26" t="s">
        <v>13</v>
      </c>
      <c r="H603" s="26" t="s">
        <v>464</v>
      </c>
      <c r="I603" s="4"/>
    </row>
    <row r="604">
      <c r="A604" s="25">
        <v>600.0</v>
      </c>
      <c r="B604" s="26" t="s">
        <v>423</v>
      </c>
      <c r="C604" s="26" t="s">
        <v>705</v>
      </c>
      <c r="D604" s="26">
        <v>26.0</v>
      </c>
      <c r="E604" s="26" t="s">
        <v>13</v>
      </c>
      <c r="F604" s="26" t="s">
        <v>13</v>
      </c>
      <c r="G604" s="26" t="s">
        <v>13</v>
      </c>
      <c r="H604" s="26" t="s">
        <v>706</v>
      </c>
      <c r="I604" s="4"/>
    </row>
    <row r="605">
      <c r="A605" s="25">
        <v>601.0</v>
      </c>
      <c r="B605" s="26" t="s">
        <v>423</v>
      </c>
      <c r="C605" s="26" t="s">
        <v>707</v>
      </c>
      <c r="D605" s="26">
        <v>32.0</v>
      </c>
      <c r="E605" s="26" t="s">
        <v>14</v>
      </c>
      <c r="F605" s="26" t="s">
        <v>13</v>
      </c>
      <c r="G605" s="26" t="s">
        <v>13</v>
      </c>
      <c r="H605" s="26" t="s">
        <v>378</v>
      </c>
      <c r="I605" s="4"/>
    </row>
    <row r="606">
      <c r="A606" s="25">
        <v>602.0</v>
      </c>
      <c r="B606" s="26" t="s">
        <v>423</v>
      </c>
      <c r="C606" s="26" t="s">
        <v>708</v>
      </c>
      <c r="D606" s="26">
        <v>8.0</v>
      </c>
      <c r="E606" s="26" t="s">
        <v>13</v>
      </c>
      <c r="F606" s="26" t="s">
        <v>13</v>
      </c>
      <c r="G606" s="26" t="s">
        <v>13</v>
      </c>
      <c r="H606" s="26" t="s">
        <v>464</v>
      </c>
      <c r="I606" s="4"/>
    </row>
    <row r="607">
      <c r="A607" s="25">
        <v>603.0</v>
      </c>
      <c r="B607" s="26" t="s">
        <v>423</v>
      </c>
      <c r="C607" s="26" t="s">
        <v>709</v>
      </c>
      <c r="D607" s="26">
        <v>4.0</v>
      </c>
      <c r="E607" s="26" t="s">
        <v>13</v>
      </c>
      <c r="F607" s="26" t="s">
        <v>13</v>
      </c>
      <c r="G607" s="26" t="s">
        <v>545</v>
      </c>
      <c r="H607" s="26" t="s">
        <v>710</v>
      </c>
      <c r="I607" s="4"/>
    </row>
    <row r="608">
      <c r="A608" s="25">
        <v>604.0</v>
      </c>
      <c r="B608" s="26" t="s">
        <v>423</v>
      </c>
      <c r="C608" s="26" t="s">
        <v>711</v>
      </c>
      <c r="D608" s="26">
        <v>4.0</v>
      </c>
      <c r="E608" s="26" t="s">
        <v>13</v>
      </c>
      <c r="F608" s="26" t="s">
        <v>13</v>
      </c>
      <c r="G608" s="26" t="s">
        <v>13</v>
      </c>
      <c r="H608" s="26" t="s">
        <v>13</v>
      </c>
      <c r="I608" s="4"/>
    </row>
    <row r="609">
      <c r="A609" s="25">
        <v>605.0</v>
      </c>
      <c r="B609" s="26" t="s">
        <v>423</v>
      </c>
      <c r="C609" s="26" t="s">
        <v>712</v>
      </c>
      <c r="D609" s="26">
        <v>30.0</v>
      </c>
      <c r="E609" s="26" t="s">
        <v>13</v>
      </c>
      <c r="F609" s="26" t="s">
        <v>13</v>
      </c>
      <c r="G609" s="26" t="s">
        <v>13</v>
      </c>
      <c r="H609" s="26" t="s">
        <v>439</v>
      </c>
      <c r="I609" s="4"/>
    </row>
    <row r="610">
      <c r="A610" s="25">
        <v>606.0</v>
      </c>
      <c r="B610" s="26" t="s">
        <v>423</v>
      </c>
      <c r="C610" s="26" t="s">
        <v>713</v>
      </c>
      <c r="D610" s="26">
        <v>7.0</v>
      </c>
      <c r="E610" s="26" t="s">
        <v>13</v>
      </c>
      <c r="F610" s="26" t="s">
        <v>13</v>
      </c>
      <c r="G610" s="26" t="s">
        <v>330</v>
      </c>
      <c r="H610" s="26" t="s">
        <v>452</v>
      </c>
      <c r="I610" s="4"/>
    </row>
    <row r="611">
      <c r="A611" s="25">
        <v>607.0</v>
      </c>
      <c r="B611" s="26" t="s">
        <v>423</v>
      </c>
      <c r="C611" s="26" t="s">
        <v>714</v>
      </c>
      <c r="D611" s="26" t="s">
        <v>13</v>
      </c>
      <c r="E611" s="26" t="s">
        <v>13</v>
      </c>
      <c r="F611" s="26" t="s">
        <v>13</v>
      </c>
      <c r="G611" s="26" t="s">
        <v>13</v>
      </c>
      <c r="H611" s="26" t="s">
        <v>13</v>
      </c>
      <c r="I611" s="4"/>
    </row>
    <row r="612">
      <c r="A612" s="25">
        <v>608.0</v>
      </c>
      <c r="B612" s="26" t="s">
        <v>423</v>
      </c>
      <c r="C612" s="26" t="s">
        <v>715</v>
      </c>
      <c r="D612" s="26" t="s">
        <v>13</v>
      </c>
      <c r="E612" s="26" t="s">
        <v>13</v>
      </c>
      <c r="F612" s="26" t="s">
        <v>13</v>
      </c>
      <c r="G612" s="26" t="s">
        <v>13</v>
      </c>
      <c r="H612" s="26" t="s">
        <v>13</v>
      </c>
      <c r="I612" s="4"/>
    </row>
    <row r="613">
      <c r="A613" s="25">
        <v>609.0</v>
      </c>
      <c r="B613" s="26" t="s">
        <v>423</v>
      </c>
      <c r="C613" s="26" t="s">
        <v>716</v>
      </c>
      <c r="D613" s="26">
        <v>25.0</v>
      </c>
      <c r="E613" s="26" t="s">
        <v>14</v>
      </c>
      <c r="F613" s="26" t="s">
        <v>13</v>
      </c>
      <c r="G613" s="26" t="s">
        <v>13</v>
      </c>
      <c r="H613" s="26" t="s">
        <v>488</v>
      </c>
      <c r="I613" s="4"/>
    </row>
    <row r="614">
      <c r="A614" s="25">
        <v>610.0</v>
      </c>
      <c r="B614" s="26" t="s">
        <v>423</v>
      </c>
      <c r="C614" s="26" t="s">
        <v>717</v>
      </c>
      <c r="D614" s="26" t="s">
        <v>13</v>
      </c>
      <c r="E614" s="26" t="s">
        <v>13</v>
      </c>
      <c r="F614" s="26" t="s">
        <v>13</v>
      </c>
      <c r="G614" s="26" t="s">
        <v>13</v>
      </c>
      <c r="H614" s="26" t="s">
        <v>718</v>
      </c>
      <c r="I614" s="4"/>
    </row>
    <row r="615">
      <c r="A615" s="25">
        <v>611.0</v>
      </c>
      <c r="B615" s="26" t="s">
        <v>423</v>
      </c>
      <c r="C615" s="26" t="s">
        <v>719</v>
      </c>
      <c r="D615" s="26">
        <v>71.0</v>
      </c>
      <c r="E615" s="26" t="s">
        <v>13</v>
      </c>
      <c r="F615" s="26" t="s">
        <v>13</v>
      </c>
      <c r="G615" s="26" t="s">
        <v>13</v>
      </c>
      <c r="H615" s="26" t="s">
        <v>720</v>
      </c>
      <c r="I615" s="4"/>
    </row>
    <row r="616">
      <c r="A616" s="25">
        <v>612.0</v>
      </c>
      <c r="B616" s="26" t="s">
        <v>423</v>
      </c>
      <c r="C616" s="26" t="s">
        <v>721</v>
      </c>
      <c r="D616" s="26">
        <v>7.0</v>
      </c>
      <c r="E616" s="26" t="s">
        <v>13</v>
      </c>
      <c r="F616" s="26" t="s">
        <v>13</v>
      </c>
      <c r="G616" s="26" t="s">
        <v>13</v>
      </c>
      <c r="H616" s="26" t="s">
        <v>722</v>
      </c>
      <c r="I616" s="4"/>
    </row>
    <row r="617">
      <c r="A617" s="25">
        <v>613.0</v>
      </c>
      <c r="B617" s="26" t="s">
        <v>423</v>
      </c>
      <c r="C617" s="26" t="s">
        <v>723</v>
      </c>
      <c r="D617" s="26" t="s">
        <v>13</v>
      </c>
      <c r="E617" s="26" t="s">
        <v>13</v>
      </c>
      <c r="F617" s="26" t="s">
        <v>13</v>
      </c>
      <c r="G617" s="26" t="s">
        <v>13</v>
      </c>
      <c r="H617" s="26" t="s">
        <v>13</v>
      </c>
      <c r="I617" s="4"/>
    </row>
    <row r="618">
      <c r="A618" s="25">
        <v>614.0</v>
      </c>
      <c r="B618" s="26" t="s">
        <v>423</v>
      </c>
      <c r="C618" s="26" t="s">
        <v>724</v>
      </c>
      <c r="D618" s="26">
        <v>33.0</v>
      </c>
      <c r="E618" s="26" t="s">
        <v>13</v>
      </c>
      <c r="F618" s="26" t="s">
        <v>13</v>
      </c>
      <c r="G618" s="26" t="s">
        <v>13</v>
      </c>
      <c r="H618" s="26" t="s">
        <v>477</v>
      </c>
      <c r="I618" s="4"/>
    </row>
    <row r="619">
      <c r="A619" s="25">
        <v>615.0</v>
      </c>
      <c r="B619" s="26" t="s">
        <v>423</v>
      </c>
      <c r="C619" s="26" t="s">
        <v>725</v>
      </c>
      <c r="D619" s="26" t="s">
        <v>13</v>
      </c>
      <c r="E619" s="26" t="s">
        <v>13</v>
      </c>
      <c r="F619" s="26" t="s">
        <v>13</v>
      </c>
      <c r="G619" s="26" t="s">
        <v>13</v>
      </c>
      <c r="H619" s="26" t="s">
        <v>452</v>
      </c>
      <c r="I619" s="4"/>
    </row>
    <row r="620">
      <c r="A620" s="25">
        <v>616.0</v>
      </c>
      <c r="B620" s="26" t="s">
        <v>423</v>
      </c>
      <c r="C620" s="26" t="s">
        <v>726</v>
      </c>
      <c r="D620" s="26" t="s">
        <v>13</v>
      </c>
      <c r="E620" s="26" t="s">
        <v>13</v>
      </c>
      <c r="F620" s="26" t="s">
        <v>13</v>
      </c>
      <c r="G620" s="26" t="s">
        <v>13</v>
      </c>
      <c r="H620" s="26" t="s">
        <v>13</v>
      </c>
      <c r="I620" s="4"/>
    </row>
    <row r="621">
      <c r="A621" s="25">
        <v>617.0</v>
      </c>
      <c r="B621" s="26" t="s">
        <v>423</v>
      </c>
      <c r="C621" s="26" t="s">
        <v>727</v>
      </c>
      <c r="D621" s="26">
        <v>11.0</v>
      </c>
      <c r="E621" s="26" t="s">
        <v>13</v>
      </c>
      <c r="F621" s="26" t="s">
        <v>13</v>
      </c>
      <c r="G621" s="26" t="s">
        <v>13</v>
      </c>
      <c r="H621" s="26" t="s">
        <v>728</v>
      </c>
      <c r="I621" s="4"/>
    </row>
    <row r="622">
      <c r="A622" s="25">
        <v>618.0</v>
      </c>
      <c r="B622" s="26" t="s">
        <v>423</v>
      </c>
      <c r="C622" s="26" t="s">
        <v>727</v>
      </c>
      <c r="D622" s="26">
        <v>10.0</v>
      </c>
      <c r="E622" s="26" t="s">
        <v>13</v>
      </c>
      <c r="F622" s="26" t="s">
        <v>13</v>
      </c>
      <c r="G622" s="26" t="s">
        <v>330</v>
      </c>
      <c r="H622" s="26" t="s">
        <v>729</v>
      </c>
      <c r="I622" s="4"/>
    </row>
    <row r="623">
      <c r="A623" s="25">
        <v>619.0</v>
      </c>
      <c r="B623" s="26" t="s">
        <v>423</v>
      </c>
      <c r="C623" s="26" t="s">
        <v>730</v>
      </c>
      <c r="D623" s="26" t="s">
        <v>13</v>
      </c>
      <c r="E623" s="26" t="s">
        <v>13</v>
      </c>
      <c r="F623" s="26" t="s">
        <v>13</v>
      </c>
      <c r="G623" s="26" t="s">
        <v>13</v>
      </c>
      <c r="H623" s="26" t="s">
        <v>731</v>
      </c>
      <c r="I623" s="4"/>
    </row>
    <row r="624">
      <c r="A624" s="25">
        <v>620.0</v>
      </c>
      <c r="B624" s="26" t="s">
        <v>423</v>
      </c>
      <c r="C624" s="26" t="s">
        <v>732</v>
      </c>
      <c r="D624" s="26">
        <v>40.0</v>
      </c>
      <c r="E624" s="26" t="s">
        <v>13</v>
      </c>
      <c r="F624" s="26" t="s">
        <v>13</v>
      </c>
      <c r="G624" s="26" t="s">
        <v>733</v>
      </c>
      <c r="H624" s="26" t="s">
        <v>13</v>
      </c>
      <c r="I624" s="4"/>
    </row>
    <row r="625">
      <c r="A625" s="25">
        <v>621.0</v>
      </c>
      <c r="B625" s="26" t="s">
        <v>423</v>
      </c>
      <c r="C625" s="26" t="s">
        <v>732</v>
      </c>
      <c r="D625" s="26">
        <v>40.0</v>
      </c>
      <c r="E625" s="26" t="s">
        <v>13</v>
      </c>
      <c r="F625" s="26" t="s">
        <v>13</v>
      </c>
      <c r="G625" s="26" t="s">
        <v>13</v>
      </c>
      <c r="H625" s="26" t="s">
        <v>13</v>
      </c>
      <c r="I625" s="4"/>
    </row>
    <row r="626">
      <c r="A626" s="25">
        <v>622.0</v>
      </c>
      <c r="B626" s="26" t="s">
        <v>423</v>
      </c>
      <c r="C626" s="26" t="s">
        <v>734</v>
      </c>
      <c r="D626" s="26">
        <v>12.0</v>
      </c>
      <c r="E626" s="26" t="s">
        <v>13</v>
      </c>
      <c r="F626" s="26" t="s">
        <v>13</v>
      </c>
      <c r="G626" s="26" t="s">
        <v>13</v>
      </c>
      <c r="H626" s="26" t="s">
        <v>13</v>
      </c>
      <c r="I626" s="4"/>
    </row>
    <row r="627">
      <c r="A627" s="25">
        <v>623.0</v>
      </c>
      <c r="B627" s="26" t="s">
        <v>423</v>
      </c>
      <c r="C627" s="26" t="s">
        <v>735</v>
      </c>
      <c r="D627" s="26" t="s">
        <v>13</v>
      </c>
      <c r="E627" s="26" t="s">
        <v>13</v>
      </c>
      <c r="F627" s="26" t="s">
        <v>13</v>
      </c>
      <c r="G627" s="26" t="s">
        <v>13</v>
      </c>
      <c r="H627" s="26" t="s">
        <v>13</v>
      </c>
      <c r="I627" s="4"/>
    </row>
    <row r="628">
      <c r="A628" s="25">
        <v>624.0</v>
      </c>
      <c r="B628" s="26" t="s">
        <v>423</v>
      </c>
      <c r="C628" s="26" t="s">
        <v>735</v>
      </c>
      <c r="D628" s="26">
        <v>42.0</v>
      </c>
      <c r="E628" s="26" t="s">
        <v>13</v>
      </c>
      <c r="F628" s="26" t="s">
        <v>13</v>
      </c>
      <c r="G628" s="26" t="s">
        <v>13</v>
      </c>
      <c r="H628" s="26" t="s">
        <v>13</v>
      </c>
      <c r="I628" s="4"/>
    </row>
    <row r="629">
      <c r="A629" s="25">
        <v>625.0</v>
      </c>
      <c r="B629" s="26" t="s">
        <v>423</v>
      </c>
      <c r="C629" s="26" t="s">
        <v>736</v>
      </c>
      <c r="D629" s="26" t="s">
        <v>13</v>
      </c>
      <c r="E629" s="26" t="s">
        <v>13</v>
      </c>
      <c r="F629" s="26" t="s">
        <v>13</v>
      </c>
      <c r="G629" s="26" t="s">
        <v>13</v>
      </c>
      <c r="H629" s="26" t="s">
        <v>13</v>
      </c>
      <c r="I629" s="4"/>
    </row>
    <row r="630">
      <c r="A630" s="25">
        <v>626.0</v>
      </c>
      <c r="B630" s="26" t="s">
        <v>423</v>
      </c>
      <c r="C630" s="26" t="s">
        <v>737</v>
      </c>
      <c r="D630" s="26">
        <v>48.0</v>
      </c>
      <c r="E630" s="26" t="s">
        <v>13</v>
      </c>
      <c r="F630" s="26" t="s">
        <v>13</v>
      </c>
      <c r="G630" s="26" t="s">
        <v>13</v>
      </c>
      <c r="H630" s="26" t="s">
        <v>13</v>
      </c>
      <c r="I630" s="4"/>
    </row>
    <row r="631">
      <c r="A631" s="25">
        <v>627.0</v>
      </c>
      <c r="B631" s="26" t="s">
        <v>423</v>
      </c>
      <c r="C631" s="26" t="s">
        <v>738</v>
      </c>
      <c r="D631" s="26" t="s">
        <v>13</v>
      </c>
      <c r="E631" s="26" t="s">
        <v>14</v>
      </c>
      <c r="F631" s="26" t="s">
        <v>13</v>
      </c>
      <c r="G631" s="26" t="s">
        <v>13</v>
      </c>
      <c r="H631" s="26" t="s">
        <v>739</v>
      </c>
      <c r="I631" s="4"/>
    </row>
    <row r="632">
      <c r="A632" s="25">
        <v>628.0</v>
      </c>
      <c r="B632" s="26" t="s">
        <v>423</v>
      </c>
      <c r="C632" s="26" t="s">
        <v>740</v>
      </c>
      <c r="D632" s="26">
        <v>9.0</v>
      </c>
      <c r="E632" s="26" t="s">
        <v>13</v>
      </c>
      <c r="F632" s="26" t="s">
        <v>13</v>
      </c>
      <c r="G632" s="26" t="s">
        <v>13</v>
      </c>
      <c r="H632" s="26" t="s">
        <v>13</v>
      </c>
      <c r="I632" s="4"/>
    </row>
    <row r="633">
      <c r="A633" s="25">
        <v>629.0</v>
      </c>
      <c r="B633" s="26" t="s">
        <v>423</v>
      </c>
      <c r="C633" s="26" t="s">
        <v>741</v>
      </c>
      <c r="D633" s="26">
        <v>9.0</v>
      </c>
      <c r="E633" s="26" t="s">
        <v>13</v>
      </c>
      <c r="F633" s="26" t="s">
        <v>13</v>
      </c>
      <c r="G633" s="26" t="s">
        <v>742</v>
      </c>
      <c r="H633" s="26" t="s">
        <v>13</v>
      </c>
      <c r="I633" s="4"/>
    </row>
    <row r="634">
      <c r="A634" s="25">
        <v>630.0</v>
      </c>
      <c r="B634" s="26" t="s">
        <v>423</v>
      </c>
      <c r="C634" s="26" t="s">
        <v>743</v>
      </c>
      <c r="D634" s="26">
        <v>9.0</v>
      </c>
      <c r="E634" s="26" t="s">
        <v>13</v>
      </c>
      <c r="F634" s="26" t="s">
        <v>13</v>
      </c>
      <c r="G634" s="26" t="s">
        <v>13</v>
      </c>
      <c r="H634" s="26" t="s">
        <v>13</v>
      </c>
      <c r="I634" s="4"/>
    </row>
    <row r="635">
      <c r="A635" s="25">
        <v>631.0</v>
      </c>
      <c r="B635" s="26" t="s">
        <v>423</v>
      </c>
      <c r="C635" s="26" t="s">
        <v>744</v>
      </c>
      <c r="D635" s="26">
        <v>26.0</v>
      </c>
      <c r="E635" s="26" t="s">
        <v>13</v>
      </c>
      <c r="F635" s="26" t="s">
        <v>13</v>
      </c>
      <c r="G635" s="26" t="s">
        <v>13</v>
      </c>
      <c r="H635" s="26" t="s">
        <v>439</v>
      </c>
      <c r="I635" s="4"/>
    </row>
    <row r="636">
      <c r="A636" s="25">
        <v>632.0</v>
      </c>
      <c r="B636" s="26" t="s">
        <v>423</v>
      </c>
      <c r="C636" s="26" t="s">
        <v>745</v>
      </c>
      <c r="D636" s="26">
        <v>56.0</v>
      </c>
      <c r="E636" s="26" t="s">
        <v>13</v>
      </c>
      <c r="F636" s="26" t="s">
        <v>13</v>
      </c>
      <c r="G636" s="26" t="s">
        <v>13</v>
      </c>
      <c r="H636" s="26" t="s">
        <v>474</v>
      </c>
      <c r="I636" s="4"/>
    </row>
    <row r="637">
      <c r="A637" s="25">
        <v>633.0</v>
      </c>
      <c r="B637" s="26" t="s">
        <v>423</v>
      </c>
      <c r="C637" s="26" t="s">
        <v>746</v>
      </c>
      <c r="D637" s="26">
        <v>32.0</v>
      </c>
      <c r="E637" s="26" t="s">
        <v>13</v>
      </c>
      <c r="F637" s="26" t="s">
        <v>13</v>
      </c>
      <c r="G637" s="26" t="s">
        <v>13</v>
      </c>
      <c r="H637" s="26" t="s">
        <v>13</v>
      </c>
      <c r="I637" s="4"/>
    </row>
    <row r="638">
      <c r="A638" s="25">
        <v>634.0</v>
      </c>
      <c r="B638" s="26" t="s">
        <v>423</v>
      </c>
      <c r="C638" s="26" t="s">
        <v>747</v>
      </c>
      <c r="D638" s="26">
        <v>32.0</v>
      </c>
      <c r="E638" s="26" t="s">
        <v>13</v>
      </c>
      <c r="F638" s="26" t="s">
        <v>13</v>
      </c>
      <c r="G638" s="26" t="s">
        <v>13</v>
      </c>
      <c r="H638" s="26" t="s">
        <v>13</v>
      </c>
      <c r="I638" s="4"/>
    </row>
    <row r="639">
      <c r="A639" s="25">
        <v>635.0</v>
      </c>
      <c r="B639" s="26" t="s">
        <v>423</v>
      </c>
      <c r="C639" s="26" t="s">
        <v>748</v>
      </c>
      <c r="D639" s="26">
        <v>56.0</v>
      </c>
      <c r="E639" s="26" t="s">
        <v>13</v>
      </c>
      <c r="F639" s="26" t="s">
        <v>13</v>
      </c>
      <c r="G639" s="26" t="s">
        <v>13</v>
      </c>
      <c r="H639" s="26" t="s">
        <v>13</v>
      </c>
      <c r="I639" s="4"/>
    </row>
    <row r="640">
      <c r="A640" s="25">
        <v>636.0</v>
      </c>
      <c r="B640" s="26" t="s">
        <v>423</v>
      </c>
      <c r="C640" s="26" t="s">
        <v>749</v>
      </c>
      <c r="D640" s="26" t="s">
        <v>13</v>
      </c>
      <c r="E640" s="26" t="s">
        <v>14</v>
      </c>
      <c r="F640" s="26" t="s">
        <v>13</v>
      </c>
      <c r="G640" s="26" t="s">
        <v>13</v>
      </c>
      <c r="H640" s="26" t="s">
        <v>15</v>
      </c>
      <c r="I640" s="4"/>
    </row>
    <row r="641">
      <c r="A641" s="25">
        <v>637.0</v>
      </c>
      <c r="B641" s="26" t="s">
        <v>423</v>
      </c>
      <c r="C641" s="26" t="s">
        <v>750</v>
      </c>
      <c r="D641" s="26">
        <v>59.0</v>
      </c>
      <c r="E641" s="26" t="s">
        <v>13</v>
      </c>
      <c r="F641" s="26" t="s">
        <v>13</v>
      </c>
      <c r="G641" s="26" t="s">
        <v>13</v>
      </c>
      <c r="H641" s="26" t="s">
        <v>13</v>
      </c>
      <c r="I641" s="4"/>
    </row>
    <row r="642">
      <c r="A642" s="25">
        <v>638.0</v>
      </c>
      <c r="B642" s="26" t="s">
        <v>423</v>
      </c>
      <c r="C642" s="26" t="s">
        <v>751</v>
      </c>
      <c r="D642" s="26">
        <v>20.0</v>
      </c>
      <c r="E642" s="26" t="s">
        <v>752</v>
      </c>
      <c r="F642" s="26" t="s">
        <v>13</v>
      </c>
      <c r="G642" s="26" t="s">
        <v>13</v>
      </c>
      <c r="H642" s="26" t="s">
        <v>753</v>
      </c>
      <c r="I642" s="4"/>
    </row>
    <row r="643">
      <c r="A643" s="25">
        <v>639.0</v>
      </c>
      <c r="B643" s="26" t="s">
        <v>423</v>
      </c>
      <c r="C643" s="26" t="s">
        <v>754</v>
      </c>
      <c r="D643" s="26">
        <v>10.0</v>
      </c>
      <c r="E643" s="26" t="s">
        <v>13</v>
      </c>
      <c r="F643" s="26" t="s">
        <v>13</v>
      </c>
      <c r="G643" s="26" t="s">
        <v>13</v>
      </c>
      <c r="H643" s="26" t="s">
        <v>464</v>
      </c>
      <c r="I643" s="4"/>
    </row>
    <row r="644">
      <c r="A644" s="25">
        <v>640.0</v>
      </c>
      <c r="B644" s="26" t="s">
        <v>423</v>
      </c>
      <c r="C644" s="26" t="s">
        <v>755</v>
      </c>
      <c r="D644" s="26" t="s">
        <v>13</v>
      </c>
      <c r="E644" s="26" t="s">
        <v>13</v>
      </c>
      <c r="F644" s="26" t="s">
        <v>13</v>
      </c>
      <c r="G644" s="26" t="s">
        <v>13</v>
      </c>
      <c r="H644" s="26" t="s">
        <v>13</v>
      </c>
      <c r="I644" s="4"/>
    </row>
    <row r="645">
      <c r="A645" s="25">
        <v>641.0</v>
      </c>
      <c r="B645" s="26" t="s">
        <v>423</v>
      </c>
      <c r="C645" s="26" t="s">
        <v>755</v>
      </c>
      <c r="D645" s="26">
        <v>7.0</v>
      </c>
      <c r="E645" s="26" t="s">
        <v>13</v>
      </c>
      <c r="F645" s="26" t="s">
        <v>13</v>
      </c>
      <c r="G645" s="26" t="s">
        <v>13</v>
      </c>
      <c r="H645" s="26" t="s">
        <v>464</v>
      </c>
      <c r="I645" s="4"/>
    </row>
    <row r="646">
      <c r="A646" s="25">
        <v>642.0</v>
      </c>
      <c r="B646" s="26" t="s">
        <v>423</v>
      </c>
      <c r="C646" s="26" t="s">
        <v>756</v>
      </c>
      <c r="D646" s="26">
        <v>10.0</v>
      </c>
      <c r="E646" s="26" t="s">
        <v>13</v>
      </c>
      <c r="F646" s="26" t="s">
        <v>13</v>
      </c>
      <c r="G646" s="26" t="s">
        <v>13</v>
      </c>
      <c r="H646" s="26" t="s">
        <v>757</v>
      </c>
      <c r="I646" s="4"/>
    </row>
    <row r="647">
      <c r="A647" s="25">
        <v>643.0</v>
      </c>
      <c r="B647" s="26" t="s">
        <v>423</v>
      </c>
      <c r="C647" s="26" t="s">
        <v>758</v>
      </c>
      <c r="D647" s="26" t="s">
        <v>13</v>
      </c>
      <c r="E647" s="26" t="s">
        <v>13</v>
      </c>
      <c r="F647" s="26" t="s">
        <v>13</v>
      </c>
      <c r="G647" s="26" t="s">
        <v>13</v>
      </c>
      <c r="H647" s="26" t="s">
        <v>13</v>
      </c>
      <c r="I647" s="4"/>
    </row>
    <row r="648">
      <c r="A648" s="25">
        <v>644.0</v>
      </c>
      <c r="B648" s="26" t="s">
        <v>423</v>
      </c>
      <c r="C648" s="26" t="s">
        <v>758</v>
      </c>
      <c r="D648" s="26">
        <v>10.0</v>
      </c>
      <c r="E648" s="26" t="s">
        <v>13</v>
      </c>
      <c r="F648" s="26" t="s">
        <v>13</v>
      </c>
      <c r="G648" s="26" t="s">
        <v>330</v>
      </c>
      <c r="H648" s="26" t="s">
        <v>759</v>
      </c>
      <c r="I648" s="4"/>
    </row>
    <row r="649">
      <c r="A649" s="25">
        <v>645.0</v>
      </c>
      <c r="B649" s="26" t="s">
        <v>423</v>
      </c>
      <c r="C649" s="26" t="s">
        <v>760</v>
      </c>
      <c r="D649" s="26">
        <v>51.0</v>
      </c>
      <c r="E649" s="26" t="s">
        <v>13</v>
      </c>
      <c r="F649" s="26" t="s">
        <v>13</v>
      </c>
      <c r="G649" s="26" t="s">
        <v>13</v>
      </c>
      <c r="H649" s="26" t="s">
        <v>477</v>
      </c>
      <c r="I649" s="4"/>
    </row>
    <row r="650">
      <c r="A650" s="25">
        <v>646.0</v>
      </c>
      <c r="B650" s="26" t="s">
        <v>423</v>
      </c>
      <c r="C650" s="26" t="s">
        <v>761</v>
      </c>
      <c r="D650" s="26">
        <v>55.0</v>
      </c>
      <c r="E650" s="26" t="s">
        <v>14</v>
      </c>
      <c r="F650" s="26" t="s">
        <v>13</v>
      </c>
      <c r="G650" s="26" t="s">
        <v>13</v>
      </c>
      <c r="H650" s="26" t="s">
        <v>15</v>
      </c>
      <c r="I650" s="4"/>
    </row>
    <row r="651">
      <c r="A651" s="25">
        <v>647.0</v>
      </c>
      <c r="B651" s="26" t="s">
        <v>423</v>
      </c>
      <c r="C651" s="26" t="s">
        <v>762</v>
      </c>
      <c r="D651" s="26">
        <v>26.0</v>
      </c>
      <c r="E651" s="26" t="s">
        <v>13</v>
      </c>
      <c r="F651" s="26" t="s">
        <v>13</v>
      </c>
      <c r="G651" s="26" t="s">
        <v>13</v>
      </c>
      <c r="H651" s="26" t="s">
        <v>658</v>
      </c>
      <c r="I651" s="4"/>
    </row>
    <row r="652">
      <c r="A652" s="25">
        <v>648.0</v>
      </c>
      <c r="B652" s="26" t="s">
        <v>423</v>
      </c>
      <c r="C652" s="26" t="s">
        <v>763</v>
      </c>
      <c r="D652" s="26">
        <v>26.0</v>
      </c>
      <c r="E652" s="26" t="s">
        <v>13</v>
      </c>
      <c r="F652" s="26" t="s">
        <v>13</v>
      </c>
      <c r="G652" s="26" t="s">
        <v>330</v>
      </c>
      <c r="H652" s="26" t="s">
        <v>441</v>
      </c>
      <c r="I652" s="4"/>
    </row>
    <row r="653">
      <c r="A653" s="25">
        <v>649.0</v>
      </c>
      <c r="B653" s="26" t="s">
        <v>423</v>
      </c>
      <c r="C653" s="26" t="s">
        <v>764</v>
      </c>
      <c r="D653" s="26">
        <v>24.0</v>
      </c>
      <c r="E653" s="26" t="s">
        <v>13</v>
      </c>
      <c r="F653" s="26" t="s">
        <v>13</v>
      </c>
      <c r="G653" s="26" t="s">
        <v>13</v>
      </c>
      <c r="H653" s="26" t="s">
        <v>13</v>
      </c>
      <c r="I653" s="4"/>
    </row>
    <row r="654">
      <c r="A654" s="25">
        <v>650.0</v>
      </c>
      <c r="B654" s="26" t="s">
        <v>423</v>
      </c>
      <c r="C654" s="26" t="s">
        <v>765</v>
      </c>
      <c r="D654" s="26">
        <v>38.0</v>
      </c>
      <c r="E654" s="26" t="s">
        <v>766</v>
      </c>
      <c r="F654" s="26" t="s">
        <v>13</v>
      </c>
      <c r="G654" s="26" t="s">
        <v>13</v>
      </c>
      <c r="H654" s="26" t="s">
        <v>580</v>
      </c>
      <c r="I654" s="4"/>
    </row>
    <row r="655">
      <c r="A655" s="25">
        <v>651.0</v>
      </c>
      <c r="B655" s="26" t="s">
        <v>423</v>
      </c>
      <c r="C655" s="26" t="s">
        <v>767</v>
      </c>
      <c r="D655" s="26">
        <v>17.0</v>
      </c>
      <c r="E655" s="26" t="s">
        <v>14</v>
      </c>
      <c r="F655" s="26" t="s">
        <v>13</v>
      </c>
      <c r="G655" s="26" t="s">
        <v>13</v>
      </c>
      <c r="H655" s="26" t="s">
        <v>15</v>
      </c>
      <c r="I655" s="4"/>
    </row>
    <row r="656">
      <c r="A656" s="25">
        <v>652.0</v>
      </c>
      <c r="B656" s="26" t="s">
        <v>423</v>
      </c>
      <c r="C656" s="26" t="s">
        <v>768</v>
      </c>
      <c r="D656" s="26" t="s">
        <v>13</v>
      </c>
      <c r="E656" s="26" t="s">
        <v>13</v>
      </c>
      <c r="F656" s="26" t="s">
        <v>13</v>
      </c>
      <c r="G656" s="26" t="s">
        <v>13</v>
      </c>
      <c r="H656" s="26" t="s">
        <v>450</v>
      </c>
      <c r="I656" s="4"/>
    </row>
    <row r="657">
      <c r="A657" s="25">
        <v>653.0</v>
      </c>
      <c r="B657" s="26" t="s">
        <v>423</v>
      </c>
      <c r="C657" s="26" t="s">
        <v>769</v>
      </c>
      <c r="D657" s="26">
        <v>45.0</v>
      </c>
      <c r="E657" s="26" t="s">
        <v>13</v>
      </c>
      <c r="F657" s="26" t="s">
        <v>13</v>
      </c>
      <c r="G657" s="26" t="s">
        <v>13</v>
      </c>
      <c r="H657" s="26" t="s">
        <v>13</v>
      </c>
      <c r="I657" s="4"/>
    </row>
    <row r="658">
      <c r="A658" s="25">
        <v>654.0</v>
      </c>
      <c r="B658" s="26" t="s">
        <v>423</v>
      </c>
      <c r="C658" s="26" t="s">
        <v>770</v>
      </c>
      <c r="D658" s="26">
        <v>25.0</v>
      </c>
      <c r="E658" s="26" t="s">
        <v>13</v>
      </c>
      <c r="F658" s="26" t="s">
        <v>13</v>
      </c>
      <c r="G658" s="26" t="s">
        <v>13</v>
      </c>
      <c r="H658" s="26" t="s">
        <v>13</v>
      </c>
      <c r="I658" s="4"/>
    </row>
    <row r="659">
      <c r="A659" s="25">
        <v>655.0</v>
      </c>
      <c r="B659" s="26" t="s">
        <v>423</v>
      </c>
      <c r="C659" s="26" t="s">
        <v>770</v>
      </c>
      <c r="D659" s="26">
        <v>29.0</v>
      </c>
      <c r="E659" s="26" t="s">
        <v>13</v>
      </c>
      <c r="F659" s="26" t="s">
        <v>13</v>
      </c>
      <c r="G659" s="26" t="s">
        <v>13</v>
      </c>
      <c r="H659" s="26" t="s">
        <v>13</v>
      </c>
      <c r="I659" s="4"/>
    </row>
    <row r="660">
      <c r="A660" s="25">
        <v>656.0</v>
      </c>
      <c r="B660" s="26" t="s">
        <v>423</v>
      </c>
      <c r="C660" s="26" t="s">
        <v>771</v>
      </c>
      <c r="D660" s="26">
        <v>24.0</v>
      </c>
      <c r="E660" s="26" t="s">
        <v>13</v>
      </c>
      <c r="F660" s="26" t="s">
        <v>13</v>
      </c>
      <c r="G660" s="26" t="s">
        <v>13</v>
      </c>
      <c r="H660" s="26" t="s">
        <v>474</v>
      </c>
      <c r="I660" s="4"/>
    </row>
    <row r="661">
      <c r="A661" s="25">
        <v>657.0</v>
      </c>
      <c r="B661" s="26" t="s">
        <v>423</v>
      </c>
      <c r="C661" s="26" t="s">
        <v>772</v>
      </c>
      <c r="D661" s="26" t="s">
        <v>13</v>
      </c>
      <c r="E661" s="26" t="s">
        <v>14</v>
      </c>
      <c r="F661" s="26" t="s">
        <v>13</v>
      </c>
      <c r="G661" s="26" t="s">
        <v>13</v>
      </c>
      <c r="H661" s="26" t="s">
        <v>15</v>
      </c>
      <c r="I661" s="4"/>
    </row>
    <row r="662">
      <c r="A662" s="25">
        <v>658.0</v>
      </c>
      <c r="B662" s="26" t="s">
        <v>423</v>
      </c>
      <c r="C662" s="26" t="s">
        <v>773</v>
      </c>
      <c r="D662" s="26">
        <v>31.0</v>
      </c>
      <c r="E662" s="26" t="s">
        <v>13</v>
      </c>
      <c r="F662" s="26" t="s">
        <v>13</v>
      </c>
      <c r="G662" s="26" t="s">
        <v>13</v>
      </c>
      <c r="H662" s="26" t="s">
        <v>482</v>
      </c>
      <c r="I662" s="4"/>
    </row>
    <row r="663">
      <c r="A663" s="25">
        <v>659.0</v>
      </c>
      <c r="B663" s="26" t="s">
        <v>423</v>
      </c>
      <c r="C663" s="26" t="s">
        <v>774</v>
      </c>
      <c r="D663" s="26">
        <v>59.0</v>
      </c>
      <c r="E663" s="26" t="s">
        <v>13</v>
      </c>
      <c r="F663" s="26" t="s">
        <v>13</v>
      </c>
      <c r="G663" s="26" t="s">
        <v>13</v>
      </c>
      <c r="H663" s="26" t="s">
        <v>13</v>
      </c>
      <c r="I663" s="4"/>
    </row>
    <row r="664">
      <c r="A664" s="25">
        <v>660.0</v>
      </c>
      <c r="B664" s="26" t="s">
        <v>423</v>
      </c>
      <c r="C664" s="26" t="s">
        <v>775</v>
      </c>
      <c r="D664" s="26">
        <v>72.0</v>
      </c>
      <c r="E664" s="26" t="s">
        <v>13</v>
      </c>
      <c r="F664" s="26" t="s">
        <v>13</v>
      </c>
      <c r="G664" s="26" t="s">
        <v>13</v>
      </c>
      <c r="H664" s="26" t="s">
        <v>13</v>
      </c>
      <c r="I664" s="4"/>
    </row>
    <row r="665">
      <c r="A665" s="25">
        <v>661.0</v>
      </c>
      <c r="B665" s="26" t="s">
        <v>423</v>
      </c>
      <c r="C665" s="26" t="s">
        <v>776</v>
      </c>
      <c r="D665" s="26">
        <v>20.0</v>
      </c>
      <c r="E665" s="26" t="s">
        <v>13</v>
      </c>
      <c r="F665" s="26" t="s">
        <v>13</v>
      </c>
      <c r="G665" s="26" t="s">
        <v>13</v>
      </c>
      <c r="H665" s="26" t="s">
        <v>437</v>
      </c>
      <c r="I665" s="4"/>
    </row>
    <row r="666">
      <c r="A666" s="25">
        <v>662.0</v>
      </c>
      <c r="B666" s="26" t="s">
        <v>423</v>
      </c>
      <c r="C666" s="26" t="s">
        <v>777</v>
      </c>
      <c r="D666" s="26">
        <v>14.0</v>
      </c>
      <c r="E666" s="26" t="s">
        <v>13</v>
      </c>
      <c r="F666" s="26" t="s">
        <v>13</v>
      </c>
      <c r="G666" s="26" t="s">
        <v>13</v>
      </c>
      <c r="H666" s="26" t="s">
        <v>13</v>
      </c>
      <c r="I666" s="4"/>
    </row>
    <row r="667">
      <c r="A667" s="25">
        <v>663.0</v>
      </c>
      <c r="B667" s="26" t="s">
        <v>423</v>
      </c>
      <c r="C667" s="26" t="s">
        <v>778</v>
      </c>
      <c r="D667" s="26">
        <v>38.0</v>
      </c>
      <c r="E667" s="26" t="s">
        <v>13</v>
      </c>
      <c r="F667" s="26" t="s">
        <v>13</v>
      </c>
      <c r="G667" s="26" t="s">
        <v>13</v>
      </c>
      <c r="H667" s="26" t="s">
        <v>700</v>
      </c>
      <c r="I667" s="4"/>
    </row>
    <row r="668">
      <c r="A668" s="25">
        <v>664.0</v>
      </c>
      <c r="B668" s="26" t="s">
        <v>423</v>
      </c>
      <c r="C668" s="26" t="s">
        <v>779</v>
      </c>
      <c r="D668" s="26">
        <v>65.0</v>
      </c>
      <c r="E668" s="26" t="s">
        <v>13</v>
      </c>
      <c r="F668" s="26" t="s">
        <v>13</v>
      </c>
      <c r="G668" s="26" t="s">
        <v>13</v>
      </c>
      <c r="H668" s="26" t="s">
        <v>13</v>
      </c>
      <c r="I668" s="4"/>
    </row>
    <row r="669">
      <c r="A669" s="25">
        <v>665.0</v>
      </c>
      <c r="B669" s="26" t="s">
        <v>423</v>
      </c>
      <c r="C669" s="26" t="s">
        <v>780</v>
      </c>
      <c r="D669" s="26" t="s">
        <v>13</v>
      </c>
      <c r="E669" s="26" t="s">
        <v>13</v>
      </c>
      <c r="F669" s="26" t="s">
        <v>13</v>
      </c>
      <c r="G669" s="26" t="s">
        <v>13</v>
      </c>
      <c r="H669" s="26" t="s">
        <v>450</v>
      </c>
      <c r="I669" s="4"/>
    </row>
    <row r="670">
      <c r="A670" s="25">
        <v>666.0</v>
      </c>
      <c r="B670" s="26" t="s">
        <v>423</v>
      </c>
      <c r="C670" s="26" t="s">
        <v>781</v>
      </c>
      <c r="D670" s="26">
        <v>16.0</v>
      </c>
      <c r="E670" s="26" t="s">
        <v>13</v>
      </c>
      <c r="F670" s="26" t="s">
        <v>13</v>
      </c>
      <c r="G670" s="26" t="s">
        <v>13</v>
      </c>
      <c r="H670" s="26" t="s">
        <v>782</v>
      </c>
      <c r="I670" s="4"/>
    </row>
    <row r="671">
      <c r="A671" s="25">
        <v>667.0</v>
      </c>
      <c r="B671" s="26" t="s">
        <v>423</v>
      </c>
      <c r="C671" s="26" t="s">
        <v>783</v>
      </c>
      <c r="D671" s="26">
        <v>58.0</v>
      </c>
      <c r="E671" s="26" t="s">
        <v>13</v>
      </c>
      <c r="F671" s="26" t="s">
        <v>13</v>
      </c>
      <c r="G671" s="26" t="s">
        <v>13</v>
      </c>
      <c r="H671" s="26" t="s">
        <v>13</v>
      </c>
      <c r="I671" s="4"/>
    </row>
    <row r="672">
      <c r="A672" s="25">
        <v>668.0</v>
      </c>
      <c r="B672" s="26" t="s">
        <v>423</v>
      </c>
      <c r="C672" s="26" t="s">
        <v>784</v>
      </c>
      <c r="D672" s="26">
        <v>58.0</v>
      </c>
      <c r="E672" s="26" t="s">
        <v>13</v>
      </c>
      <c r="F672" s="26" t="s">
        <v>13</v>
      </c>
      <c r="G672" s="26" t="s">
        <v>13</v>
      </c>
      <c r="H672" s="26" t="s">
        <v>13</v>
      </c>
      <c r="I672" s="4"/>
    </row>
    <row r="673">
      <c r="A673" s="25">
        <v>669.0</v>
      </c>
      <c r="B673" s="26" t="s">
        <v>423</v>
      </c>
      <c r="C673" s="26" t="s">
        <v>784</v>
      </c>
      <c r="D673" s="26">
        <v>58.0</v>
      </c>
      <c r="E673" s="26" t="s">
        <v>13</v>
      </c>
      <c r="F673" s="26" t="s">
        <v>13</v>
      </c>
      <c r="G673" s="26" t="s">
        <v>13</v>
      </c>
      <c r="H673" s="26" t="s">
        <v>13</v>
      </c>
      <c r="I673" s="4"/>
    </row>
    <row r="674">
      <c r="A674" s="25">
        <v>670.0</v>
      </c>
      <c r="B674" s="26" t="s">
        <v>423</v>
      </c>
      <c r="C674" s="26" t="s">
        <v>785</v>
      </c>
      <c r="D674" s="26">
        <v>54.0</v>
      </c>
      <c r="E674" s="26" t="s">
        <v>13</v>
      </c>
      <c r="F674" s="26" t="s">
        <v>13</v>
      </c>
      <c r="G674" s="26" t="s">
        <v>13</v>
      </c>
      <c r="H674" s="26" t="s">
        <v>439</v>
      </c>
      <c r="I674" s="4"/>
    </row>
    <row r="675">
      <c r="A675" s="25">
        <v>671.0</v>
      </c>
      <c r="B675" s="26" t="s">
        <v>423</v>
      </c>
      <c r="C675" s="26" t="s">
        <v>786</v>
      </c>
      <c r="D675" s="26">
        <v>4.0</v>
      </c>
      <c r="E675" s="26" t="s">
        <v>13</v>
      </c>
      <c r="F675" s="26" t="s">
        <v>13</v>
      </c>
      <c r="G675" s="26" t="s">
        <v>330</v>
      </c>
      <c r="H675" s="26" t="s">
        <v>787</v>
      </c>
      <c r="I675" s="4"/>
    </row>
    <row r="676">
      <c r="A676" s="25">
        <v>672.0</v>
      </c>
      <c r="B676" s="26" t="s">
        <v>423</v>
      </c>
      <c r="C676" s="26" t="s">
        <v>788</v>
      </c>
      <c r="D676" s="26" t="s">
        <v>13</v>
      </c>
      <c r="E676" s="26" t="s">
        <v>13</v>
      </c>
      <c r="F676" s="26" t="s">
        <v>13</v>
      </c>
      <c r="G676" s="26" t="s">
        <v>13</v>
      </c>
      <c r="H676" s="26" t="s">
        <v>450</v>
      </c>
      <c r="I676" s="4"/>
    </row>
    <row r="677">
      <c r="A677" s="25">
        <v>673.0</v>
      </c>
      <c r="B677" s="26" t="s">
        <v>423</v>
      </c>
      <c r="C677" s="26" t="s">
        <v>789</v>
      </c>
      <c r="D677" s="26" t="s">
        <v>13</v>
      </c>
      <c r="E677" s="26" t="s">
        <v>13</v>
      </c>
      <c r="F677" s="26" t="s">
        <v>13</v>
      </c>
      <c r="G677" s="26" t="s">
        <v>13</v>
      </c>
      <c r="H677" s="26" t="s">
        <v>450</v>
      </c>
      <c r="I677" s="4"/>
    </row>
    <row r="678">
      <c r="A678" s="25">
        <v>674.0</v>
      </c>
      <c r="B678" s="26" t="s">
        <v>423</v>
      </c>
      <c r="C678" s="26" t="s">
        <v>790</v>
      </c>
      <c r="D678" s="26" t="s">
        <v>13</v>
      </c>
      <c r="E678" s="26" t="s">
        <v>13</v>
      </c>
      <c r="F678" s="26" t="s">
        <v>13</v>
      </c>
      <c r="G678" s="26" t="s">
        <v>13</v>
      </c>
      <c r="H678" s="26" t="s">
        <v>13</v>
      </c>
      <c r="I678" s="4"/>
    </row>
    <row r="679">
      <c r="A679" s="25">
        <v>675.0</v>
      </c>
      <c r="B679" s="26" t="s">
        <v>423</v>
      </c>
      <c r="C679" s="26" t="s">
        <v>791</v>
      </c>
      <c r="D679" s="26">
        <v>20.0</v>
      </c>
      <c r="E679" s="26" t="s">
        <v>13</v>
      </c>
      <c r="F679" s="26" t="s">
        <v>13</v>
      </c>
      <c r="G679" s="26" t="s">
        <v>13</v>
      </c>
      <c r="H679" s="26" t="s">
        <v>792</v>
      </c>
      <c r="I679" s="4"/>
    </row>
    <row r="680">
      <c r="A680" s="25">
        <v>676.0</v>
      </c>
      <c r="B680" s="26" t="s">
        <v>423</v>
      </c>
      <c r="C680" s="26" t="s">
        <v>793</v>
      </c>
      <c r="D680" s="26">
        <v>42.0</v>
      </c>
      <c r="E680" s="26" t="s">
        <v>14</v>
      </c>
      <c r="F680" s="26" t="s">
        <v>13</v>
      </c>
      <c r="G680" s="26" t="s">
        <v>13</v>
      </c>
      <c r="H680" s="26" t="s">
        <v>15</v>
      </c>
      <c r="I680" s="4"/>
    </row>
    <row r="681">
      <c r="A681" s="25">
        <v>677.0</v>
      </c>
      <c r="B681" s="26" t="s">
        <v>423</v>
      </c>
      <c r="C681" s="26" t="s">
        <v>794</v>
      </c>
      <c r="D681" s="26" t="s">
        <v>13</v>
      </c>
      <c r="E681" s="26" t="s">
        <v>13</v>
      </c>
      <c r="F681" s="26" t="s">
        <v>13</v>
      </c>
      <c r="G681" s="26" t="s">
        <v>13</v>
      </c>
      <c r="H681" s="26" t="s">
        <v>477</v>
      </c>
      <c r="I681" s="4"/>
    </row>
    <row r="682">
      <c r="A682" s="25">
        <v>678.0</v>
      </c>
      <c r="B682" s="26" t="s">
        <v>423</v>
      </c>
      <c r="C682" s="26" t="s">
        <v>795</v>
      </c>
      <c r="D682" s="26">
        <v>78.0</v>
      </c>
      <c r="E682" s="26" t="s">
        <v>14</v>
      </c>
      <c r="F682" s="26" t="s">
        <v>13</v>
      </c>
      <c r="G682" s="26" t="s">
        <v>13</v>
      </c>
      <c r="H682" s="26" t="s">
        <v>486</v>
      </c>
      <c r="I682" s="4"/>
    </row>
    <row r="683">
      <c r="A683" s="25">
        <v>679.0</v>
      </c>
      <c r="B683" s="26" t="s">
        <v>423</v>
      </c>
      <c r="C683" s="26" t="s">
        <v>796</v>
      </c>
      <c r="D683" s="26">
        <v>14.0</v>
      </c>
      <c r="E683" s="26" t="s">
        <v>14</v>
      </c>
      <c r="F683" s="26" t="s">
        <v>13</v>
      </c>
      <c r="G683" s="26" t="s">
        <v>13</v>
      </c>
      <c r="H683" s="26" t="s">
        <v>486</v>
      </c>
      <c r="I683" s="4"/>
    </row>
    <row r="684">
      <c r="A684" s="25">
        <v>680.0</v>
      </c>
      <c r="B684" s="26" t="s">
        <v>423</v>
      </c>
      <c r="C684" s="26" t="s">
        <v>797</v>
      </c>
      <c r="D684" s="26">
        <v>15.0</v>
      </c>
      <c r="E684" s="26" t="s">
        <v>13</v>
      </c>
      <c r="F684" s="26" t="s">
        <v>13</v>
      </c>
      <c r="G684" s="26" t="s">
        <v>13</v>
      </c>
      <c r="H684" s="26" t="s">
        <v>13</v>
      </c>
      <c r="I684" s="4"/>
    </row>
    <row r="685">
      <c r="A685" s="25">
        <v>681.0</v>
      </c>
      <c r="B685" s="26" t="s">
        <v>423</v>
      </c>
      <c r="C685" s="26" t="s">
        <v>798</v>
      </c>
      <c r="D685" s="26">
        <v>19.0</v>
      </c>
      <c r="E685" s="26" t="s">
        <v>13</v>
      </c>
      <c r="F685" s="26" t="s">
        <v>13</v>
      </c>
      <c r="G685" s="26" t="s">
        <v>13</v>
      </c>
      <c r="H685" s="26" t="s">
        <v>13</v>
      </c>
      <c r="I685" s="4"/>
    </row>
    <row r="686">
      <c r="A686" s="25">
        <v>682.0</v>
      </c>
      <c r="B686" s="26" t="s">
        <v>423</v>
      </c>
      <c r="C686" s="26" t="s">
        <v>799</v>
      </c>
      <c r="D686" s="26" t="s">
        <v>13</v>
      </c>
      <c r="E686" s="26" t="s">
        <v>13</v>
      </c>
      <c r="F686" s="26" t="s">
        <v>13</v>
      </c>
      <c r="G686" s="26" t="s">
        <v>13</v>
      </c>
      <c r="H686" s="26" t="s">
        <v>450</v>
      </c>
      <c r="I686" s="4"/>
    </row>
    <row r="687">
      <c r="A687" s="25">
        <v>683.0</v>
      </c>
      <c r="B687" s="26" t="s">
        <v>423</v>
      </c>
      <c r="C687" s="26" t="s">
        <v>799</v>
      </c>
      <c r="D687" s="26" t="s">
        <v>13</v>
      </c>
      <c r="E687" s="26" t="s">
        <v>13</v>
      </c>
      <c r="F687" s="26" t="s">
        <v>13</v>
      </c>
      <c r="G687" s="26" t="s">
        <v>13</v>
      </c>
      <c r="H687" s="26" t="s">
        <v>13</v>
      </c>
      <c r="I687" s="4"/>
    </row>
    <row r="688">
      <c r="A688" s="25">
        <v>684.0</v>
      </c>
      <c r="B688" s="26" t="s">
        <v>423</v>
      </c>
      <c r="C688" s="26" t="s">
        <v>800</v>
      </c>
      <c r="D688" s="26" t="s">
        <v>13</v>
      </c>
      <c r="E688" s="26" t="s">
        <v>13</v>
      </c>
      <c r="F688" s="26" t="s">
        <v>13</v>
      </c>
      <c r="G688" s="26" t="s">
        <v>13</v>
      </c>
      <c r="H688" s="26" t="s">
        <v>13</v>
      </c>
      <c r="I688" s="4"/>
    </row>
    <row r="689">
      <c r="A689" s="25">
        <v>685.0</v>
      </c>
      <c r="B689" s="26" t="s">
        <v>423</v>
      </c>
      <c r="C689" s="26" t="s">
        <v>801</v>
      </c>
      <c r="D689" s="26">
        <v>40.0</v>
      </c>
      <c r="E689" s="26" t="s">
        <v>13</v>
      </c>
      <c r="F689" s="26" t="s">
        <v>13</v>
      </c>
      <c r="G689" s="26" t="s">
        <v>13</v>
      </c>
      <c r="H689" s="26" t="s">
        <v>802</v>
      </c>
      <c r="I689" s="4"/>
    </row>
    <row r="690">
      <c r="A690" s="25">
        <v>686.0</v>
      </c>
      <c r="B690" s="26" t="s">
        <v>423</v>
      </c>
      <c r="C690" s="26" t="s">
        <v>803</v>
      </c>
      <c r="D690" s="26" t="s">
        <v>13</v>
      </c>
      <c r="E690" s="26" t="s">
        <v>14</v>
      </c>
      <c r="F690" s="26" t="s">
        <v>13</v>
      </c>
      <c r="G690" s="26" t="s">
        <v>13</v>
      </c>
      <c r="H690" s="26" t="s">
        <v>15</v>
      </c>
      <c r="I690" s="4"/>
    </row>
    <row r="691">
      <c r="A691" s="25">
        <v>687.0</v>
      </c>
      <c r="B691" s="26" t="s">
        <v>423</v>
      </c>
      <c r="C691" s="26" t="s">
        <v>804</v>
      </c>
      <c r="D691" s="26">
        <v>68.0</v>
      </c>
      <c r="E691" s="26" t="s">
        <v>13</v>
      </c>
      <c r="F691" s="26" t="s">
        <v>13</v>
      </c>
      <c r="G691" s="26" t="s">
        <v>13</v>
      </c>
      <c r="H691" s="26" t="s">
        <v>13</v>
      </c>
      <c r="I691" s="4"/>
    </row>
    <row r="692">
      <c r="A692" s="25">
        <v>688.0</v>
      </c>
      <c r="B692" s="26" t="s">
        <v>423</v>
      </c>
      <c r="C692" s="26" t="s">
        <v>805</v>
      </c>
      <c r="D692" s="26">
        <v>68.0</v>
      </c>
      <c r="E692" s="26" t="s">
        <v>13</v>
      </c>
      <c r="F692" s="26" t="s">
        <v>13</v>
      </c>
      <c r="G692" s="26" t="s">
        <v>13</v>
      </c>
      <c r="H692" s="26" t="s">
        <v>13</v>
      </c>
      <c r="I692" s="4"/>
    </row>
    <row r="693">
      <c r="A693" s="25">
        <v>689.0</v>
      </c>
      <c r="B693" s="26" t="s">
        <v>423</v>
      </c>
      <c r="C693" s="26" t="s">
        <v>806</v>
      </c>
      <c r="D693" s="26">
        <v>14.0</v>
      </c>
      <c r="E693" s="26" t="s">
        <v>13</v>
      </c>
      <c r="F693" s="26" t="s">
        <v>13</v>
      </c>
      <c r="G693" s="26" t="s">
        <v>330</v>
      </c>
      <c r="H693" s="26" t="s">
        <v>441</v>
      </c>
      <c r="I693" s="4"/>
    </row>
    <row r="694">
      <c r="A694" s="25">
        <v>690.0</v>
      </c>
      <c r="B694" s="26" t="s">
        <v>423</v>
      </c>
      <c r="C694" s="26" t="s">
        <v>807</v>
      </c>
      <c r="D694" s="26">
        <v>23.0</v>
      </c>
      <c r="E694" s="26" t="s">
        <v>14</v>
      </c>
      <c r="F694" s="26" t="s">
        <v>13</v>
      </c>
      <c r="G694" s="26" t="s">
        <v>13</v>
      </c>
      <c r="H694" s="26" t="s">
        <v>488</v>
      </c>
      <c r="I694" s="4"/>
    </row>
    <row r="695">
      <c r="A695" s="25">
        <v>691.0</v>
      </c>
      <c r="B695" s="26" t="s">
        <v>423</v>
      </c>
      <c r="C695" s="26" t="s">
        <v>808</v>
      </c>
      <c r="D695" s="26">
        <v>63.0</v>
      </c>
      <c r="E695" s="26" t="s">
        <v>13</v>
      </c>
      <c r="F695" s="26" t="s">
        <v>13</v>
      </c>
      <c r="G695" s="26" t="s">
        <v>13</v>
      </c>
      <c r="H695" s="26" t="s">
        <v>13</v>
      </c>
      <c r="I695" s="4"/>
    </row>
    <row r="696">
      <c r="A696" s="25">
        <v>692.0</v>
      </c>
      <c r="B696" s="26" t="s">
        <v>423</v>
      </c>
      <c r="C696" s="26" t="s">
        <v>809</v>
      </c>
      <c r="D696" s="26">
        <v>14.0</v>
      </c>
      <c r="E696" s="26" t="s">
        <v>13</v>
      </c>
      <c r="F696" s="26" t="s">
        <v>13</v>
      </c>
      <c r="G696" s="26" t="s">
        <v>13</v>
      </c>
      <c r="H696" s="26" t="s">
        <v>792</v>
      </c>
      <c r="I696" s="4"/>
    </row>
    <row r="697">
      <c r="A697" s="25">
        <v>693.0</v>
      </c>
      <c r="B697" s="26" t="s">
        <v>423</v>
      </c>
      <c r="C697" s="26" t="s">
        <v>810</v>
      </c>
      <c r="D697" s="26">
        <v>45.0</v>
      </c>
      <c r="E697" s="26" t="s">
        <v>811</v>
      </c>
      <c r="F697" s="26" t="s">
        <v>13</v>
      </c>
      <c r="G697" s="26" t="s">
        <v>13</v>
      </c>
      <c r="H697" s="26" t="s">
        <v>812</v>
      </c>
      <c r="I697" s="4"/>
    </row>
    <row r="698">
      <c r="A698" s="25">
        <v>694.0</v>
      </c>
      <c r="B698" s="26" t="s">
        <v>423</v>
      </c>
      <c r="C698" s="26" t="s">
        <v>813</v>
      </c>
      <c r="D698" s="26">
        <v>40.0</v>
      </c>
      <c r="E698" s="26" t="s">
        <v>13</v>
      </c>
      <c r="F698" s="26" t="s">
        <v>13</v>
      </c>
      <c r="G698" s="26" t="s">
        <v>13</v>
      </c>
      <c r="H698" s="26" t="s">
        <v>814</v>
      </c>
      <c r="I698" s="4"/>
    </row>
    <row r="699">
      <c r="A699" s="25">
        <v>695.0</v>
      </c>
      <c r="B699" s="26" t="s">
        <v>423</v>
      </c>
      <c r="C699" s="26" t="s">
        <v>815</v>
      </c>
      <c r="D699" s="26">
        <v>16.0</v>
      </c>
      <c r="E699" s="26" t="s">
        <v>13</v>
      </c>
      <c r="F699" s="26" t="s">
        <v>13</v>
      </c>
      <c r="G699" s="26" t="s">
        <v>13</v>
      </c>
      <c r="H699" s="26" t="s">
        <v>13</v>
      </c>
      <c r="I699" s="4"/>
    </row>
    <row r="700">
      <c r="A700" s="25">
        <v>696.0</v>
      </c>
      <c r="B700" s="26" t="s">
        <v>423</v>
      </c>
      <c r="C700" s="26" t="s">
        <v>816</v>
      </c>
      <c r="D700" s="26">
        <v>16.0</v>
      </c>
      <c r="E700" s="26" t="s">
        <v>13</v>
      </c>
      <c r="F700" s="26" t="s">
        <v>13</v>
      </c>
      <c r="G700" s="26" t="s">
        <v>13</v>
      </c>
      <c r="H700" s="26" t="s">
        <v>13</v>
      </c>
      <c r="I700" s="4"/>
    </row>
    <row r="701">
      <c r="A701" s="25">
        <v>697.0</v>
      </c>
      <c r="B701" s="26" t="s">
        <v>423</v>
      </c>
      <c r="C701" s="26" t="s">
        <v>817</v>
      </c>
      <c r="D701" s="26">
        <v>49.0</v>
      </c>
      <c r="E701" s="26" t="s">
        <v>811</v>
      </c>
      <c r="F701" s="26" t="s">
        <v>13</v>
      </c>
      <c r="G701" s="26" t="s">
        <v>13</v>
      </c>
      <c r="H701" s="26" t="s">
        <v>818</v>
      </c>
      <c r="I701" s="4"/>
    </row>
    <row r="702">
      <c r="A702" s="25">
        <v>698.0</v>
      </c>
      <c r="B702" s="26" t="s">
        <v>423</v>
      </c>
      <c r="C702" s="26" t="s">
        <v>819</v>
      </c>
      <c r="D702" s="26">
        <v>40.0</v>
      </c>
      <c r="E702" s="26" t="s">
        <v>13</v>
      </c>
      <c r="F702" s="26" t="s">
        <v>13</v>
      </c>
      <c r="G702" s="26" t="s">
        <v>13</v>
      </c>
      <c r="H702" s="26" t="s">
        <v>820</v>
      </c>
      <c r="I702" s="4"/>
    </row>
    <row r="703">
      <c r="A703" s="25">
        <v>699.0</v>
      </c>
      <c r="B703" s="26" t="s">
        <v>423</v>
      </c>
      <c r="C703" s="26" t="s">
        <v>819</v>
      </c>
      <c r="D703" s="26">
        <v>40.0</v>
      </c>
      <c r="E703" s="26" t="s">
        <v>13</v>
      </c>
      <c r="F703" s="26" t="s">
        <v>13</v>
      </c>
      <c r="G703" s="26" t="s">
        <v>13</v>
      </c>
      <c r="H703" s="26" t="s">
        <v>13</v>
      </c>
      <c r="I703" s="4"/>
    </row>
    <row r="704">
      <c r="A704" s="25">
        <v>700.0</v>
      </c>
      <c r="B704" s="26" t="s">
        <v>423</v>
      </c>
      <c r="C704" s="26" t="s">
        <v>821</v>
      </c>
      <c r="D704" s="26">
        <v>78.0</v>
      </c>
      <c r="E704" s="26" t="s">
        <v>13</v>
      </c>
      <c r="F704" s="26" t="s">
        <v>13</v>
      </c>
      <c r="G704" s="26" t="s">
        <v>13</v>
      </c>
      <c r="H704" s="26" t="s">
        <v>792</v>
      </c>
      <c r="I704" s="4"/>
    </row>
    <row r="705">
      <c r="A705" s="25">
        <v>701.0</v>
      </c>
      <c r="B705" s="26" t="s">
        <v>423</v>
      </c>
      <c r="C705" s="26" t="s">
        <v>822</v>
      </c>
      <c r="D705" s="26">
        <v>15.0</v>
      </c>
      <c r="E705" s="26" t="s">
        <v>13</v>
      </c>
      <c r="F705" s="26" t="s">
        <v>13</v>
      </c>
      <c r="G705" s="26" t="s">
        <v>13</v>
      </c>
      <c r="H705" s="26" t="s">
        <v>823</v>
      </c>
      <c r="I705" s="4"/>
    </row>
    <row r="706">
      <c r="A706" s="25">
        <v>702.0</v>
      </c>
      <c r="B706" s="26" t="s">
        <v>423</v>
      </c>
      <c r="C706" s="26" t="s">
        <v>824</v>
      </c>
      <c r="D706" s="26" t="s">
        <v>13</v>
      </c>
      <c r="E706" s="26" t="s">
        <v>13</v>
      </c>
      <c r="F706" s="26" t="s">
        <v>13</v>
      </c>
      <c r="G706" s="26" t="s">
        <v>13</v>
      </c>
      <c r="H706" s="26" t="s">
        <v>450</v>
      </c>
      <c r="I706" s="4"/>
    </row>
    <row r="707">
      <c r="A707" s="25">
        <v>703.0</v>
      </c>
      <c r="B707" s="26" t="s">
        <v>423</v>
      </c>
      <c r="C707" s="26" t="s">
        <v>825</v>
      </c>
      <c r="D707" s="26" t="s">
        <v>13</v>
      </c>
      <c r="E707" s="26" t="s">
        <v>13</v>
      </c>
      <c r="F707" s="26" t="s">
        <v>13</v>
      </c>
      <c r="G707" s="26" t="s">
        <v>13</v>
      </c>
      <c r="H707" s="26" t="s">
        <v>13</v>
      </c>
      <c r="I707" s="4"/>
    </row>
    <row r="708">
      <c r="A708" s="25">
        <v>704.0</v>
      </c>
      <c r="B708" s="26" t="s">
        <v>423</v>
      </c>
      <c r="C708" s="26" t="s">
        <v>826</v>
      </c>
      <c r="D708" s="26" t="s">
        <v>13</v>
      </c>
      <c r="E708" s="26" t="s">
        <v>13</v>
      </c>
      <c r="F708" s="26" t="s">
        <v>13</v>
      </c>
      <c r="G708" s="26" t="s">
        <v>13</v>
      </c>
      <c r="H708" s="26" t="s">
        <v>450</v>
      </c>
      <c r="I708" s="4"/>
    </row>
    <row r="709">
      <c r="A709" s="25">
        <v>705.0</v>
      </c>
      <c r="B709" s="26" t="s">
        <v>423</v>
      </c>
      <c r="C709" s="26" t="s">
        <v>827</v>
      </c>
      <c r="D709" s="26" t="s">
        <v>13</v>
      </c>
      <c r="E709" s="26" t="s">
        <v>13</v>
      </c>
      <c r="F709" s="26" t="s">
        <v>13</v>
      </c>
      <c r="G709" s="26" t="s">
        <v>13</v>
      </c>
      <c r="H709" s="26" t="s">
        <v>13</v>
      </c>
      <c r="I709" s="4"/>
    </row>
    <row r="710">
      <c r="A710" s="25">
        <v>706.0</v>
      </c>
      <c r="B710" s="26" t="s">
        <v>423</v>
      </c>
      <c r="C710" s="26" t="s">
        <v>828</v>
      </c>
      <c r="D710" s="26">
        <v>37.0</v>
      </c>
      <c r="E710" s="26" t="s">
        <v>13</v>
      </c>
      <c r="F710" s="26" t="s">
        <v>13</v>
      </c>
      <c r="G710" s="26" t="s">
        <v>13</v>
      </c>
      <c r="H710" s="26" t="s">
        <v>464</v>
      </c>
      <c r="I710" s="4"/>
    </row>
    <row r="711">
      <c r="A711" s="25">
        <v>707.0</v>
      </c>
      <c r="B711" s="26" t="s">
        <v>423</v>
      </c>
      <c r="C711" s="26" t="s">
        <v>829</v>
      </c>
      <c r="D711" s="26" t="s">
        <v>13</v>
      </c>
      <c r="E711" s="26" t="s">
        <v>13</v>
      </c>
      <c r="F711" s="26" t="s">
        <v>13</v>
      </c>
      <c r="G711" s="26" t="s">
        <v>13</v>
      </c>
      <c r="H711" s="26" t="s">
        <v>450</v>
      </c>
      <c r="I711" s="4"/>
    </row>
    <row r="712">
      <c r="A712" s="25">
        <v>708.0</v>
      </c>
      <c r="B712" s="26" t="s">
        <v>423</v>
      </c>
      <c r="C712" s="26" t="s">
        <v>829</v>
      </c>
      <c r="D712" s="26">
        <v>37.0</v>
      </c>
      <c r="E712" s="26" t="s">
        <v>13</v>
      </c>
      <c r="F712" s="26" t="s">
        <v>13</v>
      </c>
      <c r="G712" s="26" t="s">
        <v>13</v>
      </c>
      <c r="H712" s="26" t="s">
        <v>13</v>
      </c>
      <c r="I712" s="4"/>
    </row>
    <row r="713">
      <c r="A713" s="25">
        <v>709.0</v>
      </c>
      <c r="B713" s="26" t="s">
        <v>423</v>
      </c>
      <c r="C713" s="26" t="s">
        <v>830</v>
      </c>
      <c r="D713" s="26" t="s">
        <v>13</v>
      </c>
      <c r="E713" s="26" t="s">
        <v>13</v>
      </c>
      <c r="F713" s="26" t="s">
        <v>13</v>
      </c>
      <c r="G713" s="26" t="s">
        <v>13</v>
      </c>
      <c r="H713" s="26" t="s">
        <v>477</v>
      </c>
      <c r="I713" s="4"/>
    </row>
    <row r="714">
      <c r="A714" s="25">
        <v>710.0</v>
      </c>
      <c r="B714" s="26" t="s">
        <v>423</v>
      </c>
      <c r="C714" s="26" t="s">
        <v>830</v>
      </c>
      <c r="D714" s="26" t="s">
        <v>13</v>
      </c>
      <c r="E714" s="26" t="s">
        <v>13</v>
      </c>
      <c r="F714" s="26" t="s">
        <v>13</v>
      </c>
      <c r="G714" s="26" t="s">
        <v>13</v>
      </c>
      <c r="H714" s="26" t="s">
        <v>831</v>
      </c>
      <c r="I714" s="4"/>
    </row>
    <row r="715">
      <c r="A715" s="25">
        <v>711.0</v>
      </c>
      <c r="B715" s="26" t="s">
        <v>423</v>
      </c>
      <c r="C715" s="26" t="s">
        <v>832</v>
      </c>
      <c r="D715" s="26">
        <v>32.0</v>
      </c>
      <c r="E715" s="26" t="s">
        <v>14</v>
      </c>
      <c r="F715" s="26" t="s">
        <v>13</v>
      </c>
      <c r="G715" s="26" t="s">
        <v>13</v>
      </c>
      <c r="H715" s="26" t="s">
        <v>833</v>
      </c>
      <c r="I715" s="4"/>
    </row>
    <row r="716">
      <c r="A716" s="25">
        <v>712.0</v>
      </c>
      <c r="B716" s="26" t="s">
        <v>423</v>
      </c>
      <c r="C716" s="26" t="s">
        <v>834</v>
      </c>
      <c r="D716" s="26">
        <v>32.0</v>
      </c>
      <c r="E716" s="26" t="s">
        <v>13</v>
      </c>
      <c r="F716" s="26" t="s">
        <v>13</v>
      </c>
      <c r="G716" s="26" t="s">
        <v>13</v>
      </c>
      <c r="H716" s="26" t="s">
        <v>835</v>
      </c>
      <c r="I716" s="4"/>
    </row>
    <row r="717">
      <c r="A717" s="25">
        <v>713.0</v>
      </c>
      <c r="B717" s="26" t="s">
        <v>423</v>
      </c>
      <c r="C717" s="26" t="s">
        <v>836</v>
      </c>
      <c r="D717" s="26">
        <v>33.0</v>
      </c>
      <c r="E717" s="26" t="s">
        <v>13</v>
      </c>
      <c r="F717" s="26" t="s">
        <v>13</v>
      </c>
      <c r="G717" s="26" t="s">
        <v>13</v>
      </c>
      <c r="H717" s="26" t="s">
        <v>13</v>
      </c>
      <c r="I717" s="4"/>
    </row>
    <row r="718">
      <c r="A718" s="25">
        <v>714.0</v>
      </c>
      <c r="B718" s="26" t="s">
        <v>423</v>
      </c>
      <c r="C718" s="26" t="s">
        <v>837</v>
      </c>
      <c r="D718" s="26">
        <v>29.0</v>
      </c>
      <c r="E718" s="26" t="s">
        <v>13</v>
      </c>
      <c r="F718" s="26" t="s">
        <v>13</v>
      </c>
      <c r="G718" s="26" t="s">
        <v>13</v>
      </c>
      <c r="H718" s="26" t="s">
        <v>499</v>
      </c>
      <c r="I718" s="4"/>
    </row>
    <row r="719">
      <c r="A719" s="25">
        <v>715.0</v>
      </c>
      <c r="B719" s="26" t="s">
        <v>423</v>
      </c>
      <c r="C719" s="26" t="s">
        <v>838</v>
      </c>
      <c r="D719" s="26">
        <v>57.0</v>
      </c>
      <c r="E719" s="26" t="s">
        <v>13</v>
      </c>
      <c r="F719" s="26" t="s">
        <v>13</v>
      </c>
      <c r="G719" s="26" t="s">
        <v>13</v>
      </c>
      <c r="H719" s="26" t="s">
        <v>839</v>
      </c>
      <c r="I719" s="4"/>
    </row>
    <row r="720">
      <c r="A720" s="25">
        <v>716.0</v>
      </c>
      <c r="B720" s="26" t="s">
        <v>423</v>
      </c>
      <c r="C720" s="26" t="s">
        <v>840</v>
      </c>
      <c r="D720" s="26">
        <v>59.0</v>
      </c>
      <c r="E720" s="26" t="s">
        <v>13</v>
      </c>
      <c r="F720" s="26" t="s">
        <v>13</v>
      </c>
      <c r="G720" s="26" t="s">
        <v>330</v>
      </c>
      <c r="H720" s="26" t="s">
        <v>441</v>
      </c>
      <c r="I720" s="4"/>
    </row>
    <row r="721">
      <c r="A721" s="25">
        <v>717.0</v>
      </c>
      <c r="B721" s="26" t="s">
        <v>423</v>
      </c>
      <c r="C721" s="26" t="s">
        <v>841</v>
      </c>
      <c r="D721" s="26">
        <v>59.0</v>
      </c>
      <c r="E721" s="26" t="s">
        <v>14</v>
      </c>
      <c r="F721" s="26" t="s">
        <v>13</v>
      </c>
      <c r="G721" s="26" t="s">
        <v>13</v>
      </c>
      <c r="H721" s="26" t="s">
        <v>488</v>
      </c>
      <c r="I721" s="4"/>
    </row>
    <row r="722">
      <c r="A722" s="25">
        <v>718.0</v>
      </c>
      <c r="B722" s="26" t="s">
        <v>423</v>
      </c>
      <c r="C722" s="26" t="s">
        <v>842</v>
      </c>
      <c r="D722" s="26">
        <v>46.0</v>
      </c>
      <c r="E722" s="26" t="s">
        <v>13</v>
      </c>
      <c r="F722" s="26" t="s">
        <v>13</v>
      </c>
      <c r="G722" s="26" t="s">
        <v>13</v>
      </c>
      <c r="H722" s="26" t="s">
        <v>13</v>
      </c>
      <c r="I722" s="4"/>
    </row>
    <row r="723">
      <c r="A723" s="25">
        <v>719.0</v>
      </c>
      <c r="B723" s="26" t="s">
        <v>423</v>
      </c>
      <c r="C723" s="26" t="s">
        <v>843</v>
      </c>
      <c r="D723" s="26" t="s">
        <v>13</v>
      </c>
      <c r="E723" s="26" t="s">
        <v>13</v>
      </c>
      <c r="F723" s="26" t="s">
        <v>13</v>
      </c>
      <c r="G723" s="26" t="s">
        <v>13</v>
      </c>
      <c r="H723" s="26" t="s">
        <v>13</v>
      </c>
      <c r="I723" s="4"/>
    </row>
    <row r="724">
      <c r="A724" s="25">
        <v>720.0</v>
      </c>
      <c r="B724" s="26" t="s">
        <v>423</v>
      </c>
      <c r="C724" s="26" t="s">
        <v>843</v>
      </c>
      <c r="D724" s="26">
        <v>46.0</v>
      </c>
      <c r="E724" s="26" t="s">
        <v>13</v>
      </c>
      <c r="F724" s="26" t="s">
        <v>13</v>
      </c>
      <c r="G724" s="26" t="s">
        <v>13</v>
      </c>
      <c r="H724" s="26" t="s">
        <v>13</v>
      </c>
      <c r="I724" s="4"/>
    </row>
    <row r="725">
      <c r="A725" s="25">
        <v>721.0</v>
      </c>
      <c r="B725" s="26" t="s">
        <v>423</v>
      </c>
      <c r="C725" s="26" t="s">
        <v>844</v>
      </c>
      <c r="D725" s="26">
        <v>52.0</v>
      </c>
      <c r="E725" s="26" t="s">
        <v>14</v>
      </c>
      <c r="F725" s="26" t="s">
        <v>13</v>
      </c>
      <c r="G725" s="26" t="s">
        <v>13</v>
      </c>
      <c r="H725" s="26" t="s">
        <v>845</v>
      </c>
      <c r="I725" s="4"/>
    </row>
    <row r="726">
      <c r="A726" s="25">
        <v>722.0</v>
      </c>
      <c r="B726" s="26" t="s">
        <v>423</v>
      </c>
      <c r="C726" s="26" t="s">
        <v>846</v>
      </c>
      <c r="D726" s="26">
        <v>29.0</v>
      </c>
      <c r="E726" s="26" t="s">
        <v>13</v>
      </c>
      <c r="F726" s="26" t="s">
        <v>13</v>
      </c>
      <c r="G726" s="26" t="s">
        <v>13</v>
      </c>
      <c r="H726" s="26" t="s">
        <v>13</v>
      </c>
      <c r="I726" s="4"/>
    </row>
    <row r="727">
      <c r="A727" s="25">
        <v>723.0</v>
      </c>
      <c r="B727" s="26" t="s">
        <v>423</v>
      </c>
      <c r="C727" s="26" t="s">
        <v>847</v>
      </c>
      <c r="D727" s="26">
        <v>29.0</v>
      </c>
      <c r="E727" s="26" t="s">
        <v>13</v>
      </c>
      <c r="F727" s="26" t="s">
        <v>13</v>
      </c>
      <c r="G727" s="26" t="s">
        <v>585</v>
      </c>
      <c r="H727" s="26" t="s">
        <v>848</v>
      </c>
      <c r="I727" s="4"/>
    </row>
    <row r="728">
      <c r="A728" s="25">
        <v>724.0</v>
      </c>
      <c r="B728" s="26" t="s">
        <v>423</v>
      </c>
      <c r="C728" s="26" t="s">
        <v>849</v>
      </c>
      <c r="D728" s="26">
        <v>29.0</v>
      </c>
      <c r="E728" s="26" t="s">
        <v>13</v>
      </c>
      <c r="F728" s="26" t="s">
        <v>13</v>
      </c>
      <c r="G728" s="26" t="s">
        <v>13</v>
      </c>
      <c r="H728" s="26" t="s">
        <v>13</v>
      </c>
      <c r="I728" s="4"/>
    </row>
    <row r="729">
      <c r="A729" s="25">
        <v>725.0</v>
      </c>
      <c r="B729" s="26" t="s">
        <v>423</v>
      </c>
      <c r="C729" s="26" t="s">
        <v>850</v>
      </c>
      <c r="D729" s="26" t="s">
        <v>13</v>
      </c>
      <c r="E729" s="26" t="s">
        <v>13</v>
      </c>
      <c r="F729" s="26" t="s">
        <v>13</v>
      </c>
      <c r="G729" s="26" t="s">
        <v>13</v>
      </c>
      <c r="H729" s="26" t="s">
        <v>13</v>
      </c>
      <c r="I729" s="4"/>
    </row>
    <row r="730">
      <c r="A730" s="25">
        <v>726.0</v>
      </c>
      <c r="B730" s="26" t="s">
        <v>423</v>
      </c>
      <c r="C730" s="26" t="s">
        <v>851</v>
      </c>
      <c r="D730" s="26">
        <v>23.0</v>
      </c>
      <c r="E730" s="26" t="s">
        <v>13</v>
      </c>
      <c r="F730" s="26" t="s">
        <v>13</v>
      </c>
      <c r="G730" s="26" t="s">
        <v>13</v>
      </c>
      <c r="H730" s="26" t="s">
        <v>852</v>
      </c>
      <c r="I730" s="4"/>
    </row>
    <row r="731">
      <c r="A731" s="25">
        <v>727.0</v>
      </c>
      <c r="B731" s="26" t="s">
        <v>423</v>
      </c>
      <c r="C731" s="26" t="s">
        <v>851</v>
      </c>
      <c r="D731" s="26">
        <v>23.0</v>
      </c>
      <c r="E731" s="26" t="s">
        <v>13</v>
      </c>
      <c r="F731" s="26" t="s">
        <v>13</v>
      </c>
      <c r="G731" s="26" t="s">
        <v>13</v>
      </c>
      <c r="H731" s="26" t="s">
        <v>13</v>
      </c>
      <c r="I731" s="4"/>
    </row>
    <row r="732">
      <c r="A732" s="25">
        <v>728.0</v>
      </c>
      <c r="B732" s="26" t="s">
        <v>423</v>
      </c>
      <c r="C732" s="26" t="s">
        <v>853</v>
      </c>
      <c r="D732" s="26" t="s">
        <v>13</v>
      </c>
      <c r="E732" s="26" t="s">
        <v>13</v>
      </c>
      <c r="F732" s="26" t="s">
        <v>13</v>
      </c>
      <c r="G732" s="26" t="s">
        <v>13</v>
      </c>
      <c r="H732" s="26" t="s">
        <v>13</v>
      </c>
      <c r="I732" s="4"/>
    </row>
    <row r="733">
      <c r="A733" s="25">
        <v>729.0</v>
      </c>
      <c r="B733" s="26" t="s">
        <v>423</v>
      </c>
      <c r="C733" s="26" t="s">
        <v>854</v>
      </c>
      <c r="D733" s="26">
        <v>53.0</v>
      </c>
      <c r="E733" s="26" t="s">
        <v>13</v>
      </c>
      <c r="F733" s="26" t="s">
        <v>13</v>
      </c>
      <c r="G733" s="26" t="s">
        <v>13</v>
      </c>
      <c r="H733" s="26" t="s">
        <v>13</v>
      </c>
      <c r="I733" s="4"/>
    </row>
    <row r="734">
      <c r="A734" s="25">
        <v>730.0</v>
      </c>
      <c r="B734" s="26" t="s">
        <v>423</v>
      </c>
      <c r="C734" s="26" t="s">
        <v>855</v>
      </c>
      <c r="D734" s="26">
        <v>53.0</v>
      </c>
      <c r="E734" s="26" t="s">
        <v>13</v>
      </c>
      <c r="F734" s="26" t="s">
        <v>13</v>
      </c>
      <c r="G734" s="26" t="s">
        <v>13</v>
      </c>
      <c r="H734" s="26" t="s">
        <v>439</v>
      </c>
      <c r="I734" s="4"/>
    </row>
    <row r="735">
      <c r="A735" s="25">
        <v>731.0</v>
      </c>
      <c r="B735" s="26" t="s">
        <v>423</v>
      </c>
      <c r="C735" s="26" t="s">
        <v>856</v>
      </c>
      <c r="D735" s="26" t="s">
        <v>13</v>
      </c>
      <c r="E735" s="26" t="s">
        <v>13</v>
      </c>
      <c r="F735" s="26" t="s">
        <v>13</v>
      </c>
      <c r="G735" s="26" t="s">
        <v>13</v>
      </c>
      <c r="H735" s="26" t="s">
        <v>450</v>
      </c>
      <c r="I735" s="4"/>
    </row>
    <row r="736">
      <c r="A736" s="25">
        <v>732.0</v>
      </c>
      <c r="B736" s="26" t="s">
        <v>423</v>
      </c>
      <c r="C736" s="26" t="s">
        <v>857</v>
      </c>
      <c r="D736" s="26">
        <v>60.0</v>
      </c>
      <c r="E736" s="26" t="s">
        <v>13</v>
      </c>
      <c r="F736" s="26" t="s">
        <v>13</v>
      </c>
      <c r="G736" s="26" t="s">
        <v>13</v>
      </c>
      <c r="H736" s="26" t="s">
        <v>13</v>
      </c>
      <c r="I736" s="4"/>
    </row>
    <row r="737">
      <c r="A737" s="25">
        <v>733.0</v>
      </c>
      <c r="B737" s="26" t="s">
        <v>423</v>
      </c>
      <c r="C737" s="26" t="s">
        <v>858</v>
      </c>
      <c r="D737" s="26">
        <v>53.0</v>
      </c>
      <c r="E737" s="26" t="s">
        <v>14</v>
      </c>
      <c r="F737" s="26" t="s">
        <v>13</v>
      </c>
      <c r="G737" s="26" t="s">
        <v>13</v>
      </c>
      <c r="H737" s="26" t="s">
        <v>593</v>
      </c>
      <c r="I737" s="4"/>
    </row>
    <row r="738">
      <c r="A738" s="25">
        <v>734.0</v>
      </c>
      <c r="B738" s="26" t="s">
        <v>423</v>
      </c>
      <c r="C738" s="26" t="s">
        <v>859</v>
      </c>
      <c r="D738" s="26">
        <v>71.0</v>
      </c>
      <c r="E738" s="26" t="s">
        <v>14</v>
      </c>
      <c r="F738" s="26" t="s">
        <v>13</v>
      </c>
      <c r="G738" s="26" t="s">
        <v>13</v>
      </c>
      <c r="H738" s="26" t="s">
        <v>615</v>
      </c>
      <c r="I738" s="4"/>
    </row>
    <row r="739">
      <c r="A739" s="25">
        <v>735.0</v>
      </c>
      <c r="B739" s="26" t="s">
        <v>423</v>
      </c>
      <c r="C739" s="26" t="s">
        <v>860</v>
      </c>
      <c r="D739" s="26">
        <v>71.0</v>
      </c>
      <c r="E739" s="26" t="s">
        <v>14</v>
      </c>
      <c r="F739" s="26" t="s">
        <v>13</v>
      </c>
      <c r="G739" s="26" t="s">
        <v>13</v>
      </c>
      <c r="H739" s="26" t="s">
        <v>861</v>
      </c>
      <c r="I739" s="4"/>
    </row>
    <row r="740">
      <c r="A740" s="25">
        <v>736.0</v>
      </c>
      <c r="B740" s="26" t="s">
        <v>423</v>
      </c>
      <c r="C740" s="26" t="s">
        <v>862</v>
      </c>
      <c r="D740" s="26" t="s">
        <v>13</v>
      </c>
      <c r="E740" s="26" t="s">
        <v>14</v>
      </c>
      <c r="F740" s="26" t="s">
        <v>13</v>
      </c>
      <c r="G740" s="26" t="s">
        <v>13</v>
      </c>
      <c r="H740" s="26" t="s">
        <v>580</v>
      </c>
      <c r="I740" s="4"/>
    </row>
    <row r="741">
      <c r="A741" s="25">
        <v>737.0</v>
      </c>
      <c r="B741" s="26" t="s">
        <v>423</v>
      </c>
      <c r="C741" s="26" t="s">
        <v>863</v>
      </c>
      <c r="D741" s="26">
        <v>4.0</v>
      </c>
      <c r="E741" s="26" t="s">
        <v>13</v>
      </c>
      <c r="F741" s="26" t="s">
        <v>13</v>
      </c>
      <c r="G741" s="26" t="s">
        <v>13</v>
      </c>
      <c r="H741" s="26" t="s">
        <v>13</v>
      </c>
      <c r="I741" s="4"/>
    </row>
    <row r="742">
      <c r="A742" s="25">
        <v>738.0</v>
      </c>
      <c r="B742" s="26" t="s">
        <v>423</v>
      </c>
      <c r="C742" s="26" t="s">
        <v>863</v>
      </c>
      <c r="D742" s="26">
        <v>52.0</v>
      </c>
      <c r="E742" s="26" t="s">
        <v>13</v>
      </c>
      <c r="F742" s="26" t="s">
        <v>13</v>
      </c>
      <c r="G742" s="26" t="s">
        <v>13</v>
      </c>
      <c r="H742" s="26" t="s">
        <v>13</v>
      </c>
      <c r="I742" s="4"/>
    </row>
    <row r="743">
      <c r="A743" s="25">
        <v>739.0</v>
      </c>
      <c r="B743" s="26" t="s">
        <v>423</v>
      </c>
      <c r="C743" s="26" t="s">
        <v>864</v>
      </c>
      <c r="D743" s="26">
        <v>17.0</v>
      </c>
      <c r="E743" s="26" t="s">
        <v>865</v>
      </c>
      <c r="F743" s="26" t="s">
        <v>13</v>
      </c>
      <c r="G743" s="26" t="s">
        <v>13</v>
      </c>
      <c r="H743" s="26" t="s">
        <v>812</v>
      </c>
      <c r="I743" s="4"/>
    </row>
    <row r="744">
      <c r="A744" s="25">
        <v>740.0</v>
      </c>
      <c r="B744" s="26" t="s">
        <v>423</v>
      </c>
      <c r="C744" s="26" t="s">
        <v>866</v>
      </c>
      <c r="D744" s="26">
        <v>82.0</v>
      </c>
      <c r="E744" s="26" t="s">
        <v>867</v>
      </c>
      <c r="F744" s="26" t="s">
        <v>13</v>
      </c>
      <c r="G744" s="26" t="s">
        <v>13</v>
      </c>
      <c r="H744" s="26" t="s">
        <v>15</v>
      </c>
      <c r="I744" s="4"/>
    </row>
    <row r="745">
      <c r="A745" s="25">
        <v>741.0</v>
      </c>
      <c r="B745" s="26" t="s">
        <v>423</v>
      </c>
      <c r="C745" s="26" t="s">
        <v>868</v>
      </c>
      <c r="D745" s="26">
        <v>65.0</v>
      </c>
      <c r="E745" s="26" t="s">
        <v>13</v>
      </c>
      <c r="F745" s="26" t="s">
        <v>13</v>
      </c>
      <c r="G745" s="26" t="s">
        <v>13</v>
      </c>
      <c r="H745" s="26" t="s">
        <v>13</v>
      </c>
      <c r="I745" s="4"/>
    </row>
    <row r="746">
      <c r="A746" s="25">
        <v>742.0</v>
      </c>
      <c r="B746" s="26" t="s">
        <v>423</v>
      </c>
      <c r="C746" s="26" t="s">
        <v>869</v>
      </c>
      <c r="D746" s="26">
        <v>52.0</v>
      </c>
      <c r="E746" s="26" t="s">
        <v>13</v>
      </c>
      <c r="F746" s="26" t="s">
        <v>13</v>
      </c>
      <c r="G746" s="26" t="s">
        <v>13</v>
      </c>
      <c r="H746" s="26" t="s">
        <v>474</v>
      </c>
      <c r="I746" s="4"/>
    </row>
    <row r="747">
      <c r="A747" s="25">
        <v>743.0</v>
      </c>
      <c r="B747" s="26" t="s">
        <v>423</v>
      </c>
      <c r="C747" s="26" t="s">
        <v>870</v>
      </c>
      <c r="D747" s="26">
        <v>32.0</v>
      </c>
      <c r="E747" s="26" t="s">
        <v>13</v>
      </c>
      <c r="F747" s="26" t="s">
        <v>13</v>
      </c>
      <c r="G747" s="26" t="s">
        <v>13</v>
      </c>
      <c r="H747" s="26" t="s">
        <v>482</v>
      </c>
      <c r="I747" s="4"/>
    </row>
    <row r="748">
      <c r="A748" s="25">
        <v>744.0</v>
      </c>
      <c r="B748" s="26" t="s">
        <v>423</v>
      </c>
      <c r="C748" s="26" t="s">
        <v>871</v>
      </c>
      <c r="D748" s="26">
        <v>28.0</v>
      </c>
      <c r="E748" s="26" t="s">
        <v>13</v>
      </c>
      <c r="F748" s="26" t="s">
        <v>13</v>
      </c>
      <c r="G748" s="26" t="s">
        <v>13</v>
      </c>
      <c r="H748" s="26" t="s">
        <v>477</v>
      </c>
      <c r="I748" s="4"/>
    </row>
    <row r="749">
      <c r="A749" s="25">
        <v>745.0</v>
      </c>
      <c r="B749" s="26" t="s">
        <v>423</v>
      </c>
      <c r="C749" s="26" t="s">
        <v>872</v>
      </c>
      <c r="D749" s="26">
        <v>32.0</v>
      </c>
      <c r="E749" s="26" t="s">
        <v>13</v>
      </c>
      <c r="F749" s="26" t="s">
        <v>13</v>
      </c>
      <c r="G749" s="26" t="s">
        <v>13</v>
      </c>
      <c r="H749" s="26" t="s">
        <v>13</v>
      </c>
      <c r="I749" s="4"/>
    </row>
    <row r="750">
      <c r="A750" s="25">
        <v>746.0</v>
      </c>
      <c r="B750" s="26" t="s">
        <v>423</v>
      </c>
      <c r="C750" s="26" t="s">
        <v>873</v>
      </c>
      <c r="D750" s="26">
        <v>50.0</v>
      </c>
      <c r="E750" s="26" t="s">
        <v>13</v>
      </c>
      <c r="F750" s="26" t="s">
        <v>13</v>
      </c>
      <c r="G750" s="26" t="s">
        <v>13</v>
      </c>
      <c r="H750" s="26" t="s">
        <v>13</v>
      </c>
      <c r="I750" s="4"/>
    </row>
    <row r="751">
      <c r="A751" s="25">
        <v>747.0</v>
      </c>
      <c r="B751" s="26" t="s">
        <v>423</v>
      </c>
      <c r="C751" s="26" t="s">
        <v>874</v>
      </c>
      <c r="D751" s="26" t="s">
        <v>13</v>
      </c>
      <c r="E751" s="26" t="s">
        <v>13</v>
      </c>
      <c r="F751" s="26" t="s">
        <v>13</v>
      </c>
      <c r="G751" s="26" t="s">
        <v>13</v>
      </c>
      <c r="H751" s="26" t="s">
        <v>875</v>
      </c>
      <c r="I751" s="4"/>
    </row>
    <row r="752">
      <c r="A752" s="25">
        <v>748.0</v>
      </c>
      <c r="B752" s="26" t="s">
        <v>423</v>
      </c>
      <c r="C752" s="26" t="s">
        <v>874</v>
      </c>
      <c r="D752" s="26">
        <v>60.0</v>
      </c>
      <c r="E752" s="26" t="s">
        <v>13</v>
      </c>
      <c r="F752" s="26" t="s">
        <v>13</v>
      </c>
      <c r="G752" s="26" t="s">
        <v>13</v>
      </c>
      <c r="H752" s="26" t="s">
        <v>13</v>
      </c>
      <c r="I752" s="4"/>
    </row>
    <row r="753">
      <c r="A753" s="25">
        <v>749.0</v>
      </c>
      <c r="B753" s="26" t="s">
        <v>423</v>
      </c>
      <c r="C753" s="26" t="s">
        <v>876</v>
      </c>
      <c r="D753" s="26">
        <v>12.0</v>
      </c>
      <c r="E753" s="26" t="s">
        <v>13</v>
      </c>
      <c r="F753" s="26" t="s">
        <v>13</v>
      </c>
      <c r="G753" s="26" t="s">
        <v>13</v>
      </c>
      <c r="H753" s="26" t="s">
        <v>13</v>
      </c>
      <c r="I753" s="4"/>
    </row>
    <row r="754">
      <c r="A754" s="25">
        <v>750.0</v>
      </c>
      <c r="B754" s="26" t="s">
        <v>423</v>
      </c>
      <c r="C754" s="26" t="s">
        <v>877</v>
      </c>
      <c r="D754" s="26" t="s">
        <v>13</v>
      </c>
      <c r="E754" s="26" t="s">
        <v>13</v>
      </c>
      <c r="F754" s="26" t="s">
        <v>13</v>
      </c>
      <c r="G754" s="26" t="s">
        <v>13</v>
      </c>
      <c r="H754" s="26" t="s">
        <v>13</v>
      </c>
      <c r="I754" s="4"/>
    </row>
    <row r="755">
      <c r="A755" s="25">
        <v>751.0</v>
      </c>
      <c r="B755" s="26" t="s">
        <v>423</v>
      </c>
      <c r="C755" s="26" t="s">
        <v>878</v>
      </c>
      <c r="D755" s="26" t="s">
        <v>13</v>
      </c>
      <c r="E755" s="26" t="s">
        <v>13</v>
      </c>
      <c r="F755" s="26" t="s">
        <v>13</v>
      </c>
      <c r="G755" s="26" t="s">
        <v>13</v>
      </c>
      <c r="H755" s="26" t="s">
        <v>13</v>
      </c>
      <c r="I755" s="4"/>
    </row>
    <row r="756">
      <c r="A756" s="25">
        <v>752.0</v>
      </c>
      <c r="B756" s="26" t="s">
        <v>423</v>
      </c>
      <c r="C756" s="26" t="s">
        <v>879</v>
      </c>
      <c r="D756" s="26">
        <v>18.0</v>
      </c>
      <c r="E756" s="26" t="s">
        <v>13</v>
      </c>
      <c r="F756" s="26" t="s">
        <v>13</v>
      </c>
      <c r="G756" s="26" t="s">
        <v>13</v>
      </c>
      <c r="H756" s="26" t="s">
        <v>477</v>
      </c>
      <c r="I756" s="4"/>
    </row>
    <row r="757">
      <c r="A757" s="25">
        <v>753.0</v>
      </c>
      <c r="B757" s="26" t="s">
        <v>423</v>
      </c>
      <c r="C757" s="26" t="s">
        <v>880</v>
      </c>
      <c r="D757" s="26">
        <v>23.0</v>
      </c>
      <c r="E757" s="26" t="s">
        <v>13</v>
      </c>
      <c r="F757" s="26" t="s">
        <v>13</v>
      </c>
      <c r="G757" s="26" t="s">
        <v>330</v>
      </c>
      <c r="H757" s="26" t="s">
        <v>441</v>
      </c>
      <c r="I757" s="4"/>
    </row>
    <row r="758">
      <c r="A758" s="25">
        <v>754.0</v>
      </c>
      <c r="B758" s="26" t="s">
        <v>423</v>
      </c>
      <c r="C758" s="26" t="s">
        <v>881</v>
      </c>
      <c r="D758" s="26">
        <v>50.0</v>
      </c>
      <c r="E758" s="26" t="s">
        <v>13</v>
      </c>
      <c r="F758" s="26" t="s">
        <v>13</v>
      </c>
      <c r="G758" s="26" t="s">
        <v>13</v>
      </c>
      <c r="H758" s="26" t="s">
        <v>474</v>
      </c>
      <c r="I758" s="4"/>
    </row>
    <row r="759">
      <c r="A759" s="25">
        <v>755.0</v>
      </c>
      <c r="B759" s="26" t="s">
        <v>423</v>
      </c>
      <c r="C759" s="26" t="s">
        <v>882</v>
      </c>
      <c r="D759" s="26">
        <v>49.0</v>
      </c>
      <c r="E759" s="26" t="s">
        <v>13</v>
      </c>
      <c r="F759" s="26" t="s">
        <v>13</v>
      </c>
      <c r="G759" s="26" t="s">
        <v>13</v>
      </c>
      <c r="H759" s="26" t="s">
        <v>658</v>
      </c>
      <c r="I759" s="4"/>
    </row>
    <row r="760">
      <c r="A760" s="25">
        <v>756.0</v>
      </c>
      <c r="B760" s="26" t="s">
        <v>423</v>
      </c>
      <c r="C760" s="26" t="s">
        <v>883</v>
      </c>
      <c r="D760" s="26" t="s">
        <v>13</v>
      </c>
      <c r="E760" s="26" t="s">
        <v>13</v>
      </c>
      <c r="F760" s="26" t="s">
        <v>13</v>
      </c>
      <c r="G760" s="26" t="s">
        <v>13</v>
      </c>
      <c r="H760" s="26" t="s">
        <v>452</v>
      </c>
      <c r="I760" s="4"/>
    </row>
    <row r="761">
      <c r="A761" s="25">
        <v>757.0</v>
      </c>
      <c r="B761" s="26" t="s">
        <v>423</v>
      </c>
      <c r="C761" s="26" t="s">
        <v>884</v>
      </c>
      <c r="D761" s="26">
        <v>13.0</v>
      </c>
      <c r="E761" s="26" t="s">
        <v>13</v>
      </c>
      <c r="F761" s="26" t="s">
        <v>13</v>
      </c>
      <c r="G761" s="26" t="s">
        <v>13</v>
      </c>
      <c r="H761" s="26" t="s">
        <v>452</v>
      </c>
      <c r="I761" s="4"/>
    </row>
    <row r="762">
      <c r="A762" s="25">
        <v>758.0</v>
      </c>
      <c r="B762" s="26" t="s">
        <v>423</v>
      </c>
      <c r="C762" s="26" t="s">
        <v>884</v>
      </c>
      <c r="D762" s="26">
        <v>43.0</v>
      </c>
      <c r="E762" s="26" t="s">
        <v>13</v>
      </c>
      <c r="F762" s="26" t="s">
        <v>13</v>
      </c>
      <c r="G762" s="26" t="s">
        <v>13</v>
      </c>
      <c r="H762" s="26" t="s">
        <v>13</v>
      </c>
      <c r="I762" s="4"/>
    </row>
    <row r="763">
      <c r="A763" s="25">
        <v>759.0</v>
      </c>
      <c r="B763" s="26" t="s">
        <v>423</v>
      </c>
      <c r="C763" s="26" t="s">
        <v>885</v>
      </c>
      <c r="D763" s="26" t="s">
        <v>13</v>
      </c>
      <c r="E763" s="26" t="s">
        <v>13</v>
      </c>
      <c r="F763" s="26" t="s">
        <v>13</v>
      </c>
      <c r="G763" s="26" t="s">
        <v>13</v>
      </c>
      <c r="H763" s="26" t="s">
        <v>477</v>
      </c>
      <c r="I763" s="4"/>
    </row>
    <row r="764">
      <c r="A764" s="25">
        <v>760.0</v>
      </c>
      <c r="B764" s="26" t="s">
        <v>423</v>
      </c>
      <c r="C764" s="26" t="s">
        <v>886</v>
      </c>
      <c r="D764" s="26">
        <v>23.0</v>
      </c>
      <c r="E764" s="26" t="s">
        <v>13</v>
      </c>
      <c r="F764" s="26" t="s">
        <v>13</v>
      </c>
      <c r="G764" s="26" t="s">
        <v>13</v>
      </c>
      <c r="H764" s="26" t="s">
        <v>887</v>
      </c>
      <c r="I764" s="4"/>
    </row>
    <row r="765">
      <c r="A765" s="25">
        <v>761.0</v>
      </c>
      <c r="B765" s="26" t="s">
        <v>423</v>
      </c>
      <c r="C765" s="26" t="s">
        <v>888</v>
      </c>
      <c r="D765" s="26">
        <v>13.0</v>
      </c>
      <c r="E765" s="26" t="s">
        <v>13</v>
      </c>
      <c r="F765" s="26" t="s">
        <v>13</v>
      </c>
      <c r="G765" s="26" t="s">
        <v>13</v>
      </c>
      <c r="H765" s="26" t="s">
        <v>13</v>
      </c>
      <c r="I765" s="4"/>
    </row>
    <row r="766">
      <c r="A766" s="25">
        <v>762.0</v>
      </c>
      <c r="B766" s="26" t="s">
        <v>423</v>
      </c>
      <c r="C766" s="26" t="s">
        <v>889</v>
      </c>
      <c r="D766" s="26">
        <v>53.0</v>
      </c>
      <c r="E766" s="26" t="s">
        <v>14</v>
      </c>
      <c r="F766" s="26" t="s">
        <v>13</v>
      </c>
      <c r="G766" s="26" t="s">
        <v>13</v>
      </c>
      <c r="H766" s="26" t="s">
        <v>890</v>
      </c>
      <c r="I766" s="4"/>
    </row>
    <row r="767">
      <c r="A767" s="25">
        <v>763.0</v>
      </c>
      <c r="B767" s="26" t="s">
        <v>423</v>
      </c>
      <c r="C767" s="26" t="s">
        <v>891</v>
      </c>
      <c r="D767" s="26">
        <v>85.0</v>
      </c>
      <c r="E767" s="26" t="s">
        <v>13</v>
      </c>
      <c r="F767" s="26" t="s">
        <v>13</v>
      </c>
      <c r="G767" s="26" t="s">
        <v>13</v>
      </c>
      <c r="H767" s="26" t="s">
        <v>439</v>
      </c>
      <c r="I767" s="4"/>
    </row>
    <row r="768">
      <c r="A768" s="25">
        <v>764.0</v>
      </c>
      <c r="B768" s="26" t="s">
        <v>423</v>
      </c>
      <c r="C768" s="26" t="s">
        <v>892</v>
      </c>
      <c r="D768" s="26" t="s">
        <v>13</v>
      </c>
      <c r="E768" s="26" t="s">
        <v>13</v>
      </c>
      <c r="F768" s="26" t="s">
        <v>13</v>
      </c>
      <c r="G768" s="26" t="s">
        <v>13</v>
      </c>
      <c r="H768" s="26" t="s">
        <v>439</v>
      </c>
      <c r="I768" s="4"/>
    </row>
    <row r="769">
      <c r="A769" s="25">
        <v>765.0</v>
      </c>
      <c r="B769" s="26" t="s">
        <v>423</v>
      </c>
      <c r="C769" s="26" t="s">
        <v>893</v>
      </c>
      <c r="D769" s="26" t="s">
        <v>13</v>
      </c>
      <c r="E769" s="26" t="s">
        <v>13</v>
      </c>
      <c r="F769" s="26" t="s">
        <v>13</v>
      </c>
      <c r="G769" s="26" t="s">
        <v>330</v>
      </c>
      <c r="H769" s="26" t="s">
        <v>441</v>
      </c>
      <c r="I769" s="4"/>
    </row>
    <row r="770">
      <c r="A770" s="25">
        <v>766.0</v>
      </c>
      <c r="B770" s="26" t="s">
        <v>423</v>
      </c>
      <c r="C770" s="26" t="s">
        <v>894</v>
      </c>
      <c r="D770" s="26">
        <v>28.0</v>
      </c>
      <c r="E770" s="26" t="s">
        <v>895</v>
      </c>
      <c r="F770" s="26" t="s">
        <v>13</v>
      </c>
      <c r="G770" s="26" t="s">
        <v>13</v>
      </c>
      <c r="H770" s="26" t="s">
        <v>580</v>
      </c>
      <c r="I770" s="4"/>
    </row>
    <row r="771">
      <c r="A771" s="25">
        <v>767.0</v>
      </c>
      <c r="B771" s="26" t="s">
        <v>423</v>
      </c>
      <c r="C771" s="26" t="s">
        <v>896</v>
      </c>
      <c r="D771" s="26">
        <v>65.0</v>
      </c>
      <c r="E771" s="26" t="s">
        <v>13</v>
      </c>
      <c r="F771" s="26" t="s">
        <v>13</v>
      </c>
      <c r="G771" s="26" t="s">
        <v>330</v>
      </c>
      <c r="H771" s="26" t="s">
        <v>441</v>
      </c>
      <c r="I771" s="4"/>
    </row>
    <row r="772">
      <c r="A772" s="25">
        <v>768.0</v>
      </c>
      <c r="B772" s="26" t="s">
        <v>423</v>
      </c>
      <c r="C772" s="26" t="s">
        <v>897</v>
      </c>
      <c r="D772" s="26" t="s">
        <v>13</v>
      </c>
      <c r="E772" s="26" t="s">
        <v>14</v>
      </c>
      <c r="F772" s="26" t="s">
        <v>13</v>
      </c>
      <c r="G772" s="26" t="s">
        <v>13</v>
      </c>
      <c r="H772" s="26" t="s">
        <v>15</v>
      </c>
      <c r="I772" s="4"/>
    </row>
    <row r="773">
      <c r="A773" s="25">
        <v>769.0</v>
      </c>
      <c r="B773" s="26" t="s">
        <v>423</v>
      </c>
      <c r="C773" s="26" t="s">
        <v>898</v>
      </c>
      <c r="D773" s="26">
        <v>62.0</v>
      </c>
      <c r="E773" s="26" t="s">
        <v>13</v>
      </c>
      <c r="F773" s="26" t="s">
        <v>13</v>
      </c>
      <c r="G773" s="26" t="s">
        <v>13</v>
      </c>
      <c r="H773" s="26" t="s">
        <v>13</v>
      </c>
      <c r="I773" s="4"/>
    </row>
    <row r="774">
      <c r="A774" s="25">
        <v>770.0</v>
      </c>
      <c r="B774" s="26" t="s">
        <v>423</v>
      </c>
      <c r="C774" s="26" t="s">
        <v>899</v>
      </c>
      <c r="D774" s="26" t="s">
        <v>13</v>
      </c>
      <c r="E774" s="26" t="s">
        <v>13</v>
      </c>
      <c r="F774" s="26" t="s">
        <v>13</v>
      </c>
      <c r="G774" s="26" t="s">
        <v>13</v>
      </c>
      <c r="H774" s="26" t="s">
        <v>474</v>
      </c>
      <c r="I774" s="4"/>
    </row>
    <row r="775">
      <c r="A775" s="25">
        <v>771.0</v>
      </c>
      <c r="B775" s="26" t="s">
        <v>423</v>
      </c>
      <c r="C775" s="26" t="s">
        <v>900</v>
      </c>
      <c r="D775" s="26">
        <v>16.0</v>
      </c>
      <c r="E775" s="26" t="s">
        <v>901</v>
      </c>
      <c r="F775" s="26" t="s">
        <v>13</v>
      </c>
      <c r="G775" s="26" t="s">
        <v>13</v>
      </c>
      <c r="H775" s="26" t="s">
        <v>15</v>
      </c>
      <c r="I775" s="4"/>
    </row>
    <row r="776">
      <c r="A776" s="25">
        <v>772.0</v>
      </c>
      <c r="B776" s="26" t="s">
        <v>423</v>
      </c>
      <c r="C776" s="26" t="s">
        <v>902</v>
      </c>
      <c r="D776" s="26" t="s">
        <v>13</v>
      </c>
      <c r="E776" s="26" t="s">
        <v>13</v>
      </c>
      <c r="F776" s="26" t="s">
        <v>13</v>
      </c>
      <c r="G776" s="26" t="s">
        <v>13</v>
      </c>
      <c r="H776" s="26" t="s">
        <v>903</v>
      </c>
      <c r="I776" s="4"/>
    </row>
    <row r="777">
      <c r="A777" s="25">
        <v>773.0</v>
      </c>
      <c r="B777" s="26" t="s">
        <v>423</v>
      </c>
      <c r="C777" s="26" t="s">
        <v>904</v>
      </c>
      <c r="D777" s="26">
        <v>15.0</v>
      </c>
      <c r="E777" s="26" t="s">
        <v>13</v>
      </c>
      <c r="F777" s="26" t="s">
        <v>13</v>
      </c>
      <c r="G777" s="26" t="s">
        <v>13</v>
      </c>
      <c r="H777" s="26" t="s">
        <v>13</v>
      </c>
      <c r="I777" s="4"/>
    </row>
    <row r="778">
      <c r="A778" s="25">
        <v>774.0</v>
      </c>
      <c r="B778" s="26" t="s">
        <v>423</v>
      </c>
      <c r="C778" s="26" t="s">
        <v>905</v>
      </c>
      <c r="D778" s="26">
        <v>19.0</v>
      </c>
      <c r="E778" s="26" t="s">
        <v>13</v>
      </c>
      <c r="F778" s="26" t="s">
        <v>13</v>
      </c>
      <c r="G778" s="26" t="s">
        <v>13</v>
      </c>
      <c r="H778" s="26" t="s">
        <v>13</v>
      </c>
      <c r="I778" s="4"/>
    </row>
    <row r="779">
      <c r="A779" s="25">
        <v>775.0</v>
      </c>
      <c r="B779" s="26" t="s">
        <v>423</v>
      </c>
      <c r="C779" s="26" t="s">
        <v>906</v>
      </c>
      <c r="D779" s="26">
        <v>63.0</v>
      </c>
      <c r="E779" s="26" t="s">
        <v>13</v>
      </c>
      <c r="F779" s="26" t="s">
        <v>13</v>
      </c>
      <c r="G779" s="26" t="s">
        <v>13</v>
      </c>
      <c r="H779" s="26" t="s">
        <v>13</v>
      </c>
      <c r="I779" s="4"/>
    </row>
    <row r="780">
      <c r="A780" s="25">
        <v>776.0</v>
      </c>
      <c r="B780" s="26" t="s">
        <v>423</v>
      </c>
      <c r="C780" s="26" t="s">
        <v>907</v>
      </c>
      <c r="D780" s="26">
        <v>66.0</v>
      </c>
      <c r="E780" s="26" t="s">
        <v>13</v>
      </c>
      <c r="F780" s="26" t="s">
        <v>13</v>
      </c>
      <c r="G780" s="26" t="s">
        <v>330</v>
      </c>
      <c r="H780" s="26" t="s">
        <v>441</v>
      </c>
      <c r="I780" s="4"/>
    </row>
    <row r="781">
      <c r="A781" s="25">
        <v>777.0</v>
      </c>
      <c r="B781" s="26" t="s">
        <v>423</v>
      </c>
      <c r="C781" s="26" t="s">
        <v>908</v>
      </c>
      <c r="D781" s="26" t="s">
        <v>13</v>
      </c>
      <c r="E781" s="26" t="s">
        <v>13</v>
      </c>
      <c r="F781" s="26" t="s">
        <v>13</v>
      </c>
      <c r="G781" s="26" t="s">
        <v>13</v>
      </c>
      <c r="H781" s="26" t="s">
        <v>450</v>
      </c>
      <c r="I781" s="4"/>
    </row>
    <row r="782">
      <c r="A782" s="25">
        <v>778.0</v>
      </c>
      <c r="B782" s="26" t="s">
        <v>423</v>
      </c>
      <c r="C782" s="26" t="s">
        <v>908</v>
      </c>
      <c r="D782" s="26">
        <v>67.0</v>
      </c>
      <c r="E782" s="26" t="s">
        <v>13</v>
      </c>
      <c r="F782" s="26" t="s">
        <v>13</v>
      </c>
      <c r="G782" s="26" t="s">
        <v>13</v>
      </c>
      <c r="H782" s="26" t="s">
        <v>13</v>
      </c>
      <c r="I782" s="4"/>
    </row>
    <row r="783">
      <c r="A783" s="25">
        <v>779.0</v>
      </c>
      <c r="B783" s="26" t="s">
        <v>423</v>
      </c>
      <c r="C783" s="26" t="s">
        <v>909</v>
      </c>
      <c r="D783" s="26">
        <v>67.0</v>
      </c>
      <c r="E783" s="26" t="s">
        <v>13</v>
      </c>
      <c r="F783" s="26" t="s">
        <v>13</v>
      </c>
      <c r="G783" s="26" t="s">
        <v>13</v>
      </c>
      <c r="H783" s="26" t="s">
        <v>13</v>
      </c>
      <c r="I783" s="4"/>
    </row>
    <row r="784">
      <c r="A784" s="25">
        <v>780.0</v>
      </c>
      <c r="B784" s="26" t="s">
        <v>423</v>
      </c>
      <c r="C784" s="26" t="s">
        <v>910</v>
      </c>
      <c r="D784" s="26">
        <v>46.0</v>
      </c>
      <c r="E784" s="26" t="s">
        <v>13</v>
      </c>
      <c r="F784" s="26" t="s">
        <v>13</v>
      </c>
      <c r="G784" s="26" t="s">
        <v>13</v>
      </c>
      <c r="H784" s="26" t="s">
        <v>439</v>
      </c>
      <c r="I784" s="4"/>
    </row>
    <row r="785">
      <c r="A785" s="25">
        <v>781.0</v>
      </c>
      <c r="B785" s="26" t="s">
        <v>423</v>
      </c>
      <c r="C785" s="26" t="s">
        <v>911</v>
      </c>
      <c r="D785" s="26">
        <v>7.0</v>
      </c>
      <c r="E785" s="26" t="s">
        <v>13</v>
      </c>
      <c r="F785" s="26" t="s">
        <v>13</v>
      </c>
      <c r="G785" s="26" t="s">
        <v>330</v>
      </c>
      <c r="H785" s="26" t="s">
        <v>728</v>
      </c>
      <c r="I785" s="4"/>
    </row>
    <row r="786">
      <c r="A786" s="25">
        <v>782.0</v>
      </c>
      <c r="B786" s="26" t="s">
        <v>423</v>
      </c>
      <c r="C786" s="26" t="s">
        <v>912</v>
      </c>
      <c r="D786" s="26">
        <v>9.0</v>
      </c>
      <c r="E786" s="26" t="s">
        <v>13</v>
      </c>
      <c r="F786" s="26" t="s">
        <v>13</v>
      </c>
      <c r="G786" s="26" t="s">
        <v>330</v>
      </c>
      <c r="H786" s="26" t="s">
        <v>728</v>
      </c>
      <c r="I786" s="4"/>
    </row>
    <row r="787">
      <c r="A787" s="25">
        <v>783.0</v>
      </c>
      <c r="B787" s="26" t="s">
        <v>423</v>
      </c>
      <c r="C787" s="26" t="s">
        <v>913</v>
      </c>
      <c r="D787" s="26">
        <v>7.0</v>
      </c>
      <c r="E787" s="26" t="s">
        <v>14</v>
      </c>
      <c r="F787" s="26" t="s">
        <v>13</v>
      </c>
      <c r="G787" s="26" t="s">
        <v>13</v>
      </c>
      <c r="H787" s="26" t="s">
        <v>448</v>
      </c>
      <c r="I787" s="4"/>
    </row>
    <row r="788">
      <c r="A788" s="25">
        <v>784.0</v>
      </c>
      <c r="B788" s="26" t="s">
        <v>423</v>
      </c>
      <c r="C788" s="26" t="s">
        <v>914</v>
      </c>
      <c r="D788" s="26" t="s">
        <v>13</v>
      </c>
      <c r="E788" s="26" t="s">
        <v>13</v>
      </c>
      <c r="F788" s="26" t="s">
        <v>13</v>
      </c>
      <c r="G788" s="26" t="s">
        <v>13</v>
      </c>
      <c r="H788" s="26" t="s">
        <v>13</v>
      </c>
      <c r="I788" s="4"/>
    </row>
    <row r="789">
      <c r="A789" s="25">
        <v>785.0</v>
      </c>
      <c r="B789" s="26" t="s">
        <v>423</v>
      </c>
      <c r="C789" s="26" t="s">
        <v>915</v>
      </c>
      <c r="D789" s="26" t="s">
        <v>13</v>
      </c>
      <c r="E789" s="26" t="s">
        <v>13</v>
      </c>
      <c r="F789" s="26" t="s">
        <v>13</v>
      </c>
      <c r="G789" s="26" t="s">
        <v>13</v>
      </c>
      <c r="H789" s="26" t="s">
        <v>13</v>
      </c>
      <c r="I789" s="4"/>
    </row>
    <row r="790">
      <c r="A790" s="25">
        <v>786.0</v>
      </c>
      <c r="B790" s="26" t="s">
        <v>423</v>
      </c>
      <c r="C790" s="26" t="s">
        <v>916</v>
      </c>
      <c r="D790" s="26" t="s">
        <v>13</v>
      </c>
      <c r="E790" s="26" t="s">
        <v>13</v>
      </c>
      <c r="F790" s="26" t="s">
        <v>13</v>
      </c>
      <c r="G790" s="26" t="s">
        <v>13</v>
      </c>
      <c r="H790" s="26" t="s">
        <v>450</v>
      </c>
      <c r="I790" s="4"/>
    </row>
    <row r="791">
      <c r="A791" s="25">
        <v>787.0</v>
      </c>
      <c r="B791" s="26" t="s">
        <v>423</v>
      </c>
      <c r="C791" s="26" t="s">
        <v>916</v>
      </c>
      <c r="D791" s="26">
        <v>62.0</v>
      </c>
      <c r="E791" s="26" t="s">
        <v>13</v>
      </c>
      <c r="F791" s="26" t="s">
        <v>13</v>
      </c>
      <c r="G791" s="26" t="s">
        <v>13</v>
      </c>
      <c r="H791" s="26" t="s">
        <v>13</v>
      </c>
      <c r="I791" s="4"/>
    </row>
    <row r="792">
      <c r="A792" s="25">
        <v>788.0</v>
      </c>
      <c r="B792" s="26" t="s">
        <v>423</v>
      </c>
      <c r="C792" s="26" t="s">
        <v>917</v>
      </c>
      <c r="D792" s="26">
        <v>19.0</v>
      </c>
      <c r="E792" s="26" t="s">
        <v>13</v>
      </c>
      <c r="F792" s="26" t="s">
        <v>13</v>
      </c>
      <c r="G792" s="26" t="s">
        <v>330</v>
      </c>
      <c r="H792" s="26" t="s">
        <v>441</v>
      </c>
      <c r="I792" s="4"/>
    </row>
    <row r="793">
      <c r="A793" s="25">
        <v>789.0</v>
      </c>
      <c r="B793" s="26" t="s">
        <v>423</v>
      </c>
      <c r="C793" s="26" t="s">
        <v>918</v>
      </c>
      <c r="D793" s="26">
        <v>62.0</v>
      </c>
      <c r="E793" s="26" t="s">
        <v>13</v>
      </c>
      <c r="F793" s="26" t="s">
        <v>13</v>
      </c>
      <c r="G793" s="26" t="s">
        <v>13</v>
      </c>
      <c r="H793" s="26" t="s">
        <v>13</v>
      </c>
      <c r="I793" s="4"/>
    </row>
    <row r="794">
      <c r="A794" s="25">
        <v>790.0</v>
      </c>
      <c r="B794" s="26" t="s">
        <v>423</v>
      </c>
      <c r="C794" s="26" t="s">
        <v>919</v>
      </c>
      <c r="D794" s="26">
        <v>43.0</v>
      </c>
      <c r="E794" s="26" t="s">
        <v>13</v>
      </c>
      <c r="F794" s="26" t="s">
        <v>13</v>
      </c>
      <c r="G794" s="26" t="s">
        <v>13</v>
      </c>
      <c r="H794" s="26" t="s">
        <v>439</v>
      </c>
      <c r="I794" s="4"/>
    </row>
    <row r="795">
      <c r="A795" s="25">
        <v>791.0</v>
      </c>
      <c r="B795" s="26" t="s">
        <v>423</v>
      </c>
      <c r="C795" s="26" t="s">
        <v>920</v>
      </c>
      <c r="D795" s="26" t="s">
        <v>13</v>
      </c>
      <c r="E795" s="26" t="s">
        <v>13</v>
      </c>
      <c r="F795" s="26" t="s">
        <v>13</v>
      </c>
      <c r="G795" s="26" t="s">
        <v>13</v>
      </c>
      <c r="H795" s="26" t="s">
        <v>13</v>
      </c>
      <c r="I795" s="4"/>
    </row>
    <row r="796">
      <c r="A796" s="25">
        <v>792.0</v>
      </c>
      <c r="B796" s="26" t="s">
        <v>423</v>
      </c>
      <c r="C796" s="26" t="s">
        <v>921</v>
      </c>
      <c r="D796" s="26">
        <v>62.0</v>
      </c>
      <c r="E796" s="26" t="s">
        <v>13</v>
      </c>
      <c r="F796" s="26" t="s">
        <v>13</v>
      </c>
      <c r="G796" s="26" t="s">
        <v>13</v>
      </c>
      <c r="H796" s="26" t="s">
        <v>922</v>
      </c>
      <c r="I796" s="4"/>
    </row>
    <row r="797">
      <c r="A797" s="25">
        <v>793.0</v>
      </c>
      <c r="B797" s="26" t="s">
        <v>423</v>
      </c>
      <c r="C797" s="26" t="s">
        <v>923</v>
      </c>
      <c r="D797" s="26">
        <v>62.0</v>
      </c>
      <c r="E797" s="26" t="s">
        <v>13</v>
      </c>
      <c r="F797" s="26" t="s">
        <v>13</v>
      </c>
      <c r="G797" s="26" t="s">
        <v>13</v>
      </c>
      <c r="H797" s="26" t="s">
        <v>922</v>
      </c>
      <c r="I797" s="4"/>
    </row>
    <row r="798">
      <c r="A798" s="25">
        <v>794.0</v>
      </c>
      <c r="B798" s="26" t="s">
        <v>423</v>
      </c>
      <c r="C798" s="26" t="s">
        <v>924</v>
      </c>
      <c r="D798" s="26">
        <v>68.0</v>
      </c>
      <c r="E798" s="26" t="s">
        <v>13</v>
      </c>
      <c r="F798" s="26" t="s">
        <v>13</v>
      </c>
      <c r="G798" s="26" t="s">
        <v>925</v>
      </c>
      <c r="H798" s="26" t="s">
        <v>13</v>
      </c>
      <c r="I798" s="4"/>
    </row>
    <row r="799">
      <c r="A799" s="25">
        <v>795.0</v>
      </c>
      <c r="B799" s="26" t="s">
        <v>423</v>
      </c>
      <c r="C799" s="26" t="s">
        <v>924</v>
      </c>
      <c r="D799" s="26">
        <v>68.0</v>
      </c>
      <c r="E799" s="26" t="s">
        <v>13</v>
      </c>
      <c r="F799" s="26" t="s">
        <v>13</v>
      </c>
      <c r="G799" s="26" t="s">
        <v>13</v>
      </c>
      <c r="H799" s="26" t="s">
        <v>13</v>
      </c>
      <c r="I799" s="4"/>
    </row>
    <row r="800">
      <c r="A800" s="25">
        <v>796.0</v>
      </c>
      <c r="B800" s="26" t="s">
        <v>423</v>
      </c>
      <c r="C800" s="26" t="s">
        <v>926</v>
      </c>
      <c r="D800" s="26" t="s">
        <v>13</v>
      </c>
      <c r="E800" s="26" t="s">
        <v>13</v>
      </c>
      <c r="F800" s="26" t="s">
        <v>13</v>
      </c>
      <c r="G800" s="26" t="s">
        <v>13</v>
      </c>
      <c r="H800" s="26" t="s">
        <v>13</v>
      </c>
      <c r="I800" s="4"/>
    </row>
    <row r="801">
      <c r="A801" s="25">
        <v>797.0</v>
      </c>
      <c r="B801" s="26" t="s">
        <v>423</v>
      </c>
      <c r="C801" s="26" t="s">
        <v>927</v>
      </c>
      <c r="D801" s="26" t="s">
        <v>13</v>
      </c>
      <c r="E801" s="26" t="s">
        <v>13</v>
      </c>
      <c r="F801" s="26" t="s">
        <v>13</v>
      </c>
      <c r="G801" s="26" t="s">
        <v>13</v>
      </c>
      <c r="H801" s="26" t="s">
        <v>13</v>
      </c>
      <c r="I801" s="4"/>
    </row>
    <row r="802">
      <c r="A802" s="25">
        <v>798.0</v>
      </c>
      <c r="B802" s="26" t="s">
        <v>423</v>
      </c>
      <c r="C802" s="26" t="s">
        <v>927</v>
      </c>
      <c r="D802" s="26">
        <v>46.0</v>
      </c>
      <c r="E802" s="26" t="s">
        <v>13</v>
      </c>
      <c r="F802" s="26" t="s">
        <v>13</v>
      </c>
      <c r="G802" s="26" t="s">
        <v>13</v>
      </c>
      <c r="H802" s="26" t="s">
        <v>13</v>
      </c>
      <c r="I802" s="4"/>
    </row>
    <row r="803">
      <c r="A803" s="25">
        <v>799.0</v>
      </c>
      <c r="B803" s="26" t="s">
        <v>423</v>
      </c>
      <c r="C803" s="26" t="s">
        <v>928</v>
      </c>
      <c r="D803" s="26">
        <v>52.0</v>
      </c>
      <c r="E803" s="26" t="s">
        <v>13</v>
      </c>
      <c r="F803" s="26" t="s">
        <v>13</v>
      </c>
      <c r="G803" s="26" t="s">
        <v>330</v>
      </c>
      <c r="H803" s="26" t="s">
        <v>441</v>
      </c>
      <c r="I803" s="4"/>
    </row>
    <row r="804">
      <c r="A804" s="25">
        <v>800.0</v>
      </c>
      <c r="B804" s="26" t="s">
        <v>423</v>
      </c>
      <c r="C804" s="26" t="s">
        <v>929</v>
      </c>
      <c r="D804" s="26">
        <v>19.0</v>
      </c>
      <c r="E804" s="26" t="s">
        <v>13</v>
      </c>
      <c r="F804" s="26" t="s">
        <v>13</v>
      </c>
      <c r="G804" s="26" t="s">
        <v>13</v>
      </c>
      <c r="H804" s="26" t="s">
        <v>13</v>
      </c>
      <c r="I804" s="4"/>
    </row>
    <row r="805">
      <c r="A805" s="25">
        <v>801.0</v>
      </c>
      <c r="B805" s="26" t="s">
        <v>423</v>
      </c>
      <c r="C805" s="26" t="s">
        <v>930</v>
      </c>
      <c r="D805" s="26" t="s">
        <v>13</v>
      </c>
      <c r="E805" s="26" t="s">
        <v>13</v>
      </c>
      <c r="F805" s="26" t="s">
        <v>13</v>
      </c>
      <c r="G805" s="26" t="s">
        <v>13</v>
      </c>
      <c r="H805" s="26" t="s">
        <v>931</v>
      </c>
      <c r="I805" s="4"/>
    </row>
    <row r="806">
      <c r="A806" s="25">
        <v>802.0</v>
      </c>
      <c r="B806" s="26" t="s">
        <v>423</v>
      </c>
      <c r="C806" s="26" t="s">
        <v>932</v>
      </c>
      <c r="D806" s="26">
        <v>55.0</v>
      </c>
      <c r="E806" s="26" t="s">
        <v>13</v>
      </c>
      <c r="F806" s="26" t="s">
        <v>13</v>
      </c>
      <c r="G806" s="26" t="s">
        <v>13</v>
      </c>
      <c r="H806" s="26" t="s">
        <v>437</v>
      </c>
      <c r="I806" s="4"/>
    </row>
    <row r="807">
      <c r="A807" s="25">
        <v>803.0</v>
      </c>
      <c r="B807" s="26" t="s">
        <v>423</v>
      </c>
      <c r="C807" s="26" t="s">
        <v>933</v>
      </c>
      <c r="D807" s="26">
        <v>54.0</v>
      </c>
      <c r="E807" s="26" t="s">
        <v>14</v>
      </c>
      <c r="F807" s="26" t="s">
        <v>13</v>
      </c>
      <c r="G807" s="26" t="s">
        <v>13</v>
      </c>
      <c r="H807" s="26" t="s">
        <v>934</v>
      </c>
      <c r="I807" s="4"/>
    </row>
    <row r="808">
      <c r="A808" s="25">
        <v>804.0</v>
      </c>
      <c r="B808" s="26" t="s">
        <v>423</v>
      </c>
      <c r="C808" s="26" t="s">
        <v>935</v>
      </c>
      <c r="D808" s="26">
        <v>39.0</v>
      </c>
      <c r="E808" s="26" t="s">
        <v>14</v>
      </c>
      <c r="F808" s="26" t="s">
        <v>13</v>
      </c>
      <c r="G808" s="26" t="s">
        <v>13</v>
      </c>
      <c r="H808" s="26" t="s">
        <v>593</v>
      </c>
      <c r="I808" s="4"/>
    </row>
    <row r="809">
      <c r="A809" s="25">
        <v>805.0</v>
      </c>
      <c r="B809" s="26" t="s">
        <v>423</v>
      </c>
      <c r="C809" s="26" t="s">
        <v>936</v>
      </c>
      <c r="D809" s="26">
        <v>80.0</v>
      </c>
      <c r="E809" s="26" t="s">
        <v>13</v>
      </c>
      <c r="F809" s="26" t="s">
        <v>13</v>
      </c>
      <c r="G809" s="26" t="s">
        <v>13</v>
      </c>
      <c r="H809" s="26" t="s">
        <v>13</v>
      </c>
      <c r="I809" s="4"/>
    </row>
    <row r="810">
      <c r="A810" s="25">
        <v>806.0</v>
      </c>
      <c r="B810" s="26" t="s">
        <v>423</v>
      </c>
      <c r="C810" s="26" t="s">
        <v>937</v>
      </c>
      <c r="D810" s="26">
        <v>10.0</v>
      </c>
      <c r="E810" s="26" t="s">
        <v>13</v>
      </c>
      <c r="F810" s="26" t="s">
        <v>13</v>
      </c>
      <c r="G810" s="26" t="s">
        <v>13</v>
      </c>
      <c r="H810" s="26" t="s">
        <v>13</v>
      </c>
      <c r="I810" s="4"/>
    </row>
    <row r="811">
      <c r="A811" s="25">
        <v>807.0</v>
      </c>
      <c r="B811" s="26" t="s">
        <v>423</v>
      </c>
      <c r="C811" s="26" t="s">
        <v>938</v>
      </c>
      <c r="D811" s="26">
        <v>6.0</v>
      </c>
      <c r="E811" s="26" t="s">
        <v>13</v>
      </c>
      <c r="F811" s="26" t="s">
        <v>13</v>
      </c>
      <c r="G811" s="26" t="s">
        <v>330</v>
      </c>
      <c r="H811" s="26" t="s">
        <v>728</v>
      </c>
      <c r="I811" s="4"/>
    </row>
    <row r="812">
      <c r="A812" s="25">
        <v>808.0</v>
      </c>
      <c r="B812" s="26" t="s">
        <v>423</v>
      </c>
      <c r="C812" s="26" t="s">
        <v>939</v>
      </c>
      <c r="D812" s="26">
        <v>80.0</v>
      </c>
      <c r="E812" s="26" t="s">
        <v>579</v>
      </c>
      <c r="F812" s="26" t="s">
        <v>13</v>
      </c>
      <c r="G812" s="26" t="s">
        <v>13</v>
      </c>
      <c r="H812" s="26" t="s">
        <v>940</v>
      </c>
      <c r="I812" s="4"/>
    </row>
    <row r="813">
      <c r="A813" s="25">
        <v>809.0</v>
      </c>
      <c r="B813" s="26" t="s">
        <v>423</v>
      </c>
      <c r="C813" s="26" t="s">
        <v>941</v>
      </c>
      <c r="D813" s="26" t="s">
        <v>13</v>
      </c>
      <c r="E813" s="26" t="s">
        <v>13</v>
      </c>
      <c r="F813" s="26" t="s">
        <v>13</v>
      </c>
      <c r="G813" s="26" t="s">
        <v>13</v>
      </c>
      <c r="H813" s="26" t="s">
        <v>13</v>
      </c>
      <c r="I813" s="4"/>
    </row>
    <row r="814">
      <c r="A814" s="25">
        <v>810.0</v>
      </c>
      <c r="B814" s="26" t="s">
        <v>423</v>
      </c>
      <c r="C814" s="26" t="s">
        <v>942</v>
      </c>
      <c r="D814" s="26">
        <v>43.0</v>
      </c>
      <c r="E814" s="26" t="s">
        <v>13</v>
      </c>
      <c r="F814" s="26" t="s">
        <v>13</v>
      </c>
      <c r="G814" s="26" t="s">
        <v>13</v>
      </c>
      <c r="H814" s="26" t="s">
        <v>13</v>
      </c>
      <c r="I814" s="4"/>
    </row>
    <row r="815">
      <c r="A815" s="25">
        <v>811.0</v>
      </c>
      <c r="B815" s="26" t="s">
        <v>423</v>
      </c>
      <c r="C815" s="26" t="s">
        <v>942</v>
      </c>
      <c r="D815" s="26">
        <v>43.0</v>
      </c>
      <c r="E815" s="26" t="s">
        <v>13</v>
      </c>
      <c r="F815" s="26" t="s">
        <v>13</v>
      </c>
      <c r="G815" s="26" t="s">
        <v>13</v>
      </c>
      <c r="H815" s="26" t="s">
        <v>13</v>
      </c>
      <c r="I815" s="4"/>
    </row>
    <row r="816">
      <c r="A816" s="25">
        <v>812.0</v>
      </c>
      <c r="B816" s="26" t="s">
        <v>423</v>
      </c>
      <c r="C816" s="26" t="s">
        <v>943</v>
      </c>
      <c r="D816" s="26">
        <v>77.0</v>
      </c>
      <c r="E816" s="26" t="s">
        <v>13</v>
      </c>
      <c r="F816" s="26" t="s">
        <v>13</v>
      </c>
      <c r="G816" s="26" t="s">
        <v>13</v>
      </c>
      <c r="H816" s="26" t="s">
        <v>425</v>
      </c>
      <c r="I816" s="4"/>
    </row>
    <row r="817">
      <c r="A817" s="25">
        <v>813.0</v>
      </c>
      <c r="B817" s="26" t="s">
        <v>423</v>
      </c>
      <c r="C817" s="26" t="s">
        <v>944</v>
      </c>
      <c r="D817" s="26">
        <v>77.0</v>
      </c>
      <c r="E817" s="26" t="s">
        <v>13</v>
      </c>
      <c r="F817" s="26" t="s">
        <v>13</v>
      </c>
      <c r="G817" s="26" t="s">
        <v>13</v>
      </c>
      <c r="H817" s="26" t="s">
        <v>13</v>
      </c>
      <c r="I817" s="4"/>
    </row>
    <row r="818">
      <c r="A818" s="25">
        <v>814.0</v>
      </c>
      <c r="B818" s="26" t="s">
        <v>423</v>
      </c>
      <c r="C818" s="26" t="s">
        <v>945</v>
      </c>
      <c r="D818" s="26">
        <v>18.0</v>
      </c>
      <c r="E818" s="26" t="s">
        <v>13</v>
      </c>
      <c r="F818" s="26" t="s">
        <v>13</v>
      </c>
      <c r="G818" s="26" t="s">
        <v>13</v>
      </c>
      <c r="H818" s="26" t="s">
        <v>477</v>
      </c>
      <c r="I818" s="4"/>
    </row>
    <row r="819">
      <c r="A819" s="25">
        <v>815.0</v>
      </c>
      <c r="B819" s="26" t="s">
        <v>423</v>
      </c>
      <c r="C819" s="26" t="s">
        <v>946</v>
      </c>
      <c r="D819" s="26">
        <v>11.0</v>
      </c>
      <c r="E819" s="26" t="s">
        <v>13</v>
      </c>
      <c r="F819" s="26" t="s">
        <v>13</v>
      </c>
      <c r="G819" s="26" t="s">
        <v>13</v>
      </c>
      <c r="H819" s="26" t="s">
        <v>13</v>
      </c>
      <c r="I819" s="4"/>
    </row>
    <row r="820">
      <c r="A820" s="25">
        <v>816.0</v>
      </c>
      <c r="B820" s="26" t="s">
        <v>423</v>
      </c>
      <c r="C820" s="26" t="s">
        <v>947</v>
      </c>
      <c r="D820" s="26">
        <v>50.0</v>
      </c>
      <c r="E820" s="26" t="s">
        <v>13</v>
      </c>
      <c r="F820" s="26" t="s">
        <v>13</v>
      </c>
      <c r="G820" s="26" t="s">
        <v>13</v>
      </c>
      <c r="H820" s="26" t="s">
        <v>948</v>
      </c>
      <c r="I820" s="4"/>
    </row>
    <row r="821">
      <c r="A821" s="25">
        <v>817.0</v>
      </c>
      <c r="B821" s="26" t="s">
        <v>423</v>
      </c>
      <c r="C821" s="26" t="s">
        <v>949</v>
      </c>
      <c r="D821" s="26">
        <v>55.0</v>
      </c>
      <c r="E821" s="26" t="s">
        <v>13</v>
      </c>
      <c r="F821" s="26" t="s">
        <v>13</v>
      </c>
      <c r="G821" s="26" t="s">
        <v>13</v>
      </c>
      <c r="H821" s="26" t="s">
        <v>437</v>
      </c>
      <c r="I821" s="4"/>
    </row>
    <row r="822">
      <c r="A822" s="27">
        <v>818.0</v>
      </c>
      <c r="B822" s="20" t="s">
        <v>423</v>
      </c>
      <c r="C822" s="20" t="s">
        <v>950</v>
      </c>
      <c r="D822" s="20">
        <v>35.0</v>
      </c>
      <c r="E822" s="20" t="s">
        <v>13</v>
      </c>
      <c r="F822" s="20" t="s">
        <v>13</v>
      </c>
      <c r="G822" s="20" t="s">
        <v>13</v>
      </c>
      <c r="H822" s="20" t="s">
        <v>437</v>
      </c>
      <c r="I822" s="4"/>
    </row>
    <row r="823">
      <c r="A823" s="27">
        <v>819.0</v>
      </c>
      <c r="B823" s="20" t="s">
        <v>423</v>
      </c>
      <c r="C823" s="20" t="s">
        <v>951</v>
      </c>
      <c r="D823" s="20">
        <v>23.0</v>
      </c>
      <c r="E823" s="20" t="s">
        <v>13</v>
      </c>
      <c r="F823" s="20" t="s">
        <v>13</v>
      </c>
      <c r="G823" s="20" t="s">
        <v>491</v>
      </c>
      <c r="H823" s="20" t="s">
        <v>13</v>
      </c>
      <c r="I823" s="4"/>
    </row>
    <row r="824">
      <c r="A824" s="27">
        <v>820.0</v>
      </c>
      <c r="B824" s="20" t="s">
        <v>423</v>
      </c>
      <c r="C824" s="20" t="s">
        <v>951</v>
      </c>
      <c r="D824" s="20">
        <v>23.0</v>
      </c>
      <c r="E824" s="20" t="s">
        <v>13</v>
      </c>
      <c r="F824" s="20" t="s">
        <v>13</v>
      </c>
      <c r="G824" s="20" t="s">
        <v>13</v>
      </c>
      <c r="H824" s="20" t="s">
        <v>13</v>
      </c>
      <c r="I824" s="4"/>
    </row>
    <row r="825">
      <c r="A825" s="27">
        <v>821.0</v>
      </c>
      <c r="B825" s="20" t="s">
        <v>423</v>
      </c>
      <c r="C825" s="20" t="s">
        <v>952</v>
      </c>
      <c r="D825" s="20">
        <v>23.0</v>
      </c>
      <c r="E825" s="20" t="s">
        <v>13</v>
      </c>
      <c r="F825" s="20" t="s">
        <v>13</v>
      </c>
      <c r="G825" s="20" t="s">
        <v>13</v>
      </c>
      <c r="H825" s="20" t="s">
        <v>439</v>
      </c>
      <c r="I825" s="4"/>
    </row>
    <row r="826">
      <c r="A826" s="27">
        <v>822.0</v>
      </c>
      <c r="B826" s="20" t="s">
        <v>423</v>
      </c>
      <c r="C826" s="20" t="s">
        <v>953</v>
      </c>
      <c r="D826" s="20" t="s">
        <v>13</v>
      </c>
      <c r="E826" s="20" t="s">
        <v>13</v>
      </c>
      <c r="F826" s="20" t="s">
        <v>13</v>
      </c>
      <c r="G826" s="20" t="s">
        <v>13</v>
      </c>
      <c r="H826" s="20" t="s">
        <v>450</v>
      </c>
      <c r="I826" s="4"/>
    </row>
    <row r="827">
      <c r="A827" s="27">
        <v>823.0</v>
      </c>
      <c r="B827" s="20" t="s">
        <v>423</v>
      </c>
      <c r="C827" s="20" t="s">
        <v>954</v>
      </c>
      <c r="D827" s="20">
        <v>28.0</v>
      </c>
      <c r="E827" s="20" t="s">
        <v>13</v>
      </c>
      <c r="F827" s="20" t="s">
        <v>13</v>
      </c>
      <c r="G827" s="20" t="s">
        <v>13</v>
      </c>
      <c r="H827" s="20" t="s">
        <v>13</v>
      </c>
      <c r="I827" s="4"/>
    </row>
    <row r="828">
      <c r="A828" s="27">
        <v>824.0</v>
      </c>
      <c r="B828" s="20" t="s">
        <v>423</v>
      </c>
      <c r="C828" s="20" t="s">
        <v>955</v>
      </c>
      <c r="D828" s="20">
        <v>7.0</v>
      </c>
      <c r="E828" s="20" t="s">
        <v>13</v>
      </c>
      <c r="F828" s="20" t="s">
        <v>13</v>
      </c>
      <c r="G828" s="20" t="s">
        <v>13</v>
      </c>
      <c r="H828" s="20" t="s">
        <v>557</v>
      </c>
      <c r="I828" s="4"/>
    </row>
    <row r="829">
      <c r="A829" s="27">
        <v>825.0</v>
      </c>
      <c r="B829" s="20" t="s">
        <v>423</v>
      </c>
      <c r="C829" s="20" t="s">
        <v>956</v>
      </c>
      <c r="D829" s="20">
        <v>33.0</v>
      </c>
      <c r="E829" s="20" t="s">
        <v>13</v>
      </c>
      <c r="F829" s="20" t="s">
        <v>13</v>
      </c>
      <c r="G829" s="20" t="s">
        <v>13</v>
      </c>
      <c r="H829" s="20" t="s">
        <v>437</v>
      </c>
      <c r="I829" s="4"/>
    </row>
    <row r="830">
      <c r="A830" s="27">
        <v>826.0</v>
      </c>
      <c r="B830" s="20" t="s">
        <v>423</v>
      </c>
      <c r="C830" s="20" t="s">
        <v>957</v>
      </c>
      <c r="D830" s="20">
        <v>57.0</v>
      </c>
      <c r="E830" s="20" t="s">
        <v>958</v>
      </c>
      <c r="F830" s="20" t="s">
        <v>13</v>
      </c>
      <c r="G830" s="20" t="s">
        <v>13</v>
      </c>
      <c r="H830" s="20" t="s">
        <v>959</v>
      </c>
      <c r="I830" s="4"/>
    </row>
    <row r="831">
      <c r="A831" s="27">
        <v>827.0</v>
      </c>
      <c r="B831" s="20" t="s">
        <v>423</v>
      </c>
      <c r="C831" s="20" t="s">
        <v>960</v>
      </c>
      <c r="D831" s="20" t="s">
        <v>13</v>
      </c>
      <c r="E831" s="20" t="s">
        <v>13</v>
      </c>
      <c r="F831" s="20" t="s">
        <v>13</v>
      </c>
      <c r="G831" s="20" t="s">
        <v>13</v>
      </c>
      <c r="H831" s="20" t="s">
        <v>13</v>
      </c>
      <c r="I831" s="4"/>
    </row>
    <row r="832">
      <c r="A832" s="27">
        <v>828.0</v>
      </c>
      <c r="B832" s="20" t="s">
        <v>423</v>
      </c>
      <c r="C832" s="20" t="s">
        <v>961</v>
      </c>
      <c r="D832" s="20" t="s">
        <v>13</v>
      </c>
      <c r="E832" s="20" t="s">
        <v>13</v>
      </c>
      <c r="F832" s="20" t="s">
        <v>13</v>
      </c>
      <c r="G832" s="20" t="s">
        <v>13</v>
      </c>
      <c r="H832" s="20" t="s">
        <v>452</v>
      </c>
      <c r="I832" s="4"/>
    </row>
    <row r="833">
      <c r="A833" s="27">
        <v>829.0</v>
      </c>
      <c r="B833" s="20" t="s">
        <v>423</v>
      </c>
      <c r="C833" s="20" t="s">
        <v>961</v>
      </c>
      <c r="D833" s="20">
        <v>7.0</v>
      </c>
      <c r="E833" s="20" t="s">
        <v>13</v>
      </c>
      <c r="F833" s="20" t="s">
        <v>13</v>
      </c>
      <c r="G833" s="20" t="s">
        <v>13</v>
      </c>
      <c r="H833" s="20" t="s">
        <v>452</v>
      </c>
      <c r="I833" s="4"/>
    </row>
    <row r="834">
      <c r="A834" s="27">
        <v>830.0</v>
      </c>
      <c r="B834" s="20" t="s">
        <v>423</v>
      </c>
      <c r="C834" s="20" t="s">
        <v>962</v>
      </c>
      <c r="D834" s="20">
        <v>13.0</v>
      </c>
      <c r="E834" s="20" t="s">
        <v>13</v>
      </c>
      <c r="F834" s="20" t="s">
        <v>13</v>
      </c>
      <c r="G834" s="20" t="s">
        <v>13</v>
      </c>
      <c r="H834" s="20" t="s">
        <v>963</v>
      </c>
      <c r="I834" s="4"/>
    </row>
    <row r="835">
      <c r="A835" s="27">
        <v>831.0</v>
      </c>
      <c r="B835" s="20" t="s">
        <v>423</v>
      </c>
      <c r="C835" s="20" t="s">
        <v>964</v>
      </c>
      <c r="D835" s="20" t="s">
        <v>13</v>
      </c>
      <c r="E835" s="20" t="s">
        <v>13</v>
      </c>
      <c r="F835" s="20" t="s">
        <v>13</v>
      </c>
      <c r="G835" s="20" t="s">
        <v>13</v>
      </c>
      <c r="H835" s="20" t="s">
        <v>673</v>
      </c>
      <c r="I835" s="4"/>
    </row>
    <row r="836">
      <c r="A836" s="27">
        <v>832.0</v>
      </c>
      <c r="B836" s="20" t="s">
        <v>423</v>
      </c>
      <c r="C836" s="20" t="s">
        <v>965</v>
      </c>
      <c r="D836" s="20">
        <v>30.0</v>
      </c>
      <c r="E836" s="20" t="s">
        <v>13</v>
      </c>
      <c r="F836" s="20" t="s">
        <v>13</v>
      </c>
      <c r="G836" s="20" t="s">
        <v>13</v>
      </c>
      <c r="H836" s="20" t="s">
        <v>437</v>
      </c>
      <c r="I836" s="4"/>
    </row>
    <row r="837">
      <c r="A837" s="27">
        <v>833.0</v>
      </c>
      <c r="B837" s="20" t="s">
        <v>966</v>
      </c>
      <c r="C837" s="20" t="s">
        <v>967</v>
      </c>
      <c r="D837" s="20">
        <v>26.0</v>
      </c>
      <c r="E837" s="20">
        <v>3.7454987E7</v>
      </c>
      <c r="F837" s="20" t="s">
        <v>13</v>
      </c>
      <c r="G837" s="20" t="s">
        <v>968</v>
      </c>
      <c r="H837" s="20" t="s">
        <v>969</v>
      </c>
      <c r="I837" s="4"/>
    </row>
    <row r="838">
      <c r="A838" s="27">
        <v>834.0</v>
      </c>
      <c r="B838" s="20" t="s">
        <v>966</v>
      </c>
      <c r="C838" s="20" t="s">
        <v>970</v>
      </c>
      <c r="D838" s="20" t="s">
        <v>13</v>
      </c>
      <c r="E838" s="20">
        <v>3.00454425E8</v>
      </c>
      <c r="F838" s="20" t="s">
        <v>13</v>
      </c>
      <c r="G838" s="20" t="s">
        <v>330</v>
      </c>
      <c r="H838" s="20" t="s">
        <v>13</v>
      </c>
      <c r="I838" s="4"/>
    </row>
    <row r="839">
      <c r="A839" s="27">
        <v>835.0</v>
      </c>
      <c r="B839" s="20" t="s">
        <v>966</v>
      </c>
      <c r="C839" s="20" t="s">
        <v>971</v>
      </c>
      <c r="D839" s="20">
        <v>70.0</v>
      </c>
      <c r="E839" s="20" t="s">
        <v>13</v>
      </c>
      <c r="F839" s="20" t="s">
        <v>13</v>
      </c>
      <c r="G839" s="20" t="s">
        <v>972</v>
      </c>
      <c r="H839" s="20" t="s">
        <v>13</v>
      </c>
      <c r="I839" s="4"/>
    </row>
    <row r="840">
      <c r="A840" s="27">
        <v>836.0</v>
      </c>
      <c r="B840" s="20" t="s">
        <v>966</v>
      </c>
      <c r="C840" s="20" t="s">
        <v>973</v>
      </c>
      <c r="D840" s="20">
        <v>53.0</v>
      </c>
      <c r="E840" s="20">
        <v>1.1201504E7</v>
      </c>
      <c r="F840" s="20" t="s">
        <v>13</v>
      </c>
      <c r="G840" s="20" t="s">
        <v>972</v>
      </c>
      <c r="H840" s="20" t="s">
        <v>13</v>
      </c>
      <c r="I840" s="4"/>
    </row>
    <row r="841">
      <c r="A841" s="27">
        <v>837.0</v>
      </c>
      <c r="B841" s="20" t="s">
        <v>966</v>
      </c>
      <c r="C841" s="20" t="s">
        <v>974</v>
      </c>
      <c r="D841" s="20">
        <v>21.0</v>
      </c>
      <c r="E841" s="20" t="s">
        <v>13</v>
      </c>
      <c r="F841" s="20" t="s">
        <v>13</v>
      </c>
      <c r="G841" s="20" t="s">
        <v>545</v>
      </c>
      <c r="H841" s="20" t="s">
        <v>13</v>
      </c>
      <c r="I841" s="4"/>
    </row>
    <row r="842">
      <c r="A842" s="27">
        <v>838.0</v>
      </c>
      <c r="B842" s="20" t="s">
        <v>966</v>
      </c>
      <c r="C842" s="20" t="s">
        <v>975</v>
      </c>
      <c r="D842" s="20">
        <v>22.0</v>
      </c>
      <c r="E842" s="20">
        <v>3.0282613E7</v>
      </c>
      <c r="F842" s="20" t="s">
        <v>13</v>
      </c>
      <c r="G842" s="20" t="s">
        <v>972</v>
      </c>
      <c r="H842" s="20" t="s">
        <v>13</v>
      </c>
      <c r="I842" s="4"/>
    </row>
    <row r="843">
      <c r="A843" s="27">
        <v>839.0</v>
      </c>
      <c r="B843" s="20" t="s">
        <v>966</v>
      </c>
      <c r="C843" s="20" t="s">
        <v>976</v>
      </c>
      <c r="D843" s="20">
        <v>45.0</v>
      </c>
      <c r="E843" s="20">
        <v>1.5720959E7</v>
      </c>
      <c r="F843" s="20" t="s">
        <v>13</v>
      </c>
      <c r="G843" s="20" t="s">
        <v>375</v>
      </c>
      <c r="H843" s="20" t="s">
        <v>13</v>
      </c>
      <c r="I843" s="4"/>
    </row>
    <row r="844">
      <c r="A844" s="27">
        <v>840.0</v>
      </c>
      <c r="B844" s="20" t="s">
        <v>966</v>
      </c>
      <c r="C844" s="20" t="s">
        <v>977</v>
      </c>
      <c r="D844" s="20">
        <v>33.0</v>
      </c>
      <c r="E844" s="20">
        <v>2.0925605E7</v>
      </c>
      <c r="F844" s="20" t="s">
        <v>13</v>
      </c>
      <c r="G844" s="20" t="s">
        <v>330</v>
      </c>
      <c r="H844" s="20" t="s">
        <v>13</v>
      </c>
      <c r="I844" s="4"/>
    </row>
    <row r="845">
      <c r="A845" s="27">
        <v>841.0</v>
      </c>
      <c r="B845" s="20" t="s">
        <v>966</v>
      </c>
      <c r="C845" s="20" t="s">
        <v>978</v>
      </c>
      <c r="D845" s="20">
        <v>41.0</v>
      </c>
      <c r="E845" s="20">
        <v>3.4316929E7</v>
      </c>
      <c r="F845" s="20" t="s">
        <v>13</v>
      </c>
      <c r="G845" s="20" t="s">
        <v>972</v>
      </c>
      <c r="H845" s="20" t="s">
        <v>13</v>
      </c>
      <c r="I845" s="4"/>
    </row>
    <row r="846">
      <c r="A846" s="27">
        <v>842.0</v>
      </c>
      <c r="B846" s="20" t="s">
        <v>966</v>
      </c>
      <c r="C846" s="20" t="s">
        <v>979</v>
      </c>
      <c r="D846" s="20">
        <v>52.0</v>
      </c>
      <c r="E846" s="20">
        <v>4.8815362E7</v>
      </c>
      <c r="F846" s="20" t="s">
        <v>13</v>
      </c>
      <c r="G846" s="20" t="s">
        <v>980</v>
      </c>
      <c r="H846" s="20" t="s">
        <v>969</v>
      </c>
      <c r="I846" s="4"/>
    </row>
    <row r="847">
      <c r="A847" s="27">
        <v>843.0</v>
      </c>
      <c r="B847" s="20" t="s">
        <v>966</v>
      </c>
      <c r="C847" s="20" t="s">
        <v>981</v>
      </c>
      <c r="D847" s="20">
        <v>7.0</v>
      </c>
      <c r="E847" s="20" t="s">
        <v>982</v>
      </c>
      <c r="F847" s="20" t="s">
        <v>13</v>
      </c>
      <c r="G847" s="20" t="s">
        <v>13</v>
      </c>
      <c r="H847" s="20" t="s">
        <v>15</v>
      </c>
      <c r="I847" s="4"/>
    </row>
    <row r="848">
      <c r="A848" s="27">
        <v>844.0</v>
      </c>
      <c r="B848" s="20" t="s">
        <v>966</v>
      </c>
      <c r="C848" s="20" t="s">
        <v>983</v>
      </c>
      <c r="D848" s="20">
        <v>2.0</v>
      </c>
      <c r="E848" s="20">
        <v>4856810.0</v>
      </c>
      <c r="F848" s="20" t="s">
        <v>13</v>
      </c>
      <c r="G848" s="20" t="s">
        <v>984</v>
      </c>
      <c r="H848" s="20" t="s">
        <v>13</v>
      </c>
      <c r="I848" s="4"/>
    </row>
    <row r="849">
      <c r="A849" s="27">
        <v>845.0</v>
      </c>
      <c r="B849" s="20" t="s">
        <v>966</v>
      </c>
      <c r="C849" s="20" t="s">
        <v>985</v>
      </c>
      <c r="D849" s="20">
        <v>15.0</v>
      </c>
      <c r="E849" s="20" t="s">
        <v>13</v>
      </c>
      <c r="F849" s="20" t="s">
        <v>13</v>
      </c>
      <c r="G849" s="20" t="s">
        <v>986</v>
      </c>
      <c r="H849" s="20" t="s">
        <v>13</v>
      </c>
      <c r="I849" s="4"/>
    </row>
    <row r="850">
      <c r="A850" s="27">
        <v>846.0</v>
      </c>
      <c r="B850" s="20" t="s">
        <v>966</v>
      </c>
      <c r="C850" s="20" t="s">
        <v>987</v>
      </c>
      <c r="D850" s="20">
        <v>85.0</v>
      </c>
      <c r="E850" s="20">
        <v>3323366.0</v>
      </c>
      <c r="F850" s="20" t="s">
        <v>13</v>
      </c>
      <c r="G850" s="20" t="s">
        <v>988</v>
      </c>
      <c r="H850" s="20" t="s">
        <v>13</v>
      </c>
      <c r="I850" s="4"/>
    </row>
    <row r="851">
      <c r="A851" s="27">
        <v>847.0</v>
      </c>
      <c r="B851" s="20" t="s">
        <v>966</v>
      </c>
      <c r="C851" s="20" t="s">
        <v>989</v>
      </c>
      <c r="D851" s="20">
        <v>17.0</v>
      </c>
      <c r="E851" s="20" t="s">
        <v>990</v>
      </c>
      <c r="F851" s="20" t="s">
        <v>13</v>
      </c>
      <c r="G851" s="20" t="s">
        <v>13</v>
      </c>
      <c r="H851" s="20" t="s">
        <v>15</v>
      </c>
      <c r="I851" s="4"/>
    </row>
    <row r="852">
      <c r="A852" s="27">
        <v>848.0</v>
      </c>
      <c r="B852" s="20" t="s">
        <v>966</v>
      </c>
      <c r="C852" s="20" t="s">
        <v>991</v>
      </c>
      <c r="D852" s="20">
        <v>22.0</v>
      </c>
      <c r="E852" s="20">
        <v>3.0091537E7</v>
      </c>
      <c r="F852" s="20" t="s">
        <v>13</v>
      </c>
      <c r="G852" s="20" t="s">
        <v>343</v>
      </c>
      <c r="H852" s="20" t="s">
        <v>13</v>
      </c>
      <c r="I852" s="4"/>
    </row>
    <row r="853">
      <c r="A853" s="27">
        <v>849.0</v>
      </c>
      <c r="B853" s="20" t="s">
        <v>966</v>
      </c>
      <c r="C853" s="20" t="s">
        <v>992</v>
      </c>
      <c r="D853" s="20">
        <v>40.0</v>
      </c>
      <c r="E853" s="20">
        <v>1.7755824E7</v>
      </c>
      <c r="F853" s="20" t="s">
        <v>13</v>
      </c>
      <c r="G853" s="20" t="s">
        <v>993</v>
      </c>
      <c r="H853" s="20" t="s">
        <v>13</v>
      </c>
      <c r="I853" s="4"/>
    </row>
    <row r="854">
      <c r="A854" s="27">
        <v>850.0</v>
      </c>
      <c r="B854" s="20" t="s">
        <v>966</v>
      </c>
      <c r="C854" s="20" t="s">
        <v>994</v>
      </c>
      <c r="D854" s="20">
        <v>58.0</v>
      </c>
      <c r="E854" s="20" t="s">
        <v>13</v>
      </c>
      <c r="F854" s="20" t="s">
        <v>13</v>
      </c>
      <c r="G854" s="20" t="s">
        <v>330</v>
      </c>
      <c r="H854" s="20" t="s">
        <v>13</v>
      </c>
      <c r="I854" s="4"/>
    </row>
    <row r="855">
      <c r="A855" s="27">
        <v>851.0</v>
      </c>
      <c r="B855" s="20" t="s">
        <v>966</v>
      </c>
      <c r="C855" s="20" t="s">
        <v>995</v>
      </c>
      <c r="D855" s="20">
        <v>44.0</v>
      </c>
      <c r="E855" s="20">
        <v>2.0127874E7</v>
      </c>
      <c r="F855" s="20" t="s">
        <v>13</v>
      </c>
      <c r="G855" s="20" t="s">
        <v>972</v>
      </c>
      <c r="H855" s="20" t="s">
        <v>13</v>
      </c>
      <c r="I855" s="4"/>
    </row>
    <row r="856">
      <c r="A856" s="27">
        <v>852.0</v>
      </c>
      <c r="B856" s="20" t="s">
        <v>966</v>
      </c>
      <c r="C856" s="20" t="s">
        <v>996</v>
      </c>
      <c r="D856" s="20">
        <v>47.0</v>
      </c>
      <c r="E856" s="20">
        <v>1.4935718E7</v>
      </c>
      <c r="F856" s="20" t="s">
        <v>13</v>
      </c>
      <c r="G856" s="20" t="s">
        <v>997</v>
      </c>
      <c r="H856" s="20" t="s">
        <v>998</v>
      </c>
      <c r="I856" s="4"/>
    </row>
    <row r="857">
      <c r="A857" s="27">
        <v>853.0</v>
      </c>
      <c r="B857" s="20" t="s">
        <v>966</v>
      </c>
      <c r="C857" s="20" t="s">
        <v>999</v>
      </c>
      <c r="D857" s="20">
        <v>58.0</v>
      </c>
      <c r="E857" s="20">
        <v>7990728.0</v>
      </c>
      <c r="F857" s="20" t="s">
        <v>13</v>
      </c>
      <c r="G857" s="20" t="s">
        <v>330</v>
      </c>
      <c r="H857" s="20" t="s">
        <v>13</v>
      </c>
      <c r="I857" s="4"/>
    </row>
    <row r="858">
      <c r="A858" s="27">
        <v>854.0</v>
      </c>
      <c r="B858" s="20" t="s">
        <v>966</v>
      </c>
      <c r="C858" s="20" t="s">
        <v>1000</v>
      </c>
      <c r="D858" s="20">
        <v>59.0</v>
      </c>
      <c r="E858" s="20">
        <v>6261045.0</v>
      </c>
      <c r="F858" s="20" t="s">
        <v>13</v>
      </c>
      <c r="G858" s="20" t="s">
        <v>375</v>
      </c>
      <c r="H858" s="20" t="s">
        <v>13</v>
      </c>
      <c r="I858" s="4"/>
    </row>
    <row r="859">
      <c r="A859" s="27">
        <v>855.0</v>
      </c>
      <c r="B859" s="20" t="s">
        <v>966</v>
      </c>
      <c r="C859" s="20" t="s">
        <v>1001</v>
      </c>
      <c r="D859" s="20">
        <v>29.0</v>
      </c>
      <c r="E859" s="20">
        <v>2.6219522E7</v>
      </c>
      <c r="F859" s="20" t="s">
        <v>13</v>
      </c>
      <c r="G859" s="20" t="s">
        <v>972</v>
      </c>
      <c r="H859" s="20" t="s">
        <v>13</v>
      </c>
      <c r="I859" s="4"/>
    </row>
    <row r="860">
      <c r="A860" s="27">
        <v>856.0</v>
      </c>
      <c r="B860" s="20" t="s">
        <v>966</v>
      </c>
      <c r="C860" s="20" t="s">
        <v>1002</v>
      </c>
      <c r="D860" s="20">
        <v>47.0</v>
      </c>
      <c r="E860" s="20" t="s">
        <v>1003</v>
      </c>
      <c r="F860" s="20" t="s">
        <v>13</v>
      </c>
      <c r="G860" s="20" t="s">
        <v>13</v>
      </c>
      <c r="H860" s="20" t="s">
        <v>1004</v>
      </c>
      <c r="I860" s="4"/>
    </row>
    <row r="861">
      <c r="A861" s="27">
        <v>857.0</v>
      </c>
      <c r="B861" s="20" t="s">
        <v>966</v>
      </c>
      <c r="C861" s="20" t="s">
        <v>1005</v>
      </c>
      <c r="D861" s="20">
        <v>27.0</v>
      </c>
      <c r="E861" s="20">
        <v>2.7225952E7</v>
      </c>
      <c r="F861" s="20" t="s">
        <v>13</v>
      </c>
      <c r="G861" s="20" t="s">
        <v>346</v>
      </c>
      <c r="H861" s="20" t="s">
        <v>13</v>
      </c>
      <c r="I861" s="4"/>
    </row>
    <row r="862">
      <c r="A862" s="27">
        <v>858.0</v>
      </c>
      <c r="B862" s="20" t="s">
        <v>966</v>
      </c>
      <c r="C862" s="20" t="s">
        <v>1006</v>
      </c>
      <c r="D862" s="20">
        <v>65.0</v>
      </c>
      <c r="E862" s="20" t="s">
        <v>1007</v>
      </c>
      <c r="F862" s="20" t="s">
        <v>13</v>
      </c>
      <c r="G862" s="20" t="s">
        <v>13</v>
      </c>
      <c r="H862" s="20" t="s">
        <v>15</v>
      </c>
      <c r="I862" s="4"/>
    </row>
    <row r="863">
      <c r="A863" s="27">
        <v>859.0</v>
      </c>
      <c r="B863" s="20" t="s">
        <v>966</v>
      </c>
      <c r="C863" s="20" t="s">
        <v>1008</v>
      </c>
      <c r="D863" s="20">
        <v>7.0</v>
      </c>
      <c r="E863" s="20" t="s">
        <v>13</v>
      </c>
      <c r="F863" s="20" t="s">
        <v>13</v>
      </c>
      <c r="G863" s="20" t="s">
        <v>343</v>
      </c>
      <c r="H863" s="20" t="s">
        <v>13</v>
      </c>
      <c r="I863" s="4"/>
    </row>
    <row r="864">
      <c r="A864" s="27">
        <v>860.0</v>
      </c>
      <c r="B864" s="20" t="s">
        <v>966</v>
      </c>
      <c r="C864" s="20" t="s">
        <v>1009</v>
      </c>
      <c r="D864" s="20">
        <v>30.0</v>
      </c>
      <c r="E864" s="20" t="s">
        <v>1010</v>
      </c>
      <c r="F864" s="20" t="s">
        <v>13</v>
      </c>
      <c r="G864" s="20" t="s">
        <v>13</v>
      </c>
      <c r="H864" s="20" t="s">
        <v>15</v>
      </c>
      <c r="I864" s="4"/>
    </row>
    <row r="865">
      <c r="A865" s="27">
        <v>861.0</v>
      </c>
      <c r="B865" s="20" t="s">
        <v>966</v>
      </c>
      <c r="C865" s="20" t="s">
        <v>1011</v>
      </c>
      <c r="D865" s="20">
        <v>55.0</v>
      </c>
      <c r="E865" s="20">
        <v>1.062759E7</v>
      </c>
      <c r="F865" s="20" t="s">
        <v>13</v>
      </c>
      <c r="G865" s="20" t="s">
        <v>972</v>
      </c>
      <c r="H865" s="20" t="s">
        <v>13</v>
      </c>
      <c r="I865" s="4"/>
    </row>
    <row r="866">
      <c r="A866" s="27">
        <v>862.0</v>
      </c>
      <c r="B866" s="20" t="s">
        <v>966</v>
      </c>
      <c r="C866" s="20" t="s">
        <v>1012</v>
      </c>
      <c r="D866" s="20">
        <v>50.0</v>
      </c>
      <c r="E866" s="20" t="s">
        <v>1013</v>
      </c>
      <c r="F866" s="20" t="s">
        <v>13</v>
      </c>
      <c r="G866" s="20" t="s">
        <v>13</v>
      </c>
      <c r="H866" s="20" t="s">
        <v>1004</v>
      </c>
      <c r="I866" s="4"/>
    </row>
    <row r="867">
      <c r="A867" s="27">
        <v>863.0</v>
      </c>
      <c r="B867" s="20" t="s">
        <v>966</v>
      </c>
      <c r="C867" s="20" t="s">
        <v>1014</v>
      </c>
      <c r="D867" s="20">
        <v>19.0</v>
      </c>
      <c r="E867" s="20" t="s">
        <v>1015</v>
      </c>
      <c r="F867" s="20" t="s">
        <v>13</v>
      </c>
      <c r="G867" s="20" t="s">
        <v>13</v>
      </c>
      <c r="H867" s="20" t="s">
        <v>15</v>
      </c>
      <c r="I867" s="4"/>
    </row>
    <row r="868">
      <c r="A868" s="27">
        <v>864.0</v>
      </c>
      <c r="B868" s="20" t="s">
        <v>966</v>
      </c>
      <c r="C868" s="20" t="s">
        <v>1016</v>
      </c>
      <c r="D868" s="20">
        <v>68.0</v>
      </c>
      <c r="E868" s="20">
        <v>2.5601129E7</v>
      </c>
      <c r="F868" s="20" t="s">
        <v>13</v>
      </c>
      <c r="G868" s="20" t="s">
        <v>972</v>
      </c>
      <c r="H868" s="20" t="s">
        <v>13</v>
      </c>
      <c r="I868" s="4"/>
    </row>
    <row r="869">
      <c r="A869" s="27">
        <v>865.0</v>
      </c>
      <c r="B869" s="20" t="s">
        <v>966</v>
      </c>
      <c r="C869" s="20" t="s">
        <v>1017</v>
      </c>
      <c r="D869" s="20">
        <v>15.0</v>
      </c>
      <c r="E869" s="20" t="s">
        <v>14</v>
      </c>
      <c r="F869" s="20" t="s">
        <v>13</v>
      </c>
      <c r="G869" s="20" t="s">
        <v>13</v>
      </c>
      <c r="H869" s="20" t="s">
        <v>1018</v>
      </c>
      <c r="I869" s="4"/>
    </row>
    <row r="870">
      <c r="A870" s="27">
        <v>866.0</v>
      </c>
      <c r="B870" s="20" t="s">
        <v>966</v>
      </c>
      <c r="C870" s="20" t="s">
        <v>1019</v>
      </c>
      <c r="D870" s="20">
        <v>47.0</v>
      </c>
      <c r="E870" s="20">
        <v>1.8822791E7</v>
      </c>
      <c r="F870" s="20" t="s">
        <v>13</v>
      </c>
      <c r="G870" s="20" t="s">
        <v>972</v>
      </c>
      <c r="H870" s="20" t="s">
        <v>13</v>
      </c>
      <c r="I870" s="4"/>
    </row>
    <row r="871">
      <c r="A871" s="27">
        <v>867.0</v>
      </c>
      <c r="B871" s="20" t="s">
        <v>966</v>
      </c>
      <c r="C871" s="20" t="s">
        <v>1020</v>
      </c>
      <c r="D871" s="20">
        <v>28.0</v>
      </c>
      <c r="E871" s="20">
        <v>2.5964449E7</v>
      </c>
      <c r="F871" s="20" t="s">
        <v>13</v>
      </c>
      <c r="G871" s="20" t="s">
        <v>993</v>
      </c>
      <c r="H871" s="20" t="s">
        <v>13</v>
      </c>
      <c r="I871" s="4"/>
    </row>
    <row r="872">
      <c r="A872" s="27">
        <v>868.0</v>
      </c>
      <c r="B872" s="20" t="s">
        <v>966</v>
      </c>
      <c r="C872" s="20" t="s">
        <v>1021</v>
      </c>
      <c r="D872" s="20">
        <v>31.0</v>
      </c>
      <c r="E872" s="20">
        <v>2.3565571E7</v>
      </c>
      <c r="F872" s="20" t="s">
        <v>13</v>
      </c>
      <c r="G872" s="20" t="s">
        <v>330</v>
      </c>
      <c r="H872" s="20" t="s">
        <v>13</v>
      </c>
      <c r="I872" s="4"/>
    </row>
    <row r="873">
      <c r="A873" s="27">
        <v>869.0</v>
      </c>
      <c r="B873" s="20" t="s">
        <v>966</v>
      </c>
      <c r="C873" s="20" t="s">
        <v>855</v>
      </c>
      <c r="D873" s="20">
        <v>53.0</v>
      </c>
      <c r="E873" s="20">
        <v>1.1061254E7</v>
      </c>
      <c r="F873" s="20" t="s">
        <v>13</v>
      </c>
      <c r="G873" s="20" t="s">
        <v>346</v>
      </c>
      <c r="H873" s="20" t="s">
        <v>13</v>
      </c>
      <c r="I873" s="4"/>
    </row>
    <row r="874">
      <c r="A874" s="27">
        <v>870.0</v>
      </c>
      <c r="B874" s="20" t="s">
        <v>966</v>
      </c>
      <c r="C874" s="20" t="s">
        <v>1022</v>
      </c>
      <c r="D874" s="20">
        <v>38.0</v>
      </c>
      <c r="E874" s="20">
        <v>8.4305821E7</v>
      </c>
      <c r="F874" s="20" t="s">
        <v>13</v>
      </c>
      <c r="G874" s="20" t="s">
        <v>330</v>
      </c>
      <c r="H874" s="20" t="s">
        <v>13</v>
      </c>
      <c r="I874" s="4"/>
    </row>
    <row r="875">
      <c r="A875" s="27">
        <v>871.0</v>
      </c>
      <c r="B875" s="20" t="s">
        <v>966</v>
      </c>
      <c r="C875" s="20" t="s">
        <v>1023</v>
      </c>
      <c r="D875" s="20">
        <v>21.0</v>
      </c>
      <c r="E875" s="20">
        <v>3.0633264E7</v>
      </c>
      <c r="F875" s="20" t="s">
        <v>13</v>
      </c>
      <c r="G875" s="20" t="s">
        <v>330</v>
      </c>
      <c r="H875" s="20" t="s">
        <v>13</v>
      </c>
      <c r="I875" s="4"/>
    </row>
    <row r="876">
      <c r="A876" s="27">
        <v>872.0</v>
      </c>
      <c r="B876" s="20" t="s">
        <v>966</v>
      </c>
      <c r="C876" s="20" t="s">
        <v>1024</v>
      </c>
      <c r="D876" s="20">
        <v>31.0</v>
      </c>
      <c r="E876" s="20">
        <v>2.3565721E7</v>
      </c>
      <c r="F876" s="20" t="s">
        <v>13</v>
      </c>
      <c r="G876" s="20" t="s">
        <v>330</v>
      </c>
      <c r="H876" s="20" t="s">
        <v>13</v>
      </c>
      <c r="I876" s="4"/>
    </row>
    <row r="877">
      <c r="A877" s="27">
        <v>873.0</v>
      </c>
      <c r="B877" s="20" t="s">
        <v>966</v>
      </c>
      <c r="C877" s="20" t="s">
        <v>1025</v>
      </c>
      <c r="D877" s="20">
        <v>19.0</v>
      </c>
      <c r="E877" s="20" t="s">
        <v>13</v>
      </c>
      <c r="F877" s="20" t="s">
        <v>13</v>
      </c>
      <c r="G877" s="20" t="s">
        <v>13</v>
      </c>
      <c r="H877" s="20" t="s">
        <v>13</v>
      </c>
      <c r="I877" s="4"/>
    </row>
    <row r="878">
      <c r="A878" s="27">
        <v>874.0</v>
      </c>
      <c r="B878" s="20" t="s">
        <v>966</v>
      </c>
      <c r="C878" s="20" t="s">
        <v>1026</v>
      </c>
      <c r="D878" s="20">
        <v>43.0</v>
      </c>
      <c r="E878" s="20">
        <v>1.7116373E7</v>
      </c>
      <c r="F878" s="20" t="s">
        <v>13</v>
      </c>
      <c r="G878" s="20" t="s">
        <v>972</v>
      </c>
      <c r="H878" s="20" t="s">
        <v>13</v>
      </c>
      <c r="I878" s="4"/>
    </row>
    <row r="879">
      <c r="A879" s="27">
        <v>875.0</v>
      </c>
      <c r="B879" s="20" t="s">
        <v>966</v>
      </c>
      <c r="C879" s="20" t="s">
        <v>1027</v>
      </c>
      <c r="D879" s="20" t="s">
        <v>13</v>
      </c>
      <c r="E879" s="20">
        <v>1.5834314E7</v>
      </c>
      <c r="F879" s="20" t="s">
        <v>13</v>
      </c>
      <c r="G879" s="20" t="s">
        <v>1028</v>
      </c>
      <c r="H879" s="20" t="s">
        <v>13</v>
      </c>
      <c r="I879" s="4"/>
    </row>
    <row r="880">
      <c r="A880" s="27">
        <v>876.0</v>
      </c>
      <c r="B880" s="20" t="s">
        <v>966</v>
      </c>
      <c r="C880" s="20" t="s">
        <v>1029</v>
      </c>
      <c r="D880" s="20">
        <v>13.0</v>
      </c>
      <c r="E880" s="20">
        <v>3.5010914E7</v>
      </c>
      <c r="F880" s="20" t="s">
        <v>13</v>
      </c>
      <c r="G880" s="20" t="s">
        <v>1028</v>
      </c>
      <c r="H880" s="20" t="s">
        <v>13</v>
      </c>
      <c r="I880" s="4"/>
    </row>
    <row r="881">
      <c r="A881" s="27">
        <v>877.0</v>
      </c>
      <c r="B881" s="20" t="s">
        <v>966</v>
      </c>
      <c r="C881" s="20" t="s">
        <v>1030</v>
      </c>
      <c r="D881" s="20">
        <v>37.0</v>
      </c>
      <c r="E881" s="20" t="s">
        <v>14</v>
      </c>
      <c r="F881" s="20" t="s">
        <v>13</v>
      </c>
      <c r="G881" s="20" t="s">
        <v>13</v>
      </c>
      <c r="H881" s="20" t="s">
        <v>1031</v>
      </c>
      <c r="I881" s="4"/>
    </row>
    <row r="882">
      <c r="A882" s="27">
        <v>878.0</v>
      </c>
      <c r="B882" s="20" t="s">
        <v>966</v>
      </c>
      <c r="C882" s="20" t="s">
        <v>1032</v>
      </c>
      <c r="D882" s="20">
        <v>37.0</v>
      </c>
      <c r="E882" s="20" t="s">
        <v>13</v>
      </c>
      <c r="F882" s="20" t="s">
        <v>13</v>
      </c>
      <c r="G882" s="20" t="s">
        <v>13</v>
      </c>
      <c r="H882" s="20" t="s">
        <v>13</v>
      </c>
      <c r="I882" s="4"/>
    </row>
    <row r="883">
      <c r="A883" s="27">
        <v>879.0</v>
      </c>
      <c r="B883" s="20" t="s">
        <v>966</v>
      </c>
      <c r="C883" s="20" t="s">
        <v>1033</v>
      </c>
      <c r="D883" s="20">
        <v>66.0</v>
      </c>
      <c r="E883" s="20">
        <v>6856684.0</v>
      </c>
      <c r="F883" s="20" t="s">
        <v>13</v>
      </c>
      <c r="G883" s="20" t="s">
        <v>1034</v>
      </c>
      <c r="H883" s="20" t="s">
        <v>13</v>
      </c>
      <c r="I883" s="4"/>
    </row>
    <row r="884">
      <c r="A884" s="27">
        <v>880.0</v>
      </c>
      <c r="B884" s="20" t="s">
        <v>1035</v>
      </c>
      <c r="C884" s="20" t="s">
        <v>1036</v>
      </c>
      <c r="D884" s="20" t="s">
        <v>13</v>
      </c>
      <c r="E884" s="20" t="s">
        <v>1037</v>
      </c>
      <c r="F884" s="20" t="s">
        <v>13</v>
      </c>
      <c r="G884" s="20" t="s">
        <v>1038</v>
      </c>
      <c r="H884" s="20" t="s">
        <v>13</v>
      </c>
      <c r="I884" s="4"/>
    </row>
    <row r="885">
      <c r="A885" s="27">
        <v>881.0</v>
      </c>
      <c r="B885" s="20" t="s">
        <v>1035</v>
      </c>
      <c r="C885" s="20" t="s">
        <v>1039</v>
      </c>
      <c r="D885" s="20" t="s">
        <v>13</v>
      </c>
      <c r="E885" s="20" t="s">
        <v>1040</v>
      </c>
      <c r="F885" s="20" t="s">
        <v>13</v>
      </c>
      <c r="G885" s="20" t="s">
        <v>346</v>
      </c>
      <c r="H885" s="20" t="s">
        <v>13</v>
      </c>
      <c r="I885" s="4"/>
    </row>
    <row r="886">
      <c r="A886" s="27">
        <v>882.0</v>
      </c>
      <c r="B886" s="20" t="s">
        <v>1035</v>
      </c>
      <c r="C886" s="20" t="s">
        <v>1041</v>
      </c>
      <c r="D886" s="20" t="s">
        <v>13</v>
      </c>
      <c r="E886" s="20" t="s">
        <v>1042</v>
      </c>
      <c r="F886" s="20" t="s">
        <v>13</v>
      </c>
      <c r="G886" s="20" t="s">
        <v>1043</v>
      </c>
      <c r="H886" s="20" t="s">
        <v>13</v>
      </c>
      <c r="I886" s="4"/>
    </row>
    <row r="887">
      <c r="A887" s="27">
        <v>883.0</v>
      </c>
      <c r="B887" s="20" t="s">
        <v>1035</v>
      </c>
      <c r="C887" s="20" t="s">
        <v>1044</v>
      </c>
      <c r="D887" s="20" t="s">
        <v>13</v>
      </c>
      <c r="E887" s="20" t="s">
        <v>1045</v>
      </c>
      <c r="F887" s="20" t="s">
        <v>13</v>
      </c>
      <c r="G887" s="20" t="s">
        <v>343</v>
      </c>
      <c r="H887" s="20" t="s">
        <v>13</v>
      </c>
      <c r="I887" s="4"/>
    </row>
    <row r="888">
      <c r="A888" s="27">
        <v>884.0</v>
      </c>
      <c r="B888" s="20" t="s">
        <v>1035</v>
      </c>
      <c r="C888" s="20" t="s">
        <v>1046</v>
      </c>
      <c r="D888" s="20" t="s">
        <v>13</v>
      </c>
      <c r="E888" s="20" t="s">
        <v>1047</v>
      </c>
      <c r="F888" s="20" t="s">
        <v>13</v>
      </c>
      <c r="G888" s="20" t="s">
        <v>997</v>
      </c>
      <c r="H888" s="20" t="s">
        <v>1048</v>
      </c>
      <c r="I888" s="4"/>
    </row>
    <row r="889">
      <c r="A889" s="27">
        <v>885.0</v>
      </c>
      <c r="B889" s="20" t="s">
        <v>1035</v>
      </c>
      <c r="C889" s="20" t="s">
        <v>1049</v>
      </c>
      <c r="D889" s="20" t="s">
        <v>13</v>
      </c>
      <c r="E889" s="20" t="s">
        <v>1050</v>
      </c>
      <c r="F889" s="20" t="s">
        <v>13</v>
      </c>
      <c r="G889" s="20" t="s">
        <v>1051</v>
      </c>
      <c r="H889" s="20" t="s">
        <v>13</v>
      </c>
      <c r="I889" s="4"/>
    </row>
    <row r="890">
      <c r="A890" s="27">
        <v>886.0</v>
      </c>
      <c r="B890" s="20" t="s">
        <v>1035</v>
      </c>
      <c r="C890" s="20" t="s">
        <v>1052</v>
      </c>
      <c r="D890" s="20" t="s">
        <v>13</v>
      </c>
      <c r="E890" s="20" t="s">
        <v>1053</v>
      </c>
      <c r="F890" s="20" t="s">
        <v>13</v>
      </c>
      <c r="G890" s="20" t="s">
        <v>346</v>
      </c>
      <c r="H890" s="20" t="s">
        <v>13</v>
      </c>
      <c r="I890" s="4"/>
    </row>
    <row r="891">
      <c r="A891" s="27">
        <v>887.0</v>
      </c>
      <c r="B891" s="20" t="s">
        <v>1035</v>
      </c>
      <c r="C891" s="20" t="s">
        <v>1029</v>
      </c>
      <c r="D891" s="20" t="s">
        <v>13</v>
      </c>
      <c r="E891" s="20" t="s">
        <v>1054</v>
      </c>
      <c r="F891" s="20" t="s">
        <v>13</v>
      </c>
      <c r="G891" s="20" t="s">
        <v>346</v>
      </c>
      <c r="H891" s="20" t="s">
        <v>13</v>
      </c>
      <c r="I891" s="4"/>
    </row>
    <row r="892">
      <c r="A892" s="27">
        <v>888.0</v>
      </c>
      <c r="B892" s="20" t="s">
        <v>1035</v>
      </c>
      <c r="C892" s="20" t="s">
        <v>1033</v>
      </c>
      <c r="D892" s="20" t="s">
        <v>13</v>
      </c>
      <c r="E892" s="20" t="s">
        <v>1055</v>
      </c>
      <c r="F892" s="20" t="s">
        <v>13</v>
      </c>
      <c r="G892" s="20" t="s">
        <v>1056</v>
      </c>
      <c r="H892" s="20" t="s">
        <v>13</v>
      </c>
      <c r="I892" s="4"/>
    </row>
    <row r="893">
      <c r="A893" s="27">
        <v>889.0</v>
      </c>
      <c r="B893" s="20" t="s">
        <v>1057</v>
      </c>
      <c r="C893" s="20" t="s">
        <v>1058</v>
      </c>
      <c r="D893" s="20" t="s">
        <v>13</v>
      </c>
      <c r="E893" s="20" t="s">
        <v>13</v>
      </c>
      <c r="F893" s="20" t="s">
        <v>13</v>
      </c>
      <c r="G893" s="20" t="s">
        <v>13</v>
      </c>
      <c r="H893" s="20" t="s">
        <v>13</v>
      </c>
      <c r="I893" s="4"/>
    </row>
    <row r="894">
      <c r="A894" s="27">
        <v>890.0</v>
      </c>
      <c r="B894" s="20" t="s">
        <v>1059</v>
      </c>
      <c r="C894" s="20" t="s">
        <v>1060</v>
      </c>
      <c r="D894" s="20" t="s">
        <v>13</v>
      </c>
      <c r="E894" s="20" t="s">
        <v>13</v>
      </c>
      <c r="F894" s="20" t="s">
        <v>13</v>
      </c>
      <c r="G894" s="20" t="s">
        <v>13</v>
      </c>
      <c r="H894" s="20" t="s">
        <v>13</v>
      </c>
      <c r="I894" s="4"/>
    </row>
    <row r="895">
      <c r="A895" s="27">
        <v>891.0</v>
      </c>
      <c r="B895" s="20" t="s">
        <v>1059</v>
      </c>
      <c r="C895" s="20" t="s">
        <v>1061</v>
      </c>
      <c r="D895" s="20" t="s">
        <v>13</v>
      </c>
      <c r="E895" s="20">
        <v>7991965.0</v>
      </c>
      <c r="F895" s="20" t="s">
        <v>13</v>
      </c>
      <c r="G895" s="20" t="s">
        <v>545</v>
      </c>
      <c r="H895" s="20" t="s">
        <v>13</v>
      </c>
      <c r="I895" s="4"/>
    </row>
    <row r="896">
      <c r="A896" s="27">
        <v>892.0</v>
      </c>
      <c r="B896" s="20" t="s">
        <v>1059</v>
      </c>
      <c r="C896" s="20" t="s">
        <v>1062</v>
      </c>
      <c r="D896" s="20" t="s">
        <v>13</v>
      </c>
      <c r="E896" s="20" t="s">
        <v>13</v>
      </c>
      <c r="F896" s="20" t="s">
        <v>13</v>
      </c>
      <c r="G896" s="20" t="s">
        <v>13</v>
      </c>
      <c r="H896" s="20" t="s">
        <v>13</v>
      </c>
      <c r="I896" s="4"/>
    </row>
    <row r="897">
      <c r="A897" s="27">
        <v>893.0</v>
      </c>
      <c r="B897" s="20" t="s">
        <v>1059</v>
      </c>
      <c r="C897" s="20" t="s">
        <v>1063</v>
      </c>
      <c r="D897" s="20" t="s">
        <v>13</v>
      </c>
      <c r="E897" s="20" t="s">
        <v>13</v>
      </c>
      <c r="F897" s="20" t="s">
        <v>13</v>
      </c>
      <c r="G897" s="20" t="s">
        <v>13</v>
      </c>
      <c r="H897" s="20" t="s">
        <v>13</v>
      </c>
      <c r="I897" s="4"/>
    </row>
    <row r="898">
      <c r="A898" s="27">
        <v>894.0</v>
      </c>
      <c r="B898" s="20" t="s">
        <v>1059</v>
      </c>
      <c r="C898" s="20" t="s">
        <v>1064</v>
      </c>
      <c r="D898" s="20">
        <v>80.0</v>
      </c>
      <c r="E898" s="20" t="s">
        <v>13</v>
      </c>
      <c r="F898" s="20" t="s">
        <v>13</v>
      </c>
      <c r="G898" s="20" t="s">
        <v>346</v>
      </c>
      <c r="H898" s="20" t="s">
        <v>13</v>
      </c>
      <c r="I898" s="4"/>
    </row>
    <row r="899">
      <c r="A899" s="27">
        <v>895.0</v>
      </c>
      <c r="B899" s="20" t="s">
        <v>1059</v>
      </c>
      <c r="C899" s="20" t="s">
        <v>1065</v>
      </c>
      <c r="D899" s="20" t="s">
        <v>13</v>
      </c>
      <c r="E899" s="20">
        <v>1.8032277E7</v>
      </c>
      <c r="F899" s="20" t="s">
        <v>13</v>
      </c>
      <c r="G899" s="20" t="s">
        <v>13</v>
      </c>
      <c r="H899" s="20" t="s">
        <v>13</v>
      </c>
      <c r="I899" s="4"/>
    </row>
    <row r="900">
      <c r="A900" s="27">
        <v>896.0</v>
      </c>
      <c r="B900" s="20" t="s">
        <v>1059</v>
      </c>
      <c r="C900" s="20" t="s">
        <v>1066</v>
      </c>
      <c r="D900" s="20">
        <v>42.0</v>
      </c>
      <c r="E900" s="20" t="s">
        <v>14</v>
      </c>
      <c r="F900" s="20" t="s">
        <v>13</v>
      </c>
      <c r="G900" s="20" t="s">
        <v>13</v>
      </c>
      <c r="H900" s="20" t="s">
        <v>15</v>
      </c>
      <c r="I900" s="4"/>
    </row>
    <row r="901">
      <c r="A901" s="27">
        <v>897.0</v>
      </c>
      <c r="B901" s="20" t="s">
        <v>1059</v>
      </c>
      <c r="C901" s="20" t="s">
        <v>1067</v>
      </c>
      <c r="D901" s="20" t="s">
        <v>13</v>
      </c>
      <c r="E901" s="20">
        <v>2.5464509E7</v>
      </c>
      <c r="F901" s="20" t="s">
        <v>13</v>
      </c>
      <c r="G901" s="20" t="s">
        <v>13</v>
      </c>
      <c r="H901" s="20" t="s">
        <v>13</v>
      </c>
      <c r="I901" s="4"/>
    </row>
    <row r="902">
      <c r="A902" s="27">
        <v>898.0</v>
      </c>
      <c r="B902" s="20" t="s">
        <v>1059</v>
      </c>
      <c r="C902" s="20" t="s">
        <v>1068</v>
      </c>
      <c r="D902" s="20" t="s">
        <v>13</v>
      </c>
      <c r="E902" s="20" t="s">
        <v>13</v>
      </c>
      <c r="F902" s="20" t="s">
        <v>13</v>
      </c>
      <c r="G902" s="20" t="s">
        <v>346</v>
      </c>
      <c r="H902" s="20" t="s">
        <v>13</v>
      </c>
      <c r="I902" s="4"/>
    </row>
    <row r="903">
      <c r="A903" s="27">
        <v>899.0</v>
      </c>
      <c r="B903" s="20" t="s">
        <v>1059</v>
      </c>
      <c r="C903" s="20" t="s">
        <v>1069</v>
      </c>
      <c r="D903" s="20">
        <v>32.0</v>
      </c>
      <c r="E903" s="20" t="s">
        <v>13</v>
      </c>
      <c r="F903" s="20" t="s">
        <v>13</v>
      </c>
      <c r="G903" s="20" t="s">
        <v>13</v>
      </c>
      <c r="H903" s="20" t="s">
        <v>13</v>
      </c>
      <c r="I903" s="4"/>
    </row>
    <row r="904">
      <c r="A904" s="27">
        <v>900.0</v>
      </c>
      <c r="B904" s="20" t="s">
        <v>1059</v>
      </c>
      <c r="C904" s="20" t="s">
        <v>1070</v>
      </c>
      <c r="D904" s="20" t="s">
        <v>13</v>
      </c>
      <c r="E904" s="20" t="s">
        <v>13</v>
      </c>
      <c r="F904" s="20" t="s">
        <v>13</v>
      </c>
      <c r="G904" s="20" t="s">
        <v>13</v>
      </c>
      <c r="H904" s="20" t="s">
        <v>13</v>
      </c>
      <c r="I904" s="4"/>
    </row>
    <row r="905">
      <c r="A905" s="27">
        <v>901.0</v>
      </c>
      <c r="B905" s="20" t="s">
        <v>1059</v>
      </c>
      <c r="C905" s="20" t="s">
        <v>1071</v>
      </c>
      <c r="D905" s="20" t="s">
        <v>13</v>
      </c>
      <c r="E905" s="20" t="s">
        <v>13</v>
      </c>
      <c r="F905" s="20" t="s">
        <v>13</v>
      </c>
      <c r="G905" s="20" t="s">
        <v>13</v>
      </c>
      <c r="H905" s="20" t="s">
        <v>13</v>
      </c>
      <c r="I905" s="4"/>
    </row>
    <row r="906">
      <c r="A906" s="27">
        <v>902.0</v>
      </c>
      <c r="B906" s="20" t="s">
        <v>1059</v>
      </c>
      <c r="C906" s="20" t="s">
        <v>1072</v>
      </c>
      <c r="D906" s="20" t="s">
        <v>13</v>
      </c>
      <c r="E906" s="20" t="s">
        <v>13</v>
      </c>
      <c r="F906" s="20" t="s">
        <v>13</v>
      </c>
      <c r="G906" s="20" t="s">
        <v>13</v>
      </c>
      <c r="H906" s="20" t="s">
        <v>13</v>
      </c>
      <c r="I906" s="4"/>
    </row>
    <row r="907">
      <c r="A907" s="27">
        <v>903.0</v>
      </c>
      <c r="B907" s="20" t="s">
        <v>1059</v>
      </c>
      <c r="C907" s="20" t="s">
        <v>1073</v>
      </c>
      <c r="D907" s="20">
        <v>7.0</v>
      </c>
      <c r="E907" s="20" t="s">
        <v>13</v>
      </c>
      <c r="F907" s="20" t="s">
        <v>13</v>
      </c>
      <c r="G907" s="20" t="s">
        <v>1074</v>
      </c>
      <c r="H907" s="20" t="s">
        <v>13</v>
      </c>
      <c r="I907" s="4"/>
    </row>
    <row r="908">
      <c r="A908" s="27">
        <v>904.0</v>
      </c>
      <c r="B908" s="20" t="s">
        <v>1059</v>
      </c>
      <c r="C908" s="20" t="s">
        <v>1075</v>
      </c>
      <c r="D908" s="20">
        <v>15.0</v>
      </c>
      <c r="E908" s="20" t="s">
        <v>13</v>
      </c>
      <c r="F908" s="20" t="s">
        <v>13</v>
      </c>
      <c r="G908" s="20" t="s">
        <v>1074</v>
      </c>
      <c r="H908" s="20" t="s">
        <v>13</v>
      </c>
      <c r="I908" s="4"/>
    </row>
    <row r="909">
      <c r="A909" s="27">
        <v>905.0</v>
      </c>
      <c r="B909" s="20" t="s">
        <v>1059</v>
      </c>
      <c r="C909" s="20" t="s">
        <v>1076</v>
      </c>
      <c r="D909" s="20" t="s">
        <v>13</v>
      </c>
      <c r="E909" s="20" t="s">
        <v>13</v>
      </c>
      <c r="F909" s="20" t="s">
        <v>13</v>
      </c>
      <c r="G909" s="20" t="s">
        <v>13</v>
      </c>
      <c r="H909" s="20" t="s">
        <v>13</v>
      </c>
      <c r="I909" s="4"/>
    </row>
    <row r="910">
      <c r="A910" s="27">
        <v>906.0</v>
      </c>
      <c r="B910" s="20" t="s">
        <v>1059</v>
      </c>
      <c r="C910" s="20" t="s">
        <v>1077</v>
      </c>
      <c r="D910" s="20">
        <v>52.0</v>
      </c>
      <c r="E910" s="20" t="s">
        <v>13</v>
      </c>
      <c r="F910" s="20" t="s">
        <v>13</v>
      </c>
      <c r="G910" s="20" t="s">
        <v>1078</v>
      </c>
      <c r="H910" s="20" t="s">
        <v>13</v>
      </c>
      <c r="I910" s="4"/>
    </row>
    <row r="911">
      <c r="A911" s="27">
        <v>907.0</v>
      </c>
      <c r="B911" s="20" t="s">
        <v>1059</v>
      </c>
      <c r="C911" s="20" t="s">
        <v>1079</v>
      </c>
      <c r="D911" s="20" t="s">
        <v>13</v>
      </c>
      <c r="E911" s="20" t="s">
        <v>13</v>
      </c>
      <c r="F911" s="20" t="s">
        <v>13</v>
      </c>
      <c r="G911" s="20" t="s">
        <v>13</v>
      </c>
      <c r="H911" s="20" t="s">
        <v>13</v>
      </c>
      <c r="I911" s="4"/>
    </row>
    <row r="912">
      <c r="A912" s="27">
        <v>908.0</v>
      </c>
      <c r="B912" s="20" t="s">
        <v>1059</v>
      </c>
      <c r="C912" s="20" t="s">
        <v>1080</v>
      </c>
      <c r="D912" s="20" t="s">
        <v>13</v>
      </c>
      <c r="E912" s="20" t="s">
        <v>13</v>
      </c>
      <c r="F912" s="20" t="s">
        <v>13</v>
      </c>
      <c r="G912" s="20" t="s">
        <v>13</v>
      </c>
      <c r="H912" s="20" t="s">
        <v>13</v>
      </c>
      <c r="I912" s="4"/>
    </row>
    <row r="913">
      <c r="A913" s="27">
        <v>909.0</v>
      </c>
      <c r="B913" s="20" t="s">
        <v>1059</v>
      </c>
      <c r="C913" s="20" t="s">
        <v>1081</v>
      </c>
      <c r="D913" s="20" t="s">
        <v>13</v>
      </c>
      <c r="E913" s="20" t="s">
        <v>13</v>
      </c>
      <c r="F913" s="20" t="s">
        <v>13</v>
      </c>
      <c r="G913" s="20" t="s">
        <v>13</v>
      </c>
      <c r="H913" s="20" t="s">
        <v>13</v>
      </c>
      <c r="I913" s="4"/>
    </row>
    <row r="914">
      <c r="A914" s="27">
        <v>910.0</v>
      </c>
      <c r="B914" s="20" t="s">
        <v>1059</v>
      </c>
      <c r="C914" s="20" t="s">
        <v>1082</v>
      </c>
      <c r="D914" s="20" t="s">
        <v>13</v>
      </c>
      <c r="E914" s="20">
        <v>1.7865775E7</v>
      </c>
      <c r="F914" s="20" t="s">
        <v>13</v>
      </c>
      <c r="G914" s="20" t="s">
        <v>1083</v>
      </c>
      <c r="H914" s="20" t="s">
        <v>13</v>
      </c>
      <c r="I914" s="4"/>
    </row>
    <row r="915">
      <c r="A915" s="27">
        <v>911.0</v>
      </c>
      <c r="B915" s="20" t="s">
        <v>1059</v>
      </c>
      <c r="C915" s="20" t="s">
        <v>1084</v>
      </c>
      <c r="D915" s="20" t="s">
        <v>13</v>
      </c>
      <c r="E915" s="20" t="s">
        <v>1085</v>
      </c>
      <c r="F915" s="20" t="s">
        <v>13</v>
      </c>
      <c r="G915" s="20" t="s">
        <v>13</v>
      </c>
      <c r="H915" s="20" t="s">
        <v>15</v>
      </c>
      <c r="I915" s="4"/>
    </row>
    <row r="916">
      <c r="A916" s="27">
        <v>912.0</v>
      </c>
      <c r="B916" s="20" t="s">
        <v>1059</v>
      </c>
      <c r="C916" s="20" t="s">
        <v>1086</v>
      </c>
      <c r="D916" s="20" t="s">
        <v>13</v>
      </c>
      <c r="E916" s="20" t="s">
        <v>13</v>
      </c>
      <c r="F916" s="20" t="s">
        <v>13</v>
      </c>
      <c r="G916" s="20" t="s">
        <v>13</v>
      </c>
      <c r="H916" s="20" t="s">
        <v>13</v>
      </c>
      <c r="I916" s="4"/>
    </row>
    <row r="917">
      <c r="A917" s="27">
        <v>913.0</v>
      </c>
      <c r="B917" s="20" t="s">
        <v>1059</v>
      </c>
      <c r="C917" s="20" t="s">
        <v>1087</v>
      </c>
      <c r="D917" s="20" t="s">
        <v>13</v>
      </c>
      <c r="E917" s="20" t="s">
        <v>13</v>
      </c>
      <c r="F917" s="20" t="s">
        <v>13</v>
      </c>
      <c r="G917" s="20" t="s">
        <v>1088</v>
      </c>
      <c r="H917" s="20" t="s">
        <v>13</v>
      </c>
      <c r="I917" s="4"/>
    </row>
    <row r="918">
      <c r="A918" s="27">
        <v>914.0</v>
      </c>
      <c r="B918" s="20" t="s">
        <v>1059</v>
      </c>
      <c r="C918" s="20" t="s">
        <v>1089</v>
      </c>
      <c r="D918" s="20" t="s">
        <v>13</v>
      </c>
      <c r="E918" s="20" t="s">
        <v>13</v>
      </c>
      <c r="F918" s="20" t="s">
        <v>13</v>
      </c>
      <c r="G918" s="20" t="s">
        <v>13</v>
      </c>
      <c r="H918" s="20" t="s">
        <v>13</v>
      </c>
      <c r="I918" s="4"/>
    </row>
    <row r="919">
      <c r="A919" s="27">
        <v>915.0</v>
      </c>
      <c r="B919" s="20" t="s">
        <v>1059</v>
      </c>
      <c r="C919" s="20" t="s">
        <v>1090</v>
      </c>
      <c r="D919" s="20" t="s">
        <v>13</v>
      </c>
      <c r="E919" s="20" t="s">
        <v>13</v>
      </c>
      <c r="F919" s="20" t="s">
        <v>13</v>
      </c>
      <c r="G919" s="20" t="s">
        <v>13</v>
      </c>
      <c r="H919" s="20" t="s">
        <v>13</v>
      </c>
      <c r="I919" s="4"/>
    </row>
    <row r="920">
      <c r="A920" s="27">
        <v>916.0</v>
      </c>
      <c r="B920" s="20" t="s">
        <v>1059</v>
      </c>
      <c r="C920" s="20" t="s">
        <v>1091</v>
      </c>
      <c r="D920" s="20" t="s">
        <v>13</v>
      </c>
      <c r="E920" s="20">
        <v>1.3582518E7</v>
      </c>
      <c r="F920" s="20" t="s">
        <v>13</v>
      </c>
      <c r="G920" s="20" t="s">
        <v>1083</v>
      </c>
      <c r="H920" s="20" t="s">
        <v>13</v>
      </c>
      <c r="I920" s="4"/>
    </row>
    <row r="921">
      <c r="A921" s="27">
        <v>917.0</v>
      </c>
      <c r="B921" s="20" t="s">
        <v>1059</v>
      </c>
      <c r="C921" s="20" t="s">
        <v>1092</v>
      </c>
      <c r="D921" s="20" t="s">
        <v>13</v>
      </c>
      <c r="E921" s="20" t="s">
        <v>13</v>
      </c>
      <c r="F921" s="20" t="s">
        <v>13</v>
      </c>
      <c r="G921" s="20" t="s">
        <v>13</v>
      </c>
      <c r="H921" s="20" t="s">
        <v>13</v>
      </c>
      <c r="I921" s="4"/>
    </row>
    <row r="922">
      <c r="A922" s="27">
        <v>918.0</v>
      </c>
      <c r="B922" s="20" t="s">
        <v>1059</v>
      </c>
      <c r="C922" s="20" t="s">
        <v>493</v>
      </c>
      <c r="D922" s="20" t="s">
        <v>13</v>
      </c>
      <c r="E922" s="20">
        <v>6331767.0</v>
      </c>
      <c r="F922" s="20" t="s">
        <v>13</v>
      </c>
      <c r="G922" s="20" t="s">
        <v>343</v>
      </c>
      <c r="H922" s="20" t="s">
        <v>13</v>
      </c>
      <c r="I922" s="4"/>
    </row>
    <row r="923">
      <c r="A923" s="27">
        <v>919.0</v>
      </c>
      <c r="B923" s="20" t="s">
        <v>1059</v>
      </c>
      <c r="C923" s="20" t="s">
        <v>1093</v>
      </c>
      <c r="D923" s="20" t="s">
        <v>13</v>
      </c>
      <c r="E923" s="20" t="s">
        <v>13</v>
      </c>
      <c r="F923" s="20" t="s">
        <v>13</v>
      </c>
      <c r="G923" s="20" t="s">
        <v>13</v>
      </c>
      <c r="H923" s="20" t="s">
        <v>13</v>
      </c>
      <c r="I923" s="4"/>
    </row>
    <row r="924">
      <c r="A924" s="27">
        <v>920.0</v>
      </c>
      <c r="B924" s="20" t="s">
        <v>1059</v>
      </c>
      <c r="C924" s="20" t="s">
        <v>1094</v>
      </c>
      <c r="D924" s="20" t="s">
        <v>13</v>
      </c>
      <c r="E924" s="20" t="s">
        <v>13</v>
      </c>
      <c r="F924" s="20" t="s">
        <v>13</v>
      </c>
      <c r="G924" s="20" t="s">
        <v>13</v>
      </c>
      <c r="H924" s="20" t="s">
        <v>13</v>
      </c>
      <c r="I924" s="4"/>
    </row>
    <row r="925">
      <c r="A925" s="27">
        <v>921.0</v>
      </c>
      <c r="B925" s="20" t="s">
        <v>1059</v>
      </c>
      <c r="C925" s="20" t="s">
        <v>1095</v>
      </c>
      <c r="D925" s="20" t="s">
        <v>13</v>
      </c>
      <c r="E925" s="20" t="s">
        <v>13</v>
      </c>
      <c r="F925" s="20" t="s">
        <v>13</v>
      </c>
      <c r="G925" s="20" t="s">
        <v>13</v>
      </c>
      <c r="H925" s="20" t="s">
        <v>13</v>
      </c>
      <c r="I925" s="4"/>
    </row>
    <row r="926">
      <c r="A926" s="27">
        <v>922.0</v>
      </c>
      <c r="B926" s="20" t="s">
        <v>1059</v>
      </c>
      <c r="C926" s="20" t="s">
        <v>1096</v>
      </c>
      <c r="D926" s="20" t="s">
        <v>13</v>
      </c>
      <c r="E926" s="20" t="s">
        <v>13</v>
      </c>
      <c r="F926" s="20" t="s">
        <v>13</v>
      </c>
      <c r="G926" s="20" t="s">
        <v>13</v>
      </c>
      <c r="H926" s="20" t="s">
        <v>13</v>
      </c>
      <c r="I926" s="4"/>
    </row>
    <row r="927">
      <c r="A927" s="27">
        <v>923.0</v>
      </c>
      <c r="B927" s="20" t="s">
        <v>1059</v>
      </c>
      <c r="C927" s="20" t="s">
        <v>1097</v>
      </c>
      <c r="D927" s="20">
        <v>42.0</v>
      </c>
      <c r="E927" s="20">
        <v>1.6310954E7</v>
      </c>
      <c r="F927" s="20" t="s">
        <v>13</v>
      </c>
      <c r="G927" s="20" t="s">
        <v>13</v>
      </c>
      <c r="H927" s="20" t="s">
        <v>13</v>
      </c>
      <c r="I927" s="4"/>
    </row>
    <row r="928">
      <c r="A928" s="27">
        <v>924.0</v>
      </c>
      <c r="B928" s="20" t="s">
        <v>1059</v>
      </c>
      <c r="C928" s="20" t="s">
        <v>1098</v>
      </c>
      <c r="D928" s="20" t="s">
        <v>13</v>
      </c>
      <c r="E928" s="20">
        <v>3.0456508E7</v>
      </c>
      <c r="F928" s="20" t="s">
        <v>13</v>
      </c>
      <c r="G928" s="20" t="s">
        <v>1088</v>
      </c>
      <c r="H928" s="20" t="s">
        <v>13</v>
      </c>
      <c r="I928" s="4"/>
    </row>
    <row r="929">
      <c r="A929" s="27">
        <v>925.0</v>
      </c>
      <c r="B929" s="20" t="s">
        <v>1059</v>
      </c>
      <c r="C929" s="20" t="s">
        <v>1099</v>
      </c>
      <c r="D929" s="20" t="s">
        <v>13</v>
      </c>
      <c r="E929" s="20" t="s">
        <v>13</v>
      </c>
      <c r="F929" s="20" t="s">
        <v>13</v>
      </c>
      <c r="G929" s="20" t="s">
        <v>13</v>
      </c>
      <c r="H929" s="20" t="s">
        <v>13</v>
      </c>
      <c r="I929" s="4"/>
    </row>
    <row r="930">
      <c r="A930" s="27">
        <v>926.0</v>
      </c>
      <c r="B930" s="20" t="s">
        <v>1059</v>
      </c>
      <c r="C930" s="20" t="s">
        <v>1100</v>
      </c>
      <c r="D930" s="20" t="s">
        <v>13</v>
      </c>
      <c r="E930" s="20" t="s">
        <v>13</v>
      </c>
      <c r="F930" s="20" t="s">
        <v>13</v>
      </c>
      <c r="G930" s="20" t="s">
        <v>13</v>
      </c>
      <c r="H930" s="20" t="s">
        <v>13</v>
      </c>
      <c r="I930" s="4"/>
    </row>
    <row r="931">
      <c r="A931" s="27">
        <v>927.0</v>
      </c>
      <c r="B931" s="20" t="s">
        <v>1059</v>
      </c>
      <c r="C931" s="20" t="s">
        <v>1101</v>
      </c>
      <c r="D931" s="20">
        <v>17.0</v>
      </c>
      <c r="E931" s="20" t="s">
        <v>1102</v>
      </c>
      <c r="F931" s="20" t="s">
        <v>13</v>
      </c>
      <c r="G931" s="20" t="s">
        <v>13</v>
      </c>
      <c r="H931" s="20" t="s">
        <v>15</v>
      </c>
      <c r="I931" s="4"/>
    </row>
    <row r="932">
      <c r="A932" s="27">
        <v>928.0</v>
      </c>
      <c r="B932" s="20" t="s">
        <v>1059</v>
      </c>
      <c r="C932" s="20" t="s">
        <v>1103</v>
      </c>
      <c r="D932" s="20" t="s">
        <v>13</v>
      </c>
      <c r="E932" s="20" t="s">
        <v>13</v>
      </c>
      <c r="F932" s="20" t="s">
        <v>13</v>
      </c>
      <c r="G932" s="20" t="s">
        <v>13</v>
      </c>
      <c r="H932" s="20" t="s">
        <v>13</v>
      </c>
      <c r="I932" s="4"/>
    </row>
    <row r="933">
      <c r="A933" s="27">
        <v>929.0</v>
      </c>
      <c r="B933" s="20" t="s">
        <v>1059</v>
      </c>
      <c r="C933" s="20" t="s">
        <v>1104</v>
      </c>
      <c r="D933" s="20">
        <v>67.0</v>
      </c>
      <c r="E933" s="20" t="s">
        <v>13</v>
      </c>
      <c r="F933" s="20" t="s">
        <v>13</v>
      </c>
      <c r="G933" s="20" t="s">
        <v>1088</v>
      </c>
      <c r="H933" s="20" t="s">
        <v>13</v>
      </c>
      <c r="I933" s="4"/>
    </row>
    <row r="934">
      <c r="A934" s="27">
        <v>930.0</v>
      </c>
      <c r="B934" s="20" t="s">
        <v>1059</v>
      </c>
      <c r="C934" s="20" t="s">
        <v>1105</v>
      </c>
      <c r="D934" s="20">
        <v>50.0</v>
      </c>
      <c r="E934" s="20">
        <v>1.3373379E7</v>
      </c>
      <c r="F934" s="20" t="s">
        <v>13</v>
      </c>
      <c r="G934" s="20" t="s">
        <v>1088</v>
      </c>
      <c r="H934" s="20" t="s">
        <v>13</v>
      </c>
      <c r="I934" s="4"/>
    </row>
    <row r="935">
      <c r="A935" s="27">
        <v>931.0</v>
      </c>
      <c r="B935" s="20" t="s">
        <v>1059</v>
      </c>
      <c r="C935" s="20" t="s">
        <v>1106</v>
      </c>
      <c r="D935" s="20">
        <v>26.0</v>
      </c>
      <c r="E935" s="20" t="s">
        <v>13</v>
      </c>
      <c r="F935" s="20" t="s">
        <v>13</v>
      </c>
      <c r="G935" s="20" t="s">
        <v>1107</v>
      </c>
      <c r="H935" s="20" t="s">
        <v>13</v>
      </c>
      <c r="I935" s="4"/>
    </row>
    <row r="936">
      <c r="A936" s="27">
        <v>932.0</v>
      </c>
      <c r="B936" s="20" t="s">
        <v>1059</v>
      </c>
      <c r="C936" s="20" t="s">
        <v>1108</v>
      </c>
      <c r="D936" s="20" t="s">
        <v>13</v>
      </c>
      <c r="E936" s="20" t="s">
        <v>13</v>
      </c>
      <c r="F936" s="20" t="s">
        <v>13</v>
      </c>
      <c r="G936" s="20" t="s">
        <v>13</v>
      </c>
      <c r="H936" s="20" t="s">
        <v>13</v>
      </c>
      <c r="I936" s="4"/>
    </row>
    <row r="937">
      <c r="A937" s="27">
        <v>933.0</v>
      </c>
      <c r="B937" s="20" t="s">
        <v>1059</v>
      </c>
      <c r="C937" s="20" t="s">
        <v>1109</v>
      </c>
      <c r="D937" s="20" t="s">
        <v>13</v>
      </c>
      <c r="E937" s="20">
        <v>1.7484972E7</v>
      </c>
      <c r="F937" s="20" t="s">
        <v>13</v>
      </c>
      <c r="G937" s="20" t="s">
        <v>1110</v>
      </c>
      <c r="H937" s="20" t="s">
        <v>13</v>
      </c>
      <c r="I937" s="4"/>
    </row>
    <row r="938">
      <c r="A938" s="27">
        <v>934.0</v>
      </c>
      <c r="B938" s="20" t="s">
        <v>1059</v>
      </c>
      <c r="C938" s="20" t="s">
        <v>1111</v>
      </c>
      <c r="D938" s="20">
        <v>26.0</v>
      </c>
      <c r="E938" s="20">
        <v>2.8132141E7</v>
      </c>
      <c r="F938" s="20" t="s">
        <v>13</v>
      </c>
      <c r="G938" s="20" t="s">
        <v>346</v>
      </c>
      <c r="H938" s="20" t="s">
        <v>13</v>
      </c>
      <c r="I938" s="4"/>
    </row>
    <row r="939">
      <c r="A939" s="27">
        <v>935.0</v>
      </c>
      <c r="B939" s="20" t="s">
        <v>1059</v>
      </c>
      <c r="C939" s="20" t="s">
        <v>537</v>
      </c>
      <c r="D939" s="20" t="s">
        <v>13</v>
      </c>
      <c r="E939" s="20">
        <v>6.3337677E7</v>
      </c>
      <c r="F939" s="20" t="s">
        <v>13</v>
      </c>
      <c r="G939" s="20" t="s">
        <v>545</v>
      </c>
      <c r="H939" s="20" t="s">
        <v>13</v>
      </c>
      <c r="I939" s="4"/>
    </row>
    <row r="940">
      <c r="A940" s="27">
        <v>936.0</v>
      </c>
      <c r="B940" s="20" t="s">
        <v>1059</v>
      </c>
      <c r="C940" s="20" t="s">
        <v>1112</v>
      </c>
      <c r="D940" s="20" t="s">
        <v>13</v>
      </c>
      <c r="E940" s="20" t="s">
        <v>13</v>
      </c>
      <c r="F940" s="20" t="s">
        <v>13</v>
      </c>
      <c r="G940" s="20" t="s">
        <v>13</v>
      </c>
      <c r="H940" s="20" t="s">
        <v>13</v>
      </c>
      <c r="I940" s="4"/>
    </row>
    <row r="941">
      <c r="A941" s="27">
        <v>937.0</v>
      </c>
      <c r="B941" s="20" t="s">
        <v>1059</v>
      </c>
      <c r="C941" s="20" t="s">
        <v>556</v>
      </c>
      <c r="D941" s="20">
        <v>10.0</v>
      </c>
      <c r="E941" s="20" t="s">
        <v>1113</v>
      </c>
      <c r="F941" s="20" t="s">
        <v>13</v>
      </c>
      <c r="G941" s="20" t="s">
        <v>13</v>
      </c>
      <c r="H941" s="20" t="s">
        <v>15</v>
      </c>
      <c r="I941" s="4"/>
    </row>
    <row r="942">
      <c r="A942" s="27">
        <v>938.0</v>
      </c>
      <c r="B942" s="20" t="s">
        <v>1059</v>
      </c>
      <c r="C942" s="20" t="s">
        <v>1114</v>
      </c>
      <c r="D942" s="20" t="s">
        <v>13</v>
      </c>
      <c r="E942" s="20" t="s">
        <v>13</v>
      </c>
      <c r="F942" s="20" t="s">
        <v>13</v>
      </c>
      <c r="G942" s="20" t="s">
        <v>13</v>
      </c>
      <c r="H942" s="20" t="s">
        <v>13</v>
      </c>
      <c r="I942" s="4"/>
    </row>
    <row r="943">
      <c r="A943" s="27">
        <v>939.0</v>
      </c>
      <c r="B943" s="20" t="s">
        <v>1059</v>
      </c>
      <c r="C943" s="20" t="s">
        <v>1115</v>
      </c>
      <c r="D943" s="20" t="s">
        <v>13</v>
      </c>
      <c r="E943" s="20" t="s">
        <v>14</v>
      </c>
      <c r="F943" s="20" t="s">
        <v>13</v>
      </c>
      <c r="G943" s="20" t="s">
        <v>13</v>
      </c>
      <c r="H943" s="20" t="s">
        <v>15</v>
      </c>
      <c r="I943" s="4"/>
    </row>
    <row r="944">
      <c r="A944" s="27">
        <v>940.0</v>
      </c>
      <c r="B944" s="20" t="s">
        <v>1059</v>
      </c>
      <c r="C944" s="20" t="s">
        <v>1116</v>
      </c>
      <c r="D944" s="20" t="s">
        <v>13</v>
      </c>
      <c r="E944" s="20" t="s">
        <v>14</v>
      </c>
      <c r="F944" s="20" t="s">
        <v>13</v>
      </c>
      <c r="G944" s="20" t="s">
        <v>13</v>
      </c>
      <c r="H944" s="20" t="s">
        <v>1117</v>
      </c>
      <c r="I944" s="4"/>
    </row>
    <row r="945">
      <c r="A945" s="27">
        <v>941.0</v>
      </c>
      <c r="B945" s="20" t="s">
        <v>1059</v>
      </c>
      <c r="C945" s="20" t="s">
        <v>1118</v>
      </c>
      <c r="D945" s="20" t="s">
        <v>13</v>
      </c>
      <c r="E945" s="20">
        <v>2.9910694E7</v>
      </c>
      <c r="F945" s="20" t="s">
        <v>13</v>
      </c>
      <c r="G945" s="20" t="s">
        <v>1107</v>
      </c>
      <c r="H945" s="20" t="s">
        <v>13</v>
      </c>
      <c r="I945" s="4"/>
    </row>
    <row r="946">
      <c r="A946" s="27">
        <v>942.0</v>
      </c>
      <c r="B946" s="20" t="s">
        <v>1059</v>
      </c>
      <c r="C946" s="20" t="s">
        <v>1119</v>
      </c>
      <c r="D946" s="20" t="s">
        <v>13</v>
      </c>
      <c r="E946" s="20">
        <v>1.9122329E7</v>
      </c>
      <c r="F946" s="20" t="s">
        <v>13</v>
      </c>
      <c r="G946" s="20" t="s">
        <v>13</v>
      </c>
      <c r="H946" s="20" t="s">
        <v>13</v>
      </c>
      <c r="I946" s="4"/>
    </row>
    <row r="947">
      <c r="A947" s="27">
        <v>943.0</v>
      </c>
      <c r="B947" s="20" t="s">
        <v>1059</v>
      </c>
      <c r="C947" s="20" t="s">
        <v>1120</v>
      </c>
      <c r="D947" s="20" t="s">
        <v>13</v>
      </c>
      <c r="E947" s="20" t="s">
        <v>1121</v>
      </c>
      <c r="F947" s="20" t="s">
        <v>13</v>
      </c>
      <c r="G947" s="20" t="s">
        <v>13</v>
      </c>
      <c r="H947" s="20" t="s">
        <v>15</v>
      </c>
      <c r="I947" s="4"/>
    </row>
    <row r="948">
      <c r="A948" s="27">
        <v>944.0</v>
      </c>
      <c r="B948" s="20" t="s">
        <v>1059</v>
      </c>
      <c r="C948" s="20" t="s">
        <v>1122</v>
      </c>
      <c r="D948" s="20" t="s">
        <v>13</v>
      </c>
      <c r="E948" s="20" t="s">
        <v>14</v>
      </c>
      <c r="F948" s="20" t="s">
        <v>13</v>
      </c>
      <c r="G948" s="20" t="s">
        <v>13</v>
      </c>
      <c r="H948" s="20" t="s">
        <v>15</v>
      </c>
      <c r="I948" s="4"/>
    </row>
    <row r="949">
      <c r="A949" s="27">
        <v>945.0</v>
      </c>
      <c r="B949" s="20" t="s">
        <v>1059</v>
      </c>
      <c r="C949" s="20" t="s">
        <v>1123</v>
      </c>
      <c r="D949" s="20" t="s">
        <v>13</v>
      </c>
      <c r="E949" s="20" t="s">
        <v>13</v>
      </c>
      <c r="F949" s="20" t="s">
        <v>13</v>
      </c>
      <c r="G949" s="20" t="s">
        <v>13</v>
      </c>
      <c r="H949" s="20" t="s">
        <v>13</v>
      </c>
      <c r="I949" s="4"/>
    </row>
    <row r="950">
      <c r="A950" s="27">
        <v>946.0</v>
      </c>
      <c r="B950" s="20" t="s">
        <v>1059</v>
      </c>
      <c r="C950" s="20" t="s">
        <v>1124</v>
      </c>
      <c r="D950" s="20" t="s">
        <v>13</v>
      </c>
      <c r="E950" s="20" t="s">
        <v>13</v>
      </c>
      <c r="F950" s="20" t="s">
        <v>13</v>
      </c>
      <c r="G950" s="20" t="s">
        <v>13</v>
      </c>
      <c r="H950" s="20" t="s">
        <v>13</v>
      </c>
      <c r="I950" s="4"/>
    </row>
    <row r="951">
      <c r="A951" s="27">
        <v>947.0</v>
      </c>
      <c r="B951" s="20" t="s">
        <v>1059</v>
      </c>
      <c r="C951" s="20" t="s">
        <v>1125</v>
      </c>
      <c r="D951" s="20" t="s">
        <v>13</v>
      </c>
      <c r="E951" s="20">
        <v>6800389.0</v>
      </c>
      <c r="F951" s="20" t="s">
        <v>13</v>
      </c>
      <c r="G951" s="20" t="s">
        <v>1126</v>
      </c>
      <c r="H951" s="20" t="s">
        <v>13</v>
      </c>
      <c r="I951" s="4"/>
    </row>
    <row r="952">
      <c r="A952" s="27">
        <v>948.0</v>
      </c>
      <c r="B952" s="20" t="s">
        <v>1059</v>
      </c>
      <c r="C952" s="20" t="s">
        <v>1127</v>
      </c>
      <c r="D952" s="20">
        <v>65.0</v>
      </c>
      <c r="E952" s="20">
        <v>6.2488422E7</v>
      </c>
      <c r="F952" s="20" t="s">
        <v>13</v>
      </c>
      <c r="G952" s="20" t="s">
        <v>545</v>
      </c>
      <c r="H952" s="20" t="s">
        <v>13</v>
      </c>
      <c r="I952" s="4"/>
    </row>
    <row r="953">
      <c r="A953" s="27">
        <v>949.0</v>
      </c>
      <c r="B953" s="20" t="s">
        <v>1059</v>
      </c>
      <c r="C953" s="20" t="s">
        <v>1128</v>
      </c>
      <c r="D953" s="20" t="s">
        <v>13</v>
      </c>
      <c r="E953" s="20" t="s">
        <v>1129</v>
      </c>
      <c r="F953" s="20" t="s">
        <v>13</v>
      </c>
      <c r="G953" s="20" t="s">
        <v>13</v>
      </c>
      <c r="H953" s="20" t="s">
        <v>15</v>
      </c>
      <c r="I953" s="4"/>
    </row>
    <row r="954">
      <c r="A954" s="27">
        <v>950.0</v>
      </c>
      <c r="B954" s="20" t="s">
        <v>1059</v>
      </c>
      <c r="C954" s="20" t="s">
        <v>1130</v>
      </c>
      <c r="D954" s="20" t="s">
        <v>13</v>
      </c>
      <c r="E954" s="20" t="s">
        <v>13</v>
      </c>
      <c r="F954" s="20" t="s">
        <v>13</v>
      </c>
      <c r="G954" s="20" t="s">
        <v>13</v>
      </c>
      <c r="H954" s="20" t="s">
        <v>13</v>
      </c>
      <c r="I954" s="4"/>
    </row>
    <row r="955">
      <c r="A955" s="27">
        <v>951.0</v>
      </c>
      <c r="B955" s="20" t="s">
        <v>1059</v>
      </c>
      <c r="C955" s="20" t="s">
        <v>1131</v>
      </c>
      <c r="D955" s="20" t="s">
        <v>13</v>
      </c>
      <c r="E955" s="20" t="s">
        <v>13</v>
      </c>
      <c r="F955" s="20" t="s">
        <v>13</v>
      </c>
      <c r="G955" s="20" t="s">
        <v>1126</v>
      </c>
      <c r="H955" s="20" t="s">
        <v>13</v>
      </c>
      <c r="I955" s="4"/>
    </row>
    <row r="956">
      <c r="A956" s="27">
        <v>952.0</v>
      </c>
      <c r="B956" s="20" t="s">
        <v>1059</v>
      </c>
      <c r="C956" s="20" t="s">
        <v>1132</v>
      </c>
      <c r="D956" s="20">
        <v>60.0</v>
      </c>
      <c r="E956" s="20" t="s">
        <v>13</v>
      </c>
      <c r="F956" s="20" t="s">
        <v>13</v>
      </c>
      <c r="G956" s="20" t="s">
        <v>13</v>
      </c>
      <c r="H956" s="20" t="s">
        <v>13</v>
      </c>
      <c r="I956" s="4"/>
    </row>
    <row r="957">
      <c r="A957" s="27">
        <v>953.0</v>
      </c>
      <c r="B957" s="20" t="s">
        <v>1059</v>
      </c>
      <c r="C957" s="20" t="s">
        <v>1133</v>
      </c>
      <c r="D957" s="20" t="s">
        <v>13</v>
      </c>
      <c r="E957" s="20" t="s">
        <v>13</v>
      </c>
      <c r="F957" s="20" t="s">
        <v>13</v>
      </c>
      <c r="G957" s="20" t="s">
        <v>13</v>
      </c>
      <c r="H957" s="20" t="s">
        <v>13</v>
      </c>
      <c r="I957" s="4"/>
    </row>
    <row r="958">
      <c r="A958" s="27">
        <v>954.0</v>
      </c>
      <c r="B958" s="20" t="s">
        <v>1059</v>
      </c>
      <c r="C958" s="20" t="s">
        <v>1134</v>
      </c>
      <c r="D958" s="20" t="s">
        <v>13</v>
      </c>
      <c r="E958" s="20">
        <v>1.6310977E7</v>
      </c>
      <c r="F958" s="20" t="s">
        <v>13</v>
      </c>
      <c r="G958" s="20" t="s">
        <v>13</v>
      </c>
      <c r="H958" s="20" t="s">
        <v>13</v>
      </c>
      <c r="I958" s="4"/>
    </row>
    <row r="959">
      <c r="A959" s="27">
        <v>955.0</v>
      </c>
      <c r="B959" s="20" t="s">
        <v>1059</v>
      </c>
      <c r="C959" s="20" t="s">
        <v>1135</v>
      </c>
      <c r="D959" s="20" t="s">
        <v>13</v>
      </c>
      <c r="E959" s="20" t="s">
        <v>13</v>
      </c>
      <c r="F959" s="20" t="s">
        <v>13</v>
      </c>
      <c r="G959" s="20" t="s">
        <v>13</v>
      </c>
      <c r="H959" s="20" t="s">
        <v>13</v>
      </c>
      <c r="I959" s="4"/>
    </row>
    <row r="960">
      <c r="A960" s="27">
        <v>956.0</v>
      </c>
      <c r="B960" s="20" t="s">
        <v>1059</v>
      </c>
      <c r="C960" s="20" t="s">
        <v>1136</v>
      </c>
      <c r="D960" s="20">
        <v>13.0</v>
      </c>
      <c r="E960" s="20" t="s">
        <v>13</v>
      </c>
      <c r="F960" s="20" t="s">
        <v>13</v>
      </c>
      <c r="G960" s="20" t="s">
        <v>1088</v>
      </c>
      <c r="H960" s="20" t="s">
        <v>13</v>
      </c>
      <c r="I960" s="4"/>
    </row>
    <row r="961">
      <c r="A961" s="27">
        <v>957.0</v>
      </c>
      <c r="B961" s="20" t="s">
        <v>1059</v>
      </c>
      <c r="C961" s="20" t="s">
        <v>1137</v>
      </c>
      <c r="D961" s="20" t="s">
        <v>13</v>
      </c>
      <c r="E961" s="20" t="s">
        <v>13</v>
      </c>
      <c r="F961" s="20" t="s">
        <v>13</v>
      </c>
      <c r="G961" s="20" t="s">
        <v>13</v>
      </c>
      <c r="H961" s="20" t="s">
        <v>13</v>
      </c>
      <c r="I961" s="4"/>
    </row>
    <row r="962">
      <c r="A962" s="27">
        <v>958.0</v>
      </c>
      <c r="B962" s="20" t="s">
        <v>1059</v>
      </c>
      <c r="C962" s="20" t="s">
        <v>1137</v>
      </c>
      <c r="D962" s="20" t="s">
        <v>13</v>
      </c>
      <c r="E962" s="20">
        <v>1.4536129E7</v>
      </c>
      <c r="F962" s="20" t="s">
        <v>13</v>
      </c>
      <c r="G962" s="20" t="s">
        <v>545</v>
      </c>
      <c r="H962" s="20" t="s">
        <v>13</v>
      </c>
      <c r="I962" s="4"/>
    </row>
    <row r="963">
      <c r="A963" s="27">
        <v>959.0</v>
      </c>
      <c r="B963" s="20" t="s">
        <v>1059</v>
      </c>
      <c r="C963" s="20" t="s">
        <v>1138</v>
      </c>
      <c r="D963" s="20">
        <v>48.0</v>
      </c>
      <c r="E963" s="20" t="s">
        <v>14</v>
      </c>
      <c r="F963" s="20" t="s">
        <v>13</v>
      </c>
      <c r="G963" s="20" t="s">
        <v>13</v>
      </c>
      <c r="H963" s="20" t="s">
        <v>15</v>
      </c>
      <c r="I963" s="4"/>
    </row>
    <row r="964">
      <c r="A964" s="27">
        <v>960.0</v>
      </c>
      <c r="B964" s="20" t="s">
        <v>1059</v>
      </c>
      <c r="C964" s="20" t="s">
        <v>395</v>
      </c>
      <c r="D964" s="20" t="s">
        <v>13</v>
      </c>
      <c r="E964" s="20" t="s">
        <v>13</v>
      </c>
      <c r="F964" s="20" t="s">
        <v>13</v>
      </c>
      <c r="G964" s="20" t="s">
        <v>13</v>
      </c>
      <c r="H964" s="20" t="s">
        <v>13</v>
      </c>
      <c r="I964" s="4"/>
    </row>
    <row r="965">
      <c r="A965" s="27">
        <v>961.0</v>
      </c>
      <c r="B965" s="20" t="s">
        <v>1059</v>
      </c>
      <c r="C965" s="20" t="s">
        <v>1139</v>
      </c>
      <c r="D965" s="20" t="s">
        <v>13</v>
      </c>
      <c r="E965" s="20" t="s">
        <v>13</v>
      </c>
      <c r="F965" s="20" t="s">
        <v>13</v>
      </c>
      <c r="G965" s="20" t="s">
        <v>545</v>
      </c>
      <c r="H965" s="20" t="s">
        <v>13</v>
      </c>
      <c r="I965" s="4"/>
    </row>
    <row r="966">
      <c r="A966" s="27">
        <v>962.0</v>
      </c>
      <c r="B966" s="20" t="s">
        <v>1059</v>
      </c>
      <c r="C966" s="20" t="s">
        <v>1140</v>
      </c>
      <c r="D966" s="20" t="s">
        <v>13</v>
      </c>
      <c r="E966" s="20" t="s">
        <v>13</v>
      </c>
      <c r="F966" s="20" t="s">
        <v>13</v>
      </c>
      <c r="G966" s="20" t="s">
        <v>13</v>
      </c>
      <c r="H966" s="20" t="s">
        <v>13</v>
      </c>
      <c r="I966" s="4"/>
    </row>
    <row r="967">
      <c r="A967" s="27">
        <v>963.0</v>
      </c>
      <c r="B967" s="20" t="s">
        <v>1059</v>
      </c>
      <c r="C967" s="20" t="s">
        <v>1141</v>
      </c>
      <c r="D967" s="20" t="s">
        <v>13</v>
      </c>
      <c r="E967" s="20">
        <v>1.4314453E7</v>
      </c>
      <c r="F967" s="20" t="s">
        <v>13</v>
      </c>
      <c r="G967" s="20" t="s">
        <v>1142</v>
      </c>
      <c r="H967" s="20" t="s">
        <v>13</v>
      </c>
      <c r="I967" s="4"/>
    </row>
    <row r="968">
      <c r="A968" s="27">
        <v>964.0</v>
      </c>
      <c r="B968" s="20" t="s">
        <v>1059</v>
      </c>
      <c r="C968" s="20" t="s">
        <v>1143</v>
      </c>
      <c r="D968" s="20">
        <v>20.0</v>
      </c>
      <c r="E968" s="20" t="s">
        <v>13</v>
      </c>
      <c r="F968" s="20" t="s">
        <v>13</v>
      </c>
      <c r="G968" s="20" t="s">
        <v>346</v>
      </c>
      <c r="H968" s="20" t="s">
        <v>13</v>
      </c>
      <c r="I968" s="4"/>
    </row>
    <row r="969">
      <c r="A969" s="27">
        <v>965.0</v>
      </c>
      <c r="B969" s="20" t="s">
        <v>1059</v>
      </c>
      <c r="C969" s="20" t="s">
        <v>1144</v>
      </c>
      <c r="D969" s="20" t="s">
        <v>13</v>
      </c>
      <c r="E969" s="20" t="s">
        <v>13</v>
      </c>
      <c r="F969" s="20" t="s">
        <v>13</v>
      </c>
      <c r="G969" s="20" t="s">
        <v>13</v>
      </c>
      <c r="H969" s="20" t="s">
        <v>13</v>
      </c>
      <c r="I969" s="4"/>
    </row>
    <row r="970">
      <c r="A970" s="27">
        <v>966.0</v>
      </c>
      <c r="B970" s="20" t="s">
        <v>1059</v>
      </c>
      <c r="C970" s="20" t="s">
        <v>1145</v>
      </c>
      <c r="D970" s="20" t="s">
        <v>13</v>
      </c>
      <c r="E970" s="20" t="s">
        <v>13</v>
      </c>
      <c r="F970" s="20" t="s">
        <v>13</v>
      </c>
      <c r="G970" s="20" t="s">
        <v>13</v>
      </c>
      <c r="H970" s="20" t="s">
        <v>13</v>
      </c>
      <c r="I970" s="4"/>
    </row>
    <row r="971">
      <c r="A971" s="27">
        <v>967.0</v>
      </c>
      <c r="B971" s="20" t="s">
        <v>1059</v>
      </c>
      <c r="C971" s="20" t="s">
        <v>1146</v>
      </c>
      <c r="D971" s="20" t="s">
        <v>13</v>
      </c>
      <c r="E971" s="20">
        <v>1.8975095E7</v>
      </c>
      <c r="F971" s="20" t="s">
        <v>13</v>
      </c>
      <c r="G971" s="20" t="s">
        <v>545</v>
      </c>
      <c r="H971" s="20" t="s">
        <v>13</v>
      </c>
      <c r="I971" s="4"/>
    </row>
    <row r="972">
      <c r="A972" s="27">
        <v>968.0</v>
      </c>
      <c r="B972" s="20" t="s">
        <v>1059</v>
      </c>
      <c r="C972" s="20" t="s">
        <v>1147</v>
      </c>
      <c r="D972" s="20" t="s">
        <v>13</v>
      </c>
      <c r="E972" s="20" t="s">
        <v>1148</v>
      </c>
      <c r="F972" s="20" t="s">
        <v>13</v>
      </c>
      <c r="G972" s="20" t="s">
        <v>13</v>
      </c>
      <c r="H972" s="20" t="s">
        <v>15</v>
      </c>
      <c r="I972" s="4"/>
    </row>
    <row r="973">
      <c r="A973" s="28">
        <v>969.0</v>
      </c>
      <c r="B973" s="29" t="s">
        <v>1059</v>
      </c>
      <c r="C973" s="29" t="s">
        <v>1149</v>
      </c>
      <c r="D973" s="29" t="s">
        <v>13</v>
      </c>
      <c r="E973" s="29" t="s">
        <v>13</v>
      </c>
      <c r="F973" s="29" t="s">
        <v>13</v>
      </c>
      <c r="G973" s="29" t="s">
        <v>13</v>
      </c>
      <c r="H973" s="29" t="s">
        <v>13</v>
      </c>
      <c r="I973" s="4"/>
    </row>
    <row r="974">
      <c r="A974" s="28">
        <v>970.0</v>
      </c>
      <c r="B974" s="29" t="s">
        <v>1059</v>
      </c>
      <c r="C974" s="29" t="s">
        <v>1150</v>
      </c>
      <c r="D974" s="29" t="s">
        <v>13</v>
      </c>
      <c r="E974" s="29" t="s">
        <v>13</v>
      </c>
      <c r="F974" s="29" t="s">
        <v>13</v>
      </c>
      <c r="G974" s="29" t="s">
        <v>13</v>
      </c>
      <c r="H974" s="29" t="s">
        <v>13</v>
      </c>
      <c r="I974" s="4"/>
    </row>
    <row r="975">
      <c r="A975" s="28">
        <v>971.0</v>
      </c>
      <c r="B975" s="29" t="s">
        <v>1059</v>
      </c>
      <c r="C975" s="29" t="s">
        <v>1151</v>
      </c>
      <c r="D975" s="29" t="s">
        <v>13</v>
      </c>
      <c r="E975" s="29">
        <v>7.0</v>
      </c>
      <c r="F975" s="29" t="s">
        <v>13</v>
      </c>
      <c r="G975" s="29" t="s">
        <v>343</v>
      </c>
      <c r="H975" s="29" t="s">
        <v>13</v>
      </c>
      <c r="I975" s="4"/>
    </row>
    <row r="976">
      <c r="A976" s="28">
        <v>972.0</v>
      </c>
      <c r="B976" s="29" t="s">
        <v>1059</v>
      </c>
      <c r="C976" s="29" t="s">
        <v>1152</v>
      </c>
      <c r="D976" s="29" t="s">
        <v>13</v>
      </c>
      <c r="E976" s="29" t="s">
        <v>13</v>
      </c>
      <c r="F976" s="29" t="s">
        <v>13</v>
      </c>
      <c r="G976" s="29" t="s">
        <v>13</v>
      </c>
      <c r="H976" s="29" t="s">
        <v>13</v>
      </c>
      <c r="I976" s="4"/>
    </row>
    <row r="977">
      <c r="A977" s="28">
        <v>973.0</v>
      </c>
      <c r="B977" s="29" t="s">
        <v>1059</v>
      </c>
      <c r="C977" s="29" t="s">
        <v>1153</v>
      </c>
      <c r="D977" s="29" t="s">
        <v>13</v>
      </c>
      <c r="E977" s="29" t="s">
        <v>13</v>
      </c>
      <c r="F977" s="29" t="s">
        <v>13</v>
      </c>
      <c r="G977" s="29" t="s">
        <v>13</v>
      </c>
      <c r="H977" s="29" t="s">
        <v>13</v>
      </c>
      <c r="I977" s="4"/>
    </row>
    <row r="978">
      <c r="A978" s="28">
        <v>974.0</v>
      </c>
      <c r="B978" s="29" t="s">
        <v>1059</v>
      </c>
      <c r="C978" s="29" t="s">
        <v>1154</v>
      </c>
      <c r="D978" s="29" t="s">
        <v>13</v>
      </c>
      <c r="E978" s="29" t="s">
        <v>13</v>
      </c>
      <c r="F978" s="29" t="s">
        <v>13</v>
      </c>
      <c r="G978" s="29" t="s">
        <v>13</v>
      </c>
      <c r="H978" s="29" t="s">
        <v>13</v>
      </c>
      <c r="I978" s="4"/>
    </row>
    <row r="979">
      <c r="A979" s="28">
        <v>975.0</v>
      </c>
      <c r="B979" s="29" t="s">
        <v>1059</v>
      </c>
      <c r="C979" s="29" t="s">
        <v>1155</v>
      </c>
      <c r="D979" s="29">
        <v>50.0</v>
      </c>
      <c r="E979" s="29">
        <v>1.3044495E7</v>
      </c>
      <c r="F979" s="29" t="s">
        <v>13</v>
      </c>
      <c r="G979" s="29" t="s">
        <v>346</v>
      </c>
      <c r="H979" s="29" t="s">
        <v>13</v>
      </c>
      <c r="I979" s="4"/>
    </row>
    <row r="980">
      <c r="A980" s="28">
        <v>976.0</v>
      </c>
      <c r="B980" s="29" t="s">
        <v>1059</v>
      </c>
      <c r="C980" s="29" t="s">
        <v>1156</v>
      </c>
      <c r="D980" s="29" t="s">
        <v>13</v>
      </c>
      <c r="E980" s="29" t="s">
        <v>13</v>
      </c>
      <c r="F980" s="29" t="s">
        <v>13</v>
      </c>
      <c r="G980" s="29" t="s">
        <v>13</v>
      </c>
      <c r="H980" s="29" t="s">
        <v>13</v>
      </c>
      <c r="I980" s="4"/>
    </row>
    <row r="981">
      <c r="A981" s="28">
        <v>977.0</v>
      </c>
      <c r="B981" s="29" t="s">
        <v>1059</v>
      </c>
      <c r="C981" s="29" t="s">
        <v>1157</v>
      </c>
      <c r="D981" s="29" t="s">
        <v>13</v>
      </c>
      <c r="E981" s="29" t="s">
        <v>13</v>
      </c>
      <c r="F981" s="29" t="s">
        <v>13</v>
      </c>
      <c r="G981" s="29" t="s">
        <v>13</v>
      </c>
      <c r="H981" s="29" t="s">
        <v>13</v>
      </c>
      <c r="I981" s="4"/>
    </row>
    <row r="982">
      <c r="A982" s="28">
        <v>978.0</v>
      </c>
      <c r="B982" s="29" t="s">
        <v>1059</v>
      </c>
      <c r="C982" s="29" t="s">
        <v>1158</v>
      </c>
      <c r="D982" s="29" t="s">
        <v>13</v>
      </c>
      <c r="E982" s="29" t="s">
        <v>13</v>
      </c>
      <c r="F982" s="29" t="s">
        <v>13</v>
      </c>
      <c r="G982" s="29" t="s">
        <v>13</v>
      </c>
      <c r="H982" s="29" t="s">
        <v>13</v>
      </c>
      <c r="I982" s="4"/>
    </row>
    <row r="983">
      <c r="A983" s="28">
        <v>979.0</v>
      </c>
      <c r="B983" s="29" t="s">
        <v>1059</v>
      </c>
      <c r="C983" s="29" t="s">
        <v>1159</v>
      </c>
      <c r="D983" s="29" t="s">
        <v>13</v>
      </c>
      <c r="E983" s="29">
        <v>2.4713737E7</v>
      </c>
      <c r="F983" s="29" t="s">
        <v>13</v>
      </c>
      <c r="G983" s="29" t="s">
        <v>1160</v>
      </c>
      <c r="H983" s="29" t="s">
        <v>13</v>
      </c>
      <c r="I983" s="4"/>
    </row>
    <row r="984">
      <c r="A984" s="28">
        <v>980.0</v>
      </c>
      <c r="B984" s="29" t="s">
        <v>1059</v>
      </c>
      <c r="C984" s="29" t="s">
        <v>1161</v>
      </c>
      <c r="D984" s="29">
        <v>15.0</v>
      </c>
      <c r="E984" s="29" t="s">
        <v>14</v>
      </c>
      <c r="F984" s="29" t="s">
        <v>13</v>
      </c>
      <c r="G984" s="29" t="s">
        <v>13</v>
      </c>
      <c r="H984" s="29" t="s">
        <v>15</v>
      </c>
      <c r="I984" s="4"/>
    </row>
    <row r="985">
      <c r="A985" s="28">
        <v>981.0</v>
      </c>
      <c r="B985" s="29" t="s">
        <v>1059</v>
      </c>
      <c r="C985" s="29" t="s">
        <v>1162</v>
      </c>
      <c r="D985" s="29" t="s">
        <v>13</v>
      </c>
      <c r="E985" s="29" t="s">
        <v>13</v>
      </c>
      <c r="F985" s="29" t="s">
        <v>13</v>
      </c>
      <c r="G985" s="29" t="s">
        <v>13</v>
      </c>
      <c r="H985" s="29" t="s">
        <v>13</v>
      </c>
      <c r="I985" s="4"/>
    </row>
    <row r="986">
      <c r="A986" s="28">
        <v>982.0</v>
      </c>
      <c r="B986" s="29" t="s">
        <v>1059</v>
      </c>
      <c r="C986" s="29" t="s">
        <v>1163</v>
      </c>
      <c r="D986" s="29" t="s">
        <v>13</v>
      </c>
      <c r="E986" s="29">
        <v>2.1191038E7</v>
      </c>
      <c r="F986" s="29" t="s">
        <v>13</v>
      </c>
      <c r="G986" s="29" t="s">
        <v>986</v>
      </c>
      <c r="H986" s="29" t="s">
        <v>13</v>
      </c>
      <c r="I986" s="4"/>
    </row>
    <row r="987">
      <c r="A987" s="28">
        <v>983.0</v>
      </c>
      <c r="B987" s="29" t="s">
        <v>1059</v>
      </c>
      <c r="C987" s="29" t="s">
        <v>1164</v>
      </c>
      <c r="D987" s="29">
        <v>4.0</v>
      </c>
      <c r="E987" s="29" t="s">
        <v>13</v>
      </c>
      <c r="F987" s="29" t="s">
        <v>13</v>
      </c>
      <c r="G987" s="29" t="s">
        <v>1126</v>
      </c>
      <c r="H987" s="29" t="s">
        <v>13</v>
      </c>
      <c r="I987" s="4"/>
    </row>
    <row r="988">
      <c r="A988" s="28">
        <v>984.0</v>
      </c>
      <c r="B988" s="29" t="s">
        <v>1059</v>
      </c>
      <c r="C988" s="29" t="s">
        <v>1165</v>
      </c>
      <c r="D988" s="29" t="s">
        <v>13</v>
      </c>
      <c r="E988" s="29">
        <v>6801699.0</v>
      </c>
      <c r="F988" s="29" t="s">
        <v>13</v>
      </c>
      <c r="G988" s="29" t="s">
        <v>330</v>
      </c>
      <c r="H988" s="29" t="s">
        <v>13</v>
      </c>
      <c r="I988" s="4"/>
    </row>
    <row r="989">
      <c r="A989" s="28">
        <v>985.0</v>
      </c>
      <c r="B989" s="29" t="s">
        <v>1059</v>
      </c>
      <c r="C989" s="29" t="s">
        <v>1166</v>
      </c>
      <c r="D989" s="29">
        <v>19.0</v>
      </c>
      <c r="E989" s="29" t="s">
        <v>13</v>
      </c>
      <c r="F989" s="29" t="s">
        <v>13</v>
      </c>
      <c r="G989" s="29" t="s">
        <v>346</v>
      </c>
      <c r="H989" s="29" t="s">
        <v>13</v>
      </c>
      <c r="I989" s="4"/>
    </row>
    <row r="990">
      <c r="A990" s="28">
        <v>986.0</v>
      </c>
      <c r="B990" s="29" t="s">
        <v>1059</v>
      </c>
      <c r="C990" s="29" t="s">
        <v>1167</v>
      </c>
      <c r="D990" s="29" t="s">
        <v>13</v>
      </c>
      <c r="E990" s="29" t="s">
        <v>13</v>
      </c>
      <c r="F990" s="29" t="s">
        <v>13</v>
      </c>
      <c r="G990" s="29" t="s">
        <v>13</v>
      </c>
      <c r="H990" s="29" t="s">
        <v>13</v>
      </c>
      <c r="I990" s="4"/>
    </row>
    <row r="991">
      <c r="A991" s="28">
        <v>987.0</v>
      </c>
      <c r="B991" s="29" t="s">
        <v>1059</v>
      </c>
      <c r="C991" s="29" t="s">
        <v>1168</v>
      </c>
      <c r="D991" s="29">
        <v>24.0</v>
      </c>
      <c r="E991" s="29">
        <v>2.960966E7</v>
      </c>
      <c r="F991" s="29" t="s">
        <v>13</v>
      </c>
      <c r="G991" s="29" t="s">
        <v>346</v>
      </c>
      <c r="H991" s="29" t="s">
        <v>13</v>
      </c>
      <c r="I991" s="4"/>
    </row>
    <row r="992">
      <c r="A992" s="28">
        <v>988.0</v>
      </c>
      <c r="B992" s="29" t="s">
        <v>1059</v>
      </c>
      <c r="C992" s="29" t="s">
        <v>1169</v>
      </c>
      <c r="D992" s="29" t="s">
        <v>13</v>
      </c>
      <c r="E992" s="29">
        <v>3.3218202E7</v>
      </c>
      <c r="F992" s="29" t="s">
        <v>13</v>
      </c>
      <c r="G992" s="29" t="s">
        <v>346</v>
      </c>
      <c r="H992" s="29" t="s">
        <v>13</v>
      </c>
      <c r="I992" s="4"/>
    </row>
    <row r="993">
      <c r="A993" s="28">
        <v>989.0</v>
      </c>
      <c r="B993" s="29" t="s">
        <v>1059</v>
      </c>
      <c r="C993" s="29" t="s">
        <v>1170</v>
      </c>
      <c r="D993" s="29" t="s">
        <v>13</v>
      </c>
      <c r="E993" s="29" t="s">
        <v>13</v>
      </c>
      <c r="F993" s="29" t="s">
        <v>13</v>
      </c>
      <c r="G993" s="29" t="s">
        <v>346</v>
      </c>
      <c r="H993" s="29" t="s">
        <v>13</v>
      </c>
      <c r="I993" s="4"/>
    </row>
    <row r="994">
      <c r="A994" s="28">
        <v>990.0</v>
      </c>
      <c r="B994" s="29" t="s">
        <v>1059</v>
      </c>
      <c r="C994" s="29" t="s">
        <v>1171</v>
      </c>
      <c r="D994" s="29">
        <v>36.0</v>
      </c>
      <c r="E994" s="29">
        <v>1.875657E7</v>
      </c>
      <c r="F994" s="29" t="s">
        <v>13</v>
      </c>
      <c r="G994" s="29" t="s">
        <v>1126</v>
      </c>
      <c r="H994" s="29" t="s">
        <v>13</v>
      </c>
      <c r="I994" s="4"/>
    </row>
    <row r="995">
      <c r="A995" s="28">
        <v>991.0</v>
      </c>
      <c r="B995" s="29" t="s">
        <v>1059</v>
      </c>
      <c r="C995" s="29" t="s">
        <v>1172</v>
      </c>
      <c r="D995" s="29" t="s">
        <v>13</v>
      </c>
      <c r="E995" s="29" t="s">
        <v>13</v>
      </c>
      <c r="F995" s="29" t="s">
        <v>13</v>
      </c>
      <c r="G995" s="29" t="s">
        <v>13</v>
      </c>
      <c r="H995" s="29" t="s">
        <v>13</v>
      </c>
      <c r="I995" s="4"/>
    </row>
    <row r="996">
      <c r="A996" s="28">
        <v>992.0</v>
      </c>
      <c r="B996" s="29" t="s">
        <v>1059</v>
      </c>
      <c r="C996" s="29" t="s">
        <v>1173</v>
      </c>
      <c r="D996" s="29" t="s">
        <v>13</v>
      </c>
      <c r="E996" s="29" t="s">
        <v>14</v>
      </c>
      <c r="F996" s="29" t="s">
        <v>13</v>
      </c>
      <c r="G996" s="29" t="s">
        <v>13</v>
      </c>
      <c r="H996" s="29" t="s">
        <v>15</v>
      </c>
      <c r="I996" s="4"/>
    </row>
    <row r="997">
      <c r="A997" s="28">
        <v>993.0</v>
      </c>
      <c r="B997" s="29" t="s">
        <v>1059</v>
      </c>
      <c r="C997" s="29" t="s">
        <v>1174</v>
      </c>
      <c r="D997" s="29" t="s">
        <v>13</v>
      </c>
      <c r="E997" s="29">
        <v>2.966523E7</v>
      </c>
      <c r="F997" s="29" t="s">
        <v>13</v>
      </c>
      <c r="G997" s="29" t="s">
        <v>343</v>
      </c>
      <c r="H997" s="29" t="s">
        <v>13</v>
      </c>
      <c r="I997" s="4"/>
    </row>
    <row r="998">
      <c r="A998" s="28">
        <v>994.0</v>
      </c>
      <c r="B998" s="29" t="s">
        <v>1059</v>
      </c>
      <c r="C998" s="29" t="s">
        <v>1175</v>
      </c>
      <c r="D998" s="29" t="s">
        <v>13</v>
      </c>
      <c r="E998" s="29" t="s">
        <v>14</v>
      </c>
      <c r="F998" s="29" t="s">
        <v>13</v>
      </c>
      <c r="G998" s="29" t="s">
        <v>13</v>
      </c>
      <c r="H998" s="29" t="s">
        <v>15</v>
      </c>
      <c r="I998" s="4"/>
    </row>
    <row r="999">
      <c r="A999" s="28">
        <v>995.0</v>
      </c>
      <c r="B999" s="29" t="s">
        <v>1059</v>
      </c>
      <c r="C999" s="29" t="s">
        <v>1176</v>
      </c>
      <c r="D999" s="29">
        <v>41.0</v>
      </c>
      <c r="E999" s="29" t="s">
        <v>13</v>
      </c>
      <c r="F999" s="29" t="s">
        <v>13</v>
      </c>
      <c r="G999" s="29" t="s">
        <v>346</v>
      </c>
      <c r="H999" s="29" t="s">
        <v>13</v>
      </c>
      <c r="I999" s="4"/>
    </row>
    <row r="1000">
      <c r="A1000" s="28">
        <v>996.0</v>
      </c>
      <c r="B1000" s="29" t="s">
        <v>1059</v>
      </c>
      <c r="C1000" s="29" t="s">
        <v>1177</v>
      </c>
      <c r="D1000" s="29" t="s">
        <v>13</v>
      </c>
      <c r="E1000" s="29" t="s">
        <v>13</v>
      </c>
      <c r="F1000" s="29" t="s">
        <v>13</v>
      </c>
      <c r="G1000" s="29" t="s">
        <v>1160</v>
      </c>
      <c r="H1000" s="29" t="s">
        <v>13</v>
      </c>
      <c r="I1000" s="4"/>
    </row>
    <row r="1001">
      <c r="A1001" s="28">
        <v>997.0</v>
      </c>
      <c r="B1001" s="29" t="s">
        <v>1059</v>
      </c>
      <c r="C1001" s="29" t="s">
        <v>1178</v>
      </c>
      <c r="D1001" s="29" t="s">
        <v>13</v>
      </c>
      <c r="E1001" s="29" t="s">
        <v>14</v>
      </c>
      <c r="F1001" s="29" t="s">
        <v>13</v>
      </c>
      <c r="G1001" s="29" t="s">
        <v>13</v>
      </c>
      <c r="H1001" s="29" t="s">
        <v>15</v>
      </c>
      <c r="I1001" s="4"/>
    </row>
    <row r="1002">
      <c r="A1002" s="28">
        <v>998.0</v>
      </c>
      <c r="B1002" s="29" t="s">
        <v>1059</v>
      </c>
      <c r="C1002" s="29" t="s">
        <v>1179</v>
      </c>
      <c r="D1002" s="29">
        <v>6.0</v>
      </c>
      <c r="E1002" s="29" t="s">
        <v>13</v>
      </c>
      <c r="F1002" s="29" t="s">
        <v>13</v>
      </c>
      <c r="G1002" s="29" t="s">
        <v>346</v>
      </c>
      <c r="H1002" s="29" t="s">
        <v>13</v>
      </c>
      <c r="I1002" s="4"/>
    </row>
    <row r="1003">
      <c r="A1003" s="28">
        <v>999.0</v>
      </c>
      <c r="B1003" s="29" t="s">
        <v>1059</v>
      </c>
      <c r="C1003" s="29" t="s">
        <v>1180</v>
      </c>
      <c r="D1003" s="29" t="s">
        <v>13</v>
      </c>
      <c r="E1003" s="29" t="s">
        <v>13</v>
      </c>
      <c r="F1003" s="29" t="s">
        <v>13</v>
      </c>
      <c r="G1003" s="29" t="s">
        <v>13</v>
      </c>
      <c r="H1003" s="29" t="s">
        <v>13</v>
      </c>
      <c r="I1003" s="4"/>
    </row>
    <row r="1004">
      <c r="A1004" s="28">
        <v>1000.0</v>
      </c>
      <c r="B1004" s="29" t="s">
        <v>1059</v>
      </c>
      <c r="C1004" s="29" t="s">
        <v>656</v>
      </c>
      <c r="D1004" s="29" t="s">
        <v>13</v>
      </c>
      <c r="E1004" s="29">
        <v>1.8140377E7</v>
      </c>
      <c r="F1004" s="29" t="s">
        <v>13</v>
      </c>
      <c r="G1004" s="29" t="s">
        <v>1126</v>
      </c>
      <c r="H1004" s="29" t="s">
        <v>13</v>
      </c>
      <c r="I1004" s="4"/>
    </row>
    <row r="1005">
      <c r="A1005" s="28">
        <v>1001.0</v>
      </c>
      <c r="B1005" s="29" t="s">
        <v>1059</v>
      </c>
      <c r="C1005" s="29" t="s">
        <v>1181</v>
      </c>
      <c r="D1005" s="29" t="s">
        <v>13</v>
      </c>
      <c r="E1005" s="29" t="s">
        <v>13</v>
      </c>
      <c r="F1005" s="29" t="s">
        <v>13</v>
      </c>
      <c r="G1005" s="29" t="s">
        <v>13</v>
      </c>
      <c r="H1005" s="29" t="s">
        <v>13</v>
      </c>
      <c r="I1005" s="4"/>
    </row>
    <row r="1006">
      <c r="A1006" s="28">
        <v>1002.0</v>
      </c>
      <c r="B1006" s="29" t="s">
        <v>1059</v>
      </c>
      <c r="C1006" s="29" t="s">
        <v>1182</v>
      </c>
      <c r="D1006" s="29">
        <v>10.0</v>
      </c>
      <c r="E1006" s="29" t="s">
        <v>13</v>
      </c>
      <c r="F1006" s="29" t="s">
        <v>13</v>
      </c>
      <c r="G1006" s="29" t="s">
        <v>346</v>
      </c>
      <c r="H1006" s="29" t="s">
        <v>13</v>
      </c>
      <c r="I1006" s="4"/>
    </row>
    <row r="1007">
      <c r="A1007" s="28">
        <v>1003.0</v>
      </c>
      <c r="B1007" s="29" t="s">
        <v>1059</v>
      </c>
      <c r="C1007" s="29" t="s">
        <v>1183</v>
      </c>
      <c r="D1007" s="29">
        <v>3.0</v>
      </c>
      <c r="E1007" s="29" t="s">
        <v>13</v>
      </c>
      <c r="F1007" s="29" t="s">
        <v>13</v>
      </c>
      <c r="G1007" s="29" t="s">
        <v>346</v>
      </c>
      <c r="H1007" s="29" t="s">
        <v>13</v>
      </c>
      <c r="I1007" s="4"/>
    </row>
    <row r="1008">
      <c r="A1008" s="28">
        <v>1004.0</v>
      </c>
      <c r="B1008" s="29" t="s">
        <v>1059</v>
      </c>
      <c r="C1008" s="29" t="s">
        <v>1184</v>
      </c>
      <c r="D1008" s="29" t="s">
        <v>13</v>
      </c>
      <c r="E1008" s="29" t="s">
        <v>13</v>
      </c>
      <c r="F1008" s="29" t="s">
        <v>13</v>
      </c>
      <c r="G1008" s="29" t="s">
        <v>346</v>
      </c>
      <c r="H1008" s="29" t="s">
        <v>13</v>
      </c>
      <c r="I1008" s="4"/>
    </row>
    <row r="1009">
      <c r="A1009" s="28">
        <v>1005.0</v>
      </c>
      <c r="B1009" s="29" t="s">
        <v>1059</v>
      </c>
      <c r="C1009" s="29" t="s">
        <v>1185</v>
      </c>
      <c r="D1009" s="29" t="s">
        <v>13</v>
      </c>
      <c r="E1009" s="29" t="s">
        <v>13</v>
      </c>
      <c r="F1009" s="29" t="s">
        <v>13</v>
      </c>
      <c r="G1009" s="29" t="s">
        <v>13</v>
      </c>
      <c r="H1009" s="29" t="s">
        <v>13</v>
      </c>
      <c r="I1009" s="4"/>
    </row>
    <row r="1010">
      <c r="A1010" s="28">
        <v>1006.0</v>
      </c>
      <c r="B1010" s="29" t="s">
        <v>1059</v>
      </c>
      <c r="C1010" s="29" t="s">
        <v>1186</v>
      </c>
      <c r="D1010" s="29">
        <v>39.0</v>
      </c>
      <c r="E1010" s="29" t="s">
        <v>14</v>
      </c>
      <c r="F1010" s="29" t="s">
        <v>13</v>
      </c>
      <c r="G1010" s="29" t="s">
        <v>13</v>
      </c>
      <c r="H1010" s="29" t="s">
        <v>15</v>
      </c>
      <c r="I1010" s="4"/>
    </row>
    <row r="1011">
      <c r="A1011" s="28">
        <v>1007.0</v>
      </c>
      <c r="B1011" s="29" t="s">
        <v>1059</v>
      </c>
      <c r="C1011" s="29" t="s">
        <v>1187</v>
      </c>
      <c r="D1011" s="29" t="s">
        <v>13</v>
      </c>
      <c r="E1011" s="29" t="s">
        <v>13</v>
      </c>
      <c r="F1011" s="29" t="s">
        <v>13</v>
      </c>
      <c r="G1011" s="29" t="s">
        <v>13</v>
      </c>
      <c r="H1011" s="29" t="s">
        <v>13</v>
      </c>
      <c r="I1011" s="4"/>
    </row>
    <row r="1012">
      <c r="A1012" s="28">
        <v>1008.0</v>
      </c>
      <c r="B1012" s="29" t="s">
        <v>1059</v>
      </c>
      <c r="C1012" s="29" t="s">
        <v>1188</v>
      </c>
      <c r="D1012" s="29" t="s">
        <v>13</v>
      </c>
      <c r="E1012" s="29" t="s">
        <v>13</v>
      </c>
      <c r="F1012" s="29" t="s">
        <v>13</v>
      </c>
      <c r="G1012" s="29" t="s">
        <v>13</v>
      </c>
      <c r="H1012" s="29" t="s">
        <v>13</v>
      </c>
      <c r="I1012" s="4"/>
    </row>
    <row r="1013">
      <c r="A1013" s="28">
        <v>1009.0</v>
      </c>
      <c r="B1013" s="29" t="s">
        <v>1059</v>
      </c>
      <c r="C1013" s="29" t="s">
        <v>1189</v>
      </c>
      <c r="D1013" s="29">
        <v>39.0</v>
      </c>
      <c r="E1013" s="29" t="s">
        <v>13</v>
      </c>
      <c r="F1013" s="29" t="s">
        <v>13</v>
      </c>
      <c r="G1013" s="29" t="s">
        <v>13</v>
      </c>
      <c r="H1013" s="29" t="s">
        <v>13</v>
      </c>
      <c r="I1013" s="4"/>
    </row>
    <row r="1014">
      <c r="A1014" s="28">
        <v>1010.0</v>
      </c>
      <c r="B1014" s="29" t="s">
        <v>1059</v>
      </c>
      <c r="C1014" s="29" t="s">
        <v>1190</v>
      </c>
      <c r="D1014" s="29" t="s">
        <v>13</v>
      </c>
      <c r="E1014" s="29">
        <v>2.0007998E7</v>
      </c>
      <c r="F1014" s="29" t="s">
        <v>13</v>
      </c>
      <c r="G1014" s="29" t="s">
        <v>1191</v>
      </c>
      <c r="H1014" s="29" t="s">
        <v>13</v>
      </c>
      <c r="I1014" s="4"/>
    </row>
    <row r="1015">
      <c r="A1015" s="28">
        <v>1011.0</v>
      </c>
      <c r="B1015" s="29" t="s">
        <v>1059</v>
      </c>
      <c r="C1015" s="29" t="s">
        <v>1192</v>
      </c>
      <c r="D1015" s="29" t="s">
        <v>13</v>
      </c>
      <c r="E1015" s="29" t="s">
        <v>13</v>
      </c>
      <c r="F1015" s="29" t="s">
        <v>13</v>
      </c>
      <c r="G1015" s="29" t="s">
        <v>13</v>
      </c>
      <c r="H1015" s="29" t="s">
        <v>13</v>
      </c>
      <c r="I1015" s="4"/>
    </row>
    <row r="1016">
      <c r="A1016" s="28">
        <v>1012.0</v>
      </c>
      <c r="B1016" s="29" t="s">
        <v>1059</v>
      </c>
      <c r="C1016" s="29" t="s">
        <v>1193</v>
      </c>
      <c r="D1016" s="29" t="s">
        <v>13</v>
      </c>
      <c r="E1016" s="29" t="s">
        <v>13</v>
      </c>
      <c r="F1016" s="29" t="s">
        <v>13</v>
      </c>
      <c r="G1016" s="29" t="s">
        <v>346</v>
      </c>
      <c r="H1016" s="29" t="s">
        <v>13</v>
      </c>
      <c r="I1016" s="4"/>
    </row>
    <row r="1017">
      <c r="A1017" s="28">
        <v>1013.0</v>
      </c>
      <c r="B1017" s="29" t="s">
        <v>1059</v>
      </c>
      <c r="C1017" s="29" t="s">
        <v>1194</v>
      </c>
      <c r="D1017" s="29" t="s">
        <v>13</v>
      </c>
      <c r="E1017" s="29" t="s">
        <v>13</v>
      </c>
      <c r="F1017" s="29" t="s">
        <v>13</v>
      </c>
      <c r="G1017" s="29" t="s">
        <v>13</v>
      </c>
      <c r="H1017" s="29" t="s">
        <v>13</v>
      </c>
      <c r="I1017" s="4"/>
    </row>
    <row r="1018">
      <c r="A1018" s="28">
        <v>1014.0</v>
      </c>
      <c r="B1018" s="29" t="s">
        <v>1059</v>
      </c>
      <c r="C1018" s="29" t="s">
        <v>1195</v>
      </c>
      <c r="D1018" s="29" t="s">
        <v>13</v>
      </c>
      <c r="E1018" s="29" t="s">
        <v>13</v>
      </c>
      <c r="F1018" s="29" t="s">
        <v>13</v>
      </c>
      <c r="G1018" s="29" t="s">
        <v>13</v>
      </c>
      <c r="H1018" s="29" t="s">
        <v>13</v>
      </c>
      <c r="I1018" s="4"/>
    </row>
    <row r="1019">
      <c r="A1019" s="28">
        <v>1015.0</v>
      </c>
      <c r="B1019" s="29" t="s">
        <v>1059</v>
      </c>
      <c r="C1019" s="29" t="s">
        <v>1196</v>
      </c>
      <c r="D1019" s="29" t="s">
        <v>13</v>
      </c>
      <c r="E1019" s="29" t="s">
        <v>14</v>
      </c>
      <c r="F1019" s="29" t="s">
        <v>13</v>
      </c>
      <c r="G1019" s="29" t="s">
        <v>13</v>
      </c>
      <c r="H1019" s="29" t="s">
        <v>15</v>
      </c>
      <c r="I1019" s="4"/>
    </row>
    <row r="1020">
      <c r="A1020" s="28">
        <v>1016.0</v>
      </c>
      <c r="B1020" s="29" t="s">
        <v>1059</v>
      </c>
      <c r="C1020" s="29" t="s">
        <v>1197</v>
      </c>
      <c r="D1020" s="29" t="s">
        <v>13</v>
      </c>
      <c r="E1020" s="29" t="s">
        <v>14</v>
      </c>
      <c r="F1020" s="29" t="s">
        <v>13</v>
      </c>
      <c r="G1020" s="29" t="s">
        <v>13</v>
      </c>
      <c r="H1020" s="29" t="s">
        <v>15</v>
      </c>
      <c r="I1020" s="4"/>
    </row>
    <row r="1021">
      <c r="A1021" s="28">
        <v>1017.0</v>
      </c>
      <c r="B1021" s="29" t="s">
        <v>1059</v>
      </c>
      <c r="C1021" s="29" t="s">
        <v>1198</v>
      </c>
      <c r="D1021" s="29">
        <v>70.0</v>
      </c>
      <c r="E1021" s="29" t="s">
        <v>14</v>
      </c>
      <c r="F1021" s="29" t="s">
        <v>13</v>
      </c>
      <c r="G1021" s="29" t="s">
        <v>13</v>
      </c>
      <c r="H1021" s="29" t="s">
        <v>15</v>
      </c>
      <c r="I1021" s="4"/>
    </row>
    <row r="1022">
      <c r="A1022" s="28">
        <v>1018.0</v>
      </c>
      <c r="B1022" s="29" t="s">
        <v>1059</v>
      </c>
      <c r="C1022" s="29" t="s">
        <v>1199</v>
      </c>
      <c r="D1022" s="29" t="s">
        <v>13</v>
      </c>
      <c r="E1022" s="29" t="s">
        <v>13</v>
      </c>
      <c r="F1022" s="29" t="s">
        <v>13</v>
      </c>
      <c r="G1022" s="29" t="s">
        <v>13</v>
      </c>
      <c r="H1022" s="29" t="s">
        <v>13</v>
      </c>
      <c r="I1022" s="4"/>
    </row>
    <row r="1023">
      <c r="A1023" s="28">
        <v>1019.0</v>
      </c>
      <c r="B1023" s="29" t="s">
        <v>1059</v>
      </c>
      <c r="C1023" s="29" t="s">
        <v>1200</v>
      </c>
      <c r="D1023" s="29">
        <v>83.0</v>
      </c>
      <c r="E1023" s="29" t="s">
        <v>13</v>
      </c>
      <c r="F1023" s="29" t="s">
        <v>13</v>
      </c>
      <c r="G1023" s="29" t="s">
        <v>1078</v>
      </c>
      <c r="H1023" s="29" t="s">
        <v>13</v>
      </c>
      <c r="I1023" s="4"/>
    </row>
    <row r="1024">
      <c r="A1024" s="28">
        <v>1020.0</v>
      </c>
      <c r="B1024" s="29" t="s">
        <v>1059</v>
      </c>
      <c r="C1024" s="29" t="s">
        <v>1201</v>
      </c>
      <c r="D1024" s="29">
        <v>4.0</v>
      </c>
      <c r="E1024" s="29" t="s">
        <v>13</v>
      </c>
      <c r="F1024" s="29" t="s">
        <v>13</v>
      </c>
      <c r="G1024" s="29" t="s">
        <v>1126</v>
      </c>
      <c r="H1024" s="29" t="s">
        <v>13</v>
      </c>
      <c r="I1024" s="4"/>
    </row>
    <row r="1025">
      <c r="A1025" s="28">
        <v>1021.0</v>
      </c>
      <c r="B1025" s="29" t="s">
        <v>1059</v>
      </c>
      <c r="C1025" s="29" t="s">
        <v>1202</v>
      </c>
      <c r="D1025" s="29">
        <v>61.0</v>
      </c>
      <c r="E1025" s="29" t="s">
        <v>13</v>
      </c>
      <c r="F1025" s="29" t="s">
        <v>13</v>
      </c>
      <c r="G1025" s="29" t="s">
        <v>545</v>
      </c>
      <c r="H1025" s="29" t="s">
        <v>13</v>
      </c>
      <c r="I1025" s="4"/>
    </row>
    <row r="1026">
      <c r="A1026" s="28">
        <v>1022.0</v>
      </c>
      <c r="B1026" s="29" t="s">
        <v>1059</v>
      </c>
      <c r="C1026" s="29" t="s">
        <v>1203</v>
      </c>
      <c r="D1026" s="29" t="s">
        <v>13</v>
      </c>
      <c r="E1026" s="29" t="s">
        <v>13</v>
      </c>
      <c r="F1026" s="29" t="s">
        <v>13</v>
      </c>
      <c r="G1026" s="29" t="s">
        <v>13</v>
      </c>
      <c r="H1026" s="29" t="s">
        <v>13</v>
      </c>
      <c r="I1026" s="4"/>
    </row>
    <row r="1027">
      <c r="A1027" s="28">
        <v>1023.0</v>
      </c>
      <c r="B1027" s="29" t="s">
        <v>1059</v>
      </c>
      <c r="C1027" s="29" t="s">
        <v>1204</v>
      </c>
      <c r="D1027" s="29" t="s">
        <v>13</v>
      </c>
      <c r="E1027" s="29" t="s">
        <v>14</v>
      </c>
      <c r="F1027" s="29" t="s">
        <v>13</v>
      </c>
      <c r="G1027" s="29" t="s">
        <v>13</v>
      </c>
      <c r="H1027" s="29" t="s">
        <v>15</v>
      </c>
      <c r="I1027" s="4"/>
    </row>
    <row r="1028">
      <c r="A1028" s="28">
        <v>1024.0</v>
      </c>
      <c r="B1028" s="29" t="s">
        <v>1059</v>
      </c>
      <c r="C1028" s="29" t="s">
        <v>1205</v>
      </c>
      <c r="D1028" s="29" t="s">
        <v>13</v>
      </c>
      <c r="E1028" s="29">
        <v>1.1058667E7</v>
      </c>
      <c r="F1028" s="29" t="s">
        <v>13</v>
      </c>
      <c r="G1028" s="29" t="s">
        <v>1074</v>
      </c>
      <c r="H1028" s="29" t="s">
        <v>13</v>
      </c>
      <c r="I1028" s="4"/>
    </row>
    <row r="1029">
      <c r="A1029" s="28">
        <v>1025.0</v>
      </c>
      <c r="B1029" s="29" t="s">
        <v>1059</v>
      </c>
      <c r="C1029" s="29" t="s">
        <v>1206</v>
      </c>
      <c r="D1029" s="29">
        <v>48.0</v>
      </c>
      <c r="E1029" s="29" t="s">
        <v>13</v>
      </c>
      <c r="F1029" s="29" t="s">
        <v>13</v>
      </c>
      <c r="G1029" s="29" t="s">
        <v>346</v>
      </c>
      <c r="H1029" s="29" t="s">
        <v>13</v>
      </c>
      <c r="I1029" s="4"/>
    </row>
    <row r="1030">
      <c r="A1030" s="28">
        <v>1026.0</v>
      </c>
      <c r="B1030" s="29" t="s">
        <v>1059</v>
      </c>
      <c r="C1030" s="29" t="s">
        <v>1207</v>
      </c>
      <c r="D1030" s="29" t="s">
        <v>13</v>
      </c>
      <c r="E1030" s="29">
        <v>3.310694E7</v>
      </c>
      <c r="F1030" s="29" t="s">
        <v>13</v>
      </c>
      <c r="G1030" s="29" t="s">
        <v>346</v>
      </c>
      <c r="H1030" s="29" t="s">
        <v>13</v>
      </c>
      <c r="I1030" s="4"/>
    </row>
    <row r="1031">
      <c r="A1031" s="28">
        <v>1027.0</v>
      </c>
      <c r="B1031" s="29" t="s">
        <v>1059</v>
      </c>
      <c r="C1031" s="29" t="s">
        <v>1208</v>
      </c>
      <c r="D1031" s="29">
        <v>58.0</v>
      </c>
      <c r="E1031" s="29" t="s">
        <v>13</v>
      </c>
      <c r="F1031" s="29" t="s">
        <v>13</v>
      </c>
      <c r="G1031" s="29" t="s">
        <v>545</v>
      </c>
      <c r="H1031" s="29" t="s">
        <v>13</v>
      </c>
      <c r="I1031" s="4"/>
    </row>
    <row r="1032">
      <c r="A1032" s="28">
        <v>1028.0</v>
      </c>
      <c r="B1032" s="29" t="s">
        <v>1059</v>
      </c>
      <c r="C1032" s="29" t="s">
        <v>1209</v>
      </c>
      <c r="D1032" s="29" t="s">
        <v>13</v>
      </c>
      <c r="E1032" s="29" t="s">
        <v>13</v>
      </c>
      <c r="F1032" s="29" t="s">
        <v>13</v>
      </c>
      <c r="G1032" s="29" t="s">
        <v>545</v>
      </c>
      <c r="H1032" s="29" t="s">
        <v>13</v>
      </c>
      <c r="I1032" s="4"/>
    </row>
    <row r="1033">
      <c r="A1033" s="28">
        <v>1029.0</v>
      </c>
      <c r="B1033" s="29" t="s">
        <v>1059</v>
      </c>
      <c r="C1033" s="29" t="s">
        <v>1210</v>
      </c>
      <c r="D1033" s="29">
        <v>10.0</v>
      </c>
      <c r="E1033" s="29" t="s">
        <v>13</v>
      </c>
      <c r="F1033" s="29" t="s">
        <v>13</v>
      </c>
      <c r="G1033" s="29" t="s">
        <v>1078</v>
      </c>
      <c r="H1033" s="29" t="s">
        <v>13</v>
      </c>
      <c r="I1033" s="4"/>
    </row>
    <row r="1034">
      <c r="A1034" s="28">
        <v>1030.0</v>
      </c>
      <c r="B1034" s="29" t="s">
        <v>1059</v>
      </c>
      <c r="C1034" s="29" t="s">
        <v>1211</v>
      </c>
      <c r="D1034" s="29" t="s">
        <v>13</v>
      </c>
      <c r="E1034" s="29" t="s">
        <v>13</v>
      </c>
      <c r="F1034" s="29" t="s">
        <v>13</v>
      </c>
      <c r="G1034" s="29" t="s">
        <v>13</v>
      </c>
      <c r="H1034" s="29" t="s">
        <v>13</v>
      </c>
      <c r="I1034" s="4"/>
    </row>
    <row r="1035">
      <c r="A1035" s="28">
        <v>1031.0</v>
      </c>
      <c r="B1035" s="29" t="s">
        <v>1059</v>
      </c>
      <c r="C1035" s="29" t="s">
        <v>1212</v>
      </c>
      <c r="D1035" s="29">
        <v>21.0</v>
      </c>
      <c r="E1035" s="29" t="s">
        <v>13</v>
      </c>
      <c r="F1035" s="29" t="s">
        <v>13</v>
      </c>
      <c r="G1035" s="29" t="s">
        <v>346</v>
      </c>
      <c r="H1035" s="29" t="s">
        <v>13</v>
      </c>
      <c r="I1035" s="4"/>
    </row>
    <row r="1036">
      <c r="A1036" s="28">
        <v>1032.0</v>
      </c>
      <c r="B1036" s="29" t="s">
        <v>1059</v>
      </c>
      <c r="C1036" s="29" t="s">
        <v>1213</v>
      </c>
      <c r="D1036" s="29" t="s">
        <v>13</v>
      </c>
      <c r="E1036" s="29" t="s">
        <v>13</v>
      </c>
      <c r="F1036" s="29" t="s">
        <v>13</v>
      </c>
      <c r="G1036" s="29" t="s">
        <v>13</v>
      </c>
      <c r="H1036" s="29" t="s">
        <v>13</v>
      </c>
      <c r="I1036" s="4"/>
    </row>
    <row r="1037">
      <c r="A1037" s="28">
        <v>1033.0</v>
      </c>
      <c r="B1037" s="29" t="s">
        <v>1059</v>
      </c>
      <c r="C1037" s="29" t="s">
        <v>1214</v>
      </c>
      <c r="D1037" s="29">
        <v>25.0</v>
      </c>
      <c r="E1037" s="29" t="s">
        <v>13</v>
      </c>
      <c r="F1037" s="29" t="s">
        <v>13</v>
      </c>
      <c r="G1037" s="29" t="s">
        <v>13</v>
      </c>
      <c r="H1037" s="29" t="s">
        <v>13</v>
      </c>
      <c r="I1037" s="4"/>
    </row>
    <row r="1038">
      <c r="A1038" s="28">
        <v>1034.0</v>
      </c>
      <c r="B1038" s="29" t="s">
        <v>1059</v>
      </c>
      <c r="C1038" s="29" t="s">
        <v>1215</v>
      </c>
      <c r="D1038" s="29">
        <v>72.0</v>
      </c>
      <c r="E1038" s="29">
        <v>7996011.0</v>
      </c>
      <c r="F1038" s="29" t="s">
        <v>13</v>
      </c>
      <c r="G1038" s="29" t="s">
        <v>346</v>
      </c>
      <c r="H1038" s="29" t="s">
        <v>13</v>
      </c>
      <c r="I1038" s="4"/>
    </row>
    <row r="1039">
      <c r="A1039" s="28">
        <v>1035.0</v>
      </c>
      <c r="B1039" s="29" t="s">
        <v>1059</v>
      </c>
      <c r="C1039" s="29" t="s">
        <v>1216</v>
      </c>
      <c r="D1039" s="29">
        <v>7.0</v>
      </c>
      <c r="E1039" s="29" t="s">
        <v>13</v>
      </c>
      <c r="F1039" s="29" t="s">
        <v>13</v>
      </c>
      <c r="G1039" s="29" t="s">
        <v>343</v>
      </c>
      <c r="H1039" s="29" t="s">
        <v>13</v>
      </c>
      <c r="I1039" s="4"/>
    </row>
    <row r="1040">
      <c r="A1040" s="28">
        <v>1036.0</v>
      </c>
      <c r="B1040" s="29" t="s">
        <v>1059</v>
      </c>
      <c r="C1040" s="29" t="s">
        <v>1217</v>
      </c>
      <c r="D1040" s="29" t="s">
        <v>13</v>
      </c>
      <c r="E1040" s="29" t="s">
        <v>14</v>
      </c>
      <c r="F1040" s="29" t="s">
        <v>13</v>
      </c>
      <c r="G1040" s="29" t="s">
        <v>13</v>
      </c>
      <c r="H1040" s="29" t="s">
        <v>15</v>
      </c>
      <c r="I1040" s="4"/>
    </row>
    <row r="1041">
      <c r="A1041" s="28">
        <v>1037.0</v>
      </c>
      <c r="B1041" s="29" t="s">
        <v>1059</v>
      </c>
      <c r="C1041" s="29" t="s">
        <v>1218</v>
      </c>
      <c r="D1041" s="29">
        <v>4.0</v>
      </c>
      <c r="E1041" s="29" t="s">
        <v>13</v>
      </c>
      <c r="F1041" s="29" t="s">
        <v>13</v>
      </c>
      <c r="G1041" s="29" t="s">
        <v>1126</v>
      </c>
      <c r="H1041" s="29" t="s">
        <v>13</v>
      </c>
      <c r="I1041" s="4"/>
    </row>
    <row r="1042">
      <c r="A1042" s="28">
        <v>1038.0</v>
      </c>
      <c r="B1042" s="29" t="s">
        <v>1059</v>
      </c>
      <c r="C1042" s="29" t="s">
        <v>1219</v>
      </c>
      <c r="D1042" s="29" t="s">
        <v>13</v>
      </c>
      <c r="E1042" s="29" t="s">
        <v>13</v>
      </c>
      <c r="F1042" s="29" t="s">
        <v>13</v>
      </c>
      <c r="G1042" s="29" t="s">
        <v>13</v>
      </c>
      <c r="H1042" s="29" t="s">
        <v>13</v>
      </c>
      <c r="I1042" s="4"/>
    </row>
    <row r="1043">
      <c r="A1043" s="28">
        <v>1039.0</v>
      </c>
      <c r="B1043" s="29" t="s">
        <v>1059</v>
      </c>
      <c r="C1043" s="29" t="s">
        <v>1220</v>
      </c>
      <c r="D1043" s="29" t="s">
        <v>13</v>
      </c>
      <c r="E1043" s="29">
        <v>1.3827306E7</v>
      </c>
      <c r="F1043" s="29" t="s">
        <v>13</v>
      </c>
      <c r="G1043" s="29" t="s">
        <v>986</v>
      </c>
      <c r="H1043" s="29" t="s">
        <v>13</v>
      </c>
      <c r="I1043" s="4"/>
    </row>
    <row r="1044">
      <c r="A1044" s="28">
        <v>1040.0</v>
      </c>
      <c r="B1044" s="29" t="s">
        <v>1059</v>
      </c>
      <c r="C1044" s="29" t="s">
        <v>1221</v>
      </c>
      <c r="D1044" s="29" t="s">
        <v>13</v>
      </c>
      <c r="E1044" s="29" t="s">
        <v>14</v>
      </c>
      <c r="F1044" s="29" t="s">
        <v>13</v>
      </c>
      <c r="G1044" s="29" t="s">
        <v>13</v>
      </c>
      <c r="H1044" s="29" t="s">
        <v>15</v>
      </c>
      <c r="I1044" s="4"/>
    </row>
    <row r="1045">
      <c r="A1045" s="28">
        <v>1041.0</v>
      </c>
      <c r="B1045" s="29" t="s">
        <v>1059</v>
      </c>
      <c r="C1045" s="29" t="s">
        <v>1222</v>
      </c>
      <c r="D1045" s="29" t="s">
        <v>13</v>
      </c>
      <c r="E1045" s="29">
        <v>1.5389387E7</v>
      </c>
      <c r="F1045" s="29" t="s">
        <v>13</v>
      </c>
      <c r="G1045" s="29" t="s">
        <v>343</v>
      </c>
      <c r="H1045" s="29" t="s">
        <v>13</v>
      </c>
      <c r="I1045" s="4"/>
    </row>
    <row r="1046">
      <c r="A1046" s="28">
        <v>1042.0</v>
      </c>
      <c r="B1046" s="29" t="s">
        <v>1059</v>
      </c>
      <c r="C1046" s="29" t="s">
        <v>1223</v>
      </c>
      <c r="D1046" s="29" t="s">
        <v>13</v>
      </c>
      <c r="E1046" s="29" t="s">
        <v>13</v>
      </c>
      <c r="F1046" s="29" t="s">
        <v>13</v>
      </c>
      <c r="G1046" s="29" t="s">
        <v>13</v>
      </c>
      <c r="H1046" s="29" t="s">
        <v>13</v>
      </c>
      <c r="I1046" s="4"/>
    </row>
    <row r="1047">
      <c r="A1047" s="28">
        <v>1043.0</v>
      </c>
      <c r="B1047" s="29" t="s">
        <v>1059</v>
      </c>
      <c r="C1047" s="29" t="s">
        <v>1224</v>
      </c>
      <c r="D1047" s="29" t="s">
        <v>13</v>
      </c>
      <c r="E1047" s="29" t="s">
        <v>13</v>
      </c>
      <c r="F1047" s="29" t="s">
        <v>13</v>
      </c>
      <c r="G1047" s="29" t="s">
        <v>13</v>
      </c>
      <c r="H1047" s="29" t="s">
        <v>13</v>
      </c>
      <c r="I1047" s="4"/>
    </row>
    <row r="1048">
      <c r="A1048" s="28">
        <v>1044.0</v>
      </c>
      <c r="B1048" s="29" t="s">
        <v>1059</v>
      </c>
      <c r="C1048" s="29" t="s">
        <v>1225</v>
      </c>
      <c r="D1048" s="29" t="s">
        <v>13</v>
      </c>
      <c r="E1048" s="29" t="s">
        <v>13</v>
      </c>
      <c r="F1048" s="29" t="s">
        <v>13</v>
      </c>
      <c r="G1048" s="29" t="s">
        <v>13</v>
      </c>
      <c r="H1048" s="29" t="s">
        <v>13</v>
      </c>
      <c r="I1048" s="4"/>
    </row>
    <row r="1049">
      <c r="A1049" s="28">
        <v>1045.0</v>
      </c>
      <c r="B1049" s="29" t="s">
        <v>1059</v>
      </c>
      <c r="C1049" s="29" t="s">
        <v>1226</v>
      </c>
      <c r="D1049" s="29">
        <v>28.0</v>
      </c>
      <c r="E1049" s="29">
        <v>2.6648434E7</v>
      </c>
      <c r="F1049" s="29" t="s">
        <v>13</v>
      </c>
      <c r="G1049" s="29" t="s">
        <v>1126</v>
      </c>
      <c r="H1049" s="29" t="s">
        <v>13</v>
      </c>
      <c r="I1049" s="4"/>
    </row>
    <row r="1050">
      <c r="A1050" s="28">
        <v>1046.0</v>
      </c>
      <c r="B1050" s="29" t="s">
        <v>1059</v>
      </c>
      <c r="C1050" s="29" t="s">
        <v>1227</v>
      </c>
      <c r="D1050" s="29">
        <v>44.0</v>
      </c>
      <c r="E1050" s="29">
        <v>1.6625037E7</v>
      </c>
      <c r="F1050" s="29" t="s">
        <v>13</v>
      </c>
      <c r="G1050" s="29" t="s">
        <v>343</v>
      </c>
      <c r="H1050" s="29" t="s">
        <v>13</v>
      </c>
      <c r="I1050" s="4"/>
    </row>
    <row r="1051">
      <c r="A1051" s="28">
        <v>1047.0</v>
      </c>
      <c r="B1051" s="29" t="s">
        <v>1059</v>
      </c>
      <c r="C1051" s="29" t="s">
        <v>1228</v>
      </c>
      <c r="D1051" s="29">
        <v>16.0</v>
      </c>
      <c r="E1051" s="29" t="s">
        <v>13</v>
      </c>
      <c r="F1051" s="29" t="s">
        <v>13</v>
      </c>
      <c r="G1051" s="29" t="s">
        <v>545</v>
      </c>
      <c r="H1051" s="29" t="s">
        <v>13</v>
      </c>
      <c r="I1051" s="4"/>
    </row>
    <row r="1052">
      <c r="A1052" s="28">
        <v>1048.0</v>
      </c>
      <c r="B1052" s="29" t="s">
        <v>1059</v>
      </c>
      <c r="C1052" s="29" t="s">
        <v>1229</v>
      </c>
      <c r="D1052" s="29" t="s">
        <v>13</v>
      </c>
      <c r="E1052" s="29" t="s">
        <v>13</v>
      </c>
      <c r="F1052" s="29" t="s">
        <v>13</v>
      </c>
      <c r="G1052" s="29" t="s">
        <v>13</v>
      </c>
      <c r="H1052" s="29" t="s">
        <v>13</v>
      </c>
      <c r="I1052" s="4"/>
    </row>
    <row r="1053">
      <c r="A1053" s="28">
        <v>1049.0</v>
      </c>
      <c r="B1053" s="29" t="s">
        <v>1059</v>
      </c>
      <c r="C1053" s="29" t="s">
        <v>1230</v>
      </c>
      <c r="D1053" s="29" t="s">
        <v>13</v>
      </c>
      <c r="E1053" s="29">
        <v>3.3344762E7</v>
      </c>
      <c r="F1053" s="29" t="s">
        <v>13</v>
      </c>
      <c r="G1053" s="29" t="s">
        <v>1078</v>
      </c>
      <c r="H1053" s="29" t="s">
        <v>13</v>
      </c>
      <c r="I1053" s="4"/>
    </row>
    <row r="1054">
      <c r="A1054" s="28">
        <v>1050.0</v>
      </c>
      <c r="B1054" s="29" t="s">
        <v>1059</v>
      </c>
      <c r="C1054" s="29" t="s">
        <v>1231</v>
      </c>
      <c r="D1054" s="29" t="s">
        <v>13</v>
      </c>
      <c r="E1054" s="29" t="s">
        <v>14</v>
      </c>
      <c r="F1054" s="29" t="s">
        <v>13</v>
      </c>
      <c r="G1054" s="29" t="s">
        <v>13</v>
      </c>
      <c r="H1054" s="29" t="s">
        <v>15</v>
      </c>
      <c r="I1054" s="4"/>
    </row>
    <row r="1055">
      <c r="A1055" s="28">
        <v>1051.0</v>
      </c>
      <c r="B1055" s="29" t="s">
        <v>1059</v>
      </c>
      <c r="C1055" s="29" t="s">
        <v>1232</v>
      </c>
      <c r="D1055" s="29" t="s">
        <v>13</v>
      </c>
      <c r="E1055" s="29">
        <v>1.3315025E7</v>
      </c>
      <c r="F1055" s="29" t="s">
        <v>13</v>
      </c>
      <c r="G1055" s="29" t="s">
        <v>13</v>
      </c>
      <c r="H1055" s="29" t="s">
        <v>13</v>
      </c>
      <c r="I1055" s="4"/>
    </row>
    <row r="1056">
      <c r="A1056" s="28">
        <v>1052.0</v>
      </c>
      <c r="B1056" s="29" t="s">
        <v>1059</v>
      </c>
      <c r="C1056" s="29" t="s">
        <v>1233</v>
      </c>
      <c r="D1056" s="29" t="s">
        <v>13</v>
      </c>
      <c r="E1056" s="29" t="s">
        <v>13</v>
      </c>
      <c r="F1056" s="29" t="s">
        <v>13</v>
      </c>
      <c r="G1056" s="29" t="s">
        <v>13</v>
      </c>
      <c r="H1056" s="29" t="s">
        <v>13</v>
      </c>
      <c r="I1056" s="4"/>
    </row>
    <row r="1057">
      <c r="A1057" s="28">
        <v>1053.0</v>
      </c>
      <c r="B1057" s="29" t="s">
        <v>1059</v>
      </c>
      <c r="C1057" s="29" t="s">
        <v>1234</v>
      </c>
      <c r="D1057" s="29">
        <v>14.0</v>
      </c>
      <c r="E1057" s="29" t="s">
        <v>13</v>
      </c>
      <c r="F1057" s="29" t="s">
        <v>13</v>
      </c>
      <c r="G1057" s="29" t="s">
        <v>1088</v>
      </c>
      <c r="H1057" s="29" t="s">
        <v>13</v>
      </c>
      <c r="I1057" s="4"/>
    </row>
    <row r="1058">
      <c r="A1058" s="28">
        <v>1054.0</v>
      </c>
      <c r="B1058" s="29" t="s">
        <v>1059</v>
      </c>
      <c r="C1058" s="29" t="s">
        <v>1235</v>
      </c>
      <c r="D1058" s="29" t="s">
        <v>13</v>
      </c>
      <c r="E1058" s="29" t="s">
        <v>13</v>
      </c>
      <c r="F1058" s="29" t="s">
        <v>13</v>
      </c>
      <c r="G1058" s="29" t="s">
        <v>13</v>
      </c>
      <c r="H1058" s="29" t="s">
        <v>13</v>
      </c>
      <c r="I1058" s="4"/>
    </row>
    <row r="1059">
      <c r="A1059" s="28">
        <v>1055.0</v>
      </c>
      <c r="B1059" s="29" t="s">
        <v>1059</v>
      </c>
      <c r="C1059" s="29" t="s">
        <v>1236</v>
      </c>
      <c r="D1059" s="29">
        <v>38.0</v>
      </c>
      <c r="E1059" s="29">
        <v>1.7483578E7</v>
      </c>
      <c r="F1059" s="29" t="s">
        <v>13</v>
      </c>
      <c r="G1059" s="29" t="s">
        <v>1078</v>
      </c>
      <c r="H1059" s="29" t="s">
        <v>13</v>
      </c>
      <c r="I1059" s="4"/>
    </row>
    <row r="1060">
      <c r="A1060" s="28">
        <v>1056.0</v>
      </c>
      <c r="B1060" s="29" t="s">
        <v>1059</v>
      </c>
      <c r="C1060" s="29" t="s">
        <v>1237</v>
      </c>
      <c r="D1060" s="29">
        <v>42.0</v>
      </c>
      <c r="E1060" s="29" t="s">
        <v>13</v>
      </c>
      <c r="F1060" s="29" t="s">
        <v>13</v>
      </c>
      <c r="G1060" s="29" t="s">
        <v>346</v>
      </c>
      <c r="H1060" s="29" t="s">
        <v>13</v>
      </c>
      <c r="I1060" s="4"/>
    </row>
    <row r="1061">
      <c r="A1061" s="28">
        <v>1057.0</v>
      </c>
      <c r="B1061" s="29" t="s">
        <v>1059</v>
      </c>
      <c r="C1061" s="29" t="s">
        <v>135</v>
      </c>
      <c r="D1061" s="29" t="s">
        <v>13</v>
      </c>
      <c r="E1061" s="29" t="s">
        <v>13</v>
      </c>
      <c r="F1061" s="29" t="s">
        <v>13</v>
      </c>
      <c r="G1061" s="29" t="s">
        <v>13</v>
      </c>
      <c r="H1061" s="29" t="s">
        <v>13</v>
      </c>
      <c r="I1061" s="4"/>
    </row>
    <row r="1062">
      <c r="A1062" s="28">
        <v>1058.0</v>
      </c>
      <c r="B1062" s="29" t="s">
        <v>1059</v>
      </c>
      <c r="C1062" s="29" t="s">
        <v>1238</v>
      </c>
      <c r="D1062" s="29" t="s">
        <v>13</v>
      </c>
      <c r="E1062" s="29">
        <v>4348517.0</v>
      </c>
      <c r="F1062" s="29" t="s">
        <v>13</v>
      </c>
      <c r="G1062" s="29" t="s">
        <v>545</v>
      </c>
      <c r="H1062" s="29" t="s">
        <v>13</v>
      </c>
      <c r="I1062" s="4"/>
    </row>
    <row r="1063">
      <c r="A1063" s="28">
        <v>1059.0</v>
      </c>
      <c r="B1063" s="29" t="s">
        <v>1059</v>
      </c>
      <c r="C1063" s="29" t="s">
        <v>1239</v>
      </c>
      <c r="D1063" s="29" t="s">
        <v>13</v>
      </c>
      <c r="E1063" s="29" t="s">
        <v>13</v>
      </c>
      <c r="F1063" s="29" t="s">
        <v>13</v>
      </c>
      <c r="G1063" s="29" t="s">
        <v>13</v>
      </c>
      <c r="H1063" s="29" t="s">
        <v>13</v>
      </c>
      <c r="I1063" s="4"/>
    </row>
    <row r="1064">
      <c r="A1064" s="28">
        <v>1060.0</v>
      </c>
      <c r="B1064" s="29" t="s">
        <v>1059</v>
      </c>
      <c r="C1064" s="29" t="s">
        <v>1240</v>
      </c>
      <c r="D1064" s="29" t="s">
        <v>13</v>
      </c>
      <c r="E1064" s="29" t="s">
        <v>13</v>
      </c>
      <c r="F1064" s="29" t="s">
        <v>13</v>
      </c>
      <c r="G1064" s="29" t="s">
        <v>13</v>
      </c>
      <c r="H1064" s="29" t="s">
        <v>13</v>
      </c>
      <c r="I1064" s="4"/>
    </row>
    <row r="1065">
      <c r="A1065" s="28">
        <v>1061.0</v>
      </c>
      <c r="B1065" s="29" t="s">
        <v>1059</v>
      </c>
      <c r="C1065" s="29" t="s">
        <v>1241</v>
      </c>
      <c r="D1065" s="29" t="s">
        <v>13</v>
      </c>
      <c r="E1065" s="29" t="s">
        <v>13</v>
      </c>
      <c r="F1065" s="29" t="s">
        <v>13</v>
      </c>
      <c r="G1065" s="29" t="s">
        <v>13</v>
      </c>
      <c r="H1065" s="29" t="s">
        <v>13</v>
      </c>
      <c r="I1065" s="4"/>
    </row>
    <row r="1066">
      <c r="A1066" s="28">
        <v>1062.0</v>
      </c>
      <c r="B1066" s="29" t="s">
        <v>1059</v>
      </c>
      <c r="C1066" s="29" t="s">
        <v>1242</v>
      </c>
      <c r="D1066" s="29" t="s">
        <v>13</v>
      </c>
      <c r="E1066" s="29" t="s">
        <v>13</v>
      </c>
      <c r="F1066" s="29" t="s">
        <v>13</v>
      </c>
      <c r="G1066" s="29" t="s">
        <v>13</v>
      </c>
      <c r="H1066" s="29" t="s">
        <v>13</v>
      </c>
      <c r="I1066" s="4"/>
    </row>
    <row r="1067">
      <c r="A1067" s="28">
        <v>1063.0</v>
      </c>
      <c r="B1067" s="29" t="s">
        <v>1059</v>
      </c>
      <c r="C1067" s="29" t="s">
        <v>1243</v>
      </c>
      <c r="D1067" s="29">
        <v>48.0</v>
      </c>
      <c r="E1067" s="29">
        <v>1.4387306E7</v>
      </c>
      <c r="F1067" s="29" t="s">
        <v>13</v>
      </c>
      <c r="G1067" s="29" t="s">
        <v>346</v>
      </c>
      <c r="H1067" s="29" t="s">
        <v>13</v>
      </c>
      <c r="I1067" s="4"/>
    </row>
    <row r="1068">
      <c r="A1068" s="28">
        <v>1064.0</v>
      </c>
      <c r="B1068" s="29" t="s">
        <v>1059</v>
      </c>
      <c r="C1068" s="29" t="s">
        <v>1244</v>
      </c>
      <c r="D1068" s="29" t="s">
        <v>13</v>
      </c>
      <c r="E1068" s="29" t="s">
        <v>13</v>
      </c>
      <c r="F1068" s="29" t="s">
        <v>13</v>
      </c>
      <c r="G1068" s="29" t="s">
        <v>13</v>
      </c>
      <c r="H1068" s="29" t="s">
        <v>13</v>
      </c>
      <c r="I1068" s="4"/>
    </row>
    <row r="1069">
      <c r="A1069" s="28">
        <v>1065.0</v>
      </c>
      <c r="B1069" s="29" t="s">
        <v>1059</v>
      </c>
      <c r="C1069" s="29" t="s">
        <v>1245</v>
      </c>
      <c r="D1069" s="29">
        <v>47.0</v>
      </c>
      <c r="E1069" s="29">
        <v>1.3326786E7</v>
      </c>
      <c r="F1069" s="29" t="s">
        <v>13</v>
      </c>
      <c r="G1069" s="29" t="s">
        <v>346</v>
      </c>
      <c r="H1069" s="29" t="s">
        <v>13</v>
      </c>
      <c r="I1069" s="4"/>
    </row>
    <row r="1070">
      <c r="A1070" s="28">
        <v>1066.0</v>
      </c>
      <c r="B1070" s="29" t="s">
        <v>1059</v>
      </c>
      <c r="C1070" s="29" t="s">
        <v>1246</v>
      </c>
      <c r="D1070" s="29" t="s">
        <v>13</v>
      </c>
      <c r="E1070" s="29" t="s">
        <v>13</v>
      </c>
      <c r="F1070" s="29" t="s">
        <v>13</v>
      </c>
      <c r="G1070" s="29" t="s">
        <v>13</v>
      </c>
      <c r="H1070" s="29" t="s">
        <v>13</v>
      </c>
      <c r="I1070" s="4"/>
    </row>
    <row r="1071">
      <c r="A1071" s="28">
        <v>1067.0</v>
      </c>
      <c r="B1071" s="29" t="s">
        <v>1059</v>
      </c>
      <c r="C1071" s="29" t="s">
        <v>1247</v>
      </c>
      <c r="D1071" s="29" t="s">
        <v>13</v>
      </c>
      <c r="E1071" s="29" t="s">
        <v>13</v>
      </c>
      <c r="F1071" s="29" t="s">
        <v>13</v>
      </c>
      <c r="G1071" s="29" t="s">
        <v>1088</v>
      </c>
      <c r="H1071" s="29" t="s">
        <v>13</v>
      </c>
      <c r="I1071" s="4"/>
    </row>
    <row r="1072">
      <c r="A1072" s="28">
        <v>1068.0</v>
      </c>
      <c r="B1072" s="29" t="s">
        <v>1059</v>
      </c>
      <c r="C1072" s="29" t="s">
        <v>1248</v>
      </c>
      <c r="D1072" s="29">
        <v>11.0</v>
      </c>
      <c r="E1072" s="29" t="s">
        <v>13</v>
      </c>
      <c r="F1072" s="29" t="s">
        <v>13</v>
      </c>
      <c r="G1072" s="29" t="s">
        <v>13</v>
      </c>
      <c r="H1072" s="29" t="s">
        <v>13</v>
      </c>
      <c r="I1072" s="4"/>
    </row>
    <row r="1073">
      <c r="A1073" s="28">
        <v>1069.0</v>
      </c>
      <c r="B1073" s="29" t="s">
        <v>1059</v>
      </c>
      <c r="C1073" s="29" t="s">
        <v>1249</v>
      </c>
      <c r="D1073" s="29" t="s">
        <v>13</v>
      </c>
      <c r="E1073" s="29">
        <v>2007992.0</v>
      </c>
      <c r="F1073" s="29" t="s">
        <v>13</v>
      </c>
      <c r="G1073" s="29" t="s">
        <v>13</v>
      </c>
      <c r="H1073" s="29" t="s">
        <v>13</v>
      </c>
      <c r="I1073" s="4"/>
    </row>
    <row r="1074">
      <c r="A1074" s="28">
        <v>1070.0</v>
      </c>
      <c r="B1074" s="29" t="s">
        <v>1059</v>
      </c>
      <c r="C1074" s="29" t="s">
        <v>1250</v>
      </c>
      <c r="D1074" s="29" t="s">
        <v>13</v>
      </c>
      <c r="E1074" s="29" t="s">
        <v>13</v>
      </c>
      <c r="F1074" s="29" t="s">
        <v>13</v>
      </c>
      <c r="G1074" s="29" t="s">
        <v>13</v>
      </c>
      <c r="H1074" s="29" t="s">
        <v>13</v>
      </c>
      <c r="I1074" s="4"/>
    </row>
    <row r="1075">
      <c r="A1075" s="28">
        <v>1071.0</v>
      </c>
      <c r="B1075" s="29" t="s">
        <v>1059</v>
      </c>
      <c r="C1075" s="29" t="s">
        <v>1251</v>
      </c>
      <c r="D1075" s="29" t="s">
        <v>13</v>
      </c>
      <c r="E1075" s="29" t="s">
        <v>13</v>
      </c>
      <c r="F1075" s="29" t="s">
        <v>13</v>
      </c>
      <c r="G1075" s="29" t="s">
        <v>13</v>
      </c>
      <c r="H1075" s="29" t="s">
        <v>13</v>
      </c>
      <c r="I1075" s="4"/>
    </row>
    <row r="1076">
      <c r="A1076" s="28">
        <v>1072.0</v>
      </c>
      <c r="B1076" s="29" t="s">
        <v>1059</v>
      </c>
      <c r="C1076" s="29" t="s">
        <v>1252</v>
      </c>
      <c r="D1076" s="29">
        <v>65.0</v>
      </c>
      <c r="E1076" s="29" t="s">
        <v>13</v>
      </c>
      <c r="F1076" s="29" t="s">
        <v>13</v>
      </c>
      <c r="G1076" s="29" t="s">
        <v>1078</v>
      </c>
      <c r="H1076" s="29" t="s">
        <v>13</v>
      </c>
      <c r="I1076" s="4"/>
    </row>
    <row r="1077">
      <c r="A1077" s="28">
        <v>1073.0</v>
      </c>
      <c r="B1077" s="29" t="s">
        <v>1059</v>
      </c>
      <c r="C1077" s="29" t="s">
        <v>1253</v>
      </c>
      <c r="D1077" s="29" t="s">
        <v>13</v>
      </c>
      <c r="E1077" s="29" t="s">
        <v>13</v>
      </c>
      <c r="F1077" s="29" t="s">
        <v>13</v>
      </c>
      <c r="G1077" s="29" t="s">
        <v>13</v>
      </c>
      <c r="H1077" s="29" t="s">
        <v>13</v>
      </c>
      <c r="I1077" s="4"/>
    </row>
    <row r="1078">
      <c r="A1078" s="28">
        <v>1074.0</v>
      </c>
      <c r="B1078" s="29" t="s">
        <v>1059</v>
      </c>
      <c r="C1078" s="29" t="s">
        <v>1254</v>
      </c>
      <c r="D1078" s="29" t="s">
        <v>1255</v>
      </c>
      <c r="E1078" s="29" t="s">
        <v>14</v>
      </c>
      <c r="F1078" s="29" t="s">
        <v>13</v>
      </c>
      <c r="G1078" s="29" t="s">
        <v>13</v>
      </c>
      <c r="H1078" s="29" t="s">
        <v>15</v>
      </c>
      <c r="I1078" s="4"/>
    </row>
    <row r="1079">
      <c r="A1079" s="28">
        <v>1075.0</v>
      </c>
      <c r="B1079" s="29" t="s">
        <v>1059</v>
      </c>
      <c r="C1079" s="29" t="s">
        <v>1256</v>
      </c>
      <c r="D1079" s="29">
        <v>50.0</v>
      </c>
      <c r="E1079" s="29" t="s">
        <v>13</v>
      </c>
      <c r="F1079" s="29" t="s">
        <v>13</v>
      </c>
      <c r="G1079" s="29" t="s">
        <v>346</v>
      </c>
      <c r="H1079" s="29" t="s">
        <v>13</v>
      </c>
      <c r="I1079" s="4"/>
    </row>
    <row r="1080">
      <c r="A1080" s="28">
        <v>1076.0</v>
      </c>
      <c r="B1080" s="29" t="s">
        <v>1059</v>
      </c>
      <c r="C1080" s="29" t="s">
        <v>1257</v>
      </c>
      <c r="D1080" s="29">
        <v>50.0</v>
      </c>
      <c r="E1080" s="29" t="s">
        <v>13</v>
      </c>
      <c r="F1080" s="29" t="s">
        <v>13</v>
      </c>
      <c r="G1080" s="29" t="s">
        <v>346</v>
      </c>
      <c r="H1080" s="29" t="s">
        <v>13</v>
      </c>
      <c r="I1080" s="4"/>
    </row>
    <row r="1081">
      <c r="A1081" s="28">
        <v>1077.0</v>
      </c>
      <c r="B1081" s="29" t="s">
        <v>1059</v>
      </c>
      <c r="C1081" s="29" t="s">
        <v>1258</v>
      </c>
      <c r="D1081" s="29" t="s">
        <v>13</v>
      </c>
      <c r="E1081" s="29">
        <v>4121307.0</v>
      </c>
      <c r="F1081" s="29" t="s">
        <v>13</v>
      </c>
      <c r="G1081" s="29" t="s">
        <v>13</v>
      </c>
      <c r="H1081" s="29" t="s">
        <v>13</v>
      </c>
      <c r="I1081" s="4"/>
    </row>
    <row r="1082">
      <c r="A1082" s="28">
        <v>1078.0</v>
      </c>
      <c r="B1082" s="29" t="s">
        <v>1059</v>
      </c>
      <c r="C1082" s="29" t="s">
        <v>1259</v>
      </c>
      <c r="D1082" s="29" t="s">
        <v>13</v>
      </c>
      <c r="E1082" s="29">
        <v>1.3374907E7</v>
      </c>
      <c r="F1082" s="29" t="s">
        <v>13</v>
      </c>
      <c r="G1082" s="29" t="s">
        <v>545</v>
      </c>
      <c r="H1082" s="29" t="s">
        <v>13</v>
      </c>
      <c r="I1082" s="4"/>
    </row>
    <row r="1083">
      <c r="A1083" s="28">
        <v>1079.0</v>
      </c>
      <c r="B1083" s="29" t="s">
        <v>1059</v>
      </c>
      <c r="C1083" s="29" t="s">
        <v>1260</v>
      </c>
      <c r="D1083" s="29" t="s">
        <v>13</v>
      </c>
      <c r="E1083" s="29" t="s">
        <v>13</v>
      </c>
      <c r="F1083" s="29" t="s">
        <v>13</v>
      </c>
      <c r="G1083" s="29" t="s">
        <v>13</v>
      </c>
      <c r="H1083" s="29" t="s">
        <v>13</v>
      </c>
      <c r="I1083" s="4"/>
    </row>
    <row r="1084">
      <c r="A1084" s="28">
        <v>1080.0</v>
      </c>
      <c r="B1084" s="29" t="s">
        <v>1059</v>
      </c>
      <c r="C1084" s="29" t="s">
        <v>1261</v>
      </c>
      <c r="D1084" s="29">
        <v>6.0</v>
      </c>
      <c r="E1084" s="29" t="s">
        <v>13</v>
      </c>
      <c r="F1084" s="29" t="s">
        <v>13</v>
      </c>
      <c r="G1084" s="29" t="s">
        <v>343</v>
      </c>
      <c r="H1084" s="29" t="s">
        <v>13</v>
      </c>
      <c r="I1084" s="4"/>
    </row>
    <row r="1085">
      <c r="A1085" s="28">
        <v>1081.0</v>
      </c>
      <c r="B1085" s="29" t="s">
        <v>1059</v>
      </c>
      <c r="C1085" s="29" t="s">
        <v>1262</v>
      </c>
      <c r="D1085" s="29" t="s">
        <v>13</v>
      </c>
      <c r="E1085" s="29">
        <v>1.3223654E7</v>
      </c>
      <c r="F1085" s="29" t="s">
        <v>13</v>
      </c>
      <c r="G1085" s="29" t="s">
        <v>13</v>
      </c>
      <c r="H1085" s="29" t="s">
        <v>13</v>
      </c>
      <c r="I1085" s="4"/>
    </row>
    <row r="1086">
      <c r="A1086" s="28">
        <v>1082.0</v>
      </c>
      <c r="B1086" s="29" t="s">
        <v>1059</v>
      </c>
      <c r="C1086" s="29" t="s">
        <v>1263</v>
      </c>
      <c r="D1086" s="29" t="s">
        <v>13</v>
      </c>
      <c r="E1086" s="29">
        <v>2.5575635E7</v>
      </c>
      <c r="F1086" s="29" t="s">
        <v>13</v>
      </c>
      <c r="G1086" s="29" t="s">
        <v>545</v>
      </c>
      <c r="H1086" s="29" t="s">
        <v>13</v>
      </c>
      <c r="I1086" s="4"/>
    </row>
    <row r="1087">
      <c r="A1087" s="28">
        <v>1083.0</v>
      </c>
      <c r="B1087" s="29" t="s">
        <v>1059</v>
      </c>
      <c r="C1087" s="29" t="s">
        <v>1264</v>
      </c>
      <c r="D1087" s="29" t="s">
        <v>13</v>
      </c>
      <c r="E1087" s="29" t="s">
        <v>13</v>
      </c>
      <c r="F1087" s="29" t="s">
        <v>13</v>
      </c>
      <c r="G1087" s="29" t="s">
        <v>13</v>
      </c>
      <c r="H1087" s="29" t="s">
        <v>13</v>
      </c>
      <c r="I1087" s="4"/>
    </row>
    <row r="1088">
      <c r="A1088" s="28">
        <v>1084.0</v>
      </c>
      <c r="B1088" s="29" t="s">
        <v>1059</v>
      </c>
      <c r="C1088" s="29" t="s">
        <v>1265</v>
      </c>
      <c r="D1088" s="29">
        <v>47.0</v>
      </c>
      <c r="E1088" s="29" t="s">
        <v>13</v>
      </c>
      <c r="F1088" s="29" t="s">
        <v>13</v>
      </c>
      <c r="G1088" s="29" t="s">
        <v>1088</v>
      </c>
      <c r="H1088" s="29" t="s">
        <v>13</v>
      </c>
      <c r="I1088" s="4"/>
    </row>
    <row r="1089">
      <c r="A1089" s="28">
        <v>1085.0</v>
      </c>
      <c r="B1089" s="29" t="s">
        <v>1059</v>
      </c>
      <c r="C1089" s="29" t="s">
        <v>1266</v>
      </c>
      <c r="D1089" s="29" t="s">
        <v>13</v>
      </c>
      <c r="E1089" s="29" t="s">
        <v>13</v>
      </c>
      <c r="F1089" s="29" t="s">
        <v>13</v>
      </c>
      <c r="G1089" s="29" t="s">
        <v>13</v>
      </c>
      <c r="H1089" s="29" t="s">
        <v>13</v>
      </c>
      <c r="I1089" s="4"/>
    </row>
    <row r="1090">
      <c r="A1090" s="28">
        <v>1086.0</v>
      </c>
      <c r="B1090" s="29" t="s">
        <v>1059</v>
      </c>
      <c r="C1090" s="29" t="s">
        <v>1267</v>
      </c>
      <c r="D1090" s="29" t="s">
        <v>13</v>
      </c>
      <c r="E1090" s="29" t="s">
        <v>13</v>
      </c>
      <c r="F1090" s="29" t="s">
        <v>13</v>
      </c>
      <c r="G1090" s="29" t="s">
        <v>13</v>
      </c>
      <c r="H1090" s="29" t="s">
        <v>13</v>
      </c>
      <c r="I1090" s="4"/>
    </row>
    <row r="1091">
      <c r="A1091" s="28">
        <v>1087.0</v>
      </c>
      <c r="B1091" s="29" t="s">
        <v>1059</v>
      </c>
      <c r="C1091" s="29" t="s">
        <v>1268</v>
      </c>
      <c r="D1091" s="29" t="s">
        <v>13</v>
      </c>
      <c r="E1091" s="29" t="s">
        <v>13</v>
      </c>
      <c r="F1091" s="29" t="s">
        <v>13</v>
      </c>
      <c r="G1091" s="29" t="s">
        <v>13</v>
      </c>
      <c r="H1091" s="29" t="s">
        <v>13</v>
      </c>
      <c r="I1091" s="4"/>
    </row>
    <row r="1092">
      <c r="A1092" s="28">
        <v>1088.0</v>
      </c>
      <c r="B1092" s="29" t="s">
        <v>1059</v>
      </c>
      <c r="C1092" s="29" t="s">
        <v>1269</v>
      </c>
      <c r="D1092" s="29" t="s">
        <v>13</v>
      </c>
      <c r="E1092" s="29" t="s">
        <v>13</v>
      </c>
      <c r="F1092" s="29" t="s">
        <v>13</v>
      </c>
      <c r="G1092" s="29" t="s">
        <v>1088</v>
      </c>
      <c r="H1092" s="29" t="s">
        <v>13</v>
      </c>
      <c r="I1092" s="4"/>
    </row>
    <row r="1093">
      <c r="A1093" s="28">
        <v>1089.0</v>
      </c>
      <c r="B1093" s="29" t="s">
        <v>1059</v>
      </c>
      <c r="C1093" s="29" t="s">
        <v>1270</v>
      </c>
      <c r="D1093" s="29" t="s">
        <v>13</v>
      </c>
      <c r="E1093" s="29" t="s">
        <v>13</v>
      </c>
      <c r="F1093" s="29" t="s">
        <v>13</v>
      </c>
      <c r="G1093" s="29" t="s">
        <v>1271</v>
      </c>
      <c r="H1093" s="29" t="s">
        <v>13</v>
      </c>
      <c r="I1093" s="4"/>
    </row>
    <row r="1094">
      <c r="A1094" s="28">
        <v>1090.0</v>
      </c>
      <c r="B1094" s="29" t="s">
        <v>1059</v>
      </c>
      <c r="C1094" s="29" t="s">
        <v>1272</v>
      </c>
      <c r="D1094" s="29">
        <v>61.0</v>
      </c>
      <c r="E1094" s="29" t="s">
        <v>14</v>
      </c>
      <c r="F1094" s="29" t="s">
        <v>13</v>
      </c>
      <c r="G1094" s="29" t="s">
        <v>13</v>
      </c>
      <c r="H1094" s="29" t="s">
        <v>15</v>
      </c>
      <c r="I1094" s="4"/>
    </row>
    <row r="1095">
      <c r="A1095" s="28">
        <v>1091.0</v>
      </c>
      <c r="B1095" s="29" t="s">
        <v>1059</v>
      </c>
      <c r="C1095" s="29" t="s">
        <v>1273</v>
      </c>
      <c r="D1095" s="29" t="s">
        <v>13</v>
      </c>
      <c r="E1095" s="29" t="s">
        <v>1274</v>
      </c>
      <c r="F1095" s="29" t="s">
        <v>13</v>
      </c>
      <c r="G1095" s="29" t="s">
        <v>13</v>
      </c>
      <c r="H1095" s="29" t="s">
        <v>15</v>
      </c>
      <c r="I1095" s="4"/>
    </row>
    <row r="1096">
      <c r="A1096" s="28">
        <v>1092.0</v>
      </c>
      <c r="B1096" s="29" t="s">
        <v>1059</v>
      </c>
      <c r="C1096" s="29" t="s">
        <v>1275</v>
      </c>
      <c r="D1096" s="29" t="s">
        <v>13</v>
      </c>
      <c r="E1096" s="29" t="s">
        <v>13</v>
      </c>
      <c r="F1096" s="29" t="s">
        <v>13</v>
      </c>
      <c r="G1096" s="29" t="s">
        <v>13</v>
      </c>
      <c r="H1096" s="29" t="s">
        <v>13</v>
      </c>
      <c r="I1096" s="4"/>
    </row>
    <row r="1097">
      <c r="A1097" s="28">
        <v>1093.0</v>
      </c>
      <c r="B1097" s="29" t="s">
        <v>1059</v>
      </c>
      <c r="C1097" s="29" t="s">
        <v>1276</v>
      </c>
      <c r="D1097" s="29" t="s">
        <v>13</v>
      </c>
      <c r="E1097" s="29" t="s">
        <v>13</v>
      </c>
      <c r="F1097" s="29" t="s">
        <v>13</v>
      </c>
      <c r="G1097" s="29" t="s">
        <v>13</v>
      </c>
      <c r="H1097" s="29" t="s">
        <v>13</v>
      </c>
      <c r="I1097" s="4"/>
    </row>
    <row r="1098">
      <c r="A1098" s="28">
        <v>1094.0</v>
      </c>
      <c r="B1098" s="29" t="s">
        <v>1059</v>
      </c>
      <c r="C1098" s="29" t="s">
        <v>1277</v>
      </c>
      <c r="D1098" s="29" t="s">
        <v>13</v>
      </c>
      <c r="E1098" s="29" t="s">
        <v>13</v>
      </c>
      <c r="F1098" s="29" t="s">
        <v>13</v>
      </c>
      <c r="G1098" s="29" t="s">
        <v>13</v>
      </c>
      <c r="H1098" s="29" t="s">
        <v>13</v>
      </c>
      <c r="I1098" s="4"/>
    </row>
    <row r="1099">
      <c r="A1099" s="28">
        <v>1095.0</v>
      </c>
      <c r="B1099" s="29" t="s">
        <v>1059</v>
      </c>
      <c r="C1099" s="29" t="s">
        <v>1277</v>
      </c>
      <c r="D1099" s="29" t="s">
        <v>13</v>
      </c>
      <c r="E1099" s="29">
        <v>2.361788E7</v>
      </c>
      <c r="F1099" s="29" t="s">
        <v>13</v>
      </c>
      <c r="G1099" s="29" t="s">
        <v>1126</v>
      </c>
      <c r="H1099" s="29" t="s">
        <v>13</v>
      </c>
      <c r="I1099" s="4"/>
    </row>
    <row r="1100">
      <c r="A1100" s="28">
        <v>1096.0</v>
      </c>
      <c r="B1100" s="29" t="s">
        <v>1059</v>
      </c>
      <c r="C1100" s="29" t="s">
        <v>1278</v>
      </c>
      <c r="D1100" s="29">
        <v>69.0</v>
      </c>
      <c r="E1100" s="29" t="s">
        <v>13</v>
      </c>
      <c r="F1100" s="29" t="s">
        <v>13</v>
      </c>
      <c r="G1100" s="29" t="s">
        <v>13</v>
      </c>
      <c r="H1100" s="29" t="s">
        <v>13</v>
      </c>
      <c r="I1100" s="4"/>
    </row>
    <row r="1101">
      <c r="A1101" s="28">
        <v>1097.0</v>
      </c>
      <c r="B1101" s="29" t="s">
        <v>1059</v>
      </c>
      <c r="C1101" s="29" t="s">
        <v>1279</v>
      </c>
      <c r="D1101" s="29" t="s">
        <v>13</v>
      </c>
      <c r="E1101" s="29" t="s">
        <v>13</v>
      </c>
      <c r="F1101" s="29" t="s">
        <v>13</v>
      </c>
      <c r="G1101" s="29" t="s">
        <v>13</v>
      </c>
      <c r="H1101" s="29" t="s">
        <v>13</v>
      </c>
      <c r="I1101" s="4"/>
    </row>
    <row r="1102">
      <c r="A1102" s="28">
        <v>1098.0</v>
      </c>
      <c r="B1102" s="29" t="s">
        <v>1059</v>
      </c>
      <c r="C1102" s="29" t="s">
        <v>1280</v>
      </c>
      <c r="D1102" s="29" t="s">
        <v>13</v>
      </c>
      <c r="E1102" s="29" t="s">
        <v>13</v>
      </c>
      <c r="F1102" s="29" t="s">
        <v>13</v>
      </c>
      <c r="G1102" s="29" t="s">
        <v>13</v>
      </c>
      <c r="H1102" s="29" t="s">
        <v>13</v>
      </c>
      <c r="I1102" s="4"/>
    </row>
    <row r="1103">
      <c r="A1103" s="28">
        <v>1099.0</v>
      </c>
      <c r="B1103" s="29" t="s">
        <v>1059</v>
      </c>
      <c r="C1103" s="29" t="s">
        <v>1281</v>
      </c>
      <c r="D1103" s="29">
        <v>14.0</v>
      </c>
      <c r="E1103" s="29" t="s">
        <v>13</v>
      </c>
      <c r="F1103" s="29" t="s">
        <v>13</v>
      </c>
      <c r="G1103" s="29" t="s">
        <v>346</v>
      </c>
      <c r="H1103" s="29" t="s">
        <v>13</v>
      </c>
      <c r="I1103" s="4"/>
    </row>
    <row r="1104">
      <c r="A1104" s="28">
        <v>1100.0</v>
      </c>
      <c r="B1104" s="29" t="s">
        <v>1059</v>
      </c>
      <c r="C1104" s="29" t="s">
        <v>1282</v>
      </c>
      <c r="D1104" s="29" t="s">
        <v>13</v>
      </c>
      <c r="E1104" s="29" t="s">
        <v>1283</v>
      </c>
      <c r="F1104" s="29" t="s">
        <v>13</v>
      </c>
      <c r="G1104" s="29" t="s">
        <v>13</v>
      </c>
      <c r="H1104" s="29" t="s">
        <v>15</v>
      </c>
      <c r="I1104" s="4"/>
    </row>
    <row r="1105">
      <c r="A1105" s="28">
        <v>1101.0</v>
      </c>
      <c r="B1105" s="29" t="s">
        <v>1059</v>
      </c>
      <c r="C1105" s="29" t="s">
        <v>1284</v>
      </c>
      <c r="D1105" s="29" t="s">
        <v>13</v>
      </c>
      <c r="E1105" s="29">
        <v>3.3594982E7</v>
      </c>
      <c r="F1105" s="29" t="s">
        <v>13</v>
      </c>
      <c r="G1105" s="29" t="s">
        <v>545</v>
      </c>
      <c r="H1105" s="29" t="s">
        <v>13</v>
      </c>
      <c r="I1105" s="4"/>
    </row>
    <row r="1106">
      <c r="A1106" s="28">
        <v>1102.0</v>
      </c>
      <c r="B1106" s="29" t="s">
        <v>1059</v>
      </c>
      <c r="C1106" s="29" t="s">
        <v>1285</v>
      </c>
      <c r="D1106" s="29" t="s">
        <v>13</v>
      </c>
      <c r="E1106" s="29" t="s">
        <v>13</v>
      </c>
      <c r="F1106" s="29" t="s">
        <v>13</v>
      </c>
      <c r="G1106" s="29" t="s">
        <v>13</v>
      </c>
      <c r="H1106" s="29" t="s">
        <v>13</v>
      </c>
      <c r="I1106" s="4"/>
    </row>
    <row r="1107">
      <c r="A1107" s="28">
        <v>1103.0</v>
      </c>
      <c r="B1107" s="29" t="s">
        <v>1059</v>
      </c>
      <c r="C1107" s="29" t="s">
        <v>1286</v>
      </c>
      <c r="D1107" s="29" t="s">
        <v>13</v>
      </c>
      <c r="E1107" s="29" t="s">
        <v>13</v>
      </c>
      <c r="F1107" s="29" t="s">
        <v>13</v>
      </c>
      <c r="G1107" s="29" t="s">
        <v>13</v>
      </c>
      <c r="H1107" s="29" t="s">
        <v>13</v>
      </c>
      <c r="I1107" s="4"/>
    </row>
    <row r="1108">
      <c r="A1108" s="28">
        <v>1104.0</v>
      </c>
      <c r="B1108" s="29" t="s">
        <v>1059</v>
      </c>
      <c r="C1108" s="29" t="s">
        <v>1287</v>
      </c>
      <c r="D1108" s="29" t="s">
        <v>13</v>
      </c>
      <c r="E1108" s="29">
        <v>1.1406882E7</v>
      </c>
      <c r="F1108" s="29" t="s">
        <v>13</v>
      </c>
      <c r="G1108" s="29" t="s">
        <v>346</v>
      </c>
      <c r="H1108" s="29" t="s">
        <v>13</v>
      </c>
      <c r="I1108" s="4"/>
    </row>
    <row r="1109">
      <c r="A1109" s="28">
        <v>1105.0</v>
      </c>
      <c r="B1109" s="29" t="s">
        <v>1059</v>
      </c>
      <c r="C1109" s="29" t="s">
        <v>1288</v>
      </c>
      <c r="D1109" s="29" t="s">
        <v>13</v>
      </c>
      <c r="E1109" s="29" t="s">
        <v>13</v>
      </c>
      <c r="F1109" s="29" t="s">
        <v>13</v>
      </c>
      <c r="G1109" s="29" t="s">
        <v>1088</v>
      </c>
      <c r="H1109" s="29" t="s">
        <v>13</v>
      </c>
      <c r="I1109" s="4"/>
    </row>
    <row r="1110">
      <c r="A1110" s="28">
        <v>1106.0</v>
      </c>
      <c r="B1110" s="29" t="s">
        <v>1059</v>
      </c>
      <c r="C1110" s="29" t="s">
        <v>1289</v>
      </c>
      <c r="D1110" s="29">
        <v>2.0</v>
      </c>
      <c r="E1110" s="29" t="s">
        <v>13</v>
      </c>
      <c r="F1110" s="29" t="s">
        <v>13</v>
      </c>
      <c r="G1110" s="29" t="s">
        <v>346</v>
      </c>
      <c r="H1110" s="29" t="s">
        <v>13</v>
      </c>
      <c r="I1110" s="4"/>
    </row>
    <row r="1111">
      <c r="A1111" s="28">
        <v>1107.0</v>
      </c>
      <c r="B1111" s="29" t="s">
        <v>1059</v>
      </c>
      <c r="C1111" s="29" t="s">
        <v>1290</v>
      </c>
      <c r="D1111" s="29" t="s">
        <v>13</v>
      </c>
      <c r="E1111" s="29" t="s">
        <v>13</v>
      </c>
      <c r="F1111" s="29" t="s">
        <v>13</v>
      </c>
      <c r="G1111" s="29" t="s">
        <v>13</v>
      </c>
      <c r="H1111" s="29" t="s">
        <v>13</v>
      </c>
      <c r="I1111" s="4"/>
    </row>
    <row r="1112">
      <c r="A1112" s="28">
        <v>1108.0</v>
      </c>
      <c r="B1112" s="29" t="s">
        <v>1059</v>
      </c>
      <c r="C1112" s="29" t="s">
        <v>1291</v>
      </c>
      <c r="D1112" s="29" t="s">
        <v>13</v>
      </c>
      <c r="E1112" s="29" t="s">
        <v>13</v>
      </c>
      <c r="F1112" s="29" t="s">
        <v>13</v>
      </c>
      <c r="G1112" s="29" t="s">
        <v>13</v>
      </c>
      <c r="H1112" s="29" t="s">
        <v>13</v>
      </c>
      <c r="I1112" s="4"/>
    </row>
    <row r="1113">
      <c r="A1113" s="28">
        <v>1109.0</v>
      </c>
      <c r="B1113" s="29" t="s">
        <v>1059</v>
      </c>
      <c r="C1113" s="29" t="s">
        <v>1292</v>
      </c>
      <c r="D1113" s="29">
        <v>11.0</v>
      </c>
      <c r="E1113" s="29" t="s">
        <v>13</v>
      </c>
      <c r="F1113" s="29" t="s">
        <v>13</v>
      </c>
      <c r="G1113" s="29" t="s">
        <v>346</v>
      </c>
      <c r="H1113" s="29" t="s">
        <v>13</v>
      </c>
      <c r="I1113" s="4"/>
    </row>
    <row r="1114">
      <c r="A1114" s="28">
        <v>1110.0</v>
      </c>
      <c r="B1114" s="29" t="s">
        <v>1059</v>
      </c>
      <c r="C1114" s="29" t="s">
        <v>1293</v>
      </c>
      <c r="D1114" s="29" t="s">
        <v>13</v>
      </c>
      <c r="E1114" s="29">
        <v>3.210694E7</v>
      </c>
      <c r="F1114" s="29" t="s">
        <v>13</v>
      </c>
      <c r="G1114" s="29" t="s">
        <v>343</v>
      </c>
      <c r="H1114" s="29" t="s">
        <v>13</v>
      </c>
      <c r="I1114" s="4"/>
    </row>
    <row r="1115">
      <c r="A1115" s="28">
        <v>1111.0</v>
      </c>
      <c r="B1115" s="29" t="s">
        <v>1059</v>
      </c>
      <c r="C1115" s="29" t="s">
        <v>1294</v>
      </c>
      <c r="D1115" s="29">
        <v>16.0</v>
      </c>
      <c r="E1115" s="29">
        <v>3.3218403E7</v>
      </c>
      <c r="F1115" s="29" t="s">
        <v>13</v>
      </c>
      <c r="G1115" s="29" t="s">
        <v>346</v>
      </c>
      <c r="H1115" s="29" t="s">
        <v>13</v>
      </c>
      <c r="I1115" s="4"/>
    </row>
    <row r="1116">
      <c r="A1116" s="28">
        <v>1112.0</v>
      </c>
      <c r="B1116" s="29" t="s">
        <v>1059</v>
      </c>
      <c r="C1116" s="29" t="s">
        <v>1295</v>
      </c>
      <c r="D1116" s="29" t="s">
        <v>13</v>
      </c>
      <c r="E1116" s="29" t="s">
        <v>13</v>
      </c>
      <c r="F1116" s="29" t="s">
        <v>13</v>
      </c>
      <c r="G1116" s="29" t="s">
        <v>13</v>
      </c>
      <c r="H1116" s="29" t="s">
        <v>13</v>
      </c>
      <c r="I1116" s="4"/>
    </row>
    <row r="1117">
      <c r="A1117" s="28">
        <v>1113.0</v>
      </c>
      <c r="B1117" s="29" t="s">
        <v>1059</v>
      </c>
      <c r="C1117" s="29" t="s">
        <v>1296</v>
      </c>
      <c r="D1117" s="29" t="s">
        <v>13</v>
      </c>
      <c r="E1117" s="29" t="s">
        <v>13</v>
      </c>
      <c r="F1117" s="29" t="s">
        <v>13</v>
      </c>
      <c r="G1117" s="29" t="s">
        <v>13</v>
      </c>
      <c r="H1117" s="29" t="s">
        <v>13</v>
      </c>
      <c r="I1117" s="4"/>
    </row>
    <row r="1118">
      <c r="A1118" s="28">
        <v>1114.0</v>
      </c>
      <c r="B1118" s="29" t="s">
        <v>1059</v>
      </c>
      <c r="C1118" s="29" t="s">
        <v>1297</v>
      </c>
      <c r="D1118" s="29" t="s">
        <v>13</v>
      </c>
      <c r="E1118" s="29" t="s">
        <v>14</v>
      </c>
      <c r="F1118" s="29" t="s">
        <v>13</v>
      </c>
      <c r="G1118" s="29" t="s">
        <v>13</v>
      </c>
      <c r="H1118" s="29" t="s">
        <v>15</v>
      </c>
      <c r="I1118" s="4"/>
    </row>
    <row r="1119">
      <c r="A1119" s="28">
        <v>1115.0</v>
      </c>
      <c r="B1119" s="29" t="s">
        <v>1059</v>
      </c>
      <c r="C1119" s="29" t="s">
        <v>1298</v>
      </c>
      <c r="D1119" s="29" t="s">
        <v>13</v>
      </c>
      <c r="E1119" s="29">
        <v>2.4182992E7</v>
      </c>
      <c r="F1119" s="29" t="s">
        <v>13</v>
      </c>
      <c r="G1119" s="29" t="s">
        <v>545</v>
      </c>
      <c r="H1119" s="29" t="s">
        <v>13</v>
      </c>
      <c r="I1119" s="4"/>
    </row>
    <row r="1120">
      <c r="A1120" s="28">
        <v>1116.0</v>
      </c>
      <c r="B1120" s="29" t="s">
        <v>1059</v>
      </c>
      <c r="C1120" s="29" t="s">
        <v>1299</v>
      </c>
      <c r="D1120" s="29" t="s">
        <v>13</v>
      </c>
      <c r="E1120" s="29">
        <v>2.0560037E7</v>
      </c>
      <c r="F1120" s="29" t="s">
        <v>13</v>
      </c>
      <c r="G1120" s="29" t="s">
        <v>1300</v>
      </c>
      <c r="H1120" s="29" t="s">
        <v>13</v>
      </c>
      <c r="I1120" s="4"/>
    </row>
    <row r="1121">
      <c r="A1121" s="28">
        <v>1117.0</v>
      </c>
      <c r="B1121" s="29" t="s">
        <v>1059</v>
      </c>
      <c r="C1121" s="29" t="s">
        <v>1299</v>
      </c>
      <c r="D1121" s="29" t="s">
        <v>13</v>
      </c>
      <c r="E1121" s="29" t="s">
        <v>13</v>
      </c>
      <c r="F1121" s="29" t="s">
        <v>13</v>
      </c>
      <c r="G1121" s="29" t="s">
        <v>13</v>
      </c>
      <c r="H1121" s="29" t="s">
        <v>13</v>
      </c>
      <c r="I1121" s="4"/>
    </row>
    <row r="1122">
      <c r="A1122" s="28">
        <v>1118.0</v>
      </c>
      <c r="B1122" s="29" t="s">
        <v>1059</v>
      </c>
      <c r="C1122" s="29" t="s">
        <v>1301</v>
      </c>
      <c r="D1122" s="29">
        <v>52.0</v>
      </c>
      <c r="E1122" s="29" t="s">
        <v>13</v>
      </c>
      <c r="F1122" s="29" t="s">
        <v>13</v>
      </c>
      <c r="G1122" s="29" t="s">
        <v>346</v>
      </c>
      <c r="H1122" s="29" t="s">
        <v>13</v>
      </c>
      <c r="I1122" s="4"/>
    </row>
    <row r="1123">
      <c r="A1123" s="28">
        <v>1119.0</v>
      </c>
      <c r="B1123" s="29" t="s">
        <v>1059</v>
      </c>
      <c r="C1123" s="29" t="s">
        <v>1302</v>
      </c>
      <c r="D1123" s="29">
        <v>5.0</v>
      </c>
      <c r="E1123" s="29" t="s">
        <v>14</v>
      </c>
      <c r="F1123" s="29" t="s">
        <v>13</v>
      </c>
      <c r="G1123" s="29" t="s">
        <v>13</v>
      </c>
      <c r="H1123" s="29" t="s">
        <v>15</v>
      </c>
      <c r="I1123" s="4"/>
    </row>
    <row r="1124">
      <c r="A1124" s="28">
        <v>1120.0</v>
      </c>
      <c r="B1124" s="29" t="s">
        <v>1059</v>
      </c>
      <c r="C1124" s="29" t="s">
        <v>1303</v>
      </c>
      <c r="D1124" s="29" t="s">
        <v>13</v>
      </c>
      <c r="E1124" s="29" t="s">
        <v>14</v>
      </c>
      <c r="F1124" s="29" t="s">
        <v>13</v>
      </c>
      <c r="G1124" s="29" t="s">
        <v>13</v>
      </c>
      <c r="H1124" s="29" t="s">
        <v>15</v>
      </c>
      <c r="I1124" s="4"/>
    </row>
    <row r="1125">
      <c r="A1125" s="28">
        <v>1121.0</v>
      </c>
      <c r="B1125" s="29" t="s">
        <v>1059</v>
      </c>
      <c r="C1125" s="29" t="s">
        <v>1304</v>
      </c>
      <c r="D1125" s="29">
        <v>21.0</v>
      </c>
      <c r="E1125" s="29">
        <v>3.0824977E7</v>
      </c>
      <c r="F1125" s="29" t="s">
        <v>13</v>
      </c>
      <c r="G1125" s="29" t="s">
        <v>1126</v>
      </c>
      <c r="H1125" s="29" t="s">
        <v>13</v>
      </c>
      <c r="I1125" s="4"/>
    </row>
    <row r="1126">
      <c r="A1126" s="28">
        <v>1122.0</v>
      </c>
      <c r="B1126" s="29" t="s">
        <v>1059</v>
      </c>
      <c r="C1126" s="29" t="s">
        <v>1305</v>
      </c>
      <c r="D1126" s="29" t="s">
        <v>13</v>
      </c>
      <c r="E1126" s="29" t="s">
        <v>13</v>
      </c>
      <c r="F1126" s="29" t="s">
        <v>13</v>
      </c>
      <c r="G1126" s="29" t="s">
        <v>13</v>
      </c>
      <c r="H1126" s="29" t="s">
        <v>13</v>
      </c>
      <c r="I1126" s="4"/>
    </row>
    <row r="1127">
      <c r="A1127" s="28">
        <v>1123.0</v>
      </c>
      <c r="B1127" s="29" t="s">
        <v>1059</v>
      </c>
      <c r="C1127" s="29" t="s">
        <v>1306</v>
      </c>
      <c r="D1127" s="29" t="s">
        <v>13</v>
      </c>
      <c r="E1127" s="29" t="s">
        <v>13</v>
      </c>
      <c r="F1127" s="29" t="s">
        <v>13</v>
      </c>
      <c r="G1127" s="29" t="s">
        <v>13</v>
      </c>
      <c r="H1127" s="29" t="s">
        <v>13</v>
      </c>
      <c r="I1127" s="4"/>
    </row>
    <row r="1128">
      <c r="A1128" s="28">
        <v>1124.0</v>
      </c>
      <c r="B1128" s="29" t="s">
        <v>1059</v>
      </c>
      <c r="C1128" s="29" t="s">
        <v>1307</v>
      </c>
      <c r="D1128" s="29" t="s">
        <v>13</v>
      </c>
      <c r="E1128" s="29" t="s">
        <v>13</v>
      </c>
      <c r="F1128" s="29" t="s">
        <v>13</v>
      </c>
      <c r="G1128" s="29" t="s">
        <v>13</v>
      </c>
      <c r="H1128" s="29" t="s">
        <v>13</v>
      </c>
      <c r="I1128" s="4"/>
    </row>
    <row r="1129">
      <c r="A1129" s="28">
        <v>1125.0</v>
      </c>
      <c r="B1129" s="29" t="s">
        <v>1059</v>
      </c>
      <c r="C1129" s="29" t="s">
        <v>1308</v>
      </c>
      <c r="D1129" s="29" t="s">
        <v>13</v>
      </c>
      <c r="E1129" s="29">
        <v>1.2717464E7</v>
      </c>
      <c r="F1129" s="29" t="s">
        <v>13</v>
      </c>
      <c r="G1129" s="29" t="s">
        <v>346</v>
      </c>
      <c r="H1129" s="29" t="s">
        <v>13</v>
      </c>
      <c r="I1129" s="4"/>
    </row>
    <row r="1130">
      <c r="A1130" s="28">
        <v>1126.0</v>
      </c>
      <c r="B1130" s="29" t="s">
        <v>1059</v>
      </c>
      <c r="C1130" s="29" t="s">
        <v>1309</v>
      </c>
      <c r="D1130" s="29" t="s">
        <v>13</v>
      </c>
      <c r="E1130" s="29">
        <v>1.381606E7</v>
      </c>
      <c r="F1130" s="29" t="s">
        <v>13</v>
      </c>
      <c r="G1130" s="29" t="s">
        <v>1310</v>
      </c>
      <c r="H1130" s="29" t="s">
        <v>13</v>
      </c>
      <c r="I1130" s="4"/>
    </row>
    <row r="1131">
      <c r="A1131" s="28">
        <v>1127.0</v>
      </c>
      <c r="B1131" s="29" t="s">
        <v>1059</v>
      </c>
      <c r="C1131" s="29" t="s">
        <v>1311</v>
      </c>
      <c r="D1131" s="29" t="s">
        <v>13</v>
      </c>
      <c r="E1131" s="29" t="s">
        <v>13</v>
      </c>
      <c r="F1131" s="29" t="s">
        <v>13</v>
      </c>
      <c r="G1131" s="29" t="s">
        <v>13</v>
      </c>
      <c r="H1131" s="29" t="s">
        <v>13</v>
      </c>
      <c r="I1131" s="4"/>
    </row>
    <row r="1132">
      <c r="A1132" s="28">
        <v>1128.0</v>
      </c>
      <c r="B1132" s="29" t="s">
        <v>1059</v>
      </c>
      <c r="C1132" s="29" t="s">
        <v>1312</v>
      </c>
      <c r="D1132" s="29" t="s">
        <v>13</v>
      </c>
      <c r="E1132" s="29" t="s">
        <v>13</v>
      </c>
      <c r="F1132" s="29" t="s">
        <v>13</v>
      </c>
      <c r="G1132" s="29" t="s">
        <v>13</v>
      </c>
      <c r="H1132" s="29" t="s">
        <v>13</v>
      </c>
      <c r="I1132" s="4"/>
    </row>
    <row r="1133">
      <c r="A1133" s="28">
        <v>1129.0</v>
      </c>
      <c r="B1133" s="29" t="s">
        <v>1059</v>
      </c>
      <c r="C1133" s="29" t="s">
        <v>1313</v>
      </c>
      <c r="D1133" s="29" t="s">
        <v>13</v>
      </c>
      <c r="E1133" s="29" t="s">
        <v>13</v>
      </c>
      <c r="F1133" s="29" t="s">
        <v>13</v>
      </c>
      <c r="G1133" s="29" t="s">
        <v>13</v>
      </c>
      <c r="H1133" s="29" t="s">
        <v>13</v>
      </c>
      <c r="I1133" s="4"/>
    </row>
    <row r="1134">
      <c r="A1134" s="28">
        <v>1130.0</v>
      </c>
      <c r="B1134" s="29" t="s">
        <v>1059</v>
      </c>
      <c r="C1134" s="29" t="s">
        <v>838</v>
      </c>
      <c r="D1134" s="29">
        <v>57.0</v>
      </c>
      <c r="E1134" s="29" t="s">
        <v>13</v>
      </c>
      <c r="F1134" s="29" t="s">
        <v>13</v>
      </c>
      <c r="G1134" s="29" t="s">
        <v>346</v>
      </c>
      <c r="H1134" s="29" t="s">
        <v>13</v>
      </c>
      <c r="I1134" s="4"/>
    </row>
    <row r="1135">
      <c r="A1135" s="28">
        <v>1131.0</v>
      </c>
      <c r="B1135" s="29" t="s">
        <v>1059</v>
      </c>
      <c r="C1135" s="29" t="s">
        <v>1314</v>
      </c>
      <c r="D1135" s="29" t="s">
        <v>13</v>
      </c>
      <c r="E1135" s="29">
        <v>7995694.0</v>
      </c>
      <c r="F1135" s="29" t="s">
        <v>13</v>
      </c>
      <c r="G1135" s="29" t="s">
        <v>1074</v>
      </c>
      <c r="H1135" s="29" t="s">
        <v>13</v>
      </c>
      <c r="I1135" s="4"/>
    </row>
    <row r="1136">
      <c r="A1136" s="28">
        <v>1132.0</v>
      </c>
      <c r="B1136" s="29" t="s">
        <v>1059</v>
      </c>
      <c r="C1136" s="29" t="s">
        <v>1315</v>
      </c>
      <c r="D1136" s="29" t="s">
        <v>13</v>
      </c>
      <c r="E1136" s="29" t="s">
        <v>13</v>
      </c>
      <c r="F1136" s="29" t="s">
        <v>13</v>
      </c>
      <c r="G1136" s="29" t="s">
        <v>13</v>
      </c>
      <c r="H1136" s="29" t="s">
        <v>13</v>
      </c>
      <c r="I1136" s="4"/>
    </row>
    <row r="1137">
      <c r="A1137" s="28">
        <v>1133.0</v>
      </c>
      <c r="B1137" s="29" t="s">
        <v>1059</v>
      </c>
      <c r="C1137" s="29" t="s">
        <v>1316</v>
      </c>
      <c r="D1137" s="29" t="s">
        <v>13</v>
      </c>
      <c r="E1137" s="29" t="s">
        <v>13</v>
      </c>
      <c r="F1137" s="29" t="s">
        <v>13</v>
      </c>
      <c r="G1137" s="29" t="s">
        <v>13</v>
      </c>
      <c r="H1137" s="29" t="s">
        <v>13</v>
      </c>
      <c r="I1137" s="4"/>
    </row>
    <row r="1138">
      <c r="A1138" s="28">
        <v>1134.0</v>
      </c>
      <c r="B1138" s="29" t="s">
        <v>1059</v>
      </c>
      <c r="C1138" s="29" t="s">
        <v>1317</v>
      </c>
      <c r="D1138" s="29" t="s">
        <v>13</v>
      </c>
      <c r="E1138" s="29" t="s">
        <v>13</v>
      </c>
      <c r="F1138" s="29" t="s">
        <v>13</v>
      </c>
      <c r="G1138" s="29" t="s">
        <v>13</v>
      </c>
      <c r="H1138" s="29" t="s">
        <v>13</v>
      </c>
      <c r="I1138" s="4"/>
    </row>
    <row r="1139">
      <c r="A1139" s="28">
        <v>1135.0</v>
      </c>
      <c r="B1139" s="29" t="s">
        <v>1059</v>
      </c>
      <c r="C1139" s="29" t="s">
        <v>1318</v>
      </c>
      <c r="D1139" s="29" t="s">
        <v>13</v>
      </c>
      <c r="E1139" s="29" t="s">
        <v>13</v>
      </c>
      <c r="F1139" s="29" t="s">
        <v>13</v>
      </c>
      <c r="G1139" s="29" t="s">
        <v>13</v>
      </c>
      <c r="H1139" s="29" t="s">
        <v>13</v>
      </c>
      <c r="I1139" s="4"/>
    </row>
    <row r="1140">
      <c r="A1140" s="28">
        <v>1136.0</v>
      </c>
      <c r="B1140" s="29" t="s">
        <v>1059</v>
      </c>
      <c r="C1140" s="29" t="s">
        <v>1319</v>
      </c>
      <c r="D1140" s="29" t="s">
        <v>13</v>
      </c>
      <c r="E1140" s="29">
        <v>1.5929488E7</v>
      </c>
      <c r="F1140" s="29" t="s">
        <v>13</v>
      </c>
      <c r="G1140" s="29" t="s">
        <v>1320</v>
      </c>
      <c r="H1140" s="29" t="s">
        <v>13</v>
      </c>
      <c r="I1140" s="4"/>
    </row>
    <row r="1141">
      <c r="A1141" s="28">
        <v>1137.0</v>
      </c>
      <c r="B1141" s="29" t="s">
        <v>1059</v>
      </c>
      <c r="C1141" s="29" t="s">
        <v>1319</v>
      </c>
      <c r="D1141" s="29" t="s">
        <v>13</v>
      </c>
      <c r="E1141" s="29" t="s">
        <v>13</v>
      </c>
      <c r="F1141" s="29" t="s">
        <v>13</v>
      </c>
      <c r="G1141" s="29" t="s">
        <v>13</v>
      </c>
      <c r="H1141" s="29" t="s">
        <v>13</v>
      </c>
      <c r="I1141" s="4"/>
    </row>
    <row r="1142">
      <c r="A1142" s="28">
        <v>1138.0</v>
      </c>
      <c r="B1142" s="29" t="s">
        <v>1059</v>
      </c>
      <c r="C1142" s="29" t="s">
        <v>1321</v>
      </c>
      <c r="D1142" s="29" t="s">
        <v>13</v>
      </c>
      <c r="E1142" s="29">
        <v>1.21629E7</v>
      </c>
      <c r="F1142" s="29" t="s">
        <v>13</v>
      </c>
      <c r="G1142" s="29" t="s">
        <v>330</v>
      </c>
      <c r="H1142" s="29" t="s">
        <v>13</v>
      </c>
      <c r="I1142" s="4"/>
    </row>
    <row r="1143">
      <c r="A1143" s="28">
        <v>1139.0</v>
      </c>
      <c r="B1143" s="29" t="s">
        <v>1059</v>
      </c>
      <c r="C1143" s="29" t="s">
        <v>1322</v>
      </c>
      <c r="D1143" s="29" t="s">
        <v>13</v>
      </c>
      <c r="E1143" s="29">
        <v>1777176.0</v>
      </c>
      <c r="F1143" s="29" t="s">
        <v>13</v>
      </c>
      <c r="G1143" s="29" t="s">
        <v>13</v>
      </c>
      <c r="H1143" s="29" t="s">
        <v>13</v>
      </c>
      <c r="I1143" s="4"/>
    </row>
    <row r="1144">
      <c r="A1144" s="28">
        <v>1140.0</v>
      </c>
      <c r="B1144" s="29" t="s">
        <v>1059</v>
      </c>
      <c r="C1144" s="29" t="s">
        <v>1323</v>
      </c>
      <c r="D1144" s="29" t="s">
        <v>13</v>
      </c>
      <c r="E1144" s="29" t="s">
        <v>13</v>
      </c>
      <c r="F1144" s="29" t="s">
        <v>13</v>
      </c>
      <c r="G1144" s="29" t="s">
        <v>13</v>
      </c>
      <c r="H1144" s="29" t="s">
        <v>13</v>
      </c>
      <c r="I1144" s="4"/>
    </row>
    <row r="1145">
      <c r="A1145" s="28">
        <v>1141.0</v>
      </c>
      <c r="B1145" s="29" t="s">
        <v>1059</v>
      </c>
      <c r="C1145" s="29" t="s">
        <v>1324</v>
      </c>
      <c r="D1145" s="29" t="s">
        <v>13</v>
      </c>
      <c r="E1145" s="29" t="s">
        <v>13</v>
      </c>
      <c r="F1145" s="29" t="s">
        <v>13</v>
      </c>
      <c r="G1145" s="29" t="s">
        <v>13</v>
      </c>
      <c r="H1145" s="29" t="s">
        <v>13</v>
      </c>
      <c r="I1145" s="4"/>
    </row>
    <row r="1146">
      <c r="A1146" s="28">
        <v>1142.0</v>
      </c>
      <c r="B1146" s="29" t="s">
        <v>1059</v>
      </c>
      <c r="C1146" s="29" t="s">
        <v>1325</v>
      </c>
      <c r="D1146" s="29" t="s">
        <v>13</v>
      </c>
      <c r="E1146" s="29" t="s">
        <v>13</v>
      </c>
      <c r="F1146" s="29" t="s">
        <v>13</v>
      </c>
      <c r="G1146" s="29" t="s">
        <v>1326</v>
      </c>
      <c r="H1146" s="29" t="s">
        <v>13</v>
      </c>
      <c r="I1146" s="4"/>
    </row>
    <row r="1147">
      <c r="A1147" s="28">
        <v>1143.0</v>
      </c>
      <c r="B1147" s="29" t="s">
        <v>1059</v>
      </c>
      <c r="C1147" s="29" t="s">
        <v>1327</v>
      </c>
      <c r="D1147" s="29">
        <v>1.0</v>
      </c>
      <c r="E1147" s="29" t="s">
        <v>14</v>
      </c>
      <c r="F1147" s="29" t="s">
        <v>13</v>
      </c>
      <c r="G1147" s="29" t="s">
        <v>13</v>
      </c>
      <c r="H1147" s="29" t="s">
        <v>15</v>
      </c>
      <c r="I1147" s="4"/>
    </row>
    <row r="1148">
      <c r="A1148" s="28">
        <v>1144.0</v>
      </c>
      <c r="B1148" s="29" t="s">
        <v>1059</v>
      </c>
      <c r="C1148" s="29" t="s">
        <v>1328</v>
      </c>
      <c r="D1148" s="29">
        <v>12.0</v>
      </c>
      <c r="E1148" s="29" t="s">
        <v>13</v>
      </c>
      <c r="F1148" s="29" t="s">
        <v>13</v>
      </c>
      <c r="G1148" s="29" t="s">
        <v>1107</v>
      </c>
      <c r="H1148" s="29" t="s">
        <v>13</v>
      </c>
      <c r="I1148" s="4"/>
    </row>
    <row r="1149">
      <c r="A1149" s="28">
        <v>1145.0</v>
      </c>
      <c r="B1149" s="29" t="s">
        <v>1059</v>
      </c>
      <c r="C1149" s="29" t="s">
        <v>1329</v>
      </c>
      <c r="D1149" s="29" t="s">
        <v>13</v>
      </c>
      <c r="E1149" s="29" t="s">
        <v>13</v>
      </c>
      <c r="F1149" s="29" t="s">
        <v>13</v>
      </c>
      <c r="G1149" s="29" t="s">
        <v>13</v>
      </c>
      <c r="H1149" s="29" t="s">
        <v>13</v>
      </c>
      <c r="I1149" s="4"/>
    </row>
    <row r="1150">
      <c r="A1150" s="28">
        <v>1146.0</v>
      </c>
      <c r="B1150" s="29" t="s">
        <v>1059</v>
      </c>
      <c r="C1150" s="29" t="s">
        <v>1330</v>
      </c>
      <c r="D1150" s="29" t="s">
        <v>13</v>
      </c>
      <c r="E1150" s="29" t="s">
        <v>13</v>
      </c>
      <c r="F1150" s="29" t="s">
        <v>13</v>
      </c>
      <c r="G1150" s="29" t="s">
        <v>13</v>
      </c>
      <c r="H1150" s="29" t="s">
        <v>13</v>
      </c>
      <c r="I1150" s="4"/>
    </row>
    <row r="1151">
      <c r="A1151" s="28">
        <v>1147.0</v>
      </c>
      <c r="B1151" s="29" t="s">
        <v>1059</v>
      </c>
      <c r="C1151" s="29" t="s">
        <v>1331</v>
      </c>
      <c r="D1151" s="29">
        <v>45.0</v>
      </c>
      <c r="E1151" s="29" t="s">
        <v>13</v>
      </c>
      <c r="F1151" s="29" t="s">
        <v>13</v>
      </c>
      <c r="G1151" s="29" t="s">
        <v>346</v>
      </c>
      <c r="H1151" s="29" t="s">
        <v>13</v>
      </c>
      <c r="I1151" s="4"/>
    </row>
    <row r="1152">
      <c r="A1152" s="28">
        <v>1148.0</v>
      </c>
      <c r="B1152" s="29" t="s">
        <v>1059</v>
      </c>
      <c r="C1152" s="29" t="s">
        <v>1024</v>
      </c>
      <c r="D1152" s="29" t="s">
        <v>13</v>
      </c>
      <c r="E1152" s="29" t="s">
        <v>13</v>
      </c>
      <c r="F1152" s="29" t="s">
        <v>13</v>
      </c>
      <c r="G1152" s="29" t="s">
        <v>13</v>
      </c>
      <c r="H1152" s="29" t="s">
        <v>13</v>
      </c>
      <c r="I1152" s="4"/>
    </row>
    <row r="1153">
      <c r="A1153" s="28">
        <v>1149.0</v>
      </c>
      <c r="B1153" s="29" t="s">
        <v>1059</v>
      </c>
      <c r="C1153" s="29" t="s">
        <v>1332</v>
      </c>
      <c r="D1153" s="29" t="s">
        <v>13</v>
      </c>
      <c r="E1153" s="29">
        <v>2.0560612E7</v>
      </c>
      <c r="F1153" s="29" t="s">
        <v>13</v>
      </c>
      <c r="G1153" s="29" t="s">
        <v>1088</v>
      </c>
      <c r="H1153" s="29" t="s">
        <v>13</v>
      </c>
      <c r="I1153" s="4"/>
    </row>
    <row r="1154">
      <c r="A1154" s="28">
        <v>1150.0</v>
      </c>
      <c r="B1154" s="29" t="s">
        <v>1059</v>
      </c>
      <c r="C1154" s="29" t="s">
        <v>1333</v>
      </c>
      <c r="D1154" s="29">
        <v>32.0</v>
      </c>
      <c r="E1154" s="29" t="s">
        <v>13</v>
      </c>
      <c r="F1154" s="29" t="s">
        <v>13</v>
      </c>
      <c r="G1154" s="29" t="s">
        <v>1078</v>
      </c>
      <c r="H1154" s="29" t="s">
        <v>13</v>
      </c>
      <c r="I1154" s="4"/>
    </row>
    <row r="1155">
      <c r="A1155" s="28">
        <v>1151.0</v>
      </c>
      <c r="B1155" s="29" t="s">
        <v>1059</v>
      </c>
      <c r="C1155" s="29" t="s">
        <v>1334</v>
      </c>
      <c r="D1155" s="29" t="s">
        <v>13</v>
      </c>
      <c r="E1155" s="29">
        <v>2.2250708E7</v>
      </c>
      <c r="F1155" s="29" t="s">
        <v>13</v>
      </c>
      <c r="G1155" s="29" t="s">
        <v>13</v>
      </c>
      <c r="H1155" s="29" t="s">
        <v>13</v>
      </c>
      <c r="I1155" s="4"/>
    </row>
    <row r="1156">
      <c r="A1156" s="28">
        <v>1152.0</v>
      </c>
      <c r="B1156" s="29" t="s">
        <v>1059</v>
      </c>
      <c r="C1156" s="29" t="s">
        <v>1335</v>
      </c>
      <c r="D1156" s="29">
        <v>44.0</v>
      </c>
      <c r="E1156" s="29" t="s">
        <v>13</v>
      </c>
      <c r="F1156" s="29" t="s">
        <v>13</v>
      </c>
      <c r="G1156" s="29" t="s">
        <v>346</v>
      </c>
      <c r="H1156" s="29" t="s">
        <v>13</v>
      </c>
      <c r="I1156" s="4"/>
    </row>
    <row r="1157">
      <c r="A1157" s="28">
        <v>1153.0</v>
      </c>
      <c r="B1157" s="29" t="s">
        <v>1059</v>
      </c>
      <c r="C1157" s="29" t="s">
        <v>1336</v>
      </c>
      <c r="D1157" s="29" t="s">
        <v>13</v>
      </c>
      <c r="E1157" s="29" t="s">
        <v>13</v>
      </c>
      <c r="F1157" s="29" t="s">
        <v>13</v>
      </c>
      <c r="G1157" s="29" t="s">
        <v>346</v>
      </c>
      <c r="H1157" s="29" t="s">
        <v>13</v>
      </c>
      <c r="I1157" s="4"/>
    </row>
    <row r="1158">
      <c r="A1158" s="28">
        <v>1154.0</v>
      </c>
      <c r="B1158" s="29" t="s">
        <v>1059</v>
      </c>
      <c r="C1158" s="29" t="s">
        <v>1337</v>
      </c>
      <c r="D1158" s="29" t="s">
        <v>13</v>
      </c>
      <c r="E1158" s="29" t="s">
        <v>13</v>
      </c>
      <c r="F1158" s="29" t="s">
        <v>13</v>
      </c>
      <c r="G1158" s="29" t="s">
        <v>13</v>
      </c>
      <c r="H1158" s="29" t="s">
        <v>13</v>
      </c>
      <c r="I1158" s="4"/>
    </row>
    <row r="1159">
      <c r="A1159" s="28">
        <v>1155.0</v>
      </c>
      <c r="B1159" s="29" t="s">
        <v>1059</v>
      </c>
      <c r="C1159" s="29" t="s">
        <v>884</v>
      </c>
      <c r="D1159" s="29">
        <v>13.0</v>
      </c>
      <c r="E1159" s="29" t="s">
        <v>1338</v>
      </c>
      <c r="F1159" s="29" t="s">
        <v>13</v>
      </c>
      <c r="G1159" s="29" t="s">
        <v>13</v>
      </c>
      <c r="H1159" s="29" t="s">
        <v>15</v>
      </c>
      <c r="I1159" s="4"/>
    </row>
    <row r="1160">
      <c r="A1160" s="28">
        <v>1156.0</v>
      </c>
      <c r="B1160" s="29" t="s">
        <v>1059</v>
      </c>
      <c r="C1160" s="29" t="s">
        <v>1339</v>
      </c>
      <c r="D1160" s="29" t="s">
        <v>13</v>
      </c>
      <c r="E1160" s="29" t="s">
        <v>14</v>
      </c>
      <c r="F1160" s="29" t="s">
        <v>13</v>
      </c>
      <c r="G1160" s="29" t="s">
        <v>13</v>
      </c>
      <c r="H1160" s="29" t="s">
        <v>15</v>
      </c>
      <c r="I1160" s="4"/>
    </row>
    <row r="1161">
      <c r="A1161" s="28">
        <v>1157.0</v>
      </c>
      <c r="B1161" s="29" t="s">
        <v>1059</v>
      </c>
      <c r="C1161" s="29" t="s">
        <v>1340</v>
      </c>
      <c r="D1161" s="29">
        <v>45.0</v>
      </c>
      <c r="E1161" s="29" t="s">
        <v>14</v>
      </c>
      <c r="F1161" s="29" t="s">
        <v>13</v>
      </c>
      <c r="G1161" s="29" t="s">
        <v>13</v>
      </c>
      <c r="H1161" s="29" t="s">
        <v>15</v>
      </c>
      <c r="I1161" s="4"/>
    </row>
    <row r="1162">
      <c r="A1162" s="28">
        <v>1158.0</v>
      </c>
      <c r="B1162" s="29" t="s">
        <v>1059</v>
      </c>
      <c r="C1162" s="29" t="s">
        <v>1341</v>
      </c>
      <c r="D1162" s="29" t="s">
        <v>13</v>
      </c>
      <c r="E1162" s="29">
        <v>2.9815405E7</v>
      </c>
      <c r="F1162" s="29" t="s">
        <v>13</v>
      </c>
      <c r="G1162" s="29" t="s">
        <v>545</v>
      </c>
      <c r="H1162" s="29" t="s">
        <v>13</v>
      </c>
      <c r="I1162" s="4"/>
    </row>
    <row r="1163">
      <c r="A1163" s="28">
        <v>1159.0</v>
      </c>
      <c r="B1163" s="29" t="s">
        <v>1059</v>
      </c>
      <c r="C1163" s="29" t="s">
        <v>1342</v>
      </c>
      <c r="D1163" s="29">
        <v>32.0</v>
      </c>
      <c r="E1163" s="29" t="s">
        <v>13</v>
      </c>
      <c r="F1163" s="29" t="s">
        <v>13</v>
      </c>
      <c r="G1163" s="29" t="s">
        <v>13</v>
      </c>
      <c r="H1163" s="29" t="s">
        <v>13</v>
      </c>
      <c r="I1163" s="4"/>
    </row>
    <row r="1164">
      <c r="A1164" s="28">
        <v>1160.0</v>
      </c>
      <c r="B1164" s="29" t="s">
        <v>1059</v>
      </c>
      <c r="C1164" s="29" t="s">
        <v>1343</v>
      </c>
      <c r="D1164" s="29" t="s">
        <v>13</v>
      </c>
      <c r="E1164" s="29" t="s">
        <v>13</v>
      </c>
      <c r="F1164" s="29" t="s">
        <v>13</v>
      </c>
      <c r="G1164" s="29" t="s">
        <v>13</v>
      </c>
      <c r="H1164" s="29" t="s">
        <v>13</v>
      </c>
      <c r="I1164" s="4"/>
    </row>
    <row r="1165">
      <c r="A1165" s="28">
        <v>1161.0</v>
      </c>
      <c r="B1165" s="29" t="s">
        <v>1059</v>
      </c>
      <c r="C1165" s="29" t="s">
        <v>1344</v>
      </c>
      <c r="D1165" s="29" t="s">
        <v>13</v>
      </c>
      <c r="E1165" s="29" t="s">
        <v>13</v>
      </c>
      <c r="F1165" s="29" t="s">
        <v>13</v>
      </c>
      <c r="G1165" s="29" t="s">
        <v>986</v>
      </c>
      <c r="H1165" s="29" t="s">
        <v>13</v>
      </c>
      <c r="I1165" s="4"/>
    </row>
    <row r="1166">
      <c r="A1166" s="28">
        <v>1162.0</v>
      </c>
      <c r="B1166" s="29" t="s">
        <v>1059</v>
      </c>
      <c r="C1166" s="29" t="s">
        <v>1345</v>
      </c>
      <c r="D1166" s="29" t="s">
        <v>13</v>
      </c>
      <c r="E1166" s="29" t="s">
        <v>13</v>
      </c>
      <c r="F1166" s="29" t="s">
        <v>13</v>
      </c>
      <c r="G1166" s="29" t="s">
        <v>1088</v>
      </c>
      <c r="H1166" s="29" t="s">
        <v>13</v>
      </c>
      <c r="I1166" s="4"/>
    </row>
    <row r="1167">
      <c r="A1167" s="28">
        <v>1163.0</v>
      </c>
      <c r="B1167" s="29" t="s">
        <v>1059</v>
      </c>
      <c r="C1167" s="29" t="s">
        <v>1346</v>
      </c>
      <c r="D1167" s="29" t="s">
        <v>13</v>
      </c>
      <c r="E1167" s="29" t="s">
        <v>13</v>
      </c>
      <c r="F1167" s="29" t="s">
        <v>13</v>
      </c>
      <c r="G1167" s="29" t="s">
        <v>13</v>
      </c>
      <c r="H1167" s="29" t="s">
        <v>13</v>
      </c>
      <c r="I1167" s="4"/>
    </row>
    <row r="1168">
      <c r="A1168" s="28">
        <v>1164.0</v>
      </c>
      <c r="B1168" s="29" t="s">
        <v>1059</v>
      </c>
      <c r="C1168" s="29" t="s">
        <v>1347</v>
      </c>
      <c r="D1168" s="29" t="s">
        <v>13</v>
      </c>
      <c r="E1168" s="29" t="s">
        <v>13</v>
      </c>
      <c r="F1168" s="29" t="s">
        <v>13</v>
      </c>
      <c r="G1168" s="29" t="s">
        <v>13</v>
      </c>
      <c r="H1168" s="29" t="s">
        <v>13</v>
      </c>
      <c r="I1168" s="4"/>
    </row>
    <row r="1169">
      <c r="A1169" s="28">
        <v>1165.0</v>
      </c>
      <c r="B1169" s="29" t="s">
        <v>1059</v>
      </c>
      <c r="C1169" s="29" t="s">
        <v>1348</v>
      </c>
      <c r="D1169" s="29">
        <v>84.0</v>
      </c>
      <c r="E1169" s="29">
        <v>3147495.0</v>
      </c>
      <c r="F1169" s="29" t="s">
        <v>13</v>
      </c>
      <c r="G1169" s="29" t="s">
        <v>346</v>
      </c>
      <c r="H1169" s="29" t="s">
        <v>13</v>
      </c>
      <c r="I1169" s="4"/>
    </row>
    <row r="1170">
      <c r="A1170" s="28">
        <v>1166.0</v>
      </c>
      <c r="B1170" s="29" t="s">
        <v>1059</v>
      </c>
      <c r="C1170" s="29" t="s">
        <v>1349</v>
      </c>
      <c r="D1170" s="29" t="s">
        <v>13</v>
      </c>
      <c r="E1170" s="29" t="s">
        <v>13</v>
      </c>
      <c r="F1170" s="29" t="s">
        <v>13</v>
      </c>
      <c r="G1170" s="29" t="s">
        <v>986</v>
      </c>
      <c r="H1170" s="29" t="s">
        <v>13</v>
      </c>
      <c r="I1170" s="4"/>
    </row>
    <row r="1171">
      <c r="A1171" s="28">
        <v>1167.0</v>
      </c>
      <c r="B1171" s="29" t="s">
        <v>1059</v>
      </c>
      <c r="C1171" s="29" t="s">
        <v>1350</v>
      </c>
      <c r="D1171" s="29" t="s">
        <v>13</v>
      </c>
      <c r="E1171" s="29" t="s">
        <v>13</v>
      </c>
      <c r="F1171" s="29" t="s">
        <v>13</v>
      </c>
      <c r="G1171" s="29" t="s">
        <v>13</v>
      </c>
      <c r="H1171" s="29" t="s">
        <v>13</v>
      </c>
      <c r="I1171" s="4"/>
    </row>
    <row r="1172">
      <c r="A1172" s="28">
        <v>1168.0</v>
      </c>
      <c r="B1172" s="29" t="s">
        <v>1059</v>
      </c>
      <c r="C1172" s="29" t="s">
        <v>905</v>
      </c>
      <c r="D1172" s="29">
        <v>15.0</v>
      </c>
      <c r="E1172" s="29" t="s">
        <v>1351</v>
      </c>
      <c r="F1172" s="29" t="s">
        <v>13</v>
      </c>
      <c r="G1172" s="29" t="s">
        <v>13</v>
      </c>
      <c r="H1172" s="29" t="s">
        <v>15</v>
      </c>
      <c r="I1172" s="4"/>
    </row>
    <row r="1173">
      <c r="A1173" s="28">
        <v>1169.0</v>
      </c>
      <c r="B1173" s="29" t="s">
        <v>1059</v>
      </c>
      <c r="C1173" s="29" t="s">
        <v>1352</v>
      </c>
      <c r="D1173" s="29" t="s">
        <v>13</v>
      </c>
      <c r="E1173" s="29">
        <v>2.6131879E7</v>
      </c>
      <c r="F1173" s="29" t="s">
        <v>13</v>
      </c>
      <c r="G1173" s="29" t="s">
        <v>545</v>
      </c>
      <c r="H1173" s="29" t="s">
        <v>13</v>
      </c>
      <c r="I1173" s="4"/>
    </row>
    <row r="1174">
      <c r="A1174" s="28">
        <v>1170.0</v>
      </c>
      <c r="B1174" s="29" t="s">
        <v>1059</v>
      </c>
      <c r="C1174" s="29" t="s">
        <v>1353</v>
      </c>
      <c r="D1174" s="29">
        <v>30.0</v>
      </c>
      <c r="E1174" s="29">
        <v>2.5574216E7</v>
      </c>
      <c r="F1174" s="29" t="s">
        <v>13</v>
      </c>
      <c r="G1174" s="29" t="s">
        <v>545</v>
      </c>
      <c r="H1174" s="29" t="s">
        <v>13</v>
      </c>
      <c r="I1174" s="4"/>
    </row>
    <row r="1175">
      <c r="A1175" s="28">
        <v>1171.0</v>
      </c>
      <c r="B1175" s="29" t="s">
        <v>1059</v>
      </c>
      <c r="C1175" s="29" t="s">
        <v>1354</v>
      </c>
      <c r="D1175" s="29" t="s">
        <v>13</v>
      </c>
      <c r="E1175" s="29" t="s">
        <v>13</v>
      </c>
      <c r="F1175" s="29" t="s">
        <v>13</v>
      </c>
      <c r="G1175" s="29" t="s">
        <v>13</v>
      </c>
      <c r="H1175" s="29" t="s">
        <v>13</v>
      </c>
      <c r="I1175" s="4"/>
    </row>
    <row r="1176">
      <c r="A1176" s="28">
        <v>1172.0</v>
      </c>
      <c r="B1176" s="29" t="s">
        <v>1059</v>
      </c>
      <c r="C1176" s="29" t="s">
        <v>1355</v>
      </c>
      <c r="D1176" s="29" t="s">
        <v>13</v>
      </c>
      <c r="E1176" s="29" t="s">
        <v>13</v>
      </c>
      <c r="F1176" s="29" t="s">
        <v>13</v>
      </c>
      <c r="G1176" s="29" t="s">
        <v>13</v>
      </c>
      <c r="H1176" s="29" t="s">
        <v>13</v>
      </c>
      <c r="I1176" s="4"/>
    </row>
    <row r="1177">
      <c r="A1177" s="28">
        <v>1173.0</v>
      </c>
      <c r="B1177" s="29" t="s">
        <v>1059</v>
      </c>
      <c r="C1177" s="29" t="s">
        <v>1356</v>
      </c>
      <c r="D1177" s="29">
        <v>54.0</v>
      </c>
      <c r="E1177" s="29">
        <v>1.1692456E7</v>
      </c>
      <c r="F1177" s="29" t="s">
        <v>13</v>
      </c>
      <c r="G1177" s="29" t="s">
        <v>346</v>
      </c>
      <c r="H1177" s="29" t="s">
        <v>13</v>
      </c>
      <c r="I1177" s="4"/>
    </row>
    <row r="1178">
      <c r="A1178" s="28">
        <v>1174.0</v>
      </c>
      <c r="B1178" s="29" t="s">
        <v>1059</v>
      </c>
      <c r="C1178" s="29" t="s">
        <v>1357</v>
      </c>
      <c r="D1178" s="29">
        <v>40.0</v>
      </c>
      <c r="E1178" s="29" t="s">
        <v>14</v>
      </c>
      <c r="F1178" s="29" t="s">
        <v>13</v>
      </c>
      <c r="G1178" s="29" t="s">
        <v>13</v>
      </c>
      <c r="H1178" s="29" t="s">
        <v>15</v>
      </c>
      <c r="I1178" s="4"/>
    </row>
    <row r="1179">
      <c r="A1179" s="28">
        <v>1175.0</v>
      </c>
      <c r="B1179" s="29" t="s">
        <v>1059</v>
      </c>
      <c r="C1179" s="29" t="s">
        <v>1358</v>
      </c>
      <c r="D1179" s="29">
        <v>40.0</v>
      </c>
      <c r="E1179" s="29">
        <v>1.688843E7</v>
      </c>
      <c r="F1179" s="29" t="s">
        <v>13</v>
      </c>
      <c r="G1179" s="29" t="s">
        <v>1126</v>
      </c>
      <c r="H1179" s="29" t="s">
        <v>13</v>
      </c>
      <c r="I1179" s="4"/>
    </row>
    <row r="1180">
      <c r="A1180" s="28">
        <v>1176.0</v>
      </c>
      <c r="B1180" s="29" t="s">
        <v>1059</v>
      </c>
      <c r="C1180" s="29" t="s">
        <v>1359</v>
      </c>
      <c r="D1180" s="29">
        <v>45.0</v>
      </c>
      <c r="E1180" s="29">
        <v>1.650999E7</v>
      </c>
      <c r="F1180" s="29" t="s">
        <v>13</v>
      </c>
      <c r="G1180" s="29" t="s">
        <v>1088</v>
      </c>
      <c r="H1180" s="29" t="s">
        <v>13</v>
      </c>
      <c r="I1180" s="4"/>
    </row>
    <row r="1181">
      <c r="A1181" s="28">
        <v>1177.0</v>
      </c>
      <c r="B1181" s="29" t="s">
        <v>1059</v>
      </c>
      <c r="C1181" s="29" t="s">
        <v>1360</v>
      </c>
      <c r="D1181" s="29" t="s">
        <v>13</v>
      </c>
      <c r="E1181" s="29" t="s">
        <v>13</v>
      </c>
      <c r="F1181" s="29" t="s">
        <v>13</v>
      </c>
      <c r="G1181" s="29" t="s">
        <v>13</v>
      </c>
      <c r="H1181" s="29" t="s">
        <v>13</v>
      </c>
      <c r="I1181" s="4"/>
    </row>
    <row r="1182">
      <c r="A1182" s="28">
        <v>1178.0</v>
      </c>
      <c r="B1182" s="29" t="s">
        <v>1059</v>
      </c>
      <c r="C1182" s="29" t="s">
        <v>1361</v>
      </c>
      <c r="D1182" s="29" t="s">
        <v>13</v>
      </c>
      <c r="E1182" s="29" t="s">
        <v>13</v>
      </c>
      <c r="F1182" s="29" t="s">
        <v>13</v>
      </c>
      <c r="G1182" s="29" t="s">
        <v>13</v>
      </c>
      <c r="H1182" s="29" t="s">
        <v>13</v>
      </c>
      <c r="I1182" s="4"/>
    </row>
    <row r="1183">
      <c r="A1183" s="28">
        <v>1179.0</v>
      </c>
      <c r="B1183" s="29" t="s">
        <v>1059</v>
      </c>
      <c r="C1183" s="29" t="s">
        <v>1362</v>
      </c>
      <c r="D1183" s="29" t="s">
        <v>13</v>
      </c>
      <c r="E1183" s="29" t="s">
        <v>13</v>
      </c>
      <c r="F1183" s="29" t="s">
        <v>13</v>
      </c>
      <c r="G1183" s="29" t="s">
        <v>346</v>
      </c>
      <c r="H1183" s="29" t="s">
        <v>13</v>
      </c>
      <c r="I1183" s="4"/>
    </row>
    <row r="1184">
      <c r="A1184" s="28">
        <v>1180.0</v>
      </c>
      <c r="B1184" s="29" t="s">
        <v>1059</v>
      </c>
      <c r="C1184" s="29" t="s">
        <v>1363</v>
      </c>
      <c r="D1184" s="29" t="s">
        <v>13</v>
      </c>
      <c r="E1184" s="29" t="s">
        <v>13</v>
      </c>
      <c r="F1184" s="29" t="s">
        <v>13</v>
      </c>
      <c r="G1184" s="29" t="s">
        <v>13</v>
      </c>
      <c r="H1184" s="29" t="s">
        <v>13</v>
      </c>
      <c r="I1184" s="4"/>
    </row>
    <row r="1185">
      <c r="A1185" s="28">
        <v>1181.0</v>
      </c>
      <c r="B1185" s="29" t="s">
        <v>1059</v>
      </c>
      <c r="C1185" s="29" t="s">
        <v>1364</v>
      </c>
      <c r="D1185" s="29" t="s">
        <v>13</v>
      </c>
      <c r="E1185" s="29" t="s">
        <v>13</v>
      </c>
      <c r="F1185" s="29" t="s">
        <v>13</v>
      </c>
      <c r="G1185" s="29" t="s">
        <v>13</v>
      </c>
      <c r="H1185" s="29" t="s">
        <v>13</v>
      </c>
      <c r="I1185" s="4"/>
    </row>
    <row r="1186">
      <c r="A1186" s="28">
        <v>1182.0</v>
      </c>
      <c r="B1186" s="29" t="s">
        <v>1059</v>
      </c>
      <c r="C1186" s="29" t="s">
        <v>1365</v>
      </c>
      <c r="D1186" s="29" t="s">
        <v>13</v>
      </c>
      <c r="E1186" s="29" t="s">
        <v>13</v>
      </c>
      <c r="F1186" s="29" t="s">
        <v>13</v>
      </c>
      <c r="G1186" s="29" t="s">
        <v>13</v>
      </c>
      <c r="H1186" s="29" t="s">
        <v>13</v>
      </c>
      <c r="I1186" s="4"/>
    </row>
    <row r="1187">
      <c r="A1187" s="28">
        <v>1183.0</v>
      </c>
      <c r="B1187" s="29" t="s">
        <v>1059</v>
      </c>
      <c r="C1187" s="29" t="s">
        <v>1366</v>
      </c>
      <c r="D1187" s="29" t="s">
        <v>13</v>
      </c>
      <c r="E1187" s="29" t="s">
        <v>13</v>
      </c>
      <c r="F1187" s="29" t="s">
        <v>13</v>
      </c>
      <c r="G1187" s="29" t="s">
        <v>13</v>
      </c>
      <c r="H1187" s="29" t="s">
        <v>13</v>
      </c>
      <c r="I1187" s="4"/>
    </row>
    <row r="1188">
      <c r="A1188" s="28">
        <v>1184.0</v>
      </c>
      <c r="B1188" s="29" t="s">
        <v>1059</v>
      </c>
      <c r="C1188" s="29" t="s">
        <v>1367</v>
      </c>
      <c r="D1188" s="29" t="s">
        <v>13</v>
      </c>
      <c r="E1188" s="29" t="s">
        <v>13</v>
      </c>
      <c r="F1188" s="29" t="s">
        <v>13</v>
      </c>
      <c r="G1188" s="29" t="s">
        <v>13</v>
      </c>
      <c r="H1188" s="29" t="s">
        <v>13</v>
      </c>
      <c r="I1188" s="4"/>
    </row>
    <row r="1189">
      <c r="A1189" s="28">
        <v>1185.0</v>
      </c>
      <c r="B1189" s="29" t="s">
        <v>1059</v>
      </c>
      <c r="C1189" s="29" t="s">
        <v>1368</v>
      </c>
      <c r="D1189" s="29" t="s">
        <v>13</v>
      </c>
      <c r="E1189" s="29">
        <v>3.2304284E7</v>
      </c>
      <c r="F1189" s="29" t="s">
        <v>13</v>
      </c>
      <c r="G1189" s="29" t="s">
        <v>13</v>
      </c>
      <c r="H1189" s="29" t="s">
        <v>13</v>
      </c>
      <c r="I1189" s="4"/>
    </row>
    <row r="1190">
      <c r="A1190" s="28">
        <v>1186.0</v>
      </c>
      <c r="B1190" s="29" t="s">
        <v>1059</v>
      </c>
      <c r="C1190" s="29" t="s">
        <v>1369</v>
      </c>
      <c r="D1190" s="29">
        <v>8.0</v>
      </c>
      <c r="E1190" s="29" t="s">
        <v>13</v>
      </c>
      <c r="F1190" s="29" t="s">
        <v>13</v>
      </c>
      <c r="G1190" s="29" t="s">
        <v>1370</v>
      </c>
      <c r="H1190" s="29" t="s">
        <v>13</v>
      </c>
      <c r="I1190" s="4"/>
    </row>
    <row r="1191">
      <c r="A1191" s="28">
        <v>1187.0</v>
      </c>
      <c r="B1191" s="29" t="s">
        <v>1059</v>
      </c>
      <c r="C1191" s="29" t="s">
        <v>1371</v>
      </c>
      <c r="D1191" s="29" t="s">
        <v>13</v>
      </c>
      <c r="E1191" s="29">
        <v>2.6363021E7</v>
      </c>
      <c r="F1191" s="29" t="s">
        <v>13</v>
      </c>
      <c r="G1191" s="29" t="s">
        <v>1370</v>
      </c>
      <c r="H1191" s="29" t="s">
        <v>13</v>
      </c>
      <c r="I1191" s="4"/>
    </row>
    <row r="1192">
      <c r="A1192" s="28">
        <v>1188.0</v>
      </c>
      <c r="B1192" s="29" t="s">
        <v>1059</v>
      </c>
      <c r="C1192" s="29" t="s">
        <v>1372</v>
      </c>
      <c r="D1192" s="29" t="s">
        <v>13</v>
      </c>
      <c r="E1192" s="29">
        <v>1.8923829E7</v>
      </c>
      <c r="F1192" s="29" t="s">
        <v>13</v>
      </c>
      <c r="G1192" s="29" t="s">
        <v>1373</v>
      </c>
      <c r="H1192" s="29" t="s">
        <v>13</v>
      </c>
      <c r="I1192" s="4"/>
    </row>
    <row r="1193">
      <c r="A1193" s="28">
        <v>1189.0</v>
      </c>
      <c r="B1193" s="29" t="s">
        <v>1059</v>
      </c>
      <c r="C1193" s="29" t="s">
        <v>1374</v>
      </c>
      <c r="D1193" s="29" t="s">
        <v>13</v>
      </c>
      <c r="E1193" s="29" t="s">
        <v>13</v>
      </c>
      <c r="F1193" s="29" t="s">
        <v>13</v>
      </c>
      <c r="G1193" s="29" t="s">
        <v>13</v>
      </c>
      <c r="H1193" s="29" t="s">
        <v>13</v>
      </c>
      <c r="I1193" s="4"/>
    </row>
    <row r="1194">
      <c r="A1194" s="28">
        <v>1190.0</v>
      </c>
      <c r="B1194" s="29" t="s">
        <v>1059</v>
      </c>
      <c r="C1194" s="29" t="s">
        <v>1375</v>
      </c>
      <c r="D1194" s="29" t="s">
        <v>13</v>
      </c>
      <c r="E1194" s="29">
        <v>6487637.0</v>
      </c>
      <c r="F1194" s="29" t="s">
        <v>13</v>
      </c>
      <c r="G1194" s="29" t="s">
        <v>545</v>
      </c>
      <c r="H1194" s="29" t="s">
        <v>13</v>
      </c>
      <c r="I1194" s="4"/>
    </row>
    <row r="1195">
      <c r="A1195" s="28">
        <v>1191.0</v>
      </c>
      <c r="B1195" s="29" t="s">
        <v>1059</v>
      </c>
      <c r="C1195" s="29" t="s">
        <v>1376</v>
      </c>
      <c r="D1195" s="29" t="s">
        <v>13</v>
      </c>
      <c r="E1195" s="29" t="s">
        <v>13</v>
      </c>
      <c r="F1195" s="29" t="s">
        <v>13</v>
      </c>
      <c r="G1195" s="29" t="s">
        <v>13</v>
      </c>
      <c r="H1195" s="29" t="s">
        <v>13</v>
      </c>
      <c r="I1195" s="4"/>
    </row>
    <row r="1196">
      <c r="A1196" s="28">
        <v>1192.0</v>
      </c>
      <c r="B1196" s="29" t="s">
        <v>1059</v>
      </c>
      <c r="C1196" s="29" t="s">
        <v>1377</v>
      </c>
      <c r="D1196" s="29" t="s">
        <v>13</v>
      </c>
      <c r="E1196" s="29" t="s">
        <v>13</v>
      </c>
      <c r="F1196" s="29" t="s">
        <v>13</v>
      </c>
      <c r="G1196" s="29" t="s">
        <v>13</v>
      </c>
      <c r="H1196" s="29" t="s">
        <v>13</v>
      </c>
      <c r="I1196" s="4"/>
    </row>
    <row r="1197">
      <c r="A1197" s="28">
        <v>1193.0</v>
      </c>
      <c r="B1197" s="29" t="s">
        <v>1059</v>
      </c>
      <c r="C1197" s="29" t="s">
        <v>1378</v>
      </c>
      <c r="D1197" s="29" t="s">
        <v>13</v>
      </c>
      <c r="E1197" s="29" t="s">
        <v>13</v>
      </c>
      <c r="F1197" s="29" t="s">
        <v>13</v>
      </c>
      <c r="G1197" s="29" t="s">
        <v>1126</v>
      </c>
      <c r="H1197" s="29" t="s">
        <v>13</v>
      </c>
      <c r="I1197" s="4"/>
    </row>
    <row r="1198">
      <c r="A1198" s="28">
        <v>1194.0</v>
      </c>
      <c r="B1198" s="29" t="s">
        <v>1059</v>
      </c>
      <c r="C1198" s="29" t="s">
        <v>1379</v>
      </c>
      <c r="D1198" s="29">
        <v>37.0</v>
      </c>
      <c r="E1198" s="29" t="s">
        <v>13</v>
      </c>
      <c r="F1198" s="29" t="s">
        <v>13</v>
      </c>
      <c r="G1198" s="29" t="s">
        <v>346</v>
      </c>
      <c r="H1198" s="29" t="s">
        <v>13</v>
      </c>
      <c r="I1198" s="4"/>
    </row>
    <row r="1199">
      <c r="A1199" s="28">
        <v>1195.0</v>
      </c>
      <c r="B1199" s="29" t="s">
        <v>1059</v>
      </c>
      <c r="C1199" s="29" t="s">
        <v>933</v>
      </c>
      <c r="D1199" s="29" t="s">
        <v>13</v>
      </c>
      <c r="E1199" s="29">
        <v>1.1966827E7</v>
      </c>
      <c r="F1199" s="29" t="s">
        <v>13</v>
      </c>
      <c r="G1199" s="29" t="s">
        <v>343</v>
      </c>
      <c r="H1199" s="29" t="s">
        <v>13</v>
      </c>
      <c r="I1199" s="4"/>
    </row>
    <row r="1200">
      <c r="A1200" s="28">
        <v>1196.0</v>
      </c>
      <c r="B1200" s="29" t="s">
        <v>1059</v>
      </c>
      <c r="C1200" s="29" t="s">
        <v>1380</v>
      </c>
      <c r="D1200" s="29" t="s">
        <v>13</v>
      </c>
      <c r="E1200" s="29" t="s">
        <v>13</v>
      </c>
      <c r="F1200" s="29" t="s">
        <v>13</v>
      </c>
      <c r="G1200" s="29" t="s">
        <v>13</v>
      </c>
      <c r="H1200" s="29" t="s">
        <v>13</v>
      </c>
      <c r="I1200" s="4"/>
    </row>
    <row r="1201">
      <c r="A1201" s="28">
        <v>1197.0</v>
      </c>
      <c r="B1201" s="29" t="s">
        <v>1059</v>
      </c>
      <c r="C1201" s="29" t="s">
        <v>1381</v>
      </c>
      <c r="D1201" s="29">
        <v>38.0</v>
      </c>
      <c r="E1201" s="29" t="s">
        <v>13</v>
      </c>
      <c r="F1201" s="29" t="s">
        <v>13</v>
      </c>
      <c r="G1201" s="29" t="s">
        <v>545</v>
      </c>
      <c r="H1201" s="29" t="s">
        <v>13</v>
      </c>
      <c r="I1201" s="4"/>
    </row>
    <row r="1202">
      <c r="A1202" s="28">
        <v>1198.0</v>
      </c>
      <c r="B1202" s="29" t="s">
        <v>1059</v>
      </c>
      <c r="C1202" s="29" t="s">
        <v>1382</v>
      </c>
      <c r="D1202" s="29" t="s">
        <v>13</v>
      </c>
      <c r="E1202" s="29" t="s">
        <v>13</v>
      </c>
      <c r="F1202" s="29" t="s">
        <v>13</v>
      </c>
      <c r="G1202" s="29" t="s">
        <v>13</v>
      </c>
      <c r="H1202" s="29" t="s">
        <v>13</v>
      </c>
      <c r="I1202" s="4"/>
    </row>
    <row r="1203">
      <c r="A1203" s="28">
        <v>1199.0</v>
      </c>
      <c r="B1203" s="29" t="s">
        <v>1059</v>
      </c>
      <c r="C1203" s="29" t="s">
        <v>1383</v>
      </c>
      <c r="D1203" s="29" t="s">
        <v>13</v>
      </c>
      <c r="E1203" s="29" t="s">
        <v>13</v>
      </c>
      <c r="F1203" s="29" t="s">
        <v>13</v>
      </c>
      <c r="G1203" s="29" t="s">
        <v>13</v>
      </c>
      <c r="H1203" s="29" t="s">
        <v>13</v>
      </c>
      <c r="I1203" s="4"/>
    </row>
    <row r="1204">
      <c r="A1204" s="28">
        <v>1200.0</v>
      </c>
      <c r="B1204" s="29" t="s">
        <v>1059</v>
      </c>
      <c r="C1204" s="29" t="s">
        <v>245</v>
      </c>
      <c r="D1204" s="29" t="s">
        <v>13</v>
      </c>
      <c r="E1204" s="29">
        <v>6225765.0</v>
      </c>
      <c r="F1204" s="29" t="s">
        <v>13</v>
      </c>
      <c r="G1204" s="29" t="s">
        <v>545</v>
      </c>
      <c r="H1204" s="29" t="s">
        <v>13</v>
      </c>
      <c r="I1204" s="4"/>
    </row>
    <row r="1205">
      <c r="A1205" s="28">
        <v>1201.0</v>
      </c>
      <c r="B1205" s="29" t="s">
        <v>1059</v>
      </c>
      <c r="C1205" s="29" t="s">
        <v>1384</v>
      </c>
      <c r="D1205" s="29" t="s">
        <v>13</v>
      </c>
      <c r="E1205" s="29" t="s">
        <v>13</v>
      </c>
      <c r="F1205" s="29" t="s">
        <v>13</v>
      </c>
      <c r="G1205" s="29" t="s">
        <v>1126</v>
      </c>
      <c r="H1205" s="29" t="s">
        <v>13</v>
      </c>
      <c r="I1205" s="4"/>
    </row>
    <row r="1206">
      <c r="A1206" s="28">
        <v>1202.0</v>
      </c>
      <c r="B1206" s="29" t="s">
        <v>1059</v>
      </c>
      <c r="C1206" s="29" t="s">
        <v>1385</v>
      </c>
      <c r="D1206" s="29" t="s">
        <v>13</v>
      </c>
      <c r="E1206" s="29" t="s">
        <v>13</v>
      </c>
      <c r="F1206" s="29" t="s">
        <v>13</v>
      </c>
      <c r="G1206" s="29" t="s">
        <v>13</v>
      </c>
      <c r="H1206" s="29" t="s">
        <v>13</v>
      </c>
      <c r="I1206" s="4"/>
    </row>
    <row r="1207">
      <c r="A1207" s="28">
        <v>1203.0</v>
      </c>
      <c r="B1207" s="29" t="s">
        <v>1059</v>
      </c>
      <c r="C1207" s="29" t="s">
        <v>1386</v>
      </c>
      <c r="D1207" s="29">
        <v>8.0</v>
      </c>
      <c r="E1207" s="29" t="s">
        <v>14</v>
      </c>
      <c r="F1207" s="29" t="s">
        <v>13</v>
      </c>
      <c r="G1207" s="29" t="s">
        <v>13</v>
      </c>
      <c r="H1207" s="29" t="s">
        <v>15</v>
      </c>
      <c r="I1207" s="4"/>
    </row>
    <row r="1208">
      <c r="A1208" s="28">
        <v>1204.0</v>
      </c>
      <c r="B1208" s="29" t="s">
        <v>1059</v>
      </c>
      <c r="C1208" s="29" t="s">
        <v>1387</v>
      </c>
      <c r="D1208" s="29" t="s">
        <v>13</v>
      </c>
      <c r="E1208" s="29" t="s">
        <v>13</v>
      </c>
      <c r="F1208" s="29" t="s">
        <v>13</v>
      </c>
      <c r="G1208" s="29" t="s">
        <v>13</v>
      </c>
      <c r="H1208" s="29" t="s">
        <v>13</v>
      </c>
      <c r="I1208" s="4"/>
    </row>
    <row r="1209">
      <c r="A1209" s="28">
        <v>1205.0</v>
      </c>
      <c r="B1209" s="29" t="s">
        <v>1059</v>
      </c>
      <c r="C1209" s="29" t="s">
        <v>1388</v>
      </c>
      <c r="D1209" s="29">
        <v>84.0</v>
      </c>
      <c r="E1209" s="29" t="s">
        <v>13</v>
      </c>
      <c r="F1209" s="29" t="s">
        <v>13</v>
      </c>
      <c r="G1209" s="29" t="s">
        <v>545</v>
      </c>
      <c r="H1209" s="29" t="s">
        <v>13</v>
      </c>
      <c r="I1209" s="4"/>
    </row>
    <row r="1210">
      <c r="A1210" s="28">
        <v>1206.0</v>
      </c>
      <c r="B1210" s="29" t="s">
        <v>1059</v>
      </c>
      <c r="C1210" s="29" t="s">
        <v>1389</v>
      </c>
      <c r="D1210" s="29" t="s">
        <v>13</v>
      </c>
      <c r="E1210" s="29" t="s">
        <v>13</v>
      </c>
      <c r="F1210" s="29" t="s">
        <v>13</v>
      </c>
      <c r="G1210" s="29" t="s">
        <v>1078</v>
      </c>
      <c r="H1210" s="29" t="s">
        <v>13</v>
      </c>
      <c r="I1210" s="4"/>
    </row>
    <row r="1211">
      <c r="A1211" s="28">
        <v>1207.0</v>
      </c>
      <c r="B1211" s="29" t="s">
        <v>1059</v>
      </c>
      <c r="C1211" s="29" t="s">
        <v>1390</v>
      </c>
      <c r="D1211" s="29" t="s">
        <v>13</v>
      </c>
      <c r="E1211" s="29" t="s">
        <v>13</v>
      </c>
      <c r="F1211" s="29" t="s">
        <v>13</v>
      </c>
      <c r="G1211" s="29" t="s">
        <v>13</v>
      </c>
      <c r="H1211" s="29" t="s">
        <v>13</v>
      </c>
      <c r="I1211" s="4"/>
    </row>
    <row r="1212">
      <c r="A1212" s="28">
        <v>1208.0</v>
      </c>
      <c r="B1212" s="29" t="s">
        <v>1059</v>
      </c>
      <c r="C1212" s="29" t="s">
        <v>1391</v>
      </c>
      <c r="D1212" s="29" t="s">
        <v>13</v>
      </c>
      <c r="E1212" s="29" t="s">
        <v>13</v>
      </c>
      <c r="F1212" s="29" t="s">
        <v>13</v>
      </c>
      <c r="G1212" s="29" t="s">
        <v>13</v>
      </c>
      <c r="H1212" s="29" t="s">
        <v>13</v>
      </c>
      <c r="I1212" s="4"/>
    </row>
    <row r="1213">
      <c r="A1213" s="28">
        <v>1209.0</v>
      </c>
      <c r="B1213" s="29" t="s">
        <v>1059</v>
      </c>
      <c r="C1213" s="29" t="s">
        <v>1392</v>
      </c>
      <c r="D1213" s="29">
        <v>22.0</v>
      </c>
      <c r="E1213" s="29" t="s">
        <v>14</v>
      </c>
      <c r="F1213" s="29" t="s">
        <v>13</v>
      </c>
      <c r="G1213" s="29" t="s">
        <v>13</v>
      </c>
      <c r="H1213" s="29" t="s">
        <v>15</v>
      </c>
      <c r="I1213" s="4"/>
    </row>
    <row r="1214">
      <c r="A1214" s="28">
        <v>1210.0</v>
      </c>
      <c r="B1214" s="29" t="s">
        <v>1059</v>
      </c>
      <c r="C1214" s="29" t="s">
        <v>1393</v>
      </c>
      <c r="D1214" s="29" t="s">
        <v>13</v>
      </c>
      <c r="E1214" s="29" t="s">
        <v>13</v>
      </c>
      <c r="F1214" s="29" t="s">
        <v>13</v>
      </c>
      <c r="G1214" s="29" t="s">
        <v>13</v>
      </c>
      <c r="H1214" s="29" t="s">
        <v>13</v>
      </c>
      <c r="I1214" s="4"/>
    </row>
    <row r="1215">
      <c r="A1215" s="28">
        <v>1211.0</v>
      </c>
      <c r="B1215" s="29" t="s">
        <v>1059</v>
      </c>
      <c r="C1215" s="29" t="s">
        <v>1394</v>
      </c>
      <c r="D1215" s="29">
        <v>36.0</v>
      </c>
      <c r="E1215" s="29" t="s">
        <v>14</v>
      </c>
      <c r="F1215" s="29" t="s">
        <v>13</v>
      </c>
      <c r="G1215" s="29" t="s">
        <v>13</v>
      </c>
      <c r="H1215" s="29" t="s">
        <v>15</v>
      </c>
      <c r="I1215" s="4"/>
    </row>
    <row r="1216">
      <c r="A1216" s="28">
        <v>1212.0</v>
      </c>
      <c r="B1216" s="29" t="s">
        <v>1395</v>
      </c>
      <c r="C1216" s="29" t="s">
        <v>1396</v>
      </c>
      <c r="D1216" s="29">
        <v>19.0</v>
      </c>
      <c r="E1216" s="29" t="s">
        <v>1397</v>
      </c>
      <c r="F1216" s="29" t="s">
        <v>13</v>
      </c>
      <c r="G1216" s="29" t="s">
        <v>1398</v>
      </c>
      <c r="H1216" s="29" t="s">
        <v>1399</v>
      </c>
      <c r="I1216" s="4"/>
    </row>
    <row r="1217">
      <c r="A1217" s="28">
        <v>1213.0</v>
      </c>
      <c r="B1217" s="29" t="s">
        <v>1395</v>
      </c>
      <c r="C1217" s="29" t="s">
        <v>1400</v>
      </c>
      <c r="D1217" s="29">
        <v>21.0</v>
      </c>
      <c r="E1217" s="29" t="s">
        <v>13</v>
      </c>
      <c r="F1217" s="29" t="s">
        <v>13</v>
      </c>
      <c r="G1217" s="29" t="s">
        <v>1401</v>
      </c>
      <c r="H1217" s="29" t="s">
        <v>1399</v>
      </c>
      <c r="I1217" s="4"/>
    </row>
    <row r="1218">
      <c r="A1218" s="28">
        <v>1214.0</v>
      </c>
      <c r="B1218" s="29" t="s">
        <v>1395</v>
      </c>
      <c r="C1218" s="29" t="s">
        <v>1402</v>
      </c>
      <c r="D1218" s="29">
        <v>63.0</v>
      </c>
      <c r="E1218" s="29">
        <v>648.196</v>
      </c>
      <c r="F1218" s="29" t="s">
        <v>13</v>
      </c>
      <c r="G1218" s="29" t="s">
        <v>1398</v>
      </c>
      <c r="H1218" s="29" t="s">
        <v>1399</v>
      </c>
      <c r="I1218" s="4"/>
    </row>
    <row r="1219">
      <c r="A1219" s="28">
        <v>1215.0</v>
      </c>
      <c r="B1219" s="29" t="s">
        <v>1395</v>
      </c>
      <c r="C1219" s="29" t="s">
        <v>1402</v>
      </c>
      <c r="D1219" s="29">
        <v>63.0</v>
      </c>
      <c r="E1219" s="29">
        <v>648.196</v>
      </c>
      <c r="F1219" s="29" t="s">
        <v>13</v>
      </c>
      <c r="G1219" s="29" t="s">
        <v>1398</v>
      </c>
      <c r="H1219" s="29" t="s">
        <v>1399</v>
      </c>
      <c r="I1219" s="4"/>
    </row>
    <row r="1220">
      <c r="A1220" s="28">
        <v>1216.0</v>
      </c>
      <c r="B1220" s="29" t="s">
        <v>1395</v>
      </c>
      <c r="C1220" s="29" t="s">
        <v>1403</v>
      </c>
      <c r="D1220" s="29">
        <v>35.0</v>
      </c>
      <c r="E1220" s="29" t="s">
        <v>1404</v>
      </c>
      <c r="F1220" s="29" t="s">
        <v>13</v>
      </c>
      <c r="G1220" s="29" t="s">
        <v>1405</v>
      </c>
      <c r="H1220" s="29" t="s">
        <v>1406</v>
      </c>
      <c r="I1220" s="4"/>
    </row>
    <row r="1221">
      <c r="A1221" s="28">
        <v>1217.0</v>
      </c>
      <c r="B1221" s="29" t="s">
        <v>1395</v>
      </c>
      <c r="C1221" s="29" t="s">
        <v>1407</v>
      </c>
      <c r="D1221" s="29">
        <v>29.0</v>
      </c>
      <c r="E1221" s="29" t="s">
        <v>1408</v>
      </c>
      <c r="F1221" s="29" t="s">
        <v>13</v>
      </c>
      <c r="G1221" s="29" t="s">
        <v>1398</v>
      </c>
      <c r="H1221" s="29" t="s">
        <v>1399</v>
      </c>
      <c r="I1221" s="4"/>
    </row>
    <row r="1222">
      <c r="A1222" s="28">
        <v>1218.0</v>
      </c>
      <c r="B1222" s="29" t="s">
        <v>1395</v>
      </c>
      <c r="C1222" s="29" t="s">
        <v>1409</v>
      </c>
      <c r="D1222" s="29">
        <v>53.0</v>
      </c>
      <c r="E1222" s="29" t="s">
        <v>1410</v>
      </c>
      <c r="F1222" s="29" t="s">
        <v>13</v>
      </c>
      <c r="G1222" s="29" t="s">
        <v>1401</v>
      </c>
      <c r="H1222" s="29" t="s">
        <v>1399</v>
      </c>
      <c r="I1222" s="4"/>
    </row>
    <row r="1223">
      <c r="A1223" s="28">
        <v>1219.0</v>
      </c>
      <c r="B1223" s="29" t="s">
        <v>1395</v>
      </c>
      <c r="C1223" s="29" t="s">
        <v>1411</v>
      </c>
      <c r="D1223" s="29">
        <v>76.0</v>
      </c>
      <c r="E1223" s="29" t="s">
        <v>1412</v>
      </c>
      <c r="F1223" s="29" t="s">
        <v>13</v>
      </c>
      <c r="G1223" s="29" t="s">
        <v>330</v>
      </c>
      <c r="H1223" s="29" t="s">
        <v>1399</v>
      </c>
      <c r="I1223" s="4"/>
    </row>
    <row r="1224">
      <c r="A1224" s="28">
        <v>1220.0</v>
      </c>
      <c r="B1224" s="29" t="s">
        <v>1395</v>
      </c>
      <c r="C1224" s="29" t="s">
        <v>1413</v>
      </c>
      <c r="D1224" s="29">
        <v>81.0</v>
      </c>
      <c r="E1224" s="29" t="s">
        <v>1414</v>
      </c>
      <c r="F1224" s="29" t="s">
        <v>13</v>
      </c>
      <c r="G1224" s="29" t="s">
        <v>1415</v>
      </c>
      <c r="H1224" s="29" t="s">
        <v>1416</v>
      </c>
      <c r="I1224" s="4"/>
    </row>
    <row r="1225">
      <c r="A1225" s="28">
        <v>1221.0</v>
      </c>
      <c r="B1225" s="29" t="s">
        <v>1395</v>
      </c>
      <c r="C1225" s="29" t="s">
        <v>1417</v>
      </c>
      <c r="D1225" s="29">
        <v>47.0</v>
      </c>
      <c r="E1225" s="29" t="s">
        <v>1418</v>
      </c>
      <c r="F1225" s="29" t="s">
        <v>13</v>
      </c>
      <c r="G1225" s="29" t="s">
        <v>330</v>
      </c>
      <c r="H1225" s="29" t="s">
        <v>1419</v>
      </c>
      <c r="I1225" s="4"/>
    </row>
    <row r="1226">
      <c r="A1226" s="28">
        <v>1222.0</v>
      </c>
      <c r="B1226" s="29" t="s">
        <v>1395</v>
      </c>
      <c r="C1226" s="29" t="s">
        <v>1420</v>
      </c>
      <c r="D1226" s="29">
        <v>65.0</v>
      </c>
      <c r="E1226" s="29" t="s">
        <v>1421</v>
      </c>
      <c r="F1226" s="29" t="s">
        <v>13</v>
      </c>
      <c r="G1226" s="29" t="s">
        <v>1399</v>
      </c>
      <c r="H1226" s="29" t="s">
        <v>1422</v>
      </c>
      <c r="I1226" s="4"/>
    </row>
    <row r="1227">
      <c r="A1227" s="28">
        <v>1223.0</v>
      </c>
      <c r="B1227" s="29" t="s">
        <v>1395</v>
      </c>
      <c r="C1227" s="29" t="s">
        <v>1423</v>
      </c>
      <c r="D1227" s="29">
        <v>77.0</v>
      </c>
      <c r="E1227" s="29" t="s">
        <v>1424</v>
      </c>
      <c r="F1227" s="29" t="s">
        <v>13</v>
      </c>
      <c r="G1227" s="29" t="s">
        <v>1401</v>
      </c>
      <c r="H1227" s="29" t="s">
        <v>1399</v>
      </c>
      <c r="I1227" s="4"/>
    </row>
    <row r="1228">
      <c r="A1228" s="28">
        <v>1224.0</v>
      </c>
      <c r="B1228" s="29" t="s">
        <v>1395</v>
      </c>
      <c r="C1228" s="29" t="s">
        <v>1425</v>
      </c>
      <c r="D1228" s="29">
        <v>46.0</v>
      </c>
      <c r="E1228" s="29" t="s">
        <v>1426</v>
      </c>
      <c r="F1228" s="29" t="s">
        <v>13</v>
      </c>
      <c r="G1228" s="29" t="s">
        <v>330</v>
      </c>
      <c r="H1228" s="29" t="s">
        <v>1399</v>
      </c>
      <c r="I1228" s="4"/>
    </row>
    <row r="1229">
      <c r="A1229" s="28">
        <v>1225.0</v>
      </c>
      <c r="B1229" s="29" t="s">
        <v>1395</v>
      </c>
      <c r="C1229" s="29" t="s">
        <v>1425</v>
      </c>
      <c r="D1229" s="29">
        <v>46.0</v>
      </c>
      <c r="E1229" s="29" t="s">
        <v>1426</v>
      </c>
      <c r="F1229" s="29" t="s">
        <v>13</v>
      </c>
      <c r="G1229" s="29" t="s">
        <v>330</v>
      </c>
      <c r="H1229" s="29" t="s">
        <v>1399</v>
      </c>
      <c r="I1229" s="4"/>
    </row>
    <row r="1230">
      <c r="A1230" s="28">
        <v>1226.0</v>
      </c>
      <c r="B1230" s="29" t="s">
        <v>1395</v>
      </c>
      <c r="C1230" s="29" t="s">
        <v>1427</v>
      </c>
      <c r="D1230" s="29">
        <v>90.0</v>
      </c>
      <c r="E1230" s="29" t="s">
        <v>1428</v>
      </c>
      <c r="F1230" s="29" t="s">
        <v>13</v>
      </c>
      <c r="G1230" s="29" t="s">
        <v>330</v>
      </c>
      <c r="H1230" s="29" t="s">
        <v>1416</v>
      </c>
      <c r="I1230" s="4"/>
    </row>
    <row r="1231">
      <c r="A1231" s="28">
        <v>1227.0</v>
      </c>
      <c r="B1231" s="29" t="s">
        <v>1395</v>
      </c>
      <c r="C1231" s="29" t="s">
        <v>1429</v>
      </c>
      <c r="D1231" s="29">
        <v>77.0</v>
      </c>
      <c r="E1231" s="29" t="s">
        <v>1430</v>
      </c>
      <c r="F1231" s="29" t="s">
        <v>13</v>
      </c>
      <c r="G1231" s="29" t="s">
        <v>972</v>
      </c>
      <c r="H1231" s="29" t="s">
        <v>1399</v>
      </c>
      <c r="I1231" s="4"/>
    </row>
    <row r="1232">
      <c r="A1232" s="28">
        <v>1228.0</v>
      </c>
      <c r="B1232" s="29" t="s">
        <v>1395</v>
      </c>
      <c r="C1232" s="29" t="s">
        <v>1431</v>
      </c>
      <c r="D1232" s="29">
        <v>17.0</v>
      </c>
      <c r="E1232" s="29" t="s">
        <v>1432</v>
      </c>
      <c r="F1232" s="29" t="s">
        <v>13</v>
      </c>
      <c r="G1232" s="29" t="s">
        <v>1078</v>
      </c>
      <c r="H1232" s="29" t="s">
        <v>1399</v>
      </c>
      <c r="I1232" s="4"/>
    </row>
    <row r="1233">
      <c r="A1233" s="28">
        <v>1229.0</v>
      </c>
      <c r="B1233" s="29" t="s">
        <v>1395</v>
      </c>
      <c r="C1233" s="29" t="s">
        <v>1433</v>
      </c>
      <c r="D1233" s="29">
        <v>69.0</v>
      </c>
      <c r="E1233" s="29" t="s">
        <v>1434</v>
      </c>
      <c r="F1233" s="29" t="s">
        <v>13</v>
      </c>
      <c r="G1233" s="29" t="s">
        <v>1401</v>
      </c>
      <c r="H1233" s="29" t="s">
        <v>1399</v>
      </c>
      <c r="I1233" s="4"/>
    </row>
    <row r="1234">
      <c r="A1234" s="28">
        <v>1230.0</v>
      </c>
      <c r="B1234" s="29" t="s">
        <v>1395</v>
      </c>
      <c r="C1234" s="29" t="s">
        <v>1435</v>
      </c>
      <c r="D1234" s="29">
        <v>41.0</v>
      </c>
      <c r="E1234" s="29" t="s">
        <v>1436</v>
      </c>
      <c r="F1234" s="29" t="s">
        <v>13</v>
      </c>
      <c r="G1234" s="29" t="s">
        <v>330</v>
      </c>
      <c r="H1234" s="29" t="s">
        <v>1399</v>
      </c>
      <c r="I1234" s="4"/>
    </row>
    <row r="1235">
      <c r="A1235" s="28">
        <v>1231.0</v>
      </c>
      <c r="B1235" s="29" t="s">
        <v>1395</v>
      </c>
      <c r="C1235" s="29" t="s">
        <v>1437</v>
      </c>
      <c r="D1235" s="29">
        <v>42.0</v>
      </c>
      <c r="E1235" s="29" t="s">
        <v>1438</v>
      </c>
      <c r="F1235" s="29" t="s">
        <v>13</v>
      </c>
      <c r="G1235" s="29" t="s">
        <v>1401</v>
      </c>
      <c r="H1235" s="29" t="s">
        <v>1399</v>
      </c>
      <c r="I1235" s="4"/>
    </row>
    <row r="1236">
      <c r="A1236" s="28">
        <v>1232.0</v>
      </c>
      <c r="B1236" s="29" t="s">
        <v>1395</v>
      </c>
      <c r="C1236" s="29" t="s">
        <v>1439</v>
      </c>
      <c r="D1236" s="29">
        <v>33.0</v>
      </c>
      <c r="E1236" s="29" t="s">
        <v>1440</v>
      </c>
      <c r="F1236" s="29" t="s">
        <v>13</v>
      </c>
      <c r="G1236" s="29" t="s">
        <v>1441</v>
      </c>
      <c r="H1236" s="29" t="s">
        <v>1399</v>
      </c>
      <c r="I1236" s="4"/>
    </row>
    <row r="1237">
      <c r="A1237" s="28">
        <v>1233.0</v>
      </c>
      <c r="B1237" s="29" t="s">
        <v>1395</v>
      </c>
      <c r="C1237" s="29" t="s">
        <v>1442</v>
      </c>
      <c r="D1237" s="29">
        <v>43.0</v>
      </c>
      <c r="E1237" s="29" t="s">
        <v>1443</v>
      </c>
      <c r="F1237" s="29" t="s">
        <v>13</v>
      </c>
      <c r="G1237" s="29" t="s">
        <v>1401</v>
      </c>
      <c r="H1237" s="29" t="s">
        <v>1399</v>
      </c>
      <c r="I1237" s="4"/>
    </row>
    <row r="1238">
      <c r="A1238" s="28">
        <v>1234.0</v>
      </c>
      <c r="B1238" s="29" t="s">
        <v>1395</v>
      </c>
      <c r="C1238" s="29" t="s">
        <v>1444</v>
      </c>
      <c r="D1238" s="29">
        <v>66.0</v>
      </c>
      <c r="E1238" s="29">
        <v>567.005</v>
      </c>
      <c r="F1238" s="29" t="s">
        <v>13</v>
      </c>
      <c r="G1238" s="29" t="s">
        <v>330</v>
      </c>
      <c r="H1238" s="29" t="s">
        <v>1399</v>
      </c>
      <c r="I1238" s="4"/>
    </row>
    <row r="1239">
      <c r="A1239" s="28">
        <v>1235.0</v>
      </c>
      <c r="B1239" s="29" t="s">
        <v>1395</v>
      </c>
      <c r="C1239" s="29" t="s">
        <v>1445</v>
      </c>
      <c r="D1239" s="29">
        <v>66.0</v>
      </c>
      <c r="E1239" s="29" t="s">
        <v>1446</v>
      </c>
      <c r="F1239" s="29" t="s">
        <v>13</v>
      </c>
      <c r="G1239" s="29" t="s">
        <v>1401</v>
      </c>
      <c r="H1239" s="29" t="s">
        <v>1399</v>
      </c>
      <c r="I1239" s="4"/>
    </row>
    <row r="1240">
      <c r="A1240" s="28">
        <v>1236.0</v>
      </c>
      <c r="B1240" s="29" t="s">
        <v>1395</v>
      </c>
      <c r="C1240" s="29" t="s">
        <v>1447</v>
      </c>
      <c r="D1240" s="29">
        <v>66.0</v>
      </c>
      <c r="E1240" s="29" t="s">
        <v>1448</v>
      </c>
      <c r="F1240" s="29" t="s">
        <v>13</v>
      </c>
      <c r="G1240" s="29" t="s">
        <v>1401</v>
      </c>
      <c r="H1240" s="29" t="s">
        <v>1399</v>
      </c>
      <c r="I1240" s="4"/>
    </row>
    <row r="1241">
      <c r="A1241" s="28">
        <v>1237.0</v>
      </c>
      <c r="B1241" s="29" t="s">
        <v>1395</v>
      </c>
      <c r="C1241" s="29" t="s">
        <v>1449</v>
      </c>
      <c r="D1241" s="29">
        <v>19.0</v>
      </c>
      <c r="E1241" s="29" t="s">
        <v>1450</v>
      </c>
      <c r="F1241" s="29" t="s">
        <v>13</v>
      </c>
      <c r="G1241" s="29" t="s">
        <v>1401</v>
      </c>
      <c r="H1241" s="29" t="s">
        <v>1399</v>
      </c>
      <c r="I1241" s="4"/>
    </row>
    <row r="1242">
      <c r="A1242" s="28">
        <v>1238.0</v>
      </c>
      <c r="B1242" s="29" t="s">
        <v>1395</v>
      </c>
      <c r="C1242" s="29" t="s">
        <v>1451</v>
      </c>
      <c r="D1242" s="29">
        <v>30.0</v>
      </c>
      <c r="E1242" s="29" t="s">
        <v>13</v>
      </c>
      <c r="F1242" s="29" t="s">
        <v>13</v>
      </c>
      <c r="G1242" s="29" t="s">
        <v>330</v>
      </c>
      <c r="H1242" s="29" t="s">
        <v>1399</v>
      </c>
      <c r="I1242" s="4"/>
    </row>
    <row r="1243">
      <c r="A1243" s="28">
        <v>1239.0</v>
      </c>
      <c r="B1243" s="29" t="s">
        <v>1395</v>
      </c>
      <c r="C1243" s="29" t="s">
        <v>1452</v>
      </c>
      <c r="D1243" s="29">
        <v>50.0</v>
      </c>
      <c r="E1243" s="29" t="s">
        <v>1453</v>
      </c>
      <c r="F1243" s="29" t="s">
        <v>13</v>
      </c>
      <c r="G1243" s="29" t="s">
        <v>1454</v>
      </c>
      <c r="H1243" s="29" t="s">
        <v>1399</v>
      </c>
      <c r="I1243" s="4"/>
    </row>
    <row r="1244">
      <c r="A1244" s="28">
        <v>1240.0</v>
      </c>
      <c r="B1244" s="29" t="s">
        <v>1395</v>
      </c>
      <c r="C1244" s="29" t="s">
        <v>1455</v>
      </c>
      <c r="D1244" s="29">
        <v>50.0</v>
      </c>
      <c r="E1244" s="29" t="s">
        <v>1456</v>
      </c>
      <c r="F1244" s="29" t="s">
        <v>13</v>
      </c>
      <c r="G1244" s="29" t="s">
        <v>972</v>
      </c>
      <c r="H1244" s="29" t="s">
        <v>1399</v>
      </c>
      <c r="I1244" s="4"/>
    </row>
    <row r="1245">
      <c r="A1245" s="28">
        <v>1241.0</v>
      </c>
      <c r="B1245" s="29" t="s">
        <v>1395</v>
      </c>
      <c r="C1245" s="29" t="s">
        <v>1457</v>
      </c>
      <c r="D1245" s="29">
        <v>92.0</v>
      </c>
      <c r="E1245" s="29" t="s">
        <v>1458</v>
      </c>
      <c r="F1245" s="29" t="s">
        <v>13</v>
      </c>
      <c r="G1245" s="29" t="s">
        <v>1459</v>
      </c>
      <c r="H1245" s="29" t="s">
        <v>1399</v>
      </c>
      <c r="I1245" s="4"/>
    </row>
    <row r="1246">
      <c r="A1246" s="28">
        <v>1242.0</v>
      </c>
      <c r="B1246" s="29" t="s">
        <v>1395</v>
      </c>
      <c r="C1246" s="29" t="s">
        <v>1460</v>
      </c>
      <c r="D1246" s="29">
        <v>17.0</v>
      </c>
      <c r="E1246" s="29" t="s">
        <v>1461</v>
      </c>
      <c r="F1246" s="29" t="s">
        <v>13</v>
      </c>
      <c r="G1246" s="29" t="s">
        <v>1401</v>
      </c>
      <c r="H1246" s="29" t="s">
        <v>1462</v>
      </c>
      <c r="I1246" s="4"/>
    </row>
    <row r="1247">
      <c r="A1247" s="28">
        <v>1243.0</v>
      </c>
      <c r="B1247" s="29" t="s">
        <v>1395</v>
      </c>
      <c r="C1247" s="29" t="s">
        <v>1463</v>
      </c>
      <c r="D1247" s="29">
        <v>68.0</v>
      </c>
      <c r="E1247" s="29" t="s">
        <v>1464</v>
      </c>
      <c r="F1247" s="29" t="s">
        <v>13</v>
      </c>
      <c r="G1247" s="29" t="s">
        <v>1465</v>
      </c>
      <c r="H1247" s="29" t="s">
        <v>1399</v>
      </c>
      <c r="I1247" s="4"/>
    </row>
    <row r="1248">
      <c r="A1248" s="28">
        <v>1244.0</v>
      </c>
      <c r="B1248" s="29" t="s">
        <v>1395</v>
      </c>
      <c r="C1248" s="29" t="s">
        <v>1466</v>
      </c>
      <c r="D1248" s="29">
        <v>59.0</v>
      </c>
      <c r="E1248" s="29" t="s">
        <v>1467</v>
      </c>
      <c r="F1248" s="29" t="s">
        <v>13</v>
      </c>
      <c r="G1248" s="29" t="s">
        <v>1468</v>
      </c>
      <c r="H1248" s="29" t="s">
        <v>1399</v>
      </c>
      <c r="I1248" s="4"/>
    </row>
    <row r="1249">
      <c r="A1249" s="28">
        <v>1245.0</v>
      </c>
      <c r="B1249" s="29" t="s">
        <v>1395</v>
      </c>
      <c r="C1249" s="29" t="s">
        <v>1469</v>
      </c>
      <c r="D1249" s="29">
        <v>33.0</v>
      </c>
      <c r="E1249" s="29" t="s">
        <v>1470</v>
      </c>
      <c r="F1249" s="29" t="s">
        <v>13</v>
      </c>
      <c r="G1249" s="29" t="s">
        <v>330</v>
      </c>
      <c r="H1249" s="29" t="s">
        <v>1399</v>
      </c>
      <c r="I1249" s="4"/>
    </row>
    <row r="1250">
      <c r="A1250" s="28">
        <v>1246.0</v>
      </c>
      <c r="B1250" s="29" t="s">
        <v>1395</v>
      </c>
      <c r="C1250" s="29" t="s">
        <v>1471</v>
      </c>
      <c r="D1250" s="29">
        <v>19.0</v>
      </c>
      <c r="E1250" s="29" t="s">
        <v>1472</v>
      </c>
      <c r="F1250" s="29" t="s">
        <v>13</v>
      </c>
      <c r="G1250" s="29" t="s">
        <v>330</v>
      </c>
      <c r="H1250" s="29" t="s">
        <v>1399</v>
      </c>
      <c r="I1250" s="4"/>
    </row>
    <row r="1251">
      <c r="A1251" s="28">
        <v>1247.0</v>
      </c>
      <c r="B1251" s="29" t="s">
        <v>1395</v>
      </c>
      <c r="C1251" s="29" t="s">
        <v>1473</v>
      </c>
      <c r="D1251" s="29">
        <v>57.0</v>
      </c>
      <c r="E1251" s="29" t="s">
        <v>1474</v>
      </c>
      <c r="F1251" s="29" t="s">
        <v>13</v>
      </c>
      <c r="G1251" s="29" t="s">
        <v>1415</v>
      </c>
      <c r="H1251" s="29" t="s">
        <v>1399</v>
      </c>
      <c r="I1251" s="4"/>
    </row>
    <row r="1252">
      <c r="A1252" s="28">
        <v>1248.0</v>
      </c>
      <c r="B1252" s="29" t="s">
        <v>1395</v>
      </c>
      <c r="C1252" s="29" t="s">
        <v>1475</v>
      </c>
      <c r="D1252" s="29">
        <v>28.0</v>
      </c>
      <c r="E1252" s="29" t="s">
        <v>1476</v>
      </c>
      <c r="F1252" s="29" t="s">
        <v>13</v>
      </c>
      <c r="G1252" s="29" t="s">
        <v>993</v>
      </c>
      <c r="H1252" s="29" t="s">
        <v>1477</v>
      </c>
      <c r="I1252" s="4"/>
    </row>
    <row r="1253">
      <c r="A1253" s="28">
        <v>1249.0</v>
      </c>
      <c r="B1253" s="29" t="s">
        <v>1395</v>
      </c>
      <c r="C1253" s="29" t="s">
        <v>1478</v>
      </c>
      <c r="D1253" s="29">
        <v>42.0</v>
      </c>
      <c r="E1253" s="29" t="s">
        <v>1479</v>
      </c>
      <c r="F1253" s="29" t="s">
        <v>13</v>
      </c>
      <c r="G1253" s="29" t="s">
        <v>330</v>
      </c>
      <c r="H1253" s="29" t="s">
        <v>1399</v>
      </c>
      <c r="I1253" s="4"/>
    </row>
    <row r="1254">
      <c r="A1254" s="28">
        <v>1250.0</v>
      </c>
      <c r="B1254" s="29" t="s">
        <v>1395</v>
      </c>
      <c r="C1254" s="29" t="s">
        <v>1480</v>
      </c>
      <c r="D1254" s="29">
        <v>66.0</v>
      </c>
      <c r="E1254" s="29">
        <v>647.035</v>
      </c>
      <c r="F1254" s="29" t="s">
        <v>13</v>
      </c>
      <c r="G1254" s="29" t="s">
        <v>1398</v>
      </c>
      <c r="H1254" s="29" t="s">
        <v>1399</v>
      </c>
      <c r="I1254" s="4"/>
    </row>
    <row r="1255">
      <c r="A1255" s="28">
        <v>1251.0</v>
      </c>
      <c r="B1255" s="29" t="s">
        <v>1395</v>
      </c>
      <c r="C1255" s="29" t="s">
        <v>1481</v>
      </c>
      <c r="D1255" s="29">
        <v>37.0</v>
      </c>
      <c r="E1255" s="29" t="s">
        <v>1482</v>
      </c>
      <c r="F1255" s="29" t="s">
        <v>13</v>
      </c>
      <c r="G1255" s="29" t="s">
        <v>330</v>
      </c>
      <c r="H1255" s="29" t="s">
        <v>1399</v>
      </c>
      <c r="I1255" s="4"/>
    </row>
    <row r="1256">
      <c r="A1256" s="28">
        <v>1252.0</v>
      </c>
      <c r="B1256" s="29" t="s">
        <v>1395</v>
      </c>
      <c r="C1256" s="29" t="s">
        <v>1483</v>
      </c>
      <c r="D1256" s="29">
        <v>20.0</v>
      </c>
      <c r="E1256" s="29" t="s">
        <v>1484</v>
      </c>
      <c r="F1256" s="29" t="s">
        <v>13</v>
      </c>
      <c r="G1256" s="29" t="s">
        <v>1485</v>
      </c>
      <c r="H1256" s="29" t="s">
        <v>1399</v>
      </c>
      <c r="I1256" s="4"/>
    </row>
    <row r="1257">
      <c r="A1257" s="28">
        <v>1253.0</v>
      </c>
      <c r="B1257" s="29" t="s">
        <v>1395</v>
      </c>
      <c r="C1257" s="29" t="s">
        <v>1486</v>
      </c>
      <c r="D1257" s="29">
        <v>24.0</v>
      </c>
      <c r="E1257" s="29" t="s">
        <v>1487</v>
      </c>
      <c r="F1257" s="29" t="s">
        <v>13</v>
      </c>
      <c r="G1257" s="29" t="s">
        <v>330</v>
      </c>
      <c r="H1257" s="29" t="s">
        <v>1399</v>
      </c>
      <c r="I1257" s="4"/>
    </row>
    <row r="1258">
      <c r="A1258" s="28">
        <v>1254.0</v>
      </c>
      <c r="B1258" s="29" t="s">
        <v>1395</v>
      </c>
      <c r="C1258" s="29" t="s">
        <v>1488</v>
      </c>
      <c r="D1258" s="29">
        <v>34.0</v>
      </c>
      <c r="E1258" s="29" t="s">
        <v>1489</v>
      </c>
      <c r="F1258" s="29" t="s">
        <v>13</v>
      </c>
      <c r="G1258" s="29" t="s">
        <v>330</v>
      </c>
      <c r="H1258" s="29" t="s">
        <v>1399</v>
      </c>
      <c r="I1258" s="4"/>
    </row>
    <row r="1259">
      <c r="A1259" s="28">
        <v>1255.0</v>
      </c>
      <c r="B1259" s="29" t="s">
        <v>1395</v>
      </c>
      <c r="C1259" s="29" t="s">
        <v>1490</v>
      </c>
      <c r="D1259" s="29">
        <v>59.0</v>
      </c>
      <c r="E1259" s="29" t="s">
        <v>1491</v>
      </c>
      <c r="F1259" s="29" t="s">
        <v>13</v>
      </c>
      <c r="G1259" s="29" t="s">
        <v>330</v>
      </c>
      <c r="H1259" s="29" t="s">
        <v>1399</v>
      </c>
      <c r="I1259" s="4"/>
    </row>
    <row r="1260">
      <c r="A1260" s="28">
        <v>1256.0</v>
      </c>
      <c r="B1260" s="29" t="s">
        <v>1395</v>
      </c>
      <c r="C1260" s="29" t="s">
        <v>1492</v>
      </c>
      <c r="D1260" s="29">
        <v>52.0</v>
      </c>
      <c r="E1260" s="29" t="s">
        <v>1493</v>
      </c>
      <c r="F1260" s="29" t="s">
        <v>13</v>
      </c>
      <c r="G1260" s="29" t="s">
        <v>330</v>
      </c>
      <c r="H1260" s="29" t="s">
        <v>1399</v>
      </c>
      <c r="I1260" s="4"/>
    </row>
    <row r="1261">
      <c r="A1261" s="28">
        <v>1257.0</v>
      </c>
      <c r="B1261" s="29" t="s">
        <v>1395</v>
      </c>
      <c r="C1261" s="29" t="s">
        <v>1494</v>
      </c>
      <c r="D1261" s="29">
        <v>30.0</v>
      </c>
      <c r="E1261" s="29" t="s">
        <v>1495</v>
      </c>
      <c r="F1261" s="29" t="s">
        <v>13</v>
      </c>
      <c r="G1261" s="29" t="s">
        <v>330</v>
      </c>
      <c r="H1261" s="29" t="s">
        <v>1399</v>
      </c>
      <c r="I1261" s="4"/>
    </row>
    <row r="1262">
      <c r="A1262" s="28">
        <v>1258.0</v>
      </c>
      <c r="B1262" s="29" t="s">
        <v>1395</v>
      </c>
      <c r="C1262" s="29" t="s">
        <v>1496</v>
      </c>
      <c r="D1262" s="29">
        <v>47.0</v>
      </c>
      <c r="E1262" s="29" t="s">
        <v>1497</v>
      </c>
      <c r="F1262" s="29" t="s">
        <v>13</v>
      </c>
      <c r="G1262" s="29" t="s">
        <v>330</v>
      </c>
      <c r="H1262" s="29" t="s">
        <v>1399</v>
      </c>
      <c r="I1262" s="4"/>
    </row>
    <row r="1263">
      <c r="A1263" s="28">
        <v>1259.0</v>
      </c>
      <c r="B1263" s="29" t="s">
        <v>1395</v>
      </c>
      <c r="C1263" s="29" t="s">
        <v>1498</v>
      </c>
      <c r="D1263" s="29">
        <v>20.0</v>
      </c>
      <c r="E1263" s="29" t="s">
        <v>13</v>
      </c>
      <c r="F1263" s="29" t="s">
        <v>13</v>
      </c>
      <c r="G1263" s="29" t="s">
        <v>1499</v>
      </c>
      <c r="H1263" s="29" t="s">
        <v>1399</v>
      </c>
      <c r="I1263" s="4"/>
    </row>
    <row r="1264">
      <c r="A1264" s="28">
        <v>1260.0</v>
      </c>
      <c r="B1264" s="29" t="s">
        <v>1395</v>
      </c>
      <c r="C1264" s="29" t="s">
        <v>1500</v>
      </c>
      <c r="D1264" s="29">
        <v>20.0</v>
      </c>
      <c r="E1264" s="29" t="s">
        <v>1484</v>
      </c>
      <c r="F1264" s="29" t="s">
        <v>13</v>
      </c>
      <c r="G1264" s="29" t="s">
        <v>1485</v>
      </c>
      <c r="H1264" s="29" t="s">
        <v>1416</v>
      </c>
      <c r="I1264" s="4"/>
    </row>
    <row r="1265">
      <c r="A1265" s="28">
        <v>1261.0</v>
      </c>
      <c r="B1265" s="29" t="s">
        <v>1395</v>
      </c>
      <c r="C1265" s="29" t="s">
        <v>1501</v>
      </c>
      <c r="D1265" s="29">
        <v>56.0</v>
      </c>
      <c r="E1265" s="29" t="s">
        <v>1502</v>
      </c>
      <c r="F1265" s="29" t="s">
        <v>13</v>
      </c>
      <c r="G1265" s="29" t="s">
        <v>1503</v>
      </c>
      <c r="H1265" s="29" t="s">
        <v>1399</v>
      </c>
      <c r="I1265" s="4"/>
    </row>
    <row r="1266">
      <c r="A1266" s="28">
        <v>1262.0</v>
      </c>
      <c r="B1266" s="29" t="s">
        <v>1395</v>
      </c>
      <c r="C1266" s="29" t="s">
        <v>1501</v>
      </c>
      <c r="D1266" s="29">
        <v>56.0</v>
      </c>
      <c r="E1266" s="29" t="s">
        <v>13</v>
      </c>
      <c r="F1266" s="29" t="s">
        <v>13</v>
      </c>
      <c r="G1266" s="29" t="s">
        <v>13</v>
      </c>
      <c r="H1266" s="29" t="s">
        <v>1399</v>
      </c>
      <c r="I1266" s="4"/>
    </row>
    <row r="1267">
      <c r="A1267" s="28">
        <v>1263.0</v>
      </c>
      <c r="B1267" s="29" t="s">
        <v>1395</v>
      </c>
      <c r="C1267" s="29" t="s">
        <v>1504</v>
      </c>
      <c r="D1267" s="29">
        <v>55.0</v>
      </c>
      <c r="E1267" s="29" t="s">
        <v>1505</v>
      </c>
      <c r="F1267" s="29" t="s">
        <v>13</v>
      </c>
      <c r="G1267" s="29" t="s">
        <v>330</v>
      </c>
      <c r="H1267" s="29" t="s">
        <v>1399</v>
      </c>
      <c r="I1267" s="4"/>
    </row>
    <row r="1268">
      <c r="A1268" s="28">
        <v>1264.0</v>
      </c>
      <c r="B1268" s="29" t="s">
        <v>1395</v>
      </c>
      <c r="C1268" s="29" t="s">
        <v>1506</v>
      </c>
      <c r="D1268" s="29">
        <v>58.0</v>
      </c>
      <c r="E1268" s="29" t="s">
        <v>1507</v>
      </c>
      <c r="F1268" s="29" t="s">
        <v>13</v>
      </c>
      <c r="G1268" s="29" t="s">
        <v>330</v>
      </c>
      <c r="H1268" s="29" t="s">
        <v>1399</v>
      </c>
      <c r="I1268" s="4"/>
    </row>
    <row r="1269">
      <c r="A1269" s="28">
        <v>1265.0</v>
      </c>
      <c r="B1269" s="29" t="s">
        <v>1395</v>
      </c>
      <c r="C1269" s="29" t="s">
        <v>1508</v>
      </c>
      <c r="D1269" s="29">
        <v>66.0</v>
      </c>
      <c r="E1269" s="29" t="s">
        <v>1509</v>
      </c>
      <c r="F1269" s="29" t="s">
        <v>13</v>
      </c>
      <c r="G1269" s="29" t="s">
        <v>1401</v>
      </c>
      <c r="H1269" s="29" t="s">
        <v>1399</v>
      </c>
      <c r="I1269" s="4"/>
    </row>
    <row r="1270">
      <c r="A1270" s="28">
        <v>1266.0</v>
      </c>
      <c r="B1270" s="29" t="s">
        <v>1395</v>
      </c>
      <c r="C1270" s="29" t="s">
        <v>1510</v>
      </c>
      <c r="D1270" s="29">
        <v>74.0</v>
      </c>
      <c r="E1270" s="29" t="s">
        <v>1511</v>
      </c>
      <c r="F1270" s="29" t="s">
        <v>13</v>
      </c>
      <c r="G1270" s="29" t="s">
        <v>330</v>
      </c>
      <c r="H1270" s="29" t="s">
        <v>1399</v>
      </c>
      <c r="I1270" s="4"/>
    </row>
    <row r="1271">
      <c r="A1271" s="28">
        <v>1267.0</v>
      </c>
      <c r="B1271" s="29" t="s">
        <v>1395</v>
      </c>
      <c r="C1271" s="29" t="s">
        <v>1512</v>
      </c>
      <c r="D1271" s="29">
        <v>20.0</v>
      </c>
      <c r="E1271" s="29" t="s">
        <v>1513</v>
      </c>
      <c r="F1271" s="29" t="s">
        <v>13</v>
      </c>
      <c r="G1271" s="29" t="s">
        <v>1514</v>
      </c>
      <c r="H1271" s="29" t="s">
        <v>1399</v>
      </c>
      <c r="I1271" s="4"/>
    </row>
    <row r="1272">
      <c r="A1272" s="28">
        <v>1268.0</v>
      </c>
      <c r="B1272" s="29" t="s">
        <v>1395</v>
      </c>
      <c r="C1272" s="29" t="s">
        <v>1515</v>
      </c>
      <c r="D1272" s="29">
        <v>16.0</v>
      </c>
      <c r="E1272" s="29" t="s">
        <v>1516</v>
      </c>
      <c r="F1272" s="29" t="s">
        <v>13</v>
      </c>
      <c r="G1272" s="29" t="s">
        <v>330</v>
      </c>
      <c r="H1272" s="29" t="s">
        <v>1399</v>
      </c>
      <c r="I1272" s="4"/>
    </row>
    <row r="1273">
      <c r="A1273" s="28">
        <v>1269.0</v>
      </c>
      <c r="B1273" s="29" t="s">
        <v>1395</v>
      </c>
      <c r="C1273" s="29" t="s">
        <v>1517</v>
      </c>
      <c r="D1273" s="29">
        <v>35.0</v>
      </c>
      <c r="E1273" s="29" t="s">
        <v>1518</v>
      </c>
      <c r="F1273" s="29" t="s">
        <v>13</v>
      </c>
      <c r="G1273" s="29" t="s">
        <v>330</v>
      </c>
      <c r="H1273" s="29" t="s">
        <v>1519</v>
      </c>
      <c r="I1273" s="4"/>
    </row>
    <row r="1274">
      <c r="A1274" s="28">
        <v>1270.0</v>
      </c>
      <c r="B1274" s="29" t="s">
        <v>1395</v>
      </c>
      <c r="C1274" s="29" t="s">
        <v>1520</v>
      </c>
      <c r="D1274" s="29">
        <v>55.0</v>
      </c>
      <c r="E1274" s="29" t="s">
        <v>1521</v>
      </c>
      <c r="F1274" s="29" t="s">
        <v>13</v>
      </c>
      <c r="G1274" s="29" t="s">
        <v>330</v>
      </c>
      <c r="H1274" s="29" t="s">
        <v>1399</v>
      </c>
      <c r="I1274" s="4"/>
    </row>
    <row r="1275">
      <c r="A1275" s="28">
        <v>1271.0</v>
      </c>
      <c r="B1275" s="29" t="s">
        <v>1395</v>
      </c>
      <c r="C1275" s="29" t="s">
        <v>1522</v>
      </c>
      <c r="D1275" s="29">
        <v>42.0</v>
      </c>
      <c r="E1275" s="29" t="s">
        <v>1523</v>
      </c>
      <c r="F1275" s="29" t="s">
        <v>13</v>
      </c>
      <c r="G1275" s="29" t="s">
        <v>330</v>
      </c>
      <c r="H1275" s="29" t="s">
        <v>1399</v>
      </c>
      <c r="I1275" s="4"/>
    </row>
    <row r="1276">
      <c r="A1276" s="28">
        <v>1272.0</v>
      </c>
      <c r="B1276" s="29" t="s">
        <v>1395</v>
      </c>
      <c r="C1276" s="29" t="s">
        <v>1522</v>
      </c>
      <c r="D1276" s="29">
        <v>42.0</v>
      </c>
      <c r="E1276" s="29" t="s">
        <v>1523</v>
      </c>
      <c r="F1276" s="29" t="s">
        <v>13</v>
      </c>
      <c r="G1276" s="29" t="s">
        <v>330</v>
      </c>
      <c r="H1276" s="29" t="s">
        <v>1399</v>
      </c>
      <c r="I1276" s="4"/>
    </row>
    <row r="1277">
      <c r="A1277" s="28">
        <v>1273.0</v>
      </c>
      <c r="B1277" s="29" t="s">
        <v>1395</v>
      </c>
      <c r="C1277" s="29" t="s">
        <v>1524</v>
      </c>
      <c r="D1277" s="29">
        <v>48.0</v>
      </c>
      <c r="E1277" s="29" t="s">
        <v>1525</v>
      </c>
      <c r="F1277" s="29" t="s">
        <v>13</v>
      </c>
      <c r="G1277" s="29" t="s">
        <v>1526</v>
      </c>
      <c r="H1277" s="29" t="s">
        <v>1416</v>
      </c>
      <c r="I1277" s="4"/>
    </row>
    <row r="1278">
      <c r="A1278" s="28">
        <v>1274.0</v>
      </c>
      <c r="B1278" s="29" t="s">
        <v>1395</v>
      </c>
      <c r="C1278" s="29" t="s">
        <v>1527</v>
      </c>
      <c r="D1278" s="29">
        <v>27.0</v>
      </c>
      <c r="E1278" s="29" t="s">
        <v>1528</v>
      </c>
      <c r="F1278" s="29" t="s">
        <v>13</v>
      </c>
      <c r="G1278" s="29" t="s">
        <v>330</v>
      </c>
      <c r="H1278" s="29" t="s">
        <v>1399</v>
      </c>
      <c r="I1278" s="4"/>
    </row>
    <row r="1279">
      <c r="A1279" s="28">
        <v>1275.0</v>
      </c>
      <c r="B1279" s="29" t="s">
        <v>1395</v>
      </c>
      <c r="C1279" s="29" t="s">
        <v>1529</v>
      </c>
      <c r="D1279" s="29">
        <v>37.0</v>
      </c>
      <c r="E1279" s="29" t="s">
        <v>1530</v>
      </c>
      <c r="F1279" s="29" t="s">
        <v>13</v>
      </c>
      <c r="G1279" s="29" t="s">
        <v>330</v>
      </c>
      <c r="H1279" s="29" t="s">
        <v>1531</v>
      </c>
      <c r="I1279" s="4"/>
    </row>
    <row r="1280">
      <c r="A1280" s="28">
        <v>1276.0</v>
      </c>
      <c r="B1280" s="29" t="s">
        <v>1395</v>
      </c>
      <c r="C1280" s="29" t="s">
        <v>1532</v>
      </c>
      <c r="D1280" s="29">
        <v>23.0</v>
      </c>
      <c r="E1280" s="29" t="s">
        <v>1533</v>
      </c>
      <c r="F1280" s="29" t="s">
        <v>13</v>
      </c>
      <c r="G1280" s="29" t="s">
        <v>330</v>
      </c>
      <c r="H1280" s="29" t="s">
        <v>1534</v>
      </c>
      <c r="I1280" s="4"/>
    </row>
    <row r="1281">
      <c r="A1281" s="28">
        <v>1277.0</v>
      </c>
      <c r="B1281" s="29" t="s">
        <v>1395</v>
      </c>
      <c r="C1281" s="29" t="s">
        <v>1535</v>
      </c>
      <c r="D1281" s="29">
        <v>25.0</v>
      </c>
      <c r="E1281" s="29" t="s">
        <v>1536</v>
      </c>
      <c r="F1281" s="29" t="s">
        <v>13</v>
      </c>
      <c r="G1281" s="29" t="s">
        <v>1468</v>
      </c>
      <c r="H1281" s="29" t="s">
        <v>1399</v>
      </c>
      <c r="I1281" s="4"/>
    </row>
    <row r="1282">
      <c r="A1282" s="28">
        <v>1278.0</v>
      </c>
      <c r="B1282" s="29" t="s">
        <v>1395</v>
      </c>
      <c r="C1282" s="29" t="s">
        <v>1537</v>
      </c>
      <c r="D1282" s="29">
        <v>28.0</v>
      </c>
      <c r="E1282" s="29" t="s">
        <v>1538</v>
      </c>
      <c r="F1282" s="29" t="s">
        <v>13</v>
      </c>
      <c r="G1282" s="29" t="s">
        <v>972</v>
      </c>
      <c r="H1282" s="29" t="s">
        <v>1399</v>
      </c>
      <c r="I1282" s="4"/>
    </row>
    <row r="1283">
      <c r="A1283" s="28">
        <v>1279.0</v>
      </c>
      <c r="B1283" s="29" t="s">
        <v>1395</v>
      </c>
      <c r="C1283" s="29" t="s">
        <v>1539</v>
      </c>
      <c r="D1283" s="29">
        <v>58.0</v>
      </c>
      <c r="E1283" s="29" t="s">
        <v>1540</v>
      </c>
      <c r="F1283" s="29" t="s">
        <v>13</v>
      </c>
      <c r="G1283" s="29" t="s">
        <v>330</v>
      </c>
      <c r="H1283" s="29" t="s">
        <v>1399</v>
      </c>
      <c r="I1283" s="4"/>
    </row>
    <row r="1284">
      <c r="A1284" s="28">
        <v>1280.0</v>
      </c>
      <c r="B1284" s="29" t="s">
        <v>1395</v>
      </c>
      <c r="C1284" s="29" t="s">
        <v>1539</v>
      </c>
      <c r="D1284" s="29">
        <v>53.0</v>
      </c>
      <c r="E1284" s="29" t="s">
        <v>1541</v>
      </c>
      <c r="F1284" s="29" t="s">
        <v>13</v>
      </c>
      <c r="G1284" s="29" t="s">
        <v>330</v>
      </c>
      <c r="H1284" s="29" t="s">
        <v>1399</v>
      </c>
      <c r="I1284" s="4"/>
    </row>
    <row r="1285">
      <c r="A1285" s="28">
        <v>1281.0</v>
      </c>
      <c r="B1285" s="29" t="s">
        <v>1395</v>
      </c>
      <c r="C1285" s="29" t="s">
        <v>1542</v>
      </c>
      <c r="D1285" s="29">
        <v>37.0</v>
      </c>
      <c r="E1285" s="29" t="s">
        <v>1543</v>
      </c>
      <c r="F1285" s="29" t="s">
        <v>13</v>
      </c>
      <c r="G1285" s="29" t="s">
        <v>330</v>
      </c>
      <c r="H1285" s="29" t="s">
        <v>1399</v>
      </c>
      <c r="I1285" s="4"/>
    </row>
    <row r="1286">
      <c r="A1286" s="28">
        <v>1282.0</v>
      </c>
      <c r="B1286" s="29" t="s">
        <v>1395</v>
      </c>
      <c r="C1286" s="29" t="s">
        <v>1544</v>
      </c>
      <c r="D1286" s="29">
        <v>45.0</v>
      </c>
      <c r="E1286" s="29" t="s">
        <v>1545</v>
      </c>
      <c r="F1286" s="29" t="s">
        <v>13</v>
      </c>
      <c r="G1286" s="29" t="s">
        <v>1546</v>
      </c>
      <c r="H1286" s="29" t="s">
        <v>1547</v>
      </c>
      <c r="I1286" s="4"/>
    </row>
    <row r="1287">
      <c r="A1287" s="28">
        <v>1283.0</v>
      </c>
      <c r="B1287" s="29" t="s">
        <v>1395</v>
      </c>
      <c r="C1287" s="29" t="s">
        <v>1548</v>
      </c>
      <c r="D1287" s="29">
        <v>58.0</v>
      </c>
      <c r="E1287" s="29" t="s">
        <v>1549</v>
      </c>
      <c r="F1287" s="29" t="s">
        <v>13</v>
      </c>
      <c r="G1287" s="29" t="s">
        <v>1550</v>
      </c>
      <c r="H1287" s="29" t="s">
        <v>1399</v>
      </c>
      <c r="I1287" s="4"/>
    </row>
    <row r="1288">
      <c r="A1288" s="28">
        <v>1284.0</v>
      </c>
      <c r="B1288" s="29" t="s">
        <v>1395</v>
      </c>
      <c r="C1288" s="29" t="s">
        <v>1551</v>
      </c>
      <c r="D1288" s="29">
        <v>45.0</v>
      </c>
      <c r="E1288" s="29" t="s">
        <v>1552</v>
      </c>
      <c r="F1288" s="29" t="s">
        <v>13</v>
      </c>
      <c r="G1288" s="29" t="s">
        <v>1401</v>
      </c>
      <c r="H1288" s="29" t="s">
        <v>1399</v>
      </c>
      <c r="I1288" s="4"/>
    </row>
    <row r="1289">
      <c r="A1289" s="28">
        <v>1285.0</v>
      </c>
      <c r="B1289" s="29" t="s">
        <v>1395</v>
      </c>
      <c r="C1289" s="29" t="s">
        <v>1553</v>
      </c>
      <c r="D1289" s="29">
        <v>30.0</v>
      </c>
      <c r="E1289" s="29" t="s">
        <v>1554</v>
      </c>
      <c r="F1289" s="29" t="s">
        <v>13</v>
      </c>
      <c r="G1289" s="29" t="s">
        <v>1555</v>
      </c>
      <c r="H1289" s="29" t="s">
        <v>1556</v>
      </c>
      <c r="I1289" s="4"/>
    </row>
    <row r="1290">
      <c r="A1290" s="28">
        <v>1286.0</v>
      </c>
      <c r="B1290" s="29" t="s">
        <v>1395</v>
      </c>
      <c r="C1290" s="29" t="s">
        <v>1557</v>
      </c>
      <c r="D1290" s="29">
        <v>37.0</v>
      </c>
      <c r="E1290" s="29" t="s">
        <v>1558</v>
      </c>
      <c r="F1290" s="29" t="s">
        <v>13</v>
      </c>
      <c r="G1290" s="29" t="s">
        <v>330</v>
      </c>
      <c r="H1290" s="29" t="s">
        <v>1399</v>
      </c>
      <c r="I1290" s="4"/>
    </row>
    <row r="1291">
      <c r="A1291" s="28">
        <v>1287.0</v>
      </c>
      <c r="B1291" s="29" t="s">
        <v>1395</v>
      </c>
      <c r="C1291" s="29" t="s">
        <v>1559</v>
      </c>
      <c r="D1291" s="29">
        <v>59.0</v>
      </c>
      <c r="E1291" s="29" t="s">
        <v>1560</v>
      </c>
      <c r="F1291" s="29" t="s">
        <v>13</v>
      </c>
      <c r="G1291" s="29" t="s">
        <v>1561</v>
      </c>
      <c r="H1291" s="29" t="s">
        <v>1562</v>
      </c>
      <c r="I1291" s="4"/>
    </row>
    <row r="1292">
      <c r="A1292" s="28">
        <v>1288.0</v>
      </c>
      <c r="B1292" s="29" t="s">
        <v>1395</v>
      </c>
      <c r="C1292" s="29" t="s">
        <v>1563</v>
      </c>
      <c r="D1292" s="29">
        <v>49.0</v>
      </c>
      <c r="E1292" s="29" t="s">
        <v>1564</v>
      </c>
      <c r="F1292" s="29" t="s">
        <v>13</v>
      </c>
      <c r="G1292" s="29" t="s">
        <v>1468</v>
      </c>
      <c r="H1292" s="29" t="s">
        <v>1399</v>
      </c>
      <c r="I1292" s="4"/>
    </row>
    <row r="1293">
      <c r="A1293" s="28">
        <v>1289.0</v>
      </c>
      <c r="B1293" s="29" t="s">
        <v>1395</v>
      </c>
      <c r="C1293" s="29" t="s">
        <v>1565</v>
      </c>
      <c r="D1293" s="29">
        <v>49.0</v>
      </c>
      <c r="E1293" s="29" t="s">
        <v>1566</v>
      </c>
      <c r="F1293" s="29" t="s">
        <v>13</v>
      </c>
      <c r="G1293" s="29" t="s">
        <v>330</v>
      </c>
      <c r="H1293" s="29" t="s">
        <v>1399</v>
      </c>
      <c r="I1293" s="4"/>
    </row>
    <row r="1294">
      <c r="A1294" s="28">
        <v>1290.0</v>
      </c>
      <c r="B1294" s="29" t="s">
        <v>1395</v>
      </c>
      <c r="C1294" s="29" t="s">
        <v>1565</v>
      </c>
      <c r="D1294" s="29">
        <v>49.0</v>
      </c>
      <c r="E1294" s="29" t="s">
        <v>1567</v>
      </c>
      <c r="F1294" s="29" t="s">
        <v>13</v>
      </c>
      <c r="G1294" s="29" t="s">
        <v>1568</v>
      </c>
      <c r="H1294" s="29" t="s">
        <v>1569</v>
      </c>
      <c r="I1294" s="4"/>
    </row>
    <row r="1295">
      <c r="A1295" s="28">
        <v>1291.0</v>
      </c>
      <c r="B1295" s="29" t="s">
        <v>1395</v>
      </c>
      <c r="C1295" s="29" t="s">
        <v>1570</v>
      </c>
      <c r="D1295" s="29">
        <v>48.0</v>
      </c>
      <c r="E1295" s="29" t="s">
        <v>1571</v>
      </c>
      <c r="F1295" s="29" t="s">
        <v>13</v>
      </c>
      <c r="G1295" s="29" t="s">
        <v>13</v>
      </c>
      <c r="H1295" s="29" t="s">
        <v>1399</v>
      </c>
      <c r="I1295" s="4"/>
    </row>
    <row r="1296">
      <c r="A1296" s="28">
        <v>1292.0</v>
      </c>
      <c r="B1296" s="29" t="s">
        <v>1395</v>
      </c>
      <c r="C1296" s="29" t="s">
        <v>1572</v>
      </c>
      <c r="D1296" s="29">
        <v>16.0</v>
      </c>
      <c r="E1296" s="29" t="s">
        <v>1573</v>
      </c>
      <c r="F1296" s="29" t="s">
        <v>13</v>
      </c>
      <c r="G1296" s="29" t="s">
        <v>330</v>
      </c>
      <c r="H1296" s="29" t="s">
        <v>1399</v>
      </c>
      <c r="I1296" s="4"/>
    </row>
    <row r="1297">
      <c r="A1297" s="28">
        <v>1293.0</v>
      </c>
      <c r="B1297" s="29" t="s">
        <v>1395</v>
      </c>
      <c r="C1297" s="29" t="s">
        <v>1574</v>
      </c>
      <c r="D1297" s="29">
        <v>57.0</v>
      </c>
      <c r="E1297" s="29" t="s">
        <v>1575</v>
      </c>
      <c r="F1297" s="29" t="s">
        <v>13</v>
      </c>
      <c r="G1297" s="29" t="s">
        <v>330</v>
      </c>
      <c r="H1297" s="29" t="s">
        <v>1399</v>
      </c>
      <c r="I1297" s="4"/>
    </row>
    <row r="1298">
      <c r="A1298" s="28">
        <v>1294.0</v>
      </c>
      <c r="B1298" s="29" t="s">
        <v>1395</v>
      </c>
      <c r="C1298" s="29" t="s">
        <v>1576</v>
      </c>
      <c r="D1298" s="29">
        <v>33.0</v>
      </c>
      <c r="E1298" s="29" t="s">
        <v>1577</v>
      </c>
      <c r="F1298" s="29" t="s">
        <v>13</v>
      </c>
      <c r="G1298" s="29" t="s">
        <v>972</v>
      </c>
      <c r="H1298" s="29" t="s">
        <v>1399</v>
      </c>
      <c r="I1298" s="4"/>
    </row>
    <row r="1299">
      <c r="A1299" s="28">
        <v>1295.0</v>
      </c>
      <c r="B1299" s="29" t="s">
        <v>1395</v>
      </c>
      <c r="C1299" s="29" t="s">
        <v>1578</v>
      </c>
      <c r="D1299" s="29">
        <v>19.0</v>
      </c>
      <c r="E1299" s="29" t="s">
        <v>1579</v>
      </c>
      <c r="F1299" s="29" t="s">
        <v>13</v>
      </c>
      <c r="G1299" s="29" t="s">
        <v>1580</v>
      </c>
      <c r="H1299" s="29" t="s">
        <v>1581</v>
      </c>
      <c r="I1299" s="4"/>
    </row>
    <row r="1300">
      <c r="A1300" s="28">
        <v>1296.0</v>
      </c>
      <c r="B1300" s="29" t="s">
        <v>1395</v>
      </c>
      <c r="C1300" s="29" t="s">
        <v>1582</v>
      </c>
      <c r="D1300" s="29">
        <v>35.0</v>
      </c>
      <c r="E1300" s="29" t="s">
        <v>1583</v>
      </c>
      <c r="F1300" s="29" t="s">
        <v>13</v>
      </c>
      <c r="G1300" s="29" t="s">
        <v>1499</v>
      </c>
      <c r="H1300" s="29" t="s">
        <v>1584</v>
      </c>
      <c r="I1300" s="4"/>
    </row>
    <row r="1301">
      <c r="A1301" s="28">
        <v>1297.0</v>
      </c>
      <c r="B1301" s="29" t="s">
        <v>1395</v>
      </c>
      <c r="C1301" s="29" t="s">
        <v>1585</v>
      </c>
      <c r="D1301" s="29">
        <v>20.0</v>
      </c>
      <c r="E1301" s="29" t="s">
        <v>1586</v>
      </c>
      <c r="F1301" s="29" t="s">
        <v>13</v>
      </c>
      <c r="G1301" s="29" t="s">
        <v>330</v>
      </c>
      <c r="H1301" s="29" t="s">
        <v>1399</v>
      </c>
      <c r="I1301" s="4"/>
    </row>
    <row r="1302">
      <c r="A1302" s="28">
        <v>1298.0</v>
      </c>
      <c r="B1302" s="29" t="s">
        <v>1395</v>
      </c>
      <c r="C1302" s="29" t="s">
        <v>1587</v>
      </c>
      <c r="D1302" s="29">
        <v>68.0</v>
      </c>
      <c r="E1302" s="29" t="s">
        <v>1588</v>
      </c>
      <c r="F1302" s="29" t="s">
        <v>13</v>
      </c>
      <c r="G1302" s="29" t="s">
        <v>1468</v>
      </c>
      <c r="H1302" s="29" t="s">
        <v>1399</v>
      </c>
      <c r="I1302" s="4"/>
    </row>
    <row r="1303">
      <c r="A1303" s="28">
        <v>1299.0</v>
      </c>
      <c r="B1303" s="29" t="s">
        <v>1395</v>
      </c>
      <c r="C1303" s="29" t="s">
        <v>1589</v>
      </c>
      <c r="D1303" s="29">
        <v>47.0</v>
      </c>
      <c r="E1303" s="29" t="s">
        <v>1590</v>
      </c>
      <c r="F1303" s="29" t="s">
        <v>13</v>
      </c>
      <c r="G1303" s="29" t="s">
        <v>1401</v>
      </c>
      <c r="H1303" s="29" t="s">
        <v>1399</v>
      </c>
      <c r="I1303" s="4"/>
    </row>
    <row r="1304">
      <c r="A1304" s="28">
        <v>1300.0</v>
      </c>
      <c r="B1304" s="29" t="s">
        <v>1395</v>
      </c>
      <c r="C1304" s="29" t="s">
        <v>1591</v>
      </c>
      <c r="D1304" s="29">
        <v>54.0</v>
      </c>
      <c r="E1304" s="29" t="s">
        <v>1592</v>
      </c>
      <c r="F1304" s="29" t="s">
        <v>13</v>
      </c>
      <c r="G1304" s="29" t="s">
        <v>1401</v>
      </c>
      <c r="H1304" s="29" t="s">
        <v>1399</v>
      </c>
      <c r="I1304" s="4"/>
    </row>
    <row r="1305">
      <c r="A1305" s="28">
        <v>1301.0</v>
      </c>
      <c r="B1305" s="29" t="s">
        <v>1395</v>
      </c>
      <c r="C1305" s="29" t="s">
        <v>1593</v>
      </c>
      <c r="D1305" s="29">
        <v>52.0</v>
      </c>
      <c r="E1305" s="29" t="s">
        <v>1594</v>
      </c>
      <c r="F1305" s="29" t="s">
        <v>13</v>
      </c>
      <c r="G1305" s="29" t="s">
        <v>1468</v>
      </c>
      <c r="H1305" s="29" t="s">
        <v>1399</v>
      </c>
      <c r="I1305" s="4"/>
    </row>
    <row r="1306">
      <c r="A1306" s="28">
        <v>1302.0</v>
      </c>
      <c r="B1306" s="29" t="s">
        <v>1395</v>
      </c>
      <c r="C1306" s="29" t="s">
        <v>1595</v>
      </c>
      <c r="D1306" s="29">
        <v>34.0</v>
      </c>
      <c r="E1306" s="29" t="s">
        <v>13</v>
      </c>
      <c r="F1306" s="29" t="s">
        <v>13</v>
      </c>
      <c r="G1306" s="29" t="s">
        <v>1468</v>
      </c>
      <c r="H1306" s="29" t="s">
        <v>1399</v>
      </c>
      <c r="I1306" s="4"/>
    </row>
    <row r="1307">
      <c r="A1307" s="28">
        <v>1303.0</v>
      </c>
      <c r="B1307" s="29" t="s">
        <v>1395</v>
      </c>
      <c r="C1307" s="29" t="s">
        <v>1596</v>
      </c>
      <c r="D1307" s="29">
        <v>45.0</v>
      </c>
      <c r="E1307" s="29" t="s">
        <v>1597</v>
      </c>
      <c r="F1307" s="29" t="s">
        <v>13</v>
      </c>
      <c r="G1307" s="29" t="s">
        <v>1598</v>
      </c>
      <c r="H1307" s="29" t="s">
        <v>1416</v>
      </c>
      <c r="I1307" s="4"/>
    </row>
    <row r="1308">
      <c r="A1308" s="28">
        <v>1304.0</v>
      </c>
      <c r="B1308" s="29" t="s">
        <v>1395</v>
      </c>
      <c r="C1308" s="29" t="s">
        <v>1599</v>
      </c>
      <c r="D1308" s="29">
        <v>23.0</v>
      </c>
      <c r="E1308" s="29" t="s">
        <v>1600</v>
      </c>
      <c r="F1308" s="29" t="s">
        <v>13</v>
      </c>
      <c r="G1308" s="29" t="s">
        <v>1526</v>
      </c>
      <c r="H1308" s="29" t="s">
        <v>1601</v>
      </c>
      <c r="I1308" s="4"/>
    </row>
    <row r="1309">
      <c r="A1309" s="28">
        <v>1305.0</v>
      </c>
      <c r="B1309" s="29" t="s">
        <v>1395</v>
      </c>
      <c r="C1309" s="29" t="s">
        <v>1602</v>
      </c>
      <c r="D1309" s="29">
        <v>26.0</v>
      </c>
      <c r="E1309" s="29" t="s">
        <v>1603</v>
      </c>
      <c r="F1309" s="29" t="s">
        <v>13</v>
      </c>
      <c r="G1309" s="29" t="s">
        <v>1401</v>
      </c>
      <c r="H1309" s="29" t="s">
        <v>1399</v>
      </c>
      <c r="I1309" s="4"/>
    </row>
    <row r="1310">
      <c r="A1310" s="28">
        <v>1306.0</v>
      </c>
      <c r="B1310" s="29" t="s">
        <v>1395</v>
      </c>
      <c r="C1310" s="29" t="s">
        <v>1604</v>
      </c>
      <c r="D1310" s="29">
        <v>35.0</v>
      </c>
      <c r="E1310" s="29" t="s">
        <v>1605</v>
      </c>
      <c r="F1310" s="29" t="s">
        <v>13</v>
      </c>
      <c r="G1310" s="29" t="s">
        <v>1468</v>
      </c>
      <c r="H1310" s="29" t="s">
        <v>1399</v>
      </c>
      <c r="I1310" s="4"/>
    </row>
    <row r="1311">
      <c r="A1311" s="28">
        <v>1307.0</v>
      </c>
      <c r="B1311" s="29" t="s">
        <v>1395</v>
      </c>
      <c r="C1311" s="29" t="s">
        <v>1606</v>
      </c>
      <c r="D1311" s="29">
        <v>47.0</v>
      </c>
      <c r="E1311" s="29" t="s">
        <v>1607</v>
      </c>
      <c r="F1311" s="29" t="s">
        <v>13</v>
      </c>
      <c r="G1311" s="29" t="s">
        <v>1401</v>
      </c>
      <c r="H1311" s="29" t="s">
        <v>1399</v>
      </c>
      <c r="I1311" s="4"/>
    </row>
    <row r="1312">
      <c r="A1312" s="28">
        <v>1308.0</v>
      </c>
      <c r="B1312" s="29" t="s">
        <v>1395</v>
      </c>
      <c r="C1312" s="29" t="s">
        <v>1608</v>
      </c>
      <c r="D1312" s="29">
        <v>19.0</v>
      </c>
      <c r="E1312" s="29" t="s">
        <v>1609</v>
      </c>
      <c r="F1312" s="29" t="s">
        <v>13</v>
      </c>
      <c r="G1312" s="29" t="s">
        <v>1580</v>
      </c>
      <c r="H1312" s="29" t="s">
        <v>1581</v>
      </c>
      <c r="I1312" s="4"/>
    </row>
    <row r="1313">
      <c r="A1313" s="28">
        <v>1309.0</v>
      </c>
      <c r="B1313" s="29" t="s">
        <v>1395</v>
      </c>
      <c r="C1313" s="29" t="s">
        <v>1610</v>
      </c>
      <c r="D1313" s="29">
        <v>41.0</v>
      </c>
      <c r="E1313" s="29" t="s">
        <v>1611</v>
      </c>
      <c r="F1313" s="29" t="s">
        <v>13</v>
      </c>
      <c r="G1313" s="29" t="s">
        <v>330</v>
      </c>
      <c r="H1313" s="29" t="s">
        <v>1612</v>
      </c>
      <c r="I1313" s="4"/>
    </row>
    <row r="1314">
      <c r="A1314" s="28">
        <v>1310.0</v>
      </c>
      <c r="B1314" s="29" t="s">
        <v>1395</v>
      </c>
      <c r="C1314" s="29" t="s">
        <v>1613</v>
      </c>
      <c r="D1314" s="29">
        <v>72.0</v>
      </c>
      <c r="E1314" s="29" t="s">
        <v>1614</v>
      </c>
      <c r="F1314" s="29" t="s">
        <v>13</v>
      </c>
      <c r="G1314" s="29" t="s">
        <v>330</v>
      </c>
      <c r="H1314" s="29" t="s">
        <v>1399</v>
      </c>
      <c r="I1314" s="4"/>
    </row>
    <row r="1315">
      <c r="A1315" s="28">
        <v>1311.0</v>
      </c>
      <c r="B1315" s="29" t="s">
        <v>1395</v>
      </c>
      <c r="C1315" s="29" t="s">
        <v>1615</v>
      </c>
      <c r="D1315" s="29">
        <v>67.0</v>
      </c>
      <c r="E1315" s="29" t="s">
        <v>1616</v>
      </c>
      <c r="F1315" s="29" t="s">
        <v>13</v>
      </c>
      <c r="G1315" s="29" t="s">
        <v>330</v>
      </c>
      <c r="H1315" s="29" t="s">
        <v>1399</v>
      </c>
      <c r="I1315" s="4"/>
    </row>
    <row r="1316">
      <c r="A1316" s="28">
        <v>1312.0</v>
      </c>
      <c r="B1316" s="29" t="s">
        <v>1395</v>
      </c>
      <c r="C1316" s="29" t="s">
        <v>1615</v>
      </c>
      <c r="D1316" s="29">
        <v>67.0</v>
      </c>
      <c r="E1316" s="29" t="s">
        <v>1616</v>
      </c>
      <c r="F1316" s="29" t="s">
        <v>13</v>
      </c>
      <c r="G1316" s="29" t="s">
        <v>330</v>
      </c>
      <c r="H1316" s="29" t="s">
        <v>1399</v>
      </c>
      <c r="I1316" s="4"/>
    </row>
    <row r="1317">
      <c r="A1317" s="28">
        <v>1313.0</v>
      </c>
      <c r="B1317" s="29" t="s">
        <v>1395</v>
      </c>
      <c r="C1317" s="29" t="s">
        <v>1617</v>
      </c>
      <c r="D1317" s="29">
        <v>33.0</v>
      </c>
      <c r="E1317" s="29" t="s">
        <v>1618</v>
      </c>
      <c r="F1317" s="29" t="s">
        <v>13</v>
      </c>
      <c r="G1317" s="29" t="s">
        <v>1580</v>
      </c>
      <c r="H1317" s="29" t="s">
        <v>1619</v>
      </c>
      <c r="I1317" s="4"/>
    </row>
    <row r="1318">
      <c r="A1318" s="28">
        <v>1314.0</v>
      </c>
      <c r="B1318" s="29" t="s">
        <v>1395</v>
      </c>
      <c r="C1318" s="29" t="s">
        <v>1620</v>
      </c>
      <c r="D1318" s="29">
        <v>26.0</v>
      </c>
      <c r="E1318" s="29" t="s">
        <v>1621</v>
      </c>
      <c r="F1318" s="29" t="s">
        <v>13</v>
      </c>
      <c r="G1318" s="29" t="s">
        <v>330</v>
      </c>
      <c r="H1318" s="29" t="s">
        <v>1399</v>
      </c>
      <c r="I1318" s="4"/>
    </row>
    <row r="1319">
      <c r="A1319" s="28">
        <v>1315.0</v>
      </c>
      <c r="B1319" s="29" t="s">
        <v>1395</v>
      </c>
      <c r="C1319" s="29" t="s">
        <v>1622</v>
      </c>
      <c r="D1319" s="29">
        <v>27.0</v>
      </c>
      <c r="E1319" s="29" t="s">
        <v>1623</v>
      </c>
      <c r="F1319" s="29" t="s">
        <v>13</v>
      </c>
      <c r="G1319" s="29" t="s">
        <v>330</v>
      </c>
      <c r="H1319" s="29" t="s">
        <v>1624</v>
      </c>
      <c r="I1319" s="4"/>
    </row>
    <row r="1320">
      <c r="A1320" s="28">
        <v>1316.0</v>
      </c>
      <c r="B1320" s="29" t="s">
        <v>1395</v>
      </c>
      <c r="C1320" s="29" t="s">
        <v>1625</v>
      </c>
      <c r="D1320" s="29">
        <v>86.0</v>
      </c>
      <c r="E1320" s="29" t="s">
        <v>1626</v>
      </c>
      <c r="F1320" s="29" t="s">
        <v>13</v>
      </c>
      <c r="G1320" s="29" t="s">
        <v>1401</v>
      </c>
      <c r="H1320" s="29" t="s">
        <v>1399</v>
      </c>
      <c r="I1320" s="4"/>
    </row>
    <row r="1321">
      <c r="A1321" s="28">
        <v>1317.0</v>
      </c>
      <c r="B1321" s="29" t="s">
        <v>1395</v>
      </c>
      <c r="C1321" s="29" t="s">
        <v>1627</v>
      </c>
      <c r="D1321" s="29">
        <v>18.0</v>
      </c>
      <c r="E1321" s="29" t="s">
        <v>1628</v>
      </c>
      <c r="F1321" s="29" t="s">
        <v>13</v>
      </c>
      <c r="G1321" s="29" t="s">
        <v>330</v>
      </c>
      <c r="H1321" s="29" t="s">
        <v>1399</v>
      </c>
      <c r="I1321" s="4"/>
    </row>
    <row r="1322">
      <c r="A1322" s="28">
        <v>1318.0</v>
      </c>
      <c r="B1322" s="29" t="s">
        <v>1395</v>
      </c>
      <c r="C1322" s="29" t="s">
        <v>1629</v>
      </c>
      <c r="D1322" s="29">
        <v>42.0</v>
      </c>
      <c r="E1322" s="29" t="s">
        <v>1630</v>
      </c>
      <c r="F1322" s="29" t="s">
        <v>13</v>
      </c>
      <c r="G1322" s="29" t="s">
        <v>1401</v>
      </c>
      <c r="H1322" s="29" t="s">
        <v>1399</v>
      </c>
      <c r="I1322" s="4"/>
    </row>
    <row r="1323">
      <c r="A1323" s="28">
        <v>1319.0</v>
      </c>
      <c r="B1323" s="29" t="s">
        <v>1395</v>
      </c>
      <c r="C1323" s="29" t="s">
        <v>1631</v>
      </c>
      <c r="D1323" s="29">
        <v>49.0</v>
      </c>
      <c r="E1323" s="29" t="s">
        <v>1632</v>
      </c>
      <c r="F1323" s="29" t="s">
        <v>13</v>
      </c>
      <c r="G1323" s="29" t="s">
        <v>1401</v>
      </c>
      <c r="H1323" s="29" t="s">
        <v>1399</v>
      </c>
      <c r="I1323" s="4"/>
    </row>
    <row r="1324">
      <c r="A1324" s="28">
        <v>1320.0</v>
      </c>
      <c r="B1324" s="29" t="s">
        <v>1395</v>
      </c>
      <c r="C1324" s="29" t="s">
        <v>1633</v>
      </c>
      <c r="D1324" s="29">
        <v>42.0</v>
      </c>
      <c r="E1324" s="29" t="s">
        <v>1634</v>
      </c>
      <c r="F1324" s="29" t="s">
        <v>13</v>
      </c>
      <c r="G1324" s="29" t="s">
        <v>1526</v>
      </c>
      <c r="H1324" s="29" t="s">
        <v>1635</v>
      </c>
      <c r="I1324" s="4"/>
    </row>
    <row r="1325">
      <c r="A1325" s="28">
        <v>1321.0</v>
      </c>
      <c r="B1325" s="29" t="s">
        <v>1395</v>
      </c>
      <c r="C1325" s="29" t="s">
        <v>1636</v>
      </c>
      <c r="D1325" s="29">
        <v>69.0</v>
      </c>
      <c r="E1325" s="29" t="s">
        <v>1637</v>
      </c>
      <c r="F1325" s="29" t="s">
        <v>13</v>
      </c>
      <c r="G1325" s="29" t="s">
        <v>330</v>
      </c>
      <c r="H1325" s="29" t="s">
        <v>1399</v>
      </c>
      <c r="I1325" s="4"/>
    </row>
    <row r="1326">
      <c r="A1326" s="28">
        <v>1322.0</v>
      </c>
      <c r="B1326" s="29" t="s">
        <v>1395</v>
      </c>
      <c r="C1326" s="29" t="s">
        <v>1636</v>
      </c>
      <c r="D1326" s="29">
        <v>69.0</v>
      </c>
      <c r="E1326" s="29" t="s">
        <v>1637</v>
      </c>
      <c r="F1326" s="29" t="s">
        <v>13</v>
      </c>
      <c r="G1326" s="29" t="s">
        <v>330</v>
      </c>
      <c r="H1326" s="29" t="s">
        <v>1399</v>
      </c>
      <c r="I1326" s="4"/>
    </row>
    <row r="1327">
      <c r="A1327" s="28">
        <v>1323.0</v>
      </c>
      <c r="B1327" s="29" t="s">
        <v>1395</v>
      </c>
      <c r="C1327" s="29" t="s">
        <v>1638</v>
      </c>
      <c r="D1327" s="29">
        <v>77.0</v>
      </c>
      <c r="E1327" s="29">
        <v>649.768</v>
      </c>
      <c r="F1327" s="29" t="s">
        <v>13</v>
      </c>
      <c r="G1327" s="29" t="s">
        <v>1401</v>
      </c>
      <c r="H1327" s="29" t="s">
        <v>1399</v>
      </c>
      <c r="I1327" s="4"/>
    </row>
    <row r="1328">
      <c r="A1328" s="28">
        <v>1324.0</v>
      </c>
      <c r="B1328" s="29" t="s">
        <v>1395</v>
      </c>
      <c r="C1328" s="29" t="s">
        <v>1639</v>
      </c>
      <c r="D1328" s="29">
        <v>77.0</v>
      </c>
      <c r="E1328" s="29" t="s">
        <v>1640</v>
      </c>
      <c r="F1328" s="29" t="s">
        <v>13</v>
      </c>
      <c r="G1328" s="29" t="s">
        <v>330</v>
      </c>
      <c r="H1328" s="29" t="s">
        <v>1399</v>
      </c>
      <c r="I1328" s="4"/>
    </row>
    <row r="1329">
      <c r="A1329" s="28">
        <v>1325.0</v>
      </c>
      <c r="B1329" s="29" t="s">
        <v>1395</v>
      </c>
      <c r="C1329" s="29" t="s">
        <v>1641</v>
      </c>
      <c r="D1329" s="29">
        <v>23.0</v>
      </c>
      <c r="E1329" s="29" t="s">
        <v>1642</v>
      </c>
      <c r="F1329" s="29" t="s">
        <v>13</v>
      </c>
      <c r="G1329" s="29" t="s">
        <v>1643</v>
      </c>
      <c r="H1329" s="29" t="s">
        <v>1399</v>
      </c>
      <c r="I1329" s="4"/>
    </row>
    <row r="1330">
      <c r="A1330" s="28">
        <v>1326.0</v>
      </c>
      <c r="B1330" s="29" t="s">
        <v>1395</v>
      </c>
      <c r="C1330" s="29" t="s">
        <v>1644</v>
      </c>
      <c r="D1330" s="29">
        <v>40.0</v>
      </c>
      <c r="E1330" s="29" t="s">
        <v>1645</v>
      </c>
      <c r="F1330" s="29" t="s">
        <v>13</v>
      </c>
      <c r="G1330" s="29" t="s">
        <v>330</v>
      </c>
      <c r="H1330" s="29" t="s">
        <v>1399</v>
      </c>
      <c r="I1330" s="4"/>
    </row>
    <row r="1331">
      <c r="A1331" s="28">
        <v>1327.0</v>
      </c>
      <c r="B1331" s="29" t="s">
        <v>1395</v>
      </c>
      <c r="C1331" s="29" t="s">
        <v>1646</v>
      </c>
      <c r="D1331" s="29">
        <v>50.0</v>
      </c>
      <c r="E1331" s="29" t="s">
        <v>1647</v>
      </c>
      <c r="F1331" s="29" t="s">
        <v>13</v>
      </c>
      <c r="G1331" s="29" t="s">
        <v>1648</v>
      </c>
      <c r="H1331" s="29" t="s">
        <v>1399</v>
      </c>
      <c r="I1331" s="4"/>
    </row>
    <row r="1332">
      <c r="A1332" s="28">
        <v>1328.0</v>
      </c>
      <c r="B1332" s="29" t="s">
        <v>1395</v>
      </c>
      <c r="C1332" s="29" t="s">
        <v>1649</v>
      </c>
      <c r="D1332" s="29">
        <v>61.0</v>
      </c>
      <c r="E1332" s="29" t="s">
        <v>1650</v>
      </c>
      <c r="F1332" s="29" t="s">
        <v>13</v>
      </c>
      <c r="G1332" s="29" t="s">
        <v>330</v>
      </c>
      <c r="H1332" s="29" t="s">
        <v>1651</v>
      </c>
      <c r="I1332" s="4"/>
    </row>
    <row r="1333">
      <c r="A1333" s="28">
        <v>1329.0</v>
      </c>
      <c r="B1333" s="29" t="s">
        <v>1395</v>
      </c>
      <c r="C1333" s="29" t="s">
        <v>1652</v>
      </c>
      <c r="D1333" s="29">
        <v>41.0</v>
      </c>
      <c r="E1333" s="29" t="s">
        <v>1653</v>
      </c>
      <c r="F1333" s="29" t="s">
        <v>13</v>
      </c>
      <c r="G1333" s="29" t="s">
        <v>330</v>
      </c>
      <c r="H1333" s="29" t="s">
        <v>1399</v>
      </c>
      <c r="I1333" s="4"/>
    </row>
    <row r="1334">
      <c r="A1334" s="28">
        <v>1330.0</v>
      </c>
      <c r="B1334" s="29" t="s">
        <v>1395</v>
      </c>
      <c r="C1334" s="29" t="s">
        <v>1652</v>
      </c>
      <c r="D1334" s="29">
        <v>41.0</v>
      </c>
      <c r="E1334" s="29" t="s">
        <v>1653</v>
      </c>
      <c r="F1334" s="29" t="s">
        <v>13</v>
      </c>
      <c r="G1334" s="29" t="s">
        <v>330</v>
      </c>
      <c r="H1334" s="29" t="s">
        <v>1399</v>
      </c>
      <c r="I1334" s="4"/>
    </row>
    <row r="1335">
      <c r="A1335" s="28">
        <v>1331.0</v>
      </c>
      <c r="B1335" s="29" t="s">
        <v>1395</v>
      </c>
      <c r="C1335" s="29" t="s">
        <v>1654</v>
      </c>
      <c r="D1335" s="29">
        <v>23.0</v>
      </c>
      <c r="E1335" s="29" t="s">
        <v>1655</v>
      </c>
      <c r="F1335" s="29" t="s">
        <v>13</v>
      </c>
      <c r="G1335" s="29" t="s">
        <v>1580</v>
      </c>
      <c r="H1335" s="29" t="s">
        <v>1581</v>
      </c>
      <c r="I1335" s="4"/>
    </row>
    <row r="1336">
      <c r="A1336" s="28">
        <v>1332.0</v>
      </c>
      <c r="B1336" s="29" t="s">
        <v>1395</v>
      </c>
      <c r="C1336" s="29" t="s">
        <v>1656</v>
      </c>
      <c r="D1336" s="29">
        <v>54.0</v>
      </c>
      <c r="E1336" s="29" t="s">
        <v>1657</v>
      </c>
      <c r="F1336" s="29" t="s">
        <v>13</v>
      </c>
      <c r="G1336" s="29" t="s">
        <v>972</v>
      </c>
      <c r="H1336" s="29" t="s">
        <v>1399</v>
      </c>
      <c r="I1336" s="4"/>
    </row>
    <row r="1337">
      <c r="A1337" s="28">
        <v>1333.0</v>
      </c>
      <c r="B1337" s="29" t="s">
        <v>1395</v>
      </c>
      <c r="C1337" s="29" t="s">
        <v>1658</v>
      </c>
      <c r="D1337" s="29">
        <v>80.0</v>
      </c>
      <c r="E1337" s="29" t="s">
        <v>1659</v>
      </c>
      <c r="F1337" s="29" t="s">
        <v>13</v>
      </c>
      <c r="G1337" s="29" t="s">
        <v>330</v>
      </c>
      <c r="H1337" s="29" t="s">
        <v>1660</v>
      </c>
      <c r="I1337" s="4"/>
    </row>
    <row r="1338">
      <c r="A1338" s="28">
        <v>1334.0</v>
      </c>
      <c r="B1338" s="29" t="s">
        <v>1395</v>
      </c>
      <c r="C1338" s="29" t="s">
        <v>1661</v>
      </c>
      <c r="D1338" s="29">
        <v>31.0</v>
      </c>
      <c r="E1338" s="29" t="s">
        <v>1662</v>
      </c>
      <c r="F1338" s="29" t="s">
        <v>13</v>
      </c>
      <c r="G1338" s="29" t="s">
        <v>330</v>
      </c>
      <c r="H1338" s="29" t="s">
        <v>1399</v>
      </c>
      <c r="I1338" s="4"/>
    </row>
    <row r="1339">
      <c r="A1339" s="28">
        <v>1335.0</v>
      </c>
      <c r="B1339" s="29" t="s">
        <v>1395</v>
      </c>
      <c r="C1339" s="29" t="s">
        <v>1663</v>
      </c>
      <c r="D1339" s="29">
        <v>48.0</v>
      </c>
      <c r="E1339" s="29" t="s">
        <v>1664</v>
      </c>
      <c r="F1339" s="29" t="s">
        <v>13</v>
      </c>
      <c r="G1339" s="29" t="s">
        <v>330</v>
      </c>
      <c r="H1339" s="29" t="s">
        <v>1399</v>
      </c>
      <c r="I1339" s="4"/>
    </row>
    <row r="1340">
      <c r="A1340" s="28">
        <v>1336.0</v>
      </c>
      <c r="B1340" s="29" t="s">
        <v>1395</v>
      </c>
      <c r="C1340" s="29" t="s">
        <v>1665</v>
      </c>
      <c r="D1340" s="29">
        <v>65.0</v>
      </c>
      <c r="E1340" s="29" t="s">
        <v>1666</v>
      </c>
      <c r="F1340" s="29" t="s">
        <v>13</v>
      </c>
      <c r="G1340" s="29" t="s">
        <v>1401</v>
      </c>
      <c r="H1340" s="29" t="s">
        <v>1399</v>
      </c>
      <c r="I1340" s="4"/>
    </row>
    <row r="1341">
      <c r="A1341" s="28">
        <v>1337.0</v>
      </c>
      <c r="B1341" s="29" t="s">
        <v>1395</v>
      </c>
      <c r="C1341" s="29" t="s">
        <v>1667</v>
      </c>
      <c r="D1341" s="29">
        <v>57.0</v>
      </c>
      <c r="E1341" s="29" t="s">
        <v>1668</v>
      </c>
      <c r="F1341" s="29" t="s">
        <v>13</v>
      </c>
      <c r="G1341" s="29" t="s">
        <v>1415</v>
      </c>
      <c r="H1341" s="29" t="s">
        <v>1669</v>
      </c>
      <c r="I1341" s="4"/>
    </row>
    <row r="1342">
      <c r="A1342" s="28">
        <v>1338.0</v>
      </c>
      <c r="B1342" s="29" t="s">
        <v>1395</v>
      </c>
      <c r="C1342" s="29" t="s">
        <v>1670</v>
      </c>
      <c r="D1342" s="29">
        <v>28.0</v>
      </c>
      <c r="E1342" s="29" t="s">
        <v>1671</v>
      </c>
      <c r="F1342" s="29" t="s">
        <v>13</v>
      </c>
      <c r="G1342" s="29" t="s">
        <v>1672</v>
      </c>
      <c r="H1342" s="29" t="s">
        <v>1673</v>
      </c>
      <c r="I1342" s="4"/>
    </row>
    <row r="1343">
      <c r="A1343" s="28">
        <v>1339.0</v>
      </c>
      <c r="B1343" s="29" t="s">
        <v>1395</v>
      </c>
      <c r="C1343" s="29" t="s">
        <v>1674</v>
      </c>
      <c r="D1343" s="29">
        <v>44.0</v>
      </c>
      <c r="E1343" s="29" t="s">
        <v>1675</v>
      </c>
      <c r="F1343" s="29" t="s">
        <v>13</v>
      </c>
      <c r="G1343" s="29" t="s">
        <v>1676</v>
      </c>
      <c r="H1343" s="29" t="s">
        <v>1399</v>
      </c>
      <c r="I1343" s="4"/>
    </row>
    <row r="1344">
      <c r="A1344" s="28">
        <v>1340.0</v>
      </c>
      <c r="B1344" s="29" t="s">
        <v>1395</v>
      </c>
      <c r="C1344" s="29" t="s">
        <v>1677</v>
      </c>
      <c r="D1344" s="29">
        <v>31.0</v>
      </c>
      <c r="E1344" s="29" t="s">
        <v>1678</v>
      </c>
      <c r="F1344" s="29" t="s">
        <v>13</v>
      </c>
      <c r="G1344" s="29" t="s">
        <v>1679</v>
      </c>
      <c r="H1344" s="29" t="s">
        <v>1399</v>
      </c>
      <c r="I1344" s="4"/>
    </row>
    <row r="1345">
      <c r="A1345" s="28">
        <v>1341.0</v>
      </c>
      <c r="B1345" s="29" t="s">
        <v>1395</v>
      </c>
      <c r="C1345" s="29" t="s">
        <v>1680</v>
      </c>
      <c r="D1345" s="29">
        <v>19.0</v>
      </c>
      <c r="E1345" s="29" t="s">
        <v>1681</v>
      </c>
      <c r="F1345" s="29" t="s">
        <v>13</v>
      </c>
      <c r="G1345" s="29" t="s">
        <v>1401</v>
      </c>
      <c r="H1345" s="29" t="s">
        <v>1399</v>
      </c>
      <c r="I1345" s="4"/>
    </row>
    <row r="1346">
      <c r="A1346" s="28">
        <v>1342.0</v>
      </c>
      <c r="B1346" s="29" t="s">
        <v>1395</v>
      </c>
      <c r="C1346" s="29" t="s">
        <v>1682</v>
      </c>
      <c r="D1346" s="29">
        <v>30.0</v>
      </c>
      <c r="E1346" s="29" t="s">
        <v>1683</v>
      </c>
      <c r="F1346" s="29" t="s">
        <v>13</v>
      </c>
      <c r="G1346" s="29" t="s">
        <v>330</v>
      </c>
      <c r="H1346" s="29" t="s">
        <v>1416</v>
      </c>
      <c r="I1346" s="4"/>
    </row>
    <row r="1347">
      <c r="A1347" s="28">
        <v>1343.0</v>
      </c>
      <c r="B1347" s="29" t="s">
        <v>1395</v>
      </c>
      <c r="C1347" s="29" t="s">
        <v>1684</v>
      </c>
      <c r="D1347" s="29">
        <v>62.0</v>
      </c>
      <c r="E1347" s="29" t="s">
        <v>1685</v>
      </c>
      <c r="F1347" s="29" t="s">
        <v>13</v>
      </c>
      <c r="G1347" s="29" t="s">
        <v>1401</v>
      </c>
      <c r="H1347" s="29" t="s">
        <v>1686</v>
      </c>
      <c r="I1347" s="4"/>
    </row>
    <row r="1348">
      <c r="A1348" s="28">
        <v>1344.0</v>
      </c>
      <c r="B1348" s="29" t="s">
        <v>1395</v>
      </c>
      <c r="C1348" s="29" t="s">
        <v>1687</v>
      </c>
      <c r="D1348" s="29">
        <v>15.0</v>
      </c>
      <c r="E1348" s="29" t="s">
        <v>1688</v>
      </c>
      <c r="F1348" s="29" t="s">
        <v>13</v>
      </c>
      <c r="G1348" s="29" t="s">
        <v>330</v>
      </c>
      <c r="H1348" s="29" t="s">
        <v>1399</v>
      </c>
      <c r="I1348" s="4"/>
    </row>
    <row r="1349">
      <c r="A1349" s="28">
        <v>1345.0</v>
      </c>
      <c r="B1349" s="29" t="s">
        <v>1395</v>
      </c>
      <c r="C1349" s="29" t="s">
        <v>1689</v>
      </c>
      <c r="D1349" s="29">
        <v>19.0</v>
      </c>
      <c r="E1349" s="29" t="s">
        <v>1690</v>
      </c>
      <c r="F1349" s="29" t="s">
        <v>13</v>
      </c>
      <c r="G1349" s="29" t="s">
        <v>330</v>
      </c>
      <c r="H1349" s="29" t="s">
        <v>1399</v>
      </c>
      <c r="I1349" s="4"/>
    </row>
    <row r="1350">
      <c r="A1350" s="28">
        <v>1346.0</v>
      </c>
      <c r="B1350" s="29" t="s">
        <v>1395</v>
      </c>
      <c r="C1350" s="29" t="s">
        <v>1691</v>
      </c>
      <c r="D1350" s="29">
        <v>25.0</v>
      </c>
      <c r="E1350" s="29" t="s">
        <v>1692</v>
      </c>
      <c r="F1350" s="29" t="s">
        <v>13</v>
      </c>
      <c r="G1350" s="29" t="s">
        <v>330</v>
      </c>
      <c r="H1350" s="29" t="s">
        <v>1399</v>
      </c>
      <c r="I1350" s="4"/>
    </row>
    <row r="1351">
      <c r="A1351" s="28">
        <v>1347.0</v>
      </c>
      <c r="B1351" s="29" t="s">
        <v>1395</v>
      </c>
      <c r="C1351" s="29" t="s">
        <v>1693</v>
      </c>
      <c r="D1351" s="29">
        <v>16.0</v>
      </c>
      <c r="E1351" s="29" t="s">
        <v>1694</v>
      </c>
      <c r="F1351" s="29" t="s">
        <v>13</v>
      </c>
      <c r="G1351" s="29" t="s">
        <v>330</v>
      </c>
      <c r="H1351" s="29" t="s">
        <v>1416</v>
      </c>
      <c r="I1351" s="4"/>
    </row>
    <row r="1352">
      <c r="A1352" s="28">
        <v>1348.0</v>
      </c>
      <c r="B1352" s="29" t="s">
        <v>1395</v>
      </c>
      <c r="C1352" s="29" t="s">
        <v>1695</v>
      </c>
      <c r="D1352" s="29">
        <v>78.0</v>
      </c>
      <c r="E1352" s="29" t="s">
        <v>1696</v>
      </c>
      <c r="F1352" s="29" t="s">
        <v>13</v>
      </c>
      <c r="G1352" s="29" t="s">
        <v>1648</v>
      </c>
      <c r="H1352" s="29" t="s">
        <v>1601</v>
      </c>
      <c r="I1352" s="4"/>
    </row>
    <row r="1353">
      <c r="A1353" s="28">
        <v>1349.0</v>
      </c>
      <c r="B1353" s="29" t="s">
        <v>1395</v>
      </c>
      <c r="C1353" s="29" t="s">
        <v>1697</v>
      </c>
      <c r="D1353" s="29">
        <v>29.0</v>
      </c>
      <c r="E1353" s="29" t="s">
        <v>1698</v>
      </c>
      <c r="F1353" s="29" t="s">
        <v>13</v>
      </c>
      <c r="G1353" s="29" t="s">
        <v>330</v>
      </c>
      <c r="H1353" s="29" t="s">
        <v>1399</v>
      </c>
      <c r="I1353" s="4"/>
    </row>
    <row r="1354">
      <c r="A1354" s="28">
        <v>1350.0</v>
      </c>
      <c r="B1354" s="29" t="s">
        <v>1395</v>
      </c>
      <c r="C1354" s="29" t="s">
        <v>1699</v>
      </c>
      <c r="D1354" s="29">
        <v>34.0</v>
      </c>
      <c r="E1354" s="29" t="s">
        <v>1700</v>
      </c>
      <c r="F1354" s="29" t="s">
        <v>13</v>
      </c>
      <c r="G1354" s="29" t="s">
        <v>1401</v>
      </c>
      <c r="H1354" s="29" t="s">
        <v>1399</v>
      </c>
      <c r="I1354" s="4"/>
    </row>
    <row r="1355">
      <c r="A1355" s="28">
        <v>1351.0</v>
      </c>
      <c r="B1355" s="29" t="s">
        <v>1395</v>
      </c>
      <c r="C1355" s="29" t="s">
        <v>1701</v>
      </c>
      <c r="D1355" s="29">
        <v>20.0</v>
      </c>
      <c r="E1355" s="29" t="s">
        <v>1702</v>
      </c>
      <c r="F1355" s="29" t="s">
        <v>13</v>
      </c>
      <c r="G1355" s="29" t="s">
        <v>1703</v>
      </c>
      <c r="H1355" s="29" t="s">
        <v>1399</v>
      </c>
      <c r="I1355" s="4"/>
    </row>
    <row r="1356">
      <c r="A1356" s="28">
        <v>1352.0</v>
      </c>
      <c r="B1356" s="29" t="s">
        <v>1395</v>
      </c>
      <c r="C1356" s="29" t="s">
        <v>1704</v>
      </c>
      <c r="D1356" s="29">
        <v>32.0</v>
      </c>
      <c r="E1356" s="29" t="s">
        <v>1705</v>
      </c>
      <c r="F1356" s="29" t="s">
        <v>13</v>
      </c>
      <c r="G1356" s="29" t="s">
        <v>330</v>
      </c>
      <c r="H1356" s="29" t="s">
        <v>1399</v>
      </c>
      <c r="I1356" s="4"/>
    </row>
    <row r="1357">
      <c r="A1357" s="28">
        <v>1353.0</v>
      </c>
      <c r="B1357" s="29" t="s">
        <v>1395</v>
      </c>
      <c r="C1357" s="29" t="s">
        <v>1706</v>
      </c>
      <c r="D1357" s="29">
        <v>47.0</v>
      </c>
      <c r="E1357" s="29" t="s">
        <v>1424</v>
      </c>
      <c r="F1357" s="29" t="s">
        <v>13</v>
      </c>
      <c r="G1357" s="29" t="s">
        <v>1401</v>
      </c>
      <c r="H1357" s="29" t="s">
        <v>1399</v>
      </c>
      <c r="I1357" s="4"/>
    </row>
    <row r="1358">
      <c r="A1358" s="28">
        <v>1354.0</v>
      </c>
      <c r="B1358" s="29" t="s">
        <v>1395</v>
      </c>
      <c r="C1358" s="29" t="s">
        <v>1707</v>
      </c>
      <c r="D1358" s="29">
        <v>53.0</v>
      </c>
      <c r="E1358" s="29" t="s">
        <v>1708</v>
      </c>
      <c r="F1358" s="29" t="s">
        <v>13</v>
      </c>
      <c r="G1358" s="29" t="s">
        <v>330</v>
      </c>
      <c r="H1358" s="29" t="s">
        <v>1416</v>
      </c>
      <c r="I1358" s="4"/>
    </row>
    <row r="1359">
      <c r="A1359" s="28">
        <v>1355.0</v>
      </c>
      <c r="B1359" s="29" t="s">
        <v>1395</v>
      </c>
      <c r="C1359" s="29" t="s">
        <v>1709</v>
      </c>
      <c r="D1359" s="29">
        <v>30.0</v>
      </c>
      <c r="E1359" s="29" t="s">
        <v>13</v>
      </c>
      <c r="F1359" s="29" t="s">
        <v>13</v>
      </c>
      <c r="G1359" s="29" t="s">
        <v>1398</v>
      </c>
      <c r="H1359" s="29" t="s">
        <v>1399</v>
      </c>
      <c r="I1359" s="4"/>
    </row>
    <row r="1360">
      <c r="A1360" s="28">
        <v>1356.0</v>
      </c>
      <c r="B1360" s="29" t="s">
        <v>1395</v>
      </c>
      <c r="C1360" s="29" t="s">
        <v>1710</v>
      </c>
      <c r="D1360" s="29">
        <v>28.0</v>
      </c>
      <c r="E1360" s="29" t="s">
        <v>1711</v>
      </c>
      <c r="F1360" s="29" t="s">
        <v>13</v>
      </c>
      <c r="G1360" s="29" t="s">
        <v>1526</v>
      </c>
      <c r="H1360" s="29" t="s">
        <v>1399</v>
      </c>
      <c r="I1360" s="4"/>
    </row>
    <row r="1361">
      <c r="A1361" s="28">
        <v>1357.0</v>
      </c>
      <c r="B1361" s="29" t="s">
        <v>1395</v>
      </c>
      <c r="C1361" s="29" t="s">
        <v>1712</v>
      </c>
      <c r="D1361" s="29">
        <v>72.0</v>
      </c>
      <c r="E1361" s="29" t="s">
        <v>1713</v>
      </c>
      <c r="F1361" s="29" t="s">
        <v>13</v>
      </c>
      <c r="G1361" s="29" t="s">
        <v>330</v>
      </c>
      <c r="H1361" s="29" t="s">
        <v>1399</v>
      </c>
      <c r="I1361" s="4"/>
    </row>
    <row r="1362">
      <c r="A1362" s="28">
        <v>1358.0</v>
      </c>
      <c r="B1362" s="29" t="s">
        <v>1395</v>
      </c>
      <c r="C1362" s="29" t="s">
        <v>1714</v>
      </c>
      <c r="D1362" s="29">
        <v>56.0</v>
      </c>
      <c r="E1362" s="29" t="s">
        <v>1715</v>
      </c>
      <c r="F1362" s="29" t="s">
        <v>13</v>
      </c>
      <c r="G1362" s="29" t="s">
        <v>545</v>
      </c>
      <c r="H1362" s="29" t="s">
        <v>1399</v>
      </c>
      <c r="I1362" s="4"/>
    </row>
    <row r="1363">
      <c r="A1363" s="28">
        <v>1359.0</v>
      </c>
      <c r="B1363" s="29" t="s">
        <v>1395</v>
      </c>
      <c r="C1363" s="29" t="s">
        <v>1716</v>
      </c>
      <c r="D1363" s="29">
        <v>18.0</v>
      </c>
      <c r="E1363" s="29" t="s">
        <v>1717</v>
      </c>
      <c r="F1363" s="29" t="s">
        <v>13</v>
      </c>
      <c r="G1363" s="29" t="s">
        <v>330</v>
      </c>
      <c r="H1363" s="29" t="s">
        <v>1399</v>
      </c>
      <c r="I1363" s="4"/>
    </row>
    <row r="1364">
      <c r="A1364" s="28">
        <v>1360.0</v>
      </c>
      <c r="B1364" s="29" t="s">
        <v>1395</v>
      </c>
      <c r="C1364" s="29" t="s">
        <v>1718</v>
      </c>
      <c r="D1364" s="29">
        <v>59.0</v>
      </c>
      <c r="E1364" s="29" t="s">
        <v>1719</v>
      </c>
      <c r="F1364" s="29" t="s">
        <v>13</v>
      </c>
      <c r="G1364" s="29" t="s">
        <v>330</v>
      </c>
      <c r="H1364" s="29" t="s">
        <v>1399</v>
      </c>
      <c r="I1364" s="4"/>
    </row>
    <row r="1365">
      <c r="A1365" s="28">
        <v>1361.0</v>
      </c>
      <c r="B1365" s="29" t="s">
        <v>1395</v>
      </c>
      <c r="C1365" s="29" t="s">
        <v>1718</v>
      </c>
      <c r="D1365" s="29">
        <v>19.0</v>
      </c>
      <c r="E1365" s="29" t="s">
        <v>1720</v>
      </c>
      <c r="F1365" s="29" t="s">
        <v>13</v>
      </c>
      <c r="G1365" s="29" t="s">
        <v>330</v>
      </c>
      <c r="H1365" s="29" t="s">
        <v>1581</v>
      </c>
      <c r="I1365" s="4"/>
    </row>
    <row r="1366">
      <c r="A1366" s="28">
        <v>1362.0</v>
      </c>
      <c r="B1366" s="29" t="s">
        <v>1395</v>
      </c>
      <c r="C1366" s="29" t="s">
        <v>1721</v>
      </c>
      <c r="D1366" s="29">
        <v>44.0</v>
      </c>
      <c r="E1366" s="29" t="s">
        <v>1722</v>
      </c>
      <c r="F1366" s="29" t="s">
        <v>13</v>
      </c>
      <c r="G1366" s="29" t="s">
        <v>1398</v>
      </c>
      <c r="H1366" s="29" t="s">
        <v>1416</v>
      </c>
      <c r="I1366" s="4"/>
    </row>
    <row r="1367">
      <c r="A1367" s="28">
        <v>1363.0</v>
      </c>
      <c r="B1367" s="29" t="s">
        <v>1723</v>
      </c>
      <c r="C1367" s="29" t="s">
        <v>1724</v>
      </c>
      <c r="D1367" s="29">
        <v>8.0</v>
      </c>
      <c r="E1367" s="29" t="s">
        <v>13</v>
      </c>
      <c r="F1367" s="29" t="s">
        <v>13</v>
      </c>
      <c r="G1367" s="29" t="s">
        <v>13</v>
      </c>
      <c r="H1367" s="29" t="s">
        <v>13</v>
      </c>
      <c r="I1367" s="4"/>
    </row>
    <row r="1368">
      <c r="A1368" s="28">
        <v>1364.0</v>
      </c>
      <c r="B1368" s="29" t="s">
        <v>1723</v>
      </c>
      <c r="C1368" s="29" t="s">
        <v>1725</v>
      </c>
      <c r="D1368" s="29" t="s">
        <v>1726</v>
      </c>
      <c r="E1368" s="29" t="s">
        <v>13</v>
      </c>
      <c r="F1368" s="29" t="s">
        <v>13</v>
      </c>
      <c r="G1368" s="29" t="s">
        <v>13</v>
      </c>
      <c r="H1368" s="29" t="s">
        <v>452</v>
      </c>
      <c r="I1368" s="4"/>
    </row>
    <row r="1369">
      <c r="A1369" s="28">
        <v>1365.0</v>
      </c>
      <c r="B1369" s="29" t="s">
        <v>1723</v>
      </c>
      <c r="C1369" s="29" t="s">
        <v>1727</v>
      </c>
      <c r="D1369" s="29" t="s">
        <v>13</v>
      </c>
      <c r="E1369" s="29" t="s">
        <v>14</v>
      </c>
      <c r="F1369" s="29" t="s">
        <v>13</v>
      </c>
      <c r="G1369" s="29" t="s">
        <v>13</v>
      </c>
      <c r="H1369" s="29" t="s">
        <v>15</v>
      </c>
      <c r="I1369" s="4"/>
    </row>
    <row r="1370">
      <c r="A1370" s="28">
        <v>1366.0</v>
      </c>
      <c r="B1370" s="29" t="s">
        <v>1723</v>
      </c>
      <c r="C1370" s="29" t="s">
        <v>435</v>
      </c>
      <c r="D1370" s="29">
        <v>10.0</v>
      </c>
      <c r="E1370" s="29" t="s">
        <v>14</v>
      </c>
      <c r="F1370" s="29" t="s">
        <v>13</v>
      </c>
      <c r="G1370" s="29" t="s">
        <v>13</v>
      </c>
      <c r="H1370" s="29" t="s">
        <v>540</v>
      </c>
      <c r="I1370" s="4"/>
    </row>
    <row r="1371">
      <c r="A1371" s="28">
        <v>1367.0</v>
      </c>
      <c r="B1371" s="29" t="s">
        <v>1723</v>
      </c>
      <c r="C1371" s="29" t="s">
        <v>1728</v>
      </c>
      <c r="D1371" s="29" t="s">
        <v>13</v>
      </c>
      <c r="E1371" s="29">
        <v>1.0583198E7</v>
      </c>
      <c r="F1371" s="29" t="s">
        <v>13</v>
      </c>
      <c r="G1371" s="29" t="s">
        <v>13</v>
      </c>
      <c r="H1371" s="29" t="s">
        <v>1729</v>
      </c>
      <c r="I1371" s="4"/>
    </row>
    <row r="1372">
      <c r="A1372" s="28">
        <v>1368.0</v>
      </c>
      <c r="B1372" s="29" t="s">
        <v>1723</v>
      </c>
      <c r="C1372" s="29" t="s">
        <v>1730</v>
      </c>
      <c r="D1372" s="29" t="s">
        <v>13</v>
      </c>
      <c r="E1372" s="29">
        <v>3.4518877E8</v>
      </c>
      <c r="F1372" s="29" t="s">
        <v>13</v>
      </c>
      <c r="G1372" s="29" t="s">
        <v>13</v>
      </c>
      <c r="H1372" s="29" t="s">
        <v>13</v>
      </c>
      <c r="I1372" s="4"/>
    </row>
    <row r="1373">
      <c r="A1373" s="28">
        <v>1369.0</v>
      </c>
      <c r="B1373" s="29" t="s">
        <v>1723</v>
      </c>
      <c r="C1373" s="29" t="s">
        <v>1730</v>
      </c>
      <c r="D1373" s="29" t="s">
        <v>1731</v>
      </c>
      <c r="E1373" s="29">
        <v>3.4528377E8</v>
      </c>
      <c r="F1373" s="29" t="s">
        <v>13</v>
      </c>
      <c r="G1373" s="29" t="s">
        <v>1731</v>
      </c>
      <c r="H1373" s="29" t="s">
        <v>1731</v>
      </c>
      <c r="I1373" s="4"/>
    </row>
    <row r="1374">
      <c r="A1374" s="28">
        <v>1370.0</v>
      </c>
      <c r="B1374" s="29" t="s">
        <v>1723</v>
      </c>
      <c r="C1374" s="29" t="s">
        <v>1732</v>
      </c>
      <c r="D1374" s="29" t="s">
        <v>13</v>
      </c>
      <c r="E1374" s="29">
        <v>1.7856045E8</v>
      </c>
      <c r="F1374" s="29" t="s">
        <v>13</v>
      </c>
      <c r="G1374" s="29" t="s">
        <v>13</v>
      </c>
      <c r="H1374" s="29" t="s">
        <v>13</v>
      </c>
      <c r="I1374" s="4"/>
    </row>
    <row r="1375">
      <c r="A1375" s="28">
        <v>1371.0</v>
      </c>
      <c r="B1375" s="29" t="s">
        <v>1723</v>
      </c>
      <c r="C1375" s="29" t="s">
        <v>1733</v>
      </c>
      <c r="D1375" s="29" t="s">
        <v>13</v>
      </c>
      <c r="E1375" s="29">
        <v>2.0003134E7</v>
      </c>
      <c r="F1375" s="29" t="s">
        <v>13</v>
      </c>
      <c r="G1375" s="29" t="s">
        <v>13</v>
      </c>
      <c r="H1375" s="29" t="s">
        <v>13</v>
      </c>
      <c r="I1375" s="4"/>
    </row>
    <row r="1376">
      <c r="A1376" s="28">
        <v>1372.0</v>
      </c>
      <c r="B1376" s="29" t="s">
        <v>1723</v>
      </c>
      <c r="C1376" s="29" t="s">
        <v>1734</v>
      </c>
      <c r="D1376" s="29" t="s">
        <v>13</v>
      </c>
      <c r="E1376" s="29" t="s">
        <v>13</v>
      </c>
      <c r="F1376" s="29" t="s">
        <v>13</v>
      </c>
      <c r="G1376" s="29" t="s">
        <v>13</v>
      </c>
      <c r="H1376" s="29" t="s">
        <v>1735</v>
      </c>
      <c r="I1376" s="4"/>
    </row>
    <row r="1377">
      <c r="A1377" s="28">
        <v>1373.0</v>
      </c>
      <c r="B1377" s="29" t="s">
        <v>1723</v>
      </c>
      <c r="C1377" s="29" t="s">
        <v>1736</v>
      </c>
      <c r="D1377" s="29" t="s">
        <v>1731</v>
      </c>
      <c r="E1377" s="29">
        <v>6.204629E7</v>
      </c>
      <c r="F1377" s="29" t="s">
        <v>13</v>
      </c>
      <c r="G1377" s="29" t="s">
        <v>1731</v>
      </c>
      <c r="H1377" s="29" t="s">
        <v>1731</v>
      </c>
      <c r="I1377" s="4"/>
    </row>
    <row r="1378">
      <c r="A1378" s="28">
        <v>1374.0</v>
      </c>
      <c r="B1378" s="29" t="s">
        <v>1723</v>
      </c>
      <c r="C1378" s="29" t="s">
        <v>1737</v>
      </c>
      <c r="D1378" s="29" t="s">
        <v>13</v>
      </c>
      <c r="E1378" s="29" t="s">
        <v>13</v>
      </c>
      <c r="F1378" s="29" t="s">
        <v>13</v>
      </c>
      <c r="G1378" s="29" t="s">
        <v>13</v>
      </c>
      <c r="H1378" s="29" t="s">
        <v>13</v>
      </c>
      <c r="I1378" s="4"/>
    </row>
    <row r="1379">
      <c r="A1379" s="28">
        <v>1375.0</v>
      </c>
      <c r="B1379" s="29" t="s">
        <v>1723</v>
      </c>
      <c r="C1379" s="29" t="s">
        <v>1738</v>
      </c>
      <c r="D1379" s="29" t="s">
        <v>13</v>
      </c>
      <c r="E1379" s="29" t="s">
        <v>13</v>
      </c>
      <c r="F1379" s="29" t="s">
        <v>13</v>
      </c>
      <c r="G1379" s="29" t="s">
        <v>13</v>
      </c>
      <c r="H1379" s="29" t="s">
        <v>1739</v>
      </c>
      <c r="I1379" s="4"/>
    </row>
    <row r="1380">
      <c r="A1380" s="28">
        <v>1376.0</v>
      </c>
      <c r="B1380" s="29" t="s">
        <v>1723</v>
      </c>
      <c r="C1380" s="29" t="s">
        <v>1740</v>
      </c>
      <c r="D1380" s="29" t="s">
        <v>13</v>
      </c>
      <c r="E1380" s="29" t="s">
        <v>14</v>
      </c>
      <c r="F1380" s="29" t="s">
        <v>13</v>
      </c>
      <c r="G1380" s="29" t="s">
        <v>13</v>
      </c>
      <c r="H1380" s="29" t="s">
        <v>15</v>
      </c>
      <c r="I1380" s="4"/>
    </row>
    <row r="1381">
      <c r="A1381" s="28">
        <v>1377.0</v>
      </c>
      <c r="B1381" s="29" t="s">
        <v>1723</v>
      </c>
      <c r="C1381" s="29" t="s">
        <v>1741</v>
      </c>
      <c r="D1381" s="29" t="s">
        <v>13</v>
      </c>
      <c r="E1381" s="29" t="s">
        <v>13</v>
      </c>
      <c r="F1381" s="29" t="s">
        <v>13</v>
      </c>
      <c r="G1381" s="29" t="s">
        <v>13</v>
      </c>
      <c r="H1381" s="29" t="s">
        <v>1742</v>
      </c>
      <c r="I1381" s="4"/>
    </row>
    <row r="1382">
      <c r="A1382" s="28">
        <v>1378.0</v>
      </c>
      <c r="B1382" s="29" t="s">
        <v>1723</v>
      </c>
      <c r="C1382" s="29" t="s">
        <v>1743</v>
      </c>
      <c r="D1382" s="29" t="s">
        <v>13</v>
      </c>
      <c r="E1382" s="29">
        <v>2.3241059E8</v>
      </c>
      <c r="F1382" s="29" t="s">
        <v>13</v>
      </c>
      <c r="G1382" s="29" t="s">
        <v>13</v>
      </c>
      <c r="H1382" s="29" t="s">
        <v>13</v>
      </c>
      <c r="I1382" s="4"/>
    </row>
    <row r="1383">
      <c r="A1383" s="28">
        <v>1379.0</v>
      </c>
      <c r="B1383" s="29" t="s">
        <v>1723</v>
      </c>
      <c r="C1383" s="29" t="s">
        <v>1744</v>
      </c>
      <c r="D1383" s="29" t="s">
        <v>13</v>
      </c>
      <c r="E1383" s="29">
        <v>2.0003134E8</v>
      </c>
      <c r="F1383" s="29" t="s">
        <v>13</v>
      </c>
      <c r="G1383" s="29" t="s">
        <v>13</v>
      </c>
      <c r="H1383" s="29" t="s">
        <v>13</v>
      </c>
      <c r="I1383" s="4"/>
    </row>
    <row r="1384">
      <c r="A1384" s="28">
        <v>1380.0</v>
      </c>
      <c r="B1384" s="29" t="s">
        <v>1723</v>
      </c>
      <c r="C1384" s="29" t="s">
        <v>1744</v>
      </c>
      <c r="D1384" s="29" t="s">
        <v>1731</v>
      </c>
      <c r="E1384" s="29">
        <v>2.0023134E8</v>
      </c>
      <c r="F1384" s="29" t="s">
        <v>13</v>
      </c>
      <c r="G1384" s="29" t="s">
        <v>1731</v>
      </c>
      <c r="H1384" s="29" t="s">
        <v>1731</v>
      </c>
      <c r="I1384" s="4"/>
    </row>
    <row r="1385">
      <c r="A1385" s="28">
        <v>1381.0</v>
      </c>
      <c r="B1385" s="29" t="s">
        <v>1723</v>
      </c>
      <c r="C1385" s="29" t="s">
        <v>1745</v>
      </c>
      <c r="D1385" s="29" t="s">
        <v>1731</v>
      </c>
      <c r="E1385" s="29">
        <v>2.5607054E8</v>
      </c>
      <c r="F1385" s="29" t="s">
        <v>13</v>
      </c>
      <c r="G1385" s="29" t="s">
        <v>1731</v>
      </c>
      <c r="H1385" s="29" t="s">
        <v>1731</v>
      </c>
      <c r="I1385" s="4"/>
    </row>
    <row r="1386">
      <c r="A1386" s="28">
        <v>1382.0</v>
      </c>
      <c r="B1386" s="29" t="s">
        <v>1723</v>
      </c>
      <c r="C1386" s="29" t="s">
        <v>1746</v>
      </c>
      <c r="D1386" s="29" t="s">
        <v>13</v>
      </c>
      <c r="E1386" s="29">
        <v>4.281217E7</v>
      </c>
      <c r="F1386" s="29" t="s">
        <v>13</v>
      </c>
      <c r="G1386" s="29" t="s">
        <v>13</v>
      </c>
      <c r="H1386" s="29" t="s">
        <v>13</v>
      </c>
      <c r="I1386" s="4"/>
    </row>
    <row r="1387">
      <c r="A1387" s="28">
        <v>1383.0</v>
      </c>
      <c r="B1387" s="29" t="s">
        <v>1723</v>
      </c>
      <c r="C1387" s="29" t="s">
        <v>1747</v>
      </c>
      <c r="D1387" s="29" t="s">
        <v>13</v>
      </c>
      <c r="E1387" s="29">
        <v>3.4588981E8</v>
      </c>
      <c r="F1387" s="29" t="s">
        <v>13</v>
      </c>
      <c r="G1387" s="29" t="s">
        <v>13</v>
      </c>
      <c r="H1387" s="29" t="s">
        <v>1748</v>
      </c>
      <c r="I1387" s="4"/>
    </row>
    <row r="1388">
      <c r="A1388" s="28">
        <v>1384.0</v>
      </c>
      <c r="B1388" s="29" t="s">
        <v>1723</v>
      </c>
      <c r="C1388" s="29" t="s">
        <v>1749</v>
      </c>
      <c r="D1388" s="29" t="s">
        <v>13</v>
      </c>
      <c r="E1388" s="29" t="s">
        <v>14</v>
      </c>
      <c r="F1388" s="29" t="s">
        <v>13</v>
      </c>
      <c r="G1388" s="29" t="s">
        <v>13</v>
      </c>
      <c r="H1388" s="29" t="s">
        <v>15</v>
      </c>
      <c r="I1388" s="4"/>
    </row>
    <row r="1389">
      <c r="A1389" s="30">
        <v>1385.0</v>
      </c>
      <c r="B1389" s="31" t="s">
        <v>1723</v>
      </c>
      <c r="C1389" s="31" t="s">
        <v>1749</v>
      </c>
      <c r="D1389" s="31" t="s">
        <v>13</v>
      </c>
      <c r="E1389" s="31" t="s">
        <v>14</v>
      </c>
      <c r="F1389" s="31" t="s">
        <v>13</v>
      </c>
      <c r="G1389" s="31" t="s">
        <v>13</v>
      </c>
      <c r="H1389" s="31" t="s">
        <v>15</v>
      </c>
      <c r="I1389" s="4"/>
    </row>
    <row r="1390">
      <c r="A1390" s="30">
        <v>1386.0</v>
      </c>
      <c r="B1390" s="31" t="s">
        <v>1723</v>
      </c>
      <c r="C1390" s="31" t="s">
        <v>1750</v>
      </c>
      <c r="D1390" s="31" t="s">
        <v>13</v>
      </c>
      <c r="E1390" s="31">
        <v>2.7399207E8</v>
      </c>
      <c r="F1390" s="31" t="s">
        <v>13</v>
      </c>
      <c r="G1390" s="31" t="s">
        <v>13</v>
      </c>
      <c r="H1390" s="31" t="s">
        <v>13</v>
      </c>
      <c r="I1390" s="4"/>
    </row>
    <row r="1391">
      <c r="A1391" s="30">
        <v>1387.0</v>
      </c>
      <c r="B1391" s="31" t="s">
        <v>1723</v>
      </c>
      <c r="C1391" s="31" t="s">
        <v>1751</v>
      </c>
      <c r="D1391" s="31">
        <v>62.0</v>
      </c>
      <c r="E1391" s="31" t="s">
        <v>13</v>
      </c>
      <c r="F1391" s="31" t="s">
        <v>13</v>
      </c>
      <c r="G1391" s="31" t="s">
        <v>13</v>
      </c>
      <c r="H1391" s="31" t="s">
        <v>1752</v>
      </c>
      <c r="I1391" s="4"/>
    </row>
    <row r="1392">
      <c r="A1392" s="30">
        <v>1388.0</v>
      </c>
      <c r="B1392" s="31" t="s">
        <v>1723</v>
      </c>
      <c r="C1392" s="31" t="s">
        <v>1753</v>
      </c>
      <c r="D1392" s="31" t="s">
        <v>13</v>
      </c>
      <c r="E1392" s="31" t="s">
        <v>13</v>
      </c>
      <c r="F1392" s="31" t="s">
        <v>13</v>
      </c>
      <c r="G1392" s="31" t="s">
        <v>13</v>
      </c>
      <c r="H1392" s="31" t="s">
        <v>1754</v>
      </c>
      <c r="I1392" s="4"/>
    </row>
    <row r="1393">
      <c r="A1393" s="30">
        <v>1389.0</v>
      </c>
      <c r="B1393" s="31" t="s">
        <v>1723</v>
      </c>
      <c r="C1393" s="31" t="s">
        <v>1755</v>
      </c>
      <c r="D1393" s="31" t="s">
        <v>13</v>
      </c>
      <c r="E1393" s="31">
        <v>1.266068E7</v>
      </c>
      <c r="F1393" s="31" t="s">
        <v>13</v>
      </c>
      <c r="G1393" s="31" t="s">
        <v>13</v>
      </c>
      <c r="H1393" s="31" t="s">
        <v>13</v>
      </c>
      <c r="I1393" s="4"/>
    </row>
    <row r="1394">
      <c r="A1394" s="30">
        <v>1390.0</v>
      </c>
      <c r="B1394" s="31" t="s">
        <v>1723</v>
      </c>
      <c r="C1394" s="31" t="s">
        <v>1756</v>
      </c>
      <c r="D1394" s="31" t="s">
        <v>13</v>
      </c>
      <c r="E1394" s="31">
        <v>1.6310014E8</v>
      </c>
      <c r="F1394" s="31" t="s">
        <v>13</v>
      </c>
      <c r="G1394" s="31" t="s">
        <v>13</v>
      </c>
      <c r="H1394" s="31" t="s">
        <v>13</v>
      </c>
      <c r="I1394" s="4"/>
    </row>
    <row r="1395">
      <c r="A1395" s="30">
        <v>1391.0</v>
      </c>
      <c r="B1395" s="31" t="s">
        <v>1723</v>
      </c>
      <c r="C1395" s="31" t="s">
        <v>1757</v>
      </c>
      <c r="D1395" s="31">
        <v>37.0</v>
      </c>
      <c r="E1395" s="31" t="s">
        <v>14</v>
      </c>
      <c r="F1395" s="31" t="s">
        <v>13</v>
      </c>
      <c r="G1395" s="31" t="s">
        <v>13</v>
      </c>
      <c r="H1395" s="31" t="s">
        <v>1758</v>
      </c>
      <c r="I1395" s="4"/>
    </row>
    <row r="1396">
      <c r="A1396" s="30">
        <v>1392.0</v>
      </c>
      <c r="B1396" s="31" t="s">
        <v>1723</v>
      </c>
      <c r="C1396" s="31" t="s">
        <v>1759</v>
      </c>
      <c r="D1396" s="31" t="s">
        <v>1731</v>
      </c>
      <c r="E1396" s="31">
        <v>3.4518879E8</v>
      </c>
      <c r="F1396" s="31" t="s">
        <v>13</v>
      </c>
      <c r="G1396" s="31" t="s">
        <v>1731</v>
      </c>
      <c r="H1396" s="31" t="s">
        <v>1760</v>
      </c>
      <c r="I1396" s="4"/>
    </row>
    <row r="1397">
      <c r="A1397" s="30">
        <v>1393.0</v>
      </c>
      <c r="B1397" s="31" t="s">
        <v>1723</v>
      </c>
      <c r="C1397" s="31" t="s">
        <v>1761</v>
      </c>
      <c r="D1397" s="31" t="s">
        <v>13</v>
      </c>
      <c r="E1397" s="31" t="s">
        <v>13</v>
      </c>
      <c r="F1397" s="31" t="s">
        <v>13</v>
      </c>
      <c r="G1397" s="31" t="s">
        <v>13</v>
      </c>
      <c r="H1397" s="31" t="s">
        <v>1742</v>
      </c>
      <c r="I1397" s="4"/>
    </row>
    <row r="1398">
      <c r="A1398" s="30">
        <v>1394.0</v>
      </c>
      <c r="B1398" s="31" t="s">
        <v>1723</v>
      </c>
      <c r="C1398" s="31" t="s">
        <v>1762</v>
      </c>
      <c r="D1398" s="31">
        <v>8.0</v>
      </c>
      <c r="E1398" s="31" t="s">
        <v>13</v>
      </c>
      <c r="F1398" s="31" t="s">
        <v>13</v>
      </c>
      <c r="G1398" s="31" t="s">
        <v>13</v>
      </c>
      <c r="H1398" s="31" t="s">
        <v>1763</v>
      </c>
      <c r="I1398" s="4"/>
    </row>
    <row r="1399">
      <c r="A1399" s="30">
        <v>1395.0</v>
      </c>
      <c r="B1399" s="31" t="s">
        <v>1723</v>
      </c>
      <c r="C1399" s="31" t="s">
        <v>1764</v>
      </c>
      <c r="D1399" s="31">
        <v>8.0</v>
      </c>
      <c r="E1399" s="31" t="s">
        <v>13</v>
      </c>
      <c r="F1399" s="31" t="s">
        <v>13</v>
      </c>
      <c r="G1399" s="31" t="s">
        <v>13</v>
      </c>
      <c r="H1399" s="31" t="s">
        <v>13</v>
      </c>
      <c r="I1399" s="4"/>
    </row>
    <row r="1400">
      <c r="A1400" s="30">
        <v>1396.0</v>
      </c>
      <c r="B1400" s="31" t="s">
        <v>1723</v>
      </c>
      <c r="C1400" s="31" t="s">
        <v>1765</v>
      </c>
      <c r="D1400" s="31" t="s">
        <v>1731</v>
      </c>
      <c r="E1400" s="31">
        <v>2.6329193E8</v>
      </c>
      <c r="F1400" s="31" t="s">
        <v>13</v>
      </c>
      <c r="G1400" s="31" t="s">
        <v>1731</v>
      </c>
      <c r="H1400" s="31" t="s">
        <v>1731</v>
      </c>
      <c r="I1400" s="4"/>
    </row>
    <row r="1401">
      <c r="A1401" s="30">
        <v>1397.0</v>
      </c>
      <c r="B1401" s="31" t="s">
        <v>1723</v>
      </c>
      <c r="C1401" s="31" t="s">
        <v>1766</v>
      </c>
      <c r="D1401" s="31" t="s">
        <v>13</v>
      </c>
      <c r="E1401" s="31" t="s">
        <v>1767</v>
      </c>
      <c r="F1401" s="31" t="s">
        <v>13</v>
      </c>
      <c r="G1401" s="31" t="s">
        <v>13</v>
      </c>
      <c r="H1401" s="31" t="s">
        <v>15</v>
      </c>
      <c r="I1401" s="4"/>
    </row>
    <row r="1402">
      <c r="A1402" s="30">
        <v>1398.0</v>
      </c>
      <c r="B1402" s="31" t="s">
        <v>1723</v>
      </c>
      <c r="C1402" s="31" t="s">
        <v>1768</v>
      </c>
      <c r="D1402" s="31" t="s">
        <v>13</v>
      </c>
      <c r="E1402" s="31" t="s">
        <v>13</v>
      </c>
      <c r="F1402" s="31" t="s">
        <v>13</v>
      </c>
      <c r="G1402" s="31" t="s">
        <v>13</v>
      </c>
      <c r="H1402" s="31" t="s">
        <v>1769</v>
      </c>
      <c r="I1402" s="4"/>
    </row>
    <row r="1403">
      <c r="A1403" s="30">
        <v>1399.0</v>
      </c>
      <c r="B1403" s="31" t="s">
        <v>1723</v>
      </c>
      <c r="C1403" s="31" t="s">
        <v>1770</v>
      </c>
      <c r="D1403" s="31" t="s">
        <v>13</v>
      </c>
      <c r="E1403" s="31" t="s">
        <v>13</v>
      </c>
      <c r="F1403" s="31" t="s">
        <v>13</v>
      </c>
      <c r="G1403" s="31" t="s">
        <v>13</v>
      </c>
      <c r="H1403" s="31" t="s">
        <v>1771</v>
      </c>
      <c r="I1403" s="4"/>
    </row>
    <row r="1404">
      <c r="A1404" s="30">
        <v>1400.0</v>
      </c>
      <c r="B1404" s="31" t="s">
        <v>1723</v>
      </c>
      <c r="C1404" s="31" t="s">
        <v>1772</v>
      </c>
      <c r="D1404" s="31" t="s">
        <v>13</v>
      </c>
      <c r="E1404" s="31">
        <v>1.6125101E7</v>
      </c>
      <c r="F1404" s="31" t="s">
        <v>13</v>
      </c>
      <c r="G1404" s="31" t="s">
        <v>13</v>
      </c>
      <c r="H1404" s="31" t="s">
        <v>13</v>
      </c>
      <c r="I1404" s="4"/>
    </row>
    <row r="1405">
      <c r="A1405" s="30">
        <v>1401.0</v>
      </c>
      <c r="B1405" s="31" t="s">
        <v>1723</v>
      </c>
      <c r="C1405" s="31" t="s">
        <v>1773</v>
      </c>
      <c r="D1405" s="31" t="s">
        <v>13</v>
      </c>
      <c r="E1405" s="31">
        <v>2.8544619E7</v>
      </c>
      <c r="F1405" s="31" t="s">
        <v>13</v>
      </c>
      <c r="G1405" s="31" t="s">
        <v>13</v>
      </c>
      <c r="H1405" s="31" t="s">
        <v>13</v>
      </c>
      <c r="I1405" s="4"/>
    </row>
    <row r="1406">
      <c r="A1406" s="30">
        <v>1402.0</v>
      </c>
      <c r="B1406" s="31" t="s">
        <v>1723</v>
      </c>
      <c r="C1406" s="31" t="s">
        <v>1774</v>
      </c>
      <c r="D1406" s="31" t="s">
        <v>13</v>
      </c>
      <c r="E1406" s="31">
        <v>3.1760907E7</v>
      </c>
      <c r="F1406" s="31" t="s">
        <v>13</v>
      </c>
      <c r="G1406" s="31" t="s">
        <v>13</v>
      </c>
      <c r="H1406" s="31" t="s">
        <v>13</v>
      </c>
      <c r="I1406" s="4"/>
    </row>
    <row r="1407">
      <c r="A1407" s="30">
        <v>1403.0</v>
      </c>
      <c r="B1407" s="31" t="s">
        <v>1723</v>
      </c>
      <c r="C1407" s="31" t="s">
        <v>1775</v>
      </c>
      <c r="D1407" s="31" t="s">
        <v>13</v>
      </c>
      <c r="E1407" s="31" t="s">
        <v>13</v>
      </c>
      <c r="F1407" s="31" t="s">
        <v>13</v>
      </c>
      <c r="G1407" s="31" t="s">
        <v>13</v>
      </c>
      <c r="H1407" s="31" t="s">
        <v>1742</v>
      </c>
      <c r="I1407" s="4"/>
    </row>
    <row r="1408">
      <c r="A1408" s="30">
        <v>1404.0</v>
      </c>
      <c r="B1408" s="31" t="s">
        <v>1723</v>
      </c>
      <c r="C1408" s="31" t="s">
        <v>1776</v>
      </c>
      <c r="D1408" s="31" t="s">
        <v>13</v>
      </c>
      <c r="E1408" s="31" t="s">
        <v>14</v>
      </c>
      <c r="F1408" s="31" t="s">
        <v>13</v>
      </c>
      <c r="G1408" s="31" t="s">
        <v>13</v>
      </c>
      <c r="H1408" s="31" t="s">
        <v>15</v>
      </c>
      <c r="I1408" s="4"/>
    </row>
    <row r="1409">
      <c r="A1409" s="30">
        <v>1405.0</v>
      </c>
      <c r="B1409" s="31" t="s">
        <v>1723</v>
      </c>
      <c r="C1409" s="31" t="s">
        <v>1777</v>
      </c>
      <c r="D1409" s="31" t="s">
        <v>13</v>
      </c>
      <c r="E1409" s="31" t="s">
        <v>14</v>
      </c>
      <c r="F1409" s="31" t="s">
        <v>13</v>
      </c>
      <c r="G1409" s="31" t="s">
        <v>13</v>
      </c>
      <c r="H1409" s="31" t="s">
        <v>15</v>
      </c>
      <c r="I1409" s="4"/>
    </row>
    <row r="1410">
      <c r="A1410" s="30">
        <v>1406.0</v>
      </c>
      <c r="B1410" s="31" t="s">
        <v>1723</v>
      </c>
      <c r="C1410" s="31" t="s">
        <v>1777</v>
      </c>
      <c r="D1410" s="31" t="s">
        <v>13</v>
      </c>
      <c r="E1410" s="31" t="s">
        <v>14</v>
      </c>
      <c r="F1410" s="31" t="s">
        <v>13</v>
      </c>
      <c r="G1410" s="31" t="s">
        <v>13</v>
      </c>
      <c r="H1410" s="31" t="s">
        <v>15</v>
      </c>
      <c r="I1410" s="4"/>
    </row>
    <row r="1411">
      <c r="A1411" s="30">
        <v>1407.0</v>
      </c>
      <c r="B1411" s="31" t="s">
        <v>1723</v>
      </c>
      <c r="C1411" s="31" t="s">
        <v>1778</v>
      </c>
      <c r="D1411" s="31" t="s">
        <v>13</v>
      </c>
      <c r="E1411" s="31">
        <v>1.3948173E7</v>
      </c>
      <c r="F1411" s="31" t="s">
        <v>13</v>
      </c>
      <c r="G1411" s="31" t="s">
        <v>13</v>
      </c>
      <c r="H1411" s="31" t="s">
        <v>13</v>
      </c>
      <c r="I1411" s="4"/>
    </row>
    <row r="1412">
      <c r="A1412" s="30">
        <v>1408.0</v>
      </c>
      <c r="B1412" s="31" t="s">
        <v>1723</v>
      </c>
      <c r="C1412" s="31" t="s">
        <v>1779</v>
      </c>
      <c r="D1412" s="31" t="s">
        <v>13</v>
      </c>
      <c r="E1412" s="31" t="s">
        <v>14</v>
      </c>
      <c r="F1412" s="31" t="s">
        <v>13</v>
      </c>
      <c r="G1412" s="31" t="s">
        <v>13</v>
      </c>
      <c r="H1412" s="31" t="s">
        <v>15</v>
      </c>
      <c r="I1412" s="4"/>
    </row>
    <row r="1413">
      <c r="A1413" s="30">
        <v>1409.0</v>
      </c>
      <c r="B1413" s="31" t="s">
        <v>1723</v>
      </c>
      <c r="C1413" s="31" t="s">
        <v>1780</v>
      </c>
      <c r="D1413" s="31" t="s">
        <v>13</v>
      </c>
      <c r="E1413" s="31" t="s">
        <v>14</v>
      </c>
      <c r="F1413" s="31" t="s">
        <v>13</v>
      </c>
      <c r="G1413" s="31" t="s">
        <v>13</v>
      </c>
      <c r="H1413" s="31" t="s">
        <v>15</v>
      </c>
      <c r="I1413" s="4"/>
    </row>
    <row r="1414">
      <c r="A1414" s="30">
        <v>1410.0</v>
      </c>
      <c r="B1414" s="31" t="s">
        <v>1723</v>
      </c>
      <c r="C1414" s="31" t="s">
        <v>1781</v>
      </c>
      <c r="D1414" s="31" t="s">
        <v>13</v>
      </c>
      <c r="E1414" s="31">
        <v>3.0170686E7</v>
      </c>
      <c r="F1414" s="31" t="s">
        <v>13</v>
      </c>
      <c r="G1414" s="31" t="s">
        <v>13</v>
      </c>
      <c r="H1414" s="31" t="s">
        <v>13</v>
      </c>
      <c r="I1414" s="4"/>
    </row>
    <row r="1415">
      <c r="A1415" s="30">
        <v>1411.0</v>
      </c>
      <c r="B1415" s="31" t="s">
        <v>1723</v>
      </c>
      <c r="C1415" s="31" t="s">
        <v>1782</v>
      </c>
      <c r="D1415" s="31" t="s">
        <v>13</v>
      </c>
      <c r="E1415" s="31">
        <v>3.0170626E7</v>
      </c>
      <c r="F1415" s="31" t="s">
        <v>13</v>
      </c>
      <c r="G1415" s="31" t="s">
        <v>13</v>
      </c>
      <c r="H1415" s="31" t="s">
        <v>13</v>
      </c>
      <c r="I1415" s="4"/>
    </row>
    <row r="1416">
      <c r="A1416" s="30">
        <v>1412.0</v>
      </c>
      <c r="B1416" s="31" t="s">
        <v>1723</v>
      </c>
      <c r="C1416" s="31" t="s">
        <v>1783</v>
      </c>
      <c r="D1416" s="31" t="s">
        <v>13</v>
      </c>
      <c r="E1416" s="31" t="s">
        <v>1784</v>
      </c>
      <c r="F1416" s="31" t="s">
        <v>13</v>
      </c>
      <c r="G1416" s="31" t="s">
        <v>13</v>
      </c>
      <c r="H1416" s="31" t="s">
        <v>15</v>
      </c>
      <c r="I1416" s="4"/>
    </row>
    <row r="1417">
      <c r="A1417" s="30">
        <v>1413.0</v>
      </c>
      <c r="B1417" s="31" t="s">
        <v>1723</v>
      </c>
      <c r="C1417" s="31" t="s">
        <v>1785</v>
      </c>
      <c r="D1417" s="31" t="s">
        <v>13</v>
      </c>
      <c r="E1417" s="31">
        <v>3.4800366E7</v>
      </c>
      <c r="F1417" s="31" t="s">
        <v>13</v>
      </c>
      <c r="G1417" s="31" t="s">
        <v>13</v>
      </c>
      <c r="H1417" s="31" t="s">
        <v>13</v>
      </c>
      <c r="I1417" s="4"/>
    </row>
    <row r="1418">
      <c r="A1418" s="30">
        <v>1414.0</v>
      </c>
      <c r="B1418" s="31" t="s">
        <v>1723</v>
      </c>
      <c r="C1418" s="31" t="s">
        <v>1786</v>
      </c>
      <c r="D1418" s="31">
        <v>3.0</v>
      </c>
      <c r="E1418" s="31" t="s">
        <v>13</v>
      </c>
      <c r="F1418" s="31" t="s">
        <v>13</v>
      </c>
      <c r="G1418" s="31" t="s">
        <v>13</v>
      </c>
      <c r="H1418" s="31" t="s">
        <v>1787</v>
      </c>
      <c r="I1418" s="4"/>
    </row>
    <row r="1419">
      <c r="A1419" s="30">
        <v>1415.0</v>
      </c>
      <c r="B1419" s="31" t="s">
        <v>1723</v>
      </c>
      <c r="C1419" s="31" t="s">
        <v>1788</v>
      </c>
      <c r="D1419" s="31" t="s">
        <v>13</v>
      </c>
      <c r="E1419" s="31" t="s">
        <v>1789</v>
      </c>
      <c r="F1419" s="31" t="s">
        <v>13</v>
      </c>
      <c r="G1419" s="31" t="s">
        <v>13</v>
      </c>
      <c r="H1419" s="31" t="s">
        <v>15</v>
      </c>
      <c r="I1419" s="4"/>
    </row>
    <row r="1420">
      <c r="A1420" s="30">
        <v>1416.0</v>
      </c>
      <c r="B1420" s="31" t="s">
        <v>1723</v>
      </c>
      <c r="C1420" s="31" t="s">
        <v>1790</v>
      </c>
      <c r="D1420" s="31" t="s">
        <v>13</v>
      </c>
      <c r="E1420" s="31" t="s">
        <v>13</v>
      </c>
      <c r="F1420" s="31" t="s">
        <v>13</v>
      </c>
      <c r="G1420" s="31" t="s">
        <v>13</v>
      </c>
      <c r="H1420" s="31" t="s">
        <v>1791</v>
      </c>
      <c r="I1420" s="4"/>
    </row>
    <row r="1421">
      <c r="A1421" s="30">
        <v>1417.0</v>
      </c>
      <c r="B1421" s="31" t="s">
        <v>1723</v>
      </c>
      <c r="C1421" s="31" t="s">
        <v>1792</v>
      </c>
      <c r="D1421" s="31" t="s">
        <v>13</v>
      </c>
      <c r="E1421" s="31">
        <v>6049995.0</v>
      </c>
      <c r="F1421" s="31" t="s">
        <v>13</v>
      </c>
      <c r="G1421" s="31" t="s">
        <v>13</v>
      </c>
      <c r="H1421" s="31" t="s">
        <v>13</v>
      </c>
      <c r="I1421" s="4"/>
    </row>
    <row r="1422">
      <c r="A1422" s="30">
        <v>1418.0</v>
      </c>
      <c r="B1422" s="31" t="s">
        <v>1723</v>
      </c>
      <c r="C1422" s="31" t="s">
        <v>1793</v>
      </c>
      <c r="D1422" s="31" t="s">
        <v>13</v>
      </c>
      <c r="E1422" s="31">
        <v>3.0170626E8</v>
      </c>
      <c r="F1422" s="31" t="s">
        <v>13</v>
      </c>
      <c r="G1422" s="31" t="s">
        <v>13</v>
      </c>
      <c r="H1422" s="31" t="s">
        <v>13</v>
      </c>
      <c r="I1422" s="4"/>
    </row>
    <row r="1423">
      <c r="A1423" s="30">
        <v>1419.0</v>
      </c>
      <c r="B1423" s="31" t="s">
        <v>1723</v>
      </c>
      <c r="C1423" s="31" t="s">
        <v>1794</v>
      </c>
      <c r="D1423" s="31" t="s">
        <v>13</v>
      </c>
      <c r="E1423" s="31" t="s">
        <v>1795</v>
      </c>
      <c r="F1423" s="31" t="s">
        <v>13</v>
      </c>
      <c r="G1423" s="31" t="s">
        <v>13</v>
      </c>
      <c r="H1423" s="31" t="s">
        <v>15</v>
      </c>
      <c r="I1423" s="4"/>
    </row>
    <row r="1424">
      <c r="A1424" s="30">
        <v>1420.0</v>
      </c>
      <c r="B1424" s="31" t="s">
        <v>1723</v>
      </c>
      <c r="C1424" s="31" t="s">
        <v>1796</v>
      </c>
      <c r="D1424" s="31" t="s">
        <v>13</v>
      </c>
      <c r="E1424" s="31" t="s">
        <v>14</v>
      </c>
      <c r="F1424" s="31" t="s">
        <v>13</v>
      </c>
      <c r="G1424" s="31" t="s">
        <v>13</v>
      </c>
      <c r="H1424" s="31" t="s">
        <v>15</v>
      </c>
      <c r="I1424" s="4"/>
    </row>
    <row r="1425">
      <c r="A1425" s="30">
        <v>1421.0</v>
      </c>
      <c r="B1425" s="31" t="s">
        <v>1723</v>
      </c>
      <c r="C1425" s="31" t="s">
        <v>1797</v>
      </c>
      <c r="D1425" s="31" t="s">
        <v>13</v>
      </c>
      <c r="E1425" s="31" t="s">
        <v>14</v>
      </c>
      <c r="F1425" s="31" t="s">
        <v>13</v>
      </c>
      <c r="G1425" s="31" t="s">
        <v>13</v>
      </c>
      <c r="H1425" s="31" t="s">
        <v>15</v>
      </c>
      <c r="I1425" s="4"/>
    </row>
    <row r="1426">
      <c r="A1426" s="30">
        <v>1422.0</v>
      </c>
      <c r="B1426" s="31" t="s">
        <v>1723</v>
      </c>
      <c r="C1426" s="31" t="s">
        <v>1798</v>
      </c>
      <c r="D1426" s="31" t="s">
        <v>13</v>
      </c>
      <c r="E1426" s="31" t="s">
        <v>14</v>
      </c>
      <c r="F1426" s="31" t="s">
        <v>13</v>
      </c>
      <c r="G1426" s="31" t="s">
        <v>13</v>
      </c>
      <c r="H1426" s="31" t="s">
        <v>15</v>
      </c>
      <c r="I1426" s="4"/>
    </row>
    <row r="1427">
      <c r="A1427" s="30">
        <v>1423.0</v>
      </c>
      <c r="B1427" s="31" t="s">
        <v>1723</v>
      </c>
      <c r="C1427" s="31" t="s">
        <v>1799</v>
      </c>
      <c r="D1427" s="31" t="s">
        <v>13</v>
      </c>
      <c r="E1427" s="31" t="s">
        <v>13</v>
      </c>
      <c r="F1427" s="31" t="s">
        <v>13</v>
      </c>
      <c r="G1427" s="31" t="s">
        <v>13</v>
      </c>
      <c r="H1427" s="31" t="s">
        <v>1800</v>
      </c>
      <c r="I1427" s="4"/>
    </row>
    <row r="1428">
      <c r="A1428" s="30">
        <v>1424.0</v>
      </c>
      <c r="B1428" s="31" t="s">
        <v>1723</v>
      </c>
      <c r="C1428" s="31" t="s">
        <v>1801</v>
      </c>
      <c r="D1428" s="31" t="s">
        <v>13</v>
      </c>
      <c r="E1428" s="31">
        <v>3.1428533E7</v>
      </c>
      <c r="F1428" s="31" t="s">
        <v>13</v>
      </c>
      <c r="G1428" s="31" t="s">
        <v>13</v>
      </c>
      <c r="H1428" s="31" t="s">
        <v>13</v>
      </c>
      <c r="I1428" s="4"/>
    </row>
    <row r="1429">
      <c r="A1429" s="30">
        <v>1425.0</v>
      </c>
      <c r="B1429" s="31" t="s">
        <v>1723</v>
      </c>
      <c r="C1429" s="31" t="s">
        <v>1097</v>
      </c>
      <c r="D1429" s="31" t="s">
        <v>13</v>
      </c>
      <c r="E1429" s="31" t="s">
        <v>14</v>
      </c>
      <c r="F1429" s="31" t="s">
        <v>13</v>
      </c>
      <c r="G1429" s="31" t="s">
        <v>13</v>
      </c>
      <c r="H1429" s="31" t="s">
        <v>15</v>
      </c>
      <c r="I1429" s="4"/>
    </row>
    <row r="1430">
      <c r="A1430" s="30">
        <v>1426.0</v>
      </c>
      <c r="B1430" s="31" t="s">
        <v>1723</v>
      </c>
      <c r="C1430" s="31" t="s">
        <v>1802</v>
      </c>
      <c r="D1430" s="31" t="s">
        <v>13</v>
      </c>
      <c r="E1430" s="31" t="s">
        <v>13</v>
      </c>
      <c r="F1430" s="31" t="s">
        <v>13</v>
      </c>
      <c r="G1430" s="31" t="s">
        <v>13</v>
      </c>
      <c r="H1430" s="31" t="s">
        <v>1752</v>
      </c>
      <c r="I1430" s="4"/>
    </row>
    <row r="1431">
      <c r="A1431" s="30">
        <v>1427.0</v>
      </c>
      <c r="B1431" s="31" t="s">
        <v>1723</v>
      </c>
      <c r="C1431" s="31" t="s">
        <v>1803</v>
      </c>
      <c r="D1431" s="31">
        <v>11.0</v>
      </c>
      <c r="E1431" s="31" t="s">
        <v>13</v>
      </c>
      <c r="F1431" s="31" t="s">
        <v>13</v>
      </c>
      <c r="G1431" s="31" t="s">
        <v>13</v>
      </c>
      <c r="H1431" s="31" t="s">
        <v>452</v>
      </c>
      <c r="I1431" s="4"/>
    </row>
    <row r="1432">
      <c r="A1432" s="30">
        <v>1428.0</v>
      </c>
      <c r="B1432" s="31" t="s">
        <v>1723</v>
      </c>
      <c r="C1432" s="31" t="s">
        <v>1803</v>
      </c>
      <c r="D1432" s="31">
        <v>10.0</v>
      </c>
      <c r="E1432" s="31" t="s">
        <v>13</v>
      </c>
      <c r="F1432" s="31" t="s">
        <v>13</v>
      </c>
      <c r="G1432" s="31" t="s">
        <v>13</v>
      </c>
      <c r="H1432" s="31" t="s">
        <v>1804</v>
      </c>
      <c r="I1432" s="4"/>
    </row>
    <row r="1433">
      <c r="A1433" s="30">
        <v>1429.0</v>
      </c>
      <c r="B1433" s="31" t="s">
        <v>1723</v>
      </c>
      <c r="C1433" s="31" t="s">
        <v>1805</v>
      </c>
      <c r="D1433" s="31" t="s">
        <v>13</v>
      </c>
      <c r="E1433" s="31">
        <v>3.0678485E7</v>
      </c>
      <c r="F1433" s="31" t="s">
        <v>13</v>
      </c>
      <c r="G1433" s="31" t="s">
        <v>13</v>
      </c>
      <c r="H1433" s="31" t="s">
        <v>13</v>
      </c>
      <c r="I1433" s="4"/>
    </row>
    <row r="1434">
      <c r="A1434" s="30">
        <v>1430.0</v>
      </c>
      <c r="B1434" s="31" t="s">
        <v>1723</v>
      </c>
      <c r="C1434" s="31" t="s">
        <v>1806</v>
      </c>
      <c r="D1434" s="31" t="s">
        <v>13</v>
      </c>
      <c r="E1434" s="31" t="s">
        <v>14</v>
      </c>
      <c r="F1434" s="31" t="s">
        <v>13</v>
      </c>
      <c r="G1434" s="31" t="s">
        <v>13</v>
      </c>
      <c r="H1434" s="31" t="s">
        <v>15</v>
      </c>
      <c r="I1434" s="4"/>
    </row>
    <row r="1435">
      <c r="A1435" s="30">
        <v>1431.0</v>
      </c>
      <c r="B1435" s="31" t="s">
        <v>1723</v>
      </c>
      <c r="C1435" s="31" t="s">
        <v>1807</v>
      </c>
      <c r="D1435" s="31" t="s">
        <v>13</v>
      </c>
      <c r="E1435" s="31">
        <v>3.2781459E7</v>
      </c>
      <c r="F1435" s="31" t="s">
        <v>13</v>
      </c>
      <c r="G1435" s="31" t="s">
        <v>13</v>
      </c>
      <c r="H1435" s="31" t="s">
        <v>13</v>
      </c>
      <c r="I1435" s="4"/>
    </row>
    <row r="1436">
      <c r="A1436" s="30">
        <v>1432.0</v>
      </c>
      <c r="B1436" s="31" t="s">
        <v>1723</v>
      </c>
      <c r="C1436" s="31" t="s">
        <v>1808</v>
      </c>
      <c r="D1436" s="31" t="s">
        <v>13</v>
      </c>
      <c r="E1436" s="31" t="s">
        <v>14</v>
      </c>
      <c r="F1436" s="31" t="s">
        <v>13</v>
      </c>
      <c r="G1436" s="31" t="s">
        <v>13</v>
      </c>
      <c r="H1436" s="31" t="s">
        <v>15</v>
      </c>
      <c r="I1436" s="4"/>
    </row>
    <row r="1437">
      <c r="A1437" s="30">
        <v>1433.0</v>
      </c>
      <c r="B1437" s="31" t="s">
        <v>1723</v>
      </c>
      <c r="C1437" s="31" t="s">
        <v>1809</v>
      </c>
      <c r="D1437" s="31" t="s">
        <v>13</v>
      </c>
      <c r="E1437" s="31">
        <v>1.7158021E7</v>
      </c>
      <c r="F1437" s="31" t="s">
        <v>13</v>
      </c>
      <c r="G1437" s="31" t="s">
        <v>13</v>
      </c>
      <c r="H1437" s="31" t="s">
        <v>13</v>
      </c>
      <c r="I1437" s="4"/>
    </row>
    <row r="1438">
      <c r="A1438" s="30">
        <v>1434.0</v>
      </c>
      <c r="B1438" s="31" t="s">
        <v>1723</v>
      </c>
      <c r="C1438" s="31" t="s">
        <v>1810</v>
      </c>
      <c r="D1438" s="31" t="s">
        <v>13</v>
      </c>
      <c r="E1438" s="31" t="s">
        <v>14</v>
      </c>
      <c r="F1438" s="31" t="s">
        <v>13</v>
      </c>
      <c r="G1438" s="31" t="s">
        <v>13</v>
      </c>
      <c r="H1438" s="31" t="s">
        <v>1811</v>
      </c>
      <c r="I1438" s="4"/>
    </row>
    <row r="1439">
      <c r="A1439" s="30">
        <v>1435.0</v>
      </c>
      <c r="B1439" s="31" t="s">
        <v>1723</v>
      </c>
      <c r="C1439" s="31" t="s">
        <v>1812</v>
      </c>
      <c r="D1439" s="31" t="s">
        <v>13</v>
      </c>
      <c r="E1439" s="31" t="s">
        <v>13</v>
      </c>
      <c r="F1439" s="31" t="s">
        <v>13</v>
      </c>
      <c r="G1439" s="31" t="s">
        <v>13</v>
      </c>
      <c r="H1439" s="31" t="s">
        <v>1742</v>
      </c>
      <c r="I1439" s="4"/>
    </row>
    <row r="1440">
      <c r="A1440" s="30">
        <v>1436.0</v>
      </c>
      <c r="B1440" s="31" t="s">
        <v>1723</v>
      </c>
      <c r="C1440" s="31" t="s">
        <v>1813</v>
      </c>
      <c r="D1440" s="31" t="s">
        <v>1731</v>
      </c>
      <c r="E1440" s="31">
        <v>2.9416493E8</v>
      </c>
      <c r="F1440" s="31" t="s">
        <v>13</v>
      </c>
      <c r="G1440" s="31" t="s">
        <v>1731</v>
      </c>
      <c r="H1440" s="31" t="s">
        <v>1731</v>
      </c>
      <c r="I1440" s="4"/>
    </row>
    <row r="1441">
      <c r="A1441" s="30">
        <v>1437.0</v>
      </c>
      <c r="B1441" s="31" t="s">
        <v>1723</v>
      </c>
      <c r="C1441" s="31" t="s">
        <v>1814</v>
      </c>
      <c r="D1441" s="31" t="s">
        <v>13</v>
      </c>
      <c r="E1441" s="31">
        <v>9.416493E7</v>
      </c>
      <c r="F1441" s="31" t="s">
        <v>13</v>
      </c>
      <c r="G1441" s="31" t="s">
        <v>13</v>
      </c>
      <c r="H1441" s="31" t="s">
        <v>13</v>
      </c>
      <c r="I1441" s="4"/>
    </row>
    <row r="1442">
      <c r="A1442" s="30">
        <v>1438.0</v>
      </c>
      <c r="B1442" s="31" t="s">
        <v>1723</v>
      </c>
      <c r="C1442" s="31" t="s">
        <v>1815</v>
      </c>
      <c r="D1442" s="31" t="s">
        <v>13</v>
      </c>
      <c r="E1442" s="31">
        <v>2.814377E7</v>
      </c>
      <c r="F1442" s="31" t="s">
        <v>13</v>
      </c>
      <c r="G1442" s="31" t="s">
        <v>13</v>
      </c>
      <c r="H1442" s="31" t="s">
        <v>13</v>
      </c>
      <c r="I1442" s="4"/>
    </row>
    <row r="1443">
      <c r="A1443" s="30">
        <v>1439.0</v>
      </c>
      <c r="B1443" s="31" t="s">
        <v>1723</v>
      </c>
      <c r="C1443" s="31" t="s">
        <v>1816</v>
      </c>
      <c r="D1443" s="31" t="s">
        <v>13</v>
      </c>
      <c r="E1443" s="31">
        <v>2.814377E8</v>
      </c>
      <c r="F1443" s="31" t="s">
        <v>13</v>
      </c>
      <c r="G1443" s="31" t="s">
        <v>13</v>
      </c>
      <c r="H1443" s="31" t="s">
        <v>1817</v>
      </c>
      <c r="I1443" s="4"/>
    </row>
    <row r="1444">
      <c r="A1444" s="30">
        <v>1440.0</v>
      </c>
      <c r="B1444" s="31" t="s">
        <v>1723</v>
      </c>
      <c r="C1444" s="31" t="s">
        <v>1818</v>
      </c>
      <c r="D1444" s="31" t="s">
        <v>13</v>
      </c>
      <c r="E1444" s="31">
        <v>1.206008E8</v>
      </c>
      <c r="F1444" s="31" t="s">
        <v>13</v>
      </c>
      <c r="G1444" s="31" t="s">
        <v>13</v>
      </c>
      <c r="H1444" s="31" t="s">
        <v>13</v>
      </c>
      <c r="I1444" s="4"/>
    </row>
    <row r="1445">
      <c r="A1445" s="30">
        <v>1441.0</v>
      </c>
      <c r="B1445" s="31" t="s">
        <v>1723</v>
      </c>
      <c r="C1445" s="31" t="s">
        <v>1818</v>
      </c>
      <c r="D1445" s="31" t="s">
        <v>1731</v>
      </c>
      <c r="E1445" s="31">
        <v>1.266088E8</v>
      </c>
      <c r="F1445" s="31" t="s">
        <v>13</v>
      </c>
      <c r="G1445" s="31" t="s">
        <v>1731</v>
      </c>
      <c r="H1445" s="31" t="s">
        <v>1731</v>
      </c>
      <c r="I1445" s="4"/>
    </row>
    <row r="1446">
      <c r="A1446" s="30">
        <v>1442.0</v>
      </c>
      <c r="B1446" s="31" t="s">
        <v>1723</v>
      </c>
      <c r="C1446" s="31" t="s">
        <v>1819</v>
      </c>
      <c r="D1446" s="31" t="s">
        <v>13</v>
      </c>
      <c r="E1446" s="31" t="s">
        <v>14</v>
      </c>
      <c r="F1446" s="31" t="s">
        <v>13</v>
      </c>
      <c r="G1446" s="31" t="s">
        <v>13</v>
      </c>
      <c r="H1446" s="31" t="s">
        <v>15</v>
      </c>
      <c r="I1446" s="4"/>
    </row>
    <row r="1447">
      <c r="A1447" s="30">
        <v>1443.0</v>
      </c>
      <c r="B1447" s="31" t="s">
        <v>1723</v>
      </c>
      <c r="C1447" s="31" t="s">
        <v>1820</v>
      </c>
      <c r="D1447" s="31" t="s">
        <v>13</v>
      </c>
      <c r="E1447" s="31" t="s">
        <v>13</v>
      </c>
      <c r="F1447" s="31" t="s">
        <v>13</v>
      </c>
      <c r="G1447" s="31" t="s">
        <v>13</v>
      </c>
      <c r="H1447" s="31" t="s">
        <v>1821</v>
      </c>
      <c r="I1447" s="4"/>
    </row>
    <row r="1448">
      <c r="A1448" s="30">
        <v>1444.0</v>
      </c>
      <c r="B1448" s="31" t="s">
        <v>1723</v>
      </c>
      <c r="C1448" s="31" t="s">
        <v>1822</v>
      </c>
      <c r="D1448" s="31" t="s">
        <v>13</v>
      </c>
      <c r="E1448" s="31" t="s">
        <v>14</v>
      </c>
      <c r="F1448" s="31" t="s">
        <v>13</v>
      </c>
      <c r="G1448" s="31" t="s">
        <v>13</v>
      </c>
      <c r="H1448" s="31" t="s">
        <v>15</v>
      </c>
      <c r="I1448" s="4"/>
    </row>
    <row r="1449">
      <c r="A1449" s="30">
        <v>1445.0</v>
      </c>
      <c r="B1449" s="31" t="s">
        <v>1723</v>
      </c>
      <c r="C1449" s="31" t="s">
        <v>1823</v>
      </c>
      <c r="D1449" s="31">
        <v>8.0</v>
      </c>
      <c r="E1449" s="31" t="s">
        <v>13</v>
      </c>
      <c r="F1449" s="31" t="s">
        <v>13</v>
      </c>
      <c r="G1449" s="31" t="s">
        <v>13</v>
      </c>
      <c r="H1449" s="31" t="s">
        <v>1824</v>
      </c>
      <c r="I1449" s="4"/>
    </row>
    <row r="1450">
      <c r="A1450" s="30">
        <v>1446.0</v>
      </c>
      <c r="B1450" s="31" t="s">
        <v>1723</v>
      </c>
      <c r="C1450" s="31" t="s">
        <v>1825</v>
      </c>
      <c r="D1450" s="31">
        <v>4.0</v>
      </c>
      <c r="E1450" s="31" t="s">
        <v>13</v>
      </c>
      <c r="F1450" s="31" t="s">
        <v>13</v>
      </c>
      <c r="G1450" s="31" t="s">
        <v>13</v>
      </c>
      <c r="H1450" s="31" t="s">
        <v>1826</v>
      </c>
      <c r="I1450" s="4"/>
    </row>
    <row r="1451">
      <c r="A1451" s="30">
        <v>1447.0</v>
      </c>
      <c r="B1451" s="31" t="s">
        <v>1723</v>
      </c>
      <c r="C1451" s="31" t="s">
        <v>1827</v>
      </c>
      <c r="D1451" s="31" t="s">
        <v>13</v>
      </c>
      <c r="E1451" s="31">
        <v>3.3232603E7</v>
      </c>
      <c r="F1451" s="31" t="s">
        <v>13</v>
      </c>
      <c r="G1451" s="31" t="s">
        <v>13</v>
      </c>
      <c r="H1451" s="31" t="s">
        <v>13</v>
      </c>
      <c r="I1451" s="4"/>
    </row>
    <row r="1452">
      <c r="A1452" s="30">
        <v>1448.0</v>
      </c>
      <c r="B1452" s="31" t="s">
        <v>1723</v>
      </c>
      <c r="C1452" s="31" t="s">
        <v>1828</v>
      </c>
      <c r="D1452" s="31" t="s">
        <v>13</v>
      </c>
      <c r="E1452" s="31" t="s">
        <v>14</v>
      </c>
      <c r="F1452" s="31" t="s">
        <v>13</v>
      </c>
      <c r="G1452" s="31" t="s">
        <v>13</v>
      </c>
      <c r="H1452" s="31" t="s">
        <v>15</v>
      </c>
      <c r="I1452" s="4"/>
    </row>
    <row r="1453">
      <c r="A1453" s="30">
        <v>1449.0</v>
      </c>
      <c r="B1453" s="31" t="s">
        <v>1723</v>
      </c>
      <c r="C1453" s="31" t="s">
        <v>1829</v>
      </c>
      <c r="D1453" s="31" t="s">
        <v>13</v>
      </c>
      <c r="E1453" s="31">
        <v>2.6327913E7</v>
      </c>
      <c r="F1453" s="31" t="s">
        <v>13</v>
      </c>
      <c r="G1453" s="31" t="s">
        <v>13</v>
      </c>
      <c r="H1453" s="31" t="s">
        <v>13</v>
      </c>
      <c r="I1453" s="4"/>
    </row>
    <row r="1454">
      <c r="A1454" s="30">
        <v>1450.0</v>
      </c>
      <c r="B1454" s="31" t="s">
        <v>1723</v>
      </c>
      <c r="C1454" s="31" t="s">
        <v>1830</v>
      </c>
      <c r="D1454" s="31" t="s">
        <v>13</v>
      </c>
      <c r="E1454" s="31">
        <v>2.6327913E8</v>
      </c>
      <c r="F1454" s="31" t="s">
        <v>13</v>
      </c>
      <c r="G1454" s="31" t="s">
        <v>13</v>
      </c>
      <c r="H1454" s="31" t="s">
        <v>13</v>
      </c>
      <c r="I1454" s="4"/>
    </row>
    <row r="1455">
      <c r="A1455" s="30">
        <v>1451.0</v>
      </c>
      <c r="B1455" s="31" t="s">
        <v>1723</v>
      </c>
      <c r="C1455" s="31" t="s">
        <v>1831</v>
      </c>
      <c r="D1455" s="31" t="s">
        <v>13</v>
      </c>
      <c r="E1455" s="31" t="s">
        <v>14</v>
      </c>
      <c r="F1455" s="31" t="s">
        <v>13</v>
      </c>
      <c r="G1455" s="31" t="s">
        <v>13</v>
      </c>
      <c r="H1455" s="31" t="s">
        <v>15</v>
      </c>
      <c r="I1455" s="4"/>
    </row>
    <row r="1456">
      <c r="A1456" s="30">
        <v>1452.0</v>
      </c>
      <c r="B1456" s="31" t="s">
        <v>1723</v>
      </c>
      <c r="C1456" s="31" t="s">
        <v>1832</v>
      </c>
      <c r="D1456" s="31" t="s">
        <v>13</v>
      </c>
      <c r="E1456" s="31" t="s">
        <v>13</v>
      </c>
      <c r="F1456" s="31" t="s">
        <v>13</v>
      </c>
      <c r="G1456" s="31" t="s">
        <v>13</v>
      </c>
      <c r="H1456" s="31" t="s">
        <v>1833</v>
      </c>
      <c r="I1456" s="4"/>
    </row>
    <row r="1457">
      <c r="A1457" s="30">
        <v>1453.0</v>
      </c>
      <c r="B1457" s="31" t="s">
        <v>1723</v>
      </c>
      <c r="C1457" s="31" t="s">
        <v>1834</v>
      </c>
      <c r="D1457" s="31" t="s">
        <v>13</v>
      </c>
      <c r="E1457" s="31" t="s">
        <v>13</v>
      </c>
      <c r="F1457" s="31" t="s">
        <v>13</v>
      </c>
      <c r="G1457" s="31" t="s">
        <v>13</v>
      </c>
      <c r="H1457" s="31" t="s">
        <v>1835</v>
      </c>
      <c r="I1457" s="4"/>
    </row>
    <row r="1458">
      <c r="A1458" s="30">
        <v>1454.0</v>
      </c>
      <c r="B1458" s="31" t="s">
        <v>1723</v>
      </c>
      <c r="C1458" s="31" t="s">
        <v>1836</v>
      </c>
      <c r="D1458" s="31" t="s">
        <v>13</v>
      </c>
      <c r="E1458" s="31" t="s">
        <v>13</v>
      </c>
      <c r="F1458" s="31" t="s">
        <v>13</v>
      </c>
      <c r="G1458" s="31" t="s">
        <v>13</v>
      </c>
      <c r="H1458" s="31" t="s">
        <v>1742</v>
      </c>
      <c r="I1458" s="4"/>
    </row>
    <row r="1459">
      <c r="A1459" s="30">
        <v>1455.0</v>
      </c>
      <c r="B1459" s="31" t="s">
        <v>1723</v>
      </c>
      <c r="C1459" s="31" t="s">
        <v>1837</v>
      </c>
      <c r="D1459" s="31" t="s">
        <v>13</v>
      </c>
      <c r="E1459" s="31" t="s">
        <v>14</v>
      </c>
      <c r="F1459" s="31" t="s">
        <v>13</v>
      </c>
      <c r="G1459" s="31" t="s">
        <v>13</v>
      </c>
      <c r="H1459" s="31" t="s">
        <v>15</v>
      </c>
      <c r="I1459" s="4"/>
    </row>
    <row r="1460">
      <c r="A1460" s="30">
        <v>1456.0</v>
      </c>
      <c r="B1460" s="31" t="s">
        <v>1723</v>
      </c>
      <c r="C1460" s="31" t="s">
        <v>1838</v>
      </c>
      <c r="D1460" s="31" t="s">
        <v>13</v>
      </c>
      <c r="E1460" s="31">
        <v>1.4194021E7</v>
      </c>
      <c r="F1460" s="31" t="s">
        <v>13</v>
      </c>
      <c r="G1460" s="31" t="s">
        <v>13</v>
      </c>
      <c r="H1460" s="31" t="s">
        <v>13</v>
      </c>
      <c r="I1460" s="4"/>
    </row>
    <row r="1461">
      <c r="A1461" s="30">
        <v>1457.0</v>
      </c>
      <c r="B1461" s="31" t="s">
        <v>1723</v>
      </c>
      <c r="C1461" s="31" t="s">
        <v>1839</v>
      </c>
      <c r="D1461" s="31" t="s">
        <v>13</v>
      </c>
      <c r="E1461" s="31">
        <v>1.9734177E8</v>
      </c>
      <c r="F1461" s="31" t="s">
        <v>13</v>
      </c>
      <c r="G1461" s="31" t="s">
        <v>13</v>
      </c>
      <c r="H1461" s="31" t="s">
        <v>1748</v>
      </c>
      <c r="I1461" s="4"/>
    </row>
    <row r="1462">
      <c r="A1462" s="30">
        <v>1458.0</v>
      </c>
      <c r="B1462" s="31" t="s">
        <v>1723</v>
      </c>
      <c r="C1462" s="31" t="s">
        <v>1840</v>
      </c>
      <c r="D1462" s="31" t="s">
        <v>1731</v>
      </c>
      <c r="E1462" s="31">
        <v>6.145488E7</v>
      </c>
      <c r="F1462" s="31" t="s">
        <v>13</v>
      </c>
      <c r="G1462" s="31" t="s">
        <v>1731</v>
      </c>
      <c r="H1462" s="31" t="s">
        <v>1731</v>
      </c>
      <c r="I1462" s="4"/>
    </row>
    <row r="1463">
      <c r="A1463" s="30">
        <v>1459.0</v>
      </c>
      <c r="B1463" s="31" t="s">
        <v>1723</v>
      </c>
      <c r="C1463" s="31" t="s">
        <v>1841</v>
      </c>
      <c r="D1463" s="31">
        <v>5.0</v>
      </c>
      <c r="E1463" s="31" t="s">
        <v>13</v>
      </c>
      <c r="F1463" s="31" t="s">
        <v>13</v>
      </c>
      <c r="G1463" s="31" t="s">
        <v>13</v>
      </c>
      <c r="H1463" s="31" t="s">
        <v>13</v>
      </c>
      <c r="I1463" s="4"/>
    </row>
    <row r="1464">
      <c r="A1464" s="30">
        <v>1460.0</v>
      </c>
      <c r="B1464" s="31" t="s">
        <v>1723</v>
      </c>
      <c r="C1464" s="31" t="s">
        <v>1842</v>
      </c>
      <c r="D1464" s="31" t="s">
        <v>13</v>
      </c>
      <c r="E1464" s="31">
        <v>2.7374286E7</v>
      </c>
      <c r="F1464" s="31" t="s">
        <v>13</v>
      </c>
      <c r="G1464" s="31" t="s">
        <v>13</v>
      </c>
      <c r="H1464" s="31" t="s">
        <v>13</v>
      </c>
      <c r="I1464" s="4"/>
    </row>
    <row r="1465">
      <c r="A1465" s="30">
        <v>1461.0</v>
      </c>
      <c r="B1465" s="31" t="s">
        <v>1723</v>
      </c>
      <c r="C1465" s="31" t="s">
        <v>1842</v>
      </c>
      <c r="D1465" s="31" t="s">
        <v>13</v>
      </c>
      <c r="E1465" s="31">
        <v>2734286.0</v>
      </c>
      <c r="F1465" s="31" t="s">
        <v>13</v>
      </c>
      <c r="G1465" s="31" t="s">
        <v>13</v>
      </c>
      <c r="H1465" s="31" t="s">
        <v>13</v>
      </c>
      <c r="I1465" s="4"/>
    </row>
    <row r="1466">
      <c r="A1466" s="30">
        <v>1462.0</v>
      </c>
      <c r="B1466" s="31" t="s">
        <v>1723</v>
      </c>
      <c r="C1466" s="31" t="s">
        <v>1843</v>
      </c>
      <c r="D1466" s="31" t="s">
        <v>13</v>
      </c>
      <c r="E1466" s="31" t="s">
        <v>13</v>
      </c>
      <c r="F1466" s="31" t="s">
        <v>13</v>
      </c>
      <c r="G1466" s="31" t="s">
        <v>13</v>
      </c>
      <c r="H1466" s="31" t="s">
        <v>1742</v>
      </c>
      <c r="I1466" s="4"/>
    </row>
    <row r="1467">
      <c r="A1467" s="30">
        <v>1463.0</v>
      </c>
      <c r="B1467" s="31" t="s">
        <v>1723</v>
      </c>
      <c r="C1467" s="31" t="s">
        <v>1844</v>
      </c>
      <c r="D1467" s="31">
        <v>5.0</v>
      </c>
      <c r="E1467" s="31" t="s">
        <v>13</v>
      </c>
      <c r="F1467" s="31" t="s">
        <v>13</v>
      </c>
      <c r="G1467" s="31" t="s">
        <v>13</v>
      </c>
      <c r="H1467" s="31" t="s">
        <v>1845</v>
      </c>
      <c r="I1467" s="4"/>
    </row>
    <row r="1468">
      <c r="A1468" s="30">
        <v>1464.0</v>
      </c>
      <c r="B1468" s="31" t="s">
        <v>1723</v>
      </c>
      <c r="C1468" s="31" t="s">
        <v>1846</v>
      </c>
      <c r="D1468" s="31" t="s">
        <v>13</v>
      </c>
      <c r="E1468" s="31">
        <v>8.146247E8</v>
      </c>
      <c r="F1468" s="31" t="s">
        <v>13</v>
      </c>
      <c r="G1468" s="31" t="s">
        <v>13</v>
      </c>
      <c r="H1468" s="31" t="s">
        <v>1847</v>
      </c>
      <c r="I1468" s="4"/>
    </row>
    <row r="1469">
      <c r="A1469" s="30">
        <v>1465.0</v>
      </c>
      <c r="B1469" s="31" t="s">
        <v>1723</v>
      </c>
      <c r="C1469" s="31" t="s">
        <v>1848</v>
      </c>
      <c r="D1469" s="31">
        <v>5.0</v>
      </c>
      <c r="E1469" s="31" t="s">
        <v>13</v>
      </c>
      <c r="F1469" s="31" t="s">
        <v>13</v>
      </c>
      <c r="G1469" s="31" t="s">
        <v>13</v>
      </c>
      <c r="H1469" s="31" t="s">
        <v>1826</v>
      </c>
      <c r="I1469" s="4"/>
    </row>
    <row r="1470">
      <c r="A1470" s="30">
        <v>1466.0</v>
      </c>
      <c r="B1470" s="31" t="s">
        <v>1723</v>
      </c>
      <c r="C1470" s="31" t="s">
        <v>1849</v>
      </c>
      <c r="D1470" s="31">
        <v>6.0</v>
      </c>
      <c r="E1470" s="31" t="s">
        <v>13</v>
      </c>
      <c r="F1470" s="31" t="s">
        <v>13</v>
      </c>
      <c r="G1470" s="31" t="s">
        <v>13</v>
      </c>
      <c r="H1470" s="31" t="s">
        <v>1826</v>
      </c>
      <c r="I1470" s="4"/>
    </row>
    <row r="1471">
      <c r="A1471" s="30">
        <v>1467.0</v>
      </c>
      <c r="B1471" s="31" t="s">
        <v>1723</v>
      </c>
      <c r="C1471" s="31" t="s">
        <v>1850</v>
      </c>
      <c r="D1471" s="31" t="s">
        <v>13</v>
      </c>
      <c r="E1471" s="31" t="s">
        <v>14</v>
      </c>
      <c r="F1471" s="31" t="s">
        <v>13</v>
      </c>
      <c r="G1471" s="31" t="s">
        <v>13</v>
      </c>
      <c r="H1471" s="31" t="s">
        <v>15</v>
      </c>
      <c r="I1471" s="4"/>
    </row>
    <row r="1472">
      <c r="A1472" s="30">
        <v>1468.0</v>
      </c>
      <c r="B1472" s="31" t="s">
        <v>1723</v>
      </c>
      <c r="C1472" s="31" t="s">
        <v>1851</v>
      </c>
      <c r="D1472" s="31" t="s">
        <v>13</v>
      </c>
      <c r="E1472" s="31">
        <v>8.146247E7</v>
      </c>
      <c r="F1472" s="31" t="s">
        <v>13</v>
      </c>
      <c r="G1472" s="31" t="s">
        <v>13</v>
      </c>
      <c r="H1472" s="31" t="s">
        <v>13</v>
      </c>
      <c r="I1472" s="4"/>
    </row>
    <row r="1473">
      <c r="A1473" s="30">
        <v>1469.0</v>
      </c>
      <c r="B1473" s="31" t="s">
        <v>1723</v>
      </c>
      <c r="C1473" s="31" t="s">
        <v>1852</v>
      </c>
      <c r="D1473" s="31" t="s">
        <v>1731</v>
      </c>
      <c r="E1473" s="31">
        <v>3.26057296E9</v>
      </c>
      <c r="F1473" s="31" t="s">
        <v>13</v>
      </c>
      <c r="G1473" s="31" t="s">
        <v>1731</v>
      </c>
      <c r="H1473" s="31" t="s">
        <v>1731</v>
      </c>
      <c r="I1473" s="4"/>
    </row>
    <row r="1474">
      <c r="A1474" s="30">
        <v>1470.0</v>
      </c>
      <c r="B1474" s="31" t="s">
        <v>1723</v>
      </c>
      <c r="C1474" s="31" t="s">
        <v>1853</v>
      </c>
      <c r="D1474" s="31" t="s">
        <v>13</v>
      </c>
      <c r="E1474" s="31" t="s">
        <v>1854</v>
      </c>
      <c r="F1474" s="31" t="s">
        <v>13</v>
      </c>
      <c r="G1474" s="31" t="s">
        <v>13</v>
      </c>
      <c r="H1474" s="31" t="s">
        <v>15</v>
      </c>
      <c r="I1474" s="4"/>
    </row>
    <row r="1475">
      <c r="A1475" s="30">
        <v>1471.0</v>
      </c>
      <c r="B1475" s="31" t="s">
        <v>1723</v>
      </c>
      <c r="C1475" s="31" t="s">
        <v>1855</v>
      </c>
      <c r="D1475" s="31" t="s">
        <v>13</v>
      </c>
      <c r="E1475" s="31" t="s">
        <v>13</v>
      </c>
      <c r="F1475" s="31" t="s">
        <v>13</v>
      </c>
      <c r="G1475" s="31" t="s">
        <v>13</v>
      </c>
      <c r="H1475" s="31" t="s">
        <v>1856</v>
      </c>
      <c r="I1475" s="4"/>
    </row>
    <row r="1476">
      <c r="A1476" s="30">
        <v>1472.0</v>
      </c>
      <c r="B1476" s="31" t="s">
        <v>1723</v>
      </c>
      <c r="C1476" s="31" t="s">
        <v>1857</v>
      </c>
      <c r="D1476" s="31" t="s">
        <v>13</v>
      </c>
      <c r="E1476" s="31" t="s">
        <v>14</v>
      </c>
      <c r="F1476" s="31" t="s">
        <v>13</v>
      </c>
      <c r="G1476" s="31" t="s">
        <v>13</v>
      </c>
      <c r="H1476" s="31" t="s">
        <v>15</v>
      </c>
      <c r="I1476" s="4"/>
    </row>
    <row r="1477">
      <c r="A1477" s="30">
        <v>1473.0</v>
      </c>
      <c r="B1477" s="31" t="s">
        <v>1723</v>
      </c>
      <c r="C1477" s="31" t="s">
        <v>1857</v>
      </c>
      <c r="D1477" s="31" t="s">
        <v>13</v>
      </c>
      <c r="E1477" s="31" t="s">
        <v>14</v>
      </c>
      <c r="F1477" s="31" t="s">
        <v>13</v>
      </c>
      <c r="G1477" s="31" t="s">
        <v>13</v>
      </c>
      <c r="H1477" s="31" t="s">
        <v>15</v>
      </c>
      <c r="I1477" s="4"/>
    </row>
    <row r="1478">
      <c r="A1478" s="30">
        <v>1474.0</v>
      </c>
      <c r="B1478" s="31" t="s">
        <v>1723</v>
      </c>
      <c r="C1478" s="31" t="s">
        <v>1858</v>
      </c>
      <c r="D1478" s="31" t="s">
        <v>13</v>
      </c>
      <c r="E1478" s="31">
        <v>2.5872328E7</v>
      </c>
      <c r="F1478" s="31" t="s">
        <v>13</v>
      </c>
      <c r="G1478" s="31" t="s">
        <v>13</v>
      </c>
      <c r="H1478" s="31" t="s">
        <v>13</v>
      </c>
      <c r="I1478" s="4"/>
    </row>
    <row r="1479">
      <c r="A1479" s="30">
        <v>1475.0</v>
      </c>
      <c r="B1479" s="31" t="s">
        <v>1723</v>
      </c>
      <c r="C1479" s="31" t="s">
        <v>1859</v>
      </c>
      <c r="D1479" s="31" t="s">
        <v>13</v>
      </c>
      <c r="E1479" s="31" t="s">
        <v>14</v>
      </c>
      <c r="F1479" s="31" t="s">
        <v>13</v>
      </c>
      <c r="G1479" s="31" t="s">
        <v>13</v>
      </c>
      <c r="H1479" s="31" t="s">
        <v>15</v>
      </c>
      <c r="I1479" s="4"/>
    </row>
    <row r="1480">
      <c r="A1480" s="30">
        <v>1476.0</v>
      </c>
      <c r="B1480" s="31" t="s">
        <v>1723</v>
      </c>
      <c r="C1480" s="31" t="s">
        <v>1860</v>
      </c>
      <c r="D1480" s="31" t="s">
        <v>13</v>
      </c>
      <c r="E1480" s="31" t="s">
        <v>14</v>
      </c>
      <c r="F1480" s="31" t="s">
        <v>13</v>
      </c>
      <c r="G1480" s="31" t="s">
        <v>13</v>
      </c>
      <c r="H1480" s="31" t="s">
        <v>15</v>
      </c>
      <c r="I1480" s="4"/>
    </row>
    <row r="1481">
      <c r="A1481" s="30">
        <v>1477.0</v>
      </c>
      <c r="B1481" s="31" t="s">
        <v>1723</v>
      </c>
      <c r="C1481" s="31" t="s">
        <v>1860</v>
      </c>
      <c r="D1481" s="31" t="s">
        <v>13</v>
      </c>
      <c r="E1481" s="31" t="s">
        <v>14</v>
      </c>
      <c r="F1481" s="31" t="s">
        <v>13</v>
      </c>
      <c r="G1481" s="31" t="s">
        <v>13</v>
      </c>
      <c r="H1481" s="31" t="s">
        <v>15</v>
      </c>
      <c r="I1481" s="4"/>
    </row>
    <row r="1482">
      <c r="A1482" s="30">
        <v>1478.0</v>
      </c>
      <c r="B1482" s="31" t="s">
        <v>1723</v>
      </c>
      <c r="C1482" s="31" t="s">
        <v>1861</v>
      </c>
      <c r="D1482" s="31" t="s">
        <v>13</v>
      </c>
      <c r="E1482" s="31" t="s">
        <v>13</v>
      </c>
      <c r="F1482" s="31" t="s">
        <v>13</v>
      </c>
      <c r="G1482" s="31" t="s">
        <v>13</v>
      </c>
      <c r="H1482" s="31" t="s">
        <v>1742</v>
      </c>
      <c r="I1482" s="4"/>
    </row>
    <row r="1483">
      <c r="A1483" s="30">
        <v>1479.0</v>
      </c>
      <c r="B1483" s="31" t="s">
        <v>1723</v>
      </c>
      <c r="C1483" s="31" t="s">
        <v>1862</v>
      </c>
      <c r="D1483" s="31" t="s">
        <v>13</v>
      </c>
      <c r="E1483" s="31" t="s">
        <v>13</v>
      </c>
      <c r="F1483" s="31" t="s">
        <v>13</v>
      </c>
      <c r="G1483" s="31" t="s">
        <v>13</v>
      </c>
      <c r="H1483" s="31" t="s">
        <v>1742</v>
      </c>
      <c r="I1483" s="4"/>
    </row>
    <row r="1484">
      <c r="A1484" s="30">
        <v>1480.0</v>
      </c>
      <c r="B1484" s="31" t="s">
        <v>1723</v>
      </c>
      <c r="C1484" s="31" t="s">
        <v>1863</v>
      </c>
      <c r="D1484" s="31" t="s">
        <v>13</v>
      </c>
      <c r="E1484" s="31" t="s">
        <v>13</v>
      </c>
      <c r="F1484" s="31" t="s">
        <v>13</v>
      </c>
      <c r="G1484" s="31" t="s">
        <v>13</v>
      </c>
      <c r="H1484" s="31" t="s">
        <v>1742</v>
      </c>
      <c r="I1484" s="4"/>
    </row>
    <row r="1485">
      <c r="A1485" s="30">
        <v>1481.0</v>
      </c>
      <c r="B1485" s="31" t="s">
        <v>1723</v>
      </c>
      <c r="C1485" s="31" t="s">
        <v>1864</v>
      </c>
      <c r="D1485" s="31" t="s">
        <v>13</v>
      </c>
      <c r="E1485" s="31" t="s">
        <v>14</v>
      </c>
      <c r="F1485" s="31" t="s">
        <v>13</v>
      </c>
      <c r="G1485" s="31" t="s">
        <v>13</v>
      </c>
      <c r="H1485" s="31" t="s">
        <v>15</v>
      </c>
      <c r="I1485" s="4"/>
    </row>
    <row r="1486">
      <c r="A1486" s="30">
        <v>1482.0</v>
      </c>
      <c r="B1486" s="31" t="s">
        <v>1723</v>
      </c>
      <c r="C1486" s="31" t="s">
        <v>1865</v>
      </c>
      <c r="D1486" s="31" t="s">
        <v>13</v>
      </c>
      <c r="E1486" s="31">
        <v>1.2763837E7</v>
      </c>
      <c r="F1486" s="31" t="s">
        <v>13</v>
      </c>
      <c r="G1486" s="31" t="s">
        <v>13</v>
      </c>
      <c r="H1486" s="31" t="s">
        <v>13</v>
      </c>
      <c r="I1486" s="4"/>
    </row>
    <row r="1487">
      <c r="A1487" s="30">
        <v>1483.0</v>
      </c>
      <c r="B1487" s="31" t="s">
        <v>1723</v>
      </c>
      <c r="C1487" s="31" t="s">
        <v>1865</v>
      </c>
      <c r="D1487" s="31" t="s">
        <v>1731</v>
      </c>
      <c r="E1487" s="31">
        <v>1.2763837E8</v>
      </c>
      <c r="F1487" s="31" t="s">
        <v>13</v>
      </c>
      <c r="G1487" s="31" t="s">
        <v>1731</v>
      </c>
      <c r="H1487" s="31" t="s">
        <v>1731</v>
      </c>
      <c r="I1487" s="4"/>
    </row>
    <row r="1488">
      <c r="A1488" s="30">
        <v>1484.0</v>
      </c>
      <c r="B1488" s="31" t="s">
        <v>1723</v>
      </c>
      <c r="C1488" s="31" t="s">
        <v>1866</v>
      </c>
      <c r="D1488" s="31" t="s">
        <v>13</v>
      </c>
      <c r="E1488" s="31" t="s">
        <v>13</v>
      </c>
      <c r="F1488" s="31" t="s">
        <v>13</v>
      </c>
      <c r="G1488" s="31" t="s">
        <v>13</v>
      </c>
      <c r="H1488" s="31" t="s">
        <v>1742</v>
      </c>
      <c r="I1488" s="4"/>
    </row>
    <row r="1489">
      <c r="A1489" s="30">
        <v>1485.0</v>
      </c>
      <c r="B1489" s="31" t="s">
        <v>1723</v>
      </c>
      <c r="C1489" s="31" t="s">
        <v>1867</v>
      </c>
      <c r="D1489" s="31">
        <v>6.0</v>
      </c>
      <c r="E1489" s="31" t="s">
        <v>13</v>
      </c>
      <c r="F1489" s="31" t="s">
        <v>13</v>
      </c>
      <c r="G1489" s="31" t="s">
        <v>13</v>
      </c>
      <c r="H1489" s="31" t="s">
        <v>1742</v>
      </c>
      <c r="I1489" s="4"/>
    </row>
    <row r="1490">
      <c r="A1490" s="30">
        <v>1486.0</v>
      </c>
      <c r="B1490" s="31" t="s">
        <v>1723</v>
      </c>
      <c r="C1490" s="31" t="s">
        <v>1868</v>
      </c>
      <c r="D1490" s="31" t="s">
        <v>13</v>
      </c>
      <c r="E1490" s="31" t="s">
        <v>14</v>
      </c>
      <c r="F1490" s="31" t="s">
        <v>13</v>
      </c>
      <c r="G1490" s="31" t="s">
        <v>13</v>
      </c>
      <c r="H1490" s="31" t="s">
        <v>15</v>
      </c>
      <c r="I1490" s="4"/>
    </row>
    <row r="1491">
      <c r="A1491" s="30">
        <v>1487.0</v>
      </c>
      <c r="B1491" s="31" t="s">
        <v>1723</v>
      </c>
      <c r="C1491" s="31" t="s">
        <v>1869</v>
      </c>
      <c r="D1491" s="31" t="s">
        <v>13</v>
      </c>
      <c r="E1491" s="31">
        <v>2.3926261E8</v>
      </c>
      <c r="F1491" s="31" t="s">
        <v>13</v>
      </c>
      <c r="G1491" s="31" t="s">
        <v>13</v>
      </c>
      <c r="H1491" s="31" t="s">
        <v>13</v>
      </c>
      <c r="I1491" s="4"/>
    </row>
    <row r="1492">
      <c r="A1492" s="30">
        <v>1488.0</v>
      </c>
      <c r="B1492" s="31" t="s">
        <v>1723</v>
      </c>
      <c r="C1492" s="31" t="s">
        <v>1870</v>
      </c>
      <c r="D1492" s="31" t="s">
        <v>13</v>
      </c>
      <c r="E1492" s="31">
        <v>4.636722E7</v>
      </c>
      <c r="F1492" s="31" t="s">
        <v>13</v>
      </c>
      <c r="G1492" s="31" t="s">
        <v>13</v>
      </c>
      <c r="H1492" s="31" t="s">
        <v>13</v>
      </c>
      <c r="I1492" s="4"/>
    </row>
    <row r="1493">
      <c r="A1493" s="30">
        <v>1489.0</v>
      </c>
      <c r="B1493" s="31" t="s">
        <v>1723</v>
      </c>
      <c r="C1493" s="31" t="s">
        <v>1871</v>
      </c>
      <c r="D1493" s="31" t="s">
        <v>13</v>
      </c>
      <c r="E1493" s="31">
        <v>6.405488E7</v>
      </c>
      <c r="F1493" s="31" t="s">
        <v>13</v>
      </c>
      <c r="G1493" s="31" t="s">
        <v>13</v>
      </c>
      <c r="H1493" s="31" t="s">
        <v>13</v>
      </c>
      <c r="I1493" s="4"/>
    </row>
    <row r="1494">
      <c r="A1494" s="30">
        <v>1490.0</v>
      </c>
      <c r="B1494" s="31" t="s">
        <v>1723</v>
      </c>
      <c r="C1494" s="31" t="s">
        <v>1872</v>
      </c>
      <c r="D1494" s="31" t="s">
        <v>13</v>
      </c>
      <c r="E1494" s="31">
        <v>3.0678485E8</v>
      </c>
      <c r="F1494" s="31" t="s">
        <v>13</v>
      </c>
      <c r="G1494" s="31" t="s">
        <v>13</v>
      </c>
      <c r="H1494" s="31" t="s">
        <v>13</v>
      </c>
      <c r="I1494" s="4"/>
    </row>
    <row r="1495">
      <c r="A1495" s="30">
        <v>1491.0</v>
      </c>
      <c r="B1495" s="31" t="s">
        <v>1723</v>
      </c>
      <c r="C1495" s="31" t="s">
        <v>1873</v>
      </c>
      <c r="D1495" s="31" t="s">
        <v>13</v>
      </c>
      <c r="E1495" s="31">
        <v>1.9102824E7</v>
      </c>
      <c r="F1495" s="31" t="s">
        <v>13</v>
      </c>
      <c r="G1495" s="31" t="s">
        <v>13</v>
      </c>
      <c r="H1495" s="31" t="s">
        <v>13</v>
      </c>
      <c r="I1495" s="4"/>
    </row>
    <row r="1496">
      <c r="A1496" s="30">
        <v>1492.0</v>
      </c>
      <c r="B1496" s="31" t="s">
        <v>1723</v>
      </c>
      <c r="C1496" s="31" t="s">
        <v>1874</v>
      </c>
      <c r="D1496" s="31" t="s">
        <v>13</v>
      </c>
      <c r="E1496" s="31" t="s">
        <v>13</v>
      </c>
      <c r="F1496" s="31" t="s">
        <v>13</v>
      </c>
      <c r="G1496" s="31" t="s">
        <v>13</v>
      </c>
      <c r="H1496" s="31" t="s">
        <v>1800</v>
      </c>
      <c r="I1496" s="4"/>
    </row>
    <row r="1497">
      <c r="A1497" s="30">
        <v>1493.0</v>
      </c>
      <c r="B1497" s="31" t="s">
        <v>1723</v>
      </c>
      <c r="C1497" s="31" t="s">
        <v>1875</v>
      </c>
      <c r="D1497" s="31" t="s">
        <v>1731</v>
      </c>
      <c r="E1497" s="31">
        <v>1680080.0</v>
      </c>
      <c r="F1497" s="31" t="s">
        <v>13</v>
      </c>
      <c r="G1497" s="31" t="s">
        <v>1731</v>
      </c>
      <c r="H1497" s="31" t="s">
        <v>1731</v>
      </c>
      <c r="I1497" s="4"/>
    </row>
    <row r="1498">
      <c r="A1498" s="30">
        <v>1494.0</v>
      </c>
      <c r="B1498" s="31" t="s">
        <v>1723</v>
      </c>
      <c r="C1498" s="31" t="s">
        <v>1876</v>
      </c>
      <c r="D1498" s="31" t="s">
        <v>13</v>
      </c>
      <c r="E1498" s="31">
        <v>296723.0</v>
      </c>
      <c r="F1498" s="31" t="s">
        <v>13</v>
      </c>
      <c r="G1498" s="31" t="s">
        <v>13</v>
      </c>
      <c r="H1498" s="31" t="s">
        <v>13</v>
      </c>
      <c r="I1498" s="4"/>
    </row>
    <row r="1499">
      <c r="A1499" s="30">
        <v>1495.0</v>
      </c>
      <c r="B1499" s="31" t="s">
        <v>1723</v>
      </c>
      <c r="C1499" s="31" t="s">
        <v>1877</v>
      </c>
      <c r="D1499" s="31">
        <v>63.0</v>
      </c>
      <c r="E1499" s="31" t="s">
        <v>14</v>
      </c>
      <c r="F1499" s="31" t="s">
        <v>13</v>
      </c>
      <c r="G1499" s="31" t="s">
        <v>13</v>
      </c>
      <c r="H1499" s="31" t="s">
        <v>1878</v>
      </c>
      <c r="I1499" s="4"/>
    </row>
    <row r="1500">
      <c r="A1500" s="30">
        <v>1496.0</v>
      </c>
      <c r="B1500" s="31" t="s">
        <v>1723</v>
      </c>
      <c r="C1500" s="31" t="s">
        <v>1879</v>
      </c>
      <c r="D1500" s="31" t="s">
        <v>13</v>
      </c>
      <c r="E1500" s="31" t="s">
        <v>14</v>
      </c>
      <c r="F1500" s="31" t="s">
        <v>13</v>
      </c>
      <c r="G1500" s="31" t="s">
        <v>13</v>
      </c>
      <c r="H1500" s="31" t="s">
        <v>15</v>
      </c>
      <c r="I1500" s="4"/>
    </row>
    <row r="1501">
      <c r="A1501" s="30">
        <v>1497.0</v>
      </c>
      <c r="B1501" s="31" t="s">
        <v>1723</v>
      </c>
      <c r="C1501" s="31" t="s">
        <v>1880</v>
      </c>
      <c r="D1501" s="31" t="s">
        <v>13</v>
      </c>
      <c r="E1501" s="31">
        <v>1.1688834E7</v>
      </c>
      <c r="F1501" s="31" t="s">
        <v>13</v>
      </c>
      <c r="G1501" s="31" t="s">
        <v>13</v>
      </c>
      <c r="H1501" s="31" t="s">
        <v>13</v>
      </c>
      <c r="I1501" s="4"/>
    </row>
    <row r="1502">
      <c r="A1502" s="30">
        <v>1498.0</v>
      </c>
      <c r="B1502" s="31" t="s">
        <v>1723</v>
      </c>
      <c r="C1502" s="31" t="s">
        <v>1881</v>
      </c>
      <c r="D1502" s="31">
        <v>63.0</v>
      </c>
      <c r="E1502" s="31" t="s">
        <v>13</v>
      </c>
      <c r="F1502" s="31" t="s">
        <v>13</v>
      </c>
      <c r="G1502" s="31" t="s">
        <v>13</v>
      </c>
      <c r="H1502" s="31" t="s">
        <v>1882</v>
      </c>
      <c r="I1502" s="4"/>
    </row>
    <row r="1503">
      <c r="A1503" s="30">
        <v>1499.0</v>
      </c>
      <c r="B1503" s="31" t="s">
        <v>1723</v>
      </c>
      <c r="C1503" s="31" t="s">
        <v>1883</v>
      </c>
      <c r="D1503" s="31" t="s">
        <v>13</v>
      </c>
      <c r="E1503" s="31" t="s">
        <v>1884</v>
      </c>
      <c r="F1503" s="31" t="s">
        <v>13</v>
      </c>
      <c r="G1503" s="31" t="s">
        <v>13</v>
      </c>
      <c r="H1503" s="31" t="s">
        <v>15</v>
      </c>
      <c r="I1503" s="4"/>
    </row>
    <row r="1504">
      <c r="A1504" s="30">
        <v>1500.0</v>
      </c>
      <c r="B1504" s="31" t="s">
        <v>1723</v>
      </c>
      <c r="C1504" s="31" t="s">
        <v>1885</v>
      </c>
      <c r="D1504" s="31">
        <v>10.0</v>
      </c>
      <c r="E1504" s="31" t="s">
        <v>13</v>
      </c>
      <c r="F1504" s="31" t="s">
        <v>13</v>
      </c>
      <c r="G1504" s="31" t="s">
        <v>13</v>
      </c>
      <c r="H1504" s="31" t="s">
        <v>452</v>
      </c>
      <c r="I1504" s="4"/>
    </row>
    <row r="1505">
      <c r="A1505" s="30">
        <v>1501.0</v>
      </c>
      <c r="B1505" s="31" t="s">
        <v>1723</v>
      </c>
      <c r="C1505" s="31" t="s">
        <v>1886</v>
      </c>
      <c r="D1505" s="31" t="s">
        <v>13</v>
      </c>
      <c r="E1505" s="31" t="s">
        <v>14</v>
      </c>
      <c r="F1505" s="31" t="s">
        <v>13</v>
      </c>
      <c r="G1505" s="31" t="s">
        <v>13</v>
      </c>
      <c r="H1505" s="31" t="s">
        <v>15</v>
      </c>
      <c r="I1505" s="4"/>
    </row>
    <row r="1506">
      <c r="A1506" s="30">
        <v>1502.0</v>
      </c>
      <c r="B1506" s="31" t="s">
        <v>1723</v>
      </c>
      <c r="C1506" s="31" t="s">
        <v>1887</v>
      </c>
      <c r="D1506" s="31" t="s">
        <v>13</v>
      </c>
      <c r="E1506" s="31" t="s">
        <v>13</v>
      </c>
      <c r="F1506" s="31" t="s">
        <v>13</v>
      </c>
      <c r="G1506" s="31" t="s">
        <v>13</v>
      </c>
      <c r="H1506" s="31" t="s">
        <v>1742</v>
      </c>
      <c r="I1506" s="4"/>
    </row>
    <row r="1507">
      <c r="A1507" s="30">
        <v>1503.0</v>
      </c>
      <c r="B1507" s="31" t="s">
        <v>1723</v>
      </c>
      <c r="C1507" s="31" t="s">
        <v>1888</v>
      </c>
      <c r="D1507" s="31">
        <v>4.0</v>
      </c>
      <c r="E1507" s="31" t="s">
        <v>13</v>
      </c>
      <c r="F1507" s="31" t="s">
        <v>13</v>
      </c>
      <c r="G1507" s="31" t="s">
        <v>13</v>
      </c>
      <c r="H1507" s="31" t="s">
        <v>13</v>
      </c>
      <c r="I1507" s="4"/>
    </row>
    <row r="1508">
      <c r="A1508" s="30">
        <v>1504.0</v>
      </c>
      <c r="B1508" s="31" t="s">
        <v>1723</v>
      </c>
      <c r="C1508" s="31" t="s">
        <v>1889</v>
      </c>
      <c r="D1508" s="31" t="s">
        <v>13</v>
      </c>
      <c r="E1508" s="31" t="s">
        <v>13</v>
      </c>
      <c r="F1508" s="31" t="s">
        <v>13</v>
      </c>
      <c r="G1508" s="31" t="s">
        <v>13</v>
      </c>
      <c r="H1508" s="31" t="s">
        <v>1742</v>
      </c>
      <c r="I1508" s="4"/>
    </row>
    <row r="1509">
      <c r="A1509" s="30">
        <v>1505.0</v>
      </c>
      <c r="B1509" s="31" t="s">
        <v>1723</v>
      </c>
      <c r="C1509" s="31" t="s">
        <v>1890</v>
      </c>
      <c r="D1509" s="31" t="s">
        <v>13</v>
      </c>
      <c r="E1509" s="31" t="s">
        <v>13</v>
      </c>
      <c r="F1509" s="31" t="s">
        <v>13</v>
      </c>
      <c r="G1509" s="31" t="s">
        <v>13</v>
      </c>
      <c r="H1509" s="31" t="s">
        <v>1742</v>
      </c>
      <c r="I1509" s="4"/>
    </row>
    <row r="1510">
      <c r="A1510" s="30">
        <v>1506.0</v>
      </c>
      <c r="B1510" s="31" t="s">
        <v>1723</v>
      </c>
      <c r="C1510" s="31" t="s">
        <v>1891</v>
      </c>
      <c r="D1510" s="31" t="s">
        <v>13</v>
      </c>
      <c r="E1510" s="31" t="s">
        <v>13</v>
      </c>
      <c r="F1510" s="31" t="s">
        <v>13</v>
      </c>
      <c r="G1510" s="31" t="s">
        <v>13</v>
      </c>
      <c r="H1510" s="31" t="s">
        <v>1742</v>
      </c>
      <c r="I1510" s="4"/>
    </row>
    <row r="1511">
      <c r="A1511" s="30">
        <v>1507.0</v>
      </c>
      <c r="B1511" s="31" t="s">
        <v>1723</v>
      </c>
      <c r="C1511" s="31" t="s">
        <v>1892</v>
      </c>
      <c r="D1511" s="31" t="s">
        <v>1731</v>
      </c>
      <c r="E1511" s="31">
        <v>1.0576803E8</v>
      </c>
      <c r="F1511" s="31" t="s">
        <v>13</v>
      </c>
      <c r="G1511" s="31" t="s">
        <v>1731</v>
      </c>
      <c r="H1511" s="31" t="s">
        <v>1731</v>
      </c>
      <c r="I1511" s="4"/>
    </row>
    <row r="1512">
      <c r="A1512" s="30">
        <v>1508.0</v>
      </c>
      <c r="B1512" s="31" t="s">
        <v>1723</v>
      </c>
      <c r="C1512" s="31" t="s">
        <v>1893</v>
      </c>
      <c r="D1512" s="31" t="s">
        <v>13</v>
      </c>
      <c r="E1512" s="31">
        <v>1.0576803E7</v>
      </c>
      <c r="F1512" s="31" t="s">
        <v>13</v>
      </c>
      <c r="G1512" s="31" t="s">
        <v>13</v>
      </c>
      <c r="H1512" s="31" t="s">
        <v>13</v>
      </c>
      <c r="I1512" s="4"/>
    </row>
    <row r="1513">
      <c r="A1513" s="30">
        <v>1509.0</v>
      </c>
      <c r="B1513" s="31" t="s">
        <v>1723</v>
      </c>
      <c r="C1513" s="31" t="s">
        <v>1894</v>
      </c>
      <c r="D1513" s="31" t="s">
        <v>13</v>
      </c>
      <c r="E1513" s="31" t="s">
        <v>13</v>
      </c>
      <c r="F1513" s="31" t="s">
        <v>13</v>
      </c>
      <c r="G1513" s="31" t="s">
        <v>13</v>
      </c>
      <c r="H1513" s="31" t="s">
        <v>1895</v>
      </c>
      <c r="I1513" s="4"/>
    </row>
    <row r="1514">
      <c r="A1514" s="30">
        <v>1510.0</v>
      </c>
      <c r="B1514" s="31" t="s">
        <v>1723</v>
      </c>
      <c r="C1514" s="31" t="s">
        <v>1896</v>
      </c>
      <c r="D1514" s="31" t="s">
        <v>13</v>
      </c>
      <c r="E1514" s="31" t="s">
        <v>14</v>
      </c>
      <c r="F1514" s="31" t="s">
        <v>13</v>
      </c>
      <c r="G1514" s="31" t="s">
        <v>13</v>
      </c>
      <c r="H1514" s="31" t="s">
        <v>1897</v>
      </c>
      <c r="I1514" s="4"/>
    </row>
    <row r="1515">
      <c r="A1515" s="30">
        <v>1511.0</v>
      </c>
      <c r="B1515" s="31" t="s">
        <v>1723</v>
      </c>
      <c r="C1515" s="31" t="s">
        <v>1898</v>
      </c>
      <c r="D1515" s="31" t="s">
        <v>13</v>
      </c>
      <c r="E1515" s="31" t="s">
        <v>13</v>
      </c>
      <c r="F1515" s="31" t="s">
        <v>13</v>
      </c>
      <c r="G1515" s="31" t="s">
        <v>13</v>
      </c>
      <c r="H1515" s="31" t="s">
        <v>1742</v>
      </c>
      <c r="I1515" s="4"/>
    </row>
    <row r="1516">
      <c r="A1516" s="30">
        <v>1512.0</v>
      </c>
      <c r="B1516" s="31" t="s">
        <v>1723</v>
      </c>
      <c r="C1516" s="31" t="s">
        <v>1899</v>
      </c>
      <c r="D1516" s="31" t="s">
        <v>13</v>
      </c>
      <c r="E1516" s="31" t="s">
        <v>14</v>
      </c>
      <c r="F1516" s="31" t="s">
        <v>13</v>
      </c>
      <c r="G1516" s="31" t="s">
        <v>13</v>
      </c>
      <c r="H1516" s="31" t="s">
        <v>15</v>
      </c>
      <c r="I1516" s="4"/>
    </row>
    <row r="1517">
      <c r="A1517" s="30">
        <v>1513.0</v>
      </c>
      <c r="B1517" s="31" t="s">
        <v>1723</v>
      </c>
      <c r="C1517" s="31" t="s">
        <v>1899</v>
      </c>
      <c r="D1517" s="31" t="s">
        <v>13</v>
      </c>
      <c r="E1517" s="31" t="s">
        <v>14</v>
      </c>
      <c r="F1517" s="31" t="s">
        <v>13</v>
      </c>
      <c r="G1517" s="31" t="s">
        <v>13</v>
      </c>
      <c r="H1517" s="31" t="s">
        <v>15</v>
      </c>
      <c r="I1517" s="4"/>
    </row>
    <row r="1518">
      <c r="A1518" s="30">
        <v>1514.0</v>
      </c>
      <c r="B1518" s="31" t="s">
        <v>1723</v>
      </c>
      <c r="C1518" s="31" t="s">
        <v>1900</v>
      </c>
      <c r="D1518" s="31" t="s">
        <v>13</v>
      </c>
      <c r="E1518" s="31">
        <v>1.1638321E7</v>
      </c>
      <c r="F1518" s="31" t="s">
        <v>13</v>
      </c>
      <c r="G1518" s="31" t="s">
        <v>13</v>
      </c>
      <c r="H1518" s="31" t="s">
        <v>13</v>
      </c>
      <c r="I1518" s="4"/>
    </row>
    <row r="1519">
      <c r="A1519" s="30">
        <v>1515.0</v>
      </c>
      <c r="B1519" s="31" t="s">
        <v>1723</v>
      </c>
      <c r="C1519" s="31" t="s">
        <v>1901</v>
      </c>
      <c r="D1519" s="31" t="s">
        <v>13</v>
      </c>
      <c r="E1519" s="31">
        <v>1.1537536E7</v>
      </c>
      <c r="F1519" s="31" t="s">
        <v>13</v>
      </c>
      <c r="G1519" s="31" t="s">
        <v>13</v>
      </c>
      <c r="H1519" s="31" t="s">
        <v>13</v>
      </c>
      <c r="I1519" s="4"/>
    </row>
    <row r="1520">
      <c r="A1520" s="30">
        <v>1516.0</v>
      </c>
      <c r="B1520" s="31" t="s">
        <v>1723</v>
      </c>
      <c r="C1520" s="31" t="s">
        <v>1902</v>
      </c>
      <c r="D1520" s="31" t="s">
        <v>13</v>
      </c>
      <c r="E1520" s="31" t="s">
        <v>13</v>
      </c>
      <c r="F1520" s="31" t="s">
        <v>13</v>
      </c>
      <c r="G1520" s="31" t="s">
        <v>13</v>
      </c>
      <c r="H1520" s="31" t="s">
        <v>1903</v>
      </c>
      <c r="I1520" s="4"/>
    </row>
    <row r="1521">
      <c r="A1521" s="30">
        <v>1517.0</v>
      </c>
      <c r="B1521" s="31" t="s">
        <v>1723</v>
      </c>
      <c r="C1521" s="31" t="s">
        <v>1904</v>
      </c>
      <c r="D1521" s="31">
        <v>15.0</v>
      </c>
      <c r="E1521" s="31" t="s">
        <v>13</v>
      </c>
      <c r="F1521" s="31" t="s">
        <v>13</v>
      </c>
      <c r="G1521" s="31" t="s">
        <v>13</v>
      </c>
      <c r="H1521" s="31" t="s">
        <v>1905</v>
      </c>
      <c r="I1521" s="4"/>
    </row>
    <row r="1522">
      <c r="A1522" s="30">
        <v>1518.0</v>
      </c>
      <c r="B1522" s="31" t="s">
        <v>1723</v>
      </c>
      <c r="C1522" s="31" t="s">
        <v>1906</v>
      </c>
      <c r="D1522" s="31" t="s">
        <v>13</v>
      </c>
      <c r="E1522" s="31" t="s">
        <v>13</v>
      </c>
      <c r="F1522" s="31" t="s">
        <v>13</v>
      </c>
      <c r="G1522" s="31" t="s">
        <v>13</v>
      </c>
      <c r="H1522" s="31" t="s">
        <v>1907</v>
      </c>
      <c r="I1522" s="4"/>
    </row>
    <row r="1523">
      <c r="A1523" s="30">
        <v>1519.0</v>
      </c>
      <c r="B1523" s="31" t="s">
        <v>1723</v>
      </c>
      <c r="C1523" s="31" t="s">
        <v>1906</v>
      </c>
      <c r="D1523" s="31" t="s">
        <v>13</v>
      </c>
      <c r="E1523" s="31" t="s">
        <v>13</v>
      </c>
      <c r="F1523" s="31" t="s">
        <v>13</v>
      </c>
      <c r="G1523" s="31" t="s">
        <v>13</v>
      </c>
      <c r="H1523" s="31" t="s">
        <v>13</v>
      </c>
      <c r="I1523" s="4"/>
    </row>
    <row r="1524">
      <c r="A1524" s="30">
        <v>1520.0</v>
      </c>
      <c r="B1524" s="31" t="s">
        <v>1723</v>
      </c>
      <c r="C1524" s="31" t="s">
        <v>1908</v>
      </c>
      <c r="D1524" s="31">
        <v>74.0</v>
      </c>
      <c r="E1524" s="31">
        <v>5142521.0</v>
      </c>
      <c r="F1524" s="31" t="s">
        <v>13</v>
      </c>
      <c r="G1524" s="31" t="s">
        <v>13</v>
      </c>
      <c r="H1524" s="31" t="s">
        <v>13</v>
      </c>
      <c r="I1524" s="4"/>
    </row>
    <row r="1525">
      <c r="A1525" s="30">
        <v>1521.0</v>
      </c>
      <c r="B1525" s="31" t="s">
        <v>1723</v>
      </c>
      <c r="C1525" s="31" t="s">
        <v>1909</v>
      </c>
      <c r="D1525" s="31" t="s">
        <v>13</v>
      </c>
      <c r="E1525" s="31" t="s">
        <v>14</v>
      </c>
      <c r="F1525" s="31" t="s">
        <v>13</v>
      </c>
      <c r="G1525" s="31" t="s">
        <v>13</v>
      </c>
      <c r="H1525" s="31" t="s">
        <v>15</v>
      </c>
      <c r="I1525" s="4"/>
    </row>
    <row r="1526">
      <c r="A1526" s="30">
        <v>1522.0</v>
      </c>
      <c r="B1526" s="31" t="s">
        <v>1723</v>
      </c>
      <c r="C1526" s="31" t="s">
        <v>1909</v>
      </c>
      <c r="D1526" s="31" t="s">
        <v>13</v>
      </c>
      <c r="E1526" s="31" t="s">
        <v>14</v>
      </c>
      <c r="F1526" s="31" t="s">
        <v>13</v>
      </c>
      <c r="G1526" s="31" t="s">
        <v>13</v>
      </c>
      <c r="H1526" s="31" t="s">
        <v>15</v>
      </c>
      <c r="I1526" s="4"/>
    </row>
    <row r="1527">
      <c r="A1527" s="30">
        <v>1523.0</v>
      </c>
      <c r="B1527" s="31" t="s">
        <v>1723</v>
      </c>
      <c r="C1527" s="31" t="s">
        <v>1910</v>
      </c>
      <c r="D1527" s="31" t="s">
        <v>13</v>
      </c>
      <c r="E1527" s="31">
        <v>1.2115323E8</v>
      </c>
      <c r="F1527" s="31" t="s">
        <v>13</v>
      </c>
      <c r="G1527" s="31" t="s">
        <v>13</v>
      </c>
      <c r="H1527" s="31" t="s">
        <v>1748</v>
      </c>
      <c r="I1527" s="4"/>
    </row>
    <row r="1528">
      <c r="A1528" s="30">
        <v>1524.0</v>
      </c>
      <c r="B1528" s="31" t="s">
        <v>1723</v>
      </c>
      <c r="C1528" s="31" t="s">
        <v>1911</v>
      </c>
      <c r="D1528" s="31">
        <v>3.0</v>
      </c>
      <c r="E1528" s="31" t="s">
        <v>13</v>
      </c>
      <c r="F1528" s="31" t="s">
        <v>13</v>
      </c>
      <c r="G1528" s="31" t="s">
        <v>13</v>
      </c>
      <c r="H1528" s="31" t="s">
        <v>13</v>
      </c>
      <c r="I1528" s="4"/>
    </row>
    <row r="1529">
      <c r="A1529" s="30">
        <v>1525.0</v>
      </c>
      <c r="B1529" s="31" t="s">
        <v>1723</v>
      </c>
      <c r="C1529" s="31" t="s">
        <v>1912</v>
      </c>
      <c r="D1529" s="31" t="s">
        <v>13</v>
      </c>
      <c r="E1529" s="31" t="s">
        <v>13</v>
      </c>
      <c r="F1529" s="31" t="s">
        <v>13</v>
      </c>
      <c r="G1529" s="31" t="s">
        <v>13</v>
      </c>
      <c r="H1529" s="31" t="s">
        <v>13</v>
      </c>
      <c r="I1529" s="4"/>
    </row>
    <row r="1530">
      <c r="A1530" s="30">
        <v>1526.0</v>
      </c>
      <c r="B1530" s="31" t="s">
        <v>1723</v>
      </c>
      <c r="C1530" s="31" t="s">
        <v>1913</v>
      </c>
      <c r="D1530" s="31" t="s">
        <v>1731</v>
      </c>
      <c r="E1530" s="31" t="s">
        <v>1914</v>
      </c>
      <c r="F1530" s="31" t="s">
        <v>13</v>
      </c>
      <c r="G1530" s="31" t="s">
        <v>1731</v>
      </c>
      <c r="H1530" s="31" t="s">
        <v>1731</v>
      </c>
      <c r="I1530" s="4"/>
    </row>
    <row r="1531">
      <c r="A1531" s="30">
        <v>1527.0</v>
      </c>
      <c r="B1531" s="31" t="s">
        <v>1723</v>
      </c>
      <c r="C1531" s="31" t="s">
        <v>1915</v>
      </c>
      <c r="D1531" s="31">
        <v>69.0</v>
      </c>
      <c r="E1531" s="31" t="s">
        <v>13</v>
      </c>
      <c r="F1531" s="31" t="s">
        <v>13</v>
      </c>
      <c r="G1531" s="31" t="s">
        <v>13</v>
      </c>
      <c r="H1531" s="31" t="s">
        <v>1916</v>
      </c>
      <c r="I1531" s="4"/>
    </row>
    <row r="1532">
      <c r="A1532" s="30">
        <v>1528.0</v>
      </c>
      <c r="B1532" s="31" t="s">
        <v>1723</v>
      </c>
      <c r="C1532" s="31" t="s">
        <v>1917</v>
      </c>
      <c r="D1532" s="31" t="s">
        <v>13</v>
      </c>
      <c r="E1532" s="31">
        <v>3.2976229E8</v>
      </c>
      <c r="F1532" s="31" t="s">
        <v>13</v>
      </c>
      <c r="G1532" s="31" t="s">
        <v>13</v>
      </c>
      <c r="H1532" s="31" t="s">
        <v>13</v>
      </c>
      <c r="I1532" s="4"/>
    </row>
    <row r="1533">
      <c r="A1533" s="30">
        <v>1529.0</v>
      </c>
      <c r="B1533" s="31" t="s">
        <v>1723</v>
      </c>
      <c r="C1533" s="31" t="s">
        <v>1917</v>
      </c>
      <c r="D1533" s="31" t="s">
        <v>1731</v>
      </c>
      <c r="E1533" s="31">
        <v>3.2746229E8</v>
      </c>
      <c r="F1533" s="31" t="s">
        <v>13</v>
      </c>
      <c r="G1533" s="31" t="s">
        <v>1731</v>
      </c>
      <c r="H1533" s="31" t="s">
        <v>1731</v>
      </c>
      <c r="I1533" s="4"/>
    </row>
    <row r="1534">
      <c r="A1534" s="30">
        <v>1530.0</v>
      </c>
      <c r="B1534" s="31" t="s">
        <v>1723</v>
      </c>
      <c r="C1534" s="31" t="s">
        <v>1918</v>
      </c>
      <c r="D1534" s="31" t="s">
        <v>13</v>
      </c>
      <c r="E1534" s="31">
        <v>2.7374286E8</v>
      </c>
      <c r="F1534" s="31" t="s">
        <v>13</v>
      </c>
      <c r="G1534" s="31" t="s">
        <v>13</v>
      </c>
      <c r="H1534" s="31" t="s">
        <v>1748</v>
      </c>
      <c r="I1534" s="4"/>
    </row>
    <row r="1535">
      <c r="A1535" s="30">
        <v>1531.0</v>
      </c>
      <c r="B1535" s="31" t="s">
        <v>1723</v>
      </c>
      <c r="C1535" s="31" t="s">
        <v>1918</v>
      </c>
      <c r="D1535" s="31" t="s">
        <v>1731</v>
      </c>
      <c r="E1535" s="31">
        <v>2.7334288E8</v>
      </c>
      <c r="F1535" s="31" t="s">
        <v>13</v>
      </c>
      <c r="G1535" s="31" t="s">
        <v>1731</v>
      </c>
      <c r="H1535" s="31" t="s">
        <v>1731</v>
      </c>
      <c r="I1535" s="4"/>
    </row>
    <row r="1536">
      <c r="A1536" s="30">
        <v>1532.0</v>
      </c>
      <c r="B1536" s="31" t="s">
        <v>1723</v>
      </c>
      <c r="C1536" s="31" t="s">
        <v>1919</v>
      </c>
      <c r="D1536" s="31" t="s">
        <v>13</v>
      </c>
      <c r="E1536" s="31" t="s">
        <v>13</v>
      </c>
      <c r="F1536" s="31" t="s">
        <v>13</v>
      </c>
      <c r="G1536" s="31" t="s">
        <v>13</v>
      </c>
      <c r="H1536" s="31" t="s">
        <v>1742</v>
      </c>
      <c r="I1536" s="4"/>
    </row>
    <row r="1537">
      <c r="A1537" s="30">
        <v>1533.0</v>
      </c>
      <c r="B1537" s="31" t="s">
        <v>1723</v>
      </c>
      <c r="C1537" s="31" t="s">
        <v>1920</v>
      </c>
      <c r="D1537" s="31" t="s">
        <v>13</v>
      </c>
      <c r="E1537" s="31">
        <v>2.8285779E8</v>
      </c>
      <c r="F1537" s="31" t="s">
        <v>13</v>
      </c>
      <c r="G1537" s="31" t="s">
        <v>13</v>
      </c>
      <c r="H1537" s="31" t="s">
        <v>13</v>
      </c>
      <c r="I1537" s="4"/>
    </row>
    <row r="1538">
      <c r="A1538" s="30">
        <v>1534.0</v>
      </c>
      <c r="B1538" s="31" t="s">
        <v>1723</v>
      </c>
      <c r="C1538" s="31" t="s">
        <v>1920</v>
      </c>
      <c r="D1538" s="31" t="s">
        <v>1731</v>
      </c>
      <c r="E1538" s="31">
        <v>2.82653779E9</v>
      </c>
      <c r="F1538" s="31" t="s">
        <v>13</v>
      </c>
      <c r="G1538" s="31" t="s">
        <v>1731</v>
      </c>
      <c r="H1538" s="31" t="s">
        <v>1731</v>
      </c>
      <c r="I1538" s="4"/>
    </row>
    <row r="1539">
      <c r="A1539" s="30">
        <v>1535.0</v>
      </c>
      <c r="B1539" s="31" t="s">
        <v>1723</v>
      </c>
      <c r="C1539" s="31" t="s">
        <v>1921</v>
      </c>
      <c r="D1539" s="31">
        <v>10.0</v>
      </c>
      <c r="E1539" s="31" t="s">
        <v>13</v>
      </c>
      <c r="F1539" s="31" t="s">
        <v>13</v>
      </c>
      <c r="G1539" s="31" t="s">
        <v>13</v>
      </c>
      <c r="H1539" s="31" t="s">
        <v>452</v>
      </c>
      <c r="I1539" s="4"/>
    </row>
    <row r="1540">
      <c r="A1540" s="30">
        <v>1536.0</v>
      </c>
      <c r="B1540" s="31" t="s">
        <v>1723</v>
      </c>
      <c r="C1540" s="31" t="s">
        <v>1922</v>
      </c>
      <c r="D1540" s="31" t="s">
        <v>13</v>
      </c>
      <c r="E1540" s="31">
        <v>2.6019884E8</v>
      </c>
      <c r="F1540" s="31" t="s">
        <v>13</v>
      </c>
      <c r="G1540" s="31" t="s">
        <v>13</v>
      </c>
      <c r="H1540" s="31" t="s">
        <v>1923</v>
      </c>
      <c r="I1540" s="4"/>
    </row>
    <row r="1541">
      <c r="A1541" s="30">
        <v>1537.0</v>
      </c>
      <c r="B1541" s="31" t="s">
        <v>1723</v>
      </c>
      <c r="C1541" s="31" t="s">
        <v>1924</v>
      </c>
      <c r="D1541" s="31" t="s">
        <v>1731</v>
      </c>
      <c r="E1541" s="31">
        <v>1.87492259E9</v>
      </c>
      <c r="F1541" s="31" t="s">
        <v>13</v>
      </c>
      <c r="G1541" s="31" t="s">
        <v>1731</v>
      </c>
      <c r="H1541" s="31" t="s">
        <v>1731</v>
      </c>
      <c r="I1541" s="4"/>
    </row>
    <row r="1542">
      <c r="A1542" s="30">
        <v>1538.0</v>
      </c>
      <c r="B1542" s="31" t="s">
        <v>1723</v>
      </c>
      <c r="C1542" s="31" t="s">
        <v>1925</v>
      </c>
      <c r="D1542" s="31" t="s">
        <v>13</v>
      </c>
      <c r="E1542" s="31" t="s">
        <v>14</v>
      </c>
      <c r="F1542" s="31" t="s">
        <v>13</v>
      </c>
      <c r="G1542" s="31" t="s">
        <v>13</v>
      </c>
      <c r="H1542" s="31" t="s">
        <v>1926</v>
      </c>
      <c r="I1542" s="4"/>
    </row>
    <row r="1543">
      <c r="A1543" s="30">
        <v>1539.0</v>
      </c>
      <c r="B1543" s="31" t="s">
        <v>1723</v>
      </c>
      <c r="C1543" s="31" t="s">
        <v>1927</v>
      </c>
      <c r="D1543" s="31" t="s">
        <v>13</v>
      </c>
      <c r="E1543" s="31" t="s">
        <v>14</v>
      </c>
      <c r="F1543" s="31" t="s">
        <v>13</v>
      </c>
      <c r="G1543" s="31" t="s">
        <v>13</v>
      </c>
      <c r="H1543" s="31" t="s">
        <v>15</v>
      </c>
      <c r="I1543" s="4"/>
    </row>
    <row r="1544">
      <c r="A1544" s="30">
        <v>1540.0</v>
      </c>
      <c r="B1544" s="31" t="s">
        <v>1723</v>
      </c>
      <c r="C1544" s="31" t="s">
        <v>1928</v>
      </c>
      <c r="D1544" s="31">
        <v>9.0</v>
      </c>
      <c r="E1544" s="31" t="s">
        <v>13</v>
      </c>
      <c r="F1544" s="31" t="s">
        <v>13</v>
      </c>
      <c r="G1544" s="31" t="s">
        <v>13</v>
      </c>
      <c r="H1544" s="31" t="s">
        <v>1804</v>
      </c>
      <c r="I1544" s="4"/>
    </row>
    <row r="1545">
      <c r="A1545" s="30">
        <v>1541.0</v>
      </c>
      <c r="B1545" s="31" t="s">
        <v>1723</v>
      </c>
      <c r="C1545" s="31" t="s">
        <v>1929</v>
      </c>
      <c r="D1545" s="31">
        <v>9.0</v>
      </c>
      <c r="E1545" s="31" t="s">
        <v>13</v>
      </c>
      <c r="F1545" s="31" t="s">
        <v>13</v>
      </c>
      <c r="G1545" s="31" t="s">
        <v>13</v>
      </c>
      <c r="H1545" s="31" t="s">
        <v>1930</v>
      </c>
      <c r="I1545" s="4"/>
    </row>
    <row r="1546">
      <c r="A1546" s="30">
        <v>1542.0</v>
      </c>
      <c r="B1546" s="31" t="s">
        <v>1723</v>
      </c>
      <c r="C1546" s="31" t="s">
        <v>1931</v>
      </c>
      <c r="D1546" s="31">
        <v>61.0</v>
      </c>
      <c r="E1546" s="31" t="s">
        <v>14</v>
      </c>
      <c r="F1546" s="31" t="s">
        <v>13</v>
      </c>
      <c r="G1546" s="31" t="s">
        <v>13</v>
      </c>
      <c r="H1546" s="31" t="s">
        <v>1932</v>
      </c>
      <c r="I1546" s="4"/>
    </row>
    <row r="1547">
      <c r="A1547" s="30">
        <v>1543.0</v>
      </c>
      <c r="B1547" s="31" t="s">
        <v>1723</v>
      </c>
      <c r="C1547" s="31" t="s">
        <v>1933</v>
      </c>
      <c r="D1547" s="31">
        <v>43.0</v>
      </c>
      <c r="E1547" s="31" t="s">
        <v>13</v>
      </c>
      <c r="F1547" s="31" t="s">
        <v>13</v>
      </c>
      <c r="G1547" s="31" t="s">
        <v>13</v>
      </c>
      <c r="H1547" s="31" t="s">
        <v>1934</v>
      </c>
      <c r="I1547" s="4"/>
    </row>
    <row r="1548">
      <c r="A1548" s="30">
        <v>1544.0</v>
      </c>
      <c r="B1548" s="31" t="s">
        <v>1723</v>
      </c>
      <c r="C1548" s="31" t="s">
        <v>1935</v>
      </c>
      <c r="D1548" s="31" t="s">
        <v>13</v>
      </c>
      <c r="E1548" s="31" t="s">
        <v>14</v>
      </c>
      <c r="F1548" s="31" t="s">
        <v>13</v>
      </c>
      <c r="G1548" s="31" t="s">
        <v>13</v>
      </c>
      <c r="H1548" s="31" t="s">
        <v>15</v>
      </c>
      <c r="I1548" s="4"/>
    </row>
    <row r="1549">
      <c r="A1549" s="30">
        <v>1545.0</v>
      </c>
      <c r="B1549" s="31" t="s">
        <v>1723</v>
      </c>
      <c r="C1549" s="31" t="s">
        <v>1936</v>
      </c>
      <c r="D1549" s="31" t="s">
        <v>13</v>
      </c>
      <c r="E1549" s="31" t="s">
        <v>13</v>
      </c>
      <c r="F1549" s="31" t="s">
        <v>13</v>
      </c>
      <c r="G1549" s="31" t="s">
        <v>13</v>
      </c>
      <c r="H1549" s="31" t="s">
        <v>1742</v>
      </c>
      <c r="I1549" s="4"/>
    </row>
    <row r="1550">
      <c r="A1550" s="30">
        <v>1546.0</v>
      </c>
      <c r="B1550" s="31" t="s">
        <v>1723</v>
      </c>
      <c r="C1550" s="31" t="s">
        <v>1936</v>
      </c>
      <c r="D1550" s="31" t="s">
        <v>13</v>
      </c>
      <c r="E1550" s="31" t="s">
        <v>13</v>
      </c>
      <c r="F1550" s="31" t="s">
        <v>13</v>
      </c>
      <c r="G1550" s="31" t="s">
        <v>13</v>
      </c>
      <c r="H1550" s="31" t="s">
        <v>1800</v>
      </c>
      <c r="I1550" s="4"/>
    </row>
    <row r="1551">
      <c r="A1551" s="30">
        <v>1547.0</v>
      </c>
      <c r="B1551" s="31" t="s">
        <v>1723</v>
      </c>
      <c r="C1551" s="31" t="s">
        <v>1937</v>
      </c>
      <c r="D1551" s="31">
        <v>33.0</v>
      </c>
      <c r="E1551" s="31" t="s">
        <v>13</v>
      </c>
      <c r="F1551" s="31" t="s">
        <v>13</v>
      </c>
      <c r="G1551" s="31" t="s">
        <v>13</v>
      </c>
      <c r="H1551" s="31" t="s">
        <v>1742</v>
      </c>
      <c r="I1551" s="4"/>
    </row>
    <row r="1552">
      <c r="A1552" s="30">
        <v>1548.0</v>
      </c>
      <c r="B1552" s="31" t="s">
        <v>1723</v>
      </c>
      <c r="C1552" s="31" t="s">
        <v>1938</v>
      </c>
      <c r="D1552" s="31" t="s">
        <v>13</v>
      </c>
      <c r="E1552" s="31">
        <v>2.5699054E7</v>
      </c>
      <c r="F1552" s="31" t="s">
        <v>13</v>
      </c>
      <c r="G1552" s="31" t="s">
        <v>13</v>
      </c>
      <c r="H1552" s="31" t="s">
        <v>13</v>
      </c>
      <c r="I1552" s="4"/>
    </row>
    <row r="1553">
      <c r="A1553" s="30">
        <v>1549.0</v>
      </c>
      <c r="B1553" s="31" t="s">
        <v>1723</v>
      </c>
      <c r="C1553" s="31" t="s">
        <v>1939</v>
      </c>
      <c r="D1553" s="31" t="s">
        <v>13</v>
      </c>
      <c r="E1553" s="31">
        <v>1.6310014E7</v>
      </c>
      <c r="F1553" s="31" t="s">
        <v>13</v>
      </c>
      <c r="G1553" s="31" t="s">
        <v>13</v>
      </c>
      <c r="H1553" s="31" t="s">
        <v>13</v>
      </c>
      <c r="I1553" s="4"/>
    </row>
    <row r="1554">
      <c r="A1554" s="30">
        <v>1550.0</v>
      </c>
      <c r="B1554" s="31" t="s">
        <v>1723</v>
      </c>
      <c r="C1554" s="31" t="s">
        <v>1940</v>
      </c>
      <c r="D1554" s="31" t="s">
        <v>13</v>
      </c>
      <c r="E1554" s="31" t="s">
        <v>14</v>
      </c>
      <c r="F1554" s="31" t="s">
        <v>13</v>
      </c>
      <c r="G1554" s="31" t="s">
        <v>13</v>
      </c>
      <c r="H1554" s="31" t="s">
        <v>15</v>
      </c>
      <c r="I1554" s="4"/>
    </row>
    <row r="1555">
      <c r="A1555" s="30">
        <v>1551.0</v>
      </c>
      <c r="B1555" s="31" t="s">
        <v>1723</v>
      </c>
      <c r="C1555" s="31" t="s">
        <v>1941</v>
      </c>
      <c r="D1555" s="31" t="s">
        <v>13</v>
      </c>
      <c r="E1555" s="31">
        <v>8.1659048E8</v>
      </c>
      <c r="F1555" s="31" t="s">
        <v>13</v>
      </c>
      <c r="G1555" s="31" t="s">
        <v>13</v>
      </c>
      <c r="H1555" s="31" t="s">
        <v>13</v>
      </c>
      <c r="I1555" s="4"/>
    </row>
    <row r="1556">
      <c r="A1556" s="30">
        <v>1552.0</v>
      </c>
      <c r="B1556" s="31" t="s">
        <v>1723</v>
      </c>
      <c r="C1556" s="31" t="s">
        <v>1942</v>
      </c>
      <c r="D1556" s="31" t="s">
        <v>13</v>
      </c>
      <c r="E1556" s="31" t="s">
        <v>13</v>
      </c>
      <c r="F1556" s="31" t="s">
        <v>13</v>
      </c>
      <c r="G1556" s="31" t="s">
        <v>13</v>
      </c>
      <c r="H1556" s="31" t="s">
        <v>1903</v>
      </c>
      <c r="I1556" s="4"/>
    </row>
    <row r="1557">
      <c r="A1557" s="30">
        <v>1553.0</v>
      </c>
      <c r="B1557" s="31" t="s">
        <v>1723</v>
      </c>
      <c r="C1557" s="31" t="s">
        <v>1943</v>
      </c>
      <c r="D1557" s="31" t="s">
        <v>13</v>
      </c>
      <c r="E1557" s="31" t="s">
        <v>14</v>
      </c>
      <c r="F1557" s="31" t="s">
        <v>13</v>
      </c>
      <c r="G1557" s="31" t="s">
        <v>13</v>
      </c>
      <c r="H1557" s="31" t="s">
        <v>15</v>
      </c>
      <c r="I1557" s="4"/>
    </row>
    <row r="1558">
      <c r="A1558" s="30">
        <v>1554.0</v>
      </c>
      <c r="B1558" s="31" t="s">
        <v>1723</v>
      </c>
      <c r="C1558" s="31" t="s">
        <v>1944</v>
      </c>
      <c r="D1558" s="31" t="s">
        <v>13</v>
      </c>
      <c r="E1558" s="31">
        <v>2.5699054E8</v>
      </c>
      <c r="F1558" s="31" t="s">
        <v>13</v>
      </c>
      <c r="G1558" s="31" t="s">
        <v>13</v>
      </c>
      <c r="H1558" s="31" t="s">
        <v>1748</v>
      </c>
      <c r="I1558" s="4"/>
    </row>
    <row r="1559">
      <c r="A1559" s="30">
        <v>1555.0</v>
      </c>
      <c r="B1559" s="31" t="s">
        <v>1723</v>
      </c>
      <c r="C1559" s="31" t="s">
        <v>1945</v>
      </c>
      <c r="D1559" s="31" t="s">
        <v>13</v>
      </c>
      <c r="E1559" s="31" t="s">
        <v>13</v>
      </c>
      <c r="F1559" s="31" t="s">
        <v>13</v>
      </c>
      <c r="G1559" s="31" t="s">
        <v>13</v>
      </c>
      <c r="H1559" s="31" t="s">
        <v>1907</v>
      </c>
      <c r="I1559" s="4"/>
    </row>
    <row r="1560">
      <c r="A1560" s="30">
        <v>1556.0</v>
      </c>
      <c r="B1560" s="31" t="s">
        <v>1723</v>
      </c>
      <c r="C1560" s="31" t="s">
        <v>1946</v>
      </c>
      <c r="D1560" s="31" t="s">
        <v>13</v>
      </c>
      <c r="E1560" s="31" t="s">
        <v>14</v>
      </c>
      <c r="F1560" s="31" t="s">
        <v>13</v>
      </c>
      <c r="G1560" s="31" t="s">
        <v>13</v>
      </c>
      <c r="H1560" s="31" t="s">
        <v>15</v>
      </c>
      <c r="I1560" s="4"/>
    </row>
    <row r="1561">
      <c r="A1561" s="30">
        <v>1557.0</v>
      </c>
      <c r="B1561" s="31" t="s">
        <v>1723</v>
      </c>
      <c r="C1561" s="31" t="s">
        <v>1946</v>
      </c>
      <c r="D1561" s="31" t="s">
        <v>13</v>
      </c>
      <c r="E1561" s="31" t="s">
        <v>14</v>
      </c>
      <c r="F1561" s="31" t="s">
        <v>13</v>
      </c>
      <c r="G1561" s="31" t="s">
        <v>13</v>
      </c>
      <c r="H1561" s="31" t="s">
        <v>15</v>
      </c>
      <c r="I1561" s="4"/>
    </row>
    <row r="1562">
      <c r="A1562" s="30">
        <v>1558.0</v>
      </c>
      <c r="B1562" s="31" t="s">
        <v>1723</v>
      </c>
      <c r="C1562" s="31" t="s">
        <v>1947</v>
      </c>
      <c r="D1562" s="31" t="s">
        <v>13</v>
      </c>
      <c r="E1562" s="31" t="s">
        <v>14</v>
      </c>
      <c r="F1562" s="31" t="s">
        <v>13</v>
      </c>
      <c r="G1562" s="31" t="s">
        <v>13</v>
      </c>
      <c r="H1562" s="31" t="s">
        <v>15</v>
      </c>
      <c r="I1562" s="4"/>
    </row>
    <row r="1563">
      <c r="A1563" s="30">
        <v>1559.0</v>
      </c>
      <c r="B1563" s="31" t="s">
        <v>1723</v>
      </c>
      <c r="C1563" s="31" t="s">
        <v>1948</v>
      </c>
      <c r="D1563" s="31" t="s">
        <v>13</v>
      </c>
      <c r="E1563" s="31">
        <v>8.1659048E7</v>
      </c>
      <c r="F1563" s="31" t="s">
        <v>13</v>
      </c>
      <c r="G1563" s="31" t="s">
        <v>13</v>
      </c>
      <c r="H1563" s="31" t="s">
        <v>13</v>
      </c>
      <c r="I1563" s="4"/>
    </row>
    <row r="1564">
      <c r="A1564" s="30">
        <v>1560.0</v>
      </c>
      <c r="B1564" s="31" t="s">
        <v>1723</v>
      </c>
      <c r="C1564" s="31" t="s">
        <v>1949</v>
      </c>
      <c r="D1564" s="31" t="s">
        <v>13</v>
      </c>
      <c r="E1564" s="31">
        <v>5913883.0</v>
      </c>
      <c r="F1564" s="31" t="s">
        <v>13</v>
      </c>
      <c r="G1564" s="31" t="s">
        <v>13</v>
      </c>
      <c r="H1564" s="31" t="s">
        <v>1729</v>
      </c>
      <c r="I1564" s="4"/>
    </row>
    <row r="1565">
      <c r="A1565" s="30">
        <v>1561.0</v>
      </c>
      <c r="B1565" s="31" t="s">
        <v>1723</v>
      </c>
      <c r="C1565" s="31" t="s">
        <v>1950</v>
      </c>
      <c r="D1565" s="31" t="s">
        <v>13</v>
      </c>
      <c r="E1565" s="31">
        <v>3.2654924E7</v>
      </c>
      <c r="F1565" s="31" t="s">
        <v>13</v>
      </c>
      <c r="G1565" s="31" t="s">
        <v>13</v>
      </c>
      <c r="H1565" s="31" t="s">
        <v>1729</v>
      </c>
      <c r="I1565" s="4"/>
    </row>
    <row r="1566">
      <c r="A1566" s="30">
        <v>1562.0</v>
      </c>
      <c r="B1566" s="31" t="s">
        <v>1723</v>
      </c>
      <c r="C1566" s="31" t="s">
        <v>1951</v>
      </c>
      <c r="D1566" s="31" t="s">
        <v>13</v>
      </c>
      <c r="E1566" s="31" t="s">
        <v>14</v>
      </c>
      <c r="F1566" s="31" t="s">
        <v>13</v>
      </c>
      <c r="G1566" s="31" t="s">
        <v>13</v>
      </c>
      <c r="H1566" s="31" t="s">
        <v>15</v>
      </c>
      <c r="I1566" s="4"/>
    </row>
    <row r="1567">
      <c r="A1567" s="30">
        <v>1563.0</v>
      </c>
      <c r="B1567" s="31" t="s">
        <v>1723</v>
      </c>
      <c r="C1567" s="31" t="s">
        <v>1952</v>
      </c>
      <c r="D1567" s="31" t="s">
        <v>1731</v>
      </c>
      <c r="E1567" s="31">
        <v>1.3574764E8</v>
      </c>
      <c r="F1567" s="31" t="s">
        <v>13</v>
      </c>
      <c r="G1567" s="31" t="s">
        <v>1731</v>
      </c>
      <c r="H1567" s="31" t="s">
        <v>1731</v>
      </c>
      <c r="I1567" s="4"/>
    </row>
    <row r="1568">
      <c r="A1568" s="30">
        <v>1564.0</v>
      </c>
      <c r="B1568" s="31" t="s">
        <v>1723</v>
      </c>
      <c r="C1568" s="31" t="s">
        <v>1953</v>
      </c>
      <c r="D1568" s="31">
        <v>10.0</v>
      </c>
      <c r="E1568" s="31" t="s">
        <v>13</v>
      </c>
      <c r="F1568" s="31" t="s">
        <v>13</v>
      </c>
      <c r="G1568" s="31" t="s">
        <v>13</v>
      </c>
      <c r="H1568" s="31" t="s">
        <v>1804</v>
      </c>
      <c r="I1568" s="4"/>
    </row>
    <row r="1569">
      <c r="A1569" s="30">
        <v>1565.0</v>
      </c>
      <c r="B1569" s="31" t="s">
        <v>1723</v>
      </c>
      <c r="C1569" s="31" t="s">
        <v>1954</v>
      </c>
      <c r="D1569" s="31" t="s">
        <v>13</v>
      </c>
      <c r="E1569" s="31">
        <v>1.9659867E8</v>
      </c>
      <c r="F1569" s="31" t="s">
        <v>13</v>
      </c>
      <c r="G1569" s="31" t="s">
        <v>13</v>
      </c>
      <c r="H1569" s="31" t="s">
        <v>13</v>
      </c>
      <c r="I1569" s="4"/>
    </row>
    <row r="1570">
      <c r="A1570" s="30">
        <v>1566.0</v>
      </c>
      <c r="B1570" s="31" t="s">
        <v>1723</v>
      </c>
      <c r="C1570" s="31" t="s">
        <v>1955</v>
      </c>
      <c r="D1570" s="31" t="s">
        <v>13</v>
      </c>
      <c r="E1570" s="31">
        <v>2856590.0</v>
      </c>
      <c r="F1570" s="31" t="s">
        <v>13</v>
      </c>
      <c r="G1570" s="31" t="s">
        <v>13</v>
      </c>
      <c r="H1570" s="31" t="s">
        <v>13</v>
      </c>
      <c r="I1570" s="4"/>
    </row>
    <row r="1571">
      <c r="A1571" s="30">
        <v>1567.0</v>
      </c>
      <c r="B1571" s="31" t="s">
        <v>1723</v>
      </c>
      <c r="C1571" s="31" t="s">
        <v>1956</v>
      </c>
      <c r="D1571" s="31" t="s">
        <v>13</v>
      </c>
      <c r="E1571" s="31">
        <v>1.4424783E8</v>
      </c>
      <c r="F1571" s="31" t="s">
        <v>13</v>
      </c>
      <c r="G1571" s="31" t="s">
        <v>13</v>
      </c>
      <c r="H1571" s="31" t="s">
        <v>13</v>
      </c>
      <c r="I1571" s="4"/>
    </row>
    <row r="1572">
      <c r="A1572" s="30">
        <v>1568.0</v>
      </c>
      <c r="B1572" s="31" t="s">
        <v>1723</v>
      </c>
      <c r="C1572" s="31" t="s">
        <v>1957</v>
      </c>
      <c r="D1572" s="31" t="s">
        <v>13</v>
      </c>
      <c r="E1572" s="31">
        <v>3.2781459E8</v>
      </c>
      <c r="F1572" s="31" t="s">
        <v>13</v>
      </c>
      <c r="G1572" s="31" t="s">
        <v>13</v>
      </c>
      <c r="H1572" s="31" t="s">
        <v>13</v>
      </c>
      <c r="I1572" s="4"/>
    </row>
    <row r="1573">
      <c r="A1573" s="30">
        <v>1569.0</v>
      </c>
      <c r="B1573" s="31" t="s">
        <v>1723</v>
      </c>
      <c r="C1573" s="31" t="s">
        <v>1957</v>
      </c>
      <c r="D1573" s="31" t="s">
        <v>1731</v>
      </c>
      <c r="E1573" s="31">
        <v>3.2281459E8</v>
      </c>
      <c r="F1573" s="31" t="s">
        <v>13</v>
      </c>
      <c r="G1573" s="31" t="s">
        <v>1731</v>
      </c>
      <c r="H1573" s="31" t="s">
        <v>1731</v>
      </c>
      <c r="I1573" s="4"/>
    </row>
    <row r="1574">
      <c r="A1574" s="30">
        <v>1570.0</v>
      </c>
      <c r="B1574" s="31" t="s">
        <v>1723</v>
      </c>
      <c r="C1574" s="31" t="s">
        <v>1958</v>
      </c>
      <c r="D1574" s="31" t="s">
        <v>13</v>
      </c>
      <c r="E1574" s="31">
        <v>8.2230906E8</v>
      </c>
      <c r="F1574" s="31" t="s">
        <v>13</v>
      </c>
      <c r="G1574" s="31" t="s">
        <v>13</v>
      </c>
      <c r="H1574" s="31" t="s">
        <v>13</v>
      </c>
      <c r="I1574" s="4"/>
    </row>
    <row r="1575">
      <c r="A1575" s="30">
        <v>1571.0</v>
      </c>
      <c r="B1575" s="31" t="s">
        <v>1723</v>
      </c>
      <c r="C1575" s="31" t="s">
        <v>1959</v>
      </c>
      <c r="D1575" s="31" t="s">
        <v>13</v>
      </c>
      <c r="E1575" s="31" t="s">
        <v>14</v>
      </c>
      <c r="F1575" s="31" t="s">
        <v>13</v>
      </c>
      <c r="G1575" s="31" t="s">
        <v>13</v>
      </c>
      <c r="H1575" s="31" t="s">
        <v>15</v>
      </c>
      <c r="I1575" s="4"/>
    </row>
    <row r="1576">
      <c r="A1576" s="30">
        <v>1572.0</v>
      </c>
      <c r="B1576" s="31" t="s">
        <v>1723</v>
      </c>
      <c r="C1576" s="31" t="s">
        <v>1960</v>
      </c>
      <c r="D1576" s="31" t="s">
        <v>13</v>
      </c>
      <c r="E1576" s="31">
        <v>3.3423811E7</v>
      </c>
      <c r="F1576" s="31" t="s">
        <v>13</v>
      </c>
      <c r="G1576" s="31" t="s">
        <v>13</v>
      </c>
      <c r="H1576" s="31" t="s">
        <v>13</v>
      </c>
      <c r="I1576" s="4"/>
    </row>
    <row r="1577">
      <c r="A1577" s="30">
        <v>1573.0</v>
      </c>
      <c r="B1577" s="31" t="s">
        <v>1723</v>
      </c>
      <c r="C1577" s="31" t="s">
        <v>1961</v>
      </c>
      <c r="D1577" s="31" t="s">
        <v>13</v>
      </c>
      <c r="E1577" s="31">
        <v>3.254342E8</v>
      </c>
      <c r="F1577" s="31" t="s">
        <v>13</v>
      </c>
      <c r="G1577" s="31" t="s">
        <v>13</v>
      </c>
      <c r="H1577" s="31" t="s">
        <v>13</v>
      </c>
      <c r="I1577" s="4"/>
    </row>
    <row r="1578">
      <c r="A1578" s="30">
        <v>1574.0</v>
      </c>
      <c r="B1578" s="31" t="s">
        <v>1723</v>
      </c>
      <c r="C1578" s="31" t="s">
        <v>1961</v>
      </c>
      <c r="D1578" s="31" t="s">
        <v>13</v>
      </c>
      <c r="E1578" s="31">
        <v>3.254342E7</v>
      </c>
      <c r="F1578" s="31" t="s">
        <v>13</v>
      </c>
      <c r="G1578" s="31" t="s">
        <v>13</v>
      </c>
      <c r="H1578" s="31" t="s">
        <v>13</v>
      </c>
      <c r="I1578" s="4"/>
    </row>
    <row r="1579">
      <c r="A1579" s="30">
        <v>1575.0</v>
      </c>
      <c r="B1579" s="31" t="s">
        <v>1723</v>
      </c>
      <c r="C1579" s="31" t="s">
        <v>1962</v>
      </c>
      <c r="D1579" s="31" t="s">
        <v>13</v>
      </c>
      <c r="E1579" s="31">
        <v>1.7755829E7</v>
      </c>
      <c r="F1579" s="31" t="s">
        <v>13</v>
      </c>
      <c r="G1579" s="31" t="s">
        <v>13</v>
      </c>
      <c r="H1579" s="31" t="s">
        <v>13</v>
      </c>
      <c r="I1579" s="4"/>
    </row>
    <row r="1580">
      <c r="A1580" s="30">
        <v>1576.0</v>
      </c>
      <c r="B1580" s="31" t="s">
        <v>1723</v>
      </c>
      <c r="C1580" s="31" t="s">
        <v>1962</v>
      </c>
      <c r="D1580" s="31" t="s">
        <v>13</v>
      </c>
      <c r="E1580" s="31">
        <v>2.2761609E7</v>
      </c>
      <c r="F1580" s="31" t="s">
        <v>13</v>
      </c>
      <c r="G1580" s="31" t="s">
        <v>13</v>
      </c>
      <c r="H1580" s="31" t="s">
        <v>1729</v>
      </c>
      <c r="I1580" s="4"/>
    </row>
    <row r="1581">
      <c r="A1581" s="30">
        <v>1577.0</v>
      </c>
      <c r="B1581" s="31" t="s">
        <v>1723</v>
      </c>
      <c r="C1581" s="31" t="s">
        <v>1963</v>
      </c>
      <c r="D1581" s="31" t="s">
        <v>13</v>
      </c>
      <c r="E1581" s="31">
        <v>2.7377514E7</v>
      </c>
      <c r="F1581" s="31" t="s">
        <v>13</v>
      </c>
      <c r="G1581" s="31" t="s">
        <v>13</v>
      </c>
      <c r="H1581" s="31" t="s">
        <v>13</v>
      </c>
      <c r="I1581" s="4"/>
    </row>
    <row r="1582">
      <c r="A1582" s="30">
        <v>1578.0</v>
      </c>
      <c r="B1582" s="31" t="s">
        <v>1723</v>
      </c>
      <c r="C1582" s="31" t="s">
        <v>1964</v>
      </c>
      <c r="D1582" s="31" t="s">
        <v>13</v>
      </c>
      <c r="E1582" s="31">
        <v>5613119.0</v>
      </c>
      <c r="F1582" s="31" t="s">
        <v>13</v>
      </c>
      <c r="G1582" s="31" t="s">
        <v>13</v>
      </c>
      <c r="H1582" s="31" t="s">
        <v>13</v>
      </c>
      <c r="I1582" s="4"/>
    </row>
    <row r="1583">
      <c r="A1583" s="30">
        <v>1579.0</v>
      </c>
      <c r="B1583" s="31" t="s">
        <v>1723</v>
      </c>
      <c r="C1583" s="31" t="s">
        <v>1965</v>
      </c>
      <c r="D1583" s="31" t="s">
        <v>13</v>
      </c>
      <c r="E1583" s="31" t="s">
        <v>14</v>
      </c>
      <c r="F1583" s="31" t="s">
        <v>13</v>
      </c>
      <c r="G1583" s="31" t="s">
        <v>13</v>
      </c>
      <c r="H1583" s="31" t="s">
        <v>15</v>
      </c>
      <c r="I1583" s="4"/>
    </row>
    <row r="1584">
      <c r="A1584" s="30">
        <v>1580.0</v>
      </c>
      <c r="B1584" s="31" t="s">
        <v>1723</v>
      </c>
      <c r="C1584" s="31" t="s">
        <v>1966</v>
      </c>
      <c r="D1584" s="31" t="s">
        <v>13</v>
      </c>
      <c r="E1584" s="31" t="s">
        <v>14</v>
      </c>
      <c r="F1584" s="31" t="s">
        <v>13</v>
      </c>
      <c r="G1584" s="31" t="s">
        <v>13</v>
      </c>
      <c r="H1584" s="31" t="s">
        <v>15</v>
      </c>
      <c r="I1584" s="4"/>
    </row>
    <row r="1585">
      <c r="A1585" s="30">
        <v>1581.0</v>
      </c>
      <c r="B1585" s="31" t="s">
        <v>1723</v>
      </c>
      <c r="C1585" s="31" t="s">
        <v>1967</v>
      </c>
      <c r="D1585" s="31" t="s">
        <v>13</v>
      </c>
      <c r="E1585" s="31">
        <v>3.3423811E8</v>
      </c>
      <c r="F1585" s="31" t="s">
        <v>13</v>
      </c>
      <c r="G1585" s="31" t="s">
        <v>13</v>
      </c>
      <c r="H1585" s="31" t="s">
        <v>13</v>
      </c>
      <c r="I1585" s="4"/>
    </row>
    <row r="1586">
      <c r="A1586" s="30">
        <v>1582.0</v>
      </c>
      <c r="B1586" s="31" t="s">
        <v>1723</v>
      </c>
      <c r="C1586" s="31" t="s">
        <v>1968</v>
      </c>
      <c r="D1586" s="31" t="s">
        <v>13</v>
      </c>
      <c r="E1586" s="31" t="s">
        <v>14</v>
      </c>
      <c r="F1586" s="31" t="s">
        <v>13</v>
      </c>
      <c r="G1586" s="31" t="s">
        <v>13</v>
      </c>
      <c r="H1586" s="31" t="s">
        <v>15</v>
      </c>
      <c r="I1586" s="4"/>
    </row>
    <row r="1587">
      <c r="A1587" s="30">
        <v>1583.0</v>
      </c>
      <c r="B1587" s="31" t="s">
        <v>1723</v>
      </c>
      <c r="C1587" s="31" t="s">
        <v>1969</v>
      </c>
      <c r="D1587" s="31">
        <v>9.0</v>
      </c>
      <c r="E1587" s="31" t="s">
        <v>13</v>
      </c>
      <c r="F1587" s="31" t="s">
        <v>13</v>
      </c>
      <c r="G1587" s="31" t="s">
        <v>13</v>
      </c>
      <c r="H1587" s="31" t="s">
        <v>1804</v>
      </c>
      <c r="I1587" s="4"/>
    </row>
    <row r="1588">
      <c r="A1588" s="30">
        <v>1584.0</v>
      </c>
      <c r="B1588" s="31" t="s">
        <v>1723</v>
      </c>
      <c r="C1588" s="31" t="s">
        <v>1970</v>
      </c>
      <c r="D1588" s="31" t="s">
        <v>13</v>
      </c>
      <c r="E1588" s="31" t="s">
        <v>13</v>
      </c>
      <c r="F1588" s="31" t="s">
        <v>13</v>
      </c>
      <c r="G1588" s="31" t="s">
        <v>13</v>
      </c>
      <c r="H1588" s="31" t="s">
        <v>1971</v>
      </c>
      <c r="I1588" s="4"/>
    </row>
    <row r="1589">
      <c r="A1589" s="30">
        <v>1585.0</v>
      </c>
      <c r="B1589" s="31" t="s">
        <v>1723</v>
      </c>
      <c r="C1589" s="31" t="s">
        <v>1972</v>
      </c>
      <c r="D1589" s="31" t="s">
        <v>13</v>
      </c>
      <c r="E1589" s="31" t="s">
        <v>1973</v>
      </c>
      <c r="F1589" s="31" t="s">
        <v>13</v>
      </c>
      <c r="G1589" s="31" t="s">
        <v>13</v>
      </c>
      <c r="H1589" s="31" t="s">
        <v>15</v>
      </c>
      <c r="I1589" s="4"/>
    </row>
    <row r="1590">
      <c r="A1590" s="30">
        <v>1586.0</v>
      </c>
      <c r="B1590" s="31" t="s">
        <v>1723</v>
      </c>
      <c r="C1590" s="31" t="s">
        <v>1974</v>
      </c>
      <c r="D1590" s="31" t="s">
        <v>13</v>
      </c>
      <c r="E1590" s="31">
        <v>3.1428533E8</v>
      </c>
      <c r="F1590" s="31" t="s">
        <v>13</v>
      </c>
      <c r="G1590" s="31" t="s">
        <v>13</v>
      </c>
      <c r="H1590" s="31" t="s">
        <v>13</v>
      </c>
      <c r="I1590" s="4"/>
    </row>
    <row r="1591">
      <c r="A1591" s="30">
        <v>1587.0</v>
      </c>
      <c r="B1591" s="31" t="s">
        <v>1723</v>
      </c>
      <c r="C1591" s="31" t="s">
        <v>1975</v>
      </c>
      <c r="D1591" s="31" t="s">
        <v>13</v>
      </c>
      <c r="E1591" s="31" t="s">
        <v>13</v>
      </c>
      <c r="F1591" s="31" t="s">
        <v>13</v>
      </c>
      <c r="G1591" s="31" t="s">
        <v>13</v>
      </c>
      <c r="H1591" s="31" t="s">
        <v>1976</v>
      </c>
      <c r="I1591" s="4"/>
    </row>
    <row r="1592">
      <c r="A1592" s="30">
        <v>1588.0</v>
      </c>
      <c r="B1592" s="31" t="s">
        <v>1723</v>
      </c>
      <c r="C1592" s="31" t="s">
        <v>1977</v>
      </c>
      <c r="D1592" s="31" t="s">
        <v>13</v>
      </c>
      <c r="E1592" s="31" t="s">
        <v>13</v>
      </c>
      <c r="F1592" s="31" t="s">
        <v>13</v>
      </c>
      <c r="G1592" s="31" t="s">
        <v>13</v>
      </c>
      <c r="H1592" s="31" t="s">
        <v>1742</v>
      </c>
      <c r="I1592" s="4"/>
    </row>
    <row r="1593">
      <c r="A1593" s="30">
        <v>1589.0</v>
      </c>
      <c r="B1593" s="31" t="s">
        <v>1723</v>
      </c>
      <c r="C1593" s="31" t="s">
        <v>1978</v>
      </c>
      <c r="D1593" s="31" t="s">
        <v>13</v>
      </c>
      <c r="E1593" s="31" t="s">
        <v>13</v>
      </c>
      <c r="F1593" s="31" t="s">
        <v>13</v>
      </c>
      <c r="G1593" s="31" t="s">
        <v>13</v>
      </c>
      <c r="H1593" s="31" t="s">
        <v>1742</v>
      </c>
      <c r="I1593" s="4"/>
    </row>
    <row r="1594">
      <c r="A1594" s="32">
        <v>1590.0</v>
      </c>
      <c r="B1594" s="33" t="s">
        <v>1723</v>
      </c>
      <c r="C1594" s="33" t="s">
        <v>1979</v>
      </c>
      <c r="D1594" s="33" t="s">
        <v>13</v>
      </c>
      <c r="E1594" s="33">
        <v>2.0291328E7</v>
      </c>
      <c r="F1594" s="33" t="s">
        <v>13</v>
      </c>
      <c r="G1594" s="33" t="s">
        <v>13</v>
      </c>
      <c r="H1594" s="33" t="s">
        <v>1729</v>
      </c>
      <c r="I1594" s="4"/>
    </row>
    <row r="1595">
      <c r="A1595" s="32">
        <v>1591.0</v>
      </c>
      <c r="B1595" s="33" t="s">
        <v>1723</v>
      </c>
      <c r="C1595" s="33" t="s">
        <v>1980</v>
      </c>
      <c r="D1595" s="33" t="s">
        <v>13</v>
      </c>
      <c r="E1595" s="33" t="s">
        <v>14</v>
      </c>
      <c r="F1595" s="33" t="s">
        <v>13</v>
      </c>
      <c r="G1595" s="33" t="s">
        <v>13</v>
      </c>
      <c r="H1595" s="33" t="s">
        <v>15</v>
      </c>
      <c r="I1595" s="4"/>
    </row>
    <row r="1596">
      <c r="A1596" s="32">
        <v>1592.0</v>
      </c>
      <c r="B1596" s="33" t="s">
        <v>1723</v>
      </c>
      <c r="C1596" s="33" t="s">
        <v>1981</v>
      </c>
      <c r="D1596" s="33" t="s">
        <v>13</v>
      </c>
      <c r="E1596" s="33" t="s">
        <v>14</v>
      </c>
      <c r="F1596" s="33" t="s">
        <v>13</v>
      </c>
      <c r="G1596" s="33" t="s">
        <v>13</v>
      </c>
      <c r="H1596" s="33" t="s">
        <v>15</v>
      </c>
      <c r="I1596" s="4"/>
    </row>
    <row r="1597">
      <c r="A1597" s="32">
        <v>1593.0</v>
      </c>
      <c r="B1597" s="33" t="s">
        <v>1723</v>
      </c>
      <c r="C1597" s="33" t="s">
        <v>1982</v>
      </c>
      <c r="D1597" s="33" t="s">
        <v>13</v>
      </c>
      <c r="E1597" s="33">
        <v>1.8749225E7</v>
      </c>
      <c r="F1597" s="33" t="s">
        <v>13</v>
      </c>
      <c r="G1597" s="33" t="s">
        <v>13</v>
      </c>
      <c r="H1597" s="33" t="s">
        <v>13</v>
      </c>
      <c r="I1597" s="4"/>
    </row>
    <row r="1598">
      <c r="A1598" s="32">
        <v>1594.0</v>
      </c>
      <c r="B1598" s="33" t="s">
        <v>1723</v>
      </c>
      <c r="C1598" s="33" t="s">
        <v>1983</v>
      </c>
      <c r="D1598" s="33" t="s">
        <v>13</v>
      </c>
      <c r="E1598" s="33">
        <v>2.6019884E7</v>
      </c>
      <c r="F1598" s="33" t="s">
        <v>13</v>
      </c>
      <c r="G1598" s="33" t="s">
        <v>13</v>
      </c>
      <c r="H1598" s="33" t="s">
        <v>13</v>
      </c>
      <c r="I1598" s="4"/>
    </row>
    <row r="1599">
      <c r="A1599" s="32">
        <v>1595.0</v>
      </c>
      <c r="B1599" s="33" t="s">
        <v>1723</v>
      </c>
      <c r="C1599" s="33" t="s">
        <v>1984</v>
      </c>
      <c r="D1599" s="33" t="s">
        <v>1731</v>
      </c>
      <c r="E1599" s="33">
        <v>1.8749225E8</v>
      </c>
      <c r="F1599" s="33" t="s">
        <v>13</v>
      </c>
      <c r="G1599" s="33" t="s">
        <v>1731</v>
      </c>
      <c r="H1599" s="33" t="s">
        <v>1731</v>
      </c>
      <c r="I1599" s="4"/>
    </row>
    <row r="1600">
      <c r="A1600" s="32">
        <v>1596.0</v>
      </c>
      <c r="B1600" s="33" t="s">
        <v>1723</v>
      </c>
      <c r="C1600" s="33" t="s">
        <v>1985</v>
      </c>
      <c r="D1600" s="33" t="s">
        <v>13</v>
      </c>
      <c r="E1600" s="33" t="s">
        <v>1986</v>
      </c>
      <c r="F1600" s="33" t="s">
        <v>13</v>
      </c>
      <c r="G1600" s="33" t="s">
        <v>13</v>
      </c>
      <c r="H1600" s="33" t="s">
        <v>15</v>
      </c>
      <c r="I1600" s="4"/>
    </row>
    <row r="1601">
      <c r="A1601" s="32">
        <v>1597.0</v>
      </c>
      <c r="B1601" s="33" t="s">
        <v>1723</v>
      </c>
      <c r="C1601" s="33" t="s">
        <v>1987</v>
      </c>
      <c r="D1601" s="33" t="s">
        <v>13</v>
      </c>
      <c r="E1601" s="33">
        <v>1.7709218E7</v>
      </c>
      <c r="F1601" s="33" t="s">
        <v>13</v>
      </c>
      <c r="G1601" s="33" t="s">
        <v>13</v>
      </c>
      <c r="H1601" s="33" t="s">
        <v>13</v>
      </c>
      <c r="I1601" s="4"/>
    </row>
    <row r="1602">
      <c r="A1602" s="32">
        <v>1598.0</v>
      </c>
      <c r="B1602" s="33" t="s">
        <v>1723</v>
      </c>
      <c r="C1602" s="33" t="s">
        <v>1988</v>
      </c>
      <c r="D1602" s="33" t="s">
        <v>13</v>
      </c>
      <c r="E1602" s="33">
        <v>1.8814839E7</v>
      </c>
      <c r="F1602" s="33" t="s">
        <v>13</v>
      </c>
      <c r="G1602" s="33" t="s">
        <v>13</v>
      </c>
      <c r="H1602" s="33" t="s">
        <v>13</v>
      </c>
      <c r="I1602" s="4"/>
    </row>
    <row r="1603">
      <c r="A1603" s="32">
        <v>1599.0</v>
      </c>
      <c r="B1603" s="33" t="s">
        <v>1723</v>
      </c>
      <c r="C1603" s="33" t="s">
        <v>1989</v>
      </c>
      <c r="D1603" s="33" t="s">
        <v>13</v>
      </c>
      <c r="E1603" s="33" t="s">
        <v>13</v>
      </c>
      <c r="F1603" s="33" t="s">
        <v>13</v>
      </c>
      <c r="G1603" s="33" t="s">
        <v>13</v>
      </c>
      <c r="H1603" s="33" t="s">
        <v>1742</v>
      </c>
      <c r="I1603" s="4"/>
    </row>
    <row r="1604">
      <c r="A1604" s="32">
        <v>1600.0</v>
      </c>
      <c r="B1604" s="33" t="s">
        <v>1723</v>
      </c>
      <c r="C1604" s="33" t="s">
        <v>1990</v>
      </c>
      <c r="D1604" s="33" t="s">
        <v>13</v>
      </c>
      <c r="E1604" s="33" t="s">
        <v>14</v>
      </c>
      <c r="F1604" s="33" t="s">
        <v>13</v>
      </c>
      <c r="G1604" s="33" t="s">
        <v>13</v>
      </c>
      <c r="H1604" s="33" t="s">
        <v>15</v>
      </c>
      <c r="I1604" s="4"/>
    </row>
    <row r="1605">
      <c r="A1605" s="32">
        <v>1601.0</v>
      </c>
      <c r="B1605" s="33" t="s">
        <v>1723</v>
      </c>
      <c r="C1605" s="33" t="s">
        <v>1991</v>
      </c>
      <c r="D1605" s="33" t="s">
        <v>13</v>
      </c>
      <c r="E1605" s="33" t="s">
        <v>14</v>
      </c>
      <c r="F1605" s="33" t="s">
        <v>13</v>
      </c>
      <c r="G1605" s="33" t="s">
        <v>13</v>
      </c>
      <c r="H1605" s="33" t="s">
        <v>15</v>
      </c>
      <c r="I1605" s="4"/>
    </row>
    <row r="1606">
      <c r="A1606" s="32">
        <v>1602.0</v>
      </c>
      <c r="B1606" s="33" t="s">
        <v>1723</v>
      </c>
      <c r="C1606" s="33" t="s">
        <v>1992</v>
      </c>
      <c r="D1606" s="33" t="s">
        <v>1726</v>
      </c>
      <c r="E1606" s="33" t="s">
        <v>13</v>
      </c>
      <c r="F1606" s="33" t="s">
        <v>13</v>
      </c>
      <c r="G1606" s="33" t="s">
        <v>13</v>
      </c>
      <c r="H1606" s="33" t="s">
        <v>452</v>
      </c>
      <c r="I1606" s="4"/>
    </row>
    <row r="1607">
      <c r="A1607" s="32">
        <v>1603.0</v>
      </c>
      <c r="B1607" s="33" t="s">
        <v>1723</v>
      </c>
      <c r="C1607" s="33" t="s">
        <v>1180</v>
      </c>
      <c r="D1607" s="33">
        <v>42.0</v>
      </c>
      <c r="E1607" s="33" t="s">
        <v>14</v>
      </c>
      <c r="F1607" s="33" t="s">
        <v>13</v>
      </c>
      <c r="G1607" s="33" t="s">
        <v>13</v>
      </c>
      <c r="H1607" s="33" t="s">
        <v>1993</v>
      </c>
      <c r="I1607" s="4"/>
    </row>
    <row r="1608">
      <c r="A1608" s="32">
        <v>1604.0</v>
      </c>
      <c r="B1608" s="33" t="s">
        <v>1723</v>
      </c>
      <c r="C1608" s="33" t="s">
        <v>1994</v>
      </c>
      <c r="D1608" s="33" t="s">
        <v>13</v>
      </c>
      <c r="E1608" s="33" t="s">
        <v>13</v>
      </c>
      <c r="F1608" s="33" t="s">
        <v>13</v>
      </c>
      <c r="G1608" s="33" t="s">
        <v>13</v>
      </c>
      <c r="H1608" s="33" t="s">
        <v>1742</v>
      </c>
      <c r="I1608" s="4"/>
    </row>
    <row r="1609">
      <c r="A1609" s="32">
        <v>1605.0</v>
      </c>
      <c r="B1609" s="33" t="s">
        <v>1723</v>
      </c>
      <c r="C1609" s="33" t="s">
        <v>1995</v>
      </c>
      <c r="D1609" s="33" t="s">
        <v>1731</v>
      </c>
      <c r="E1609" s="33">
        <v>1.7709218E8</v>
      </c>
      <c r="F1609" s="33" t="s">
        <v>13</v>
      </c>
      <c r="G1609" s="33" t="s">
        <v>1731</v>
      </c>
      <c r="H1609" s="33" t="s">
        <v>1731</v>
      </c>
      <c r="I1609" s="4"/>
    </row>
    <row r="1610">
      <c r="A1610" s="32">
        <v>1606.0</v>
      </c>
      <c r="B1610" s="33" t="s">
        <v>1723</v>
      </c>
      <c r="C1610" s="33" t="s">
        <v>1996</v>
      </c>
      <c r="D1610" s="33" t="s">
        <v>13</v>
      </c>
      <c r="E1610" s="33">
        <v>2.9701695E7</v>
      </c>
      <c r="F1610" s="33" t="s">
        <v>13</v>
      </c>
      <c r="G1610" s="33" t="s">
        <v>13</v>
      </c>
      <c r="H1610" s="33" t="s">
        <v>13</v>
      </c>
      <c r="I1610" s="4"/>
    </row>
    <row r="1611">
      <c r="A1611" s="32">
        <v>1607.0</v>
      </c>
      <c r="B1611" s="33" t="s">
        <v>1723</v>
      </c>
      <c r="C1611" s="33" t="s">
        <v>1997</v>
      </c>
      <c r="D1611" s="33" t="s">
        <v>13</v>
      </c>
      <c r="E1611" s="33" t="s">
        <v>13</v>
      </c>
      <c r="F1611" s="33" t="s">
        <v>13</v>
      </c>
      <c r="G1611" s="33" t="s">
        <v>13</v>
      </c>
      <c r="H1611" s="33" t="s">
        <v>1742</v>
      </c>
      <c r="I1611" s="4"/>
    </row>
    <row r="1612">
      <c r="A1612" s="32">
        <v>1608.0</v>
      </c>
      <c r="B1612" s="33" t="s">
        <v>1723</v>
      </c>
      <c r="C1612" s="33" t="s">
        <v>1997</v>
      </c>
      <c r="D1612" s="33">
        <v>13.0</v>
      </c>
      <c r="E1612" s="33" t="s">
        <v>13</v>
      </c>
      <c r="F1612" s="33" t="s">
        <v>13</v>
      </c>
      <c r="G1612" s="33" t="s">
        <v>13</v>
      </c>
      <c r="H1612" s="33" t="s">
        <v>1729</v>
      </c>
      <c r="I1612" s="4"/>
    </row>
    <row r="1613">
      <c r="A1613" s="32">
        <v>1609.0</v>
      </c>
      <c r="B1613" s="33" t="s">
        <v>1723</v>
      </c>
      <c r="C1613" s="33" t="s">
        <v>1998</v>
      </c>
      <c r="D1613" s="33">
        <v>32.0</v>
      </c>
      <c r="E1613" s="33" t="s">
        <v>13</v>
      </c>
      <c r="F1613" s="33" t="s">
        <v>13</v>
      </c>
      <c r="G1613" s="33" t="s">
        <v>13</v>
      </c>
      <c r="H1613" s="33" t="s">
        <v>1742</v>
      </c>
      <c r="I1613" s="4"/>
    </row>
    <row r="1614">
      <c r="A1614" s="32">
        <v>1610.0</v>
      </c>
      <c r="B1614" s="33" t="s">
        <v>1723</v>
      </c>
      <c r="C1614" s="33" t="s">
        <v>1999</v>
      </c>
      <c r="D1614" s="33" t="s">
        <v>13</v>
      </c>
      <c r="E1614" s="33">
        <v>1.5615565E7</v>
      </c>
      <c r="F1614" s="33" t="s">
        <v>13</v>
      </c>
      <c r="G1614" s="33" t="s">
        <v>13</v>
      </c>
      <c r="H1614" s="33" t="s">
        <v>1729</v>
      </c>
      <c r="I1614" s="4"/>
    </row>
    <row r="1615">
      <c r="A1615" s="32">
        <v>1611.0</v>
      </c>
      <c r="B1615" s="33" t="s">
        <v>1723</v>
      </c>
      <c r="C1615" s="33" t="s">
        <v>2000</v>
      </c>
      <c r="D1615" s="33" t="s">
        <v>13</v>
      </c>
      <c r="E1615" s="33" t="s">
        <v>14</v>
      </c>
      <c r="F1615" s="33" t="s">
        <v>13</v>
      </c>
      <c r="G1615" s="33" t="s">
        <v>13</v>
      </c>
      <c r="H1615" s="33" t="s">
        <v>15</v>
      </c>
      <c r="I1615" s="4"/>
    </row>
    <row r="1616">
      <c r="A1616" s="32">
        <v>1612.0</v>
      </c>
      <c r="B1616" s="33" t="s">
        <v>1723</v>
      </c>
      <c r="C1616" s="33" t="s">
        <v>2001</v>
      </c>
      <c r="D1616" s="33" t="s">
        <v>13</v>
      </c>
      <c r="E1616" s="33">
        <v>2.646824E7</v>
      </c>
      <c r="F1616" s="33" t="s">
        <v>13</v>
      </c>
      <c r="G1616" s="33" t="s">
        <v>13</v>
      </c>
      <c r="H1616" s="33" t="s">
        <v>13</v>
      </c>
      <c r="I1616" s="4"/>
    </row>
    <row r="1617">
      <c r="A1617" s="32">
        <v>1613.0</v>
      </c>
      <c r="B1617" s="33" t="s">
        <v>1723</v>
      </c>
      <c r="C1617" s="33" t="s">
        <v>2001</v>
      </c>
      <c r="D1617" s="33" t="s">
        <v>13</v>
      </c>
      <c r="E1617" s="33">
        <v>2.646824E8</v>
      </c>
      <c r="F1617" s="33" t="s">
        <v>13</v>
      </c>
      <c r="G1617" s="33" t="s">
        <v>13</v>
      </c>
      <c r="H1617" s="33" t="s">
        <v>13</v>
      </c>
      <c r="I1617" s="4"/>
    </row>
    <row r="1618">
      <c r="A1618" s="32">
        <v>1614.0</v>
      </c>
      <c r="B1618" s="33" t="s">
        <v>1723</v>
      </c>
      <c r="C1618" s="33" t="s">
        <v>2002</v>
      </c>
      <c r="D1618" s="33">
        <v>37.0</v>
      </c>
      <c r="E1618" s="33" t="s">
        <v>13</v>
      </c>
      <c r="F1618" s="33" t="s">
        <v>13</v>
      </c>
      <c r="G1618" s="33" t="s">
        <v>13</v>
      </c>
      <c r="H1618" s="33" t="s">
        <v>13</v>
      </c>
      <c r="I1618" s="4"/>
    </row>
    <row r="1619">
      <c r="A1619" s="32">
        <v>1615.0</v>
      </c>
      <c r="B1619" s="33" t="s">
        <v>1723</v>
      </c>
      <c r="C1619" s="33" t="s">
        <v>2003</v>
      </c>
      <c r="D1619" s="33" t="s">
        <v>13</v>
      </c>
      <c r="E1619" s="33" t="s">
        <v>14</v>
      </c>
      <c r="F1619" s="33" t="s">
        <v>13</v>
      </c>
      <c r="G1619" s="33" t="s">
        <v>13</v>
      </c>
      <c r="H1619" s="33" t="s">
        <v>15</v>
      </c>
      <c r="I1619" s="4"/>
    </row>
    <row r="1620">
      <c r="A1620" s="32">
        <v>1616.0</v>
      </c>
      <c r="B1620" s="33" t="s">
        <v>1723</v>
      </c>
      <c r="C1620" s="33" t="s">
        <v>2003</v>
      </c>
      <c r="D1620" s="33" t="s">
        <v>13</v>
      </c>
      <c r="E1620" s="33" t="s">
        <v>14</v>
      </c>
      <c r="F1620" s="33" t="s">
        <v>13</v>
      </c>
      <c r="G1620" s="33" t="s">
        <v>13</v>
      </c>
      <c r="H1620" s="33" t="s">
        <v>15</v>
      </c>
      <c r="I1620" s="4"/>
    </row>
    <row r="1621">
      <c r="A1621" s="32">
        <v>1617.0</v>
      </c>
      <c r="B1621" s="33" t="s">
        <v>1723</v>
      </c>
      <c r="C1621" s="33" t="s">
        <v>2004</v>
      </c>
      <c r="D1621" s="33" t="s">
        <v>13</v>
      </c>
      <c r="E1621" s="33">
        <v>2.2916224E8</v>
      </c>
      <c r="F1621" s="33" t="s">
        <v>13</v>
      </c>
      <c r="G1621" s="33" t="s">
        <v>13</v>
      </c>
      <c r="H1621" s="33" t="s">
        <v>1748</v>
      </c>
      <c r="I1621" s="4"/>
    </row>
    <row r="1622">
      <c r="A1622" s="32">
        <v>1618.0</v>
      </c>
      <c r="B1622" s="33" t="s">
        <v>1723</v>
      </c>
      <c r="C1622" s="33" t="s">
        <v>2005</v>
      </c>
      <c r="D1622" s="33" t="s">
        <v>13</v>
      </c>
      <c r="E1622" s="33" t="s">
        <v>2006</v>
      </c>
      <c r="F1622" s="33" t="s">
        <v>13</v>
      </c>
      <c r="G1622" s="33" t="s">
        <v>13</v>
      </c>
      <c r="H1622" s="33" t="s">
        <v>15</v>
      </c>
      <c r="I1622" s="4"/>
    </row>
    <row r="1623">
      <c r="A1623" s="32">
        <v>1619.0</v>
      </c>
      <c r="B1623" s="33" t="s">
        <v>1723</v>
      </c>
      <c r="C1623" s="33" t="s">
        <v>2007</v>
      </c>
      <c r="D1623" s="33" t="s">
        <v>13</v>
      </c>
      <c r="E1623" s="33" t="s">
        <v>14</v>
      </c>
      <c r="F1623" s="33" t="s">
        <v>13</v>
      </c>
      <c r="G1623" s="33" t="s">
        <v>13</v>
      </c>
      <c r="H1623" s="33" t="s">
        <v>15</v>
      </c>
      <c r="I1623" s="4"/>
    </row>
    <row r="1624">
      <c r="A1624" s="32">
        <v>1620.0</v>
      </c>
      <c r="B1624" s="33" t="s">
        <v>1723</v>
      </c>
      <c r="C1624" s="33" t="s">
        <v>2008</v>
      </c>
      <c r="D1624" s="33" t="s">
        <v>13</v>
      </c>
      <c r="E1624" s="33">
        <v>2.3926261E7</v>
      </c>
      <c r="F1624" s="33" t="s">
        <v>13</v>
      </c>
      <c r="G1624" s="33" t="s">
        <v>13</v>
      </c>
      <c r="H1624" s="33" t="s">
        <v>13</v>
      </c>
      <c r="I1624" s="4"/>
    </row>
    <row r="1625">
      <c r="A1625" s="32">
        <v>1621.0</v>
      </c>
      <c r="B1625" s="33" t="s">
        <v>1723</v>
      </c>
      <c r="C1625" s="33" t="s">
        <v>2008</v>
      </c>
      <c r="D1625" s="33" t="s">
        <v>1731</v>
      </c>
      <c r="E1625" s="33">
        <v>2.3936261E8</v>
      </c>
      <c r="F1625" s="33" t="s">
        <v>13</v>
      </c>
      <c r="G1625" s="33" t="s">
        <v>1731</v>
      </c>
      <c r="H1625" s="33" t="s">
        <v>1731</v>
      </c>
      <c r="I1625" s="4"/>
    </row>
    <row r="1626">
      <c r="A1626" s="32">
        <v>1622.0</v>
      </c>
      <c r="B1626" s="33" t="s">
        <v>1723</v>
      </c>
      <c r="C1626" s="33" t="s">
        <v>2009</v>
      </c>
      <c r="D1626" s="33">
        <v>40.0</v>
      </c>
      <c r="E1626" s="33" t="s">
        <v>13</v>
      </c>
      <c r="F1626" s="33" t="s">
        <v>13</v>
      </c>
      <c r="G1626" s="33" t="s">
        <v>13</v>
      </c>
      <c r="H1626" s="33" t="s">
        <v>1742</v>
      </c>
      <c r="I1626" s="4"/>
    </row>
    <row r="1627">
      <c r="A1627" s="32">
        <v>1623.0</v>
      </c>
      <c r="B1627" s="33" t="s">
        <v>1723</v>
      </c>
      <c r="C1627" s="33" t="s">
        <v>2010</v>
      </c>
      <c r="D1627" s="33" t="s">
        <v>13</v>
      </c>
      <c r="E1627" s="33" t="s">
        <v>14</v>
      </c>
      <c r="F1627" s="33" t="s">
        <v>13</v>
      </c>
      <c r="G1627" s="33" t="s">
        <v>13</v>
      </c>
      <c r="H1627" s="33" t="s">
        <v>15</v>
      </c>
      <c r="I1627" s="4"/>
    </row>
    <row r="1628">
      <c r="A1628" s="32">
        <v>1624.0</v>
      </c>
      <c r="B1628" s="33" t="s">
        <v>1723</v>
      </c>
      <c r="C1628" s="33" t="s">
        <v>2011</v>
      </c>
      <c r="D1628" s="33" t="s">
        <v>13</v>
      </c>
      <c r="E1628" s="33" t="s">
        <v>2012</v>
      </c>
      <c r="F1628" s="33" t="s">
        <v>13</v>
      </c>
      <c r="G1628" s="33" t="s">
        <v>13</v>
      </c>
      <c r="H1628" s="33" t="s">
        <v>15</v>
      </c>
      <c r="I1628" s="4"/>
    </row>
    <row r="1629">
      <c r="A1629" s="32">
        <v>1625.0</v>
      </c>
      <c r="B1629" s="33" t="s">
        <v>1723</v>
      </c>
      <c r="C1629" s="33" t="s">
        <v>2013</v>
      </c>
      <c r="D1629" s="33" t="s">
        <v>13</v>
      </c>
      <c r="E1629" s="33" t="s">
        <v>13</v>
      </c>
      <c r="F1629" s="33" t="s">
        <v>13</v>
      </c>
      <c r="G1629" s="33" t="s">
        <v>13</v>
      </c>
      <c r="H1629" s="33" t="s">
        <v>2014</v>
      </c>
      <c r="I1629" s="4"/>
    </row>
    <row r="1630">
      <c r="A1630" s="32">
        <v>1626.0</v>
      </c>
      <c r="B1630" s="33" t="s">
        <v>1723</v>
      </c>
      <c r="C1630" s="33" t="s">
        <v>2015</v>
      </c>
      <c r="D1630" s="33" t="s">
        <v>13</v>
      </c>
      <c r="E1630" s="33">
        <v>2.8447519E7</v>
      </c>
      <c r="F1630" s="33" t="s">
        <v>13</v>
      </c>
      <c r="G1630" s="33" t="s">
        <v>13</v>
      </c>
      <c r="H1630" s="33" t="s">
        <v>13</v>
      </c>
      <c r="I1630" s="4"/>
    </row>
    <row r="1631">
      <c r="A1631" s="32">
        <v>1627.0</v>
      </c>
      <c r="B1631" s="33" t="s">
        <v>1723</v>
      </c>
      <c r="C1631" s="33" t="s">
        <v>2015</v>
      </c>
      <c r="D1631" s="33" t="s">
        <v>13</v>
      </c>
      <c r="E1631" s="33">
        <v>2.8747519E8</v>
      </c>
      <c r="F1631" s="33" t="s">
        <v>13</v>
      </c>
      <c r="G1631" s="33" t="s">
        <v>13</v>
      </c>
      <c r="H1631" s="33" t="s">
        <v>13</v>
      </c>
      <c r="I1631" s="4"/>
    </row>
    <row r="1632">
      <c r="A1632" s="32">
        <v>1628.0</v>
      </c>
      <c r="B1632" s="33" t="s">
        <v>1723</v>
      </c>
      <c r="C1632" s="33" t="s">
        <v>2016</v>
      </c>
      <c r="D1632" s="33" t="s">
        <v>13</v>
      </c>
      <c r="E1632" s="33">
        <v>3.6091784E8</v>
      </c>
      <c r="F1632" s="33" t="s">
        <v>13</v>
      </c>
      <c r="G1632" s="33" t="s">
        <v>13</v>
      </c>
      <c r="H1632" s="33" t="s">
        <v>1748</v>
      </c>
      <c r="I1632" s="4"/>
    </row>
    <row r="1633">
      <c r="A1633" s="32">
        <v>1629.0</v>
      </c>
      <c r="B1633" s="33" t="s">
        <v>1723</v>
      </c>
      <c r="C1633" s="33" t="s">
        <v>2017</v>
      </c>
      <c r="D1633" s="33" t="s">
        <v>13</v>
      </c>
      <c r="E1633" s="33">
        <v>1.9796311E7</v>
      </c>
      <c r="F1633" s="33" t="s">
        <v>13</v>
      </c>
      <c r="G1633" s="33" t="s">
        <v>13</v>
      </c>
      <c r="H1633" s="33" t="s">
        <v>1729</v>
      </c>
      <c r="I1633" s="4"/>
    </row>
    <row r="1634">
      <c r="A1634" s="32">
        <v>1630.0</v>
      </c>
      <c r="B1634" s="33" t="s">
        <v>1723</v>
      </c>
      <c r="C1634" s="33" t="s">
        <v>2018</v>
      </c>
      <c r="D1634" s="33" t="s">
        <v>13</v>
      </c>
      <c r="E1634" s="33">
        <v>4636722.0</v>
      </c>
      <c r="F1634" s="33" t="s">
        <v>13</v>
      </c>
      <c r="G1634" s="33" t="s">
        <v>13</v>
      </c>
      <c r="H1634" s="33" t="s">
        <v>13</v>
      </c>
      <c r="I1634" s="4"/>
    </row>
    <row r="1635">
      <c r="A1635" s="32">
        <v>1631.0</v>
      </c>
      <c r="B1635" s="33" t="s">
        <v>1723</v>
      </c>
      <c r="C1635" s="33" t="s">
        <v>2019</v>
      </c>
      <c r="D1635" s="33" t="s">
        <v>13</v>
      </c>
      <c r="E1635" s="33" t="s">
        <v>14</v>
      </c>
      <c r="F1635" s="33" t="s">
        <v>13</v>
      </c>
      <c r="G1635" s="33" t="s">
        <v>13</v>
      </c>
      <c r="H1635" s="33" t="s">
        <v>1897</v>
      </c>
      <c r="I1635" s="4"/>
    </row>
    <row r="1636">
      <c r="A1636" s="32">
        <v>1632.0</v>
      </c>
      <c r="B1636" s="33" t="s">
        <v>1723</v>
      </c>
      <c r="C1636" s="33" t="s">
        <v>2020</v>
      </c>
      <c r="D1636" s="33">
        <v>46.0</v>
      </c>
      <c r="E1636" s="33" t="s">
        <v>13</v>
      </c>
      <c r="F1636" s="33" t="s">
        <v>13</v>
      </c>
      <c r="G1636" s="33" t="s">
        <v>13</v>
      </c>
      <c r="H1636" s="33" t="s">
        <v>2021</v>
      </c>
      <c r="I1636" s="4"/>
    </row>
    <row r="1637">
      <c r="A1637" s="32">
        <v>1633.0</v>
      </c>
      <c r="B1637" s="33" t="s">
        <v>1723</v>
      </c>
      <c r="C1637" s="33" t="s">
        <v>2022</v>
      </c>
      <c r="D1637" s="33" t="s">
        <v>13</v>
      </c>
      <c r="E1637" s="33" t="s">
        <v>2023</v>
      </c>
      <c r="F1637" s="33" t="s">
        <v>13</v>
      </c>
      <c r="G1637" s="33" t="s">
        <v>13</v>
      </c>
      <c r="H1637" s="33" t="s">
        <v>15</v>
      </c>
      <c r="I1637" s="4"/>
    </row>
    <row r="1638">
      <c r="A1638" s="32">
        <v>1634.0</v>
      </c>
      <c r="B1638" s="33" t="s">
        <v>1723</v>
      </c>
      <c r="C1638" s="33" t="s">
        <v>2024</v>
      </c>
      <c r="D1638" s="33" t="s">
        <v>13</v>
      </c>
      <c r="E1638" s="33">
        <v>3.2976229E7</v>
      </c>
      <c r="F1638" s="33" t="s">
        <v>13</v>
      </c>
      <c r="G1638" s="33" t="s">
        <v>13</v>
      </c>
      <c r="H1638" s="33" t="s">
        <v>13</v>
      </c>
      <c r="I1638" s="4"/>
    </row>
    <row r="1639">
      <c r="A1639" s="32">
        <v>1635.0</v>
      </c>
      <c r="B1639" s="33" t="s">
        <v>1723</v>
      </c>
      <c r="C1639" s="33" t="s">
        <v>2025</v>
      </c>
      <c r="D1639" s="33" t="s">
        <v>13</v>
      </c>
      <c r="E1639" s="33" t="s">
        <v>13</v>
      </c>
      <c r="F1639" s="33" t="s">
        <v>13</v>
      </c>
      <c r="G1639" s="33" t="s">
        <v>13</v>
      </c>
      <c r="H1639" s="33" t="s">
        <v>2026</v>
      </c>
      <c r="I1639" s="4"/>
    </row>
    <row r="1640">
      <c r="A1640" s="32">
        <v>1636.0</v>
      </c>
      <c r="B1640" s="33" t="s">
        <v>1723</v>
      </c>
      <c r="C1640" s="33" t="s">
        <v>2027</v>
      </c>
      <c r="D1640" s="33" t="s">
        <v>13</v>
      </c>
      <c r="E1640" s="33">
        <v>3.2359883E8</v>
      </c>
      <c r="F1640" s="33" t="s">
        <v>13</v>
      </c>
      <c r="G1640" s="33" t="s">
        <v>13</v>
      </c>
      <c r="H1640" s="33" t="s">
        <v>13</v>
      </c>
      <c r="I1640" s="4"/>
    </row>
    <row r="1641">
      <c r="A1641" s="32">
        <v>1637.0</v>
      </c>
      <c r="B1641" s="33" t="s">
        <v>1723</v>
      </c>
      <c r="C1641" s="33" t="s">
        <v>2028</v>
      </c>
      <c r="D1641" s="33" t="s">
        <v>13</v>
      </c>
      <c r="E1641" s="33">
        <v>3.2359883E7</v>
      </c>
      <c r="F1641" s="33" t="s">
        <v>13</v>
      </c>
      <c r="G1641" s="33" t="s">
        <v>13</v>
      </c>
      <c r="H1641" s="33" t="s">
        <v>13</v>
      </c>
      <c r="I1641" s="4"/>
    </row>
    <row r="1642">
      <c r="A1642" s="32">
        <v>1638.0</v>
      </c>
      <c r="B1642" s="33" t="s">
        <v>1723</v>
      </c>
      <c r="C1642" s="33" t="s">
        <v>2029</v>
      </c>
      <c r="D1642" s="33" t="s">
        <v>13</v>
      </c>
      <c r="E1642" s="33" t="s">
        <v>14</v>
      </c>
      <c r="F1642" s="33" t="s">
        <v>13</v>
      </c>
      <c r="G1642" s="33" t="s">
        <v>13</v>
      </c>
      <c r="H1642" s="33" t="s">
        <v>15</v>
      </c>
      <c r="I1642" s="4"/>
    </row>
    <row r="1643">
      <c r="A1643" s="32">
        <v>1639.0</v>
      </c>
      <c r="B1643" s="33" t="s">
        <v>1723</v>
      </c>
      <c r="C1643" s="33" t="s">
        <v>2030</v>
      </c>
      <c r="D1643" s="33" t="s">
        <v>13</v>
      </c>
      <c r="E1643" s="33">
        <v>2.9701695E8</v>
      </c>
      <c r="F1643" s="33" t="s">
        <v>13</v>
      </c>
      <c r="G1643" s="33" t="s">
        <v>13</v>
      </c>
      <c r="H1643" s="33" t="s">
        <v>1923</v>
      </c>
      <c r="I1643" s="4"/>
    </row>
    <row r="1644">
      <c r="A1644" s="32">
        <v>1640.0</v>
      </c>
      <c r="B1644" s="33" t="s">
        <v>1723</v>
      </c>
      <c r="C1644" s="33" t="s">
        <v>2031</v>
      </c>
      <c r="D1644" s="33" t="s">
        <v>13</v>
      </c>
      <c r="E1644" s="33">
        <v>4.718019E7</v>
      </c>
      <c r="F1644" s="33" t="s">
        <v>13</v>
      </c>
      <c r="G1644" s="33" t="s">
        <v>13</v>
      </c>
      <c r="H1644" s="33" t="s">
        <v>1748</v>
      </c>
      <c r="I1644" s="4"/>
    </row>
    <row r="1645">
      <c r="A1645" s="32">
        <v>1641.0</v>
      </c>
      <c r="B1645" s="33" t="s">
        <v>1723</v>
      </c>
      <c r="C1645" s="33" t="s">
        <v>2032</v>
      </c>
      <c r="D1645" s="33">
        <v>10.0</v>
      </c>
      <c r="E1645" s="33" t="s">
        <v>13</v>
      </c>
      <c r="F1645" s="33" t="s">
        <v>13</v>
      </c>
      <c r="G1645" s="33" t="s">
        <v>13</v>
      </c>
      <c r="H1645" s="33" t="s">
        <v>13</v>
      </c>
      <c r="I1645" s="4"/>
    </row>
    <row r="1646">
      <c r="A1646" s="32">
        <v>1642.0</v>
      </c>
      <c r="B1646" s="33" t="s">
        <v>1723</v>
      </c>
      <c r="C1646" s="33" t="s">
        <v>2033</v>
      </c>
      <c r="D1646" s="33" t="s">
        <v>13</v>
      </c>
      <c r="E1646" s="33" t="s">
        <v>14</v>
      </c>
      <c r="F1646" s="33" t="s">
        <v>13</v>
      </c>
      <c r="G1646" s="33" t="s">
        <v>13</v>
      </c>
      <c r="H1646" s="33" t="s">
        <v>1897</v>
      </c>
      <c r="I1646" s="4"/>
    </row>
    <row r="1647">
      <c r="A1647" s="32">
        <v>1643.0</v>
      </c>
      <c r="B1647" s="33" t="s">
        <v>1723</v>
      </c>
      <c r="C1647" s="33" t="s">
        <v>2034</v>
      </c>
      <c r="D1647" s="33">
        <v>13.0</v>
      </c>
      <c r="E1647" s="33" t="s">
        <v>13</v>
      </c>
      <c r="F1647" s="33" t="s">
        <v>13</v>
      </c>
      <c r="G1647" s="33" t="s">
        <v>13</v>
      </c>
      <c r="H1647" s="33" t="s">
        <v>1826</v>
      </c>
      <c r="I1647" s="4"/>
    </row>
    <row r="1648">
      <c r="A1648" s="32">
        <v>1644.0</v>
      </c>
      <c r="B1648" s="33" t="s">
        <v>1723</v>
      </c>
      <c r="C1648" s="33" t="s">
        <v>2035</v>
      </c>
      <c r="D1648" s="33">
        <v>12.0</v>
      </c>
      <c r="E1648" s="33" t="s">
        <v>13</v>
      </c>
      <c r="F1648" s="33" t="s">
        <v>13</v>
      </c>
      <c r="G1648" s="33" t="s">
        <v>13</v>
      </c>
      <c r="H1648" s="33" t="s">
        <v>1804</v>
      </c>
      <c r="I1648" s="4"/>
    </row>
    <row r="1649">
      <c r="A1649" s="32">
        <v>1645.0</v>
      </c>
      <c r="B1649" s="33" t="s">
        <v>1723</v>
      </c>
      <c r="C1649" s="33" t="s">
        <v>2036</v>
      </c>
      <c r="D1649" s="33" t="s">
        <v>13</v>
      </c>
      <c r="E1649" s="33">
        <v>8.2230906E7</v>
      </c>
      <c r="F1649" s="33" t="s">
        <v>13</v>
      </c>
      <c r="G1649" s="33" t="s">
        <v>13</v>
      </c>
      <c r="H1649" s="33" t="s">
        <v>13</v>
      </c>
      <c r="I1649" s="4"/>
    </row>
    <row r="1650">
      <c r="A1650" s="32">
        <v>1646.0</v>
      </c>
      <c r="B1650" s="33" t="s">
        <v>1723</v>
      </c>
      <c r="C1650" s="33" t="s">
        <v>2037</v>
      </c>
      <c r="D1650" s="33" t="s">
        <v>13</v>
      </c>
      <c r="E1650" s="33" t="s">
        <v>14</v>
      </c>
      <c r="F1650" s="33" t="s">
        <v>13</v>
      </c>
      <c r="G1650" s="33" t="s">
        <v>13</v>
      </c>
      <c r="H1650" s="33" t="s">
        <v>15</v>
      </c>
      <c r="I1650" s="4"/>
    </row>
    <row r="1651">
      <c r="A1651" s="32">
        <v>1647.0</v>
      </c>
      <c r="B1651" s="33" t="s">
        <v>1723</v>
      </c>
      <c r="C1651" s="33" t="s">
        <v>2038</v>
      </c>
      <c r="D1651" s="33" t="s">
        <v>1731</v>
      </c>
      <c r="E1651" s="33">
        <v>2.8942519E8</v>
      </c>
      <c r="F1651" s="33" t="s">
        <v>13</v>
      </c>
      <c r="G1651" s="33" t="s">
        <v>1731</v>
      </c>
      <c r="H1651" s="33" t="s">
        <v>1731</v>
      </c>
      <c r="I1651" s="4"/>
    </row>
    <row r="1652">
      <c r="A1652" s="32">
        <v>1648.0</v>
      </c>
      <c r="B1652" s="33" t="s">
        <v>1723</v>
      </c>
      <c r="C1652" s="33" t="s">
        <v>2039</v>
      </c>
      <c r="D1652" s="33" t="s">
        <v>13</v>
      </c>
      <c r="E1652" s="33">
        <v>1.7755829E8</v>
      </c>
      <c r="F1652" s="33" t="s">
        <v>13</v>
      </c>
      <c r="G1652" s="33" t="s">
        <v>13</v>
      </c>
      <c r="H1652" s="33" t="s">
        <v>13</v>
      </c>
      <c r="I1652" s="4"/>
    </row>
    <row r="1653">
      <c r="A1653" s="32">
        <v>1649.0</v>
      </c>
      <c r="B1653" s="33" t="s">
        <v>1723</v>
      </c>
      <c r="C1653" s="33" t="s">
        <v>2039</v>
      </c>
      <c r="D1653" s="33" t="s">
        <v>1731</v>
      </c>
      <c r="E1653" s="33">
        <v>1.7355829E8</v>
      </c>
      <c r="F1653" s="33" t="s">
        <v>13</v>
      </c>
      <c r="G1653" s="33" t="s">
        <v>1731</v>
      </c>
      <c r="H1653" s="33" t="s">
        <v>1731</v>
      </c>
      <c r="I1653" s="4"/>
    </row>
    <row r="1654">
      <c r="A1654" s="32">
        <v>1650.0</v>
      </c>
      <c r="B1654" s="33" t="s">
        <v>1723</v>
      </c>
      <c r="C1654" s="33" t="s">
        <v>2040</v>
      </c>
      <c r="D1654" s="33" t="s">
        <v>13</v>
      </c>
      <c r="E1654" s="33">
        <v>2.7044236E8</v>
      </c>
      <c r="F1654" s="33" t="s">
        <v>13</v>
      </c>
      <c r="G1654" s="33" t="s">
        <v>13</v>
      </c>
      <c r="H1654" s="33" t="s">
        <v>13</v>
      </c>
      <c r="I1654" s="4"/>
    </row>
    <row r="1655">
      <c r="A1655" s="32">
        <v>1651.0</v>
      </c>
      <c r="B1655" s="33" t="s">
        <v>1723</v>
      </c>
      <c r="C1655" s="33" t="s">
        <v>2041</v>
      </c>
      <c r="D1655" s="33" t="s">
        <v>13</v>
      </c>
      <c r="E1655" s="33">
        <v>1.1638834E8</v>
      </c>
      <c r="F1655" s="33" t="s">
        <v>13</v>
      </c>
      <c r="G1655" s="33" t="s">
        <v>13</v>
      </c>
      <c r="H1655" s="33" t="s">
        <v>13</v>
      </c>
      <c r="I1655" s="4"/>
    </row>
    <row r="1656">
      <c r="A1656" s="32">
        <v>1652.0</v>
      </c>
      <c r="B1656" s="33" t="s">
        <v>1723</v>
      </c>
      <c r="C1656" s="33" t="s">
        <v>2041</v>
      </c>
      <c r="D1656" s="33" t="s">
        <v>1731</v>
      </c>
      <c r="E1656" s="33">
        <v>1.1688834E8</v>
      </c>
      <c r="F1656" s="33" t="s">
        <v>13</v>
      </c>
      <c r="G1656" s="33" t="s">
        <v>1731</v>
      </c>
      <c r="H1656" s="33" t="s">
        <v>1731</v>
      </c>
      <c r="I1656" s="4"/>
    </row>
    <row r="1657">
      <c r="A1657" s="32">
        <v>1653.0</v>
      </c>
      <c r="B1657" s="33" t="s">
        <v>1723</v>
      </c>
      <c r="C1657" s="33" t="s">
        <v>2042</v>
      </c>
      <c r="D1657" s="33" t="s">
        <v>1731</v>
      </c>
      <c r="E1657" s="33">
        <v>3.683421E7</v>
      </c>
      <c r="F1657" s="33" t="s">
        <v>13</v>
      </c>
      <c r="G1657" s="33" t="s">
        <v>1731</v>
      </c>
      <c r="H1657" s="33" t="s">
        <v>1731</v>
      </c>
      <c r="I1657" s="4"/>
    </row>
    <row r="1658">
      <c r="A1658" s="32">
        <v>1654.0</v>
      </c>
      <c r="B1658" s="33" t="s">
        <v>1723</v>
      </c>
      <c r="C1658" s="33" t="s">
        <v>2043</v>
      </c>
      <c r="D1658" s="33" t="s">
        <v>13</v>
      </c>
      <c r="E1658" s="33" t="s">
        <v>13</v>
      </c>
      <c r="F1658" s="33" t="s">
        <v>13</v>
      </c>
      <c r="G1658" s="33" t="s">
        <v>13</v>
      </c>
      <c r="H1658" s="33" t="s">
        <v>2044</v>
      </c>
      <c r="I1658" s="4"/>
    </row>
    <row r="1659">
      <c r="A1659" s="32">
        <v>1655.0</v>
      </c>
      <c r="B1659" s="33" t="s">
        <v>1723</v>
      </c>
      <c r="C1659" s="33" t="s">
        <v>2045</v>
      </c>
      <c r="D1659" s="33" t="s">
        <v>13</v>
      </c>
      <c r="E1659" s="33">
        <v>2.7377514E8</v>
      </c>
      <c r="F1659" s="33" t="s">
        <v>13</v>
      </c>
      <c r="G1659" s="33" t="s">
        <v>13</v>
      </c>
      <c r="H1659" s="33" t="s">
        <v>13</v>
      </c>
      <c r="I1659" s="4"/>
    </row>
    <row r="1660">
      <c r="A1660" s="32">
        <v>1656.0</v>
      </c>
      <c r="B1660" s="33" t="s">
        <v>1723</v>
      </c>
      <c r="C1660" s="33" t="s">
        <v>2046</v>
      </c>
      <c r="D1660" s="33" t="s">
        <v>13</v>
      </c>
      <c r="E1660" s="33" t="s">
        <v>13</v>
      </c>
      <c r="F1660" s="33" t="s">
        <v>13</v>
      </c>
      <c r="G1660" s="33" t="s">
        <v>13</v>
      </c>
      <c r="H1660" s="33" t="s">
        <v>1742</v>
      </c>
      <c r="I1660" s="4"/>
    </row>
    <row r="1661">
      <c r="A1661" s="32">
        <v>1657.0</v>
      </c>
      <c r="B1661" s="33" t="s">
        <v>1723</v>
      </c>
      <c r="C1661" s="33" t="s">
        <v>2047</v>
      </c>
      <c r="D1661" s="33">
        <v>1.0</v>
      </c>
      <c r="E1661" s="33" t="s">
        <v>13</v>
      </c>
      <c r="F1661" s="33" t="s">
        <v>13</v>
      </c>
      <c r="G1661" s="33" t="s">
        <v>13</v>
      </c>
      <c r="H1661" s="33" t="s">
        <v>2048</v>
      </c>
      <c r="I1661" s="4"/>
    </row>
    <row r="1662">
      <c r="A1662" s="32">
        <v>1658.0</v>
      </c>
      <c r="B1662" s="33" t="s">
        <v>1723</v>
      </c>
      <c r="C1662" s="33" t="s">
        <v>2049</v>
      </c>
      <c r="D1662" s="33" t="s">
        <v>13</v>
      </c>
      <c r="E1662" s="33" t="s">
        <v>14</v>
      </c>
      <c r="F1662" s="33" t="s">
        <v>13</v>
      </c>
      <c r="G1662" s="33" t="s">
        <v>13</v>
      </c>
      <c r="H1662" s="33" t="s">
        <v>15</v>
      </c>
      <c r="I1662" s="4"/>
    </row>
    <row r="1663">
      <c r="A1663" s="32">
        <v>1659.0</v>
      </c>
      <c r="B1663" s="33" t="s">
        <v>1723</v>
      </c>
      <c r="C1663" s="33" t="s">
        <v>2049</v>
      </c>
      <c r="D1663" s="33" t="s">
        <v>13</v>
      </c>
      <c r="E1663" s="33" t="s">
        <v>14</v>
      </c>
      <c r="F1663" s="33" t="s">
        <v>13</v>
      </c>
      <c r="G1663" s="33" t="s">
        <v>13</v>
      </c>
      <c r="H1663" s="33" t="s">
        <v>15</v>
      </c>
      <c r="I1663" s="4"/>
    </row>
    <row r="1664">
      <c r="A1664" s="32">
        <v>1660.0</v>
      </c>
      <c r="B1664" s="33" t="s">
        <v>1723</v>
      </c>
      <c r="C1664" s="33" t="s">
        <v>2050</v>
      </c>
      <c r="D1664" s="33" t="s">
        <v>13</v>
      </c>
      <c r="E1664" s="33" t="s">
        <v>14</v>
      </c>
      <c r="F1664" s="33" t="s">
        <v>13</v>
      </c>
      <c r="G1664" s="33" t="s">
        <v>13</v>
      </c>
      <c r="H1664" s="33" t="s">
        <v>15</v>
      </c>
      <c r="I1664" s="4"/>
    </row>
    <row r="1665">
      <c r="A1665" s="32">
        <v>1661.0</v>
      </c>
      <c r="B1665" s="33" t="s">
        <v>1723</v>
      </c>
      <c r="C1665" s="33" t="s">
        <v>2051</v>
      </c>
      <c r="D1665" s="33" t="s">
        <v>13</v>
      </c>
      <c r="E1665" s="33" t="s">
        <v>14</v>
      </c>
      <c r="F1665" s="33" t="s">
        <v>13</v>
      </c>
      <c r="G1665" s="33" t="s">
        <v>13</v>
      </c>
      <c r="H1665" s="33" t="s">
        <v>15</v>
      </c>
      <c r="I1665" s="4"/>
    </row>
    <row r="1666">
      <c r="A1666" s="32">
        <v>1662.0</v>
      </c>
      <c r="B1666" s="33" t="s">
        <v>1723</v>
      </c>
      <c r="C1666" s="33" t="s">
        <v>2052</v>
      </c>
      <c r="D1666" s="33" t="s">
        <v>13</v>
      </c>
      <c r="E1666" s="33">
        <v>2.2916224E7</v>
      </c>
      <c r="F1666" s="33" t="s">
        <v>13</v>
      </c>
      <c r="G1666" s="33" t="s">
        <v>13</v>
      </c>
      <c r="H1666" s="33" t="s">
        <v>13</v>
      </c>
      <c r="I1666" s="4"/>
    </row>
    <row r="1667">
      <c r="A1667" s="32">
        <v>1663.0</v>
      </c>
      <c r="B1667" s="33" t="s">
        <v>1723</v>
      </c>
      <c r="C1667" s="33" t="s">
        <v>2053</v>
      </c>
      <c r="D1667" s="33" t="s">
        <v>13</v>
      </c>
      <c r="E1667" s="33" t="s">
        <v>2054</v>
      </c>
      <c r="F1667" s="33" t="s">
        <v>13</v>
      </c>
      <c r="G1667" s="33" t="s">
        <v>13</v>
      </c>
      <c r="H1667" s="33" t="s">
        <v>15</v>
      </c>
      <c r="I1667" s="4"/>
    </row>
    <row r="1668">
      <c r="A1668" s="32">
        <v>1664.0</v>
      </c>
      <c r="B1668" s="33" t="s">
        <v>1723</v>
      </c>
      <c r="C1668" s="33" t="s">
        <v>2055</v>
      </c>
      <c r="D1668" s="33">
        <v>6.0</v>
      </c>
      <c r="E1668" s="33" t="s">
        <v>13</v>
      </c>
      <c r="F1668" s="33" t="s">
        <v>13</v>
      </c>
      <c r="G1668" s="33" t="s">
        <v>13</v>
      </c>
      <c r="H1668" s="33" t="s">
        <v>1787</v>
      </c>
      <c r="I1668" s="4"/>
    </row>
    <row r="1669">
      <c r="A1669" s="32">
        <v>1665.0</v>
      </c>
      <c r="B1669" s="33" t="s">
        <v>1723</v>
      </c>
      <c r="C1669" s="33" t="s">
        <v>2056</v>
      </c>
      <c r="D1669" s="33">
        <v>8.0</v>
      </c>
      <c r="E1669" s="33" t="s">
        <v>13</v>
      </c>
      <c r="F1669" s="33" t="s">
        <v>13</v>
      </c>
      <c r="G1669" s="33" t="s">
        <v>13</v>
      </c>
      <c r="H1669" s="33" t="s">
        <v>1787</v>
      </c>
      <c r="I1669" s="4"/>
    </row>
    <row r="1670">
      <c r="A1670" s="32">
        <v>1666.0</v>
      </c>
      <c r="B1670" s="33" t="s">
        <v>1723</v>
      </c>
      <c r="C1670" s="33" t="s">
        <v>2057</v>
      </c>
      <c r="D1670" s="33" t="s">
        <v>13</v>
      </c>
      <c r="E1670" s="33">
        <v>3.4800366E8</v>
      </c>
      <c r="F1670" s="33" t="s">
        <v>13</v>
      </c>
      <c r="G1670" s="33" t="s">
        <v>13</v>
      </c>
      <c r="H1670" s="33" t="s">
        <v>13</v>
      </c>
      <c r="I1670" s="4"/>
    </row>
    <row r="1671">
      <c r="A1671" s="32">
        <v>1667.0</v>
      </c>
      <c r="B1671" s="33" t="s">
        <v>1723</v>
      </c>
      <c r="C1671" s="33" t="s">
        <v>2058</v>
      </c>
      <c r="D1671" s="33">
        <v>3.0</v>
      </c>
      <c r="E1671" s="33" t="s">
        <v>13</v>
      </c>
      <c r="F1671" s="33" t="s">
        <v>13</v>
      </c>
      <c r="G1671" s="33" t="s">
        <v>13</v>
      </c>
      <c r="H1671" s="33" t="s">
        <v>2059</v>
      </c>
      <c r="I1671" s="4"/>
    </row>
    <row r="1672">
      <c r="A1672" s="32">
        <v>1668.0</v>
      </c>
      <c r="B1672" s="33" t="s">
        <v>1723</v>
      </c>
      <c r="C1672" s="33" t="s">
        <v>2060</v>
      </c>
      <c r="D1672" s="33" t="s">
        <v>13</v>
      </c>
      <c r="E1672" s="33" t="s">
        <v>13</v>
      </c>
      <c r="F1672" s="33" t="s">
        <v>13</v>
      </c>
      <c r="G1672" s="33" t="s">
        <v>13</v>
      </c>
      <c r="H1672" s="33" t="s">
        <v>1903</v>
      </c>
      <c r="I1672" s="4"/>
    </row>
    <row r="1673">
      <c r="A1673" s="32">
        <v>1669.0</v>
      </c>
      <c r="B1673" s="33" t="s">
        <v>1723</v>
      </c>
      <c r="C1673" s="33" t="s">
        <v>2061</v>
      </c>
      <c r="D1673" s="33">
        <v>80.0</v>
      </c>
      <c r="E1673" s="33" t="s">
        <v>13</v>
      </c>
      <c r="F1673" s="33" t="s">
        <v>13</v>
      </c>
      <c r="G1673" s="33" t="s">
        <v>13</v>
      </c>
      <c r="H1673" s="33" t="s">
        <v>2062</v>
      </c>
      <c r="I1673" s="4"/>
    </row>
    <row r="1674">
      <c r="A1674" s="32">
        <v>1670.0</v>
      </c>
      <c r="B1674" s="33" t="s">
        <v>1723</v>
      </c>
      <c r="C1674" s="33" t="s">
        <v>2063</v>
      </c>
      <c r="D1674" s="33">
        <v>53.0</v>
      </c>
      <c r="E1674" s="33" t="s">
        <v>13</v>
      </c>
      <c r="F1674" s="33" t="s">
        <v>13</v>
      </c>
      <c r="G1674" s="33" t="s">
        <v>13</v>
      </c>
      <c r="H1674" s="33" t="s">
        <v>1903</v>
      </c>
      <c r="I1674" s="4"/>
    </row>
    <row r="1675">
      <c r="A1675" s="32">
        <v>1671.0</v>
      </c>
      <c r="B1675" s="33" t="s">
        <v>1723</v>
      </c>
      <c r="C1675" s="33" t="s">
        <v>2064</v>
      </c>
      <c r="D1675" s="33" t="s">
        <v>13</v>
      </c>
      <c r="E1675" s="33" t="s">
        <v>14</v>
      </c>
      <c r="F1675" s="33" t="s">
        <v>13</v>
      </c>
      <c r="G1675" s="33" t="s">
        <v>13</v>
      </c>
      <c r="H1675" s="33" t="s">
        <v>15</v>
      </c>
      <c r="I1675" s="4"/>
    </row>
    <row r="1676">
      <c r="A1676" s="32">
        <v>1672.0</v>
      </c>
      <c r="B1676" s="33" t="s">
        <v>1723</v>
      </c>
      <c r="C1676" s="33" t="s">
        <v>2065</v>
      </c>
      <c r="D1676" s="33" t="s">
        <v>13</v>
      </c>
      <c r="E1676" s="33" t="s">
        <v>14</v>
      </c>
      <c r="F1676" s="33" t="s">
        <v>13</v>
      </c>
      <c r="G1676" s="33" t="s">
        <v>13</v>
      </c>
      <c r="H1676" s="33" t="s">
        <v>15</v>
      </c>
      <c r="I1676" s="4"/>
    </row>
    <row r="1677">
      <c r="A1677" s="32">
        <v>1673.0</v>
      </c>
      <c r="B1677" s="33" t="s">
        <v>1723</v>
      </c>
      <c r="C1677" s="33" t="s">
        <v>2066</v>
      </c>
      <c r="D1677" s="33">
        <v>42.0</v>
      </c>
      <c r="E1677" s="33" t="s">
        <v>13</v>
      </c>
      <c r="F1677" s="33" t="s">
        <v>13</v>
      </c>
      <c r="G1677" s="33" t="s">
        <v>13</v>
      </c>
      <c r="H1677" s="33" t="s">
        <v>1742</v>
      </c>
      <c r="I1677" s="4"/>
    </row>
    <row r="1678">
      <c r="A1678" s="32">
        <v>1674.0</v>
      </c>
      <c r="B1678" s="33" t="s">
        <v>1723</v>
      </c>
      <c r="C1678" s="33" t="s">
        <v>2067</v>
      </c>
      <c r="D1678" s="33" t="s">
        <v>13</v>
      </c>
      <c r="E1678" s="33" t="s">
        <v>14</v>
      </c>
      <c r="F1678" s="33" t="s">
        <v>13</v>
      </c>
      <c r="G1678" s="33" t="s">
        <v>13</v>
      </c>
      <c r="H1678" s="33" t="s">
        <v>15</v>
      </c>
      <c r="I1678" s="4"/>
    </row>
    <row r="1679">
      <c r="A1679" s="32">
        <v>1675.0</v>
      </c>
      <c r="B1679" s="33" t="s">
        <v>1723</v>
      </c>
      <c r="C1679" s="33" t="s">
        <v>2068</v>
      </c>
      <c r="D1679" s="33" t="s">
        <v>13</v>
      </c>
      <c r="E1679" s="33" t="s">
        <v>13</v>
      </c>
      <c r="F1679" s="33" t="s">
        <v>13</v>
      </c>
      <c r="G1679" s="33" t="s">
        <v>13</v>
      </c>
      <c r="H1679" s="33" t="s">
        <v>2069</v>
      </c>
      <c r="I1679" s="4"/>
    </row>
    <row r="1680">
      <c r="A1680" s="32">
        <v>1676.0</v>
      </c>
      <c r="B1680" s="33" t="s">
        <v>1723</v>
      </c>
      <c r="C1680" s="33" t="s">
        <v>2068</v>
      </c>
      <c r="D1680" s="33" t="s">
        <v>13</v>
      </c>
      <c r="E1680" s="33" t="s">
        <v>13</v>
      </c>
      <c r="F1680" s="33" t="s">
        <v>13</v>
      </c>
      <c r="G1680" s="33" t="s">
        <v>13</v>
      </c>
      <c r="H1680" s="33" t="s">
        <v>1907</v>
      </c>
      <c r="I1680" s="4"/>
    </row>
    <row r="1681">
      <c r="A1681" s="32">
        <v>1677.0</v>
      </c>
      <c r="B1681" s="33" t="s">
        <v>1723</v>
      </c>
      <c r="C1681" s="33" t="s">
        <v>2070</v>
      </c>
      <c r="D1681" s="33" t="s">
        <v>13</v>
      </c>
      <c r="E1681" s="33">
        <v>1.5541666E7</v>
      </c>
      <c r="F1681" s="33" t="s">
        <v>13</v>
      </c>
      <c r="G1681" s="33" t="s">
        <v>13</v>
      </c>
      <c r="H1681" s="33" t="s">
        <v>13</v>
      </c>
      <c r="I1681" s="4"/>
    </row>
    <row r="1682">
      <c r="A1682" s="32">
        <v>1678.0</v>
      </c>
      <c r="B1682" s="33" t="s">
        <v>1723</v>
      </c>
      <c r="C1682" s="33" t="s">
        <v>2071</v>
      </c>
      <c r="D1682" s="33" t="s">
        <v>13</v>
      </c>
      <c r="E1682" s="33" t="s">
        <v>13</v>
      </c>
      <c r="F1682" s="33" t="s">
        <v>13</v>
      </c>
      <c r="G1682" s="33" t="s">
        <v>13</v>
      </c>
      <c r="H1682" s="33" t="s">
        <v>1742</v>
      </c>
      <c r="I1682" s="4"/>
    </row>
    <row r="1683">
      <c r="A1683" s="32">
        <v>1679.0</v>
      </c>
      <c r="B1683" s="33" t="s">
        <v>1723</v>
      </c>
      <c r="C1683" s="33" t="s">
        <v>2072</v>
      </c>
      <c r="D1683" s="33" t="s">
        <v>13</v>
      </c>
      <c r="E1683" s="33" t="s">
        <v>14</v>
      </c>
      <c r="F1683" s="33" t="s">
        <v>13</v>
      </c>
      <c r="G1683" s="33" t="s">
        <v>13</v>
      </c>
      <c r="H1683" s="33" t="s">
        <v>15</v>
      </c>
      <c r="I1683" s="4"/>
    </row>
    <row r="1684">
      <c r="A1684" s="32">
        <v>1680.0</v>
      </c>
      <c r="B1684" s="33" t="s">
        <v>1723</v>
      </c>
      <c r="C1684" s="33" t="s">
        <v>2073</v>
      </c>
      <c r="D1684" s="33" t="s">
        <v>13</v>
      </c>
      <c r="E1684" s="33" t="s">
        <v>13</v>
      </c>
      <c r="F1684" s="33" t="s">
        <v>13</v>
      </c>
      <c r="G1684" s="33" t="s">
        <v>13</v>
      </c>
      <c r="H1684" s="33" t="s">
        <v>2074</v>
      </c>
      <c r="I1684" s="4"/>
    </row>
    <row r="1685">
      <c r="A1685" s="32">
        <v>1681.0</v>
      </c>
      <c r="B1685" s="33" t="s">
        <v>1723</v>
      </c>
      <c r="C1685" s="33" t="s">
        <v>2075</v>
      </c>
      <c r="D1685" s="33" t="s">
        <v>13</v>
      </c>
      <c r="E1685" s="33">
        <v>1.364187E7</v>
      </c>
      <c r="F1685" s="33" t="s">
        <v>13</v>
      </c>
      <c r="G1685" s="33" t="s">
        <v>13</v>
      </c>
      <c r="H1685" s="33" t="s">
        <v>13</v>
      </c>
      <c r="I1685" s="4"/>
    </row>
    <row r="1686">
      <c r="A1686" s="32">
        <v>1682.0</v>
      </c>
      <c r="B1686" s="33" t="s">
        <v>1723</v>
      </c>
      <c r="C1686" s="33" t="s">
        <v>2075</v>
      </c>
      <c r="D1686" s="33" t="s">
        <v>13</v>
      </c>
      <c r="E1686" s="33">
        <v>1.364187E8</v>
      </c>
      <c r="F1686" s="33" t="s">
        <v>13</v>
      </c>
      <c r="G1686" s="33" t="s">
        <v>13</v>
      </c>
      <c r="H1686" s="33" t="s">
        <v>13</v>
      </c>
      <c r="I1686" s="4"/>
    </row>
    <row r="1687">
      <c r="A1687" s="32">
        <v>1683.0</v>
      </c>
      <c r="B1687" s="33" t="s">
        <v>1723</v>
      </c>
      <c r="C1687" s="33" t="s">
        <v>2076</v>
      </c>
      <c r="D1687" s="33" t="s">
        <v>13</v>
      </c>
      <c r="E1687" s="33">
        <v>1.2115323E7</v>
      </c>
      <c r="F1687" s="33" t="s">
        <v>13</v>
      </c>
      <c r="G1687" s="33" t="s">
        <v>13</v>
      </c>
      <c r="H1687" s="33" t="s">
        <v>13</v>
      </c>
      <c r="I1687" s="4"/>
    </row>
    <row r="1688">
      <c r="A1688" s="32">
        <v>1684.0</v>
      </c>
      <c r="B1688" s="33" t="s">
        <v>1723</v>
      </c>
      <c r="C1688" s="33" t="s">
        <v>2077</v>
      </c>
      <c r="D1688" s="33" t="s">
        <v>13</v>
      </c>
      <c r="E1688" s="33">
        <v>1.4312752E8</v>
      </c>
      <c r="F1688" s="33" t="s">
        <v>13</v>
      </c>
      <c r="G1688" s="33" t="s">
        <v>13</v>
      </c>
      <c r="H1688" s="33" t="s">
        <v>13</v>
      </c>
      <c r="I1688" s="4"/>
    </row>
    <row r="1689">
      <c r="A1689" s="32">
        <v>1685.0</v>
      </c>
      <c r="B1689" s="33" t="s">
        <v>1723</v>
      </c>
      <c r="C1689" s="33" t="s">
        <v>2078</v>
      </c>
      <c r="D1689" s="33">
        <v>14.0</v>
      </c>
      <c r="E1689" s="33" t="s">
        <v>14</v>
      </c>
      <c r="F1689" s="33" t="s">
        <v>13</v>
      </c>
      <c r="G1689" s="33" t="s">
        <v>13</v>
      </c>
      <c r="H1689" s="33" t="s">
        <v>15</v>
      </c>
      <c r="I1689" s="4"/>
    </row>
    <row r="1690">
      <c r="A1690" s="32">
        <v>1686.0</v>
      </c>
      <c r="B1690" s="33" t="s">
        <v>1723</v>
      </c>
      <c r="C1690" s="33" t="s">
        <v>2079</v>
      </c>
      <c r="D1690" s="33" t="s">
        <v>13</v>
      </c>
      <c r="E1690" s="33" t="s">
        <v>14</v>
      </c>
      <c r="F1690" s="33" t="s">
        <v>13</v>
      </c>
      <c r="G1690" s="33" t="s">
        <v>13</v>
      </c>
      <c r="H1690" s="33" t="s">
        <v>15</v>
      </c>
      <c r="I1690" s="4"/>
    </row>
    <row r="1691">
      <c r="A1691" s="32">
        <v>1687.0</v>
      </c>
      <c r="B1691" s="33" t="s">
        <v>1723</v>
      </c>
      <c r="C1691" s="33" t="s">
        <v>2080</v>
      </c>
      <c r="D1691" s="33" t="s">
        <v>13</v>
      </c>
      <c r="E1691" s="33" t="s">
        <v>14</v>
      </c>
      <c r="F1691" s="33" t="s">
        <v>13</v>
      </c>
      <c r="G1691" s="33" t="s">
        <v>13</v>
      </c>
      <c r="H1691" s="33" t="s">
        <v>15</v>
      </c>
      <c r="I1691" s="4"/>
    </row>
    <row r="1692">
      <c r="A1692" s="32">
        <v>1688.0</v>
      </c>
      <c r="B1692" s="33" t="s">
        <v>1723</v>
      </c>
      <c r="C1692" s="33" t="s">
        <v>2081</v>
      </c>
      <c r="D1692" s="33">
        <v>10.0</v>
      </c>
      <c r="E1692" s="33" t="s">
        <v>13</v>
      </c>
      <c r="F1692" s="33" t="s">
        <v>13</v>
      </c>
      <c r="G1692" s="33" t="s">
        <v>13</v>
      </c>
      <c r="H1692" s="33" t="s">
        <v>2082</v>
      </c>
      <c r="I1692" s="4"/>
    </row>
    <row r="1693">
      <c r="A1693" s="32">
        <v>1689.0</v>
      </c>
      <c r="B1693" s="33" t="s">
        <v>1723</v>
      </c>
      <c r="C1693" s="33" t="s">
        <v>2083</v>
      </c>
      <c r="D1693" s="33" t="s">
        <v>13</v>
      </c>
      <c r="E1693" s="33">
        <v>5.613119E7</v>
      </c>
      <c r="F1693" s="33" t="s">
        <v>13</v>
      </c>
      <c r="G1693" s="33" t="s">
        <v>13</v>
      </c>
      <c r="H1693" s="33" t="s">
        <v>13</v>
      </c>
      <c r="I1693" s="4"/>
    </row>
    <row r="1694">
      <c r="A1694" s="32">
        <v>1690.0</v>
      </c>
      <c r="B1694" s="33" t="s">
        <v>1723</v>
      </c>
      <c r="C1694" s="33" t="s">
        <v>2084</v>
      </c>
      <c r="D1694" s="33" t="s">
        <v>13</v>
      </c>
      <c r="E1694" s="33">
        <v>1.5541666E8</v>
      </c>
      <c r="F1694" s="33" t="s">
        <v>13</v>
      </c>
      <c r="G1694" s="33" t="s">
        <v>13</v>
      </c>
      <c r="H1694" s="33" t="s">
        <v>13</v>
      </c>
      <c r="I1694" s="4"/>
    </row>
    <row r="1695">
      <c r="A1695" s="32">
        <v>1691.0</v>
      </c>
      <c r="B1695" s="33" t="s">
        <v>1723</v>
      </c>
      <c r="C1695" s="33" t="s">
        <v>2085</v>
      </c>
      <c r="D1695" s="33">
        <v>67.0</v>
      </c>
      <c r="E1695" s="33" t="s">
        <v>13</v>
      </c>
      <c r="F1695" s="33" t="s">
        <v>13</v>
      </c>
      <c r="G1695" s="33" t="s">
        <v>13</v>
      </c>
      <c r="H1695" s="33" t="s">
        <v>1903</v>
      </c>
      <c r="I1695" s="4"/>
    </row>
    <row r="1696">
      <c r="A1696" s="32">
        <v>1692.0</v>
      </c>
      <c r="B1696" s="33" t="s">
        <v>1723</v>
      </c>
      <c r="C1696" s="33" t="s">
        <v>2086</v>
      </c>
      <c r="D1696" s="33">
        <v>4.0</v>
      </c>
      <c r="E1696" s="33" t="s">
        <v>13</v>
      </c>
      <c r="F1696" s="33" t="s">
        <v>13</v>
      </c>
      <c r="G1696" s="33" t="s">
        <v>13</v>
      </c>
      <c r="H1696" s="33" t="s">
        <v>2087</v>
      </c>
      <c r="I1696" s="4"/>
    </row>
    <row r="1697">
      <c r="A1697" s="32">
        <v>1693.0</v>
      </c>
      <c r="B1697" s="33" t="s">
        <v>1723</v>
      </c>
      <c r="C1697" s="33" t="s">
        <v>2088</v>
      </c>
      <c r="D1697" s="33" t="s">
        <v>13</v>
      </c>
      <c r="E1697" s="33" t="s">
        <v>14</v>
      </c>
      <c r="F1697" s="33" t="s">
        <v>13</v>
      </c>
      <c r="G1697" s="33" t="s">
        <v>13</v>
      </c>
      <c r="H1697" s="33" t="s">
        <v>15</v>
      </c>
      <c r="I1697" s="4"/>
    </row>
    <row r="1698">
      <c r="A1698" s="32">
        <v>1694.0</v>
      </c>
      <c r="B1698" s="33" t="s">
        <v>1723</v>
      </c>
      <c r="C1698" s="33" t="s">
        <v>2089</v>
      </c>
      <c r="D1698" s="33">
        <v>10.0</v>
      </c>
      <c r="E1698" s="33" t="s">
        <v>13</v>
      </c>
      <c r="F1698" s="33" t="s">
        <v>13</v>
      </c>
      <c r="G1698" s="33" t="s">
        <v>13</v>
      </c>
      <c r="H1698" s="33" t="s">
        <v>1826</v>
      </c>
      <c r="I1698" s="4"/>
    </row>
    <row r="1699">
      <c r="A1699" s="32">
        <v>1695.0</v>
      </c>
      <c r="B1699" s="33" t="s">
        <v>1723</v>
      </c>
      <c r="C1699" s="33" t="s">
        <v>2090</v>
      </c>
      <c r="D1699" s="33" t="s">
        <v>13</v>
      </c>
      <c r="E1699" s="33" t="s">
        <v>14</v>
      </c>
      <c r="F1699" s="33" t="s">
        <v>13</v>
      </c>
      <c r="G1699" s="33" t="s">
        <v>13</v>
      </c>
      <c r="H1699" s="33" t="s">
        <v>15</v>
      </c>
      <c r="I1699" s="4"/>
    </row>
    <row r="1700">
      <c r="A1700" s="32">
        <v>1696.0</v>
      </c>
      <c r="B1700" s="33" t="s">
        <v>1723</v>
      </c>
      <c r="C1700" s="33" t="s">
        <v>2091</v>
      </c>
      <c r="D1700" s="33" t="s">
        <v>13</v>
      </c>
      <c r="E1700" s="33">
        <v>1.8814839E8</v>
      </c>
      <c r="F1700" s="33" t="s">
        <v>13</v>
      </c>
      <c r="G1700" s="33" t="s">
        <v>13</v>
      </c>
      <c r="H1700" s="33" t="s">
        <v>13</v>
      </c>
      <c r="I1700" s="4"/>
    </row>
    <row r="1701">
      <c r="A1701" s="32">
        <v>1697.0</v>
      </c>
      <c r="B1701" s="33" t="s">
        <v>1723</v>
      </c>
      <c r="C1701" s="33" t="s">
        <v>2091</v>
      </c>
      <c r="D1701" s="33" t="s">
        <v>1731</v>
      </c>
      <c r="E1701" s="33">
        <v>1.9814839E8</v>
      </c>
      <c r="F1701" s="33" t="s">
        <v>13</v>
      </c>
      <c r="G1701" s="33" t="s">
        <v>1731</v>
      </c>
      <c r="H1701" s="33" t="s">
        <v>1731</v>
      </c>
      <c r="I1701" s="4"/>
    </row>
    <row r="1702">
      <c r="A1702" s="32">
        <v>1698.0</v>
      </c>
      <c r="B1702" s="33" t="s">
        <v>1723</v>
      </c>
      <c r="C1702" s="33" t="s">
        <v>2092</v>
      </c>
      <c r="D1702" s="33" t="s">
        <v>13</v>
      </c>
      <c r="E1702" s="33">
        <v>2967230.0</v>
      </c>
      <c r="F1702" s="33" t="s">
        <v>13</v>
      </c>
      <c r="G1702" s="33" t="s">
        <v>13</v>
      </c>
      <c r="H1702" s="33" t="s">
        <v>1748</v>
      </c>
      <c r="I1702" s="4"/>
    </row>
    <row r="1703">
      <c r="A1703" s="32">
        <v>1699.0</v>
      </c>
      <c r="B1703" s="33" t="s">
        <v>1723</v>
      </c>
      <c r="C1703" s="33" t="s">
        <v>2092</v>
      </c>
      <c r="D1703" s="33" t="s">
        <v>1731</v>
      </c>
      <c r="E1703" s="33">
        <v>2.967223E7</v>
      </c>
      <c r="F1703" s="33" t="s">
        <v>13</v>
      </c>
      <c r="G1703" s="33" t="s">
        <v>1731</v>
      </c>
      <c r="H1703" s="33" t="s">
        <v>1731</v>
      </c>
      <c r="I1703" s="4"/>
    </row>
    <row r="1704">
      <c r="A1704" s="32">
        <v>1700.0</v>
      </c>
      <c r="B1704" s="33" t="s">
        <v>1723</v>
      </c>
      <c r="C1704" s="33" t="s">
        <v>2093</v>
      </c>
      <c r="D1704" s="33" t="s">
        <v>13</v>
      </c>
      <c r="E1704" s="33" t="s">
        <v>2094</v>
      </c>
      <c r="F1704" s="33" t="s">
        <v>13</v>
      </c>
      <c r="G1704" s="33" t="s">
        <v>13</v>
      </c>
      <c r="H1704" s="33" t="s">
        <v>15</v>
      </c>
      <c r="I1704" s="4"/>
    </row>
    <row r="1705">
      <c r="A1705" s="32">
        <v>1701.0</v>
      </c>
      <c r="B1705" s="33" t="s">
        <v>1723</v>
      </c>
      <c r="C1705" s="33" t="s">
        <v>749</v>
      </c>
      <c r="D1705" s="33" t="s">
        <v>13</v>
      </c>
      <c r="E1705" s="33">
        <v>4.1498435E7</v>
      </c>
      <c r="F1705" s="33" t="s">
        <v>13</v>
      </c>
      <c r="G1705" s="33" t="s">
        <v>13</v>
      </c>
      <c r="H1705" s="33" t="s">
        <v>13</v>
      </c>
      <c r="I1705" s="4"/>
    </row>
    <row r="1706">
      <c r="A1706" s="32">
        <v>1702.0</v>
      </c>
      <c r="B1706" s="33" t="s">
        <v>1723</v>
      </c>
      <c r="C1706" s="33" t="s">
        <v>749</v>
      </c>
      <c r="D1706" s="33" t="s">
        <v>13</v>
      </c>
      <c r="E1706" s="33">
        <v>4.498435E7</v>
      </c>
      <c r="F1706" s="33" t="s">
        <v>13</v>
      </c>
      <c r="G1706" s="33" t="s">
        <v>13</v>
      </c>
      <c r="H1706" s="33" t="s">
        <v>13</v>
      </c>
      <c r="I1706" s="4"/>
    </row>
    <row r="1707">
      <c r="A1707" s="32">
        <v>1703.0</v>
      </c>
      <c r="B1707" s="33" t="s">
        <v>1723</v>
      </c>
      <c r="C1707" s="33" t="s">
        <v>2095</v>
      </c>
      <c r="D1707" s="33" t="s">
        <v>13</v>
      </c>
      <c r="E1707" s="33">
        <v>1.0384289E7</v>
      </c>
      <c r="F1707" s="33" t="s">
        <v>13</v>
      </c>
      <c r="G1707" s="33" t="s">
        <v>13</v>
      </c>
      <c r="H1707" s="33" t="s">
        <v>1748</v>
      </c>
      <c r="I1707" s="4"/>
    </row>
    <row r="1708">
      <c r="A1708" s="32">
        <v>1704.0</v>
      </c>
      <c r="B1708" s="33" t="s">
        <v>1723</v>
      </c>
      <c r="C1708" s="33" t="s">
        <v>2096</v>
      </c>
      <c r="D1708" s="33" t="s">
        <v>13</v>
      </c>
      <c r="E1708" s="33">
        <v>1.8384289E8</v>
      </c>
      <c r="F1708" s="33" t="s">
        <v>13</v>
      </c>
      <c r="G1708" s="33" t="s">
        <v>13</v>
      </c>
      <c r="H1708" s="33" t="s">
        <v>1847</v>
      </c>
      <c r="I1708" s="4"/>
    </row>
    <row r="1709">
      <c r="A1709" s="32">
        <v>1705.0</v>
      </c>
      <c r="B1709" s="33" t="s">
        <v>1723</v>
      </c>
      <c r="C1709" s="33" t="s">
        <v>2097</v>
      </c>
      <c r="D1709" s="33" t="s">
        <v>13</v>
      </c>
      <c r="E1709" s="33">
        <v>6.049995E7</v>
      </c>
      <c r="F1709" s="33" t="s">
        <v>13</v>
      </c>
      <c r="G1709" s="33" t="s">
        <v>13</v>
      </c>
      <c r="H1709" s="33" t="s">
        <v>1748</v>
      </c>
      <c r="I1709" s="4"/>
    </row>
    <row r="1710">
      <c r="A1710" s="32">
        <v>1706.0</v>
      </c>
      <c r="B1710" s="33" t="s">
        <v>1723</v>
      </c>
      <c r="C1710" s="33" t="s">
        <v>2098</v>
      </c>
      <c r="D1710" s="33">
        <v>49.0</v>
      </c>
      <c r="E1710" s="33" t="s">
        <v>13</v>
      </c>
      <c r="F1710" s="33" t="s">
        <v>13</v>
      </c>
      <c r="G1710" s="33" t="s">
        <v>13</v>
      </c>
      <c r="H1710" s="33" t="s">
        <v>2099</v>
      </c>
      <c r="I1710" s="4"/>
    </row>
    <row r="1711">
      <c r="A1711" s="32">
        <v>1707.0</v>
      </c>
      <c r="B1711" s="33" t="s">
        <v>1723</v>
      </c>
      <c r="C1711" s="33" t="s">
        <v>2100</v>
      </c>
      <c r="D1711" s="33" t="s">
        <v>13</v>
      </c>
      <c r="E1711" s="33">
        <v>2.8100561E7</v>
      </c>
      <c r="F1711" s="33" t="s">
        <v>13</v>
      </c>
      <c r="G1711" s="33" t="s">
        <v>13</v>
      </c>
      <c r="H1711" s="33" t="s">
        <v>13</v>
      </c>
      <c r="I1711" s="4"/>
    </row>
    <row r="1712">
      <c r="A1712" s="32">
        <v>1708.0</v>
      </c>
      <c r="B1712" s="33" t="s">
        <v>1723</v>
      </c>
      <c r="C1712" s="33" t="s">
        <v>2100</v>
      </c>
      <c r="D1712" s="33" t="s">
        <v>13</v>
      </c>
      <c r="E1712" s="33">
        <v>2.8100561E8</v>
      </c>
      <c r="F1712" s="33" t="s">
        <v>13</v>
      </c>
      <c r="G1712" s="33" t="s">
        <v>13</v>
      </c>
      <c r="H1712" s="33" t="s">
        <v>13</v>
      </c>
      <c r="I1712" s="4"/>
    </row>
    <row r="1713">
      <c r="A1713" s="32">
        <v>1709.0</v>
      </c>
      <c r="B1713" s="33" t="s">
        <v>1723</v>
      </c>
      <c r="C1713" s="33" t="s">
        <v>2101</v>
      </c>
      <c r="D1713" s="33" t="s">
        <v>13</v>
      </c>
      <c r="E1713" s="33">
        <v>6.059288E7</v>
      </c>
      <c r="F1713" s="33" t="s">
        <v>13</v>
      </c>
      <c r="G1713" s="33" t="s">
        <v>13</v>
      </c>
      <c r="H1713" s="33" t="s">
        <v>13</v>
      </c>
      <c r="I1713" s="4"/>
    </row>
    <row r="1714">
      <c r="A1714" s="32">
        <v>1710.0</v>
      </c>
      <c r="B1714" s="33" t="s">
        <v>1723</v>
      </c>
      <c r="C1714" s="33" t="s">
        <v>2101</v>
      </c>
      <c r="D1714" s="33" t="s">
        <v>1731</v>
      </c>
      <c r="E1714" s="33">
        <v>6.639288E7</v>
      </c>
      <c r="F1714" s="33" t="s">
        <v>13</v>
      </c>
      <c r="G1714" s="33" t="s">
        <v>1731</v>
      </c>
      <c r="H1714" s="33" t="s">
        <v>1731</v>
      </c>
      <c r="I1714" s="4"/>
    </row>
    <row r="1715">
      <c r="A1715" s="32">
        <v>1711.0</v>
      </c>
      <c r="B1715" s="33" t="s">
        <v>1723</v>
      </c>
      <c r="C1715" s="33" t="s">
        <v>2102</v>
      </c>
      <c r="D1715" s="33" t="s">
        <v>13</v>
      </c>
      <c r="E1715" s="33">
        <v>2.5025734E8</v>
      </c>
      <c r="F1715" s="33" t="s">
        <v>13</v>
      </c>
      <c r="G1715" s="33" t="s">
        <v>13</v>
      </c>
      <c r="H1715" s="33" t="s">
        <v>1748</v>
      </c>
      <c r="I1715" s="4"/>
    </row>
    <row r="1716">
      <c r="A1716" s="32">
        <v>1712.0</v>
      </c>
      <c r="B1716" s="33" t="s">
        <v>1723</v>
      </c>
      <c r="C1716" s="33" t="s">
        <v>2102</v>
      </c>
      <c r="D1716" s="33" t="s">
        <v>1731</v>
      </c>
      <c r="E1716" s="33">
        <v>2.3025734E8</v>
      </c>
      <c r="F1716" s="33" t="s">
        <v>13</v>
      </c>
      <c r="G1716" s="33" t="s">
        <v>1731</v>
      </c>
      <c r="H1716" s="33" t="s">
        <v>1731</v>
      </c>
      <c r="I1716" s="4"/>
    </row>
    <row r="1717">
      <c r="A1717" s="32">
        <v>1713.0</v>
      </c>
      <c r="B1717" s="33" t="s">
        <v>1723</v>
      </c>
      <c r="C1717" s="33" t="s">
        <v>2103</v>
      </c>
      <c r="D1717" s="33" t="s">
        <v>13</v>
      </c>
      <c r="E1717" s="33" t="s">
        <v>14</v>
      </c>
      <c r="F1717" s="33" t="s">
        <v>13</v>
      </c>
      <c r="G1717" s="33" t="s">
        <v>13</v>
      </c>
      <c r="H1717" s="33" t="s">
        <v>2104</v>
      </c>
      <c r="I1717" s="4"/>
    </row>
    <row r="1718">
      <c r="A1718" s="32">
        <v>1714.0</v>
      </c>
      <c r="B1718" s="33" t="s">
        <v>1723</v>
      </c>
      <c r="C1718" s="33" t="s">
        <v>2105</v>
      </c>
      <c r="D1718" s="33" t="s">
        <v>13</v>
      </c>
      <c r="E1718" s="33">
        <v>1.9102824E8</v>
      </c>
      <c r="F1718" s="33" t="s">
        <v>13</v>
      </c>
      <c r="G1718" s="33" t="s">
        <v>13</v>
      </c>
      <c r="H1718" s="33" t="s">
        <v>13</v>
      </c>
      <c r="I1718" s="4"/>
    </row>
    <row r="1719">
      <c r="A1719" s="32">
        <v>1715.0</v>
      </c>
      <c r="B1719" s="33" t="s">
        <v>1723</v>
      </c>
      <c r="C1719" s="33" t="s">
        <v>2106</v>
      </c>
      <c r="D1719" s="33" t="s">
        <v>13</v>
      </c>
      <c r="E1719" s="33">
        <v>1.0576899E8</v>
      </c>
      <c r="F1719" s="33" t="s">
        <v>13</v>
      </c>
      <c r="G1719" s="33" t="s">
        <v>13</v>
      </c>
      <c r="H1719" s="33" t="s">
        <v>13</v>
      </c>
      <c r="I1719" s="4"/>
    </row>
    <row r="1720">
      <c r="A1720" s="32">
        <v>1716.0</v>
      </c>
      <c r="B1720" s="33" t="s">
        <v>1723</v>
      </c>
      <c r="C1720" s="33" t="s">
        <v>2106</v>
      </c>
      <c r="D1720" s="33" t="s">
        <v>1731</v>
      </c>
      <c r="E1720" s="33">
        <v>1.0576999E8</v>
      </c>
      <c r="F1720" s="33" t="s">
        <v>13</v>
      </c>
      <c r="G1720" s="33" t="s">
        <v>1731</v>
      </c>
      <c r="H1720" s="33" t="s">
        <v>1731</v>
      </c>
      <c r="I1720" s="4"/>
    </row>
    <row r="1721">
      <c r="A1721" s="32">
        <v>1717.0</v>
      </c>
      <c r="B1721" s="33" t="s">
        <v>1723</v>
      </c>
      <c r="C1721" s="33" t="s">
        <v>2107</v>
      </c>
      <c r="D1721" s="33">
        <v>21.0</v>
      </c>
      <c r="E1721" s="33" t="s">
        <v>13</v>
      </c>
      <c r="F1721" s="33" t="s">
        <v>13</v>
      </c>
      <c r="G1721" s="33" t="s">
        <v>13</v>
      </c>
      <c r="H1721" s="33" t="s">
        <v>1742</v>
      </c>
      <c r="I1721" s="4"/>
    </row>
    <row r="1722">
      <c r="A1722" s="32">
        <v>1718.0</v>
      </c>
      <c r="B1722" s="33" t="s">
        <v>1723</v>
      </c>
      <c r="C1722" s="33" t="s">
        <v>2107</v>
      </c>
      <c r="D1722" s="33">
        <v>21.0</v>
      </c>
      <c r="E1722" s="33" t="s">
        <v>13</v>
      </c>
      <c r="F1722" s="33" t="s">
        <v>13</v>
      </c>
      <c r="G1722" s="33" t="s">
        <v>13</v>
      </c>
      <c r="H1722" s="33" t="s">
        <v>1903</v>
      </c>
      <c r="I1722" s="4"/>
    </row>
    <row r="1723">
      <c r="A1723" s="32">
        <v>1719.0</v>
      </c>
      <c r="B1723" s="33" t="s">
        <v>1723</v>
      </c>
      <c r="C1723" s="33" t="s">
        <v>2108</v>
      </c>
      <c r="D1723" s="33">
        <v>30.0</v>
      </c>
      <c r="E1723" s="33" t="s">
        <v>13</v>
      </c>
      <c r="F1723" s="33" t="s">
        <v>13</v>
      </c>
      <c r="G1723" s="33" t="s">
        <v>13</v>
      </c>
      <c r="H1723" s="33" t="s">
        <v>1752</v>
      </c>
      <c r="I1723" s="4"/>
    </row>
    <row r="1724">
      <c r="A1724" s="32">
        <v>1720.0</v>
      </c>
      <c r="B1724" s="33" t="s">
        <v>1723</v>
      </c>
      <c r="C1724" s="33" t="s">
        <v>2109</v>
      </c>
      <c r="D1724" s="33" t="s">
        <v>13</v>
      </c>
      <c r="E1724" s="33" t="s">
        <v>13</v>
      </c>
      <c r="F1724" s="33" t="s">
        <v>13</v>
      </c>
      <c r="G1724" s="33" t="s">
        <v>13</v>
      </c>
      <c r="H1724" s="33" t="s">
        <v>13</v>
      </c>
      <c r="I1724" s="4"/>
    </row>
    <row r="1725">
      <c r="A1725" s="32">
        <v>1721.0</v>
      </c>
      <c r="B1725" s="33" t="s">
        <v>1723</v>
      </c>
      <c r="C1725" s="33" t="s">
        <v>2110</v>
      </c>
      <c r="D1725" s="33">
        <v>8.0</v>
      </c>
      <c r="E1725" s="33" t="s">
        <v>13</v>
      </c>
      <c r="F1725" s="33" t="s">
        <v>13</v>
      </c>
      <c r="G1725" s="33" t="s">
        <v>13</v>
      </c>
      <c r="H1725" s="33" t="s">
        <v>2111</v>
      </c>
      <c r="I1725" s="4"/>
    </row>
    <row r="1726">
      <c r="A1726" s="32">
        <v>1722.0</v>
      </c>
      <c r="B1726" s="33" t="s">
        <v>1723</v>
      </c>
      <c r="C1726" s="33" t="s">
        <v>2112</v>
      </c>
      <c r="D1726" s="33" t="s">
        <v>13</v>
      </c>
      <c r="E1726" s="33" t="s">
        <v>13</v>
      </c>
      <c r="F1726" s="33" t="s">
        <v>13</v>
      </c>
      <c r="G1726" s="33" t="s">
        <v>13</v>
      </c>
      <c r="H1726" s="33" t="s">
        <v>1742</v>
      </c>
      <c r="I1726" s="4"/>
    </row>
    <row r="1727">
      <c r="A1727" s="32">
        <v>1723.0</v>
      </c>
      <c r="B1727" s="33" t="s">
        <v>1723</v>
      </c>
      <c r="C1727" s="33" t="s">
        <v>2113</v>
      </c>
      <c r="D1727" s="33" t="s">
        <v>13</v>
      </c>
      <c r="E1727" s="33">
        <v>1.0576899E7</v>
      </c>
      <c r="F1727" s="33" t="s">
        <v>13</v>
      </c>
      <c r="G1727" s="33" t="s">
        <v>13</v>
      </c>
      <c r="H1727" s="33" t="s">
        <v>13</v>
      </c>
      <c r="I1727" s="4"/>
    </row>
    <row r="1728">
      <c r="A1728" s="32">
        <v>1724.0</v>
      </c>
      <c r="B1728" s="33" t="s">
        <v>1723</v>
      </c>
      <c r="C1728" s="33" t="s">
        <v>2114</v>
      </c>
      <c r="D1728" s="33" t="s">
        <v>13</v>
      </c>
      <c r="E1728" s="33" t="s">
        <v>14</v>
      </c>
      <c r="F1728" s="33" t="s">
        <v>13</v>
      </c>
      <c r="G1728" s="33" t="s">
        <v>13</v>
      </c>
      <c r="H1728" s="33" t="s">
        <v>15</v>
      </c>
      <c r="I1728" s="4"/>
    </row>
    <row r="1729">
      <c r="A1729" s="32">
        <v>1725.0</v>
      </c>
      <c r="B1729" s="33" t="s">
        <v>1723</v>
      </c>
      <c r="C1729" s="33" t="s">
        <v>2115</v>
      </c>
      <c r="D1729" s="33" t="s">
        <v>13</v>
      </c>
      <c r="E1729" s="33" t="s">
        <v>14</v>
      </c>
      <c r="F1729" s="33" t="s">
        <v>13</v>
      </c>
      <c r="G1729" s="33" t="s">
        <v>13</v>
      </c>
      <c r="H1729" s="33" t="s">
        <v>15</v>
      </c>
      <c r="I1729" s="4"/>
    </row>
    <row r="1730">
      <c r="A1730" s="32">
        <v>1726.0</v>
      </c>
      <c r="B1730" s="33" t="s">
        <v>1723</v>
      </c>
      <c r="C1730" s="33" t="s">
        <v>2115</v>
      </c>
      <c r="D1730" s="33" t="s">
        <v>13</v>
      </c>
      <c r="E1730" s="33" t="s">
        <v>14</v>
      </c>
      <c r="F1730" s="33" t="s">
        <v>13</v>
      </c>
      <c r="G1730" s="33" t="s">
        <v>13</v>
      </c>
      <c r="H1730" s="33" t="s">
        <v>15</v>
      </c>
      <c r="I1730" s="4"/>
    </row>
    <row r="1731">
      <c r="A1731" s="32">
        <v>1727.0</v>
      </c>
      <c r="B1731" s="33" t="s">
        <v>1723</v>
      </c>
      <c r="C1731" s="33" t="s">
        <v>2116</v>
      </c>
      <c r="D1731" s="33" t="s">
        <v>13</v>
      </c>
      <c r="E1731" s="33">
        <v>1.9367804E7</v>
      </c>
      <c r="F1731" s="33" t="s">
        <v>13</v>
      </c>
      <c r="G1731" s="33" t="s">
        <v>13</v>
      </c>
      <c r="H1731" s="33" t="s">
        <v>13</v>
      </c>
      <c r="I1731" s="4"/>
    </row>
    <row r="1732">
      <c r="A1732" s="32">
        <v>1728.0</v>
      </c>
      <c r="B1732" s="33" t="s">
        <v>1723</v>
      </c>
      <c r="C1732" s="33" t="s">
        <v>2117</v>
      </c>
      <c r="D1732" s="33" t="s">
        <v>13</v>
      </c>
      <c r="E1732" s="33">
        <v>6.692167E7</v>
      </c>
      <c r="F1732" s="33" t="s">
        <v>13</v>
      </c>
      <c r="G1732" s="33" t="s">
        <v>13</v>
      </c>
      <c r="H1732" s="33" t="s">
        <v>1817</v>
      </c>
      <c r="I1732" s="4"/>
    </row>
    <row r="1733">
      <c r="A1733" s="32">
        <v>1729.0</v>
      </c>
      <c r="B1733" s="33" t="s">
        <v>1723</v>
      </c>
      <c r="C1733" s="33" t="s">
        <v>2118</v>
      </c>
      <c r="D1733" s="33" t="s">
        <v>13</v>
      </c>
      <c r="E1733" s="33">
        <v>6092167.0</v>
      </c>
      <c r="F1733" s="33" t="s">
        <v>13</v>
      </c>
      <c r="G1733" s="33" t="s">
        <v>13</v>
      </c>
      <c r="H1733" s="33" t="s">
        <v>13</v>
      </c>
      <c r="I1733" s="4"/>
    </row>
    <row r="1734">
      <c r="A1734" s="32">
        <v>1730.0</v>
      </c>
      <c r="B1734" s="33" t="s">
        <v>1723</v>
      </c>
      <c r="C1734" s="33" t="s">
        <v>2119</v>
      </c>
      <c r="D1734" s="33" t="s">
        <v>1731</v>
      </c>
      <c r="E1734" s="33">
        <v>1.1914021E8</v>
      </c>
      <c r="F1734" s="33" t="s">
        <v>13</v>
      </c>
      <c r="G1734" s="33" t="s">
        <v>1731</v>
      </c>
      <c r="H1734" s="33" t="s">
        <v>1731</v>
      </c>
      <c r="I1734" s="4"/>
    </row>
    <row r="1735">
      <c r="A1735" s="32">
        <v>1731.0</v>
      </c>
      <c r="B1735" s="33" t="s">
        <v>1723</v>
      </c>
      <c r="C1735" s="33" t="s">
        <v>2120</v>
      </c>
      <c r="D1735" s="33" t="s">
        <v>13</v>
      </c>
      <c r="E1735" s="33">
        <v>1.4194021E8</v>
      </c>
      <c r="F1735" s="33" t="s">
        <v>13</v>
      </c>
      <c r="G1735" s="33" t="s">
        <v>13</v>
      </c>
      <c r="H1735" s="33" t="s">
        <v>13</v>
      </c>
      <c r="I1735" s="4"/>
    </row>
    <row r="1736">
      <c r="A1736" s="32">
        <v>1732.0</v>
      </c>
      <c r="B1736" s="33" t="s">
        <v>1723</v>
      </c>
      <c r="C1736" s="33" t="s">
        <v>2121</v>
      </c>
      <c r="D1736" s="33">
        <v>3.0</v>
      </c>
      <c r="E1736" s="33" t="s">
        <v>13</v>
      </c>
      <c r="F1736" s="33" t="s">
        <v>13</v>
      </c>
      <c r="G1736" s="33" t="s">
        <v>13</v>
      </c>
      <c r="H1736" s="33" t="s">
        <v>2122</v>
      </c>
      <c r="I1736" s="4"/>
    </row>
    <row r="1737">
      <c r="A1737" s="32">
        <v>1733.0</v>
      </c>
      <c r="B1737" s="33" t="s">
        <v>1723</v>
      </c>
      <c r="C1737" s="33" t="s">
        <v>2123</v>
      </c>
      <c r="D1737" s="33">
        <v>13.0</v>
      </c>
      <c r="E1737" s="33" t="s">
        <v>13</v>
      </c>
      <c r="F1737" s="33" t="s">
        <v>13</v>
      </c>
      <c r="G1737" s="33" t="s">
        <v>13</v>
      </c>
      <c r="H1737" s="33" t="s">
        <v>13</v>
      </c>
      <c r="I1737" s="4"/>
    </row>
    <row r="1738">
      <c r="A1738" s="32">
        <v>1734.0</v>
      </c>
      <c r="B1738" s="33" t="s">
        <v>1723</v>
      </c>
      <c r="C1738" s="33" t="s">
        <v>2124</v>
      </c>
      <c r="D1738" s="33">
        <v>6.0</v>
      </c>
      <c r="E1738" s="33" t="s">
        <v>13</v>
      </c>
      <c r="F1738" s="33" t="s">
        <v>13</v>
      </c>
      <c r="G1738" s="33" t="s">
        <v>13</v>
      </c>
      <c r="H1738" s="33" t="s">
        <v>13</v>
      </c>
      <c r="I1738" s="4"/>
    </row>
    <row r="1739">
      <c r="A1739" s="32">
        <v>1735.0</v>
      </c>
      <c r="B1739" s="33" t="s">
        <v>1723</v>
      </c>
      <c r="C1739" s="33" t="s">
        <v>2125</v>
      </c>
      <c r="D1739" s="33" t="s">
        <v>13</v>
      </c>
      <c r="E1739" s="33" t="s">
        <v>13</v>
      </c>
      <c r="F1739" s="33" t="s">
        <v>13</v>
      </c>
      <c r="G1739" s="33" t="s">
        <v>13</v>
      </c>
      <c r="H1739" s="33" t="s">
        <v>2126</v>
      </c>
      <c r="I1739" s="4"/>
    </row>
    <row r="1740">
      <c r="A1740" s="32">
        <v>1736.0</v>
      </c>
      <c r="B1740" s="33" t="s">
        <v>1723</v>
      </c>
      <c r="C1740" s="33" t="s">
        <v>2127</v>
      </c>
      <c r="D1740" s="33">
        <v>28.0</v>
      </c>
      <c r="E1740" s="33">
        <v>2.6968781E7</v>
      </c>
      <c r="F1740" s="33" t="s">
        <v>13</v>
      </c>
      <c r="G1740" s="33" t="s">
        <v>13</v>
      </c>
      <c r="H1740" s="33" t="s">
        <v>13</v>
      </c>
      <c r="I1740" s="4"/>
    </row>
    <row r="1741">
      <c r="A1741" s="32">
        <v>1737.0</v>
      </c>
      <c r="B1741" s="33" t="s">
        <v>1723</v>
      </c>
      <c r="C1741" s="33" t="s">
        <v>2128</v>
      </c>
      <c r="D1741" s="33" t="s">
        <v>13</v>
      </c>
      <c r="E1741" s="33" t="s">
        <v>13</v>
      </c>
      <c r="F1741" s="33" t="s">
        <v>13</v>
      </c>
      <c r="G1741" s="33" t="s">
        <v>13</v>
      </c>
      <c r="H1741" s="33" t="s">
        <v>1742</v>
      </c>
      <c r="I1741" s="4"/>
    </row>
    <row r="1742">
      <c r="A1742" s="32">
        <v>1738.0</v>
      </c>
      <c r="B1742" s="33" t="s">
        <v>1723</v>
      </c>
      <c r="C1742" s="33" t="s">
        <v>2129</v>
      </c>
      <c r="D1742" s="33" t="s">
        <v>13</v>
      </c>
      <c r="E1742" s="33">
        <v>1.5249932E7</v>
      </c>
      <c r="F1742" s="33" t="s">
        <v>13</v>
      </c>
      <c r="G1742" s="33" t="s">
        <v>13</v>
      </c>
      <c r="H1742" s="33" t="s">
        <v>1729</v>
      </c>
      <c r="I1742" s="4"/>
    </row>
    <row r="1743">
      <c r="A1743" s="32">
        <v>1739.0</v>
      </c>
      <c r="B1743" s="33" t="s">
        <v>1723</v>
      </c>
      <c r="C1743" s="33" t="s">
        <v>2130</v>
      </c>
      <c r="D1743" s="33">
        <v>20.0</v>
      </c>
      <c r="E1743" s="33">
        <v>3.1291319E7</v>
      </c>
      <c r="F1743" s="33" t="s">
        <v>13</v>
      </c>
      <c r="G1743" s="33" t="s">
        <v>13</v>
      </c>
      <c r="H1743" s="33" t="s">
        <v>13</v>
      </c>
      <c r="I1743" s="4"/>
    </row>
    <row r="1744">
      <c r="A1744" s="32">
        <v>1740.0</v>
      </c>
      <c r="B1744" s="33" t="s">
        <v>1723</v>
      </c>
      <c r="C1744" s="33" t="s">
        <v>2131</v>
      </c>
      <c r="D1744" s="33" t="s">
        <v>13</v>
      </c>
      <c r="E1744" s="33">
        <v>285659.0</v>
      </c>
      <c r="F1744" s="33" t="s">
        <v>13</v>
      </c>
      <c r="G1744" s="33" t="s">
        <v>13</v>
      </c>
      <c r="H1744" s="33" t="s">
        <v>2132</v>
      </c>
      <c r="I1744" s="4"/>
    </row>
    <row r="1745">
      <c r="A1745" s="32">
        <v>1741.0</v>
      </c>
      <c r="B1745" s="33" t="s">
        <v>1723</v>
      </c>
      <c r="C1745" s="33" t="s">
        <v>2133</v>
      </c>
      <c r="D1745" s="33" t="s">
        <v>13</v>
      </c>
      <c r="E1745" s="33" t="s">
        <v>14</v>
      </c>
      <c r="F1745" s="33" t="s">
        <v>13</v>
      </c>
      <c r="G1745" s="33" t="s">
        <v>13</v>
      </c>
      <c r="H1745" s="33" t="s">
        <v>15</v>
      </c>
      <c r="I1745" s="4"/>
    </row>
    <row r="1746">
      <c r="A1746" s="32">
        <v>1742.0</v>
      </c>
      <c r="B1746" s="33" t="s">
        <v>1723</v>
      </c>
      <c r="C1746" s="33" t="s">
        <v>2133</v>
      </c>
      <c r="D1746" s="33" t="s">
        <v>13</v>
      </c>
      <c r="E1746" s="33" t="s">
        <v>14</v>
      </c>
      <c r="F1746" s="33" t="s">
        <v>13</v>
      </c>
      <c r="G1746" s="33" t="s">
        <v>13</v>
      </c>
      <c r="H1746" s="33" t="s">
        <v>15</v>
      </c>
      <c r="I1746" s="4"/>
    </row>
    <row r="1747">
      <c r="A1747" s="32">
        <v>1743.0</v>
      </c>
      <c r="B1747" s="33" t="s">
        <v>1723</v>
      </c>
      <c r="C1747" s="33" t="s">
        <v>2134</v>
      </c>
      <c r="D1747" s="33" t="s">
        <v>13</v>
      </c>
      <c r="E1747" s="33">
        <v>2.9565365E7</v>
      </c>
      <c r="F1747" s="33" t="s">
        <v>13</v>
      </c>
      <c r="G1747" s="33" t="s">
        <v>13</v>
      </c>
      <c r="H1747" s="33" t="s">
        <v>13</v>
      </c>
      <c r="I1747" s="4"/>
    </row>
    <row r="1748">
      <c r="A1748" s="32">
        <v>1744.0</v>
      </c>
      <c r="B1748" s="33" t="s">
        <v>1723</v>
      </c>
      <c r="C1748" s="33" t="s">
        <v>2135</v>
      </c>
      <c r="D1748" s="33" t="s">
        <v>13</v>
      </c>
      <c r="E1748" s="33" t="s">
        <v>2136</v>
      </c>
      <c r="F1748" s="33" t="s">
        <v>13</v>
      </c>
      <c r="G1748" s="33" t="s">
        <v>13</v>
      </c>
      <c r="H1748" s="33" t="s">
        <v>15</v>
      </c>
      <c r="I1748" s="4"/>
    </row>
    <row r="1749">
      <c r="A1749" s="32">
        <v>1745.0</v>
      </c>
      <c r="B1749" s="33" t="s">
        <v>1723</v>
      </c>
      <c r="C1749" s="33" t="s">
        <v>2137</v>
      </c>
      <c r="D1749" s="33">
        <v>5.0</v>
      </c>
      <c r="E1749" s="33" t="s">
        <v>13</v>
      </c>
      <c r="F1749" s="33" t="s">
        <v>13</v>
      </c>
      <c r="G1749" s="33" t="s">
        <v>13</v>
      </c>
      <c r="H1749" s="33" t="s">
        <v>452</v>
      </c>
      <c r="I1749" s="4"/>
    </row>
    <row r="1750">
      <c r="A1750" s="32">
        <v>1746.0</v>
      </c>
      <c r="B1750" s="33" t="s">
        <v>1723</v>
      </c>
      <c r="C1750" s="33" t="s">
        <v>2138</v>
      </c>
      <c r="D1750" s="33" t="s">
        <v>13</v>
      </c>
      <c r="E1750" s="33" t="s">
        <v>14</v>
      </c>
      <c r="F1750" s="33" t="s">
        <v>13</v>
      </c>
      <c r="G1750" s="33" t="s">
        <v>13</v>
      </c>
      <c r="H1750" s="33" t="s">
        <v>15</v>
      </c>
      <c r="I1750" s="4"/>
    </row>
    <row r="1751">
      <c r="A1751" s="32">
        <v>1747.0</v>
      </c>
      <c r="B1751" s="33" t="s">
        <v>1723</v>
      </c>
      <c r="C1751" s="33" t="s">
        <v>2139</v>
      </c>
      <c r="D1751" s="33" t="s">
        <v>13</v>
      </c>
      <c r="E1751" s="33" t="s">
        <v>13</v>
      </c>
      <c r="F1751" s="33" t="s">
        <v>13</v>
      </c>
      <c r="G1751" s="33" t="s">
        <v>13</v>
      </c>
      <c r="H1751" s="33" t="s">
        <v>2140</v>
      </c>
      <c r="I1751" s="4"/>
    </row>
    <row r="1752">
      <c r="A1752" s="32">
        <v>1748.0</v>
      </c>
      <c r="B1752" s="33" t="s">
        <v>1723</v>
      </c>
      <c r="C1752" s="33" t="s">
        <v>2141</v>
      </c>
      <c r="D1752" s="33" t="s">
        <v>13</v>
      </c>
      <c r="E1752" s="33" t="s">
        <v>13</v>
      </c>
      <c r="F1752" s="33" t="s">
        <v>13</v>
      </c>
      <c r="G1752" s="33" t="s">
        <v>13</v>
      </c>
      <c r="H1752" s="33" t="s">
        <v>2142</v>
      </c>
      <c r="I1752" s="4"/>
    </row>
    <row r="1753">
      <c r="A1753" s="32">
        <v>1749.0</v>
      </c>
      <c r="B1753" s="33" t="s">
        <v>1723</v>
      </c>
      <c r="C1753" s="33" t="s">
        <v>2143</v>
      </c>
      <c r="D1753" s="33" t="s">
        <v>13</v>
      </c>
      <c r="E1753" s="33" t="s">
        <v>14</v>
      </c>
      <c r="F1753" s="33" t="s">
        <v>13</v>
      </c>
      <c r="G1753" s="33" t="s">
        <v>13</v>
      </c>
      <c r="H1753" s="33" t="s">
        <v>15</v>
      </c>
      <c r="I1753" s="4"/>
    </row>
    <row r="1754">
      <c r="A1754" s="32">
        <v>1750.0</v>
      </c>
      <c r="B1754" s="33" t="s">
        <v>1723</v>
      </c>
      <c r="C1754" s="33" t="s">
        <v>2144</v>
      </c>
      <c r="D1754" s="33" t="s">
        <v>13</v>
      </c>
      <c r="E1754" s="33" t="s">
        <v>13</v>
      </c>
      <c r="F1754" s="33" t="s">
        <v>13</v>
      </c>
      <c r="G1754" s="33" t="s">
        <v>13</v>
      </c>
      <c r="H1754" s="33" t="s">
        <v>1742</v>
      </c>
      <c r="I1754" s="4"/>
    </row>
    <row r="1755">
      <c r="A1755" s="32">
        <v>1751.0</v>
      </c>
      <c r="B1755" s="33" t="s">
        <v>1723</v>
      </c>
      <c r="C1755" s="33" t="s">
        <v>2145</v>
      </c>
      <c r="D1755" s="33">
        <v>6.0</v>
      </c>
      <c r="E1755" s="33" t="s">
        <v>13</v>
      </c>
      <c r="F1755" s="33" t="s">
        <v>13</v>
      </c>
      <c r="G1755" s="33" t="s">
        <v>13</v>
      </c>
      <c r="H1755" s="33" t="s">
        <v>1804</v>
      </c>
      <c r="I1755" s="4"/>
    </row>
    <row r="1756">
      <c r="A1756" s="32">
        <v>1752.0</v>
      </c>
      <c r="B1756" s="33" t="s">
        <v>1723</v>
      </c>
      <c r="C1756" s="33" t="s">
        <v>2146</v>
      </c>
      <c r="D1756" s="33" t="s">
        <v>13</v>
      </c>
      <c r="E1756" s="33" t="s">
        <v>14</v>
      </c>
      <c r="F1756" s="33" t="s">
        <v>13</v>
      </c>
      <c r="G1756" s="33" t="s">
        <v>13</v>
      </c>
      <c r="H1756" s="33" t="s">
        <v>15</v>
      </c>
      <c r="I1756" s="4"/>
    </row>
    <row r="1757">
      <c r="A1757" s="32">
        <v>1753.0</v>
      </c>
      <c r="B1757" s="33" t="s">
        <v>1723</v>
      </c>
      <c r="C1757" s="33" t="s">
        <v>2147</v>
      </c>
      <c r="D1757" s="33">
        <v>11.0</v>
      </c>
      <c r="E1757" s="33" t="s">
        <v>13</v>
      </c>
      <c r="F1757" s="33" t="s">
        <v>13</v>
      </c>
      <c r="G1757" s="33" t="s">
        <v>13</v>
      </c>
      <c r="H1757" s="33" t="s">
        <v>2148</v>
      </c>
      <c r="I1757" s="4"/>
    </row>
    <row r="1758">
      <c r="A1758" s="32">
        <v>1754.0</v>
      </c>
      <c r="B1758" s="33" t="s">
        <v>1723</v>
      </c>
      <c r="C1758" s="33" t="s">
        <v>2149</v>
      </c>
      <c r="D1758" s="33">
        <v>11.0</v>
      </c>
      <c r="E1758" s="33" t="s">
        <v>13</v>
      </c>
      <c r="F1758" s="33" t="s">
        <v>13</v>
      </c>
      <c r="G1758" s="33" t="s">
        <v>13</v>
      </c>
      <c r="H1758" s="33" t="s">
        <v>1930</v>
      </c>
      <c r="I1758" s="4"/>
    </row>
    <row r="1759">
      <c r="A1759" s="32">
        <v>1755.0</v>
      </c>
      <c r="B1759" s="33" t="s">
        <v>1723</v>
      </c>
      <c r="C1759" s="33" t="s">
        <v>2150</v>
      </c>
      <c r="D1759" s="33" t="s">
        <v>13</v>
      </c>
      <c r="E1759" s="33">
        <v>2.7399207E7</v>
      </c>
      <c r="F1759" s="33" t="s">
        <v>13</v>
      </c>
      <c r="G1759" s="33" t="s">
        <v>13</v>
      </c>
      <c r="H1759" s="33" t="s">
        <v>1826</v>
      </c>
      <c r="I1759" s="4"/>
    </row>
    <row r="1760">
      <c r="A1760" s="32">
        <v>1756.0</v>
      </c>
      <c r="B1760" s="33" t="s">
        <v>1723</v>
      </c>
      <c r="C1760" s="33" t="s">
        <v>2151</v>
      </c>
      <c r="D1760" s="33">
        <v>17.0</v>
      </c>
      <c r="E1760" s="33" t="s">
        <v>13</v>
      </c>
      <c r="F1760" s="33" t="s">
        <v>13</v>
      </c>
      <c r="G1760" s="33" t="s">
        <v>13</v>
      </c>
      <c r="H1760" s="33" t="s">
        <v>2152</v>
      </c>
      <c r="I1760" s="4"/>
    </row>
    <row r="1761">
      <c r="A1761" s="32">
        <v>1757.0</v>
      </c>
      <c r="B1761" s="33" t="s">
        <v>1723</v>
      </c>
      <c r="C1761" s="33" t="s">
        <v>2153</v>
      </c>
      <c r="D1761" s="33" t="s">
        <v>13</v>
      </c>
      <c r="E1761" s="33" t="s">
        <v>14</v>
      </c>
      <c r="F1761" s="33" t="s">
        <v>13</v>
      </c>
      <c r="G1761" s="33" t="s">
        <v>13</v>
      </c>
      <c r="H1761" s="33" t="s">
        <v>15</v>
      </c>
      <c r="I1761" s="4"/>
    </row>
    <row r="1762">
      <c r="A1762" s="32">
        <v>1758.0</v>
      </c>
      <c r="B1762" s="33" t="s">
        <v>1723</v>
      </c>
      <c r="C1762" s="33" t="s">
        <v>410</v>
      </c>
      <c r="D1762" s="33">
        <v>13.0</v>
      </c>
      <c r="E1762" s="33" t="s">
        <v>13</v>
      </c>
      <c r="F1762" s="33" t="s">
        <v>13</v>
      </c>
      <c r="G1762" s="33" t="s">
        <v>13</v>
      </c>
      <c r="H1762" s="33" t="s">
        <v>1800</v>
      </c>
      <c r="I1762" s="4"/>
    </row>
    <row r="1763">
      <c r="A1763" s="32">
        <v>1759.0</v>
      </c>
      <c r="B1763" s="33" t="s">
        <v>1723</v>
      </c>
      <c r="C1763" s="33" t="s">
        <v>2154</v>
      </c>
      <c r="D1763" s="33" t="s">
        <v>13</v>
      </c>
      <c r="E1763" s="33">
        <v>3.4054588E7</v>
      </c>
      <c r="F1763" s="33" t="s">
        <v>13</v>
      </c>
      <c r="G1763" s="33" t="s">
        <v>13</v>
      </c>
      <c r="H1763" s="33" t="s">
        <v>13</v>
      </c>
      <c r="I1763" s="4"/>
    </row>
    <row r="1764">
      <c r="A1764" s="32">
        <v>1760.0</v>
      </c>
      <c r="B1764" s="33" t="s">
        <v>1723</v>
      </c>
      <c r="C1764" s="33" t="s">
        <v>2155</v>
      </c>
      <c r="D1764" s="33" t="s">
        <v>13</v>
      </c>
      <c r="E1764" s="33" t="s">
        <v>14</v>
      </c>
      <c r="F1764" s="33" t="s">
        <v>13</v>
      </c>
      <c r="G1764" s="33" t="s">
        <v>13</v>
      </c>
      <c r="H1764" s="33" t="s">
        <v>2156</v>
      </c>
      <c r="I1764" s="4"/>
    </row>
    <row r="1765">
      <c r="A1765" s="32">
        <v>1761.0</v>
      </c>
      <c r="B1765" s="33" t="s">
        <v>1723</v>
      </c>
      <c r="C1765" s="33" t="s">
        <v>2157</v>
      </c>
      <c r="D1765" s="33" t="s">
        <v>13</v>
      </c>
      <c r="E1765" s="33">
        <v>1.7158021E8</v>
      </c>
      <c r="F1765" s="33" t="s">
        <v>13</v>
      </c>
      <c r="G1765" s="33" t="s">
        <v>13</v>
      </c>
      <c r="H1765" s="33" t="s">
        <v>1748</v>
      </c>
      <c r="I1765" s="4"/>
    </row>
    <row r="1766">
      <c r="A1766" s="32">
        <v>1762.0</v>
      </c>
      <c r="B1766" s="33" t="s">
        <v>1723</v>
      </c>
      <c r="C1766" s="33" t="s">
        <v>2158</v>
      </c>
      <c r="D1766" s="33" t="s">
        <v>13</v>
      </c>
      <c r="E1766" s="33">
        <v>1.9734177E7</v>
      </c>
      <c r="F1766" s="33" t="s">
        <v>13</v>
      </c>
      <c r="G1766" s="33" t="s">
        <v>13</v>
      </c>
      <c r="H1766" s="33" t="s">
        <v>13</v>
      </c>
      <c r="I1766" s="4"/>
    </row>
    <row r="1767">
      <c r="A1767" s="32">
        <v>1763.0</v>
      </c>
      <c r="B1767" s="33" t="s">
        <v>1723</v>
      </c>
      <c r="C1767" s="33" t="s">
        <v>2159</v>
      </c>
      <c r="D1767" s="33" t="s">
        <v>13</v>
      </c>
      <c r="E1767" s="33" t="s">
        <v>14</v>
      </c>
      <c r="F1767" s="33" t="s">
        <v>13</v>
      </c>
      <c r="G1767" s="33" t="s">
        <v>13</v>
      </c>
      <c r="H1767" s="33" t="s">
        <v>2160</v>
      </c>
      <c r="I1767" s="4"/>
    </row>
    <row r="1768">
      <c r="A1768" s="32">
        <v>1764.0</v>
      </c>
      <c r="B1768" s="33" t="s">
        <v>1723</v>
      </c>
      <c r="C1768" s="33" t="s">
        <v>2161</v>
      </c>
      <c r="D1768" s="33">
        <v>13.0</v>
      </c>
      <c r="E1768" s="33" t="s">
        <v>13</v>
      </c>
      <c r="F1768" s="33" t="s">
        <v>13</v>
      </c>
      <c r="G1768" s="33" t="s">
        <v>13</v>
      </c>
      <c r="H1768" s="33" t="s">
        <v>1742</v>
      </c>
      <c r="I1768" s="4"/>
    </row>
    <row r="1769">
      <c r="A1769" s="32">
        <v>1765.0</v>
      </c>
      <c r="B1769" s="33" t="s">
        <v>1723</v>
      </c>
      <c r="C1769" s="33" t="s">
        <v>2162</v>
      </c>
      <c r="D1769" s="33" t="s">
        <v>13</v>
      </c>
      <c r="E1769" s="33" t="s">
        <v>13</v>
      </c>
      <c r="F1769" s="33" t="s">
        <v>13</v>
      </c>
      <c r="G1769" s="33" t="s">
        <v>13</v>
      </c>
      <c r="H1769" s="33" t="s">
        <v>1742</v>
      </c>
      <c r="I1769" s="4"/>
    </row>
    <row r="1770">
      <c r="A1770" s="32">
        <v>1766.0</v>
      </c>
      <c r="B1770" s="33" t="s">
        <v>1723</v>
      </c>
      <c r="C1770" s="33" t="s">
        <v>2163</v>
      </c>
      <c r="D1770" s="33" t="s">
        <v>13</v>
      </c>
      <c r="E1770" s="33" t="s">
        <v>13</v>
      </c>
      <c r="F1770" s="33" t="s">
        <v>13</v>
      </c>
      <c r="G1770" s="33" t="s">
        <v>13</v>
      </c>
      <c r="H1770" s="33" t="s">
        <v>1742</v>
      </c>
      <c r="I1770" s="4"/>
    </row>
    <row r="1771">
      <c r="A1771" s="32">
        <v>1767.0</v>
      </c>
      <c r="B1771" s="33" t="s">
        <v>1723</v>
      </c>
      <c r="C1771" s="33" t="s">
        <v>2164</v>
      </c>
      <c r="D1771" s="33" t="s">
        <v>13</v>
      </c>
      <c r="E1771" s="33" t="s">
        <v>14</v>
      </c>
      <c r="F1771" s="33" t="s">
        <v>13</v>
      </c>
      <c r="G1771" s="33" t="s">
        <v>13</v>
      </c>
      <c r="H1771" s="33" t="s">
        <v>15</v>
      </c>
      <c r="I1771" s="4"/>
    </row>
    <row r="1772">
      <c r="A1772" s="32">
        <v>1768.0</v>
      </c>
      <c r="B1772" s="33" t="s">
        <v>1723</v>
      </c>
      <c r="C1772" s="33" t="s">
        <v>2165</v>
      </c>
      <c r="D1772" s="33" t="s">
        <v>13</v>
      </c>
      <c r="E1772" s="33" t="s">
        <v>14</v>
      </c>
      <c r="F1772" s="33" t="s">
        <v>13</v>
      </c>
      <c r="G1772" s="33" t="s">
        <v>13</v>
      </c>
      <c r="H1772" s="33" t="s">
        <v>2166</v>
      </c>
      <c r="I1772" s="4"/>
    </row>
    <row r="1773">
      <c r="A1773" s="32">
        <v>1769.0</v>
      </c>
      <c r="B1773" s="33" t="s">
        <v>1723</v>
      </c>
      <c r="C1773" s="33" t="s">
        <v>2167</v>
      </c>
      <c r="D1773" s="33" t="s">
        <v>13</v>
      </c>
      <c r="E1773" s="33" t="s">
        <v>2168</v>
      </c>
      <c r="F1773" s="33" t="s">
        <v>13</v>
      </c>
      <c r="G1773" s="33" t="s">
        <v>13</v>
      </c>
      <c r="H1773" s="33" t="s">
        <v>15</v>
      </c>
      <c r="I1773" s="4"/>
    </row>
    <row r="1774">
      <c r="A1774" s="32">
        <v>1770.0</v>
      </c>
      <c r="B1774" s="33" t="s">
        <v>1723</v>
      </c>
      <c r="C1774" s="33" t="s">
        <v>2169</v>
      </c>
      <c r="D1774" s="33" t="s">
        <v>13</v>
      </c>
      <c r="E1774" s="33" t="s">
        <v>13</v>
      </c>
      <c r="F1774" s="33" t="s">
        <v>13</v>
      </c>
      <c r="G1774" s="33" t="s">
        <v>13</v>
      </c>
      <c r="H1774" s="33" t="s">
        <v>2170</v>
      </c>
      <c r="I1774" s="4"/>
    </row>
    <row r="1775">
      <c r="A1775" s="32">
        <v>1771.0</v>
      </c>
      <c r="B1775" s="33" t="s">
        <v>1723</v>
      </c>
      <c r="C1775" s="33" t="s">
        <v>2171</v>
      </c>
      <c r="D1775" s="33" t="s">
        <v>13</v>
      </c>
      <c r="E1775" s="33">
        <v>2.976836E7</v>
      </c>
      <c r="F1775" s="33" t="s">
        <v>13</v>
      </c>
      <c r="G1775" s="33" t="s">
        <v>13</v>
      </c>
      <c r="H1775" s="33" t="s">
        <v>13</v>
      </c>
      <c r="I1775" s="4"/>
    </row>
    <row r="1776">
      <c r="A1776" s="32">
        <v>1772.0</v>
      </c>
      <c r="B1776" s="33" t="s">
        <v>1723</v>
      </c>
      <c r="C1776" s="33" t="s">
        <v>2172</v>
      </c>
      <c r="D1776" s="33" t="s">
        <v>13</v>
      </c>
      <c r="E1776" s="33" t="s">
        <v>2173</v>
      </c>
      <c r="F1776" s="33" t="s">
        <v>13</v>
      </c>
      <c r="G1776" s="33" t="s">
        <v>13</v>
      </c>
      <c r="H1776" s="33" t="s">
        <v>15</v>
      </c>
      <c r="I1776" s="4"/>
    </row>
    <row r="1777">
      <c r="A1777" s="32">
        <v>1773.0</v>
      </c>
      <c r="B1777" s="33" t="s">
        <v>1723</v>
      </c>
      <c r="C1777" s="33" t="s">
        <v>2174</v>
      </c>
      <c r="D1777" s="33" t="s">
        <v>13</v>
      </c>
      <c r="E1777" s="33">
        <v>2.976836E8</v>
      </c>
      <c r="F1777" s="33" t="s">
        <v>13</v>
      </c>
      <c r="G1777" s="33" t="s">
        <v>13</v>
      </c>
      <c r="H1777" s="33" t="s">
        <v>13</v>
      </c>
      <c r="I1777" s="4"/>
    </row>
    <row r="1778">
      <c r="A1778" s="32">
        <v>1774.0</v>
      </c>
      <c r="B1778" s="33" t="s">
        <v>1723</v>
      </c>
      <c r="C1778" s="33" t="s">
        <v>2175</v>
      </c>
      <c r="D1778" s="33">
        <v>23.0</v>
      </c>
      <c r="E1778" s="33" t="s">
        <v>13</v>
      </c>
      <c r="F1778" s="33" t="s">
        <v>13</v>
      </c>
      <c r="G1778" s="33" t="s">
        <v>13</v>
      </c>
      <c r="H1778" s="33" t="s">
        <v>1903</v>
      </c>
      <c r="I1778" s="4"/>
    </row>
    <row r="1779">
      <c r="A1779" s="32">
        <v>1775.0</v>
      </c>
      <c r="B1779" s="33" t="s">
        <v>1723</v>
      </c>
      <c r="C1779" s="33" t="s">
        <v>2176</v>
      </c>
      <c r="D1779" s="33">
        <v>0.0</v>
      </c>
      <c r="E1779" s="33" t="s">
        <v>13</v>
      </c>
      <c r="F1779" s="33" t="s">
        <v>13</v>
      </c>
      <c r="G1779" s="33" t="s">
        <v>13</v>
      </c>
      <c r="H1779" s="33" t="s">
        <v>2177</v>
      </c>
      <c r="I1779" s="4"/>
    </row>
    <row r="1780">
      <c r="A1780" s="32">
        <v>1776.0</v>
      </c>
      <c r="B1780" s="33" t="s">
        <v>1723</v>
      </c>
      <c r="C1780" s="33" t="s">
        <v>162</v>
      </c>
      <c r="D1780" s="33" t="s">
        <v>13</v>
      </c>
      <c r="E1780" s="33">
        <v>2.5025734E7</v>
      </c>
      <c r="F1780" s="33" t="s">
        <v>13</v>
      </c>
      <c r="G1780" s="33" t="s">
        <v>13</v>
      </c>
      <c r="H1780" s="33" t="s">
        <v>13</v>
      </c>
      <c r="I1780" s="4"/>
    </row>
    <row r="1781">
      <c r="A1781" s="32">
        <v>1777.0</v>
      </c>
      <c r="B1781" s="33" t="s">
        <v>1723</v>
      </c>
      <c r="C1781" s="33" t="s">
        <v>2178</v>
      </c>
      <c r="D1781" s="33" t="s">
        <v>13</v>
      </c>
      <c r="E1781" s="33" t="s">
        <v>13</v>
      </c>
      <c r="F1781" s="33" t="s">
        <v>13</v>
      </c>
      <c r="G1781" s="33" t="s">
        <v>13</v>
      </c>
      <c r="H1781" s="33" t="s">
        <v>2179</v>
      </c>
      <c r="I1781" s="4"/>
    </row>
    <row r="1782">
      <c r="A1782" s="32">
        <v>1778.0</v>
      </c>
      <c r="B1782" s="33" t="s">
        <v>1723</v>
      </c>
      <c r="C1782" s="33" t="s">
        <v>2180</v>
      </c>
      <c r="D1782" s="33" t="s">
        <v>13</v>
      </c>
      <c r="E1782" s="33">
        <v>2.9565096E7</v>
      </c>
      <c r="F1782" s="33" t="s">
        <v>13</v>
      </c>
      <c r="G1782" s="33" t="s">
        <v>13</v>
      </c>
      <c r="H1782" s="33" t="s">
        <v>13</v>
      </c>
      <c r="I1782" s="4"/>
    </row>
    <row r="1783">
      <c r="A1783" s="32">
        <v>1779.0</v>
      </c>
      <c r="B1783" s="33" t="s">
        <v>1723</v>
      </c>
      <c r="C1783" s="33" t="s">
        <v>2180</v>
      </c>
      <c r="D1783" s="33" t="s">
        <v>13</v>
      </c>
      <c r="E1783" s="33">
        <v>5.965096E7</v>
      </c>
      <c r="F1783" s="33" t="s">
        <v>13</v>
      </c>
      <c r="G1783" s="33" t="s">
        <v>13</v>
      </c>
      <c r="H1783" s="33" t="s">
        <v>1847</v>
      </c>
      <c r="I1783" s="4"/>
    </row>
    <row r="1784">
      <c r="A1784" s="32">
        <v>1780.0</v>
      </c>
      <c r="B1784" s="33" t="s">
        <v>1723</v>
      </c>
      <c r="C1784" s="33" t="s">
        <v>2181</v>
      </c>
      <c r="D1784" s="33">
        <v>96.0</v>
      </c>
      <c r="E1784" s="33" t="s">
        <v>13</v>
      </c>
      <c r="F1784" s="33" t="s">
        <v>13</v>
      </c>
      <c r="G1784" s="33" t="s">
        <v>13</v>
      </c>
      <c r="H1784" s="33" t="s">
        <v>1903</v>
      </c>
      <c r="I1784" s="4"/>
    </row>
    <row r="1785">
      <c r="A1785" s="32">
        <v>1781.0</v>
      </c>
      <c r="B1785" s="33" t="s">
        <v>1723</v>
      </c>
      <c r="C1785" s="33" t="s">
        <v>2182</v>
      </c>
      <c r="D1785" s="33" t="s">
        <v>13</v>
      </c>
      <c r="E1785" s="33" t="s">
        <v>14</v>
      </c>
      <c r="F1785" s="33" t="s">
        <v>13</v>
      </c>
      <c r="G1785" s="33" t="s">
        <v>13</v>
      </c>
      <c r="H1785" s="33" t="s">
        <v>15</v>
      </c>
      <c r="I1785" s="4"/>
    </row>
    <row r="1786">
      <c r="A1786" s="32">
        <v>1782.0</v>
      </c>
      <c r="B1786" s="33" t="s">
        <v>1723</v>
      </c>
      <c r="C1786" s="33" t="s">
        <v>2183</v>
      </c>
      <c r="D1786" s="33" t="s">
        <v>13</v>
      </c>
      <c r="E1786" s="33">
        <v>3.4588981E7</v>
      </c>
      <c r="F1786" s="33" t="s">
        <v>13</v>
      </c>
      <c r="G1786" s="33" t="s">
        <v>13</v>
      </c>
      <c r="H1786" s="33" t="s">
        <v>13</v>
      </c>
      <c r="I1786" s="4"/>
    </row>
    <row r="1787">
      <c r="A1787" s="32">
        <v>1783.0</v>
      </c>
      <c r="B1787" s="33" t="s">
        <v>1723</v>
      </c>
      <c r="C1787" s="33" t="s">
        <v>2184</v>
      </c>
      <c r="D1787" s="33" t="s">
        <v>13</v>
      </c>
      <c r="E1787" s="33" t="s">
        <v>2185</v>
      </c>
      <c r="F1787" s="33" t="s">
        <v>13</v>
      </c>
      <c r="G1787" s="33" t="s">
        <v>13</v>
      </c>
      <c r="H1787" s="33" t="s">
        <v>15</v>
      </c>
      <c r="I1787" s="4"/>
    </row>
    <row r="1788">
      <c r="A1788" s="32">
        <v>1784.0</v>
      </c>
      <c r="B1788" s="33" t="s">
        <v>1723</v>
      </c>
      <c r="C1788" s="33" t="s">
        <v>2186</v>
      </c>
      <c r="D1788" s="33" t="s">
        <v>13</v>
      </c>
      <c r="E1788" s="33">
        <v>2.8285779E7</v>
      </c>
      <c r="F1788" s="33" t="s">
        <v>13</v>
      </c>
      <c r="G1788" s="33" t="s">
        <v>13</v>
      </c>
      <c r="H1788" s="33" t="s">
        <v>13</v>
      </c>
      <c r="I1788" s="4"/>
    </row>
    <row r="1789">
      <c r="A1789" s="32">
        <v>1785.0</v>
      </c>
      <c r="B1789" s="33" t="s">
        <v>1723</v>
      </c>
      <c r="C1789" s="33" t="s">
        <v>2187</v>
      </c>
      <c r="D1789" s="33" t="s">
        <v>13</v>
      </c>
      <c r="E1789" s="33" t="s">
        <v>2188</v>
      </c>
      <c r="F1789" s="33" t="s">
        <v>13</v>
      </c>
      <c r="G1789" s="33" t="s">
        <v>13</v>
      </c>
      <c r="H1789" s="33" t="s">
        <v>15</v>
      </c>
      <c r="I1789" s="4"/>
    </row>
    <row r="1790">
      <c r="A1790" s="32">
        <v>1786.0</v>
      </c>
      <c r="B1790" s="33" t="s">
        <v>1723</v>
      </c>
      <c r="C1790" s="33" t="s">
        <v>2189</v>
      </c>
      <c r="D1790" s="33" t="s">
        <v>13</v>
      </c>
      <c r="E1790" s="33" t="s">
        <v>13</v>
      </c>
      <c r="F1790" s="33" t="s">
        <v>13</v>
      </c>
      <c r="G1790" s="33" t="s">
        <v>13</v>
      </c>
      <c r="H1790" s="33" t="s">
        <v>1742</v>
      </c>
      <c r="I1790" s="4"/>
    </row>
    <row r="1791">
      <c r="A1791" s="32">
        <v>1787.0</v>
      </c>
      <c r="B1791" s="33" t="s">
        <v>1723</v>
      </c>
      <c r="C1791" s="33" t="s">
        <v>2190</v>
      </c>
      <c r="D1791" s="33" t="s">
        <v>13</v>
      </c>
      <c r="E1791" s="33" t="s">
        <v>14</v>
      </c>
      <c r="F1791" s="33" t="s">
        <v>13</v>
      </c>
      <c r="G1791" s="33" t="s">
        <v>13</v>
      </c>
      <c r="H1791" s="33" t="s">
        <v>15</v>
      </c>
      <c r="I1791" s="4"/>
    </row>
    <row r="1792">
      <c r="A1792" s="32">
        <v>1788.0</v>
      </c>
      <c r="B1792" s="33" t="s">
        <v>1723</v>
      </c>
      <c r="C1792" s="33" t="s">
        <v>2191</v>
      </c>
      <c r="D1792" s="33">
        <v>40.0</v>
      </c>
      <c r="E1792" s="33">
        <v>1.7475718E7</v>
      </c>
      <c r="F1792" s="33" t="s">
        <v>13</v>
      </c>
      <c r="G1792" s="33" t="s">
        <v>13</v>
      </c>
      <c r="H1792" s="33" t="s">
        <v>13</v>
      </c>
      <c r="I1792" s="4"/>
    </row>
    <row r="1793">
      <c r="A1793" s="32">
        <v>1789.0</v>
      </c>
      <c r="B1793" s="33" t="s">
        <v>1723</v>
      </c>
      <c r="C1793" s="33" t="s">
        <v>2192</v>
      </c>
      <c r="D1793" s="33" t="s">
        <v>1731</v>
      </c>
      <c r="E1793" s="33">
        <v>1.5341666E8</v>
      </c>
      <c r="F1793" s="33" t="s">
        <v>13</v>
      </c>
      <c r="G1793" s="33" t="s">
        <v>1731</v>
      </c>
      <c r="H1793" s="33" t="s">
        <v>1731</v>
      </c>
      <c r="I1793" s="4"/>
    </row>
    <row r="1794">
      <c r="A1794" s="32">
        <v>1790.0</v>
      </c>
      <c r="B1794" s="33" t="s">
        <v>1723</v>
      </c>
      <c r="C1794" s="33" t="s">
        <v>2193</v>
      </c>
      <c r="D1794" s="33">
        <v>5.0</v>
      </c>
      <c r="E1794" s="33" t="s">
        <v>13</v>
      </c>
      <c r="F1794" s="33" t="s">
        <v>13</v>
      </c>
      <c r="G1794" s="33" t="s">
        <v>13</v>
      </c>
      <c r="H1794" s="33" t="s">
        <v>13</v>
      </c>
      <c r="I1794" s="4"/>
    </row>
    <row r="1795">
      <c r="A1795" s="32">
        <v>1791.0</v>
      </c>
      <c r="B1795" s="33" t="s">
        <v>1723</v>
      </c>
      <c r="C1795" s="33" t="s">
        <v>2194</v>
      </c>
      <c r="D1795" s="33" t="s">
        <v>13</v>
      </c>
      <c r="E1795" s="33">
        <v>2.9565365E8</v>
      </c>
      <c r="F1795" s="33" t="s">
        <v>13</v>
      </c>
      <c r="G1795" s="33" t="s">
        <v>13</v>
      </c>
      <c r="H1795" s="33" t="s">
        <v>13</v>
      </c>
      <c r="I1795" s="4"/>
    </row>
    <row r="1796">
      <c r="A1796" s="32">
        <v>1792.0</v>
      </c>
      <c r="B1796" s="33" t="s">
        <v>1723</v>
      </c>
      <c r="C1796" s="33" t="s">
        <v>2195</v>
      </c>
      <c r="D1796" s="33" t="s">
        <v>13</v>
      </c>
      <c r="E1796" s="33">
        <v>3.0072743E7</v>
      </c>
      <c r="F1796" s="33" t="s">
        <v>13</v>
      </c>
      <c r="G1796" s="33" t="s">
        <v>13</v>
      </c>
      <c r="H1796" s="33" t="s">
        <v>13</v>
      </c>
      <c r="I1796" s="4"/>
    </row>
    <row r="1797">
      <c r="A1797" s="32">
        <v>1793.0</v>
      </c>
      <c r="B1797" s="33" t="s">
        <v>1723</v>
      </c>
      <c r="C1797" s="33" t="s">
        <v>2196</v>
      </c>
      <c r="D1797" s="33" t="s">
        <v>1731</v>
      </c>
      <c r="E1797" s="33">
        <v>1.846204E8</v>
      </c>
      <c r="F1797" s="33" t="s">
        <v>13</v>
      </c>
      <c r="G1797" s="33" t="s">
        <v>1731</v>
      </c>
      <c r="H1797" s="33" t="s">
        <v>1731</v>
      </c>
      <c r="I1797" s="4"/>
    </row>
    <row r="1798">
      <c r="A1798" s="32">
        <v>1794.0</v>
      </c>
      <c r="B1798" s="33" t="s">
        <v>1723</v>
      </c>
      <c r="C1798" s="33" t="s">
        <v>2197</v>
      </c>
      <c r="D1798" s="33" t="s">
        <v>1731</v>
      </c>
      <c r="E1798" s="33">
        <v>2.5337514E8</v>
      </c>
      <c r="F1798" s="33" t="s">
        <v>13</v>
      </c>
      <c r="G1798" s="33" t="s">
        <v>1731</v>
      </c>
      <c r="H1798" s="33" t="s">
        <v>1731</v>
      </c>
      <c r="I1798" s="4"/>
    </row>
    <row r="1799">
      <c r="A1799" s="32">
        <v>1795.0</v>
      </c>
      <c r="B1799" s="33" t="s">
        <v>1723</v>
      </c>
      <c r="C1799" s="33" t="s">
        <v>2198</v>
      </c>
      <c r="D1799" s="33" t="s">
        <v>13</v>
      </c>
      <c r="E1799" s="33">
        <v>9416493.0</v>
      </c>
      <c r="F1799" s="33" t="s">
        <v>13</v>
      </c>
      <c r="G1799" s="33" t="s">
        <v>13</v>
      </c>
      <c r="H1799" s="33" t="s">
        <v>13</v>
      </c>
      <c r="I1799" s="4"/>
    </row>
    <row r="1800">
      <c r="A1800" s="32">
        <v>1796.0</v>
      </c>
      <c r="B1800" s="33" t="s">
        <v>1723</v>
      </c>
      <c r="C1800" s="33" t="s">
        <v>1613</v>
      </c>
      <c r="D1800" s="33" t="s">
        <v>13</v>
      </c>
      <c r="E1800" s="33">
        <v>4281217.0</v>
      </c>
      <c r="F1800" s="33" t="s">
        <v>13</v>
      </c>
      <c r="G1800" s="33" t="s">
        <v>13</v>
      </c>
      <c r="H1800" s="33" t="s">
        <v>13</v>
      </c>
      <c r="I1800" s="4"/>
    </row>
    <row r="1801">
      <c r="A1801" s="32">
        <v>1797.0</v>
      </c>
      <c r="B1801" s="33" t="s">
        <v>1723</v>
      </c>
      <c r="C1801" s="33" t="s">
        <v>2199</v>
      </c>
      <c r="D1801" s="33" t="s">
        <v>13</v>
      </c>
      <c r="E1801" s="33" t="s">
        <v>14</v>
      </c>
      <c r="F1801" s="33" t="s">
        <v>13</v>
      </c>
      <c r="G1801" s="33" t="s">
        <v>13</v>
      </c>
      <c r="H1801" s="33" t="s">
        <v>15</v>
      </c>
      <c r="I1801" s="4"/>
    </row>
    <row r="1802">
      <c r="A1802" s="32">
        <v>1798.0</v>
      </c>
      <c r="B1802" s="33" t="s">
        <v>1723</v>
      </c>
      <c r="C1802" s="33" t="s">
        <v>2200</v>
      </c>
      <c r="D1802" s="33" t="s">
        <v>13</v>
      </c>
      <c r="E1802" s="33" t="s">
        <v>14</v>
      </c>
      <c r="F1802" s="33" t="s">
        <v>13</v>
      </c>
      <c r="G1802" s="33" t="s">
        <v>13</v>
      </c>
      <c r="H1802" s="33" t="s">
        <v>15</v>
      </c>
      <c r="I1802" s="4"/>
    </row>
    <row r="1803">
      <c r="A1803" s="32">
        <v>1799.0</v>
      </c>
      <c r="B1803" s="33" t="s">
        <v>1723</v>
      </c>
      <c r="C1803" s="33" t="s">
        <v>1269</v>
      </c>
      <c r="D1803" s="33" t="s">
        <v>13</v>
      </c>
      <c r="E1803" s="33" t="s">
        <v>13</v>
      </c>
      <c r="F1803" s="33" t="s">
        <v>13</v>
      </c>
      <c r="G1803" s="33" t="s">
        <v>13</v>
      </c>
      <c r="H1803" s="33" t="s">
        <v>2201</v>
      </c>
      <c r="I1803" s="4"/>
    </row>
    <row r="1804">
      <c r="A1804" s="32">
        <v>1800.0</v>
      </c>
      <c r="B1804" s="33" t="s">
        <v>1723</v>
      </c>
      <c r="C1804" s="33" t="s">
        <v>2202</v>
      </c>
      <c r="D1804" s="33" t="s">
        <v>13</v>
      </c>
      <c r="E1804" s="33" t="s">
        <v>13</v>
      </c>
      <c r="F1804" s="33" t="s">
        <v>13</v>
      </c>
      <c r="G1804" s="33" t="s">
        <v>13</v>
      </c>
      <c r="H1804" s="33" t="s">
        <v>13</v>
      </c>
      <c r="I1804" s="4"/>
    </row>
    <row r="1805">
      <c r="A1805" s="32">
        <v>1801.0</v>
      </c>
      <c r="B1805" s="33" t="s">
        <v>1723</v>
      </c>
      <c r="C1805" s="33" t="s">
        <v>2203</v>
      </c>
      <c r="D1805" s="33" t="s">
        <v>13</v>
      </c>
      <c r="E1805" s="33">
        <v>2.7006264E8</v>
      </c>
      <c r="F1805" s="33" t="s">
        <v>13</v>
      </c>
      <c r="G1805" s="33" t="s">
        <v>13</v>
      </c>
      <c r="H1805" s="33" t="s">
        <v>13</v>
      </c>
      <c r="I1805" s="4"/>
    </row>
    <row r="1806">
      <c r="A1806" s="32">
        <v>1802.0</v>
      </c>
      <c r="B1806" s="33" t="s">
        <v>1723</v>
      </c>
      <c r="C1806" s="33" t="s">
        <v>2204</v>
      </c>
      <c r="D1806" s="33" t="s">
        <v>13</v>
      </c>
      <c r="E1806" s="33">
        <v>2.6647295E7</v>
      </c>
      <c r="F1806" s="33" t="s">
        <v>13</v>
      </c>
      <c r="G1806" s="33" t="s">
        <v>13</v>
      </c>
      <c r="H1806" s="33" t="s">
        <v>1729</v>
      </c>
      <c r="I1806" s="4"/>
    </row>
    <row r="1807">
      <c r="A1807" s="32">
        <v>1803.0</v>
      </c>
      <c r="B1807" s="33" t="s">
        <v>1723</v>
      </c>
      <c r="C1807" s="33" t="s">
        <v>2205</v>
      </c>
      <c r="D1807" s="33" t="s">
        <v>13</v>
      </c>
      <c r="E1807" s="33">
        <v>1.4312852E8</v>
      </c>
      <c r="F1807" s="33" t="s">
        <v>13</v>
      </c>
      <c r="G1807" s="33" t="s">
        <v>13</v>
      </c>
      <c r="H1807" s="33" t="s">
        <v>13</v>
      </c>
      <c r="I1807" s="4"/>
    </row>
    <row r="1808">
      <c r="A1808" s="32">
        <v>1804.0</v>
      </c>
      <c r="B1808" s="33" t="s">
        <v>1723</v>
      </c>
      <c r="C1808" s="33" t="s">
        <v>2206</v>
      </c>
      <c r="D1808" s="33" t="s">
        <v>13</v>
      </c>
      <c r="E1808" s="33" t="s">
        <v>14</v>
      </c>
      <c r="F1808" s="33" t="s">
        <v>13</v>
      </c>
      <c r="G1808" s="33" t="s">
        <v>13</v>
      </c>
      <c r="H1808" s="33" t="s">
        <v>15</v>
      </c>
      <c r="I1808" s="4"/>
    </row>
    <row r="1809">
      <c r="A1809" s="32">
        <v>1805.0</v>
      </c>
      <c r="B1809" s="33" t="s">
        <v>1723</v>
      </c>
      <c r="C1809" s="33" t="s">
        <v>2207</v>
      </c>
      <c r="D1809" s="33" t="s">
        <v>13</v>
      </c>
      <c r="E1809" s="33" t="s">
        <v>14</v>
      </c>
      <c r="F1809" s="33" t="s">
        <v>13</v>
      </c>
      <c r="G1809" s="33" t="s">
        <v>13</v>
      </c>
      <c r="H1809" s="33" t="s">
        <v>15</v>
      </c>
      <c r="I1809" s="4"/>
    </row>
    <row r="1810">
      <c r="A1810" s="32">
        <v>1806.0</v>
      </c>
      <c r="B1810" s="33" t="s">
        <v>1723</v>
      </c>
      <c r="C1810" s="33" t="s">
        <v>2208</v>
      </c>
      <c r="D1810" s="33" t="s">
        <v>2209</v>
      </c>
      <c r="E1810" s="33" t="s">
        <v>13</v>
      </c>
      <c r="F1810" s="33" t="s">
        <v>13</v>
      </c>
      <c r="G1810" s="33" t="s">
        <v>13</v>
      </c>
      <c r="H1810" s="33" t="s">
        <v>452</v>
      </c>
      <c r="I1810" s="4"/>
    </row>
    <row r="1811">
      <c r="A1811" s="32">
        <v>1807.0</v>
      </c>
      <c r="B1811" s="33" t="s">
        <v>1723</v>
      </c>
      <c r="C1811" s="33" t="s">
        <v>2210</v>
      </c>
      <c r="D1811" s="33" t="s">
        <v>13</v>
      </c>
      <c r="E1811" s="33" t="s">
        <v>13</v>
      </c>
      <c r="F1811" s="33" t="s">
        <v>13</v>
      </c>
      <c r="G1811" s="33" t="s">
        <v>13</v>
      </c>
      <c r="H1811" s="33" t="s">
        <v>1742</v>
      </c>
      <c r="I1811" s="4"/>
    </row>
    <row r="1812">
      <c r="A1812" s="32">
        <v>1808.0</v>
      </c>
      <c r="B1812" s="33" t="s">
        <v>1723</v>
      </c>
      <c r="C1812" s="33" t="s">
        <v>2211</v>
      </c>
      <c r="D1812" s="33" t="s">
        <v>13</v>
      </c>
      <c r="E1812" s="33">
        <v>3.3645919E7</v>
      </c>
      <c r="F1812" s="33" t="s">
        <v>13</v>
      </c>
      <c r="G1812" s="33" t="s">
        <v>13</v>
      </c>
      <c r="H1812" s="33" t="s">
        <v>1729</v>
      </c>
      <c r="I1812" s="4"/>
    </row>
    <row r="1813">
      <c r="A1813" s="32">
        <v>1809.0</v>
      </c>
      <c r="B1813" s="33" t="s">
        <v>1723</v>
      </c>
      <c r="C1813" s="33" t="s">
        <v>2212</v>
      </c>
      <c r="D1813" s="33">
        <v>12.0</v>
      </c>
      <c r="E1813" s="33" t="s">
        <v>13</v>
      </c>
      <c r="F1813" s="33" t="s">
        <v>13</v>
      </c>
      <c r="G1813" s="33" t="s">
        <v>13</v>
      </c>
      <c r="H1813" s="33" t="s">
        <v>1787</v>
      </c>
      <c r="I1813" s="4"/>
    </row>
    <row r="1814">
      <c r="A1814" s="32">
        <v>1810.0</v>
      </c>
      <c r="B1814" s="33" t="s">
        <v>1723</v>
      </c>
      <c r="C1814" s="33" t="s">
        <v>2213</v>
      </c>
      <c r="D1814" s="33" t="s">
        <v>13</v>
      </c>
      <c r="E1814" s="33" t="s">
        <v>14</v>
      </c>
      <c r="F1814" s="33" t="s">
        <v>13</v>
      </c>
      <c r="G1814" s="33" t="s">
        <v>13</v>
      </c>
      <c r="H1814" s="33" t="s">
        <v>15</v>
      </c>
      <c r="I1814" s="4"/>
    </row>
    <row r="1815">
      <c r="A1815" s="32">
        <v>1811.0</v>
      </c>
      <c r="B1815" s="33" t="s">
        <v>1723</v>
      </c>
      <c r="C1815" s="33" t="s">
        <v>2214</v>
      </c>
      <c r="D1815" s="33" t="s">
        <v>13</v>
      </c>
      <c r="E1815" s="33">
        <v>4.1634669E7</v>
      </c>
      <c r="F1815" s="33" t="s">
        <v>13</v>
      </c>
      <c r="G1815" s="33" t="s">
        <v>13</v>
      </c>
      <c r="H1815" s="33" t="s">
        <v>13</v>
      </c>
      <c r="I1815" s="4"/>
    </row>
    <row r="1816">
      <c r="A1816" s="32">
        <v>1812.0</v>
      </c>
      <c r="B1816" s="33" t="s">
        <v>1723</v>
      </c>
      <c r="C1816" s="33" t="s">
        <v>2214</v>
      </c>
      <c r="D1816" s="33" t="s">
        <v>13</v>
      </c>
      <c r="E1816" s="33">
        <v>4.163469E7</v>
      </c>
      <c r="F1816" s="33" t="s">
        <v>13</v>
      </c>
      <c r="G1816" s="33" t="s">
        <v>13</v>
      </c>
      <c r="H1816" s="33" t="s">
        <v>13</v>
      </c>
      <c r="I1816" s="4"/>
    </row>
    <row r="1817">
      <c r="A1817" s="32">
        <v>1813.0</v>
      </c>
      <c r="B1817" s="33" t="s">
        <v>1723</v>
      </c>
      <c r="C1817" s="33" t="s">
        <v>2215</v>
      </c>
      <c r="D1817" s="33" t="s">
        <v>13</v>
      </c>
      <c r="E1817" s="33">
        <v>5199652.0</v>
      </c>
      <c r="F1817" s="33" t="s">
        <v>13</v>
      </c>
      <c r="G1817" s="33" t="s">
        <v>13</v>
      </c>
      <c r="H1817" s="33" t="s">
        <v>13</v>
      </c>
      <c r="I1817" s="4"/>
    </row>
    <row r="1818">
      <c r="A1818" s="32">
        <v>1814.0</v>
      </c>
      <c r="B1818" s="33" t="s">
        <v>1723</v>
      </c>
      <c r="C1818" s="33" t="s">
        <v>2216</v>
      </c>
      <c r="D1818" s="33" t="s">
        <v>13</v>
      </c>
      <c r="E1818" s="33" t="s">
        <v>13</v>
      </c>
      <c r="F1818" s="33" t="s">
        <v>13</v>
      </c>
      <c r="G1818" s="33" t="s">
        <v>13</v>
      </c>
      <c r="H1818" s="33" t="s">
        <v>1742</v>
      </c>
      <c r="I1818" s="4"/>
    </row>
    <row r="1819">
      <c r="A1819" s="32">
        <v>1815.0</v>
      </c>
      <c r="B1819" s="33" t="s">
        <v>1723</v>
      </c>
      <c r="C1819" s="33" t="s">
        <v>2217</v>
      </c>
      <c r="D1819" s="33" t="s">
        <v>13</v>
      </c>
      <c r="E1819" s="33" t="s">
        <v>13</v>
      </c>
      <c r="F1819" s="33" t="s">
        <v>13</v>
      </c>
      <c r="G1819" s="33" t="s">
        <v>13</v>
      </c>
      <c r="H1819" s="33" t="s">
        <v>1835</v>
      </c>
      <c r="I1819" s="4"/>
    </row>
    <row r="1820">
      <c r="A1820" s="32">
        <v>1816.0</v>
      </c>
      <c r="B1820" s="33" t="s">
        <v>1723</v>
      </c>
      <c r="C1820" s="33" t="s">
        <v>2218</v>
      </c>
      <c r="D1820" s="33" t="s">
        <v>13</v>
      </c>
      <c r="E1820" s="33" t="s">
        <v>13</v>
      </c>
      <c r="F1820" s="33" t="s">
        <v>13</v>
      </c>
      <c r="G1820" s="33" t="s">
        <v>13</v>
      </c>
      <c r="H1820" s="33" t="s">
        <v>1742</v>
      </c>
      <c r="I1820" s="4"/>
    </row>
    <row r="1821">
      <c r="A1821" s="32">
        <v>1817.0</v>
      </c>
      <c r="B1821" s="33" t="s">
        <v>1723</v>
      </c>
      <c r="C1821" s="33" t="s">
        <v>2219</v>
      </c>
      <c r="D1821" s="33" t="s">
        <v>13</v>
      </c>
      <c r="E1821" s="33">
        <v>2.6327366E7</v>
      </c>
      <c r="F1821" s="33" t="s">
        <v>13</v>
      </c>
      <c r="G1821" s="33" t="s">
        <v>13</v>
      </c>
      <c r="H1821" s="33" t="s">
        <v>13</v>
      </c>
      <c r="I1821" s="4"/>
    </row>
    <row r="1822">
      <c r="A1822" s="32">
        <v>1818.0</v>
      </c>
      <c r="B1822" s="33" t="s">
        <v>1723</v>
      </c>
      <c r="C1822" s="33" t="s">
        <v>2220</v>
      </c>
      <c r="D1822" s="33" t="s">
        <v>1731</v>
      </c>
      <c r="E1822" s="33">
        <v>2.6327366E8</v>
      </c>
      <c r="F1822" s="33" t="s">
        <v>13</v>
      </c>
      <c r="G1822" s="33" t="s">
        <v>1731</v>
      </c>
      <c r="H1822" s="33" t="s">
        <v>1731</v>
      </c>
      <c r="I1822" s="4"/>
    </row>
    <row r="1823">
      <c r="A1823" s="32">
        <v>1819.0</v>
      </c>
      <c r="B1823" s="33" t="s">
        <v>1723</v>
      </c>
      <c r="C1823" s="33" t="s">
        <v>2221</v>
      </c>
      <c r="D1823" s="33" t="s">
        <v>13</v>
      </c>
      <c r="E1823" s="33" t="s">
        <v>2222</v>
      </c>
      <c r="F1823" s="33" t="s">
        <v>13</v>
      </c>
      <c r="G1823" s="33" t="s">
        <v>13</v>
      </c>
      <c r="H1823" s="33" t="s">
        <v>15</v>
      </c>
      <c r="I1823" s="4"/>
    </row>
    <row r="1824">
      <c r="A1824" s="32">
        <v>1820.0</v>
      </c>
      <c r="B1824" s="33" t="s">
        <v>1723</v>
      </c>
      <c r="C1824" s="33" t="s">
        <v>2223</v>
      </c>
      <c r="D1824" s="33" t="s">
        <v>13</v>
      </c>
      <c r="E1824" s="33" t="s">
        <v>14</v>
      </c>
      <c r="F1824" s="33" t="s">
        <v>13</v>
      </c>
      <c r="G1824" s="33" t="s">
        <v>13</v>
      </c>
      <c r="H1824" s="33" t="s">
        <v>15</v>
      </c>
      <c r="I1824" s="4"/>
    </row>
    <row r="1825">
      <c r="A1825" s="32">
        <v>1821.0</v>
      </c>
      <c r="B1825" s="33" t="s">
        <v>1723</v>
      </c>
      <c r="C1825" s="33" t="s">
        <v>2224</v>
      </c>
      <c r="D1825" s="33" t="s">
        <v>13</v>
      </c>
      <c r="E1825" s="33" t="s">
        <v>13</v>
      </c>
      <c r="F1825" s="33" t="s">
        <v>13</v>
      </c>
      <c r="G1825" s="33" t="s">
        <v>13</v>
      </c>
      <c r="H1825" s="33" t="s">
        <v>13</v>
      </c>
      <c r="I1825" s="4"/>
    </row>
    <row r="1826">
      <c r="A1826" s="32">
        <v>1822.0</v>
      </c>
      <c r="B1826" s="33" t="s">
        <v>1723</v>
      </c>
      <c r="C1826" s="33" t="s">
        <v>2225</v>
      </c>
      <c r="D1826" s="33" t="s">
        <v>13</v>
      </c>
      <c r="E1826" s="33" t="s">
        <v>14</v>
      </c>
      <c r="F1826" s="33" t="s">
        <v>13</v>
      </c>
      <c r="G1826" s="33" t="s">
        <v>13</v>
      </c>
      <c r="H1826" s="33" t="s">
        <v>15</v>
      </c>
      <c r="I1826" s="4"/>
    </row>
    <row r="1827">
      <c r="A1827" s="32">
        <v>1823.0</v>
      </c>
      <c r="B1827" s="33" t="s">
        <v>1723</v>
      </c>
      <c r="C1827" s="33" t="s">
        <v>2225</v>
      </c>
      <c r="D1827" s="33" t="s">
        <v>13</v>
      </c>
      <c r="E1827" s="33" t="s">
        <v>14</v>
      </c>
      <c r="F1827" s="33" t="s">
        <v>13</v>
      </c>
      <c r="G1827" s="33" t="s">
        <v>13</v>
      </c>
      <c r="H1827" s="33" t="s">
        <v>15</v>
      </c>
      <c r="I1827" s="4"/>
    </row>
    <row r="1828">
      <c r="A1828" s="32">
        <v>1824.0</v>
      </c>
      <c r="B1828" s="33" t="s">
        <v>1723</v>
      </c>
      <c r="C1828" s="33" t="s">
        <v>2226</v>
      </c>
      <c r="D1828" s="33" t="s">
        <v>13</v>
      </c>
      <c r="E1828" s="33">
        <v>6.4488239E7</v>
      </c>
      <c r="F1828" s="33" t="s">
        <v>13</v>
      </c>
      <c r="G1828" s="33" t="s">
        <v>13</v>
      </c>
      <c r="H1828" s="33" t="s">
        <v>13</v>
      </c>
      <c r="I1828" s="4"/>
    </row>
    <row r="1829">
      <c r="A1829" s="32">
        <v>1825.0</v>
      </c>
      <c r="B1829" s="33" t="s">
        <v>1723</v>
      </c>
      <c r="C1829" s="33" t="s">
        <v>2227</v>
      </c>
      <c r="D1829" s="33" t="s">
        <v>13</v>
      </c>
      <c r="E1829" s="33" t="s">
        <v>13</v>
      </c>
      <c r="F1829" s="33" t="s">
        <v>13</v>
      </c>
      <c r="G1829" s="33" t="s">
        <v>13</v>
      </c>
      <c r="H1829" s="33" t="s">
        <v>1907</v>
      </c>
      <c r="I1829" s="4"/>
    </row>
    <row r="1830">
      <c r="A1830" s="32">
        <v>1826.0</v>
      </c>
      <c r="B1830" s="33" t="s">
        <v>1723</v>
      </c>
      <c r="C1830" s="33" t="s">
        <v>2228</v>
      </c>
      <c r="D1830" s="33" t="s">
        <v>13</v>
      </c>
      <c r="E1830" s="33" t="s">
        <v>2229</v>
      </c>
      <c r="F1830" s="33" t="s">
        <v>13</v>
      </c>
      <c r="G1830" s="33" t="s">
        <v>13</v>
      </c>
      <c r="H1830" s="33" t="s">
        <v>15</v>
      </c>
      <c r="I1830" s="4"/>
    </row>
    <row r="1831">
      <c r="A1831" s="32">
        <v>1827.0</v>
      </c>
      <c r="B1831" s="33" t="s">
        <v>1723</v>
      </c>
      <c r="C1831" s="33" t="s">
        <v>2230</v>
      </c>
      <c r="D1831" s="33">
        <v>12.0</v>
      </c>
      <c r="E1831" s="33" t="s">
        <v>13</v>
      </c>
      <c r="F1831" s="33" t="s">
        <v>13</v>
      </c>
      <c r="G1831" s="33" t="s">
        <v>13</v>
      </c>
      <c r="H1831" s="33" t="s">
        <v>1800</v>
      </c>
      <c r="I1831" s="4"/>
    </row>
    <row r="1832">
      <c r="A1832" s="32">
        <v>1828.0</v>
      </c>
      <c r="B1832" s="33" t="s">
        <v>1723</v>
      </c>
      <c r="C1832" s="33" t="s">
        <v>2231</v>
      </c>
      <c r="D1832" s="33" t="s">
        <v>13</v>
      </c>
      <c r="E1832" s="33" t="s">
        <v>14</v>
      </c>
      <c r="F1832" s="33" t="s">
        <v>13</v>
      </c>
      <c r="G1832" s="33" t="s">
        <v>13</v>
      </c>
      <c r="H1832" s="33" t="s">
        <v>15</v>
      </c>
      <c r="I1832" s="4"/>
    </row>
    <row r="1833">
      <c r="A1833" s="32">
        <v>1829.0</v>
      </c>
      <c r="B1833" s="33" t="s">
        <v>1723</v>
      </c>
      <c r="C1833" s="33" t="s">
        <v>2232</v>
      </c>
      <c r="D1833" s="33" t="s">
        <v>13</v>
      </c>
      <c r="E1833" s="33">
        <v>3.8834721E8</v>
      </c>
      <c r="F1833" s="33" t="s">
        <v>13</v>
      </c>
      <c r="G1833" s="33" t="s">
        <v>13</v>
      </c>
      <c r="H1833" s="33" t="s">
        <v>1817</v>
      </c>
      <c r="I1833" s="4"/>
    </row>
    <row r="1834">
      <c r="A1834" s="32">
        <v>1830.0</v>
      </c>
      <c r="B1834" s="33" t="s">
        <v>1723</v>
      </c>
      <c r="C1834" s="33" t="s">
        <v>2232</v>
      </c>
      <c r="D1834" s="33" t="s">
        <v>13</v>
      </c>
      <c r="E1834" s="33">
        <v>3883421.0</v>
      </c>
      <c r="F1834" s="33" t="s">
        <v>13</v>
      </c>
      <c r="G1834" s="33" t="s">
        <v>13</v>
      </c>
      <c r="H1834" s="33" t="s">
        <v>13</v>
      </c>
      <c r="I1834" s="4"/>
    </row>
    <row r="1835">
      <c r="A1835" s="32">
        <v>1831.0</v>
      </c>
      <c r="B1835" s="33" t="s">
        <v>1723</v>
      </c>
      <c r="C1835" s="33" t="s">
        <v>2233</v>
      </c>
      <c r="D1835" s="33" t="s">
        <v>13</v>
      </c>
      <c r="E1835" s="33" t="s">
        <v>2234</v>
      </c>
      <c r="F1835" s="33" t="s">
        <v>13</v>
      </c>
      <c r="G1835" s="33" t="s">
        <v>13</v>
      </c>
      <c r="H1835" s="33" t="s">
        <v>15</v>
      </c>
      <c r="I1835" s="4"/>
    </row>
    <row r="1836">
      <c r="A1836" s="32">
        <v>1832.0</v>
      </c>
      <c r="B1836" s="33" t="s">
        <v>1723</v>
      </c>
      <c r="C1836" s="33" t="s">
        <v>2235</v>
      </c>
      <c r="D1836" s="33" t="s">
        <v>13</v>
      </c>
      <c r="E1836" s="33">
        <v>6405488.0</v>
      </c>
      <c r="F1836" s="33" t="s">
        <v>13</v>
      </c>
      <c r="G1836" s="33" t="s">
        <v>13</v>
      </c>
      <c r="H1836" s="33" t="s">
        <v>13</v>
      </c>
      <c r="I1836" s="4"/>
    </row>
    <row r="1837">
      <c r="A1837" s="32">
        <v>1833.0</v>
      </c>
      <c r="B1837" s="33" t="s">
        <v>1723</v>
      </c>
      <c r="C1837" s="33" t="s">
        <v>2236</v>
      </c>
      <c r="D1837" s="33" t="s">
        <v>13</v>
      </c>
      <c r="E1837" s="33" t="s">
        <v>14</v>
      </c>
      <c r="F1837" s="33" t="s">
        <v>13</v>
      </c>
      <c r="G1837" s="33" t="s">
        <v>13</v>
      </c>
      <c r="H1837" s="33" t="s">
        <v>15</v>
      </c>
      <c r="I1837" s="4"/>
    </row>
    <row r="1838">
      <c r="A1838" s="32">
        <v>1834.0</v>
      </c>
      <c r="B1838" s="33" t="s">
        <v>1723</v>
      </c>
      <c r="C1838" s="33" t="s">
        <v>2237</v>
      </c>
      <c r="D1838" s="33">
        <v>1.0</v>
      </c>
      <c r="E1838" s="33" t="s">
        <v>13</v>
      </c>
      <c r="F1838" s="33" t="s">
        <v>13</v>
      </c>
      <c r="G1838" s="33" t="s">
        <v>13</v>
      </c>
      <c r="H1838" s="33" t="s">
        <v>452</v>
      </c>
      <c r="I1838" s="4"/>
    </row>
    <row r="1839">
      <c r="A1839" s="32">
        <v>1835.0</v>
      </c>
      <c r="B1839" s="33" t="s">
        <v>1723</v>
      </c>
      <c r="C1839" s="33" t="s">
        <v>2238</v>
      </c>
      <c r="D1839" s="33" t="s">
        <v>13</v>
      </c>
      <c r="E1839" s="33" t="s">
        <v>14</v>
      </c>
      <c r="F1839" s="33" t="s">
        <v>13</v>
      </c>
      <c r="G1839" s="33" t="s">
        <v>13</v>
      </c>
      <c r="H1839" s="33" t="s">
        <v>15</v>
      </c>
      <c r="I1839" s="4"/>
    </row>
    <row r="1840">
      <c r="A1840" s="32">
        <v>1836.0</v>
      </c>
      <c r="B1840" s="33" t="s">
        <v>1723</v>
      </c>
      <c r="C1840" s="33" t="s">
        <v>2239</v>
      </c>
      <c r="D1840" s="33" t="s">
        <v>13</v>
      </c>
      <c r="E1840" s="33" t="s">
        <v>2240</v>
      </c>
      <c r="F1840" s="33" t="s">
        <v>13</v>
      </c>
      <c r="G1840" s="33" t="s">
        <v>13</v>
      </c>
      <c r="H1840" s="33" t="s">
        <v>15</v>
      </c>
      <c r="I1840" s="4"/>
    </row>
    <row r="1841">
      <c r="A1841" s="32">
        <v>1837.0</v>
      </c>
      <c r="B1841" s="33" t="s">
        <v>1723</v>
      </c>
      <c r="C1841" s="33" t="s">
        <v>2241</v>
      </c>
      <c r="D1841" s="33">
        <v>3.0</v>
      </c>
      <c r="E1841" s="33" t="s">
        <v>13</v>
      </c>
      <c r="F1841" s="33" t="s">
        <v>13</v>
      </c>
      <c r="G1841" s="33" t="s">
        <v>13</v>
      </c>
      <c r="H1841" s="33" t="s">
        <v>1826</v>
      </c>
      <c r="I1841" s="4"/>
    </row>
    <row r="1842">
      <c r="A1842" s="32">
        <v>1838.0</v>
      </c>
      <c r="B1842" s="33" t="s">
        <v>1723</v>
      </c>
      <c r="C1842" s="33" t="s">
        <v>2242</v>
      </c>
      <c r="D1842" s="33">
        <v>2.0</v>
      </c>
      <c r="E1842" s="33" t="s">
        <v>13</v>
      </c>
      <c r="F1842" s="33" t="s">
        <v>13</v>
      </c>
      <c r="G1842" s="33" t="s">
        <v>13</v>
      </c>
      <c r="H1842" s="33" t="s">
        <v>1804</v>
      </c>
      <c r="I1842" s="4"/>
    </row>
    <row r="1843">
      <c r="A1843" s="32">
        <v>1839.0</v>
      </c>
      <c r="B1843" s="33" t="s">
        <v>1723</v>
      </c>
      <c r="C1843" s="33" t="s">
        <v>1291</v>
      </c>
      <c r="D1843" s="33" t="s">
        <v>13</v>
      </c>
      <c r="E1843" s="33" t="s">
        <v>14</v>
      </c>
      <c r="F1843" s="33" t="s">
        <v>13</v>
      </c>
      <c r="G1843" s="33" t="s">
        <v>13</v>
      </c>
      <c r="H1843" s="33" t="s">
        <v>15</v>
      </c>
      <c r="I1843" s="4"/>
    </row>
    <row r="1844">
      <c r="A1844" s="32">
        <v>1840.0</v>
      </c>
      <c r="B1844" s="33" t="s">
        <v>1723</v>
      </c>
      <c r="C1844" s="33" t="s">
        <v>2243</v>
      </c>
      <c r="D1844" s="33" t="s">
        <v>13</v>
      </c>
      <c r="E1844" s="33" t="s">
        <v>14</v>
      </c>
      <c r="F1844" s="33" t="s">
        <v>13</v>
      </c>
      <c r="G1844" s="33" t="s">
        <v>13</v>
      </c>
      <c r="H1844" s="33" t="s">
        <v>15</v>
      </c>
      <c r="I1844" s="4"/>
    </row>
    <row r="1845">
      <c r="A1845" s="32">
        <v>1841.0</v>
      </c>
      <c r="B1845" s="33" t="s">
        <v>1723</v>
      </c>
      <c r="C1845" s="33" t="s">
        <v>2244</v>
      </c>
      <c r="D1845" s="33">
        <v>1.0</v>
      </c>
      <c r="E1845" s="33" t="s">
        <v>13</v>
      </c>
      <c r="F1845" s="33" t="s">
        <v>13</v>
      </c>
      <c r="G1845" s="33" t="s">
        <v>13</v>
      </c>
      <c r="H1845" s="33" t="s">
        <v>452</v>
      </c>
      <c r="I1845" s="4"/>
    </row>
    <row r="1846">
      <c r="A1846" s="32">
        <v>1842.0</v>
      </c>
      <c r="B1846" s="33" t="s">
        <v>1723</v>
      </c>
      <c r="C1846" s="33" t="s">
        <v>2245</v>
      </c>
      <c r="D1846" s="33" t="s">
        <v>13</v>
      </c>
      <c r="E1846" s="33" t="s">
        <v>13</v>
      </c>
      <c r="F1846" s="33" t="s">
        <v>13</v>
      </c>
      <c r="G1846" s="33" t="s">
        <v>13</v>
      </c>
      <c r="H1846" s="33" t="s">
        <v>2246</v>
      </c>
      <c r="I1846" s="4"/>
    </row>
    <row r="1847">
      <c r="A1847" s="32">
        <v>1843.0</v>
      </c>
      <c r="B1847" s="33" t="s">
        <v>1723</v>
      </c>
      <c r="C1847" s="33" t="s">
        <v>2247</v>
      </c>
      <c r="D1847" s="33" t="s">
        <v>13</v>
      </c>
      <c r="E1847" s="33" t="s">
        <v>13</v>
      </c>
      <c r="F1847" s="33" t="s">
        <v>13</v>
      </c>
      <c r="G1847" s="33" t="s">
        <v>13</v>
      </c>
      <c r="H1847" s="33" t="s">
        <v>1742</v>
      </c>
      <c r="I1847" s="4"/>
    </row>
    <row r="1848">
      <c r="A1848" s="32">
        <v>1844.0</v>
      </c>
      <c r="B1848" s="33" t="s">
        <v>1723</v>
      </c>
      <c r="C1848" s="33" t="s">
        <v>2248</v>
      </c>
      <c r="D1848" s="33" t="s">
        <v>13</v>
      </c>
      <c r="E1848" s="33" t="s">
        <v>2249</v>
      </c>
      <c r="F1848" s="33" t="s">
        <v>13</v>
      </c>
      <c r="G1848" s="33" t="s">
        <v>13</v>
      </c>
      <c r="H1848" s="33" t="s">
        <v>15</v>
      </c>
      <c r="I1848" s="4"/>
    </row>
    <row r="1849">
      <c r="A1849" s="32">
        <v>1845.0</v>
      </c>
      <c r="B1849" s="33" t="s">
        <v>1723</v>
      </c>
      <c r="C1849" s="33" t="s">
        <v>2250</v>
      </c>
      <c r="D1849" s="33" t="s">
        <v>13</v>
      </c>
      <c r="E1849" s="33" t="s">
        <v>14</v>
      </c>
      <c r="F1849" s="33" t="s">
        <v>13</v>
      </c>
      <c r="G1849" s="33" t="s">
        <v>13</v>
      </c>
      <c r="H1849" s="33" t="s">
        <v>15</v>
      </c>
      <c r="I1849" s="4"/>
    </row>
    <row r="1850">
      <c r="A1850" s="32">
        <v>1846.0</v>
      </c>
      <c r="B1850" s="33" t="s">
        <v>1723</v>
      </c>
      <c r="C1850" s="33" t="s">
        <v>2251</v>
      </c>
      <c r="D1850" s="33" t="s">
        <v>13</v>
      </c>
      <c r="E1850" s="33">
        <v>3.3020891E7</v>
      </c>
      <c r="F1850" s="33" t="s">
        <v>13</v>
      </c>
      <c r="G1850" s="33" t="s">
        <v>13</v>
      </c>
      <c r="H1850" s="33" t="s">
        <v>13</v>
      </c>
      <c r="I1850" s="4"/>
    </row>
    <row r="1851">
      <c r="A1851" s="32">
        <v>1847.0</v>
      </c>
      <c r="B1851" s="33" t="s">
        <v>1723</v>
      </c>
      <c r="C1851" s="33" t="s">
        <v>2252</v>
      </c>
      <c r="D1851" s="33" t="s">
        <v>13</v>
      </c>
      <c r="E1851" s="33" t="s">
        <v>14</v>
      </c>
      <c r="F1851" s="33" t="s">
        <v>13</v>
      </c>
      <c r="G1851" s="33" t="s">
        <v>13</v>
      </c>
      <c r="H1851" s="33" t="s">
        <v>15</v>
      </c>
      <c r="I1851" s="4"/>
    </row>
    <row r="1852">
      <c r="A1852" s="32">
        <v>1848.0</v>
      </c>
      <c r="B1852" s="33" t="s">
        <v>1723</v>
      </c>
      <c r="C1852" s="33" t="s">
        <v>2253</v>
      </c>
      <c r="D1852" s="33" t="s">
        <v>13</v>
      </c>
      <c r="E1852" s="33">
        <v>2.945823E7</v>
      </c>
      <c r="F1852" s="33" t="s">
        <v>13</v>
      </c>
      <c r="G1852" s="33" t="s">
        <v>13</v>
      </c>
      <c r="H1852" s="33" t="s">
        <v>13</v>
      </c>
      <c r="I1852" s="4"/>
    </row>
    <row r="1853">
      <c r="A1853" s="32">
        <v>1849.0</v>
      </c>
      <c r="B1853" s="33" t="s">
        <v>1723</v>
      </c>
      <c r="C1853" s="33" t="s">
        <v>2254</v>
      </c>
      <c r="D1853" s="33" t="s">
        <v>13</v>
      </c>
      <c r="E1853" s="33" t="s">
        <v>14</v>
      </c>
      <c r="F1853" s="33" t="s">
        <v>13</v>
      </c>
      <c r="G1853" s="33" t="s">
        <v>13</v>
      </c>
      <c r="H1853" s="33" t="s">
        <v>15</v>
      </c>
      <c r="I1853" s="4"/>
    </row>
    <row r="1854">
      <c r="A1854" s="32">
        <v>1850.0</v>
      </c>
      <c r="B1854" s="33" t="s">
        <v>1723</v>
      </c>
      <c r="C1854" s="33" t="s">
        <v>2255</v>
      </c>
      <c r="D1854" s="33" t="s">
        <v>13</v>
      </c>
      <c r="E1854" s="33" t="s">
        <v>14</v>
      </c>
      <c r="F1854" s="33" t="s">
        <v>13</v>
      </c>
      <c r="G1854" s="33" t="s">
        <v>13</v>
      </c>
      <c r="H1854" s="33" t="s">
        <v>15</v>
      </c>
      <c r="I1854" s="4"/>
    </row>
    <row r="1855">
      <c r="A1855" s="32">
        <v>1851.0</v>
      </c>
      <c r="B1855" s="33" t="s">
        <v>1723</v>
      </c>
      <c r="C1855" s="33" t="s">
        <v>2256</v>
      </c>
      <c r="D1855" s="33">
        <v>5.0</v>
      </c>
      <c r="E1855" s="33" t="s">
        <v>13</v>
      </c>
      <c r="F1855" s="33" t="s">
        <v>13</v>
      </c>
      <c r="G1855" s="33" t="s">
        <v>13</v>
      </c>
      <c r="H1855" s="33" t="s">
        <v>452</v>
      </c>
      <c r="I1855" s="4"/>
    </row>
    <row r="1856">
      <c r="A1856" s="32">
        <v>1852.0</v>
      </c>
      <c r="B1856" s="33" t="s">
        <v>1723</v>
      </c>
      <c r="C1856" s="33" t="s">
        <v>2257</v>
      </c>
      <c r="D1856" s="33">
        <v>35.0</v>
      </c>
      <c r="E1856" s="33" t="s">
        <v>13</v>
      </c>
      <c r="F1856" s="33" t="s">
        <v>13</v>
      </c>
      <c r="G1856" s="33" t="s">
        <v>13</v>
      </c>
      <c r="H1856" s="33" t="s">
        <v>2258</v>
      </c>
      <c r="I1856" s="4"/>
    </row>
    <row r="1857">
      <c r="A1857" s="32">
        <v>1853.0</v>
      </c>
      <c r="B1857" s="33" t="s">
        <v>1723</v>
      </c>
      <c r="C1857" s="33" t="s">
        <v>2259</v>
      </c>
      <c r="D1857" s="33" t="s">
        <v>13</v>
      </c>
      <c r="E1857" s="33" t="s">
        <v>14</v>
      </c>
      <c r="F1857" s="33" t="s">
        <v>13</v>
      </c>
      <c r="G1857" s="33" t="s">
        <v>13</v>
      </c>
      <c r="H1857" s="33" t="s">
        <v>15</v>
      </c>
      <c r="I1857" s="4"/>
    </row>
    <row r="1858">
      <c r="A1858" s="32">
        <v>1854.0</v>
      </c>
      <c r="B1858" s="33" t="s">
        <v>1723</v>
      </c>
      <c r="C1858" s="33" t="s">
        <v>2260</v>
      </c>
      <c r="D1858" s="33">
        <v>41.0</v>
      </c>
      <c r="E1858" s="33" t="s">
        <v>13</v>
      </c>
      <c r="F1858" s="33" t="s">
        <v>13</v>
      </c>
      <c r="G1858" s="33" t="s">
        <v>13</v>
      </c>
      <c r="H1858" s="33" t="s">
        <v>2261</v>
      </c>
      <c r="I1858" s="4"/>
    </row>
    <row r="1859">
      <c r="A1859" s="32">
        <v>1855.0</v>
      </c>
      <c r="B1859" s="33" t="s">
        <v>1723</v>
      </c>
      <c r="C1859" s="33" t="s">
        <v>2262</v>
      </c>
      <c r="D1859" s="33" t="s">
        <v>13</v>
      </c>
      <c r="E1859" s="33" t="s">
        <v>13</v>
      </c>
      <c r="F1859" s="33" t="s">
        <v>13</v>
      </c>
      <c r="G1859" s="33" t="s">
        <v>13</v>
      </c>
      <c r="H1859" s="33" t="s">
        <v>1742</v>
      </c>
      <c r="I1859" s="4"/>
    </row>
    <row r="1860">
      <c r="A1860" s="32">
        <v>1856.0</v>
      </c>
      <c r="B1860" s="33" t="s">
        <v>1723</v>
      </c>
      <c r="C1860" s="33" t="s">
        <v>2263</v>
      </c>
      <c r="D1860" s="33" t="s">
        <v>13</v>
      </c>
      <c r="E1860" s="33">
        <v>6059288.0</v>
      </c>
      <c r="F1860" s="33" t="s">
        <v>13</v>
      </c>
      <c r="G1860" s="33" t="s">
        <v>13</v>
      </c>
      <c r="H1860" s="33" t="s">
        <v>13</v>
      </c>
      <c r="I1860" s="4"/>
    </row>
    <row r="1861">
      <c r="A1861" s="32">
        <v>1857.0</v>
      </c>
      <c r="B1861" s="33" t="s">
        <v>1723</v>
      </c>
      <c r="C1861" s="33" t="s">
        <v>2264</v>
      </c>
      <c r="D1861" s="33" t="s">
        <v>13</v>
      </c>
      <c r="E1861" s="33" t="s">
        <v>13</v>
      </c>
      <c r="F1861" s="33" t="s">
        <v>13</v>
      </c>
      <c r="G1861" s="33" t="s">
        <v>13</v>
      </c>
      <c r="H1861" s="33" t="s">
        <v>1826</v>
      </c>
      <c r="I1861" s="4"/>
    </row>
    <row r="1862">
      <c r="A1862" s="32">
        <v>1858.0</v>
      </c>
      <c r="B1862" s="33" t="s">
        <v>1723</v>
      </c>
      <c r="C1862" s="33" t="s">
        <v>2265</v>
      </c>
      <c r="D1862" s="33" t="s">
        <v>13</v>
      </c>
      <c r="E1862" s="33">
        <v>1.342289E8</v>
      </c>
      <c r="F1862" s="33" t="s">
        <v>13</v>
      </c>
      <c r="G1862" s="33" t="s">
        <v>13</v>
      </c>
      <c r="H1862" s="33" t="s">
        <v>13</v>
      </c>
      <c r="I1862" s="4"/>
    </row>
    <row r="1863">
      <c r="A1863" s="32">
        <v>1859.0</v>
      </c>
      <c r="B1863" s="33" t="s">
        <v>1723</v>
      </c>
      <c r="C1863" s="33" t="s">
        <v>2266</v>
      </c>
      <c r="D1863" s="33" t="s">
        <v>1731</v>
      </c>
      <c r="E1863" s="33">
        <v>3.2865296E8</v>
      </c>
      <c r="F1863" s="33" t="s">
        <v>13</v>
      </c>
      <c r="G1863" s="33" t="s">
        <v>1731</v>
      </c>
      <c r="H1863" s="33" t="s">
        <v>2267</v>
      </c>
      <c r="I1863" s="4"/>
    </row>
    <row r="1864">
      <c r="A1864" s="32">
        <v>1860.0</v>
      </c>
      <c r="B1864" s="33" t="s">
        <v>1723</v>
      </c>
      <c r="C1864" s="33" t="s">
        <v>2268</v>
      </c>
      <c r="D1864" s="33" t="s">
        <v>13</v>
      </c>
      <c r="E1864" s="33">
        <v>1.342289E7</v>
      </c>
      <c r="F1864" s="33" t="s">
        <v>13</v>
      </c>
      <c r="G1864" s="33" t="s">
        <v>13</v>
      </c>
      <c r="H1864" s="33" t="s">
        <v>13</v>
      </c>
      <c r="I1864" s="4"/>
    </row>
    <row r="1865">
      <c r="A1865" s="32">
        <v>1861.0</v>
      </c>
      <c r="B1865" s="33" t="s">
        <v>1723</v>
      </c>
      <c r="C1865" s="33" t="s">
        <v>2269</v>
      </c>
      <c r="D1865" s="33" t="s">
        <v>13</v>
      </c>
      <c r="E1865" s="33">
        <v>1.8461886E7</v>
      </c>
      <c r="F1865" s="33" t="s">
        <v>13</v>
      </c>
      <c r="G1865" s="33" t="s">
        <v>13</v>
      </c>
      <c r="H1865" s="33" t="s">
        <v>13</v>
      </c>
      <c r="I1865" s="4"/>
    </row>
    <row r="1866">
      <c r="A1866" s="32">
        <v>1862.0</v>
      </c>
      <c r="B1866" s="33" t="s">
        <v>1723</v>
      </c>
      <c r="C1866" s="33" t="s">
        <v>2270</v>
      </c>
      <c r="D1866" s="33" t="s">
        <v>13</v>
      </c>
      <c r="E1866" s="33">
        <v>1.8461886E8</v>
      </c>
      <c r="F1866" s="33" t="s">
        <v>13</v>
      </c>
      <c r="G1866" s="33" t="s">
        <v>13</v>
      </c>
      <c r="H1866" s="33" t="s">
        <v>13</v>
      </c>
      <c r="I1866" s="4"/>
    </row>
    <row r="1867">
      <c r="A1867" s="32">
        <v>1863.0</v>
      </c>
      <c r="B1867" s="33" t="s">
        <v>1723</v>
      </c>
      <c r="C1867" s="33" t="s">
        <v>2271</v>
      </c>
      <c r="D1867" s="33" t="s">
        <v>13</v>
      </c>
      <c r="E1867" s="33">
        <v>6121988.0</v>
      </c>
      <c r="F1867" s="33" t="s">
        <v>13</v>
      </c>
      <c r="G1867" s="33" t="s">
        <v>13</v>
      </c>
      <c r="H1867" s="33" t="s">
        <v>1729</v>
      </c>
      <c r="I1867" s="4"/>
    </row>
    <row r="1868">
      <c r="A1868" s="32">
        <v>1864.0</v>
      </c>
      <c r="B1868" s="33" t="s">
        <v>1723</v>
      </c>
      <c r="C1868" s="33" t="s">
        <v>2272</v>
      </c>
      <c r="D1868" s="33">
        <v>10.0</v>
      </c>
      <c r="E1868" s="33" t="s">
        <v>13</v>
      </c>
      <c r="F1868" s="33" t="s">
        <v>13</v>
      </c>
      <c r="G1868" s="33" t="s">
        <v>13</v>
      </c>
      <c r="H1868" s="33" t="s">
        <v>2273</v>
      </c>
      <c r="I1868" s="4"/>
    </row>
    <row r="1869">
      <c r="A1869" s="32">
        <v>1865.0</v>
      </c>
      <c r="B1869" s="33" t="s">
        <v>1723</v>
      </c>
      <c r="C1869" s="33" t="s">
        <v>2274</v>
      </c>
      <c r="D1869" s="33" t="s">
        <v>13</v>
      </c>
      <c r="E1869" s="33" t="s">
        <v>13</v>
      </c>
      <c r="F1869" s="33" t="s">
        <v>13</v>
      </c>
      <c r="G1869" s="33" t="s">
        <v>13</v>
      </c>
      <c r="H1869" s="33" t="s">
        <v>1742</v>
      </c>
      <c r="I1869" s="4"/>
    </row>
    <row r="1870">
      <c r="A1870" s="32">
        <v>1866.0</v>
      </c>
      <c r="B1870" s="33" t="s">
        <v>1723</v>
      </c>
      <c r="C1870" s="33" t="s">
        <v>2275</v>
      </c>
      <c r="D1870" s="33" t="s">
        <v>13</v>
      </c>
      <c r="E1870" s="33">
        <v>2.7006264E7</v>
      </c>
      <c r="F1870" s="33" t="s">
        <v>13</v>
      </c>
      <c r="G1870" s="33" t="s">
        <v>13</v>
      </c>
      <c r="H1870" s="33" t="s">
        <v>13</v>
      </c>
      <c r="I1870" s="4"/>
    </row>
    <row r="1871">
      <c r="A1871" s="32">
        <v>1867.0</v>
      </c>
      <c r="B1871" s="33" t="s">
        <v>1723</v>
      </c>
      <c r="C1871" s="33" t="s">
        <v>2276</v>
      </c>
      <c r="D1871" s="33" t="s">
        <v>13</v>
      </c>
      <c r="E1871" s="33" t="s">
        <v>14</v>
      </c>
      <c r="F1871" s="33" t="s">
        <v>13</v>
      </c>
      <c r="G1871" s="33" t="s">
        <v>13</v>
      </c>
      <c r="H1871" s="33" t="s">
        <v>15</v>
      </c>
      <c r="I1871" s="4"/>
    </row>
    <row r="1872">
      <c r="A1872" s="32">
        <v>1868.0</v>
      </c>
      <c r="B1872" s="33" t="s">
        <v>1723</v>
      </c>
      <c r="C1872" s="33" t="s">
        <v>2277</v>
      </c>
      <c r="D1872" s="33">
        <v>10.0</v>
      </c>
      <c r="E1872" s="33" t="s">
        <v>13</v>
      </c>
      <c r="F1872" s="33" t="s">
        <v>13</v>
      </c>
      <c r="G1872" s="33" t="s">
        <v>13</v>
      </c>
      <c r="H1872" s="33" t="s">
        <v>2278</v>
      </c>
      <c r="I1872" s="4"/>
    </row>
    <row r="1873">
      <c r="A1873" s="32">
        <v>1869.0</v>
      </c>
      <c r="B1873" s="33" t="s">
        <v>1723</v>
      </c>
      <c r="C1873" s="33" t="s">
        <v>2279</v>
      </c>
      <c r="D1873" s="33">
        <v>10.0</v>
      </c>
      <c r="E1873" s="33" t="s">
        <v>13</v>
      </c>
      <c r="F1873" s="33" t="s">
        <v>13</v>
      </c>
      <c r="G1873" s="33" t="s">
        <v>13</v>
      </c>
      <c r="H1873" s="33" t="s">
        <v>1826</v>
      </c>
      <c r="I1873" s="4"/>
    </row>
    <row r="1874">
      <c r="A1874" s="32">
        <v>1870.0</v>
      </c>
      <c r="B1874" s="33" t="s">
        <v>1723</v>
      </c>
      <c r="C1874" s="33" t="s">
        <v>2280</v>
      </c>
      <c r="D1874" s="33">
        <v>10.0</v>
      </c>
      <c r="E1874" s="33" t="s">
        <v>14</v>
      </c>
      <c r="F1874" s="33" t="s">
        <v>13</v>
      </c>
      <c r="G1874" s="33" t="s">
        <v>13</v>
      </c>
      <c r="H1874" s="33" t="s">
        <v>2281</v>
      </c>
      <c r="I1874" s="4"/>
    </row>
    <row r="1875">
      <c r="A1875" s="32">
        <v>1871.0</v>
      </c>
      <c r="B1875" s="33" t="s">
        <v>1723</v>
      </c>
      <c r="C1875" s="33" t="s">
        <v>2282</v>
      </c>
      <c r="D1875" s="33">
        <v>10.0</v>
      </c>
      <c r="E1875" s="33" t="s">
        <v>13</v>
      </c>
      <c r="F1875" s="33" t="s">
        <v>13</v>
      </c>
      <c r="G1875" s="33" t="s">
        <v>13</v>
      </c>
      <c r="H1875" s="33" t="s">
        <v>13</v>
      </c>
      <c r="I1875" s="4"/>
    </row>
    <row r="1876">
      <c r="A1876" s="34">
        <v>1872.0</v>
      </c>
      <c r="B1876" s="35" t="s">
        <v>1723</v>
      </c>
      <c r="C1876" s="35" t="s">
        <v>2283</v>
      </c>
      <c r="D1876" s="35">
        <v>34.0</v>
      </c>
      <c r="E1876" s="35" t="s">
        <v>13</v>
      </c>
      <c r="F1876" s="35" t="s">
        <v>13</v>
      </c>
      <c r="G1876" s="35" t="s">
        <v>13</v>
      </c>
      <c r="H1876" s="35" t="s">
        <v>1752</v>
      </c>
      <c r="I1876" s="4"/>
    </row>
    <row r="1877">
      <c r="A1877" s="34">
        <v>1873.0</v>
      </c>
      <c r="B1877" s="35" t="s">
        <v>1723</v>
      </c>
      <c r="C1877" s="35" t="s">
        <v>2284</v>
      </c>
      <c r="D1877" s="35">
        <v>10.0</v>
      </c>
      <c r="E1877" s="35" t="s">
        <v>13</v>
      </c>
      <c r="F1877" s="35" t="s">
        <v>13</v>
      </c>
      <c r="G1877" s="35" t="s">
        <v>13</v>
      </c>
      <c r="H1877" s="35" t="s">
        <v>2285</v>
      </c>
      <c r="I1877" s="4"/>
    </row>
    <row r="1878">
      <c r="A1878" s="34">
        <v>1874.0</v>
      </c>
      <c r="B1878" s="35" t="s">
        <v>1723</v>
      </c>
      <c r="C1878" s="35" t="s">
        <v>2284</v>
      </c>
      <c r="D1878" s="35">
        <v>10.0</v>
      </c>
      <c r="E1878" s="35" t="s">
        <v>13</v>
      </c>
      <c r="F1878" s="35" t="s">
        <v>13</v>
      </c>
      <c r="G1878" s="35" t="s">
        <v>13</v>
      </c>
      <c r="H1878" s="35" t="s">
        <v>1804</v>
      </c>
      <c r="I1878" s="4"/>
    </row>
    <row r="1879">
      <c r="A1879" s="34">
        <v>1875.0</v>
      </c>
      <c r="B1879" s="35" t="s">
        <v>1723</v>
      </c>
      <c r="C1879" s="35" t="s">
        <v>2286</v>
      </c>
      <c r="D1879" s="35" t="s">
        <v>13</v>
      </c>
      <c r="E1879" s="35" t="s">
        <v>2287</v>
      </c>
      <c r="F1879" s="35" t="s">
        <v>13</v>
      </c>
      <c r="G1879" s="35" t="s">
        <v>13</v>
      </c>
      <c r="H1879" s="35" t="s">
        <v>15</v>
      </c>
      <c r="I1879" s="4"/>
    </row>
    <row r="1880">
      <c r="A1880" s="34">
        <v>1876.0</v>
      </c>
      <c r="B1880" s="35" t="s">
        <v>1723</v>
      </c>
      <c r="C1880" s="35" t="s">
        <v>2288</v>
      </c>
      <c r="D1880" s="35" t="s">
        <v>13</v>
      </c>
      <c r="E1880" s="35" t="s">
        <v>13</v>
      </c>
      <c r="F1880" s="35" t="s">
        <v>13</v>
      </c>
      <c r="G1880" s="35" t="s">
        <v>13</v>
      </c>
      <c r="H1880" s="35" t="s">
        <v>2289</v>
      </c>
      <c r="I1880" s="4"/>
    </row>
    <row r="1881">
      <c r="A1881" s="34">
        <v>1877.0</v>
      </c>
      <c r="B1881" s="35" t="s">
        <v>1723</v>
      </c>
      <c r="C1881" s="35" t="s">
        <v>2290</v>
      </c>
      <c r="D1881" s="35" t="s">
        <v>13</v>
      </c>
      <c r="E1881" s="35" t="s">
        <v>2291</v>
      </c>
      <c r="F1881" s="35" t="s">
        <v>13</v>
      </c>
      <c r="G1881" s="35" t="s">
        <v>13</v>
      </c>
      <c r="H1881" s="35" t="s">
        <v>15</v>
      </c>
      <c r="I1881" s="4"/>
    </row>
    <row r="1882">
      <c r="A1882" s="34">
        <v>1878.0</v>
      </c>
      <c r="B1882" s="35" t="s">
        <v>1723</v>
      </c>
      <c r="C1882" s="35" t="s">
        <v>2292</v>
      </c>
      <c r="D1882" s="35">
        <v>55.0</v>
      </c>
      <c r="E1882" s="35">
        <v>2.0048909E7</v>
      </c>
      <c r="F1882" s="35" t="s">
        <v>13</v>
      </c>
      <c r="G1882" s="35" t="s">
        <v>13</v>
      </c>
      <c r="H1882" s="35" t="s">
        <v>13</v>
      </c>
      <c r="I1882" s="4"/>
    </row>
    <row r="1883">
      <c r="A1883" s="34">
        <v>1879.0</v>
      </c>
      <c r="B1883" s="35" t="s">
        <v>1723</v>
      </c>
      <c r="C1883" s="35" t="s">
        <v>2293</v>
      </c>
      <c r="D1883" s="35" t="s">
        <v>13</v>
      </c>
      <c r="E1883" s="35">
        <v>3.6091784E7</v>
      </c>
      <c r="F1883" s="35" t="s">
        <v>13</v>
      </c>
      <c r="G1883" s="35" t="s">
        <v>13</v>
      </c>
      <c r="H1883" s="35" t="s">
        <v>13</v>
      </c>
      <c r="I1883" s="4"/>
    </row>
    <row r="1884">
      <c r="A1884" s="34">
        <v>1880.0</v>
      </c>
      <c r="B1884" s="35" t="s">
        <v>1723</v>
      </c>
      <c r="C1884" s="35" t="s">
        <v>2294</v>
      </c>
      <c r="D1884" s="35" t="s">
        <v>13</v>
      </c>
      <c r="E1884" s="35" t="s">
        <v>2295</v>
      </c>
      <c r="F1884" s="35" t="s">
        <v>13</v>
      </c>
      <c r="G1884" s="35" t="s">
        <v>13</v>
      </c>
      <c r="H1884" s="35" t="s">
        <v>15</v>
      </c>
      <c r="I1884" s="4"/>
    </row>
    <row r="1885">
      <c r="A1885" s="34">
        <v>1881.0</v>
      </c>
      <c r="B1885" s="35" t="s">
        <v>1723</v>
      </c>
      <c r="C1885" s="35" t="s">
        <v>2296</v>
      </c>
      <c r="D1885" s="35" t="s">
        <v>13</v>
      </c>
      <c r="E1885" s="35" t="s">
        <v>13</v>
      </c>
      <c r="F1885" s="35" t="s">
        <v>13</v>
      </c>
      <c r="G1885" s="35" t="s">
        <v>13</v>
      </c>
      <c r="H1885" s="35" t="s">
        <v>13</v>
      </c>
      <c r="I1885" s="4"/>
    </row>
    <row r="1886">
      <c r="A1886" s="34">
        <v>1882.0</v>
      </c>
      <c r="B1886" s="35" t="s">
        <v>1723</v>
      </c>
      <c r="C1886" s="35" t="s">
        <v>2297</v>
      </c>
      <c r="D1886" s="35" t="s">
        <v>13</v>
      </c>
      <c r="E1886" s="35" t="s">
        <v>14</v>
      </c>
      <c r="F1886" s="35" t="s">
        <v>13</v>
      </c>
      <c r="G1886" s="35" t="s">
        <v>13</v>
      </c>
      <c r="H1886" s="35" t="s">
        <v>2281</v>
      </c>
      <c r="I1886" s="4"/>
    </row>
    <row r="1887">
      <c r="A1887" s="34">
        <v>1883.0</v>
      </c>
      <c r="B1887" s="35" t="s">
        <v>1723</v>
      </c>
      <c r="C1887" s="35" t="s">
        <v>2298</v>
      </c>
      <c r="D1887" s="35" t="s">
        <v>13</v>
      </c>
      <c r="E1887" s="35">
        <v>1.4424783E7</v>
      </c>
      <c r="F1887" s="35" t="s">
        <v>13</v>
      </c>
      <c r="G1887" s="35" t="s">
        <v>13</v>
      </c>
      <c r="H1887" s="35" t="s">
        <v>13</v>
      </c>
      <c r="I1887" s="4"/>
    </row>
    <row r="1888">
      <c r="A1888" s="34">
        <v>1884.0</v>
      </c>
      <c r="B1888" s="35" t="s">
        <v>1723</v>
      </c>
      <c r="C1888" s="35" t="s">
        <v>2299</v>
      </c>
      <c r="D1888" s="35">
        <v>25.0</v>
      </c>
      <c r="E1888" s="35" t="s">
        <v>13</v>
      </c>
      <c r="F1888" s="35" t="s">
        <v>13</v>
      </c>
      <c r="G1888" s="35" t="s">
        <v>13</v>
      </c>
      <c r="H1888" s="35" t="s">
        <v>2300</v>
      </c>
      <c r="I1888" s="4"/>
    </row>
    <row r="1889">
      <c r="A1889" s="34">
        <v>1885.0</v>
      </c>
      <c r="B1889" s="35" t="s">
        <v>1723</v>
      </c>
      <c r="C1889" s="35" t="s">
        <v>2301</v>
      </c>
      <c r="D1889" s="35" t="s">
        <v>13</v>
      </c>
      <c r="E1889" s="35" t="s">
        <v>14</v>
      </c>
      <c r="F1889" s="35" t="s">
        <v>13</v>
      </c>
      <c r="G1889" s="35" t="s">
        <v>13</v>
      </c>
      <c r="H1889" s="35" t="s">
        <v>15</v>
      </c>
      <c r="I1889" s="4"/>
    </row>
    <row r="1890">
      <c r="A1890" s="34">
        <v>1886.0</v>
      </c>
      <c r="B1890" s="35" t="s">
        <v>1723</v>
      </c>
      <c r="C1890" s="35" t="s">
        <v>2302</v>
      </c>
      <c r="D1890" s="35">
        <v>9.0</v>
      </c>
      <c r="E1890" s="35" t="s">
        <v>13</v>
      </c>
      <c r="F1890" s="35" t="s">
        <v>13</v>
      </c>
      <c r="G1890" s="35" t="s">
        <v>13</v>
      </c>
      <c r="H1890" s="35" t="s">
        <v>452</v>
      </c>
      <c r="I1890" s="4"/>
    </row>
    <row r="1891">
      <c r="A1891" s="34">
        <v>1887.0</v>
      </c>
      <c r="B1891" s="35" t="s">
        <v>1723</v>
      </c>
      <c r="C1891" s="35" t="s">
        <v>2303</v>
      </c>
      <c r="D1891" s="35" t="s">
        <v>13</v>
      </c>
      <c r="E1891" s="35" t="s">
        <v>14</v>
      </c>
      <c r="F1891" s="35" t="s">
        <v>13</v>
      </c>
      <c r="G1891" s="35" t="s">
        <v>13</v>
      </c>
      <c r="H1891" s="35" t="s">
        <v>15</v>
      </c>
      <c r="I1891" s="4"/>
    </row>
    <row r="1892">
      <c r="A1892" s="34">
        <v>1888.0</v>
      </c>
      <c r="B1892" s="35" t="s">
        <v>1723</v>
      </c>
      <c r="C1892" s="35" t="s">
        <v>2304</v>
      </c>
      <c r="D1892" s="35">
        <v>9.0</v>
      </c>
      <c r="E1892" s="35" t="s">
        <v>13</v>
      </c>
      <c r="F1892" s="35" t="s">
        <v>13</v>
      </c>
      <c r="G1892" s="35" t="s">
        <v>13</v>
      </c>
      <c r="H1892" s="35" t="s">
        <v>2305</v>
      </c>
      <c r="I1892" s="4"/>
    </row>
    <row r="1893">
      <c r="A1893" s="34">
        <v>1889.0</v>
      </c>
      <c r="B1893" s="35" t="s">
        <v>1723</v>
      </c>
      <c r="C1893" s="35" t="s">
        <v>2306</v>
      </c>
      <c r="D1893" s="35">
        <v>3.0</v>
      </c>
      <c r="E1893" s="35" t="s">
        <v>13</v>
      </c>
      <c r="F1893" s="35" t="s">
        <v>13</v>
      </c>
      <c r="G1893" s="35" t="s">
        <v>13</v>
      </c>
      <c r="H1893" s="35" t="s">
        <v>1826</v>
      </c>
      <c r="I1893" s="4"/>
    </row>
    <row r="1894">
      <c r="A1894" s="34">
        <v>1890.0</v>
      </c>
      <c r="B1894" s="35" t="s">
        <v>1723</v>
      </c>
      <c r="C1894" s="35" t="s">
        <v>2307</v>
      </c>
      <c r="D1894" s="35" t="s">
        <v>13</v>
      </c>
      <c r="E1894" s="35" t="s">
        <v>14</v>
      </c>
      <c r="F1894" s="35" t="s">
        <v>13</v>
      </c>
      <c r="G1894" s="35" t="s">
        <v>13</v>
      </c>
      <c r="H1894" s="35" t="s">
        <v>15</v>
      </c>
      <c r="I1894" s="4"/>
    </row>
    <row r="1895">
      <c r="A1895" s="34">
        <v>1891.0</v>
      </c>
      <c r="B1895" s="35" t="s">
        <v>1723</v>
      </c>
      <c r="C1895" s="35" t="s">
        <v>2308</v>
      </c>
      <c r="D1895" s="35">
        <v>1.0</v>
      </c>
      <c r="E1895" s="35" t="s">
        <v>13</v>
      </c>
      <c r="F1895" s="35" t="s">
        <v>13</v>
      </c>
      <c r="G1895" s="35" t="s">
        <v>13</v>
      </c>
      <c r="H1895" s="35" t="s">
        <v>2309</v>
      </c>
      <c r="I1895" s="4"/>
    </row>
    <row r="1896">
      <c r="A1896" s="34">
        <v>1892.0</v>
      </c>
      <c r="B1896" s="35" t="s">
        <v>1723</v>
      </c>
      <c r="C1896" s="35" t="s">
        <v>2310</v>
      </c>
      <c r="D1896" s="35" t="s">
        <v>13</v>
      </c>
      <c r="E1896" s="35" t="s">
        <v>13</v>
      </c>
      <c r="F1896" s="35" t="s">
        <v>13</v>
      </c>
      <c r="G1896" s="35" t="s">
        <v>13</v>
      </c>
      <c r="H1896" s="35" t="s">
        <v>2311</v>
      </c>
      <c r="I1896" s="4"/>
    </row>
    <row r="1897">
      <c r="A1897" s="34">
        <v>1893.0</v>
      </c>
      <c r="B1897" s="35" t="s">
        <v>1723</v>
      </c>
      <c r="C1897" s="35" t="s">
        <v>2312</v>
      </c>
      <c r="D1897" s="35" t="s">
        <v>13</v>
      </c>
      <c r="E1897" s="35" t="s">
        <v>13</v>
      </c>
      <c r="F1897" s="35" t="s">
        <v>13</v>
      </c>
      <c r="G1897" s="35" t="s">
        <v>13</v>
      </c>
      <c r="H1897" s="35" t="s">
        <v>2313</v>
      </c>
      <c r="I1897" s="4"/>
    </row>
    <row r="1898">
      <c r="A1898" s="34">
        <v>1894.0</v>
      </c>
      <c r="B1898" s="35" t="s">
        <v>1723</v>
      </c>
      <c r="C1898" s="35" t="s">
        <v>2314</v>
      </c>
      <c r="D1898" s="35" t="s">
        <v>13</v>
      </c>
      <c r="E1898" s="35" t="s">
        <v>13</v>
      </c>
      <c r="F1898" s="35" t="s">
        <v>13</v>
      </c>
      <c r="G1898" s="35" t="s">
        <v>13</v>
      </c>
      <c r="H1898" s="35" t="s">
        <v>2315</v>
      </c>
      <c r="I1898" s="4"/>
    </row>
    <row r="1899">
      <c r="A1899" s="34">
        <v>1895.0</v>
      </c>
      <c r="B1899" s="35" t="s">
        <v>1723</v>
      </c>
      <c r="C1899" s="35" t="s">
        <v>2316</v>
      </c>
      <c r="D1899" s="35">
        <v>5.0</v>
      </c>
      <c r="E1899" s="35" t="s">
        <v>13</v>
      </c>
      <c r="F1899" s="35" t="s">
        <v>13</v>
      </c>
      <c r="G1899" s="35" t="s">
        <v>13</v>
      </c>
      <c r="H1899" s="35" t="s">
        <v>1826</v>
      </c>
      <c r="I1899" s="4"/>
    </row>
    <row r="1900">
      <c r="A1900" s="34">
        <v>1896.0</v>
      </c>
      <c r="B1900" s="35" t="s">
        <v>1723</v>
      </c>
      <c r="C1900" s="35" t="s">
        <v>2317</v>
      </c>
      <c r="D1900" s="35" t="s">
        <v>13</v>
      </c>
      <c r="E1900" s="35" t="s">
        <v>14</v>
      </c>
      <c r="F1900" s="35" t="s">
        <v>13</v>
      </c>
      <c r="G1900" s="35" t="s">
        <v>13</v>
      </c>
      <c r="H1900" s="35" t="s">
        <v>2318</v>
      </c>
      <c r="I1900" s="4"/>
    </row>
    <row r="1901">
      <c r="A1901" s="34">
        <v>1897.0</v>
      </c>
      <c r="B1901" s="35" t="s">
        <v>1723</v>
      </c>
      <c r="C1901" s="35" t="s">
        <v>2319</v>
      </c>
      <c r="D1901" s="35" t="s">
        <v>13</v>
      </c>
      <c r="E1901" s="35">
        <v>2.956705E7</v>
      </c>
      <c r="F1901" s="35" t="s">
        <v>13</v>
      </c>
      <c r="G1901" s="35" t="s">
        <v>13</v>
      </c>
      <c r="H1901" s="35" t="s">
        <v>1729</v>
      </c>
      <c r="I1901" s="4"/>
    </row>
    <row r="1902">
      <c r="A1902" s="34">
        <v>1898.0</v>
      </c>
      <c r="B1902" s="35" t="s">
        <v>1723</v>
      </c>
      <c r="C1902" s="35" t="s">
        <v>2320</v>
      </c>
      <c r="D1902" s="35">
        <v>18.0</v>
      </c>
      <c r="E1902" s="35" t="s">
        <v>13</v>
      </c>
      <c r="F1902" s="35" t="s">
        <v>13</v>
      </c>
      <c r="G1902" s="35" t="s">
        <v>13</v>
      </c>
      <c r="H1902" s="35" t="s">
        <v>13</v>
      </c>
      <c r="I1902" s="4"/>
    </row>
    <row r="1903">
      <c r="A1903" s="34">
        <v>1899.0</v>
      </c>
      <c r="B1903" s="35" t="s">
        <v>1723</v>
      </c>
      <c r="C1903" s="35" t="s">
        <v>1025</v>
      </c>
      <c r="D1903" s="35" t="s">
        <v>2321</v>
      </c>
      <c r="E1903" s="35" t="s">
        <v>13</v>
      </c>
      <c r="F1903" s="35" t="s">
        <v>13</v>
      </c>
      <c r="G1903" s="35" t="s">
        <v>13</v>
      </c>
      <c r="H1903" s="35" t="s">
        <v>13</v>
      </c>
      <c r="I1903" s="4"/>
    </row>
    <row r="1904">
      <c r="A1904" s="34">
        <v>1900.0</v>
      </c>
      <c r="B1904" s="35" t="s">
        <v>1723</v>
      </c>
      <c r="C1904" s="35" t="s">
        <v>2322</v>
      </c>
      <c r="D1904" s="35" t="s">
        <v>13</v>
      </c>
      <c r="E1904" s="35">
        <v>1.9659867E7</v>
      </c>
      <c r="F1904" s="35" t="s">
        <v>13</v>
      </c>
      <c r="G1904" s="35" t="s">
        <v>13</v>
      </c>
      <c r="H1904" s="35" t="s">
        <v>13</v>
      </c>
      <c r="I1904" s="4"/>
    </row>
    <row r="1905">
      <c r="A1905" s="34">
        <v>1901.0</v>
      </c>
      <c r="B1905" s="35" t="s">
        <v>1723</v>
      </c>
      <c r="C1905" s="35" t="s">
        <v>2323</v>
      </c>
      <c r="D1905" s="35" t="s">
        <v>13</v>
      </c>
      <c r="E1905" s="35">
        <v>4.493435E7</v>
      </c>
      <c r="F1905" s="35" t="s">
        <v>13</v>
      </c>
      <c r="G1905" s="35" t="s">
        <v>13</v>
      </c>
      <c r="H1905" s="35" t="s">
        <v>13</v>
      </c>
      <c r="I1905" s="4"/>
    </row>
    <row r="1906">
      <c r="A1906" s="34">
        <v>1902.0</v>
      </c>
      <c r="B1906" s="35" t="s">
        <v>1723</v>
      </c>
      <c r="C1906" s="35" t="s">
        <v>2324</v>
      </c>
      <c r="D1906" s="35" t="s">
        <v>13</v>
      </c>
      <c r="E1906" s="35">
        <v>1.2717087E8</v>
      </c>
      <c r="F1906" s="35" t="s">
        <v>13</v>
      </c>
      <c r="G1906" s="35" t="s">
        <v>13</v>
      </c>
      <c r="H1906" s="35" t="s">
        <v>13</v>
      </c>
      <c r="I1906" s="4"/>
    </row>
    <row r="1907">
      <c r="A1907" s="34">
        <v>1903.0</v>
      </c>
      <c r="B1907" s="35" t="s">
        <v>1723</v>
      </c>
      <c r="C1907" s="35" t="s">
        <v>2324</v>
      </c>
      <c r="D1907" s="35" t="s">
        <v>1731</v>
      </c>
      <c r="E1907" s="35">
        <v>3.272083E7</v>
      </c>
      <c r="F1907" s="35" t="s">
        <v>13</v>
      </c>
      <c r="G1907" s="35" t="s">
        <v>1731</v>
      </c>
      <c r="H1907" s="35" t="s">
        <v>1731</v>
      </c>
      <c r="I1907" s="4"/>
    </row>
    <row r="1908">
      <c r="A1908" s="34">
        <v>1904.0</v>
      </c>
      <c r="B1908" s="35" t="s">
        <v>1723</v>
      </c>
      <c r="C1908" s="35" t="s">
        <v>2325</v>
      </c>
      <c r="D1908" s="35">
        <v>8.0</v>
      </c>
      <c r="E1908" s="35" t="s">
        <v>13</v>
      </c>
      <c r="F1908" s="35" t="s">
        <v>13</v>
      </c>
      <c r="G1908" s="35" t="s">
        <v>13</v>
      </c>
      <c r="H1908" s="35" t="s">
        <v>1787</v>
      </c>
      <c r="I1908" s="4"/>
    </row>
    <row r="1909">
      <c r="A1909" s="34">
        <v>1905.0</v>
      </c>
      <c r="B1909" s="35" t="s">
        <v>1723</v>
      </c>
      <c r="C1909" s="35" t="s">
        <v>2326</v>
      </c>
      <c r="D1909" s="35">
        <v>13.0</v>
      </c>
      <c r="E1909" s="35" t="s">
        <v>13</v>
      </c>
      <c r="F1909" s="35" t="s">
        <v>13</v>
      </c>
      <c r="G1909" s="35" t="s">
        <v>13</v>
      </c>
      <c r="H1909" s="35" t="s">
        <v>1804</v>
      </c>
      <c r="I1909" s="4"/>
    </row>
    <row r="1910">
      <c r="A1910" s="34">
        <v>1906.0</v>
      </c>
      <c r="B1910" s="35" t="s">
        <v>1723</v>
      </c>
      <c r="C1910" s="35" t="s">
        <v>2327</v>
      </c>
      <c r="D1910" s="35" t="s">
        <v>13</v>
      </c>
      <c r="E1910" s="35" t="s">
        <v>13</v>
      </c>
      <c r="F1910" s="35" t="s">
        <v>13</v>
      </c>
      <c r="G1910" s="35" t="s">
        <v>13</v>
      </c>
      <c r="H1910" s="35" t="s">
        <v>1742</v>
      </c>
      <c r="I1910" s="4"/>
    </row>
    <row r="1911">
      <c r="A1911" s="34">
        <v>1907.0</v>
      </c>
      <c r="B1911" s="35" t="s">
        <v>1723</v>
      </c>
      <c r="C1911" s="35" t="s">
        <v>2328</v>
      </c>
      <c r="D1911" s="35">
        <v>23.0</v>
      </c>
      <c r="E1911" s="35" t="s">
        <v>13</v>
      </c>
      <c r="F1911" s="35" t="s">
        <v>13</v>
      </c>
      <c r="G1911" s="35" t="s">
        <v>13</v>
      </c>
      <c r="H1911" s="35" t="s">
        <v>2329</v>
      </c>
      <c r="I1911" s="4"/>
    </row>
    <row r="1912">
      <c r="A1912" s="34">
        <v>1908.0</v>
      </c>
      <c r="B1912" s="35" t="s">
        <v>1723</v>
      </c>
      <c r="C1912" s="35" t="s">
        <v>2330</v>
      </c>
      <c r="D1912" s="35">
        <v>4.0</v>
      </c>
      <c r="E1912" s="35" t="s">
        <v>13</v>
      </c>
      <c r="F1912" s="35" t="s">
        <v>13</v>
      </c>
      <c r="G1912" s="35" t="s">
        <v>13</v>
      </c>
      <c r="H1912" s="35" t="s">
        <v>2331</v>
      </c>
      <c r="I1912" s="4"/>
    </row>
    <row r="1913">
      <c r="A1913" s="34">
        <v>1909.0</v>
      </c>
      <c r="B1913" s="35" t="s">
        <v>1723</v>
      </c>
      <c r="C1913" s="35" t="s">
        <v>2332</v>
      </c>
      <c r="D1913" s="35" t="s">
        <v>13</v>
      </c>
      <c r="E1913" s="35" t="s">
        <v>13</v>
      </c>
      <c r="F1913" s="35" t="s">
        <v>13</v>
      </c>
      <c r="G1913" s="35" t="s">
        <v>13</v>
      </c>
      <c r="H1913" s="35" t="s">
        <v>2333</v>
      </c>
      <c r="I1913" s="4"/>
    </row>
    <row r="1914">
      <c r="A1914" s="34">
        <v>1910.0</v>
      </c>
      <c r="B1914" s="35" t="s">
        <v>1723</v>
      </c>
      <c r="C1914" s="35" t="s">
        <v>2334</v>
      </c>
      <c r="D1914" s="35" t="s">
        <v>13</v>
      </c>
      <c r="E1914" s="35" t="s">
        <v>13</v>
      </c>
      <c r="F1914" s="35" t="s">
        <v>13</v>
      </c>
      <c r="G1914" s="35" t="s">
        <v>13</v>
      </c>
      <c r="H1914" s="35" t="s">
        <v>1742</v>
      </c>
      <c r="I1914" s="4"/>
    </row>
    <row r="1915">
      <c r="A1915" s="34">
        <v>1911.0</v>
      </c>
      <c r="B1915" s="35" t="s">
        <v>1723</v>
      </c>
      <c r="C1915" s="35" t="s">
        <v>2335</v>
      </c>
      <c r="D1915" s="35" t="s">
        <v>13</v>
      </c>
      <c r="E1915" s="35" t="s">
        <v>14</v>
      </c>
      <c r="F1915" s="35" t="s">
        <v>13</v>
      </c>
      <c r="G1915" s="35" t="s">
        <v>13</v>
      </c>
      <c r="H1915" s="35" t="s">
        <v>15</v>
      </c>
      <c r="I1915" s="4"/>
    </row>
    <row r="1916">
      <c r="A1916" s="34">
        <v>1912.0</v>
      </c>
      <c r="B1916" s="35" t="s">
        <v>1723</v>
      </c>
      <c r="C1916" s="35" t="s">
        <v>2336</v>
      </c>
      <c r="D1916" s="35">
        <v>9.0</v>
      </c>
      <c r="E1916" s="35" t="s">
        <v>13</v>
      </c>
      <c r="F1916" s="35" t="s">
        <v>13</v>
      </c>
      <c r="G1916" s="35" t="s">
        <v>13</v>
      </c>
      <c r="H1916" s="35" t="s">
        <v>2337</v>
      </c>
      <c r="I1916" s="4"/>
    </row>
    <row r="1917">
      <c r="A1917" s="34">
        <v>1913.0</v>
      </c>
      <c r="B1917" s="35" t="s">
        <v>1723</v>
      </c>
      <c r="C1917" s="35" t="s">
        <v>2338</v>
      </c>
      <c r="D1917" s="35">
        <v>10.0</v>
      </c>
      <c r="E1917" s="35" t="s">
        <v>13</v>
      </c>
      <c r="F1917" s="35" t="s">
        <v>13</v>
      </c>
      <c r="G1917" s="35" t="s">
        <v>13</v>
      </c>
      <c r="H1917" s="35" t="s">
        <v>13</v>
      </c>
      <c r="I1917" s="4"/>
    </row>
    <row r="1918">
      <c r="A1918" s="34">
        <v>1914.0</v>
      </c>
      <c r="B1918" s="35" t="s">
        <v>1723</v>
      </c>
      <c r="C1918" s="35" t="s">
        <v>2339</v>
      </c>
      <c r="D1918" s="35" t="s">
        <v>13</v>
      </c>
      <c r="E1918" s="35">
        <v>3.3020891E8</v>
      </c>
      <c r="F1918" s="35" t="s">
        <v>13</v>
      </c>
      <c r="G1918" s="35" t="s">
        <v>13</v>
      </c>
      <c r="H1918" s="35" t="s">
        <v>13</v>
      </c>
      <c r="I1918" s="4"/>
    </row>
    <row r="1919">
      <c r="A1919" s="34">
        <v>1915.0</v>
      </c>
      <c r="B1919" s="35" t="s">
        <v>1723</v>
      </c>
      <c r="C1919" s="35" t="s">
        <v>2340</v>
      </c>
      <c r="D1919" s="35" t="s">
        <v>13</v>
      </c>
      <c r="E1919" s="35" t="s">
        <v>13</v>
      </c>
      <c r="F1919" s="35" t="s">
        <v>13</v>
      </c>
      <c r="G1919" s="35" t="s">
        <v>13</v>
      </c>
      <c r="H1919" s="35" t="s">
        <v>2315</v>
      </c>
      <c r="I1919" s="4"/>
    </row>
    <row r="1920">
      <c r="A1920" s="34">
        <v>1916.0</v>
      </c>
      <c r="B1920" s="35" t="s">
        <v>1723</v>
      </c>
      <c r="C1920" s="35" t="s">
        <v>2341</v>
      </c>
      <c r="D1920" s="35" t="s">
        <v>13</v>
      </c>
      <c r="E1920" s="35">
        <v>3.4518879E7</v>
      </c>
      <c r="F1920" s="35" t="s">
        <v>13</v>
      </c>
      <c r="G1920" s="35" t="s">
        <v>13</v>
      </c>
      <c r="H1920" s="35" t="s">
        <v>13</v>
      </c>
      <c r="I1920" s="4"/>
    </row>
    <row r="1921">
      <c r="A1921" s="34">
        <v>1917.0</v>
      </c>
      <c r="B1921" s="35" t="s">
        <v>1723</v>
      </c>
      <c r="C1921" s="35" t="s">
        <v>2342</v>
      </c>
      <c r="D1921" s="35" t="s">
        <v>13</v>
      </c>
      <c r="E1921" s="35" t="s">
        <v>14</v>
      </c>
      <c r="F1921" s="35" t="s">
        <v>13</v>
      </c>
      <c r="G1921" s="35" t="s">
        <v>13</v>
      </c>
      <c r="H1921" s="35" t="s">
        <v>15</v>
      </c>
      <c r="I1921" s="4"/>
    </row>
    <row r="1922">
      <c r="A1922" s="34">
        <v>1918.0</v>
      </c>
      <c r="B1922" s="35" t="s">
        <v>1723</v>
      </c>
      <c r="C1922" s="35" t="s">
        <v>2343</v>
      </c>
      <c r="D1922" s="35" t="s">
        <v>13</v>
      </c>
      <c r="E1922" s="35">
        <v>1.1638321E8</v>
      </c>
      <c r="F1922" s="35" t="s">
        <v>13</v>
      </c>
      <c r="G1922" s="35" t="s">
        <v>13</v>
      </c>
      <c r="H1922" s="35" t="s">
        <v>13</v>
      </c>
      <c r="I1922" s="4"/>
    </row>
    <row r="1923">
      <c r="A1923" s="34">
        <v>1919.0</v>
      </c>
      <c r="B1923" s="35" t="s">
        <v>1723</v>
      </c>
      <c r="C1923" s="35" t="s">
        <v>2344</v>
      </c>
      <c r="D1923" s="35">
        <v>5.0</v>
      </c>
      <c r="E1923" s="35" t="s">
        <v>13</v>
      </c>
      <c r="F1923" s="35" t="s">
        <v>13</v>
      </c>
      <c r="G1923" s="35" t="s">
        <v>13</v>
      </c>
      <c r="H1923" s="35" t="s">
        <v>2345</v>
      </c>
      <c r="I1923" s="4"/>
    </row>
    <row r="1924">
      <c r="A1924" s="34">
        <v>1920.0</v>
      </c>
      <c r="B1924" s="35" t="s">
        <v>1723</v>
      </c>
      <c r="C1924" s="35" t="s">
        <v>2346</v>
      </c>
      <c r="D1924" s="35">
        <v>57.0</v>
      </c>
      <c r="E1924" s="35" t="s">
        <v>13</v>
      </c>
      <c r="F1924" s="35" t="s">
        <v>13</v>
      </c>
      <c r="G1924" s="35" t="s">
        <v>13</v>
      </c>
      <c r="H1924" s="35" t="s">
        <v>2347</v>
      </c>
      <c r="I1924" s="4"/>
    </row>
    <row r="1925">
      <c r="A1925" s="34">
        <v>1921.0</v>
      </c>
      <c r="B1925" s="35" t="s">
        <v>1723</v>
      </c>
      <c r="C1925" s="35" t="s">
        <v>2348</v>
      </c>
      <c r="D1925" s="35" t="s">
        <v>13</v>
      </c>
      <c r="E1925" s="35" t="s">
        <v>13</v>
      </c>
      <c r="F1925" s="35" t="s">
        <v>13</v>
      </c>
      <c r="G1925" s="35" t="s">
        <v>13</v>
      </c>
      <c r="H1925" s="35" t="s">
        <v>1742</v>
      </c>
      <c r="I1925" s="4"/>
    </row>
    <row r="1926">
      <c r="A1926" s="34">
        <v>1922.0</v>
      </c>
      <c r="B1926" s="35" t="s">
        <v>1723</v>
      </c>
      <c r="C1926" s="35" t="s">
        <v>2349</v>
      </c>
      <c r="D1926" s="35" t="s">
        <v>13</v>
      </c>
      <c r="E1926" s="35" t="s">
        <v>13</v>
      </c>
      <c r="F1926" s="35" t="s">
        <v>13</v>
      </c>
      <c r="G1926" s="35" t="s">
        <v>13</v>
      </c>
      <c r="H1926" s="35" t="s">
        <v>2350</v>
      </c>
      <c r="I1926" s="4"/>
    </row>
    <row r="1927">
      <c r="A1927" s="34">
        <v>1923.0</v>
      </c>
      <c r="B1927" s="35" t="s">
        <v>1723</v>
      </c>
      <c r="C1927" s="35" t="s">
        <v>2351</v>
      </c>
      <c r="D1927" s="35">
        <v>10.0</v>
      </c>
      <c r="E1927" s="35" t="s">
        <v>13</v>
      </c>
      <c r="F1927" s="35" t="s">
        <v>13</v>
      </c>
      <c r="G1927" s="35" t="s">
        <v>13</v>
      </c>
      <c r="H1927" s="35" t="s">
        <v>2352</v>
      </c>
      <c r="I1927" s="4"/>
    </row>
    <row r="1928">
      <c r="A1928" s="34">
        <v>1924.0</v>
      </c>
      <c r="B1928" s="35" t="s">
        <v>1723</v>
      </c>
      <c r="C1928" s="35" t="s">
        <v>2353</v>
      </c>
      <c r="D1928" s="35" t="s">
        <v>13</v>
      </c>
      <c r="E1928" s="35">
        <v>6.904629E7</v>
      </c>
      <c r="F1928" s="35" t="s">
        <v>13</v>
      </c>
      <c r="G1928" s="35" t="s">
        <v>13</v>
      </c>
      <c r="H1928" s="35" t="s">
        <v>1748</v>
      </c>
      <c r="I1928" s="4"/>
    </row>
    <row r="1929">
      <c r="A1929" s="34">
        <v>1925.0</v>
      </c>
      <c r="B1929" s="35" t="s">
        <v>1723</v>
      </c>
      <c r="C1929" s="35" t="s">
        <v>2354</v>
      </c>
      <c r="D1929" s="35" t="s">
        <v>13</v>
      </c>
      <c r="E1929" s="35">
        <v>6904629.0</v>
      </c>
      <c r="F1929" s="35" t="s">
        <v>13</v>
      </c>
      <c r="G1929" s="35" t="s">
        <v>13</v>
      </c>
      <c r="H1929" s="35" t="s">
        <v>13</v>
      </c>
      <c r="I1929" s="4"/>
    </row>
    <row r="1930">
      <c r="A1930" s="34">
        <v>1926.0</v>
      </c>
      <c r="B1930" s="35" t="s">
        <v>1723</v>
      </c>
      <c r="C1930" s="35" t="s">
        <v>2354</v>
      </c>
      <c r="D1930" s="35" t="s">
        <v>13</v>
      </c>
      <c r="E1930" s="35" t="s">
        <v>13</v>
      </c>
      <c r="F1930" s="35" t="s">
        <v>13</v>
      </c>
      <c r="G1930" s="35" t="s">
        <v>13</v>
      </c>
      <c r="H1930" s="35" t="s">
        <v>1742</v>
      </c>
      <c r="I1930" s="4"/>
    </row>
    <row r="1931">
      <c r="A1931" s="34">
        <v>1927.0</v>
      </c>
      <c r="B1931" s="35" t="s">
        <v>1723</v>
      </c>
      <c r="C1931" s="35" t="s">
        <v>2355</v>
      </c>
      <c r="D1931" s="35" t="s">
        <v>13</v>
      </c>
      <c r="E1931" s="35" t="s">
        <v>14</v>
      </c>
      <c r="F1931" s="35" t="s">
        <v>13</v>
      </c>
      <c r="G1931" s="35" t="s">
        <v>13</v>
      </c>
      <c r="H1931" s="35" t="s">
        <v>15</v>
      </c>
      <c r="I1931" s="4"/>
    </row>
    <row r="1932">
      <c r="A1932" s="34">
        <v>1928.0</v>
      </c>
      <c r="B1932" s="35" t="s">
        <v>1723</v>
      </c>
      <c r="C1932" s="35" t="s">
        <v>2356</v>
      </c>
      <c r="D1932" s="35" t="s">
        <v>13</v>
      </c>
      <c r="E1932" s="35" t="s">
        <v>13</v>
      </c>
      <c r="F1932" s="35" t="s">
        <v>13</v>
      </c>
      <c r="G1932" s="35" t="s">
        <v>13</v>
      </c>
      <c r="H1932" s="35" t="s">
        <v>1742</v>
      </c>
      <c r="I1932" s="4"/>
    </row>
    <row r="1933">
      <c r="A1933" s="34">
        <v>1929.0</v>
      </c>
      <c r="B1933" s="35" t="s">
        <v>1723</v>
      </c>
      <c r="C1933" s="35" t="s">
        <v>2357</v>
      </c>
      <c r="D1933" s="35" t="s">
        <v>13</v>
      </c>
      <c r="E1933" s="35" t="s">
        <v>13</v>
      </c>
      <c r="F1933" s="35" t="s">
        <v>13</v>
      </c>
      <c r="G1933" s="35" t="s">
        <v>13</v>
      </c>
      <c r="H1933" s="35" t="s">
        <v>1742</v>
      </c>
      <c r="I1933" s="4"/>
    </row>
    <row r="1934">
      <c r="A1934" s="34">
        <v>1930.0</v>
      </c>
      <c r="B1934" s="35" t="s">
        <v>1723</v>
      </c>
      <c r="C1934" s="35" t="s">
        <v>2358</v>
      </c>
      <c r="D1934" s="35" t="s">
        <v>13</v>
      </c>
      <c r="E1934" s="35" t="s">
        <v>14</v>
      </c>
      <c r="F1934" s="35" t="s">
        <v>13</v>
      </c>
      <c r="G1934" s="35" t="s">
        <v>13</v>
      </c>
      <c r="H1934" s="35" t="s">
        <v>15</v>
      </c>
      <c r="I1934" s="4"/>
    </row>
    <row r="1935">
      <c r="A1935" s="34">
        <v>1931.0</v>
      </c>
      <c r="B1935" s="35" t="s">
        <v>1723</v>
      </c>
      <c r="C1935" s="35" t="s">
        <v>2359</v>
      </c>
      <c r="D1935" s="35" t="s">
        <v>13</v>
      </c>
      <c r="E1935" s="35">
        <v>2.3241059E7</v>
      </c>
      <c r="F1935" s="35" t="s">
        <v>13</v>
      </c>
      <c r="G1935" s="35" t="s">
        <v>13</v>
      </c>
      <c r="H1935" s="35" t="s">
        <v>13</v>
      </c>
      <c r="I1935" s="4"/>
    </row>
    <row r="1936">
      <c r="A1936" s="34">
        <v>1932.0</v>
      </c>
      <c r="B1936" s="35" t="s">
        <v>1723</v>
      </c>
      <c r="C1936" s="35" t="s">
        <v>2360</v>
      </c>
      <c r="D1936" s="35" t="s">
        <v>13</v>
      </c>
      <c r="E1936" s="35" t="s">
        <v>13</v>
      </c>
      <c r="F1936" s="35" t="s">
        <v>13</v>
      </c>
      <c r="G1936" s="35" t="s">
        <v>13</v>
      </c>
      <c r="H1936" s="35" t="s">
        <v>13</v>
      </c>
      <c r="I1936" s="4"/>
    </row>
    <row r="1937">
      <c r="A1937" s="34">
        <v>1933.0</v>
      </c>
      <c r="B1937" s="35" t="s">
        <v>1723</v>
      </c>
      <c r="C1937" s="35" t="s">
        <v>2361</v>
      </c>
      <c r="D1937" s="35" t="s">
        <v>13</v>
      </c>
      <c r="E1937" s="35">
        <v>2945823.0</v>
      </c>
      <c r="F1937" s="35" t="s">
        <v>13</v>
      </c>
      <c r="G1937" s="35" t="s">
        <v>13</v>
      </c>
      <c r="H1937" s="35" t="s">
        <v>2362</v>
      </c>
      <c r="I1937" s="4"/>
    </row>
    <row r="1938">
      <c r="A1938" s="34">
        <v>1934.0</v>
      </c>
      <c r="B1938" s="35" t="s">
        <v>1723</v>
      </c>
      <c r="C1938" s="35" t="s">
        <v>2363</v>
      </c>
      <c r="D1938" s="35" t="s">
        <v>13</v>
      </c>
      <c r="E1938" s="35" t="s">
        <v>14</v>
      </c>
      <c r="F1938" s="35" t="s">
        <v>13</v>
      </c>
      <c r="G1938" s="35" t="s">
        <v>13</v>
      </c>
      <c r="H1938" s="35" t="s">
        <v>2364</v>
      </c>
      <c r="I1938" s="4"/>
    </row>
    <row r="1939">
      <c r="A1939" s="34">
        <v>1935.0</v>
      </c>
      <c r="B1939" s="35" t="s">
        <v>1723</v>
      </c>
      <c r="C1939" s="35" t="s">
        <v>2365</v>
      </c>
      <c r="D1939" s="35" t="s">
        <v>13</v>
      </c>
      <c r="E1939" s="35">
        <v>2.6372024E7</v>
      </c>
      <c r="F1939" s="35" t="s">
        <v>13</v>
      </c>
      <c r="G1939" s="35" t="s">
        <v>13</v>
      </c>
      <c r="H1939" s="35" t="s">
        <v>13</v>
      </c>
      <c r="I1939" s="4"/>
    </row>
    <row r="1940">
      <c r="A1940" s="34">
        <v>1936.0</v>
      </c>
      <c r="B1940" s="35" t="s">
        <v>1723</v>
      </c>
      <c r="C1940" s="35" t="s">
        <v>2366</v>
      </c>
      <c r="D1940" s="35" t="s">
        <v>13</v>
      </c>
      <c r="E1940" s="35" t="s">
        <v>13</v>
      </c>
      <c r="F1940" s="35" t="s">
        <v>13</v>
      </c>
      <c r="G1940" s="35" t="s">
        <v>13</v>
      </c>
      <c r="H1940" s="35" t="s">
        <v>1742</v>
      </c>
      <c r="I1940" s="4"/>
    </row>
    <row r="1941">
      <c r="A1941" s="34">
        <v>1937.0</v>
      </c>
      <c r="B1941" s="35" t="s">
        <v>1723</v>
      </c>
      <c r="C1941" s="35" t="s">
        <v>2367</v>
      </c>
      <c r="D1941" s="35" t="s">
        <v>13</v>
      </c>
      <c r="E1941" s="35" t="s">
        <v>13</v>
      </c>
      <c r="F1941" s="35" t="s">
        <v>13</v>
      </c>
      <c r="G1941" s="35" t="s">
        <v>13</v>
      </c>
      <c r="H1941" s="35" t="s">
        <v>2368</v>
      </c>
      <c r="I1941" s="4"/>
    </row>
    <row r="1942">
      <c r="A1942" s="34">
        <v>1938.0</v>
      </c>
      <c r="B1942" s="35" t="s">
        <v>1723</v>
      </c>
      <c r="C1942" s="35" t="s">
        <v>2369</v>
      </c>
      <c r="D1942" s="35" t="s">
        <v>13</v>
      </c>
      <c r="E1942" s="35" t="s">
        <v>13</v>
      </c>
      <c r="F1942" s="35" t="s">
        <v>13</v>
      </c>
      <c r="G1942" s="35" t="s">
        <v>13</v>
      </c>
      <c r="H1942" s="35" t="s">
        <v>2370</v>
      </c>
      <c r="I1942" s="4"/>
    </row>
    <row r="1943">
      <c r="A1943" s="34">
        <v>1939.0</v>
      </c>
      <c r="B1943" s="35" t="s">
        <v>1723</v>
      </c>
      <c r="C1943" s="35" t="s">
        <v>2371</v>
      </c>
      <c r="D1943" s="35">
        <v>14.0</v>
      </c>
      <c r="E1943" s="35" t="s">
        <v>13</v>
      </c>
      <c r="F1943" s="35" t="s">
        <v>13</v>
      </c>
      <c r="G1943" s="35" t="s">
        <v>13</v>
      </c>
      <c r="H1943" s="35" t="s">
        <v>1742</v>
      </c>
      <c r="I1943" s="4"/>
    </row>
    <row r="1944">
      <c r="A1944" s="34">
        <v>1940.0</v>
      </c>
      <c r="B1944" s="35" t="s">
        <v>1723</v>
      </c>
      <c r="C1944" s="35" t="s">
        <v>2372</v>
      </c>
      <c r="D1944" s="35">
        <v>14.0</v>
      </c>
      <c r="E1944" s="35" t="s">
        <v>13</v>
      </c>
      <c r="F1944" s="35" t="s">
        <v>13</v>
      </c>
      <c r="G1944" s="35" t="s">
        <v>13</v>
      </c>
      <c r="H1944" s="35" t="s">
        <v>1742</v>
      </c>
      <c r="I1944" s="4"/>
    </row>
    <row r="1945">
      <c r="A1945" s="34">
        <v>1941.0</v>
      </c>
      <c r="B1945" s="35" t="s">
        <v>1723</v>
      </c>
      <c r="C1945" s="35" t="s">
        <v>2373</v>
      </c>
      <c r="D1945" s="35">
        <v>9.0</v>
      </c>
      <c r="E1945" s="35" t="s">
        <v>13</v>
      </c>
      <c r="F1945" s="35" t="s">
        <v>13</v>
      </c>
      <c r="G1945" s="35" t="s">
        <v>13</v>
      </c>
      <c r="H1945" s="35" t="s">
        <v>2374</v>
      </c>
      <c r="I1945" s="4"/>
    </row>
    <row r="1946">
      <c r="A1946" s="34">
        <v>1942.0</v>
      </c>
      <c r="B1946" s="35" t="s">
        <v>1723</v>
      </c>
      <c r="C1946" s="35" t="s">
        <v>2375</v>
      </c>
      <c r="D1946" s="35" t="s">
        <v>13</v>
      </c>
      <c r="E1946" s="35">
        <v>4718019.0</v>
      </c>
      <c r="F1946" s="35" t="s">
        <v>13</v>
      </c>
      <c r="G1946" s="35" t="s">
        <v>13</v>
      </c>
      <c r="H1946" s="35" t="s">
        <v>13</v>
      </c>
      <c r="I1946" s="4"/>
    </row>
    <row r="1947">
      <c r="A1947" s="34">
        <v>1943.0</v>
      </c>
      <c r="B1947" s="35" t="s">
        <v>1723</v>
      </c>
      <c r="C1947" s="35" t="s">
        <v>2376</v>
      </c>
      <c r="D1947" s="35" t="s">
        <v>13</v>
      </c>
      <c r="E1947" s="35" t="s">
        <v>14</v>
      </c>
      <c r="F1947" s="35" t="s">
        <v>13</v>
      </c>
      <c r="G1947" s="35" t="s">
        <v>13</v>
      </c>
      <c r="H1947" s="35" t="s">
        <v>15</v>
      </c>
      <c r="I1947" s="4"/>
    </row>
    <row r="1948">
      <c r="A1948" s="34">
        <v>1944.0</v>
      </c>
      <c r="B1948" s="35" t="s">
        <v>1723</v>
      </c>
      <c r="C1948" s="35" t="s">
        <v>2377</v>
      </c>
      <c r="D1948" s="35" t="s">
        <v>13</v>
      </c>
      <c r="E1948" s="35">
        <v>1.5141012E7</v>
      </c>
      <c r="F1948" s="35" t="s">
        <v>13</v>
      </c>
      <c r="G1948" s="35" t="s">
        <v>13</v>
      </c>
      <c r="H1948" s="35" t="s">
        <v>1729</v>
      </c>
      <c r="I1948" s="4"/>
    </row>
    <row r="1949">
      <c r="A1949" s="34">
        <v>1945.0</v>
      </c>
      <c r="B1949" s="35" t="s">
        <v>1723</v>
      </c>
      <c r="C1949" s="35" t="s">
        <v>2378</v>
      </c>
      <c r="D1949" s="35">
        <v>24.0</v>
      </c>
      <c r="E1949" s="35" t="s">
        <v>13</v>
      </c>
      <c r="F1949" s="35" t="s">
        <v>13</v>
      </c>
      <c r="G1949" s="35" t="s">
        <v>13</v>
      </c>
      <c r="H1949" s="35" t="s">
        <v>1742</v>
      </c>
      <c r="I1949" s="4"/>
    </row>
    <row r="1950">
      <c r="A1950" s="34">
        <v>1946.0</v>
      </c>
      <c r="B1950" s="35" t="s">
        <v>1723</v>
      </c>
      <c r="C1950" s="35" t="s">
        <v>2379</v>
      </c>
      <c r="D1950" s="35" t="s">
        <v>13</v>
      </c>
      <c r="E1950" s="35">
        <v>1.2113971E7</v>
      </c>
      <c r="F1950" s="35" t="s">
        <v>13</v>
      </c>
      <c r="G1950" s="35" t="s">
        <v>13</v>
      </c>
      <c r="H1950" s="35" t="s">
        <v>1729</v>
      </c>
      <c r="I1950" s="4"/>
    </row>
    <row r="1951">
      <c r="A1951" s="34">
        <v>1947.0</v>
      </c>
      <c r="B1951" s="35" t="s">
        <v>1723</v>
      </c>
      <c r="C1951" s="35" t="s">
        <v>2380</v>
      </c>
      <c r="D1951" s="35" t="s">
        <v>13</v>
      </c>
      <c r="E1951" s="35" t="s">
        <v>14</v>
      </c>
      <c r="F1951" s="35" t="s">
        <v>13</v>
      </c>
      <c r="G1951" s="35" t="s">
        <v>13</v>
      </c>
      <c r="H1951" s="35" t="s">
        <v>15</v>
      </c>
      <c r="I1951" s="4"/>
    </row>
    <row r="1952">
      <c r="A1952" s="34">
        <v>1948.0</v>
      </c>
      <c r="B1952" s="35" t="s">
        <v>1723</v>
      </c>
      <c r="C1952" s="35" t="s">
        <v>245</v>
      </c>
      <c r="D1952" s="35" t="s">
        <v>13</v>
      </c>
      <c r="E1952" s="35" t="s">
        <v>13</v>
      </c>
      <c r="F1952" s="35" t="s">
        <v>13</v>
      </c>
      <c r="G1952" s="35" t="s">
        <v>13</v>
      </c>
      <c r="H1952" s="35" t="s">
        <v>2370</v>
      </c>
      <c r="I1952" s="4"/>
    </row>
    <row r="1953">
      <c r="A1953" s="34">
        <v>1949.0</v>
      </c>
      <c r="B1953" s="35" t="s">
        <v>1723</v>
      </c>
      <c r="C1953" s="35" t="s">
        <v>2381</v>
      </c>
      <c r="D1953" s="35" t="s">
        <v>13</v>
      </c>
      <c r="E1953" s="35" t="s">
        <v>13</v>
      </c>
      <c r="F1953" s="35" t="s">
        <v>13</v>
      </c>
      <c r="G1953" s="35" t="s">
        <v>13</v>
      </c>
      <c r="H1953" s="35" t="s">
        <v>1742</v>
      </c>
      <c r="I1953" s="4"/>
    </row>
    <row r="1954">
      <c r="A1954" s="34">
        <v>1950.0</v>
      </c>
      <c r="B1954" s="35" t="s">
        <v>1723</v>
      </c>
      <c r="C1954" s="35" t="s">
        <v>2382</v>
      </c>
      <c r="D1954" s="35" t="s">
        <v>13</v>
      </c>
      <c r="E1954" s="35">
        <v>2.8544619E8</v>
      </c>
      <c r="F1954" s="35" t="s">
        <v>13</v>
      </c>
      <c r="G1954" s="35" t="s">
        <v>13</v>
      </c>
      <c r="H1954" s="35" t="s">
        <v>1748</v>
      </c>
      <c r="I1954" s="4"/>
    </row>
    <row r="1955">
      <c r="A1955" s="34">
        <v>1951.0</v>
      </c>
      <c r="B1955" s="35" t="s">
        <v>1723</v>
      </c>
      <c r="C1955" s="35" t="s">
        <v>2383</v>
      </c>
      <c r="D1955" s="35" t="s">
        <v>13</v>
      </c>
      <c r="E1955" s="35">
        <v>1.3374764E8</v>
      </c>
      <c r="F1955" s="35" t="s">
        <v>13</v>
      </c>
      <c r="G1955" s="35" t="s">
        <v>13</v>
      </c>
      <c r="H1955" s="35" t="s">
        <v>13</v>
      </c>
      <c r="I1955" s="4"/>
    </row>
    <row r="1956">
      <c r="A1956" s="34">
        <v>1952.0</v>
      </c>
      <c r="B1956" s="35" t="s">
        <v>1723</v>
      </c>
      <c r="C1956" s="35" t="s">
        <v>2383</v>
      </c>
      <c r="D1956" s="35" t="s">
        <v>13</v>
      </c>
      <c r="E1956" s="35">
        <v>1.3574764E7</v>
      </c>
      <c r="F1956" s="35" t="s">
        <v>13</v>
      </c>
      <c r="G1956" s="35" t="s">
        <v>13</v>
      </c>
      <c r="H1956" s="35" t="s">
        <v>13</v>
      </c>
      <c r="I1956" s="4"/>
    </row>
    <row r="1957">
      <c r="A1957" s="34">
        <v>1953.0</v>
      </c>
      <c r="B1957" s="35" t="s">
        <v>1723</v>
      </c>
      <c r="C1957" s="35" t="s">
        <v>2383</v>
      </c>
      <c r="D1957" s="35" t="s">
        <v>1731</v>
      </c>
      <c r="E1957" s="35">
        <v>1.3374754E8</v>
      </c>
      <c r="F1957" s="35" t="s">
        <v>13</v>
      </c>
      <c r="G1957" s="35" t="s">
        <v>1731</v>
      </c>
      <c r="H1957" s="35" t="s">
        <v>1731</v>
      </c>
      <c r="I1957" s="4"/>
    </row>
    <row r="1958">
      <c r="A1958" s="34">
        <v>1954.0</v>
      </c>
      <c r="B1958" s="35" t="s">
        <v>1723</v>
      </c>
      <c r="C1958" s="35" t="s">
        <v>2384</v>
      </c>
      <c r="D1958" s="35" t="s">
        <v>13</v>
      </c>
      <c r="E1958" s="35">
        <v>1.3374764E7</v>
      </c>
      <c r="F1958" s="35" t="s">
        <v>13</v>
      </c>
      <c r="G1958" s="35" t="s">
        <v>13</v>
      </c>
      <c r="H1958" s="35" t="s">
        <v>13</v>
      </c>
      <c r="I1958" s="4"/>
    </row>
    <row r="1959">
      <c r="A1959" s="34">
        <v>1955.0</v>
      </c>
      <c r="B1959" s="35" t="s">
        <v>1723</v>
      </c>
      <c r="C1959" s="35" t="s">
        <v>2385</v>
      </c>
      <c r="D1959" s="35" t="s">
        <v>13</v>
      </c>
      <c r="E1959" s="35" t="s">
        <v>13</v>
      </c>
      <c r="F1959" s="35" t="s">
        <v>13</v>
      </c>
      <c r="G1959" s="35" t="s">
        <v>13</v>
      </c>
      <c r="H1959" s="35" t="s">
        <v>2386</v>
      </c>
      <c r="I1959" s="4"/>
    </row>
    <row r="1960">
      <c r="A1960" s="34">
        <v>1956.0</v>
      </c>
      <c r="B1960" s="35" t="s">
        <v>1723</v>
      </c>
      <c r="C1960" s="35" t="s">
        <v>2387</v>
      </c>
      <c r="D1960" s="35" t="s">
        <v>13</v>
      </c>
      <c r="E1960" s="35" t="s">
        <v>14</v>
      </c>
      <c r="F1960" s="35" t="s">
        <v>13</v>
      </c>
      <c r="G1960" s="35" t="s">
        <v>13</v>
      </c>
      <c r="H1960" s="35" t="s">
        <v>15</v>
      </c>
      <c r="I1960" s="4"/>
    </row>
    <row r="1961">
      <c r="A1961" s="34">
        <v>1957.0</v>
      </c>
      <c r="B1961" s="35" t="s">
        <v>1723</v>
      </c>
      <c r="C1961" s="35" t="s">
        <v>2388</v>
      </c>
      <c r="D1961" s="35" t="s">
        <v>13</v>
      </c>
      <c r="E1961" s="35">
        <v>1.7856045E7</v>
      </c>
      <c r="F1961" s="35" t="s">
        <v>13</v>
      </c>
      <c r="G1961" s="35" t="s">
        <v>13</v>
      </c>
      <c r="H1961" s="35" t="s">
        <v>13</v>
      </c>
      <c r="I1961" s="4"/>
    </row>
    <row r="1962">
      <c r="A1962" s="34">
        <v>1958.0</v>
      </c>
      <c r="B1962" s="35" t="s">
        <v>1723</v>
      </c>
      <c r="C1962" s="35" t="s">
        <v>2389</v>
      </c>
      <c r="D1962" s="35" t="s">
        <v>13</v>
      </c>
      <c r="E1962" s="35" t="s">
        <v>13</v>
      </c>
      <c r="F1962" s="35" t="s">
        <v>13</v>
      </c>
      <c r="G1962" s="35" t="s">
        <v>13</v>
      </c>
      <c r="H1962" s="35" t="s">
        <v>2390</v>
      </c>
      <c r="I1962" s="4"/>
    </row>
    <row r="1963">
      <c r="A1963" s="34">
        <v>1959.0</v>
      </c>
      <c r="B1963" s="35" t="s">
        <v>1723</v>
      </c>
      <c r="C1963" s="35" t="s">
        <v>2391</v>
      </c>
      <c r="D1963" s="35">
        <v>11.0</v>
      </c>
      <c r="E1963" s="35" t="s">
        <v>13</v>
      </c>
      <c r="F1963" s="35" t="s">
        <v>13</v>
      </c>
      <c r="G1963" s="35" t="s">
        <v>13</v>
      </c>
      <c r="H1963" s="35" t="s">
        <v>1804</v>
      </c>
      <c r="I1963" s="4"/>
    </row>
    <row r="1964">
      <c r="A1964" s="34">
        <v>1960.0</v>
      </c>
      <c r="B1964" s="35" t="s">
        <v>1723</v>
      </c>
      <c r="C1964" s="35" t="s">
        <v>2392</v>
      </c>
      <c r="D1964" s="35">
        <v>11.0</v>
      </c>
      <c r="E1964" s="35" t="s">
        <v>13</v>
      </c>
      <c r="F1964" s="35" t="s">
        <v>13</v>
      </c>
      <c r="G1964" s="35" t="s">
        <v>13</v>
      </c>
      <c r="H1964" s="35" t="s">
        <v>452</v>
      </c>
      <c r="I1964" s="4"/>
    </row>
    <row r="1965">
      <c r="A1965" s="34">
        <v>1961.0</v>
      </c>
      <c r="B1965" s="35" t="s">
        <v>1723</v>
      </c>
      <c r="C1965" s="35" t="s">
        <v>2393</v>
      </c>
      <c r="D1965" s="35" t="s">
        <v>13</v>
      </c>
      <c r="E1965" s="35">
        <v>1.1517536E8</v>
      </c>
      <c r="F1965" s="35" t="s">
        <v>13</v>
      </c>
      <c r="G1965" s="35" t="s">
        <v>13</v>
      </c>
      <c r="H1965" s="35" t="s">
        <v>13</v>
      </c>
      <c r="I1965" s="4"/>
    </row>
    <row r="1966">
      <c r="A1966" s="34">
        <v>1962.0</v>
      </c>
      <c r="B1966" s="35" t="s">
        <v>1723</v>
      </c>
      <c r="C1966" s="35" t="s">
        <v>2394</v>
      </c>
      <c r="D1966" s="35" t="s">
        <v>1731</v>
      </c>
      <c r="E1966" s="35">
        <v>3.10451588E9</v>
      </c>
      <c r="F1966" s="35" t="s">
        <v>13</v>
      </c>
      <c r="G1966" s="35" t="s">
        <v>1731</v>
      </c>
      <c r="H1966" s="35" t="s">
        <v>1731</v>
      </c>
      <c r="I1966" s="4"/>
    </row>
    <row r="1967">
      <c r="A1967" s="34">
        <v>1963.0</v>
      </c>
      <c r="B1967" s="35" t="s">
        <v>1723</v>
      </c>
      <c r="C1967" s="35" t="s">
        <v>2395</v>
      </c>
      <c r="D1967" s="35" t="s">
        <v>13</v>
      </c>
      <c r="E1967" s="35">
        <v>3.4054588E8</v>
      </c>
      <c r="F1967" s="35" t="s">
        <v>13</v>
      </c>
      <c r="G1967" s="35" t="s">
        <v>13</v>
      </c>
      <c r="H1967" s="35" t="s">
        <v>13</v>
      </c>
      <c r="I1967" s="4"/>
    </row>
    <row r="1968">
      <c r="A1968" s="34">
        <v>1964.0</v>
      </c>
      <c r="B1968" s="35" t="s">
        <v>1723</v>
      </c>
      <c r="C1968" s="35" t="s">
        <v>2396</v>
      </c>
      <c r="D1968" s="35" t="s">
        <v>13</v>
      </c>
      <c r="E1968" s="35" t="s">
        <v>14</v>
      </c>
      <c r="F1968" s="35" t="s">
        <v>13</v>
      </c>
      <c r="G1968" s="35" t="s">
        <v>13</v>
      </c>
      <c r="H1968" s="35" t="s">
        <v>15</v>
      </c>
      <c r="I1968" s="4"/>
    </row>
    <row r="1969">
      <c r="A1969" s="34">
        <v>1965.0</v>
      </c>
      <c r="B1969" s="35" t="s">
        <v>1723</v>
      </c>
      <c r="C1969" s="35" t="s">
        <v>2397</v>
      </c>
      <c r="D1969" s="35" t="s">
        <v>13</v>
      </c>
      <c r="E1969" s="35">
        <v>1.2717087E7</v>
      </c>
      <c r="F1969" s="35" t="s">
        <v>13</v>
      </c>
      <c r="G1969" s="35" t="s">
        <v>13</v>
      </c>
      <c r="H1969" s="35" t="s">
        <v>13</v>
      </c>
      <c r="I1969" s="4"/>
    </row>
    <row r="1970">
      <c r="A1970" s="34">
        <v>1966.0</v>
      </c>
      <c r="B1970" s="35" t="s">
        <v>1723</v>
      </c>
      <c r="C1970" s="35" t="s">
        <v>2398</v>
      </c>
      <c r="D1970" s="35" t="s">
        <v>13</v>
      </c>
      <c r="E1970" s="35" t="s">
        <v>14</v>
      </c>
      <c r="F1970" s="35" t="s">
        <v>13</v>
      </c>
      <c r="G1970" s="35" t="s">
        <v>13</v>
      </c>
      <c r="H1970" s="35" t="s">
        <v>15</v>
      </c>
      <c r="I1970" s="4"/>
    </row>
    <row r="1971">
      <c r="A1971" s="34">
        <v>1967.0</v>
      </c>
      <c r="B1971" s="35" t="s">
        <v>1723</v>
      </c>
      <c r="C1971" s="35" t="s">
        <v>2399</v>
      </c>
      <c r="D1971" s="35">
        <v>8.0</v>
      </c>
      <c r="E1971" s="35" t="s">
        <v>13</v>
      </c>
      <c r="F1971" s="35" t="s">
        <v>13</v>
      </c>
      <c r="G1971" s="35" t="s">
        <v>13</v>
      </c>
      <c r="H1971" s="35" t="s">
        <v>1826</v>
      </c>
      <c r="I1971" s="4"/>
    </row>
    <row r="1972">
      <c r="A1972" s="34">
        <v>1968.0</v>
      </c>
      <c r="B1972" s="35" t="s">
        <v>1723</v>
      </c>
      <c r="C1972" s="35" t="s">
        <v>2400</v>
      </c>
      <c r="D1972" s="35">
        <v>7.0</v>
      </c>
      <c r="E1972" s="35" t="s">
        <v>14</v>
      </c>
      <c r="F1972" s="35" t="s">
        <v>13</v>
      </c>
      <c r="G1972" s="35" t="s">
        <v>13</v>
      </c>
      <c r="H1972" s="35" t="s">
        <v>2401</v>
      </c>
      <c r="I1972" s="4"/>
    </row>
    <row r="1973">
      <c r="A1973" s="34">
        <v>1969.0</v>
      </c>
      <c r="B1973" s="35" t="s">
        <v>1723</v>
      </c>
      <c r="C1973" s="35" t="s">
        <v>2402</v>
      </c>
      <c r="D1973" s="35">
        <v>3.0</v>
      </c>
      <c r="E1973" s="35" t="s">
        <v>13</v>
      </c>
      <c r="F1973" s="35" t="s">
        <v>13</v>
      </c>
      <c r="G1973" s="35" t="s">
        <v>13</v>
      </c>
      <c r="H1973" s="35" t="s">
        <v>2403</v>
      </c>
      <c r="I1973" s="4"/>
    </row>
    <row r="1974">
      <c r="A1974" s="34">
        <v>1970.0</v>
      </c>
      <c r="B1974" s="35" t="s">
        <v>1723</v>
      </c>
      <c r="C1974" s="35" t="s">
        <v>2404</v>
      </c>
      <c r="D1974" s="35" t="s">
        <v>1731</v>
      </c>
      <c r="E1974" s="35">
        <v>3.3332603E8</v>
      </c>
      <c r="F1974" s="35" t="s">
        <v>13</v>
      </c>
      <c r="G1974" s="35" t="s">
        <v>1731</v>
      </c>
      <c r="H1974" s="35" t="s">
        <v>2267</v>
      </c>
      <c r="I1974" s="4"/>
    </row>
    <row r="1975">
      <c r="A1975" s="34">
        <v>1971.0</v>
      </c>
      <c r="B1975" s="35" t="s">
        <v>1723</v>
      </c>
      <c r="C1975" s="35" t="s">
        <v>2405</v>
      </c>
      <c r="D1975" s="35">
        <v>24.0</v>
      </c>
      <c r="E1975" s="35" t="s">
        <v>13</v>
      </c>
      <c r="F1975" s="35" t="s">
        <v>13</v>
      </c>
      <c r="G1975" s="35" t="s">
        <v>13</v>
      </c>
      <c r="H1975" s="35" t="s">
        <v>1903</v>
      </c>
      <c r="I1975" s="4"/>
    </row>
    <row r="1976">
      <c r="A1976" s="34">
        <v>1972.0</v>
      </c>
      <c r="B1976" s="35" t="s">
        <v>1723</v>
      </c>
      <c r="C1976" s="35" t="s">
        <v>2406</v>
      </c>
      <c r="D1976" s="35" t="s">
        <v>13</v>
      </c>
      <c r="E1976" s="35" t="s">
        <v>2407</v>
      </c>
      <c r="F1976" s="35" t="s">
        <v>13</v>
      </c>
      <c r="G1976" s="35" t="s">
        <v>13</v>
      </c>
      <c r="H1976" s="35" t="s">
        <v>15</v>
      </c>
      <c r="I1976" s="4"/>
    </row>
    <row r="1977">
      <c r="A1977" s="34">
        <v>1973.0</v>
      </c>
      <c r="B1977" s="35" t="s">
        <v>1723</v>
      </c>
      <c r="C1977" s="35" t="s">
        <v>2408</v>
      </c>
      <c r="D1977" s="35" t="s">
        <v>13</v>
      </c>
      <c r="E1977" s="35">
        <v>1.6125101E8</v>
      </c>
      <c r="F1977" s="35" t="s">
        <v>13</v>
      </c>
      <c r="G1977" s="35" t="s">
        <v>13</v>
      </c>
      <c r="H1977" s="35" t="s">
        <v>13</v>
      </c>
      <c r="I1977" s="4"/>
    </row>
    <row r="1978">
      <c r="A1978" s="34">
        <v>1974.0</v>
      </c>
      <c r="B1978" s="35" t="s">
        <v>1723</v>
      </c>
      <c r="C1978" s="35" t="s">
        <v>2409</v>
      </c>
      <c r="D1978" s="35" t="s">
        <v>1731</v>
      </c>
      <c r="E1978" s="35">
        <v>1.9367864E8</v>
      </c>
      <c r="F1978" s="35" t="s">
        <v>13</v>
      </c>
      <c r="G1978" s="35" t="s">
        <v>1731</v>
      </c>
      <c r="H1978" s="35" t="s">
        <v>2267</v>
      </c>
      <c r="I1978" s="4"/>
    </row>
    <row r="1979">
      <c r="A1979" s="34">
        <v>1975.0</v>
      </c>
      <c r="B1979" s="35" t="s">
        <v>1723</v>
      </c>
      <c r="C1979" s="35" t="s">
        <v>2410</v>
      </c>
      <c r="D1979" s="35" t="s">
        <v>1731</v>
      </c>
      <c r="E1979" s="35">
        <v>1.2363837E8</v>
      </c>
      <c r="F1979" s="35" t="s">
        <v>13</v>
      </c>
      <c r="G1979" s="35" t="s">
        <v>1731</v>
      </c>
      <c r="H1979" s="35" t="s">
        <v>1731</v>
      </c>
      <c r="I1979" s="4"/>
    </row>
    <row r="1980">
      <c r="A1980" s="34">
        <v>1976.0</v>
      </c>
      <c r="B1980" s="35" t="s">
        <v>1723</v>
      </c>
      <c r="C1980" s="35" t="s">
        <v>2411</v>
      </c>
      <c r="D1980" s="35" t="s">
        <v>13</v>
      </c>
      <c r="E1980" s="35">
        <v>3.1760907E8</v>
      </c>
      <c r="F1980" s="35" t="s">
        <v>13</v>
      </c>
      <c r="G1980" s="35" t="s">
        <v>13</v>
      </c>
      <c r="H1980" s="35" t="s">
        <v>1748</v>
      </c>
      <c r="I1980" s="4"/>
    </row>
    <row r="1981">
      <c r="A1981" s="34">
        <v>1977.0</v>
      </c>
      <c r="B1981" s="35" t="s">
        <v>1723</v>
      </c>
      <c r="C1981" s="35" t="s">
        <v>2412</v>
      </c>
      <c r="D1981" s="35" t="s">
        <v>13</v>
      </c>
      <c r="E1981" s="35" t="s">
        <v>14</v>
      </c>
      <c r="F1981" s="35" t="s">
        <v>13</v>
      </c>
      <c r="G1981" s="35" t="s">
        <v>13</v>
      </c>
      <c r="H1981" s="35" t="s">
        <v>15</v>
      </c>
      <c r="I1981" s="4"/>
    </row>
    <row r="1982">
      <c r="A1982" s="34">
        <v>1978.0</v>
      </c>
      <c r="B1982" s="35" t="s">
        <v>1723</v>
      </c>
      <c r="C1982" s="35" t="s">
        <v>2413</v>
      </c>
      <c r="D1982" s="35" t="s">
        <v>13</v>
      </c>
      <c r="E1982" s="35" t="s">
        <v>14</v>
      </c>
      <c r="F1982" s="35" t="s">
        <v>13</v>
      </c>
      <c r="G1982" s="35" t="s">
        <v>13</v>
      </c>
      <c r="H1982" s="35" t="s">
        <v>2414</v>
      </c>
      <c r="I1982" s="4"/>
    </row>
    <row r="1983">
      <c r="A1983" s="34">
        <v>1979.0</v>
      </c>
      <c r="B1983" s="35" t="s">
        <v>1723</v>
      </c>
      <c r="C1983" s="35" t="s">
        <v>2415</v>
      </c>
      <c r="D1983" s="35" t="s">
        <v>13</v>
      </c>
      <c r="E1983" s="35">
        <v>2.405878E8</v>
      </c>
      <c r="F1983" s="35" t="s">
        <v>13</v>
      </c>
      <c r="G1983" s="35" t="s">
        <v>13</v>
      </c>
      <c r="H1983" s="35" t="s">
        <v>1847</v>
      </c>
      <c r="I1983" s="4"/>
    </row>
    <row r="1984">
      <c r="A1984" s="34">
        <v>1980.0</v>
      </c>
      <c r="B1984" s="35" t="s">
        <v>1723</v>
      </c>
      <c r="C1984" s="35" t="s">
        <v>2416</v>
      </c>
      <c r="D1984" s="35" t="s">
        <v>13</v>
      </c>
      <c r="E1984" s="35">
        <v>2.405878E7</v>
      </c>
      <c r="F1984" s="35" t="s">
        <v>13</v>
      </c>
      <c r="G1984" s="35" t="s">
        <v>13</v>
      </c>
      <c r="H1984" s="35" t="s">
        <v>13</v>
      </c>
      <c r="I1984" s="4"/>
    </row>
    <row r="1985">
      <c r="A1985" s="34">
        <v>1981.0</v>
      </c>
      <c r="B1985" s="35" t="s">
        <v>1723</v>
      </c>
      <c r="C1985" s="35" t="s">
        <v>2417</v>
      </c>
      <c r="D1985" s="35" t="s">
        <v>13</v>
      </c>
      <c r="E1985" s="35">
        <v>1.0384289E8</v>
      </c>
      <c r="F1985" s="35" t="s">
        <v>13</v>
      </c>
      <c r="G1985" s="35" t="s">
        <v>13</v>
      </c>
      <c r="H1985" s="35" t="s">
        <v>13</v>
      </c>
      <c r="I1985" s="4"/>
    </row>
    <row r="1986">
      <c r="A1986" s="34">
        <v>1982.0</v>
      </c>
      <c r="B1986" s="35" t="s">
        <v>1723</v>
      </c>
      <c r="C1986" s="35" t="s">
        <v>2418</v>
      </c>
      <c r="D1986" s="35" t="s">
        <v>13</v>
      </c>
      <c r="E1986" s="35" t="s">
        <v>14</v>
      </c>
      <c r="F1986" s="35" t="s">
        <v>13</v>
      </c>
      <c r="G1986" s="35" t="s">
        <v>13</v>
      </c>
      <c r="H1986" s="35" t="s">
        <v>15</v>
      </c>
      <c r="I1986" s="4"/>
    </row>
    <row r="1987">
      <c r="A1987" s="34">
        <v>1983.0</v>
      </c>
      <c r="B1987" s="35" t="s">
        <v>1723</v>
      </c>
      <c r="C1987" s="35" t="s">
        <v>2419</v>
      </c>
      <c r="D1987" s="35" t="s">
        <v>13</v>
      </c>
      <c r="E1987" s="35">
        <v>3.1948173E8</v>
      </c>
      <c r="F1987" s="35" t="s">
        <v>13</v>
      </c>
      <c r="G1987" s="35" t="s">
        <v>13</v>
      </c>
      <c r="H1987" s="35" t="s">
        <v>13</v>
      </c>
      <c r="I1987" s="4"/>
    </row>
    <row r="1988">
      <c r="A1988" s="34">
        <v>1984.0</v>
      </c>
      <c r="B1988" s="35" t="s">
        <v>1723</v>
      </c>
      <c r="C1988" s="35" t="s">
        <v>2420</v>
      </c>
      <c r="D1988" s="35" t="s">
        <v>1731</v>
      </c>
      <c r="E1988" s="35">
        <v>2.5812328E8</v>
      </c>
      <c r="F1988" s="35" t="s">
        <v>13</v>
      </c>
      <c r="G1988" s="35" t="s">
        <v>1731</v>
      </c>
      <c r="H1988" s="35" t="s">
        <v>1731</v>
      </c>
      <c r="I1988" s="4"/>
    </row>
    <row r="1989">
      <c r="A1989" s="34">
        <v>1985.0</v>
      </c>
      <c r="B1989" s="35" t="s">
        <v>1723</v>
      </c>
      <c r="C1989" s="35" t="s">
        <v>2421</v>
      </c>
      <c r="D1989" s="35" t="s">
        <v>13</v>
      </c>
      <c r="E1989" s="35">
        <v>2.5872328E8</v>
      </c>
      <c r="F1989" s="35" t="s">
        <v>13</v>
      </c>
      <c r="G1989" s="35" t="s">
        <v>13</v>
      </c>
      <c r="H1989" s="35" t="s">
        <v>13</v>
      </c>
      <c r="I1989" s="4"/>
    </row>
    <row r="1990">
      <c r="A1990" s="34">
        <v>1986.0</v>
      </c>
      <c r="B1990" s="35" t="s">
        <v>1723</v>
      </c>
      <c r="C1990" s="35" t="s">
        <v>2422</v>
      </c>
      <c r="D1990" s="35" t="s">
        <v>13</v>
      </c>
      <c r="E1990" s="35">
        <v>3.0072743E8</v>
      </c>
      <c r="F1990" s="35" t="s">
        <v>13</v>
      </c>
      <c r="G1990" s="35" t="s">
        <v>13</v>
      </c>
      <c r="H1990" s="35" t="s">
        <v>13</v>
      </c>
      <c r="I1990" s="4"/>
    </row>
    <row r="1991">
      <c r="A1991" s="34">
        <v>1987.0</v>
      </c>
      <c r="B1991" s="35" t="s">
        <v>1723</v>
      </c>
      <c r="C1991" s="35" t="s">
        <v>2423</v>
      </c>
      <c r="D1991" s="35">
        <v>3.0</v>
      </c>
      <c r="E1991" s="35" t="s">
        <v>13</v>
      </c>
      <c r="F1991" s="35" t="s">
        <v>13</v>
      </c>
      <c r="G1991" s="35" t="s">
        <v>13</v>
      </c>
      <c r="H1991" s="35" t="s">
        <v>13</v>
      </c>
      <c r="I1991" s="4"/>
    </row>
    <row r="1992">
      <c r="A1992" s="34">
        <v>1988.0</v>
      </c>
      <c r="B1992" s="35" t="s">
        <v>1723</v>
      </c>
      <c r="C1992" s="35" t="s">
        <v>2424</v>
      </c>
      <c r="D1992" s="35" t="s">
        <v>13</v>
      </c>
      <c r="E1992" s="35" t="s">
        <v>14</v>
      </c>
      <c r="F1992" s="35" t="s">
        <v>13</v>
      </c>
      <c r="G1992" s="35" t="s">
        <v>13</v>
      </c>
      <c r="H1992" s="35" t="s">
        <v>2425</v>
      </c>
      <c r="I1992" s="4"/>
    </row>
    <row r="1993">
      <c r="A1993" s="34">
        <v>1989.0</v>
      </c>
      <c r="B1993" s="35" t="s">
        <v>1723</v>
      </c>
      <c r="C1993" s="35" t="s">
        <v>2426</v>
      </c>
      <c r="D1993" s="35" t="s">
        <v>13</v>
      </c>
      <c r="E1993" s="35">
        <v>5.199693E7</v>
      </c>
      <c r="F1993" s="35" t="s">
        <v>13</v>
      </c>
      <c r="G1993" s="35" t="s">
        <v>13</v>
      </c>
      <c r="H1993" s="35" t="s">
        <v>13</v>
      </c>
      <c r="I1993" s="4"/>
    </row>
    <row r="1994">
      <c r="A1994" s="34">
        <v>1990.0</v>
      </c>
      <c r="B1994" s="35" t="s">
        <v>1723</v>
      </c>
      <c r="C1994" s="35" t="s">
        <v>2427</v>
      </c>
      <c r="D1994" s="35">
        <v>1.0</v>
      </c>
      <c r="E1994" s="35" t="s">
        <v>13</v>
      </c>
      <c r="F1994" s="35" t="s">
        <v>13</v>
      </c>
      <c r="G1994" s="35" t="s">
        <v>13</v>
      </c>
      <c r="H1994" s="35" t="s">
        <v>13</v>
      </c>
      <c r="I1994" s="4"/>
    </row>
    <row r="1995">
      <c r="A1995" s="34">
        <v>1991.0</v>
      </c>
      <c r="B1995" s="35" t="s">
        <v>1723</v>
      </c>
      <c r="C1995" s="35" t="s">
        <v>2428</v>
      </c>
      <c r="D1995" s="35" t="s">
        <v>13</v>
      </c>
      <c r="E1995" s="35">
        <v>5.199652E7</v>
      </c>
      <c r="F1995" s="35" t="s">
        <v>13</v>
      </c>
      <c r="G1995" s="35" t="s">
        <v>13</v>
      </c>
      <c r="H1995" s="35" t="s">
        <v>1748</v>
      </c>
      <c r="I1995" s="4"/>
    </row>
    <row r="1996">
      <c r="A1996" s="34">
        <v>1992.0</v>
      </c>
      <c r="B1996" s="35" t="s">
        <v>1723</v>
      </c>
      <c r="C1996" s="35" t="s">
        <v>2429</v>
      </c>
      <c r="D1996" s="35">
        <v>1.0</v>
      </c>
      <c r="E1996" s="35" t="s">
        <v>13</v>
      </c>
      <c r="F1996" s="35" t="s">
        <v>13</v>
      </c>
      <c r="G1996" s="35" t="s">
        <v>13</v>
      </c>
      <c r="H1996" s="35" t="s">
        <v>452</v>
      </c>
      <c r="I1996" s="4"/>
    </row>
    <row r="1997">
      <c r="A1997" s="34">
        <v>1993.0</v>
      </c>
      <c r="B1997" s="35" t="s">
        <v>1723</v>
      </c>
      <c r="C1997" s="35" t="s">
        <v>2430</v>
      </c>
      <c r="D1997" s="35" t="s">
        <v>13</v>
      </c>
      <c r="E1997" s="35">
        <v>6.448839E7</v>
      </c>
      <c r="F1997" s="35" t="s">
        <v>13</v>
      </c>
      <c r="G1997" s="35" t="s">
        <v>13</v>
      </c>
      <c r="H1997" s="35" t="s">
        <v>13</v>
      </c>
      <c r="I1997" s="4"/>
    </row>
    <row r="1998">
      <c r="A1998" s="34">
        <v>1994.0</v>
      </c>
      <c r="B1998" s="35" t="s">
        <v>1723</v>
      </c>
      <c r="C1998" s="35" t="s">
        <v>2430</v>
      </c>
      <c r="D1998" s="35" t="s">
        <v>1731</v>
      </c>
      <c r="E1998" s="35">
        <v>6.4488239E8</v>
      </c>
      <c r="F1998" s="35" t="s">
        <v>13</v>
      </c>
      <c r="G1998" s="35" t="s">
        <v>1731</v>
      </c>
      <c r="H1998" s="35" t="s">
        <v>1731</v>
      </c>
      <c r="I1998" s="4"/>
    </row>
    <row r="1999">
      <c r="A1999" s="34">
        <v>1995.0</v>
      </c>
      <c r="B1999" s="35" t="s">
        <v>1723</v>
      </c>
      <c r="C1999" s="35" t="s">
        <v>2431</v>
      </c>
      <c r="D1999" s="35" t="s">
        <v>13</v>
      </c>
      <c r="E1999" s="35">
        <v>3883440.0</v>
      </c>
      <c r="F1999" s="35" t="s">
        <v>13</v>
      </c>
      <c r="G1999" s="35" t="s">
        <v>13</v>
      </c>
      <c r="H1999" s="35" t="s">
        <v>2069</v>
      </c>
      <c r="I1999" s="4"/>
    </row>
    <row r="2000">
      <c r="A2000" s="34">
        <v>1996.0</v>
      </c>
      <c r="B2000" s="35" t="s">
        <v>1723</v>
      </c>
      <c r="C2000" s="35" t="s">
        <v>2431</v>
      </c>
      <c r="D2000" s="35" t="s">
        <v>13</v>
      </c>
      <c r="E2000" s="35">
        <v>3.883421E7</v>
      </c>
      <c r="F2000" s="35" t="s">
        <v>13</v>
      </c>
      <c r="G2000" s="35" t="s">
        <v>13</v>
      </c>
      <c r="H2000" s="35" t="s">
        <v>13</v>
      </c>
      <c r="I2000" s="4"/>
    </row>
    <row r="2001">
      <c r="A2001" s="34">
        <v>1997.0</v>
      </c>
      <c r="B2001" s="35" t="s">
        <v>1723</v>
      </c>
      <c r="C2001" s="35" t="s">
        <v>2432</v>
      </c>
      <c r="D2001" s="35" t="s">
        <v>13</v>
      </c>
      <c r="E2001" s="35">
        <v>2.6372024E8</v>
      </c>
      <c r="F2001" s="35" t="s">
        <v>13</v>
      </c>
      <c r="G2001" s="35" t="s">
        <v>13</v>
      </c>
      <c r="H2001" s="35" t="s">
        <v>13</v>
      </c>
      <c r="I2001" s="4"/>
    </row>
    <row r="2002">
      <c r="A2002" s="34">
        <v>1998.0</v>
      </c>
      <c r="B2002" s="35" t="s">
        <v>1723</v>
      </c>
      <c r="C2002" s="35" t="s">
        <v>2433</v>
      </c>
      <c r="D2002" s="35" t="s">
        <v>13</v>
      </c>
      <c r="E2002" s="35" t="s">
        <v>13</v>
      </c>
      <c r="F2002" s="35" t="s">
        <v>13</v>
      </c>
      <c r="G2002" s="35" t="s">
        <v>13</v>
      </c>
      <c r="H2002" s="35" t="s">
        <v>1742</v>
      </c>
      <c r="I2002" s="4"/>
    </row>
    <row r="2003">
      <c r="A2003" s="34">
        <v>1999.0</v>
      </c>
      <c r="B2003" s="35" t="s">
        <v>1723</v>
      </c>
      <c r="C2003" s="35" t="s">
        <v>2434</v>
      </c>
      <c r="D2003" s="35" t="s">
        <v>13</v>
      </c>
      <c r="E2003" s="35" t="s">
        <v>13</v>
      </c>
      <c r="F2003" s="35" t="s">
        <v>13</v>
      </c>
      <c r="G2003" s="35" t="s">
        <v>13</v>
      </c>
      <c r="H2003" s="35" t="s">
        <v>1742</v>
      </c>
      <c r="I2003" s="4"/>
    </row>
    <row r="2004">
      <c r="A2004" s="34">
        <v>2000.0</v>
      </c>
      <c r="B2004" s="35" t="s">
        <v>1723</v>
      </c>
      <c r="C2004" s="35" t="s">
        <v>2435</v>
      </c>
      <c r="D2004" s="35" t="s">
        <v>13</v>
      </c>
      <c r="E2004" s="35">
        <v>1.5544792E7</v>
      </c>
      <c r="F2004" s="35" t="s">
        <v>13</v>
      </c>
      <c r="G2004" s="35" t="s">
        <v>13</v>
      </c>
      <c r="H2004" s="35" t="s">
        <v>1729</v>
      </c>
      <c r="I2004" s="4"/>
    </row>
    <row r="2005">
      <c r="A2005" s="34">
        <v>2001.0</v>
      </c>
      <c r="B2005" s="35" t="s">
        <v>1723</v>
      </c>
      <c r="C2005" s="35" t="s">
        <v>2436</v>
      </c>
      <c r="D2005" s="35" t="s">
        <v>13</v>
      </c>
      <c r="E2005" s="35">
        <v>2.7044236E7</v>
      </c>
      <c r="F2005" s="35" t="s">
        <v>13</v>
      </c>
      <c r="G2005" s="35" t="s">
        <v>13</v>
      </c>
      <c r="H2005" s="35" t="s">
        <v>13</v>
      </c>
      <c r="I2005" s="4"/>
    </row>
    <row r="2006">
      <c r="A2006" s="34">
        <v>2002.0</v>
      </c>
      <c r="B2006" s="35" t="s">
        <v>1723</v>
      </c>
      <c r="C2006" s="35" t="s">
        <v>2437</v>
      </c>
      <c r="D2006" s="35" t="s">
        <v>13</v>
      </c>
      <c r="E2006" s="35">
        <v>6.092167E7</v>
      </c>
      <c r="F2006" s="35" t="s">
        <v>13</v>
      </c>
      <c r="G2006" s="35" t="s">
        <v>13</v>
      </c>
      <c r="H2006" s="35" t="s">
        <v>13</v>
      </c>
      <c r="I2006" s="4"/>
    </row>
    <row r="2007">
      <c r="A2007" s="34">
        <v>2003.0</v>
      </c>
      <c r="B2007" s="35" t="s">
        <v>1723</v>
      </c>
      <c r="C2007" s="35" t="s">
        <v>2437</v>
      </c>
      <c r="D2007" s="35" t="s">
        <v>1731</v>
      </c>
      <c r="E2007" s="35">
        <v>6.0921617E8</v>
      </c>
      <c r="F2007" s="35" t="s">
        <v>13</v>
      </c>
      <c r="G2007" s="35" t="s">
        <v>1731</v>
      </c>
      <c r="H2007" s="35" t="s">
        <v>1731</v>
      </c>
      <c r="I2007" s="4"/>
    </row>
    <row r="2008">
      <c r="A2008" s="34">
        <v>2004.0</v>
      </c>
      <c r="B2008" s="35" t="s">
        <v>2438</v>
      </c>
      <c r="C2008" s="35" t="s">
        <v>2439</v>
      </c>
      <c r="D2008" s="35">
        <v>6.0</v>
      </c>
      <c r="E2008" s="35" t="s">
        <v>14</v>
      </c>
      <c r="F2008" s="35" t="s">
        <v>13</v>
      </c>
      <c r="G2008" s="35" t="s">
        <v>13</v>
      </c>
      <c r="H2008" s="35" t="s">
        <v>2440</v>
      </c>
      <c r="I2008" s="4"/>
    </row>
    <row r="2009">
      <c r="A2009" s="34">
        <v>2005.0</v>
      </c>
      <c r="B2009" s="35" t="s">
        <v>2438</v>
      </c>
      <c r="C2009" s="35" t="s">
        <v>2441</v>
      </c>
      <c r="D2009" s="35" t="s">
        <v>13</v>
      </c>
      <c r="E2009" s="35" t="s">
        <v>14</v>
      </c>
      <c r="F2009" s="35" t="s">
        <v>13</v>
      </c>
      <c r="G2009" s="35" t="s">
        <v>13</v>
      </c>
      <c r="H2009" s="35" t="s">
        <v>2440</v>
      </c>
      <c r="I2009" s="4"/>
    </row>
    <row r="2010">
      <c r="A2010" s="34">
        <v>2006.0</v>
      </c>
      <c r="B2010" s="35" t="s">
        <v>2438</v>
      </c>
      <c r="C2010" s="35" t="s">
        <v>2442</v>
      </c>
      <c r="D2010" s="35">
        <v>8.0</v>
      </c>
      <c r="E2010" s="35" t="s">
        <v>14</v>
      </c>
      <c r="F2010" s="35" t="s">
        <v>13</v>
      </c>
      <c r="G2010" s="35" t="s">
        <v>13</v>
      </c>
      <c r="H2010" s="35" t="s">
        <v>2440</v>
      </c>
      <c r="I2010" s="4"/>
    </row>
    <row r="2011">
      <c r="A2011" s="34">
        <v>2007.0</v>
      </c>
      <c r="B2011" s="35" t="s">
        <v>2438</v>
      </c>
      <c r="C2011" s="35" t="s">
        <v>2443</v>
      </c>
      <c r="D2011" s="35">
        <v>49.0</v>
      </c>
      <c r="E2011" s="35" t="s">
        <v>14</v>
      </c>
      <c r="F2011" s="35" t="s">
        <v>13</v>
      </c>
      <c r="G2011" s="35" t="s">
        <v>13</v>
      </c>
      <c r="H2011" s="35" t="s">
        <v>2440</v>
      </c>
      <c r="I2011" s="4"/>
    </row>
    <row r="2012">
      <c r="A2012" s="34">
        <v>2008.0</v>
      </c>
      <c r="B2012" s="35" t="s">
        <v>2438</v>
      </c>
      <c r="C2012" s="35" t="s">
        <v>2444</v>
      </c>
      <c r="D2012" s="35">
        <v>17.0</v>
      </c>
      <c r="E2012" s="35" t="s">
        <v>14</v>
      </c>
      <c r="F2012" s="35" t="s">
        <v>13</v>
      </c>
      <c r="G2012" s="35" t="s">
        <v>13</v>
      </c>
      <c r="H2012" s="35" t="s">
        <v>2440</v>
      </c>
      <c r="I2012" s="4"/>
    </row>
    <row r="2013">
      <c r="A2013" s="34">
        <v>2009.0</v>
      </c>
      <c r="B2013" s="35" t="s">
        <v>2445</v>
      </c>
      <c r="C2013" s="35" t="s">
        <v>2446</v>
      </c>
      <c r="D2013" s="35">
        <v>52.0</v>
      </c>
      <c r="E2013" s="35" t="s">
        <v>2447</v>
      </c>
      <c r="F2013" s="35" t="s">
        <v>13</v>
      </c>
      <c r="G2013" s="35" t="s">
        <v>13</v>
      </c>
      <c r="H2013" s="35" t="s">
        <v>13</v>
      </c>
      <c r="I2013" s="4"/>
    </row>
    <row r="2014">
      <c r="A2014" s="34">
        <v>2010.0</v>
      </c>
      <c r="B2014" s="35" t="s">
        <v>2445</v>
      </c>
      <c r="C2014" s="35" t="s">
        <v>2448</v>
      </c>
      <c r="D2014" s="35">
        <v>47.0</v>
      </c>
      <c r="E2014" s="35">
        <v>1.5800038E7</v>
      </c>
      <c r="F2014" s="35" t="s">
        <v>13</v>
      </c>
      <c r="G2014" s="35" t="s">
        <v>13</v>
      </c>
      <c r="H2014" s="35" t="s">
        <v>2449</v>
      </c>
      <c r="I2014" s="4"/>
    </row>
    <row r="2015">
      <c r="A2015" s="34">
        <v>2011.0</v>
      </c>
      <c r="B2015" s="35" t="s">
        <v>2445</v>
      </c>
      <c r="C2015" s="35" t="s">
        <v>2450</v>
      </c>
      <c r="D2015" s="35">
        <v>26.0</v>
      </c>
      <c r="E2015" s="35" t="s">
        <v>2451</v>
      </c>
      <c r="F2015" s="35" t="s">
        <v>2452</v>
      </c>
      <c r="G2015" s="35" t="s">
        <v>13</v>
      </c>
      <c r="H2015" s="35" t="s">
        <v>13</v>
      </c>
      <c r="I2015" s="4"/>
    </row>
    <row r="2016">
      <c r="A2016" s="34">
        <v>2012.0</v>
      </c>
      <c r="B2016" s="35" t="s">
        <v>2445</v>
      </c>
      <c r="C2016" s="35" t="s">
        <v>2453</v>
      </c>
      <c r="D2016" s="35">
        <v>66.0</v>
      </c>
      <c r="E2016" s="35" t="s">
        <v>2454</v>
      </c>
      <c r="F2016" s="35" t="s">
        <v>2455</v>
      </c>
      <c r="G2016" s="35" t="s">
        <v>13</v>
      </c>
      <c r="H2016" s="35" t="s">
        <v>2449</v>
      </c>
      <c r="I2016" s="4"/>
    </row>
    <row r="2017">
      <c r="A2017" s="34">
        <v>2013.0</v>
      </c>
      <c r="B2017" s="35" t="s">
        <v>2445</v>
      </c>
      <c r="C2017" s="35" t="s">
        <v>2456</v>
      </c>
      <c r="D2017" s="35">
        <v>50.0</v>
      </c>
      <c r="E2017" s="35" t="s">
        <v>2457</v>
      </c>
      <c r="F2017" s="35" t="s">
        <v>2458</v>
      </c>
      <c r="G2017" s="35" t="s">
        <v>13</v>
      </c>
      <c r="H2017" s="35" t="s">
        <v>13</v>
      </c>
      <c r="I2017" s="4"/>
    </row>
    <row r="2018">
      <c r="A2018" s="34">
        <v>2014.0</v>
      </c>
      <c r="B2018" s="35" t="s">
        <v>2445</v>
      </c>
      <c r="C2018" s="35" t="s">
        <v>2459</v>
      </c>
      <c r="D2018" s="35">
        <v>20.0</v>
      </c>
      <c r="E2018" s="35">
        <v>3.107385E7</v>
      </c>
      <c r="F2018" s="35" t="s">
        <v>13</v>
      </c>
      <c r="G2018" s="35" t="s">
        <v>13</v>
      </c>
      <c r="H2018" s="35" t="s">
        <v>2449</v>
      </c>
      <c r="I2018" s="4"/>
    </row>
    <row r="2019">
      <c r="A2019" s="34">
        <v>2015.0</v>
      </c>
      <c r="B2019" s="35" t="s">
        <v>2445</v>
      </c>
      <c r="C2019" s="35" t="s">
        <v>2460</v>
      </c>
      <c r="D2019" s="35">
        <v>41.0</v>
      </c>
      <c r="E2019" s="35" t="s">
        <v>2461</v>
      </c>
      <c r="F2019" s="35" t="s">
        <v>2462</v>
      </c>
      <c r="G2019" s="35" t="s">
        <v>13</v>
      </c>
      <c r="H2019" s="35" t="s">
        <v>13</v>
      </c>
      <c r="I2019" s="4"/>
    </row>
    <row r="2020">
      <c r="A2020" s="34">
        <v>2016.0</v>
      </c>
      <c r="B2020" s="35" t="s">
        <v>2445</v>
      </c>
      <c r="C2020" s="35" t="s">
        <v>2463</v>
      </c>
      <c r="D2020" s="35">
        <v>29.0</v>
      </c>
      <c r="E2020" s="35" t="s">
        <v>2464</v>
      </c>
      <c r="F2020" s="35" t="s">
        <v>2465</v>
      </c>
      <c r="G2020" s="35" t="s">
        <v>13</v>
      </c>
      <c r="H2020" s="35" t="s">
        <v>13</v>
      </c>
      <c r="I2020" s="4"/>
    </row>
    <row r="2021">
      <c r="A2021" s="34">
        <v>2017.0</v>
      </c>
      <c r="B2021" s="35" t="s">
        <v>2445</v>
      </c>
      <c r="C2021" s="35" t="s">
        <v>2466</v>
      </c>
      <c r="D2021" s="35">
        <v>55.0</v>
      </c>
      <c r="E2021" s="35" t="s">
        <v>2467</v>
      </c>
      <c r="F2021" s="35" t="s">
        <v>2468</v>
      </c>
      <c r="G2021" s="35" t="s">
        <v>13</v>
      </c>
      <c r="H2021" s="35" t="s">
        <v>13</v>
      </c>
      <c r="I2021" s="4"/>
    </row>
    <row r="2022">
      <c r="A2022" s="34">
        <v>2018.0</v>
      </c>
      <c r="B2022" s="35" t="s">
        <v>2445</v>
      </c>
      <c r="C2022" s="35" t="s">
        <v>2469</v>
      </c>
      <c r="D2022" s="35">
        <v>55.0</v>
      </c>
      <c r="E2022" s="35" t="s">
        <v>2470</v>
      </c>
      <c r="F2022" s="35" t="s">
        <v>13</v>
      </c>
      <c r="G2022" s="35" t="s">
        <v>13</v>
      </c>
      <c r="H2022" s="35" t="s">
        <v>2449</v>
      </c>
      <c r="I2022" s="4"/>
    </row>
    <row r="2023">
      <c r="A2023" s="34">
        <v>2019.0</v>
      </c>
      <c r="B2023" s="35" t="s">
        <v>2445</v>
      </c>
      <c r="C2023" s="35" t="s">
        <v>2471</v>
      </c>
      <c r="D2023" s="35">
        <v>13.0</v>
      </c>
      <c r="E2023" s="35" t="s">
        <v>2472</v>
      </c>
      <c r="F2023" s="35" t="s">
        <v>2473</v>
      </c>
      <c r="G2023" s="35" t="s">
        <v>13</v>
      </c>
      <c r="H2023" s="35" t="s">
        <v>13</v>
      </c>
      <c r="I2023" s="4"/>
    </row>
    <row r="2024">
      <c r="A2024" s="34">
        <v>2020.0</v>
      </c>
      <c r="B2024" s="35" t="s">
        <v>2445</v>
      </c>
      <c r="C2024" s="35" t="s">
        <v>2474</v>
      </c>
      <c r="D2024" s="35">
        <v>18.0</v>
      </c>
      <c r="E2024" s="35" t="s">
        <v>2475</v>
      </c>
      <c r="F2024" s="35" t="s">
        <v>2473</v>
      </c>
      <c r="G2024" s="35" t="s">
        <v>13</v>
      </c>
      <c r="H2024" s="35" t="s">
        <v>13</v>
      </c>
      <c r="I2024" s="4"/>
    </row>
    <row r="2025">
      <c r="A2025" s="34">
        <v>2021.0</v>
      </c>
      <c r="B2025" s="35" t="s">
        <v>2445</v>
      </c>
      <c r="C2025" s="35" t="s">
        <v>2476</v>
      </c>
      <c r="D2025" s="35">
        <v>29.0</v>
      </c>
      <c r="E2025" s="35">
        <v>1.1926425E7</v>
      </c>
      <c r="F2025" s="35" t="s">
        <v>13</v>
      </c>
      <c r="G2025" s="35" t="s">
        <v>13</v>
      </c>
      <c r="H2025" s="35" t="s">
        <v>2449</v>
      </c>
      <c r="I2025" s="4"/>
    </row>
    <row r="2026">
      <c r="A2026" s="34">
        <v>2022.0</v>
      </c>
      <c r="B2026" s="35" t="s">
        <v>2445</v>
      </c>
      <c r="C2026" s="35" t="s">
        <v>2477</v>
      </c>
      <c r="D2026" s="35">
        <v>67.0</v>
      </c>
      <c r="E2026" s="35" t="s">
        <v>2478</v>
      </c>
      <c r="F2026" s="35" t="s">
        <v>2479</v>
      </c>
      <c r="G2026" s="35" t="s">
        <v>13</v>
      </c>
      <c r="H2026" s="35" t="s">
        <v>13</v>
      </c>
      <c r="I2026" s="4"/>
    </row>
    <row r="2027">
      <c r="A2027" s="34">
        <v>2023.0</v>
      </c>
      <c r="B2027" s="35" t="s">
        <v>2445</v>
      </c>
      <c r="C2027" s="35" t="s">
        <v>2480</v>
      </c>
      <c r="D2027" s="35">
        <v>35.0</v>
      </c>
      <c r="E2027" s="35" t="s">
        <v>2481</v>
      </c>
      <c r="F2027" s="35" t="s">
        <v>2462</v>
      </c>
      <c r="G2027" s="35" t="s">
        <v>13</v>
      </c>
      <c r="H2027" s="35" t="s">
        <v>13</v>
      </c>
      <c r="I2027" s="4"/>
    </row>
    <row r="2028">
      <c r="A2028" s="34">
        <v>2024.0</v>
      </c>
      <c r="B2028" s="35" t="s">
        <v>2445</v>
      </c>
      <c r="C2028" s="35" t="s">
        <v>2482</v>
      </c>
      <c r="D2028" s="35">
        <v>11.0</v>
      </c>
      <c r="E2028" s="35">
        <v>3.1656363E7</v>
      </c>
      <c r="F2028" s="35" t="s">
        <v>13</v>
      </c>
      <c r="G2028" s="35" t="s">
        <v>13</v>
      </c>
      <c r="H2028" s="35" t="s">
        <v>2449</v>
      </c>
      <c r="I2028" s="4"/>
    </row>
    <row r="2029">
      <c r="A2029" s="34">
        <v>2025.0</v>
      </c>
      <c r="B2029" s="35" t="s">
        <v>2445</v>
      </c>
      <c r="C2029" s="35" t="s">
        <v>2483</v>
      </c>
      <c r="D2029" s="35">
        <v>36.0</v>
      </c>
      <c r="E2029" s="35" t="s">
        <v>2484</v>
      </c>
      <c r="F2029" s="35" t="s">
        <v>2485</v>
      </c>
      <c r="G2029" s="35" t="s">
        <v>13</v>
      </c>
      <c r="H2029" s="35" t="s">
        <v>13</v>
      </c>
      <c r="I2029" s="4"/>
    </row>
    <row r="2030">
      <c r="A2030" s="34">
        <v>2026.0</v>
      </c>
      <c r="B2030" s="35" t="s">
        <v>2445</v>
      </c>
      <c r="C2030" s="35" t="s">
        <v>2486</v>
      </c>
      <c r="D2030" s="35">
        <v>30.0</v>
      </c>
      <c r="E2030" s="35" t="s">
        <v>2487</v>
      </c>
      <c r="F2030" s="35" t="s">
        <v>2488</v>
      </c>
      <c r="G2030" s="35" t="s">
        <v>13</v>
      </c>
      <c r="H2030" s="35" t="s">
        <v>13</v>
      </c>
      <c r="I2030" s="4"/>
    </row>
    <row r="2031">
      <c r="A2031" s="34">
        <v>2027.0</v>
      </c>
      <c r="B2031" s="35" t="s">
        <v>2445</v>
      </c>
      <c r="C2031" s="35" t="s">
        <v>2489</v>
      </c>
      <c r="D2031" s="35">
        <v>30.0</v>
      </c>
      <c r="E2031" s="35">
        <v>2.5000118E7</v>
      </c>
      <c r="F2031" s="35" t="s">
        <v>13</v>
      </c>
      <c r="G2031" s="35" t="s">
        <v>13</v>
      </c>
      <c r="H2031" s="35" t="s">
        <v>2449</v>
      </c>
      <c r="I2031" s="4"/>
    </row>
    <row r="2032">
      <c r="A2032" s="34">
        <v>2028.0</v>
      </c>
      <c r="B2032" s="35" t="s">
        <v>2445</v>
      </c>
      <c r="C2032" s="35" t="s">
        <v>2490</v>
      </c>
      <c r="D2032" s="35">
        <v>60.0</v>
      </c>
      <c r="E2032" s="35" t="s">
        <v>2491</v>
      </c>
      <c r="F2032" s="35" t="s">
        <v>2492</v>
      </c>
      <c r="G2032" s="35" t="s">
        <v>13</v>
      </c>
      <c r="H2032" s="35" t="s">
        <v>13</v>
      </c>
      <c r="I2032" s="4"/>
    </row>
    <row r="2033">
      <c r="A2033" s="34">
        <v>2029.0</v>
      </c>
      <c r="B2033" s="35" t="s">
        <v>2445</v>
      </c>
      <c r="C2033" s="35" t="s">
        <v>2493</v>
      </c>
      <c r="D2033" s="35">
        <v>46.0</v>
      </c>
      <c r="E2033" s="35">
        <v>1.4556746E7</v>
      </c>
      <c r="F2033" s="35" t="s">
        <v>13</v>
      </c>
      <c r="G2033" s="35" t="s">
        <v>13</v>
      </c>
      <c r="H2033" s="35" t="s">
        <v>2449</v>
      </c>
      <c r="I2033" s="4"/>
    </row>
    <row r="2034">
      <c r="A2034" s="34">
        <v>2030.0</v>
      </c>
      <c r="B2034" s="35" t="s">
        <v>2445</v>
      </c>
      <c r="C2034" s="35" t="s">
        <v>2494</v>
      </c>
      <c r="D2034" s="35">
        <v>20.0</v>
      </c>
      <c r="E2034" s="35" t="s">
        <v>13</v>
      </c>
      <c r="F2034" s="35" t="s">
        <v>13</v>
      </c>
      <c r="G2034" s="35" t="s">
        <v>13</v>
      </c>
      <c r="H2034" s="35" t="s">
        <v>2495</v>
      </c>
      <c r="I2034" s="4"/>
    </row>
    <row r="2035">
      <c r="A2035" s="34">
        <v>2031.0</v>
      </c>
      <c r="B2035" s="35" t="s">
        <v>2445</v>
      </c>
      <c r="C2035" s="35" t="s">
        <v>2496</v>
      </c>
      <c r="D2035" s="35">
        <v>57.0</v>
      </c>
      <c r="E2035" s="35">
        <v>1.0001561E7</v>
      </c>
      <c r="F2035" s="35" t="s">
        <v>13</v>
      </c>
      <c r="G2035" s="35" t="s">
        <v>13</v>
      </c>
      <c r="H2035" s="35" t="s">
        <v>2449</v>
      </c>
      <c r="I2035" s="4"/>
    </row>
    <row r="2036">
      <c r="A2036" s="34">
        <v>2032.0</v>
      </c>
      <c r="B2036" s="35" t="s">
        <v>2445</v>
      </c>
      <c r="C2036" s="35" t="s">
        <v>2497</v>
      </c>
      <c r="D2036" s="35">
        <v>47.0</v>
      </c>
      <c r="E2036" s="35">
        <v>1.3999719E7</v>
      </c>
      <c r="F2036" s="35" t="s">
        <v>13</v>
      </c>
      <c r="G2036" s="35" t="s">
        <v>13</v>
      </c>
      <c r="H2036" s="35" t="s">
        <v>2449</v>
      </c>
      <c r="I2036" s="4"/>
    </row>
    <row r="2037">
      <c r="A2037" s="34">
        <v>2033.0</v>
      </c>
      <c r="B2037" s="35" t="s">
        <v>2445</v>
      </c>
      <c r="C2037" s="35" t="s">
        <v>2498</v>
      </c>
      <c r="D2037" s="35" t="s">
        <v>13</v>
      </c>
      <c r="E2037" s="35" t="s">
        <v>13</v>
      </c>
      <c r="F2037" s="35" t="s">
        <v>13</v>
      </c>
      <c r="G2037" s="35" t="s">
        <v>13</v>
      </c>
      <c r="H2037" s="35" t="s">
        <v>2499</v>
      </c>
      <c r="I2037" s="4"/>
    </row>
    <row r="2038">
      <c r="A2038" s="34">
        <v>2034.0</v>
      </c>
      <c r="B2038" s="35" t="s">
        <v>2445</v>
      </c>
      <c r="C2038" s="35" t="s">
        <v>2500</v>
      </c>
      <c r="D2038" s="35">
        <v>64.0</v>
      </c>
      <c r="E2038" s="35">
        <v>8471007.0</v>
      </c>
      <c r="F2038" s="35" t="s">
        <v>13</v>
      </c>
      <c r="G2038" s="35" t="s">
        <v>13</v>
      </c>
      <c r="H2038" s="35" t="s">
        <v>2501</v>
      </c>
      <c r="I2038" s="4"/>
    </row>
    <row r="2039">
      <c r="A2039" s="34">
        <v>2035.0</v>
      </c>
      <c r="B2039" s="35" t="s">
        <v>2445</v>
      </c>
      <c r="C2039" s="35" t="s">
        <v>2502</v>
      </c>
      <c r="D2039" s="35">
        <v>65.0</v>
      </c>
      <c r="E2039" s="35" t="s">
        <v>2503</v>
      </c>
      <c r="F2039" s="35" t="s">
        <v>2504</v>
      </c>
      <c r="G2039" s="35" t="s">
        <v>13</v>
      </c>
      <c r="H2039" s="35" t="s">
        <v>13</v>
      </c>
      <c r="I2039" s="4"/>
    </row>
    <row r="2040">
      <c r="A2040" s="34">
        <v>2036.0</v>
      </c>
      <c r="B2040" s="35" t="s">
        <v>2445</v>
      </c>
      <c r="C2040" s="35" t="s">
        <v>2505</v>
      </c>
      <c r="D2040" s="35">
        <v>44.0</v>
      </c>
      <c r="E2040" s="35">
        <v>1.4955107E7</v>
      </c>
      <c r="F2040" s="35" t="s">
        <v>13</v>
      </c>
      <c r="G2040" s="35" t="s">
        <v>13</v>
      </c>
      <c r="H2040" s="35" t="s">
        <v>2506</v>
      </c>
      <c r="I2040" s="4"/>
    </row>
    <row r="2041">
      <c r="A2041" s="34">
        <v>2037.0</v>
      </c>
      <c r="B2041" s="35" t="s">
        <v>2445</v>
      </c>
      <c r="C2041" s="35" t="s">
        <v>2507</v>
      </c>
      <c r="D2041" s="35">
        <v>46.0</v>
      </c>
      <c r="E2041" s="35">
        <v>1.4299523E7</v>
      </c>
      <c r="F2041" s="35" t="s">
        <v>13</v>
      </c>
      <c r="G2041" s="35" t="s">
        <v>13</v>
      </c>
      <c r="H2041" s="35" t="s">
        <v>2508</v>
      </c>
      <c r="I2041" s="4"/>
    </row>
    <row r="2042">
      <c r="A2042" s="34">
        <v>2038.0</v>
      </c>
      <c r="B2042" s="35" t="s">
        <v>2445</v>
      </c>
      <c r="C2042" s="35" t="s">
        <v>2509</v>
      </c>
      <c r="D2042" s="35">
        <v>58.0</v>
      </c>
      <c r="E2042" s="35">
        <v>3.2111714E7</v>
      </c>
      <c r="F2042" s="35" t="s">
        <v>13</v>
      </c>
      <c r="G2042" s="35" t="s">
        <v>13</v>
      </c>
      <c r="H2042" s="35" t="s">
        <v>2449</v>
      </c>
      <c r="I2042" s="4"/>
    </row>
    <row r="2043">
      <c r="A2043" s="34">
        <v>2039.0</v>
      </c>
      <c r="B2043" s="35" t="s">
        <v>2445</v>
      </c>
      <c r="C2043" s="35" t="s">
        <v>2510</v>
      </c>
      <c r="D2043" s="35">
        <v>80.0</v>
      </c>
      <c r="E2043" s="35">
        <v>1.1926425E7</v>
      </c>
      <c r="F2043" s="35" t="s">
        <v>13</v>
      </c>
      <c r="G2043" s="35" t="s">
        <v>13</v>
      </c>
      <c r="H2043" s="35" t="s">
        <v>2449</v>
      </c>
      <c r="I2043" s="4"/>
    </row>
    <row r="2044">
      <c r="A2044" s="34">
        <v>2040.0</v>
      </c>
      <c r="B2044" s="35" t="s">
        <v>2445</v>
      </c>
      <c r="C2044" s="35" t="s">
        <v>2511</v>
      </c>
      <c r="D2044" s="35">
        <v>40.0</v>
      </c>
      <c r="E2044" s="35">
        <v>1.6310437E7</v>
      </c>
      <c r="F2044" s="35" t="s">
        <v>13</v>
      </c>
      <c r="G2044" s="35" t="s">
        <v>13</v>
      </c>
      <c r="H2044" s="35" t="s">
        <v>2512</v>
      </c>
      <c r="I2044" s="4"/>
    </row>
    <row r="2045">
      <c r="A2045" s="34">
        <v>2041.0</v>
      </c>
      <c r="B2045" s="35" t="s">
        <v>2445</v>
      </c>
      <c r="C2045" s="35" t="s">
        <v>2513</v>
      </c>
      <c r="D2045" s="35">
        <v>79.0</v>
      </c>
      <c r="E2045" s="35" t="s">
        <v>2514</v>
      </c>
      <c r="F2045" s="35" t="s">
        <v>13</v>
      </c>
      <c r="G2045" s="35" t="s">
        <v>13</v>
      </c>
      <c r="H2045" s="35" t="s">
        <v>2515</v>
      </c>
      <c r="I2045" s="4"/>
    </row>
    <row r="2046">
      <c r="A2046" s="34">
        <v>2042.0</v>
      </c>
      <c r="B2046" s="35" t="s">
        <v>2445</v>
      </c>
      <c r="C2046" s="35" t="s">
        <v>2516</v>
      </c>
      <c r="D2046" s="35">
        <v>46.0</v>
      </c>
      <c r="E2046" s="35">
        <v>1.5586408E7</v>
      </c>
      <c r="F2046" s="35" t="s">
        <v>13</v>
      </c>
      <c r="G2046" s="35" t="s">
        <v>13</v>
      </c>
      <c r="H2046" s="35" t="s">
        <v>2449</v>
      </c>
      <c r="I2046" s="4"/>
    </row>
    <row r="2047">
      <c r="A2047" s="34">
        <v>2043.0</v>
      </c>
      <c r="B2047" s="35" t="s">
        <v>2445</v>
      </c>
      <c r="C2047" s="35" t="s">
        <v>2517</v>
      </c>
      <c r="D2047" s="35">
        <v>48.0</v>
      </c>
      <c r="E2047" s="35" t="s">
        <v>2518</v>
      </c>
      <c r="F2047" s="35" t="s">
        <v>2519</v>
      </c>
      <c r="G2047" s="35" t="s">
        <v>13</v>
      </c>
      <c r="H2047" s="35" t="s">
        <v>13</v>
      </c>
      <c r="I2047" s="4"/>
    </row>
    <row r="2048">
      <c r="A2048" s="34">
        <v>2044.0</v>
      </c>
      <c r="B2048" s="35" t="s">
        <v>2445</v>
      </c>
      <c r="C2048" s="35" t="s">
        <v>2520</v>
      </c>
      <c r="D2048" s="35">
        <v>27.0</v>
      </c>
      <c r="E2048" s="35">
        <v>2.6938811E7</v>
      </c>
      <c r="F2048" s="35" t="s">
        <v>13</v>
      </c>
      <c r="G2048" s="35" t="s">
        <v>13</v>
      </c>
      <c r="H2048" s="35" t="s">
        <v>2449</v>
      </c>
      <c r="I2048" s="4"/>
    </row>
    <row r="2049">
      <c r="A2049" s="34">
        <v>2045.0</v>
      </c>
      <c r="B2049" s="35" t="s">
        <v>2445</v>
      </c>
      <c r="C2049" s="35" t="s">
        <v>2521</v>
      </c>
      <c r="D2049" s="35">
        <v>45.0</v>
      </c>
      <c r="E2049" s="35" t="s">
        <v>2522</v>
      </c>
      <c r="F2049" s="35" t="s">
        <v>2523</v>
      </c>
      <c r="G2049" s="35" t="s">
        <v>13</v>
      </c>
      <c r="H2049" s="35" t="s">
        <v>2524</v>
      </c>
      <c r="I2049" s="4"/>
    </row>
    <row r="2050">
      <c r="A2050" s="34">
        <v>2046.0</v>
      </c>
      <c r="B2050" s="35" t="s">
        <v>2445</v>
      </c>
      <c r="C2050" s="35" t="s">
        <v>2525</v>
      </c>
      <c r="D2050" s="35">
        <v>18.0</v>
      </c>
      <c r="E2050" s="35" t="s">
        <v>2526</v>
      </c>
      <c r="F2050" s="35" t="s">
        <v>2527</v>
      </c>
      <c r="G2050" s="35" t="s">
        <v>13</v>
      </c>
      <c r="H2050" s="35" t="s">
        <v>13</v>
      </c>
      <c r="I2050" s="4"/>
    </row>
    <row r="2051">
      <c r="A2051" s="34">
        <v>2047.0</v>
      </c>
      <c r="B2051" s="35" t="s">
        <v>2445</v>
      </c>
      <c r="C2051" s="35" t="s">
        <v>2528</v>
      </c>
      <c r="D2051" s="35">
        <v>70.0</v>
      </c>
      <c r="E2051" s="35" t="s">
        <v>2529</v>
      </c>
      <c r="F2051" s="35" t="s">
        <v>2530</v>
      </c>
      <c r="G2051" s="35" t="s">
        <v>13</v>
      </c>
      <c r="H2051" s="35" t="s">
        <v>2531</v>
      </c>
      <c r="I2051" s="4"/>
    </row>
    <row r="2052">
      <c r="A2052" s="34">
        <v>2048.0</v>
      </c>
      <c r="B2052" s="35" t="s">
        <v>2445</v>
      </c>
      <c r="C2052" s="35" t="s">
        <v>2532</v>
      </c>
      <c r="D2052" s="35">
        <v>16.0</v>
      </c>
      <c r="E2052" s="35" t="s">
        <v>2533</v>
      </c>
      <c r="F2052" s="35" t="s">
        <v>2534</v>
      </c>
      <c r="G2052" s="35" t="s">
        <v>13</v>
      </c>
      <c r="H2052" s="35" t="s">
        <v>13</v>
      </c>
      <c r="I2052" s="4"/>
    </row>
    <row r="2053">
      <c r="A2053" s="34">
        <v>2049.0</v>
      </c>
      <c r="B2053" s="35" t="s">
        <v>2445</v>
      </c>
      <c r="C2053" s="35" t="s">
        <v>2535</v>
      </c>
      <c r="D2053" s="35">
        <v>49.0</v>
      </c>
      <c r="E2053" s="35" t="s">
        <v>2536</v>
      </c>
      <c r="F2053" s="35" t="s">
        <v>2537</v>
      </c>
      <c r="G2053" s="35" t="s">
        <v>13</v>
      </c>
      <c r="H2053" s="35" t="s">
        <v>2449</v>
      </c>
      <c r="I2053" s="4"/>
    </row>
    <row r="2054">
      <c r="A2054" s="34">
        <v>2050.0</v>
      </c>
      <c r="B2054" s="35" t="s">
        <v>2445</v>
      </c>
      <c r="C2054" s="35" t="s">
        <v>2538</v>
      </c>
      <c r="D2054" s="35">
        <v>46.0</v>
      </c>
      <c r="E2054" s="35" t="s">
        <v>13</v>
      </c>
      <c r="F2054" s="35" t="s">
        <v>13</v>
      </c>
      <c r="G2054" s="35" t="s">
        <v>13</v>
      </c>
      <c r="H2054" s="35" t="s">
        <v>2539</v>
      </c>
      <c r="I2054" s="4"/>
    </row>
    <row r="2055">
      <c r="A2055" s="34">
        <v>2051.0</v>
      </c>
      <c r="B2055" s="35" t="s">
        <v>2445</v>
      </c>
      <c r="C2055" s="35" t="s">
        <v>2540</v>
      </c>
      <c r="D2055" s="35">
        <v>20.0</v>
      </c>
      <c r="E2055" s="35" t="s">
        <v>2541</v>
      </c>
      <c r="F2055" s="35" t="s">
        <v>2542</v>
      </c>
      <c r="G2055" s="35" t="s">
        <v>13</v>
      </c>
      <c r="H2055" s="35" t="s">
        <v>13</v>
      </c>
      <c r="I2055" s="4"/>
    </row>
    <row r="2056">
      <c r="A2056" s="34">
        <v>2052.0</v>
      </c>
      <c r="B2056" s="35" t="s">
        <v>2445</v>
      </c>
      <c r="C2056" s="35" t="s">
        <v>2543</v>
      </c>
      <c r="D2056" s="35" t="s">
        <v>13</v>
      </c>
      <c r="E2056" s="35" t="s">
        <v>13</v>
      </c>
      <c r="F2056" s="35" t="s">
        <v>13</v>
      </c>
      <c r="G2056" s="35" t="s">
        <v>13</v>
      </c>
      <c r="H2056" s="35" t="s">
        <v>2544</v>
      </c>
      <c r="I2056" s="4"/>
    </row>
    <row r="2057">
      <c r="A2057" s="34">
        <v>2053.0</v>
      </c>
      <c r="B2057" s="35" t="s">
        <v>2445</v>
      </c>
      <c r="C2057" s="35" t="s">
        <v>2545</v>
      </c>
      <c r="D2057" s="35">
        <v>72.0</v>
      </c>
      <c r="E2057" s="35" t="s">
        <v>2546</v>
      </c>
      <c r="F2057" s="35" t="s">
        <v>2547</v>
      </c>
      <c r="G2057" s="35" t="s">
        <v>13</v>
      </c>
      <c r="H2057" s="35" t="s">
        <v>13</v>
      </c>
      <c r="I2057" s="4"/>
    </row>
    <row r="2058">
      <c r="A2058" s="34">
        <v>2054.0</v>
      </c>
      <c r="B2058" s="35" t="s">
        <v>2445</v>
      </c>
      <c r="C2058" s="35" t="s">
        <v>2548</v>
      </c>
      <c r="D2058" s="35">
        <v>73.0</v>
      </c>
      <c r="E2058" s="35">
        <v>6274191.0</v>
      </c>
      <c r="F2058" s="35" t="s">
        <v>13</v>
      </c>
      <c r="G2058" s="35" t="s">
        <v>13</v>
      </c>
      <c r="H2058" s="35" t="s">
        <v>13</v>
      </c>
      <c r="I2058" s="4"/>
    </row>
    <row r="2059">
      <c r="A2059" s="34">
        <v>2055.0</v>
      </c>
      <c r="B2059" s="35" t="s">
        <v>2445</v>
      </c>
      <c r="C2059" s="35" t="s">
        <v>2549</v>
      </c>
      <c r="D2059" s="35">
        <v>57.0</v>
      </c>
      <c r="E2059" s="35" t="s">
        <v>2550</v>
      </c>
      <c r="F2059" s="35" t="s">
        <v>2551</v>
      </c>
      <c r="G2059" s="35" t="s">
        <v>13</v>
      </c>
      <c r="H2059" s="35" t="s">
        <v>2449</v>
      </c>
      <c r="I2059" s="4"/>
    </row>
    <row r="2060">
      <c r="A2060" s="34">
        <v>2056.0</v>
      </c>
      <c r="B2060" s="35" t="s">
        <v>2445</v>
      </c>
      <c r="C2060" s="35" t="s">
        <v>2552</v>
      </c>
      <c r="D2060" s="35">
        <v>25.0</v>
      </c>
      <c r="E2060" s="35">
        <v>2.8312526E7</v>
      </c>
      <c r="F2060" s="35" t="s">
        <v>13</v>
      </c>
      <c r="G2060" s="35" t="s">
        <v>13</v>
      </c>
      <c r="H2060" s="35" t="s">
        <v>2449</v>
      </c>
      <c r="I2060" s="4"/>
    </row>
    <row r="2061">
      <c r="A2061" s="34">
        <v>2057.0</v>
      </c>
      <c r="B2061" s="35" t="s">
        <v>2445</v>
      </c>
      <c r="C2061" s="35" t="s">
        <v>2553</v>
      </c>
      <c r="D2061" s="35">
        <v>18.0</v>
      </c>
      <c r="E2061" s="35" t="s">
        <v>2554</v>
      </c>
      <c r="F2061" s="35" t="s">
        <v>13</v>
      </c>
      <c r="G2061" s="35" t="s">
        <v>13</v>
      </c>
      <c r="H2061" s="35" t="s">
        <v>2555</v>
      </c>
      <c r="I2061" s="4"/>
    </row>
    <row r="2062">
      <c r="A2062" s="34">
        <v>2058.0</v>
      </c>
      <c r="B2062" s="35" t="s">
        <v>2445</v>
      </c>
      <c r="C2062" s="35" t="s">
        <v>2556</v>
      </c>
      <c r="D2062" s="35">
        <v>18.0</v>
      </c>
      <c r="E2062" s="35" t="s">
        <v>13</v>
      </c>
      <c r="F2062" s="35" t="s">
        <v>13</v>
      </c>
      <c r="G2062" s="35" t="s">
        <v>13</v>
      </c>
      <c r="H2062" s="35" t="s">
        <v>2557</v>
      </c>
      <c r="I2062" s="4"/>
    </row>
    <row r="2063">
      <c r="A2063" s="34">
        <v>2059.0</v>
      </c>
      <c r="B2063" s="35" t="s">
        <v>2445</v>
      </c>
      <c r="C2063" s="35" t="s">
        <v>2558</v>
      </c>
      <c r="D2063" s="35">
        <v>28.0</v>
      </c>
      <c r="E2063" s="35" t="s">
        <v>2559</v>
      </c>
      <c r="F2063" s="35" t="s">
        <v>2560</v>
      </c>
      <c r="G2063" s="35" t="s">
        <v>13</v>
      </c>
      <c r="H2063" s="35" t="s">
        <v>2449</v>
      </c>
      <c r="I2063" s="4"/>
    </row>
    <row r="2064">
      <c r="A2064" s="34">
        <v>2060.0</v>
      </c>
      <c r="B2064" s="35" t="s">
        <v>2445</v>
      </c>
      <c r="C2064" s="35" t="s">
        <v>2561</v>
      </c>
      <c r="D2064" s="35">
        <v>24.0</v>
      </c>
      <c r="E2064" s="35" t="s">
        <v>2562</v>
      </c>
      <c r="F2064" s="35" t="s">
        <v>2563</v>
      </c>
      <c r="G2064" s="35" t="s">
        <v>13</v>
      </c>
      <c r="H2064" s="35" t="s">
        <v>13</v>
      </c>
      <c r="I2064" s="4"/>
    </row>
    <row r="2065">
      <c r="A2065" s="34">
        <v>2061.0</v>
      </c>
      <c r="B2065" s="35" t="s">
        <v>2445</v>
      </c>
      <c r="C2065" s="35" t="s">
        <v>2564</v>
      </c>
      <c r="D2065" s="35">
        <v>22.0</v>
      </c>
      <c r="E2065" s="35" t="s">
        <v>2565</v>
      </c>
      <c r="F2065" s="35" t="s">
        <v>2566</v>
      </c>
      <c r="G2065" s="35" t="s">
        <v>13</v>
      </c>
      <c r="H2065" s="35" t="s">
        <v>2449</v>
      </c>
      <c r="I2065" s="4"/>
    </row>
    <row r="2066">
      <c r="A2066" s="34">
        <v>2062.0</v>
      </c>
      <c r="B2066" s="35" t="s">
        <v>2445</v>
      </c>
      <c r="C2066" s="35" t="s">
        <v>2567</v>
      </c>
      <c r="D2066" s="35">
        <v>51.0</v>
      </c>
      <c r="E2066" s="35" t="s">
        <v>2568</v>
      </c>
      <c r="F2066" s="35" t="s">
        <v>2569</v>
      </c>
      <c r="G2066" s="35" t="s">
        <v>13</v>
      </c>
      <c r="H2066" s="35" t="s">
        <v>13</v>
      </c>
      <c r="I2066" s="4"/>
    </row>
    <row r="2067">
      <c r="A2067" s="34">
        <v>2063.0</v>
      </c>
      <c r="B2067" s="35" t="s">
        <v>2445</v>
      </c>
      <c r="C2067" s="35" t="s">
        <v>2570</v>
      </c>
      <c r="D2067" s="35">
        <v>62.0</v>
      </c>
      <c r="E2067" s="35" t="s">
        <v>2571</v>
      </c>
      <c r="F2067" s="35" t="s">
        <v>2572</v>
      </c>
      <c r="G2067" s="35" t="s">
        <v>13</v>
      </c>
      <c r="H2067" s="35" t="s">
        <v>13</v>
      </c>
      <c r="I2067" s="4"/>
    </row>
    <row r="2068">
      <c r="A2068" s="34">
        <v>2064.0</v>
      </c>
      <c r="B2068" s="35" t="s">
        <v>2445</v>
      </c>
      <c r="C2068" s="35" t="s">
        <v>2573</v>
      </c>
      <c r="D2068" s="35">
        <v>52.0</v>
      </c>
      <c r="E2068" s="35" t="s">
        <v>2574</v>
      </c>
      <c r="F2068" s="35" t="s">
        <v>2530</v>
      </c>
      <c r="G2068" s="35" t="s">
        <v>13</v>
      </c>
      <c r="H2068" s="35" t="s">
        <v>2575</v>
      </c>
      <c r="I2068" s="4"/>
    </row>
    <row r="2069">
      <c r="A2069" s="34">
        <v>2065.0</v>
      </c>
      <c r="B2069" s="35" t="s">
        <v>2445</v>
      </c>
      <c r="C2069" s="35" t="s">
        <v>2576</v>
      </c>
      <c r="D2069" s="35">
        <v>53.0</v>
      </c>
      <c r="E2069" s="35" t="s">
        <v>2577</v>
      </c>
      <c r="F2069" s="35" t="s">
        <v>2578</v>
      </c>
      <c r="G2069" s="35" t="s">
        <v>13</v>
      </c>
      <c r="H2069" s="35" t="s">
        <v>2579</v>
      </c>
      <c r="I2069" s="4"/>
    </row>
    <row r="2070">
      <c r="A2070" s="34">
        <v>2066.0</v>
      </c>
      <c r="B2070" s="35" t="s">
        <v>2445</v>
      </c>
      <c r="C2070" s="35" t="s">
        <v>2580</v>
      </c>
      <c r="D2070" s="35">
        <v>35.0</v>
      </c>
      <c r="E2070" s="35" t="s">
        <v>2581</v>
      </c>
      <c r="F2070" s="35" t="s">
        <v>2582</v>
      </c>
      <c r="G2070" s="35" t="s">
        <v>13</v>
      </c>
      <c r="H2070" s="35" t="s">
        <v>13</v>
      </c>
      <c r="I2070" s="4"/>
    </row>
    <row r="2071">
      <c r="A2071" s="34">
        <v>2067.0</v>
      </c>
      <c r="B2071" s="35" t="s">
        <v>2445</v>
      </c>
      <c r="C2071" s="35" t="s">
        <v>2583</v>
      </c>
      <c r="D2071" s="35">
        <v>18.0</v>
      </c>
      <c r="E2071" s="35" t="s">
        <v>13</v>
      </c>
      <c r="F2071" s="35" t="s">
        <v>13</v>
      </c>
      <c r="G2071" s="35" t="s">
        <v>13</v>
      </c>
      <c r="H2071" s="35" t="s">
        <v>2449</v>
      </c>
      <c r="I2071" s="4"/>
    </row>
    <row r="2072">
      <c r="A2072" s="34">
        <v>2068.0</v>
      </c>
      <c r="B2072" s="35" t="s">
        <v>2445</v>
      </c>
      <c r="C2072" s="35" t="s">
        <v>2584</v>
      </c>
      <c r="D2072" s="35">
        <v>31.0</v>
      </c>
      <c r="E2072" s="35" t="s">
        <v>2585</v>
      </c>
      <c r="F2072" s="35" t="s">
        <v>2586</v>
      </c>
      <c r="G2072" s="35" t="s">
        <v>13</v>
      </c>
      <c r="H2072" s="35" t="s">
        <v>13</v>
      </c>
      <c r="I2072" s="4"/>
    </row>
    <row r="2073">
      <c r="A2073" s="34">
        <v>2069.0</v>
      </c>
      <c r="B2073" s="35" t="s">
        <v>2445</v>
      </c>
      <c r="C2073" s="35" t="s">
        <v>2587</v>
      </c>
      <c r="D2073" s="35">
        <v>17.0</v>
      </c>
      <c r="E2073" s="35" t="s">
        <v>2588</v>
      </c>
      <c r="F2073" s="35" t="s">
        <v>2488</v>
      </c>
      <c r="G2073" s="35" t="s">
        <v>13</v>
      </c>
      <c r="H2073" s="35" t="s">
        <v>13</v>
      </c>
      <c r="I2073" s="4"/>
    </row>
    <row r="2074">
      <c r="A2074" s="34">
        <v>2070.0</v>
      </c>
      <c r="B2074" s="35" t="s">
        <v>2445</v>
      </c>
      <c r="C2074" s="35" t="s">
        <v>2589</v>
      </c>
      <c r="D2074" s="35">
        <v>47.0</v>
      </c>
      <c r="E2074" s="35" t="s">
        <v>2590</v>
      </c>
      <c r="F2074" s="35" t="s">
        <v>2488</v>
      </c>
      <c r="G2074" s="35" t="s">
        <v>13</v>
      </c>
      <c r="H2074" s="35" t="s">
        <v>13</v>
      </c>
      <c r="I2074" s="4"/>
    </row>
    <row r="2075">
      <c r="A2075" s="34">
        <v>2071.0</v>
      </c>
      <c r="B2075" s="35" t="s">
        <v>2445</v>
      </c>
      <c r="C2075" s="35" t="s">
        <v>2591</v>
      </c>
      <c r="D2075" s="35">
        <v>20.0</v>
      </c>
      <c r="E2075" s="35" t="s">
        <v>2592</v>
      </c>
      <c r="F2075" s="35" t="s">
        <v>2593</v>
      </c>
      <c r="G2075" s="35" t="s">
        <v>13</v>
      </c>
      <c r="H2075" s="35" t="s">
        <v>13</v>
      </c>
      <c r="I2075" s="4"/>
    </row>
    <row r="2076">
      <c r="A2076" s="34">
        <v>2072.0</v>
      </c>
      <c r="B2076" s="35" t="s">
        <v>2445</v>
      </c>
      <c r="C2076" s="35" t="s">
        <v>2594</v>
      </c>
      <c r="D2076" s="35">
        <v>39.0</v>
      </c>
      <c r="E2076" s="35">
        <v>1.8042519E7</v>
      </c>
      <c r="F2076" s="35" t="s">
        <v>13</v>
      </c>
      <c r="G2076" s="35" t="s">
        <v>13</v>
      </c>
      <c r="H2076" s="35" t="s">
        <v>2449</v>
      </c>
      <c r="I2076" s="4"/>
    </row>
    <row r="2077">
      <c r="A2077" s="34">
        <v>2073.0</v>
      </c>
      <c r="B2077" s="35" t="s">
        <v>2445</v>
      </c>
      <c r="C2077" s="35" t="s">
        <v>2595</v>
      </c>
      <c r="D2077" s="35">
        <v>32.0</v>
      </c>
      <c r="E2077" s="35" t="s">
        <v>2596</v>
      </c>
      <c r="F2077" s="35" t="s">
        <v>2597</v>
      </c>
      <c r="G2077" s="35" t="s">
        <v>13</v>
      </c>
      <c r="H2077" s="35" t="s">
        <v>13</v>
      </c>
      <c r="I2077" s="4"/>
    </row>
    <row r="2078">
      <c r="A2078" s="34">
        <v>2074.0</v>
      </c>
      <c r="B2078" s="35" t="s">
        <v>2445</v>
      </c>
      <c r="C2078" s="35" t="s">
        <v>2598</v>
      </c>
      <c r="D2078" s="35">
        <v>18.0</v>
      </c>
      <c r="E2078" s="35" t="s">
        <v>2599</v>
      </c>
      <c r="F2078" s="35" t="s">
        <v>13</v>
      </c>
      <c r="G2078" s="35" t="s">
        <v>13</v>
      </c>
      <c r="H2078" s="35" t="s">
        <v>13</v>
      </c>
      <c r="I2078" s="4"/>
    </row>
    <row r="2079">
      <c r="A2079" s="34">
        <v>2075.0</v>
      </c>
      <c r="B2079" s="35" t="s">
        <v>2445</v>
      </c>
      <c r="C2079" s="35" t="s">
        <v>2600</v>
      </c>
      <c r="D2079" s="35">
        <v>18.0</v>
      </c>
      <c r="E2079" s="35">
        <v>3.2111714E7</v>
      </c>
      <c r="F2079" s="35" t="s">
        <v>13</v>
      </c>
      <c r="G2079" s="35" t="s">
        <v>13</v>
      </c>
      <c r="H2079" s="35" t="s">
        <v>2449</v>
      </c>
      <c r="I2079" s="4"/>
    </row>
    <row r="2080">
      <c r="A2080" s="34">
        <v>2076.0</v>
      </c>
      <c r="B2080" s="35" t="s">
        <v>2445</v>
      </c>
      <c r="C2080" s="35" t="s">
        <v>2601</v>
      </c>
      <c r="D2080" s="35" t="s">
        <v>13</v>
      </c>
      <c r="E2080" s="35" t="s">
        <v>13</v>
      </c>
      <c r="F2080" s="35" t="s">
        <v>13</v>
      </c>
      <c r="G2080" s="35" t="s">
        <v>13</v>
      </c>
      <c r="H2080" s="35" t="s">
        <v>2602</v>
      </c>
      <c r="I2080" s="4"/>
    </row>
    <row r="2081">
      <c r="A2081" s="34">
        <v>2077.0</v>
      </c>
      <c r="B2081" s="35" t="s">
        <v>2445</v>
      </c>
      <c r="C2081" s="35" t="s">
        <v>2603</v>
      </c>
      <c r="D2081" s="35">
        <v>34.0</v>
      </c>
      <c r="E2081" s="35" t="s">
        <v>13</v>
      </c>
      <c r="F2081" s="35" t="s">
        <v>13</v>
      </c>
      <c r="G2081" s="35" t="s">
        <v>13</v>
      </c>
      <c r="H2081" s="35" t="s">
        <v>2604</v>
      </c>
      <c r="I2081" s="4"/>
    </row>
    <row r="2082">
      <c r="A2082" s="34">
        <v>2078.0</v>
      </c>
      <c r="B2082" s="35" t="s">
        <v>2445</v>
      </c>
      <c r="C2082" s="35" t="s">
        <v>282</v>
      </c>
      <c r="D2082" s="35">
        <v>28.0</v>
      </c>
      <c r="E2082" s="35" t="s">
        <v>13</v>
      </c>
      <c r="F2082" s="35" t="s">
        <v>13</v>
      </c>
      <c r="G2082" s="35" t="s">
        <v>13</v>
      </c>
      <c r="H2082" s="35" t="s">
        <v>2605</v>
      </c>
      <c r="I2082" s="4"/>
    </row>
    <row r="2083">
      <c r="A2083" s="34">
        <v>2079.0</v>
      </c>
      <c r="B2083" s="35" t="s">
        <v>2445</v>
      </c>
      <c r="C2083" s="35" t="s">
        <v>2606</v>
      </c>
      <c r="D2083" s="35">
        <v>42.0</v>
      </c>
      <c r="E2083" s="35" t="s">
        <v>2607</v>
      </c>
      <c r="F2083" s="35" t="s">
        <v>2608</v>
      </c>
      <c r="G2083" s="35" t="s">
        <v>13</v>
      </c>
      <c r="H2083" s="35" t="s">
        <v>13</v>
      </c>
      <c r="I2083" s="4"/>
    </row>
    <row r="2084">
      <c r="A2084" s="34">
        <v>2080.0</v>
      </c>
      <c r="B2084" s="35" t="s">
        <v>2445</v>
      </c>
      <c r="C2084" s="35" t="s">
        <v>284</v>
      </c>
      <c r="D2084" s="35">
        <v>88.0</v>
      </c>
      <c r="E2084" s="35">
        <v>1.4299716E7</v>
      </c>
      <c r="F2084" s="35" t="s">
        <v>13</v>
      </c>
      <c r="G2084" s="35" t="s">
        <v>13</v>
      </c>
      <c r="H2084" s="35" t="s">
        <v>2609</v>
      </c>
      <c r="I2084" s="4"/>
    </row>
    <row r="2085">
      <c r="A2085" s="34">
        <v>2081.0</v>
      </c>
      <c r="B2085" s="35" t="s">
        <v>2445</v>
      </c>
      <c r="C2085" s="35" t="s">
        <v>2610</v>
      </c>
      <c r="D2085" s="35">
        <v>28.0</v>
      </c>
      <c r="E2085" s="35" t="s">
        <v>2611</v>
      </c>
      <c r="F2085" s="35" t="s">
        <v>13</v>
      </c>
      <c r="G2085" s="35" t="s">
        <v>13</v>
      </c>
      <c r="H2085" s="35" t="s">
        <v>2612</v>
      </c>
      <c r="I2085" s="4"/>
    </row>
    <row r="2086">
      <c r="A2086" s="34">
        <v>2082.0</v>
      </c>
      <c r="B2086" s="35" t="s">
        <v>2445</v>
      </c>
      <c r="C2086" s="35" t="s">
        <v>2613</v>
      </c>
      <c r="D2086" s="35">
        <v>76.0</v>
      </c>
      <c r="E2086" s="35">
        <v>3806228.0</v>
      </c>
      <c r="F2086" s="35" t="s">
        <v>13</v>
      </c>
      <c r="G2086" s="35" t="s">
        <v>13</v>
      </c>
      <c r="H2086" s="35" t="s">
        <v>2449</v>
      </c>
      <c r="I2086" s="4"/>
    </row>
    <row r="2087">
      <c r="A2087" s="34">
        <v>2083.0</v>
      </c>
      <c r="B2087" s="35" t="s">
        <v>2445</v>
      </c>
      <c r="C2087" s="35" t="s">
        <v>2614</v>
      </c>
      <c r="D2087" s="35">
        <v>45.0</v>
      </c>
      <c r="E2087" s="35" t="s">
        <v>2615</v>
      </c>
      <c r="F2087" s="35" t="s">
        <v>2616</v>
      </c>
      <c r="G2087" s="35" t="s">
        <v>13</v>
      </c>
      <c r="H2087" s="35" t="s">
        <v>2449</v>
      </c>
      <c r="I2087" s="4"/>
    </row>
    <row r="2088">
      <c r="A2088" s="34">
        <v>2084.0</v>
      </c>
      <c r="B2088" s="35" t="s">
        <v>2445</v>
      </c>
      <c r="C2088" s="35" t="s">
        <v>2617</v>
      </c>
      <c r="D2088" s="35">
        <v>19.0</v>
      </c>
      <c r="E2088" s="35" t="s">
        <v>2618</v>
      </c>
      <c r="F2088" s="35" t="s">
        <v>2619</v>
      </c>
      <c r="G2088" s="35" t="s">
        <v>13</v>
      </c>
      <c r="H2088" s="35" t="s">
        <v>2620</v>
      </c>
      <c r="I2088" s="4"/>
    </row>
    <row r="2089">
      <c r="A2089" s="34">
        <v>2085.0</v>
      </c>
      <c r="B2089" s="35" t="s">
        <v>2445</v>
      </c>
      <c r="C2089" s="35" t="s">
        <v>2621</v>
      </c>
      <c r="D2089" s="35">
        <v>43.0</v>
      </c>
      <c r="E2089" s="35">
        <v>1.5844713E7</v>
      </c>
      <c r="F2089" s="35" t="s">
        <v>13</v>
      </c>
      <c r="G2089" s="35" t="s">
        <v>13</v>
      </c>
      <c r="H2089" s="35" t="s">
        <v>2622</v>
      </c>
      <c r="I2089" s="4"/>
    </row>
    <row r="2090">
      <c r="A2090" s="34">
        <v>2086.0</v>
      </c>
      <c r="B2090" s="35" t="s">
        <v>2445</v>
      </c>
      <c r="C2090" s="35" t="s">
        <v>2623</v>
      </c>
      <c r="D2090" s="35">
        <v>80.0</v>
      </c>
      <c r="E2090" s="35" t="s">
        <v>2624</v>
      </c>
      <c r="F2090" s="35" t="s">
        <v>2625</v>
      </c>
      <c r="G2090" s="35" t="s">
        <v>13</v>
      </c>
      <c r="H2090" s="35" t="s">
        <v>13</v>
      </c>
      <c r="I2090" s="4"/>
    </row>
    <row r="2091">
      <c r="A2091" s="34">
        <v>2087.0</v>
      </c>
      <c r="B2091" s="35" t="s">
        <v>2445</v>
      </c>
      <c r="C2091" s="35" t="s">
        <v>2626</v>
      </c>
      <c r="D2091" s="35" t="s">
        <v>13</v>
      </c>
      <c r="E2091" s="35" t="s">
        <v>13</v>
      </c>
      <c r="F2091" s="35" t="s">
        <v>13</v>
      </c>
      <c r="G2091" s="35" t="s">
        <v>13</v>
      </c>
      <c r="H2091" s="35" t="s">
        <v>2627</v>
      </c>
      <c r="I2091" s="4"/>
    </row>
    <row r="2092">
      <c r="A2092" s="34">
        <v>2088.0</v>
      </c>
      <c r="B2092" s="35" t="s">
        <v>2445</v>
      </c>
      <c r="C2092" s="35" t="s">
        <v>2628</v>
      </c>
      <c r="D2092" s="35">
        <v>35.0</v>
      </c>
      <c r="E2092" s="35" t="s">
        <v>2629</v>
      </c>
      <c r="F2092" s="35" t="s">
        <v>13</v>
      </c>
      <c r="G2092" s="35" t="s">
        <v>13</v>
      </c>
      <c r="H2092" s="35" t="s">
        <v>2630</v>
      </c>
      <c r="I2092" s="4"/>
    </row>
    <row r="2093">
      <c r="A2093" s="34">
        <v>2089.0</v>
      </c>
      <c r="B2093" s="35" t="s">
        <v>2445</v>
      </c>
      <c r="C2093" s="35" t="s">
        <v>2631</v>
      </c>
      <c r="D2093" s="35">
        <v>6.0</v>
      </c>
      <c r="E2093" s="35">
        <v>1.6106829E7</v>
      </c>
      <c r="F2093" s="35" t="s">
        <v>13</v>
      </c>
      <c r="G2093" s="35" t="s">
        <v>13</v>
      </c>
      <c r="H2093" s="35" t="s">
        <v>2449</v>
      </c>
      <c r="I2093" s="4"/>
    </row>
    <row r="2094">
      <c r="A2094" s="34">
        <v>2090.0</v>
      </c>
      <c r="B2094" s="35" t="s">
        <v>2445</v>
      </c>
      <c r="C2094" s="35" t="s">
        <v>2632</v>
      </c>
      <c r="D2094" s="35">
        <v>46.0</v>
      </c>
      <c r="E2094" s="35" t="s">
        <v>2633</v>
      </c>
      <c r="F2094" s="35" t="s">
        <v>2634</v>
      </c>
      <c r="G2094" s="35" t="s">
        <v>13</v>
      </c>
      <c r="H2094" s="35" t="s">
        <v>13</v>
      </c>
      <c r="I2094" s="4"/>
    </row>
    <row r="2095">
      <c r="A2095" s="34">
        <v>2091.0</v>
      </c>
      <c r="B2095" s="35" t="s">
        <v>2445</v>
      </c>
      <c r="C2095" s="35" t="s">
        <v>2635</v>
      </c>
      <c r="D2095" s="35">
        <v>4.0</v>
      </c>
      <c r="E2095" s="35" t="s">
        <v>13</v>
      </c>
      <c r="F2095" s="35" t="s">
        <v>13</v>
      </c>
      <c r="G2095" s="35" t="s">
        <v>13</v>
      </c>
      <c r="H2095" s="35" t="s">
        <v>2555</v>
      </c>
      <c r="I2095" s="4"/>
    </row>
    <row r="2096">
      <c r="A2096" s="34">
        <v>2092.0</v>
      </c>
      <c r="B2096" s="35" t="s">
        <v>2445</v>
      </c>
      <c r="C2096" s="35" t="s">
        <v>2636</v>
      </c>
      <c r="D2096" s="35">
        <v>18.0</v>
      </c>
      <c r="E2096" s="35" t="s">
        <v>2637</v>
      </c>
      <c r="F2096" s="35" t="s">
        <v>2638</v>
      </c>
      <c r="G2096" s="35" t="s">
        <v>13</v>
      </c>
      <c r="H2096" s="35" t="s">
        <v>13</v>
      </c>
      <c r="I2096" s="4"/>
    </row>
    <row r="2097">
      <c r="A2097" s="34">
        <v>2093.0</v>
      </c>
      <c r="B2097" s="35" t="s">
        <v>2445</v>
      </c>
      <c r="C2097" s="35" t="s">
        <v>2639</v>
      </c>
      <c r="D2097" s="35">
        <v>68.0</v>
      </c>
      <c r="E2097" s="35">
        <v>3405970.0</v>
      </c>
      <c r="F2097" s="35" t="s">
        <v>13</v>
      </c>
      <c r="G2097" s="35" t="s">
        <v>13</v>
      </c>
      <c r="H2097" s="35" t="s">
        <v>2449</v>
      </c>
      <c r="I2097" s="4"/>
    </row>
    <row r="2098">
      <c r="A2098" s="34">
        <v>2094.0</v>
      </c>
      <c r="B2098" s="35" t="s">
        <v>2445</v>
      </c>
      <c r="C2098" s="35" t="s">
        <v>2640</v>
      </c>
      <c r="D2098" s="35">
        <v>19.0</v>
      </c>
      <c r="E2098" s="35" t="s">
        <v>2641</v>
      </c>
      <c r="F2098" s="35" t="s">
        <v>2642</v>
      </c>
      <c r="G2098" s="35" t="s">
        <v>13</v>
      </c>
      <c r="H2098" s="35" t="s">
        <v>13</v>
      </c>
      <c r="I2098" s="4"/>
    </row>
    <row r="2099">
      <c r="A2099" s="34">
        <v>2095.0</v>
      </c>
      <c r="B2099" s="35" t="s">
        <v>2445</v>
      </c>
      <c r="C2099" s="35" t="s">
        <v>2643</v>
      </c>
      <c r="D2099" s="35">
        <v>78.0</v>
      </c>
      <c r="E2099" s="35" t="s">
        <v>2644</v>
      </c>
      <c r="F2099" s="35" t="s">
        <v>2645</v>
      </c>
      <c r="G2099" s="35" t="s">
        <v>13</v>
      </c>
      <c r="H2099" s="35" t="s">
        <v>13</v>
      </c>
      <c r="I2099" s="4"/>
    </row>
    <row r="2100">
      <c r="A2100" s="34">
        <v>2096.0</v>
      </c>
      <c r="B2100" s="35" t="s">
        <v>2445</v>
      </c>
      <c r="C2100" s="35" t="s">
        <v>2646</v>
      </c>
      <c r="D2100" s="35">
        <v>46.0</v>
      </c>
      <c r="E2100" s="35">
        <v>1.4073961E7</v>
      </c>
      <c r="F2100" s="35" t="s">
        <v>13</v>
      </c>
      <c r="G2100" s="35" t="s">
        <v>13</v>
      </c>
      <c r="H2100" s="35" t="s">
        <v>2647</v>
      </c>
      <c r="I2100" s="4"/>
    </row>
    <row r="2101">
      <c r="A2101" s="34">
        <v>2097.0</v>
      </c>
      <c r="B2101" s="35" t="s">
        <v>2445</v>
      </c>
      <c r="C2101" s="35" t="s">
        <v>2648</v>
      </c>
      <c r="D2101" s="35">
        <v>17.0</v>
      </c>
      <c r="E2101" s="35" t="s">
        <v>2649</v>
      </c>
      <c r="F2101" s="35" t="s">
        <v>2650</v>
      </c>
      <c r="G2101" s="35" t="s">
        <v>13</v>
      </c>
      <c r="H2101" s="35" t="s">
        <v>13</v>
      </c>
      <c r="I2101" s="4"/>
    </row>
    <row r="2102">
      <c r="A2102" s="34">
        <v>2098.0</v>
      </c>
      <c r="B2102" s="35" t="s">
        <v>2445</v>
      </c>
      <c r="C2102" s="35" t="s">
        <v>2651</v>
      </c>
      <c r="D2102" s="35">
        <v>59.0</v>
      </c>
      <c r="E2102" s="35" t="s">
        <v>2652</v>
      </c>
      <c r="F2102" s="35" t="s">
        <v>2653</v>
      </c>
      <c r="G2102" s="35" t="s">
        <v>13</v>
      </c>
      <c r="H2102" s="35" t="s">
        <v>13</v>
      </c>
      <c r="I2102" s="4"/>
    </row>
    <row r="2103">
      <c r="A2103" s="34">
        <v>2099.0</v>
      </c>
      <c r="B2103" s="35" t="s">
        <v>2445</v>
      </c>
      <c r="C2103" s="35" t="s">
        <v>2654</v>
      </c>
      <c r="D2103" s="35">
        <v>11.0</v>
      </c>
      <c r="E2103" s="35">
        <v>2.2034962E7</v>
      </c>
      <c r="F2103" s="35" t="s">
        <v>13</v>
      </c>
      <c r="G2103" s="35" t="s">
        <v>13</v>
      </c>
      <c r="H2103" s="35" t="s">
        <v>2449</v>
      </c>
      <c r="I2103" s="4"/>
    </row>
    <row r="2104">
      <c r="A2104" s="34">
        <v>2100.0</v>
      </c>
      <c r="B2104" s="35" t="s">
        <v>2445</v>
      </c>
      <c r="C2104" s="35" t="s">
        <v>2655</v>
      </c>
      <c r="D2104" s="35">
        <v>30.0</v>
      </c>
      <c r="E2104" s="35" t="s">
        <v>2656</v>
      </c>
      <c r="F2104" s="35" t="s">
        <v>2657</v>
      </c>
      <c r="G2104" s="35" t="s">
        <v>13</v>
      </c>
      <c r="H2104" s="35" t="s">
        <v>13</v>
      </c>
      <c r="I2104" s="4"/>
    </row>
    <row r="2105">
      <c r="A2105" s="34">
        <v>2101.0</v>
      </c>
      <c r="B2105" s="35" t="s">
        <v>2445</v>
      </c>
      <c r="C2105" s="35" t="s">
        <v>2658</v>
      </c>
      <c r="D2105" s="35">
        <v>47.0</v>
      </c>
      <c r="E2105" s="35" t="s">
        <v>2659</v>
      </c>
      <c r="F2105" s="35" t="s">
        <v>2660</v>
      </c>
      <c r="G2105" s="35" t="s">
        <v>13</v>
      </c>
      <c r="H2105" s="35" t="s">
        <v>2449</v>
      </c>
      <c r="I2105" s="4"/>
    </row>
    <row r="2106">
      <c r="A2106" s="34">
        <v>2102.0</v>
      </c>
      <c r="B2106" s="35" t="s">
        <v>2445</v>
      </c>
      <c r="C2106" s="35" t="s">
        <v>2661</v>
      </c>
      <c r="D2106" s="35">
        <v>14.0</v>
      </c>
      <c r="E2106" s="35" t="s">
        <v>2662</v>
      </c>
      <c r="F2106" s="35" t="s">
        <v>2663</v>
      </c>
      <c r="G2106" s="35" t="s">
        <v>13</v>
      </c>
      <c r="H2106" s="35" t="s">
        <v>2449</v>
      </c>
      <c r="I2106" s="4"/>
    </row>
    <row r="2107">
      <c r="A2107" s="34">
        <v>2103.0</v>
      </c>
      <c r="B2107" s="35" t="s">
        <v>2445</v>
      </c>
      <c r="C2107" s="35" t="s">
        <v>2664</v>
      </c>
      <c r="D2107" s="35">
        <v>39.0</v>
      </c>
      <c r="E2107" s="35" t="s">
        <v>2665</v>
      </c>
      <c r="F2107" s="35" t="s">
        <v>2666</v>
      </c>
      <c r="G2107" s="35" t="s">
        <v>13</v>
      </c>
      <c r="H2107" s="35" t="s">
        <v>2449</v>
      </c>
      <c r="I2107" s="4"/>
    </row>
    <row r="2108">
      <c r="A2108" s="34">
        <v>2104.0</v>
      </c>
      <c r="B2108" s="35" t="s">
        <v>2667</v>
      </c>
      <c r="C2108" s="35" t="s">
        <v>2668</v>
      </c>
      <c r="D2108" s="35" t="s">
        <v>13</v>
      </c>
      <c r="E2108" s="35" t="s">
        <v>13</v>
      </c>
      <c r="F2108" s="35" t="s">
        <v>13</v>
      </c>
      <c r="G2108" s="35" t="s">
        <v>13</v>
      </c>
      <c r="H2108" s="35" t="s">
        <v>2669</v>
      </c>
      <c r="I2108" s="4"/>
    </row>
    <row r="2109">
      <c r="A2109" s="34">
        <v>2105.0</v>
      </c>
      <c r="B2109" s="35" t="s">
        <v>2667</v>
      </c>
      <c r="C2109" s="35" t="s">
        <v>2670</v>
      </c>
      <c r="D2109" s="35">
        <v>14.0</v>
      </c>
      <c r="E2109" s="35">
        <v>3.3916334E7</v>
      </c>
      <c r="F2109" s="35" t="s">
        <v>13</v>
      </c>
      <c r="G2109" s="35" t="s">
        <v>330</v>
      </c>
      <c r="H2109" s="35" t="s">
        <v>2671</v>
      </c>
      <c r="I2109" s="4"/>
    </row>
    <row r="2110">
      <c r="A2110" s="34">
        <v>2106.0</v>
      </c>
      <c r="B2110" s="35" t="s">
        <v>2667</v>
      </c>
      <c r="C2110" s="35" t="s">
        <v>2672</v>
      </c>
      <c r="D2110" s="35" t="s">
        <v>13</v>
      </c>
      <c r="E2110" s="35">
        <v>2.275134E7</v>
      </c>
      <c r="F2110" s="35" t="s">
        <v>13</v>
      </c>
      <c r="G2110" s="35" t="s">
        <v>13</v>
      </c>
      <c r="H2110" s="35" t="s">
        <v>13</v>
      </c>
      <c r="I2110" s="4"/>
    </row>
    <row r="2111">
      <c r="A2111" s="34">
        <v>2107.0</v>
      </c>
      <c r="B2111" s="35" t="s">
        <v>2667</v>
      </c>
      <c r="C2111" s="35" t="s">
        <v>2673</v>
      </c>
      <c r="D2111" s="35" t="s">
        <v>13</v>
      </c>
      <c r="E2111" s="35" t="s">
        <v>13</v>
      </c>
      <c r="F2111" s="35" t="s">
        <v>13</v>
      </c>
      <c r="G2111" s="35" t="s">
        <v>13</v>
      </c>
      <c r="H2111" s="35" t="s">
        <v>13</v>
      </c>
      <c r="I2111" s="4"/>
    </row>
    <row r="2112">
      <c r="A2112" s="34">
        <v>2108.0</v>
      </c>
      <c r="B2112" s="35" t="s">
        <v>2667</v>
      </c>
      <c r="C2112" s="35" t="s">
        <v>2674</v>
      </c>
      <c r="D2112" s="35">
        <v>39.0</v>
      </c>
      <c r="E2112" s="35">
        <v>1.8215359E7</v>
      </c>
      <c r="F2112" s="35" t="s">
        <v>13</v>
      </c>
      <c r="G2112" s="35" t="s">
        <v>330</v>
      </c>
      <c r="H2112" s="35" t="s">
        <v>2671</v>
      </c>
      <c r="I2112" s="4"/>
    </row>
    <row r="2113">
      <c r="A2113" s="34">
        <v>2109.0</v>
      </c>
      <c r="B2113" s="35" t="s">
        <v>2667</v>
      </c>
      <c r="C2113" s="35" t="s">
        <v>2675</v>
      </c>
      <c r="D2113" s="35" t="s">
        <v>13</v>
      </c>
      <c r="E2113" s="35" t="s">
        <v>13</v>
      </c>
      <c r="F2113" s="35" t="s">
        <v>13</v>
      </c>
      <c r="G2113" s="35" t="s">
        <v>2676</v>
      </c>
      <c r="H2113" s="35" t="s">
        <v>13</v>
      </c>
      <c r="I2113" s="4"/>
    </row>
    <row r="2114">
      <c r="A2114" s="34">
        <v>2110.0</v>
      </c>
      <c r="B2114" s="35" t="s">
        <v>2667</v>
      </c>
      <c r="C2114" s="35" t="s">
        <v>2677</v>
      </c>
      <c r="D2114" s="35" t="s">
        <v>13</v>
      </c>
      <c r="E2114" s="35">
        <v>1.400789E7</v>
      </c>
      <c r="F2114" s="35" t="s">
        <v>13</v>
      </c>
      <c r="G2114" s="35" t="s">
        <v>2678</v>
      </c>
      <c r="H2114" s="35" t="s">
        <v>13</v>
      </c>
      <c r="I2114" s="4"/>
    </row>
    <row r="2115">
      <c r="A2115" s="34">
        <v>2111.0</v>
      </c>
      <c r="B2115" s="35" t="s">
        <v>2667</v>
      </c>
      <c r="C2115" s="35" t="s">
        <v>2679</v>
      </c>
      <c r="D2115" s="35" t="s">
        <v>13</v>
      </c>
      <c r="E2115" s="35">
        <v>1.1546371E7</v>
      </c>
      <c r="F2115" s="35" t="s">
        <v>13</v>
      </c>
      <c r="G2115" s="35" t="s">
        <v>13</v>
      </c>
      <c r="H2115" s="35" t="s">
        <v>13</v>
      </c>
      <c r="I2115" s="4"/>
    </row>
    <row r="2116">
      <c r="A2116" s="34">
        <v>2112.0</v>
      </c>
      <c r="B2116" s="35" t="s">
        <v>2667</v>
      </c>
      <c r="C2116" s="35" t="s">
        <v>2680</v>
      </c>
      <c r="D2116" s="35" t="s">
        <v>13</v>
      </c>
      <c r="E2116" s="35">
        <v>1.8309145E7</v>
      </c>
      <c r="F2116" s="35" t="s">
        <v>13</v>
      </c>
      <c r="G2116" s="35" t="s">
        <v>2681</v>
      </c>
      <c r="H2116" s="35" t="s">
        <v>425</v>
      </c>
      <c r="I2116" s="4"/>
    </row>
    <row r="2117">
      <c r="A2117" s="34">
        <v>2113.0</v>
      </c>
      <c r="B2117" s="35" t="s">
        <v>2667</v>
      </c>
      <c r="C2117" s="35" t="s">
        <v>2682</v>
      </c>
      <c r="D2117" s="35" t="s">
        <v>13</v>
      </c>
      <c r="E2117" s="35">
        <v>3.4063891E7</v>
      </c>
      <c r="F2117" s="35" t="s">
        <v>13</v>
      </c>
      <c r="G2117" s="35" t="s">
        <v>13</v>
      </c>
      <c r="H2117" s="35" t="s">
        <v>13</v>
      </c>
      <c r="I2117" s="4"/>
    </row>
    <row r="2118">
      <c r="A2118" s="34">
        <v>2114.0</v>
      </c>
      <c r="B2118" s="35" t="s">
        <v>2667</v>
      </c>
      <c r="C2118" s="35" t="s">
        <v>2683</v>
      </c>
      <c r="D2118" s="35" t="s">
        <v>13</v>
      </c>
      <c r="E2118" s="35" t="s">
        <v>13</v>
      </c>
      <c r="F2118" s="35" t="s">
        <v>13</v>
      </c>
      <c r="G2118" s="35" t="s">
        <v>13</v>
      </c>
      <c r="H2118" s="35" t="s">
        <v>13</v>
      </c>
      <c r="I2118" s="4"/>
    </row>
    <row r="2119">
      <c r="A2119" s="34">
        <v>2115.0</v>
      </c>
      <c r="B2119" s="35" t="s">
        <v>2667</v>
      </c>
      <c r="C2119" s="35" t="s">
        <v>2684</v>
      </c>
      <c r="D2119" s="35" t="s">
        <v>13</v>
      </c>
      <c r="E2119" s="35" t="s">
        <v>13</v>
      </c>
      <c r="F2119" s="35" t="s">
        <v>13</v>
      </c>
      <c r="G2119" s="35" t="s">
        <v>13</v>
      </c>
      <c r="H2119" s="35" t="s">
        <v>13</v>
      </c>
      <c r="I2119" s="4"/>
    </row>
    <row r="2120">
      <c r="A2120" s="34">
        <v>2116.0</v>
      </c>
      <c r="B2120" s="35" t="s">
        <v>2667</v>
      </c>
      <c r="C2120" s="35" t="s">
        <v>2685</v>
      </c>
      <c r="D2120" s="35" t="s">
        <v>13</v>
      </c>
      <c r="E2120" s="35">
        <v>1.3853724E7</v>
      </c>
      <c r="F2120" s="35" t="s">
        <v>13</v>
      </c>
      <c r="G2120" s="35" t="s">
        <v>13</v>
      </c>
      <c r="H2120" s="35" t="s">
        <v>13</v>
      </c>
      <c r="I2120" s="4"/>
    </row>
    <row r="2121">
      <c r="A2121" s="36">
        <v>2117.0</v>
      </c>
      <c r="B2121" s="37" t="s">
        <v>2667</v>
      </c>
      <c r="C2121" s="37" t="s">
        <v>2686</v>
      </c>
      <c r="D2121" s="37" t="s">
        <v>13</v>
      </c>
      <c r="E2121" s="37" t="s">
        <v>13</v>
      </c>
      <c r="F2121" s="37" t="s">
        <v>13</v>
      </c>
      <c r="G2121" s="37" t="s">
        <v>2681</v>
      </c>
      <c r="H2121" s="37" t="s">
        <v>13</v>
      </c>
      <c r="I2121" s="4"/>
    </row>
    <row r="2122">
      <c r="A2122" s="36">
        <v>2118.0</v>
      </c>
      <c r="B2122" s="37" t="s">
        <v>2667</v>
      </c>
      <c r="C2122" s="37" t="s">
        <v>2687</v>
      </c>
      <c r="D2122" s="37" t="s">
        <v>13</v>
      </c>
      <c r="E2122" s="37">
        <v>646450.0</v>
      </c>
      <c r="F2122" s="37" t="s">
        <v>13</v>
      </c>
      <c r="G2122" s="37" t="s">
        <v>2681</v>
      </c>
      <c r="H2122" s="37" t="s">
        <v>2688</v>
      </c>
      <c r="I2122" s="4"/>
    </row>
    <row r="2123">
      <c r="A2123" s="36">
        <v>2119.0</v>
      </c>
      <c r="B2123" s="37" t="s">
        <v>2667</v>
      </c>
      <c r="C2123" s="37" t="s">
        <v>2689</v>
      </c>
      <c r="D2123" s="37" t="s">
        <v>13</v>
      </c>
      <c r="E2123" s="37" t="s">
        <v>13</v>
      </c>
      <c r="F2123" s="37" t="s">
        <v>13</v>
      </c>
      <c r="G2123" s="37" t="s">
        <v>13</v>
      </c>
      <c r="H2123" s="37" t="s">
        <v>13</v>
      </c>
      <c r="I2123" s="4"/>
    </row>
    <row r="2124">
      <c r="A2124" s="36">
        <v>2120.0</v>
      </c>
      <c r="B2124" s="37" t="s">
        <v>2667</v>
      </c>
      <c r="C2124" s="37" t="s">
        <v>2690</v>
      </c>
      <c r="D2124" s="37" t="s">
        <v>13</v>
      </c>
      <c r="E2124" s="37">
        <v>1.5164118E7</v>
      </c>
      <c r="F2124" s="37" t="s">
        <v>13</v>
      </c>
      <c r="G2124" s="37" t="s">
        <v>2681</v>
      </c>
      <c r="H2124" s="37" t="s">
        <v>13</v>
      </c>
      <c r="I2124" s="4"/>
    </row>
    <row r="2125">
      <c r="A2125" s="36">
        <v>2121.0</v>
      </c>
      <c r="B2125" s="37" t="s">
        <v>2667</v>
      </c>
      <c r="C2125" s="37" t="s">
        <v>2691</v>
      </c>
      <c r="D2125" s="37" t="s">
        <v>13</v>
      </c>
      <c r="E2125" s="37" t="s">
        <v>13</v>
      </c>
      <c r="F2125" s="37" t="s">
        <v>13</v>
      </c>
      <c r="G2125" s="37" t="s">
        <v>13</v>
      </c>
      <c r="H2125" s="37" t="s">
        <v>13</v>
      </c>
      <c r="I2125" s="4"/>
    </row>
    <row r="2126">
      <c r="A2126" s="36">
        <v>2122.0</v>
      </c>
      <c r="B2126" s="37" t="s">
        <v>2667</v>
      </c>
      <c r="C2126" s="37" t="s">
        <v>2692</v>
      </c>
      <c r="D2126" s="37">
        <v>18.0</v>
      </c>
      <c r="E2126" s="37">
        <v>2.7127733E7</v>
      </c>
      <c r="F2126" s="37" t="s">
        <v>13</v>
      </c>
      <c r="G2126" s="37" t="s">
        <v>330</v>
      </c>
      <c r="H2126" s="37" t="s">
        <v>2693</v>
      </c>
      <c r="I2126" s="4"/>
    </row>
    <row r="2127">
      <c r="A2127" s="36">
        <v>2123.0</v>
      </c>
      <c r="B2127" s="37" t="s">
        <v>2667</v>
      </c>
      <c r="C2127" s="37" t="s">
        <v>2694</v>
      </c>
      <c r="D2127" s="37" t="s">
        <v>13</v>
      </c>
      <c r="E2127" s="37">
        <v>6349850.0</v>
      </c>
      <c r="F2127" s="37" t="s">
        <v>13</v>
      </c>
      <c r="G2127" s="37" t="s">
        <v>13</v>
      </c>
      <c r="H2127" s="37" t="s">
        <v>13</v>
      </c>
      <c r="I2127" s="4"/>
    </row>
    <row r="2128">
      <c r="A2128" s="36">
        <v>2124.0</v>
      </c>
      <c r="B2128" s="37" t="s">
        <v>2667</v>
      </c>
      <c r="C2128" s="37" t="s">
        <v>2695</v>
      </c>
      <c r="D2128" s="37" t="s">
        <v>13</v>
      </c>
      <c r="E2128" s="37" t="s">
        <v>13</v>
      </c>
      <c r="F2128" s="37" t="s">
        <v>13</v>
      </c>
      <c r="G2128" s="37" t="s">
        <v>13</v>
      </c>
      <c r="H2128" s="37" t="s">
        <v>13</v>
      </c>
      <c r="I2128" s="4"/>
    </row>
    <row r="2129">
      <c r="A2129" s="36">
        <v>2125.0</v>
      </c>
      <c r="B2129" s="37" t="s">
        <v>2667</v>
      </c>
      <c r="C2129" s="37" t="s">
        <v>2696</v>
      </c>
      <c r="D2129" s="37" t="s">
        <v>13</v>
      </c>
      <c r="E2129" s="37">
        <v>3.117846E7</v>
      </c>
      <c r="F2129" s="37" t="s">
        <v>13</v>
      </c>
      <c r="G2129" s="37" t="s">
        <v>13</v>
      </c>
      <c r="H2129" s="37" t="s">
        <v>13</v>
      </c>
      <c r="I2129" s="4"/>
    </row>
    <row r="2130">
      <c r="A2130" s="36">
        <v>2126.0</v>
      </c>
      <c r="B2130" s="37" t="s">
        <v>2667</v>
      </c>
      <c r="C2130" s="37" t="s">
        <v>2697</v>
      </c>
      <c r="D2130" s="37" t="s">
        <v>13</v>
      </c>
      <c r="E2130" s="37" t="s">
        <v>13</v>
      </c>
      <c r="F2130" s="37" t="s">
        <v>13</v>
      </c>
      <c r="G2130" s="37" t="s">
        <v>13</v>
      </c>
      <c r="H2130" s="37" t="s">
        <v>13</v>
      </c>
      <c r="I2130" s="4"/>
    </row>
    <row r="2131">
      <c r="A2131" s="36">
        <v>2127.0</v>
      </c>
      <c r="B2131" s="37" t="s">
        <v>2667</v>
      </c>
      <c r="C2131" s="37" t="s">
        <v>2698</v>
      </c>
      <c r="D2131" s="37" t="s">
        <v>13</v>
      </c>
      <c r="E2131" s="37" t="s">
        <v>13</v>
      </c>
      <c r="F2131" s="37" t="s">
        <v>13</v>
      </c>
      <c r="G2131" s="37" t="s">
        <v>2681</v>
      </c>
      <c r="H2131" s="37" t="s">
        <v>13</v>
      </c>
      <c r="I2131" s="4"/>
    </row>
    <row r="2132">
      <c r="A2132" s="36">
        <v>2128.0</v>
      </c>
      <c r="B2132" s="37" t="s">
        <v>2667</v>
      </c>
      <c r="C2132" s="37" t="s">
        <v>2699</v>
      </c>
      <c r="D2132" s="37">
        <v>22.0</v>
      </c>
      <c r="E2132" s="37">
        <v>3.0041612E7</v>
      </c>
      <c r="F2132" s="37" t="s">
        <v>13</v>
      </c>
      <c r="G2132" s="37" t="s">
        <v>330</v>
      </c>
      <c r="H2132" s="37" t="s">
        <v>2671</v>
      </c>
      <c r="I2132" s="4"/>
    </row>
    <row r="2133">
      <c r="A2133" s="36">
        <v>2129.0</v>
      </c>
      <c r="B2133" s="37" t="s">
        <v>2667</v>
      </c>
      <c r="C2133" s="37" t="s">
        <v>2700</v>
      </c>
      <c r="D2133" s="37">
        <v>54.0</v>
      </c>
      <c r="E2133" s="37">
        <v>1.0582063E7</v>
      </c>
      <c r="F2133" s="37" t="s">
        <v>13</v>
      </c>
      <c r="G2133" s="37" t="s">
        <v>330</v>
      </c>
      <c r="H2133" s="37" t="s">
        <v>2671</v>
      </c>
      <c r="I2133" s="4"/>
    </row>
    <row r="2134">
      <c r="A2134" s="36">
        <v>2130.0</v>
      </c>
      <c r="B2134" s="37" t="s">
        <v>2667</v>
      </c>
      <c r="C2134" s="37" t="s">
        <v>1779</v>
      </c>
      <c r="D2134" s="37" t="s">
        <v>13</v>
      </c>
      <c r="E2134" s="37" t="s">
        <v>13</v>
      </c>
      <c r="F2134" s="37" t="s">
        <v>13</v>
      </c>
      <c r="G2134" s="37" t="s">
        <v>13</v>
      </c>
      <c r="H2134" s="37" t="s">
        <v>13</v>
      </c>
      <c r="I2134" s="4"/>
    </row>
    <row r="2135">
      <c r="A2135" s="36">
        <v>2131.0</v>
      </c>
      <c r="B2135" s="37" t="s">
        <v>2667</v>
      </c>
      <c r="C2135" s="37" t="s">
        <v>2701</v>
      </c>
      <c r="D2135" s="37" t="s">
        <v>13</v>
      </c>
      <c r="E2135" s="37">
        <v>3.0939329E7</v>
      </c>
      <c r="F2135" s="37" t="s">
        <v>13</v>
      </c>
      <c r="G2135" s="37" t="s">
        <v>13</v>
      </c>
      <c r="H2135" s="37" t="s">
        <v>13</v>
      </c>
      <c r="I2135" s="4"/>
    </row>
    <row r="2136">
      <c r="A2136" s="36">
        <v>2132.0</v>
      </c>
      <c r="B2136" s="37" t="s">
        <v>2667</v>
      </c>
      <c r="C2136" s="37" t="s">
        <v>2702</v>
      </c>
      <c r="D2136" s="37" t="s">
        <v>13</v>
      </c>
      <c r="E2136" s="37" t="s">
        <v>13</v>
      </c>
      <c r="F2136" s="37" t="s">
        <v>13</v>
      </c>
      <c r="G2136" s="37" t="s">
        <v>13</v>
      </c>
      <c r="H2136" s="37" t="s">
        <v>2555</v>
      </c>
      <c r="I2136" s="4"/>
    </row>
    <row r="2137">
      <c r="A2137" s="36">
        <v>2133.0</v>
      </c>
      <c r="B2137" s="37" t="s">
        <v>2667</v>
      </c>
      <c r="C2137" s="37" t="s">
        <v>2703</v>
      </c>
      <c r="D2137" s="37" t="s">
        <v>13</v>
      </c>
      <c r="E2137" s="37" t="s">
        <v>14</v>
      </c>
      <c r="F2137" s="37" t="s">
        <v>13</v>
      </c>
      <c r="G2137" s="37" t="s">
        <v>13</v>
      </c>
      <c r="H2137" s="37" t="s">
        <v>15</v>
      </c>
      <c r="I2137" s="4"/>
    </row>
    <row r="2138">
      <c r="A2138" s="36">
        <v>2134.0</v>
      </c>
      <c r="B2138" s="37" t="s">
        <v>2667</v>
      </c>
      <c r="C2138" s="37" t="s">
        <v>2704</v>
      </c>
      <c r="D2138" s="37" t="s">
        <v>13</v>
      </c>
      <c r="E2138" s="37">
        <v>9098772.0</v>
      </c>
      <c r="F2138" s="37" t="s">
        <v>13</v>
      </c>
      <c r="G2138" s="37" t="s">
        <v>13</v>
      </c>
      <c r="H2138" s="37" t="s">
        <v>13</v>
      </c>
      <c r="I2138" s="4"/>
    </row>
    <row r="2139">
      <c r="A2139" s="36">
        <v>2135.0</v>
      </c>
      <c r="B2139" s="37" t="s">
        <v>2667</v>
      </c>
      <c r="C2139" s="37" t="s">
        <v>502</v>
      </c>
      <c r="D2139" s="37">
        <v>26.0</v>
      </c>
      <c r="E2139" s="37" t="s">
        <v>13</v>
      </c>
      <c r="F2139" s="37" t="s">
        <v>13</v>
      </c>
      <c r="G2139" s="37" t="s">
        <v>330</v>
      </c>
      <c r="H2139" s="37" t="s">
        <v>2671</v>
      </c>
      <c r="I2139" s="4"/>
    </row>
    <row r="2140">
      <c r="A2140" s="36">
        <v>2136.0</v>
      </c>
      <c r="B2140" s="37" t="s">
        <v>2667</v>
      </c>
      <c r="C2140" s="37" t="s">
        <v>2705</v>
      </c>
      <c r="D2140" s="37" t="s">
        <v>13</v>
      </c>
      <c r="E2140" s="37">
        <v>2.632737E7</v>
      </c>
      <c r="F2140" s="37" t="s">
        <v>13</v>
      </c>
      <c r="G2140" s="37" t="s">
        <v>13</v>
      </c>
      <c r="H2140" s="37" t="s">
        <v>13</v>
      </c>
      <c r="I2140" s="4"/>
    </row>
    <row r="2141">
      <c r="A2141" s="36">
        <v>2137.0</v>
      </c>
      <c r="B2141" s="37" t="s">
        <v>2667</v>
      </c>
      <c r="C2141" s="37" t="s">
        <v>2706</v>
      </c>
      <c r="D2141" s="37" t="s">
        <v>13</v>
      </c>
      <c r="E2141" s="37">
        <v>2.632736E7</v>
      </c>
      <c r="F2141" s="37" t="s">
        <v>13</v>
      </c>
      <c r="G2141" s="37" t="s">
        <v>2681</v>
      </c>
      <c r="H2141" s="37" t="s">
        <v>13</v>
      </c>
      <c r="I2141" s="4"/>
    </row>
    <row r="2142">
      <c r="A2142" s="36">
        <v>2138.0</v>
      </c>
      <c r="B2142" s="37" t="s">
        <v>2667</v>
      </c>
      <c r="C2142" s="37" t="s">
        <v>2706</v>
      </c>
      <c r="D2142" s="37" t="s">
        <v>13</v>
      </c>
      <c r="E2142" s="37">
        <v>2.632736E8</v>
      </c>
      <c r="F2142" s="37" t="s">
        <v>13</v>
      </c>
      <c r="G2142" s="37" t="s">
        <v>13</v>
      </c>
      <c r="H2142" s="37" t="s">
        <v>13</v>
      </c>
      <c r="I2142" s="4"/>
    </row>
    <row r="2143">
      <c r="A2143" s="36">
        <v>2139.0</v>
      </c>
      <c r="B2143" s="37" t="s">
        <v>2667</v>
      </c>
      <c r="C2143" s="37" t="s">
        <v>2707</v>
      </c>
      <c r="D2143" s="37" t="s">
        <v>13</v>
      </c>
      <c r="E2143" s="37">
        <v>2087329.0</v>
      </c>
      <c r="F2143" s="37" t="s">
        <v>13</v>
      </c>
      <c r="G2143" s="37" t="s">
        <v>13</v>
      </c>
      <c r="H2143" s="37" t="s">
        <v>13</v>
      </c>
      <c r="I2143" s="4"/>
    </row>
    <row r="2144">
      <c r="A2144" s="36">
        <v>2140.0</v>
      </c>
      <c r="B2144" s="37" t="s">
        <v>2667</v>
      </c>
      <c r="C2144" s="37" t="s">
        <v>2708</v>
      </c>
      <c r="D2144" s="37" t="s">
        <v>13</v>
      </c>
      <c r="E2144" s="37">
        <v>2.2862728E7</v>
      </c>
      <c r="F2144" s="37" t="s">
        <v>13</v>
      </c>
      <c r="G2144" s="37" t="s">
        <v>13</v>
      </c>
      <c r="H2144" s="37" t="s">
        <v>13</v>
      </c>
      <c r="I2144" s="4"/>
    </row>
    <row r="2145">
      <c r="A2145" s="36">
        <v>2141.0</v>
      </c>
      <c r="B2145" s="37" t="s">
        <v>2667</v>
      </c>
      <c r="C2145" s="37" t="s">
        <v>2709</v>
      </c>
      <c r="D2145" s="37" t="s">
        <v>13</v>
      </c>
      <c r="E2145" s="37">
        <v>2.2490906E7</v>
      </c>
      <c r="F2145" s="37" t="s">
        <v>13</v>
      </c>
      <c r="G2145" s="37" t="s">
        <v>13</v>
      </c>
      <c r="H2145" s="37" t="s">
        <v>13</v>
      </c>
      <c r="I2145" s="4"/>
    </row>
    <row r="2146">
      <c r="A2146" s="36">
        <v>2142.0</v>
      </c>
      <c r="B2146" s="37" t="s">
        <v>2667</v>
      </c>
      <c r="C2146" s="37" t="s">
        <v>2710</v>
      </c>
      <c r="D2146" s="37" t="s">
        <v>13</v>
      </c>
      <c r="E2146" s="37" t="s">
        <v>13</v>
      </c>
      <c r="F2146" s="37" t="s">
        <v>13</v>
      </c>
      <c r="G2146" s="37" t="s">
        <v>13</v>
      </c>
      <c r="H2146" s="37" t="s">
        <v>13</v>
      </c>
      <c r="I2146" s="4"/>
    </row>
    <row r="2147">
      <c r="A2147" s="36">
        <v>2143.0</v>
      </c>
      <c r="B2147" s="37" t="s">
        <v>2667</v>
      </c>
      <c r="C2147" s="37" t="s">
        <v>2711</v>
      </c>
      <c r="D2147" s="37">
        <v>29.0</v>
      </c>
      <c r="E2147" s="37">
        <v>2.6327685E7</v>
      </c>
      <c r="F2147" s="37" t="s">
        <v>13</v>
      </c>
      <c r="G2147" s="37" t="s">
        <v>330</v>
      </c>
      <c r="H2147" s="37" t="s">
        <v>2671</v>
      </c>
      <c r="I2147" s="4"/>
    </row>
    <row r="2148">
      <c r="A2148" s="36">
        <v>2144.0</v>
      </c>
      <c r="B2148" s="37" t="s">
        <v>2667</v>
      </c>
      <c r="C2148" s="37" t="s">
        <v>2712</v>
      </c>
      <c r="D2148" s="37">
        <v>14.0</v>
      </c>
      <c r="E2148" s="37">
        <v>3.6337677E7</v>
      </c>
      <c r="F2148" s="37" t="s">
        <v>13</v>
      </c>
      <c r="G2148" s="37" t="s">
        <v>330</v>
      </c>
      <c r="H2148" s="37" t="s">
        <v>2671</v>
      </c>
      <c r="I2148" s="4"/>
    </row>
    <row r="2149">
      <c r="A2149" s="36">
        <v>2145.0</v>
      </c>
      <c r="B2149" s="37" t="s">
        <v>2667</v>
      </c>
      <c r="C2149" s="37" t="s">
        <v>2713</v>
      </c>
      <c r="D2149" s="37" t="s">
        <v>13</v>
      </c>
      <c r="E2149" s="37" t="s">
        <v>13</v>
      </c>
      <c r="F2149" s="37" t="s">
        <v>13</v>
      </c>
      <c r="G2149" s="37" t="s">
        <v>13</v>
      </c>
      <c r="H2149" s="37" t="s">
        <v>13</v>
      </c>
      <c r="I2149" s="4"/>
    </row>
    <row r="2150">
      <c r="A2150" s="36">
        <v>2146.0</v>
      </c>
      <c r="B2150" s="37" t="s">
        <v>2667</v>
      </c>
      <c r="C2150" s="37" t="s">
        <v>2714</v>
      </c>
      <c r="D2150" s="37" t="s">
        <v>13</v>
      </c>
      <c r="E2150" s="37">
        <v>1.5826899E7</v>
      </c>
      <c r="F2150" s="37" t="s">
        <v>13</v>
      </c>
      <c r="G2150" s="37" t="s">
        <v>13</v>
      </c>
      <c r="H2150" s="37" t="s">
        <v>13</v>
      </c>
      <c r="I2150" s="4"/>
    </row>
    <row r="2151">
      <c r="A2151" s="36">
        <v>2147.0</v>
      </c>
      <c r="B2151" s="37" t="s">
        <v>2667</v>
      </c>
      <c r="C2151" s="37" t="s">
        <v>2715</v>
      </c>
      <c r="D2151" s="37" t="s">
        <v>13</v>
      </c>
      <c r="E2151" s="37" t="s">
        <v>13</v>
      </c>
      <c r="F2151" s="37" t="s">
        <v>13</v>
      </c>
      <c r="G2151" s="37" t="s">
        <v>13</v>
      </c>
      <c r="H2151" s="37" t="s">
        <v>13</v>
      </c>
      <c r="I2151" s="4"/>
    </row>
    <row r="2152">
      <c r="A2152" s="36">
        <v>2148.0</v>
      </c>
      <c r="B2152" s="37" t="s">
        <v>2667</v>
      </c>
      <c r="C2152" s="37" t="s">
        <v>2716</v>
      </c>
      <c r="D2152" s="37" t="s">
        <v>13</v>
      </c>
      <c r="E2152" s="37" t="s">
        <v>13</v>
      </c>
      <c r="F2152" s="37" t="s">
        <v>13</v>
      </c>
      <c r="G2152" s="37" t="s">
        <v>13</v>
      </c>
      <c r="H2152" s="37" t="s">
        <v>13</v>
      </c>
      <c r="I2152" s="4"/>
    </row>
    <row r="2153">
      <c r="A2153" s="36">
        <v>2149.0</v>
      </c>
      <c r="B2153" s="37" t="s">
        <v>2667</v>
      </c>
      <c r="C2153" s="37" t="s">
        <v>559</v>
      </c>
      <c r="D2153" s="37">
        <v>5.0</v>
      </c>
      <c r="E2153" s="37">
        <v>1.1631045E7</v>
      </c>
      <c r="F2153" s="37" t="s">
        <v>13</v>
      </c>
      <c r="G2153" s="37" t="s">
        <v>330</v>
      </c>
      <c r="H2153" s="37" t="s">
        <v>2671</v>
      </c>
      <c r="I2153" s="4"/>
    </row>
    <row r="2154">
      <c r="A2154" s="36">
        <v>2150.0</v>
      </c>
      <c r="B2154" s="37" t="s">
        <v>2667</v>
      </c>
      <c r="C2154" s="37" t="s">
        <v>563</v>
      </c>
      <c r="D2154" s="37">
        <v>62.0</v>
      </c>
      <c r="E2154" s="37">
        <v>9696241.0</v>
      </c>
      <c r="F2154" s="37" t="s">
        <v>13</v>
      </c>
      <c r="G2154" s="37" t="s">
        <v>330</v>
      </c>
      <c r="H2154" s="37" t="s">
        <v>2671</v>
      </c>
      <c r="I2154" s="4"/>
    </row>
    <row r="2155">
      <c r="A2155" s="36">
        <v>2151.0</v>
      </c>
      <c r="B2155" s="37" t="s">
        <v>2667</v>
      </c>
      <c r="C2155" s="37" t="s">
        <v>2717</v>
      </c>
      <c r="D2155" s="37">
        <v>91.0</v>
      </c>
      <c r="E2155" s="37">
        <v>1582202.0</v>
      </c>
      <c r="F2155" s="37" t="s">
        <v>13</v>
      </c>
      <c r="G2155" s="37" t="s">
        <v>330</v>
      </c>
      <c r="H2155" s="37" t="s">
        <v>2671</v>
      </c>
      <c r="I2155" s="4"/>
    </row>
    <row r="2156">
      <c r="A2156" s="36">
        <v>2152.0</v>
      </c>
      <c r="B2156" s="37" t="s">
        <v>2667</v>
      </c>
      <c r="C2156" s="37" t="s">
        <v>2718</v>
      </c>
      <c r="D2156" s="37" t="s">
        <v>13</v>
      </c>
      <c r="E2156" s="37" t="s">
        <v>13</v>
      </c>
      <c r="F2156" s="37" t="s">
        <v>13</v>
      </c>
      <c r="G2156" s="37" t="s">
        <v>2681</v>
      </c>
      <c r="H2156" s="37" t="s">
        <v>13</v>
      </c>
      <c r="I2156" s="4"/>
    </row>
    <row r="2157">
      <c r="A2157" s="36">
        <v>2153.0</v>
      </c>
      <c r="B2157" s="37" t="s">
        <v>2667</v>
      </c>
      <c r="C2157" s="37" t="s">
        <v>2719</v>
      </c>
      <c r="D2157" s="37" t="s">
        <v>13</v>
      </c>
      <c r="E2157" s="37" t="s">
        <v>13</v>
      </c>
      <c r="F2157" s="37" t="s">
        <v>13</v>
      </c>
      <c r="G2157" s="37" t="s">
        <v>13</v>
      </c>
      <c r="H2157" s="37" t="s">
        <v>13</v>
      </c>
      <c r="I2157" s="4"/>
    </row>
    <row r="2158">
      <c r="A2158" s="36">
        <v>2154.0</v>
      </c>
      <c r="B2158" s="37" t="s">
        <v>2667</v>
      </c>
      <c r="C2158" s="37" t="s">
        <v>2720</v>
      </c>
      <c r="D2158" s="37">
        <v>33.0</v>
      </c>
      <c r="E2158" s="37">
        <v>2.0558903E7</v>
      </c>
      <c r="F2158" s="37" t="s">
        <v>13</v>
      </c>
      <c r="G2158" s="37" t="s">
        <v>2721</v>
      </c>
      <c r="H2158" s="37" t="s">
        <v>2722</v>
      </c>
      <c r="I2158" s="4"/>
    </row>
    <row r="2159">
      <c r="A2159" s="36">
        <v>2155.0</v>
      </c>
      <c r="B2159" s="37" t="s">
        <v>2667</v>
      </c>
      <c r="C2159" s="37" t="s">
        <v>2723</v>
      </c>
      <c r="D2159" s="37" t="s">
        <v>13</v>
      </c>
      <c r="E2159" s="37" t="s">
        <v>13</v>
      </c>
      <c r="F2159" s="37" t="s">
        <v>13</v>
      </c>
      <c r="G2159" s="37" t="s">
        <v>2724</v>
      </c>
      <c r="H2159" s="37" t="s">
        <v>13</v>
      </c>
      <c r="I2159" s="4"/>
    </row>
    <row r="2160">
      <c r="A2160" s="36">
        <v>2156.0</v>
      </c>
      <c r="B2160" s="37" t="s">
        <v>2667</v>
      </c>
      <c r="C2160" s="37" t="s">
        <v>2725</v>
      </c>
      <c r="D2160" s="37" t="s">
        <v>13</v>
      </c>
      <c r="E2160" s="37">
        <v>2.5867267E8</v>
      </c>
      <c r="F2160" s="37" t="s">
        <v>13</v>
      </c>
      <c r="G2160" s="37" t="s">
        <v>13</v>
      </c>
      <c r="H2160" s="37" t="s">
        <v>13</v>
      </c>
      <c r="I2160" s="4"/>
    </row>
    <row r="2161">
      <c r="A2161" s="36">
        <v>2157.0</v>
      </c>
      <c r="B2161" s="37" t="s">
        <v>2667</v>
      </c>
      <c r="C2161" s="37" t="s">
        <v>2726</v>
      </c>
      <c r="D2161" s="37" t="s">
        <v>13</v>
      </c>
      <c r="E2161" s="37" t="s">
        <v>13</v>
      </c>
      <c r="F2161" s="37" t="s">
        <v>13</v>
      </c>
      <c r="G2161" s="37" t="s">
        <v>13</v>
      </c>
      <c r="H2161" s="37" t="s">
        <v>13</v>
      </c>
      <c r="I2161" s="4"/>
    </row>
    <row r="2162">
      <c r="A2162" s="36">
        <v>2158.0</v>
      </c>
      <c r="B2162" s="37" t="s">
        <v>2667</v>
      </c>
      <c r="C2162" s="37" t="s">
        <v>2727</v>
      </c>
      <c r="D2162" s="37" t="s">
        <v>13</v>
      </c>
      <c r="E2162" s="37" t="s">
        <v>13</v>
      </c>
      <c r="F2162" s="37" t="s">
        <v>13</v>
      </c>
      <c r="G2162" s="37" t="s">
        <v>13</v>
      </c>
      <c r="H2162" s="37" t="s">
        <v>13</v>
      </c>
      <c r="I2162" s="4"/>
    </row>
    <row r="2163">
      <c r="A2163" s="36">
        <v>2159.0</v>
      </c>
      <c r="B2163" s="37" t="s">
        <v>2667</v>
      </c>
      <c r="C2163" s="37" t="s">
        <v>2728</v>
      </c>
      <c r="D2163" s="37" t="s">
        <v>13</v>
      </c>
      <c r="E2163" s="37" t="s">
        <v>13</v>
      </c>
      <c r="F2163" s="37" t="s">
        <v>13</v>
      </c>
      <c r="G2163" s="37" t="s">
        <v>13</v>
      </c>
      <c r="H2163" s="37" t="s">
        <v>13</v>
      </c>
      <c r="I2163" s="4"/>
    </row>
    <row r="2164">
      <c r="A2164" s="36">
        <v>2160.0</v>
      </c>
      <c r="B2164" s="37" t="s">
        <v>2667</v>
      </c>
      <c r="C2164" s="37" t="s">
        <v>2728</v>
      </c>
      <c r="D2164" s="37" t="s">
        <v>13</v>
      </c>
      <c r="E2164" s="37" t="s">
        <v>13</v>
      </c>
      <c r="F2164" s="37" t="s">
        <v>13</v>
      </c>
      <c r="G2164" s="37" t="s">
        <v>2681</v>
      </c>
      <c r="H2164" s="37" t="s">
        <v>13</v>
      </c>
      <c r="I2164" s="4"/>
    </row>
    <row r="2165">
      <c r="A2165" s="36">
        <v>2161.0</v>
      </c>
      <c r="B2165" s="37" t="s">
        <v>2667</v>
      </c>
      <c r="C2165" s="37" t="s">
        <v>2729</v>
      </c>
      <c r="D2165" s="37" t="s">
        <v>13</v>
      </c>
      <c r="E2165" s="37">
        <v>3.2191309E7</v>
      </c>
      <c r="F2165" s="37" t="s">
        <v>13</v>
      </c>
      <c r="G2165" s="37" t="s">
        <v>2681</v>
      </c>
      <c r="H2165" s="37" t="s">
        <v>13</v>
      </c>
      <c r="I2165" s="4"/>
    </row>
    <row r="2166">
      <c r="A2166" s="36">
        <v>2162.0</v>
      </c>
      <c r="B2166" s="37" t="s">
        <v>2667</v>
      </c>
      <c r="C2166" s="37" t="s">
        <v>2730</v>
      </c>
      <c r="D2166" s="37" t="s">
        <v>13</v>
      </c>
      <c r="E2166" s="37">
        <v>2.2550084E7</v>
      </c>
      <c r="F2166" s="37" t="s">
        <v>13</v>
      </c>
      <c r="G2166" s="37" t="s">
        <v>2681</v>
      </c>
      <c r="H2166" s="37" t="s">
        <v>13</v>
      </c>
      <c r="I2166" s="4"/>
    </row>
    <row r="2167">
      <c r="A2167" s="36">
        <v>2163.0</v>
      </c>
      <c r="B2167" s="37" t="s">
        <v>2667</v>
      </c>
      <c r="C2167" s="37" t="s">
        <v>2731</v>
      </c>
      <c r="D2167" s="37" t="s">
        <v>13</v>
      </c>
      <c r="E2167" s="37">
        <v>6325140.0</v>
      </c>
      <c r="F2167" s="37" t="s">
        <v>13</v>
      </c>
      <c r="G2167" s="37" t="s">
        <v>13</v>
      </c>
      <c r="H2167" s="37" t="s">
        <v>13</v>
      </c>
      <c r="I2167" s="4"/>
    </row>
    <row r="2168">
      <c r="A2168" s="36">
        <v>2164.0</v>
      </c>
      <c r="B2168" s="37" t="s">
        <v>2667</v>
      </c>
      <c r="C2168" s="37" t="s">
        <v>2732</v>
      </c>
      <c r="D2168" s="37" t="s">
        <v>13</v>
      </c>
      <c r="E2168" s="37">
        <v>2.6059358E7</v>
      </c>
      <c r="F2168" s="37" t="s">
        <v>13</v>
      </c>
      <c r="G2168" s="37" t="s">
        <v>2681</v>
      </c>
      <c r="H2168" s="37" t="s">
        <v>13</v>
      </c>
      <c r="I2168" s="4"/>
    </row>
    <row r="2169">
      <c r="A2169" s="36">
        <v>2165.0</v>
      </c>
      <c r="B2169" s="37" t="s">
        <v>2667</v>
      </c>
      <c r="C2169" s="37" t="s">
        <v>2733</v>
      </c>
      <c r="D2169" s="37" t="s">
        <v>13</v>
      </c>
      <c r="E2169" s="37">
        <v>1.0213915E7</v>
      </c>
      <c r="F2169" s="37" t="s">
        <v>13</v>
      </c>
      <c r="G2169" s="37" t="s">
        <v>2734</v>
      </c>
      <c r="H2169" s="37" t="s">
        <v>2735</v>
      </c>
      <c r="I2169" s="4"/>
    </row>
    <row r="2170">
      <c r="A2170" s="36">
        <v>2166.0</v>
      </c>
      <c r="B2170" s="37" t="s">
        <v>2667</v>
      </c>
      <c r="C2170" s="37" t="s">
        <v>2736</v>
      </c>
      <c r="D2170" s="37" t="s">
        <v>13</v>
      </c>
      <c r="E2170" s="37" t="s">
        <v>13</v>
      </c>
      <c r="F2170" s="37" t="s">
        <v>13</v>
      </c>
      <c r="G2170" s="37" t="s">
        <v>13</v>
      </c>
      <c r="H2170" s="37" t="s">
        <v>2688</v>
      </c>
      <c r="I2170" s="4"/>
    </row>
    <row r="2171">
      <c r="A2171" s="36">
        <v>2167.0</v>
      </c>
      <c r="B2171" s="37" t="s">
        <v>2667</v>
      </c>
      <c r="C2171" s="37" t="s">
        <v>2737</v>
      </c>
      <c r="D2171" s="37" t="s">
        <v>13</v>
      </c>
      <c r="E2171" s="37">
        <v>1.7710318E7</v>
      </c>
      <c r="F2171" s="37" t="s">
        <v>13</v>
      </c>
      <c r="G2171" s="37" t="s">
        <v>2681</v>
      </c>
      <c r="H2171" s="37" t="s">
        <v>13</v>
      </c>
      <c r="I2171" s="4"/>
    </row>
    <row r="2172">
      <c r="A2172" s="36">
        <v>2168.0</v>
      </c>
      <c r="B2172" s="37" t="s">
        <v>2667</v>
      </c>
      <c r="C2172" s="37" t="s">
        <v>2738</v>
      </c>
      <c r="D2172" s="37" t="s">
        <v>13</v>
      </c>
      <c r="E2172" s="37">
        <v>2.659082E7</v>
      </c>
      <c r="F2172" s="37" t="s">
        <v>13</v>
      </c>
      <c r="G2172" s="37" t="s">
        <v>2739</v>
      </c>
      <c r="H2172" s="37" t="s">
        <v>13</v>
      </c>
      <c r="I2172" s="4"/>
    </row>
    <row r="2173">
      <c r="A2173" s="36">
        <v>2169.0</v>
      </c>
      <c r="B2173" s="37" t="s">
        <v>2667</v>
      </c>
      <c r="C2173" s="37" t="s">
        <v>2738</v>
      </c>
      <c r="D2173" s="37" t="s">
        <v>13</v>
      </c>
      <c r="E2173" s="37">
        <v>2.659082E7</v>
      </c>
      <c r="F2173" s="37" t="s">
        <v>13</v>
      </c>
      <c r="G2173" s="37" t="s">
        <v>2740</v>
      </c>
      <c r="H2173" s="37" t="s">
        <v>13</v>
      </c>
      <c r="I2173" s="4"/>
    </row>
    <row r="2174">
      <c r="A2174" s="36">
        <v>2170.0</v>
      </c>
      <c r="B2174" s="37" t="s">
        <v>2667</v>
      </c>
      <c r="C2174" s="37" t="s">
        <v>2741</v>
      </c>
      <c r="D2174" s="37" t="s">
        <v>13</v>
      </c>
      <c r="E2174" s="37">
        <v>1.8709145E7</v>
      </c>
      <c r="F2174" s="37" t="s">
        <v>13</v>
      </c>
      <c r="G2174" s="37" t="s">
        <v>13</v>
      </c>
      <c r="H2174" s="37" t="s">
        <v>13</v>
      </c>
      <c r="I2174" s="4"/>
    </row>
    <row r="2175">
      <c r="A2175" s="36">
        <v>2171.0</v>
      </c>
      <c r="B2175" s="37" t="s">
        <v>2667</v>
      </c>
      <c r="C2175" s="37" t="s">
        <v>2742</v>
      </c>
      <c r="D2175" s="37" t="s">
        <v>1731</v>
      </c>
      <c r="E2175" s="37">
        <v>1.8709145E8</v>
      </c>
      <c r="F2175" s="37" t="s">
        <v>13</v>
      </c>
      <c r="G2175" s="37" t="s">
        <v>330</v>
      </c>
      <c r="H2175" s="37" t="s">
        <v>1731</v>
      </c>
      <c r="I2175" s="4"/>
    </row>
    <row r="2176">
      <c r="A2176" s="36">
        <v>2172.0</v>
      </c>
      <c r="B2176" s="37" t="s">
        <v>2667</v>
      </c>
      <c r="C2176" s="37" t="s">
        <v>2743</v>
      </c>
      <c r="D2176" s="37">
        <v>88.0</v>
      </c>
      <c r="E2176" s="37">
        <v>1.4464454E7</v>
      </c>
      <c r="F2176" s="37" t="s">
        <v>13</v>
      </c>
      <c r="G2176" s="37" t="s">
        <v>330</v>
      </c>
      <c r="H2176" s="37" t="s">
        <v>2671</v>
      </c>
      <c r="I2176" s="4"/>
    </row>
    <row r="2177">
      <c r="A2177" s="36">
        <v>2173.0</v>
      </c>
      <c r="B2177" s="37" t="s">
        <v>2667</v>
      </c>
      <c r="C2177" s="37" t="s">
        <v>1886</v>
      </c>
      <c r="D2177" s="37" t="s">
        <v>13</v>
      </c>
      <c r="E2177" s="37" t="s">
        <v>13</v>
      </c>
      <c r="F2177" s="37" t="s">
        <v>13</v>
      </c>
      <c r="G2177" s="37" t="s">
        <v>13</v>
      </c>
      <c r="H2177" s="37" t="s">
        <v>13</v>
      </c>
      <c r="I2177" s="4"/>
    </row>
    <row r="2178">
      <c r="A2178" s="36">
        <v>2174.0</v>
      </c>
      <c r="B2178" s="37" t="s">
        <v>2667</v>
      </c>
      <c r="C2178" s="37" t="s">
        <v>2744</v>
      </c>
      <c r="D2178" s="37">
        <v>41.0</v>
      </c>
      <c r="E2178" s="37">
        <v>1.9445341E7</v>
      </c>
      <c r="F2178" s="37" t="s">
        <v>13</v>
      </c>
      <c r="G2178" s="37" t="s">
        <v>330</v>
      </c>
      <c r="H2178" s="37" t="s">
        <v>2671</v>
      </c>
      <c r="I2178" s="4"/>
    </row>
    <row r="2179">
      <c r="A2179" s="36">
        <v>2175.0</v>
      </c>
      <c r="B2179" s="37" t="s">
        <v>2667</v>
      </c>
      <c r="C2179" s="37" t="s">
        <v>2745</v>
      </c>
      <c r="D2179" s="37" t="s">
        <v>13</v>
      </c>
      <c r="E2179" s="37">
        <v>3.1777653E7</v>
      </c>
      <c r="F2179" s="37" t="s">
        <v>13</v>
      </c>
      <c r="G2179" s="37" t="s">
        <v>13</v>
      </c>
      <c r="H2179" s="37" t="s">
        <v>13</v>
      </c>
      <c r="I2179" s="4"/>
    </row>
    <row r="2180">
      <c r="A2180" s="36">
        <v>2176.0</v>
      </c>
      <c r="B2180" s="37" t="s">
        <v>2667</v>
      </c>
      <c r="C2180" s="37" t="s">
        <v>2746</v>
      </c>
      <c r="D2180" s="37" t="s">
        <v>13</v>
      </c>
      <c r="E2180" s="37" t="s">
        <v>14</v>
      </c>
      <c r="F2180" s="37" t="s">
        <v>13</v>
      </c>
      <c r="G2180" s="37" t="s">
        <v>13</v>
      </c>
      <c r="H2180" s="37" t="s">
        <v>15</v>
      </c>
      <c r="I2180" s="4"/>
    </row>
    <row r="2181">
      <c r="A2181" s="36">
        <v>2177.0</v>
      </c>
      <c r="B2181" s="37" t="s">
        <v>2667</v>
      </c>
      <c r="C2181" s="37" t="s">
        <v>2747</v>
      </c>
      <c r="D2181" s="37" t="s">
        <v>13</v>
      </c>
      <c r="E2181" s="37" t="s">
        <v>14</v>
      </c>
      <c r="F2181" s="37" t="s">
        <v>13</v>
      </c>
      <c r="G2181" s="37" t="s">
        <v>13</v>
      </c>
      <c r="H2181" s="37" t="s">
        <v>15</v>
      </c>
      <c r="I2181" s="4"/>
    </row>
    <row r="2182">
      <c r="A2182" s="36">
        <v>2178.0</v>
      </c>
      <c r="B2182" s="37" t="s">
        <v>2667</v>
      </c>
      <c r="C2182" s="37" t="s">
        <v>2748</v>
      </c>
      <c r="D2182" s="37" t="s">
        <v>13</v>
      </c>
      <c r="E2182" s="37" t="s">
        <v>13</v>
      </c>
      <c r="F2182" s="37" t="s">
        <v>13</v>
      </c>
      <c r="G2182" s="37" t="s">
        <v>13</v>
      </c>
      <c r="H2182" s="37" t="s">
        <v>13</v>
      </c>
      <c r="I2182" s="4"/>
    </row>
    <row r="2183">
      <c r="A2183" s="36">
        <v>2179.0</v>
      </c>
      <c r="B2183" s="37" t="s">
        <v>2667</v>
      </c>
      <c r="C2183" s="37" t="s">
        <v>2749</v>
      </c>
      <c r="D2183" s="37">
        <v>94.0</v>
      </c>
      <c r="E2183" s="37" t="s">
        <v>13</v>
      </c>
      <c r="F2183" s="37" t="s">
        <v>13</v>
      </c>
      <c r="G2183" s="37" t="s">
        <v>13</v>
      </c>
      <c r="H2183" s="37" t="s">
        <v>2669</v>
      </c>
      <c r="I2183" s="4"/>
    </row>
    <row r="2184">
      <c r="A2184" s="36">
        <v>2180.0</v>
      </c>
      <c r="B2184" s="37" t="s">
        <v>2667</v>
      </c>
      <c r="C2184" s="37" t="s">
        <v>2750</v>
      </c>
      <c r="D2184" s="37" t="s">
        <v>13</v>
      </c>
      <c r="E2184" s="37">
        <v>2.5867263E7</v>
      </c>
      <c r="F2184" s="37" t="s">
        <v>13</v>
      </c>
      <c r="G2184" s="37" t="s">
        <v>2734</v>
      </c>
      <c r="H2184" s="37" t="s">
        <v>13</v>
      </c>
      <c r="I2184" s="4"/>
    </row>
    <row r="2185">
      <c r="A2185" s="36">
        <v>2181.0</v>
      </c>
      <c r="B2185" s="37" t="s">
        <v>2667</v>
      </c>
      <c r="C2185" s="37" t="s">
        <v>587</v>
      </c>
      <c r="D2185" s="37">
        <v>23.0</v>
      </c>
      <c r="E2185" s="37" t="s">
        <v>13</v>
      </c>
      <c r="F2185" s="37" t="s">
        <v>13</v>
      </c>
      <c r="G2185" s="37" t="s">
        <v>2751</v>
      </c>
      <c r="H2185" s="37" t="s">
        <v>2671</v>
      </c>
      <c r="I2185" s="4"/>
    </row>
    <row r="2186">
      <c r="A2186" s="36">
        <v>2182.0</v>
      </c>
      <c r="B2186" s="37" t="s">
        <v>2667</v>
      </c>
      <c r="C2186" s="37" t="s">
        <v>2752</v>
      </c>
      <c r="D2186" s="37">
        <v>34.0</v>
      </c>
      <c r="E2186" s="37" t="s">
        <v>13</v>
      </c>
      <c r="F2186" s="37" t="s">
        <v>13</v>
      </c>
      <c r="G2186" s="37" t="s">
        <v>330</v>
      </c>
      <c r="H2186" s="37" t="s">
        <v>2671</v>
      </c>
      <c r="I2186" s="4"/>
    </row>
    <row r="2187">
      <c r="A2187" s="36">
        <v>2183.0</v>
      </c>
      <c r="B2187" s="37" t="s">
        <v>2667</v>
      </c>
      <c r="C2187" s="37" t="s">
        <v>2753</v>
      </c>
      <c r="D2187" s="37" t="s">
        <v>13</v>
      </c>
      <c r="E2187" s="37">
        <v>2.2516346E7</v>
      </c>
      <c r="F2187" s="37" t="s">
        <v>13</v>
      </c>
      <c r="G2187" s="37" t="s">
        <v>2681</v>
      </c>
      <c r="H2187" s="37" t="s">
        <v>2754</v>
      </c>
      <c r="I2187" s="4"/>
    </row>
    <row r="2188">
      <c r="A2188" s="36">
        <v>2184.0</v>
      </c>
      <c r="B2188" s="37" t="s">
        <v>2667</v>
      </c>
      <c r="C2188" s="37" t="s">
        <v>2755</v>
      </c>
      <c r="D2188" s="37" t="s">
        <v>13</v>
      </c>
      <c r="E2188" s="37">
        <v>1.2150067E7</v>
      </c>
      <c r="F2188" s="37" t="s">
        <v>13</v>
      </c>
      <c r="G2188" s="37" t="s">
        <v>13</v>
      </c>
      <c r="H2188" s="37" t="s">
        <v>13</v>
      </c>
      <c r="I2188" s="4"/>
    </row>
    <row r="2189">
      <c r="A2189" s="36">
        <v>2185.0</v>
      </c>
      <c r="B2189" s="37" t="s">
        <v>2667</v>
      </c>
      <c r="C2189" s="37" t="s">
        <v>2756</v>
      </c>
      <c r="D2189" s="37" t="s">
        <v>13</v>
      </c>
      <c r="E2189" s="37">
        <v>1.9721253E7</v>
      </c>
      <c r="F2189" s="37" t="s">
        <v>13</v>
      </c>
      <c r="G2189" s="37" t="s">
        <v>13</v>
      </c>
      <c r="H2189" s="37" t="s">
        <v>13</v>
      </c>
      <c r="I2189" s="4"/>
    </row>
    <row r="2190">
      <c r="A2190" s="36">
        <v>2186.0</v>
      </c>
      <c r="B2190" s="37" t="s">
        <v>2667</v>
      </c>
      <c r="C2190" s="37" t="s">
        <v>2757</v>
      </c>
      <c r="D2190" s="37" t="s">
        <v>13</v>
      </c>
      <c r="E2190" s="37">
        <v>3.1541118E7</v>
      </c>
      <c r="F2190" s="37" t="s">
        <v>13</v>
      </c>
      <c r="G2190" s="37" t="s">
        <v>2681</v>
      </c>
      <c r="H2190" s="37" t="s">
        <v>13</v>
      </c>
      <c r="I2190" s="4"/>
    </row>
    <row r="2191">
      <c r="A2191" s="36">
        <v>2187.0</v>
      </c>
      <c r="B2191" s="37" t="s">
        <v>2667</v>
      </c>
      <c r="C2191" s="37" t="s">
        <v>2758</v>
      </c>
      <c r="D2191" s="37" t="s">
        <v>13</v>
      </c>
      <c r="E2191" s="37">
        <v>3.7143398E7</v>
      </c>
      <c r="F2191" s="37" t="s">
        <v>13</v>
      </c>
      <c r="G2191" s="37" t="s">
        <v>13</v>
      </c>
      <c r="H2191" s="37" t="s">
        <v>13</v>
      </c>
      <c r="I2191" s="4"/>
    </row>
    <row r="2192">
      <c r="A2192" s="36">
        <v>2188.0</v>
      </c>
      <c r="B2192" s="37" t="s">
        <v>2667</v>
      </c>
      <c r="C2192" s="37" t="s">
        <v>2759</v>
      </c>
      <c r="D2192" s="37" t="s">
        <v>13</v>
      </c>
      <c r="E2192" s="37">
        <v>1.719003E7</v>
      </c>
      <c r="F2192" s="37" t="s">
        <v>13</v>
      </c>
      <c r="G2192" s="37" t="s">
        <v>13</v>
      </c>
      <c r="H2192" s="37" t="s">
        <v>13</v>
      </c>
      <c r="I2192" s="4"/>
    </row>
    <row r="2193">
      <c r="A2193" s="36">
        <v>2189.0</v>
      </c>
      <c r="B2193" s="37" t="s">
        <v>2667</v>
      </c>
      <c r="C2193" s="37" t="s">
        <v>2760</v>
      </c>
      <c r="D2193" s="37">
        <v>70.0</v>
      </c>
      <c r="E2193" s="37" t="s">
        <v>13</v>
      </c>
      <c r="F2193" s="37" t="s">
        <v>13</v>
      </c>
      <c r="G2193" s="37" t="s">
        <v>13</v>
      </c>
      <c r="H2193" s="37" t="s">
        <v>2761</v>
      </c>
      <c r="I2193" s="4"/>
    </row>
    <row r="2194">
      <c r="A2194" s="36">
        <v>2190.0</v>
      </c>
      <c r="B2194" s="37" t="s">
        <v>2667</v>
      </c>
      <c r="C2194" s="37" t="s">
        <v>2762</v>
      </c>
      <c r="D2194" s="37">
        <v>31.0</v>
      </c>
      <c r="E2194" s="37">
        <v>2.1622464E7</v>
      </c>
      <c r="F2194" s="37" t="s">
        <v>13</v>
      </c>
      <c r="G2194" s="37" t="s">
        <v>330</v>
      </c>
      <c r="H2194" s="37" t="s">
        <v>2763</v>
      </c>
      <c r="I2194" s="4"/>
    </row>
    <row r="2195">
      <c r="A2195" s="36">
        <v>2191.0</v>
      </c>
      <c r="B2195" s="37" t="s">
        <v>2667</v>
      </c>
      <c r="C2195" s="37" t="s">
        <v>2764</v>
      </c>
      <c r="D2195" s="37" t="s">
        <v>13</v>
      </c>
      <c r="E2195" s="37">
        <v>1.0815359E7</v>
      </c>
      <c r="F2195" s="37" t="s">
        <v>13</v>
      </c>
      <c r="G2195" s="37" t="s">
        <v>13</v>
      </c>
      <c r="H2195" s="37" t="s">
        <v>13</v>
      </c>
      <c r="I2195" s="4"/>
    </row>
    <row r="2196">
      <c r="A2196" s="36">
        <v>2192.0</v>
      </c>
      <c r="B2196" s="37" t="s">
        <v>2667</v>
      </c>
      <c r="C2196" s="37" t="s">
        <v>2765</v>
      </c>
      <c r="D2196" s="37" t="s">
        <v>13</v>
      </c>
      <c r="E2196" s="37" t="s">
        <v>13</v>
      </c>
      <c r="F2196" s="37" t="s">
        <v>13</v>
      </c>
      <c r="G2196" s="37" t="s">
        <v>13</v>
      </c>
      <c r="H2196" s="37" t="s">
        <v>2669</v>
      </c>
      <c r="I2196" s="4"/>
    </row>
    <row r="2197">
      <c r="A2197" s="36">
        <v>2193.0</v>
      </c>
      <c r="B2197" s="37" t="s">
        <v>2667</v>
      </c>
      <c r="C2197" s="37" t="s">
        <v>2766</v>
      </c>
      <c r="D2197" s="37" t="s">
        <v>13</v>
      </c>
      <c r="E2197" s="37">
        <v>1.7587273E7</v>
      </c>
      <c r="F2197" s="37" t="s">
        <v>13</v>
      </c>
      <c r="G2197" s="37" t="s">
        <v>13</v>
      </c>
      <c r="H2197" s="37" t="s">
        <v>13</v>
      </c>
      <c r="I2197" s="4"/>
    </row>
    <row r="2198">
      <c r="A2198" s="36">
        <v>2194.0</v>
      </c>
      <c r="B2198" s="37" t="s">
        <v>2667</v>
      </c>
      <c r="C2198" s="37" t="s">
        <v>2767</v>
      </c>
      <c r="D2198" s="37" t="s">
        <v>13</v>
      </c>
      <c r="E2198" s="37">
        <v>2.7915258E7</v>
      </c>
      <c r="F2198" s="37" t="s">
        <v>13</v>
      </c>
      <c r="G2198" s="37" t="s">
        <v>13</v>
      </c>
      <c r="H2198" s="37" t="s">
        <v>13</v>
      </c>
      <c r="I2198" s="4"/>
    </row>
    <row r="2199">
      <c r="A2199" s="36">
        <v>2195.0</v>
      </c>
      <c r="B2199" s="37" t="s">
        <v>2667</v>
      </c>
      <c r="C2199" s="37" t="s">
        <v>2768</v>
      </c>
      <c r="D2199" s="37" t="s">
        <v>13</v>
      </c>
      <c r="E2199" s="37" t="s">
        <v>13</v>
      </c>
      <c r="F2199" s="37" t="s">
        <v>13</v>
      </c>
      <c r="G2199" s="37" t="s">
        <v>2769</v>
      </c>
      <c r="H2199" s="37" t="s">
        <v>13</v>
      </c>
      <c r="I2199" s="4"/>
    </row>
    <row r="2200">
      <c r="A2200" s="36">
        <v>2196.0</v>
      </c>
      <c r="B2200" s="37" t="s">
        <v>2667</v>
      </c>
      <c r="C2200" s="37" t="s">
        <v>2770</v>
      </c>
      <c r="D2200" s="37" t="s">
        <v>13</v>
      </c>
      <c r="E2200" s="37">
        <v>1.3483204E7</v>
      </c>
      <c r="F2200" s="37" t="s">
        <v>13</v>
      </c>
      <c r="G2200" s="37" t="s">
        <v>13</v>
      </c>
      <c r="H2200" s="37" t="s">
        <v>13</v>
      </c>
      <c r="I2200" s="4"/>
    </row>
    <row r="2201">
      <c r="A2201" s="36">
        <v>2197.0</v>
      </c>
      <c r="B2201" s="37" t="s">
        <v>2667</v>
      </c>
      <c r="C2201" s="37" t="s">
        <v>2771</v>
      </c>
      <c r="D2201" s="37" t="s">
        <v>13</v>
      </c>
      <c r="E2201" s="37">
        <v>1.371621E7</v>
      </c>
      <c r="F2201" s="37" t="s">
        <v>13</v>
      </c>
      <c r="G2201" s="37" t="s">
        <v>13</v>
      </c>
      <c r="H2201" s="37" t="s">
        <v>13</v>
      </c>
      <c r="I2201" s="4"/>
    </row>
    <row r="2202">
      <c r="A2202" s="36">
        <v>2198.0</v>
      </c>
      <c r="B2202" s="37" t="s">
        <v>2667</v>
      </c>
      <c r="C2202" s="37" t="s">
        <v>2772</v>
      </c>
      <c r="D2202" s="37" t="s">
        <v>13</v>
      </c>
      <c r="E2202" s="37" t="s">
        <v>13</v>
      </c>
      <c r="F2202" s="37" t="s">
        <v>13</v>
      </c>
      <c r="G2202" s="37" t="s">
        <v>13</v>
      </c>
      <c r="H2202" s="37" t="s">
        <v>13</v>
      </c>
      <c r="I2202" s="4"/>
    </row>
    <row r="2203">
      <c r="A2203" s="36">
        <v>2199.0</v>
      </c>
      <c r="B2203" s="37" t="s">
        <v>2667</v>
      </c>
      <c r="C2203" s="37" t="s">
        <v>2773</v>
      </c>
      <c r="D2203" s="37">
        <v>23.0</v>
      </c>
      <c r="E2203" s="37">
        <v>3.0314231E7</v>
      </c>
      <c r="F2203" s="37" t="s">
        <v>13</v>
      </c>
      <c r="G2203" s="37" t="s">
        <v>330</v>
      </c>
      <c r="H2203" s="37" t="s">
        <v>2671</v>
      </c>
      <c r="I2203" s="4"/>
    </row>
    <row r="2204">
      <c r="A2204" s="36">
        <v>2200.0</v>
      </c>
      <c r="B2204" s="37" t="s">
        <v>2667</v>
      </c>
      <c r="C2204" s="37" t="s">
        <v>2774</v>
      </c>
      <c r="D2204" s="37" t="s">
        <v>13</v>
      </c>
      <c r="E2204" s="37" t="s">
        <v>13</v>
      </c>
      <c r="F2204" s="37" t="s">
        <v>13</v>
      </c>
      <c r="G2204" s="37" t="s">
        <v>13</v>
      </c>
      <c r="H2204" s="37" t="s">
        <v>13</v>
      </c>
      <c r="I2204" s="4"/>
    </row>
    <row r="2205">
      <c r="A2205" s="36">
        <v>2201.0</v>
      </c>
      <c r="B2205" s="37" t="s">
        <v>2667</v>
      </c>
      <c r="C2205" s="37" t="s">
        <v>2774</v>
      </c>
      <c r="D2205" s="37" t="s">
        <v>13</v>
      </c>
      <c r="E2205" s="37" t="s">
        <v>13</v>
      </c>
      <c r="F2205" s="37" t="s">
        <v>13</v>
      </c>
      <c r="G2205" s="37" t="s">
        <v>13</v>
      </c>
      <c r="H2205" s="37" t="s">
        <v>13</v>
      </c>
      <c r="I2205" s="4"/>
    </row>
    <row r="2206">
      <c r="A2206" s="36">
        <v>2202.0</v>
      </c>
      <c r="B2206" s="37" t="s">
        <v>2667</v>
      </c>
      <c r="C2206" s="37" t="s">
        <v>1959</v>
      </c>
      <c r="D2206" s="37" t="s">
        <v>13</v>
      </c>
      <c r="E2206" s="37">
        <v>3.3140119E7</v>
      </c>
      <c r="F2206" s="37" t="s">
        <v>13</v>
      </c>
      <c r="G2206" s="37" t="s">
        <v>13</v>
      </c>
      <c r="H2206" s="37" t="s">
        <v>13</v>
      </c>
      <c r="I2206" s="4"/>
    </row>
    <row r="2207">
      <c r="A2207" s="36">
        <v>2203.0</v>
      </c>
      <c r="B2207" s="37" t="s">
        <v>2667</v>
      </c>
      <c r="C2207" s="37" t="s">
        <v>1959</v>
      </c>
      <c r="D2207" s="37" t="s">
        <v>13</v>
      </c>
      <c r="E2207" s="37" t="s">
        <v>13</v>
      </c>
      <c r="F2207" s="37" t="s">
        <v>13</v>
      </c>
      <c r="G2207" s="37" t="s">
        <v>13</v>
      </c>
      <c r="H2207" s="37" t="s">
        <v>13</v>
      </c>
      <c r="I2207" s="4"/>
    </row>
    <row r="2208">
      <c r="A2208" s="36">
        <v>2204.0</v>
      </c>
      <c r="B2208" s="37" t="s">
        <v>2667</v>
      </c>
      <c r="C2208" s="37" t="s">
        <v>2775</v>
      </c>
      <c r="D2208" s="37" t="s">
        <v>13</v>
      </c>
      <c r="E2208" s="37" t="s">
        <v>13</v>
      </c>
      <c r="F2208" s="37" t="s">
        <v>13</v>
      </c>
      <c r="G2208" s="37" t="s">
        <v>2681</v>
      </c>
      <c r="H2208" s="37" t="s">
        <v>13</v>
      </c>
      <c r="I2208" s="4"/>
    </row>
    <row r="2209">
      <c r="A2209" s="36">
        <v>2205.0</v>
      </c>
      <c r="B2209" s="37" t="s">
        <v>2667</v>
      </c>
      <c r="C2209" s="37" t="s">
        <v>2776</v>
      </c>
      <c r="D2209" s="37" t="s">
        <v>13</v>
      </c>
      <c r="E2209" s="37" t="s">
        <v>13</v>
      </c>
      <c r="F2209" s="37" t="s">
        <v>13</v>
      </c>
      <c r="G2209" s="37" t="s">
        <v>13</v>
      </c>
      <c r="H2209" s="37" t="s">
        <v>13</v>
      </c>
      <c r="I2209" s="4"/>
    </row>
    <row r="2210">
      <c r="A2210" s="36">
        <v>2206.0</v>
      </c>
      <c r="B2210" s="37" t="s">
        <v>2667</v>
      </c>
      <c r="C2210" s="37" t="s">
        <v>2776</v>
      </c>
      <c r="D2210" s="37" t="s">
        <v>13</v>
      </c>
      <c r="E2210" s="37" t="s">
        <v>13</v>
      </c>
      <c r="F2210" s="37" t="s">
        <v>13</v>
      </c>
      <c r="G2210" s="37" t="s">
        <v>2681</v>
      </c>
      <c r="H2210" s="37" t="s">
        <v>13</v>
      </c>
      <c r="I2210" s="4"/>
    </row>
    <row r="2211">
      <c r="A2211" s="36">
        <v>2207.0</v>
      </c>
      <c r="B2211" s="37" t="s">
        <v>2667</v>
      </c>
      <c r="C2211" s="37" t="s">
        <v>637</v>
      </c>
      <c r="D2211" s="37">
        <v>34.0</v>
      </c>
      <c r="E2211" s="37">
        <v>1.0801488E7</v>
      </c>
      <c r="F2211" s="37" t="s">
        <v>13</v>
      </c>
      <c r="G2211" s="37" t="s">
        <v>330</v>
      </c>
      <c r="H2211" s="37" t="s">
        <v>2671</v>
      </c>
      <c r="I2211" s="4"/>
    </row>
    <row r="2212">
      <c r="A2212" s="36">
        <v>2208.0</v>
      </c>
      <c r="B2212" s="37" t="s">
        <v>2667</v>
      </c>
      <c r="C2212" s="37" t="s">
        <v>2777</v>
      </c>
      <c r="D2212" s="37" t="s">
        <v>13</v>
      </c>
      <c r="E2212" s="37">
        <v>2.1395683E7</v>
      </c>
      <c r="F2212" s="37" t="s">
        <v>13</v>
      </c>
      <c r="G2212" s="37" t="s">
        <v>2681</v>
      </c>
      <c r="H2212" s="37" t="s">
        <v>13</v>
      </c>
      <c r="I2212" s="4"/>
    </row>
    <row r="2213">
      <c r="A2213" s="36">
        <v>2209.0</v>
      </c>
      <c r="B2213" s="37" t="s">
        <v>2667</v>
      </c>
      <c r="C2213" s="37" t="s">
        <v>2778</v>
      </c>
      <c r="D2213" s="37">
        <v>22.0</v>
      </c>
      <c r="E2213" s="37" t="s">
        <v>13</v>
      </c>
      <c r="F2213" s="37" t="s">
        <v>13</v>
      </c>
      <c r="G2213" s="37" t="s">
        <v>13</v>
      </c>
      <c r="H2213" s="37" t="s">
        <v>2779</v>
      </c>
      <c r="I2213" s="4"/>
    </row>
    <row r="2214">
      <c r="A2214" s="36">
        <v>2210.0</v>
      </c>
      <c r="B2214" s="37" t="s">
        <v>2667</v>
      </c>
      <c r="C2214" s="37" t="s">
        <v>2780</v>
      </c>
      <c r="D2214" s="37" t="s">
        <v>13</v>
      </c>
      <c r="E2214" s="37">
        <v>3.0527436E7</v>
      </c>
      <c r="F2214" s="37" t="s">
        <v>13</v>
      </c>
      <c r="G2214" s="37" t="s">
        <v>13</v>
      </c>
      <c r="H2214" s="37" t="s">
        <v>13</v>
      </c>
      <c r="I2214" s="4"/>
    </row>
    <row r="2215">
      <c r="A2215" s="36">
        <v>2211.0</v>
      </c>
      <c r="B2215" s="37" t="s">
        <v>2667</v>
      </c>
      <c r="C2215" s="37" t="s">
        <v>2781</v>
      </c>
      <c r="D2215" s="37" t="s">
        <v>13</v>
      </c>
      <c r="E2215" s="37" t="s">
        <v>13</v>
      </c>
      <c r="F2215" s="37" t="s">
        <v>13</v>
      </c>
      <c r="G2215" s="37" t="s">
        <v>2681</v>
      </c>
      <c r="H2215" s="37" t="s">
        <v>13</v>
      </c>
      <c r="I2215" s="4"/>
    </row>
    <row r="2216">
      <c r="A2216" s="36">
        <v>2212.0</v>
      </c>
      <c r="B2216" s="37" t="s">
        <v>2667</v>
      </c>
      <c r="C2216" s="37" t="s">
        <v>2782</v>
      </c>
      <c r="D2216" s="37" t="s">
        <v>13</v>
      </c>
      <c r="E2216" s="37" t="s">
        <v>13</v>
      </c>
      <c r="F2216" s="37" t="s">
        <v>13</v>
      </c>
      <c r="G2216" s="37" t="s">
        <v>13</v>
      </c>
      <c r="H2216" s="37" t="s">
        <v>13</v>
      </c>
      <c r="I2216" s="4"/>
    </row>
    <row r="2217">
      <c r="A2217" s="36">
        <v>2213.0</v>
      </c>
      <c r="B2217" s="37" t="s">
        <v>2667</v>
      </c>
      <c r="C2217" s="37" t="s">
        <v>2783</v>
      </c>
      <c r="D2217" s="37" t="s">
        <v>13</v>
      </c>
      <c r="E2217" s="37" t="s">
        <v>14</v>
      </c>
      <c r="F2217" s="37" t="s">
        <v>13</v>
      </c>
      <c r="G2217" s="37" t="s">
        <v>13</v>
      </c>
      <c r="H2217" s="37" t="s">
        <v>15</v>
      </c>
      <c r="I2217" s="4"/>
    </row>
    <row r="2218">
      <c r="A2218" s="36">
        <v>2214.0</v>
      </c>
      <c r="B2218" s="37" t="s">
        <v>2667</v>
      </c>
      <c r="C2218" s="37" t="s">
        <v>2784</v>
      </c>
      <c r="D2218" s="37" t="s">
        <v>13</v>
      </c>
      <c r="E2218" s="37">
        <v>3.29197E8</v>
      </c>
      <c r="F2218" s="37" t="s">
        <v>13</v>
      </c>
      <c r="G2218" s="37" t="s">
        <v>13</v>
      </c>
      <c r="H2218" s="37" t="s">
        <v>13</v>
      </c>
      <c r="I2218" s="4"/>
    </row>
    <row r="2219">
      <c r="A2219" s="36">
        <v>2215.0</v>
      </c>
      <c r="B2219" s="37" t="s">
        <v>2667</v>
      </c>
      <c r="C2219" s="37" t="s">
        <v>2785</v>
      </c>
      <c r="D2219" s="37" t="s">
        <v>13</v>
      </c>
      <c r="E2219" s="37">
        <v>3.29197E7</v>
      </c>
      <c r="F2219" s="37" t="s">
        <v>13</v>
      </c>
      <c r="G2219" s="37" t="s">
        <v>2681</v>
      </c>
      <c r="H2219" s="37" t="s">
        <v>13</v>
      </c>
      <c r="I2219" s="4"/>
    </row>
    <row r="2220">
      <c r="A2220" s="36">
        <v>2216.0</v>
      </c>
      <c r="B2220" s="37" t="s">
        <v>2667</v>
      </c>
      <c r="C2220" s="37" t="s">
        <v>2785</v>
      </c>
      <c r="D2220" s="37" t="s">
        <v>13</v>
      </c>
      <c r="E2220" s="37" t="s">
        <v>13</v>
      </c>
      <c r="F2220" s="37" t="s">
        <v>13</v>
      </c>
      <c r="G2220" s="37" t="s">
        <v>13</v>
      </c>
      <c r="H2220" s="37" t="s">
        <v>13</v>
      </c>
      <c r="I2220" s="4"/>
    </row>
    <row r="2221">
      <c r="A2221" s="36">
        <v>2217.0</v>
      </c>
      <c r="B2221" s="37" t="s">
        <v>2667</v>
      </c>
      <c r="C2221" s="37" t="s">
        <v>2786</v>
      </c>
      <c r="D2221" s="37" t="s">
        <v>13</v>
      </c>
      <c r="E2221" s="37">
        <v>3.1178311E7</v>
      </c>
      <c r="F2221" s="37" t="s">
        <v>13</v>
      </c>
      <c r="G2221" s="37" t="s">
        <v>13</v>
      </c>
      <c r="H2221" s="37" t="s">
        <v>13</v>
      </c>
      <c r="I2221" s="4"/>
    </row>
    <row r="2222">
      <c r="A2222" s="36">
        <v>2218.0</v>
      </c>
      <c r="B2222" s="37" t="s">
        <v>2667</v>
      </c>
      <c r="C2222" s="37" t="s">
        <v>399</v>
      </c>
      <c r="D2222" s="37" t="s">
        <v>13</v>
      </c>
      <c r="E2222" s="37" t="s">
        <v>13</v>
      </c>
      <c r="F2222" s="37" t="s">
        <v>13</v>
      </c>
      <c r="G2222" s="37" t="s">
        <v>13</v>
      </c>
      <c r="H2222" s="37" t="s">
        <v>13</v>
      </c>
      <c r="I2222" s="4"/>
    </row>
    <row r="2223">
      <c r="A2223" s="36">
        <v>2219.0</v>
      </c>
      <c r="B2223" s="37" t="s">
        <v>2667</v>
      </c>
      <c r="C2223" s="37" t="s">
        <v>2787</v>
      </c>
      <c r="D2223" s="37" t="s">
        <v>13</v>
      </c>
      <c r="E2223" s="37" t="s">
        <v>13</v>
      </c>
      <c r="F2223" s="37" t="s">
        <v>13</v>
      </c>
      <c r="G2223" s="37" t="s">
        <v>13</v>
      </c>
      <c r="H2223" s="37" t="s">
        <v>2669</v>
      </c>
      <c r="I2223" s="4"/>
    </row>
    <row r="2224">
      <c r="A2224" s="36">
        <v>2220.0</v>
      </c>
      <c r="B2224" s="37" t="s">
        <v>2667</v>
      </c>
      <c r="C2224" s="37" t="s">
        <v>2788</v>
      </c>
      <c r="D2224" s="37" t="s">
        <v>13</v>
      </c>
      <c r="E2224" s="37">
        <v>3.1426812E7</v>
      </c>
      <c r="F2224" s="37" t="s">
        <v>13</v>
      </c>
      <c r="G2224" s="37" t="s">
        <v>2681</v>
      </c>
      <c r="H2224" s="37" t="s">
        <v>13</v>
      </c>
      <c r="I2224" s="4"/>
    </row>
    <row r="2225">
      <c r="A2225" s="36">
        <v>2221.0</v>
      </c>
      <c r="B2225" s="37" t="s">
        <v>2667</v>
      </c>
      <c r="C2225" s="37" t="s">
        <v>2789</v>
      </c>
      <c r="D2225" s="37" t="s">
        <v>13</v>
      </c>
      <c r="E2225" s="37" t="s">
        <v>13</v>
      </c>
      <c r="F2225" s="37" t="s">
        <v>13</v>
      </c>
      <c r="G2225" s="37" t="s">
        <v>13</v>
      </c>
      <c r="H2225" s="37" t="s">
        <v>13</v>
      </c>
      <c r="I2225" s="4"/>
    </row>
    <row r="2226">
      <c r="A2226" s="36">
        <v>2222.0</v>
      </c>
      <c r="B2226" s="37" t="s">
        <v>2667</v>
      </c>
      <c r="C2226" s="37" t="s">
        <v>92</v>
      </c>
      <c r="D2226" s="37" t="s">
        <v>13</v>
      </c>
      <c r="E2226" s="37">
        <v>1.0482646E7</v>
      </c>
      <c r="F2226" s="37" t="s">
        <v>13</v>
      </c>
      <c r="G2226" s="37" t="s">
        <v>13</v>
      </c>
      <c r="H2226" s="37" t="s">
        <v>13</v>
      </c>
      <c r="I2226" s="4"/>
    </row>
    <row r="2227">
      <c r="A2227" s="36">
        <v>2223.0</v>
      </c>
      <c r="B2227" s="37" t="s">
        <v>2667</v>
      </c>
      <c r="C2227" s="37" t="s">
        <v>2790</v>
      </c>
      <c r="D2227" s="37" t="s">
        <v>13</v>
      </c>
      <c r="E2227" s="37" t="s">
        <v>13</v>
      </c>
      <c r="F2227" s="37" t="s">
        <v>13</v>
      </c>
      <c r="G2227" s="37" t="s">
        <v>13</v>
      </c>
      <c r="H2227" s="37" t="s">
        <v>13</v>
      </c>
      <c r="I2227" s="4"/>
    </row>
    <row r="2228">
      <c r="A2228" s="36">
        <v>2224.0</v>
      </c>
      <c r="B2228" s="37" t="s">
        <v>2667</v>
      </c>
      <c r="C2228" s="37" t="s">
        <v>2790</v>
      </c>
      <c r="D2228" s="37" t="s">
        <v>13</v>
      </c>
      <c r="E2228" s="37">
        <v>1.2950267E7</v>
      </c>
      <c r="F2228" s="37" t="s">
        <v>13</v>
      </c>
      <c r="G2228" s="37" t="s">
        <v>13</v>
      </c>
      <c r="H2228" s="37" t="s">
        <v>13</v>
      </c>
      <c r="I2228" s="4"/>
    </row>
    <row r="2229">
      <c r="A2229" s="36">
        <v>2225.0</v>
      </c>
      <c r="B2229" s="37" t="s">
        <v>2667</v>
      </c>
      <c r="C2229" s="37" t="s">
        <v>2791</v>
      </c>
      <c r="D2229" s="37" t="s">
        <v>13</v>
      </c>
      <c r="E2229" s="37" t="s">
        <v>13</v>
      </c>
      <c r="F2229" s="37" t="s">
        <v>13</v>
      </c>
      <c r="G2229" s="37" t="s">
        <v>13</v>
      </c>
      <c r="H2229" s="37" t="s">
        <v>13</v>
      </c>
      <c r="I2229" s="4"/>
    </row>
    <row r="2230">
      <c r="A2230" s="36">
        <v>2226.0</v>
      </c>
      <c r="B2230" s="37" t="s">
        <v>2667</v>
      </c>
      <c r="C2230" s="37" t="s">
        <v>649</v>
      </c>
      <c r="D2230" s="37">
        <v>61.0</v>
      </c>
      <c r="E2230" s="37" t="s">
        <v>13</v>
      </c>
      <c r="F2230" s="37" t="s">
        <v>13</v>
      </c>
      <c r="G2230" s="37" t="s">
        <v>330</v>
      </c>
      <c r="H2230" s="37" t="s">
        <v>2671</v>
      </c>
      <c r="I2230" s="4"/>
    </row>
    <row r="2231">
      <c r="A2231" s="36">
        <v>2227.0</v>
      </c>
      <c r="B2231" s="37" t="s">
        <v>2667</v>
      </c>
      <c r="C2231" s="37" t="s">
        <v>2792</v>
      </c>
      <c r="D2231" s="37" t="s">
        <v>13</v>
      </c>
      <c r="E2231" s="37">
        <v>3.0527436E8</v>
      </c>
      <c r="F2231" s="37" t="s">
        <v>13</v>
      </c>
      <c r="G2231" s="37" t="s">
        <v>13</v>
      </c>
      <c r="H2231" s="37" t="s">
        <v>13</v>
      </c>
      <c r="I2231" s="4"/>
    </row>
    <row r="2232">
      <c r="A2232" s="36">
        <v>2228.0</v>
      </c>
      <c r="B2232" s="37" t="s">
        <v>2667</v>
      </c>
      <c r="C2232" s="37" t="s">
        <v>2793</v>
      </c>
      <c r="D2232" s="37" t="s">
        <v>13</v>
      </c>
      <c r="E2232" s="37">
        <v>3.0523436E7</v>
      </c>
      <c r="F2232" s="37" t="s">
        <v>13</v>
      </c>
      <c r="G2232" s="37" t="s">
        <v>13</v>
      </c>
      <c r="H2232" s="37" t="s">
        <v>13</v>
      </c>
      <c r="I2232" s="4"/>
    </row>
    <row r="2233">
      <c r="A2233" s="36">
        <v>2229.0</v>
      </c>
      <c r="B2233" s="37" t="s">
        <v>2667</v>
      </c>
      <c r="C2233" s="37" t="s">
        <v>2794</v>
      </c>
      <c r="D2233" s="37" t="s">
        <v>13</v>
      </c>
      <c r="E2233" s="37" t="s">
        <v>13</v>
      </c>
      <c r="F2233" s="37" t="s">
        <v>13</v>
      </c>
      <c r="G2233" s="37" t="s">
        <v>13</v>
      </c>
      <c r="H2233" s="37" t="s">
        <v>13</v>
      </c>
      <c r="I2233" s="4"/>
    </row>
    <row r="2234">
      <c r="A2234" s="36">
        <v>2230.0</v>
      </c>
      <c r="B2234" s="37" t="s">
        <v>2667</v>
      </c>
      <c r="C2234" s="37" t="s">
        <v>2795</v>
      </c>
      <c r="D2234" s="37" t="s">
        <v>13</v>
      </c>
      <c r="E2234" s="37" t="s">
        <v>13</v>
      </c>
      <c r="F2234" s="37" t="s">
        <v>13</v>
      </c>
      <c r="G2234" s="37" t="s">
        <v>13</v>
      </c>
      <c r="H2234" s="37" t="s">
        <v>13</v>
      </c>
      <c r="I2234" s="4"/>
    </row>
    <row r="2235">
      <c r="A2235" s="36">
        <v>2231.0</v>
      </c>
      <c r="B2235" s="37" t="s">
        <v>2667</v>
      </c>
      <c r="C2235" s="37" t="s">
        <v>2796</v>
      </c>
      <c r="D2235" s="37" t="s">
        <v>13</v>
      </c>
      <c r="E2235" s="37" t="s">
        <v>13</v>
      </c>
      <c r="F2235" s="37" t="s">
        <v>13</v>
      </c>
      <c r="G2235" s="37" t="s">
        <v>13</v>
      </c>
      <c r="H2235" s="37" t="s">
        <v>13</v>
      </c>
      <c r="I2235" s="4"/>
    </row>
    <row r="2236">
      <c r="A2236" s="36">
        <v>2232.0</v>
      </c>
      <c r="B2236" s="37" t="s">
        <v>2667</v>
      </c>
      <c r="C2236" s="37" t="s">
        <v>2797</v>
      </c>
      <c r="D2236" s="37" t="s">
        <v>13</v>
      </c>
      <c r="E2236" s="37" t="s">
        <v>13</v>
      </c>
      <c r="F2236" s="37" t="s">
        <v>13</v>
      </c>
      <c r="G2236" s="37" t="s">
        <v>2681</v>
      </c>
      <c r="H2236" s="37" t="s">
        <v>13</v>
      </c>
      <c r="I2236" s="4"/>
    </row>
    <row r="2237">
      <c r="A2237" s="36">
        <v>2233.0</v>
      </c>
      <c r="B2237" s="37" t="s">
        <v>2667</v>
      </c>
      <c r="C2237" s="37" t="s">
        <v>2797</v>
      </c>
      <c r="D2237" s="37" t="s">
        <v>13</v>
      </c>
      <c r="E2237" s="37" t="s">
        <v>13</v>
      </c>
      <c r="F2237" s="37" t="s">
        <v>13</v>
      </c>
      <c r="G2237" s="37" t="s">
        <v>13</v>
      </c>
      <c r="H2237" s="37" t="s">
        <v>13</v>
      </c>
      <c r="I2237" s="4"/>
    </row>
    <row r="2238">
      <c r="A2238" s="36">
        <v>2234.0</v>
      </c>
      <c r="B2238" s="37" t="s">
        <v>2667</v>
      </c>
      <c r="C2238" s="37" t="s">
        <v>2798</v>
      </c>
      <c r="D2238" s="37" t="s">
        <v>13</v>
      </c>
      <c r="E2238" s="37" t="s">
        <v>13</v>
      </c>
      <c r="F2238" s="37" t="s">
        <v>13</v>
      </c>
      <c r="G2238" s="37" t="s">
        <v>13</v>
      </c>
      <c r="H2238" s="37" t="s">
        <v>13</v>
      </c>
      <c r="I2238" s="4"/>
    </row>
    <row r="2239">
      <c r="A2239" s="36">
        <v>2235.0</v>
      </c>
      <c r="B2239" s="37" t="s">
        <v>2667</v>
      </c>
      <c r="C2239" s="37" t="s">
        <v>2799</v>
      </c>
      <c r="D2239" s="37" t="s">
        <v>13</v>
      </c>
      <c r="E2239" s="37">
        <v>3.1383685E7</v>
      </c>
      <c r="F2239" s="37" t="s">
        <v>13</v>
      </c>
      <c r="G2239" s="37" t="s">
        <v>2681</v>
      </c>
      <c r="H2239" s="37" t="s">
        <v>13</v>
      </c>
      <c r="I2239" s="4"/>
    </row>
    <row r="2240">
      <c r="A2240" s="36">
        <v>2236.0</v>
      </c>
      <c r="B2240" s="37" t="s">
        <v>2667</v>
      </c>
      <c r="C2240" s="37" t="s">
        <v>2799</v>
      </c>
      <c r="D2240" s="37" t="s">
        <v>1731</v>
      </c>
      <c r="E2240" s="37">
        <v>3.1383685E8</v>
      </c>
      <c r="F2240" s="37" t="s">
        <v>13</v>
      </c>
      <c r="G2240" s="37" t="s">
        <v>330</v>
      </c>
      <c r="H2240" s="37" t="s">
        <v>1731</v>
      </c>
      <c r="I2240" s="4"/>
    </row>
    <row r="2241">
      <c r="A2241" s="36">
        <v>2237.0</v>
      </c>
      <c r="B2241" s="37" t="s">
        <v>2667</v>
      </c>
      <c r="C2241" s="37" t="s">
        <v>2800</v>
      </c>
      <c r="D2241" s="37" t="s">
        <v>13</v>
      </c>
      <c r="E2241" s="37" t="s">
        <v>13</v>
      </c>
      <c r="F2241" s="37" t="s">
        <v>13</v>
      </c>
      <c r="G2241" s="37" t="s">
        <v>13</v>
      </c>
      <c r="H2241" s="37" t="s">
        <v>13</v>
      </c>
      <c r="I2241" s="4"/>
    </row>
    <row r="2242">
      <c r="A2242" s="36">
        <v>2238.0</v>
      </c>
      <c r="B2242" s="37" t="s">
        <v>2667</v>
      </c>
      <c r="C2242" s="37" t="s">
        <v>2801</v>
      </c>
      <c r="D2242" s="37" t="s">
        <v>13</v>
      </c>
      <c r="E2242" s="37">
        <v>1.1563403E7</v>
      </c>
      <c r="F2242" s="37" t="s">
        <v>13</v>
      </c>
      <c r="G2242" s="37" t="s">
        <v>13</v>
      </c>
      <c r="H2242" s="37" t="s">
        <v>13</v>
      </c>
      <c r="I2242" s="4"/>
    </row>
    <row r="2243">
      <c r="A2243" s="36">
        <v>2239.0</v>
      </c>
      <c r="B2243" s="37" t="s">
        <v>2667</v>
      </c>
      <c r="C2243" s="37" t="s">
        <v>2802</v>
      </c>
      <c r="D2243" s="37">
        <v>26.0</v>
      </c>
      <c r="E2243" s="37">
        <v>2.7439695E7</v>
      </c>
      <c r="F2243" s="37" t="s">
        <v>13</v>
      </c>
      <c r="G2243" s="37" t="s">
        <v>330</v>
      </c>
      <c r="H2243" s="37" t="s">
        <v>2671</v>
      </c>
      <c r="I2243" s="4"/>
    </row>
    <row r="2244">
      <c r="A2244" s="36">
        <v>2240.0</v>
      </c>
      <c r="B2244" s="37" t="s">
        <v>2667</v>
      </c>
      <c r="C2244" s="37" t="s">
        <v>2803</v>
      </c>
      <c r="D2244" s="37" t="s">
        <v>13</v>
      </c>
      <c r="E2244" s="37">
        <v>2765012.0</v>
      </c>
      <c r="F2244" s="37" t="s">
        <v>13</v>
      </c>
      <c r="G2244" s="37" t="s">
        <v>13</v>
      </c>
      <c r="H2244" s="37" t="s">
        <v>13</v>
      </c>
      <c r="I2244" s="4"/>
    </row>
    <row r="2245">
      <c r="A2245" s="36">
        <v>2241.0</v>
      </c>
      <c r="B2245" s="37" t="s">
        <v>2667</v>
      </c>
      <c r="C2245" s="37" t="s">
        <v>2804</v>
      </c>
      <c r="D2245" s="37" t="s">
        <v>13</v>
      </c>
      <c r="E2245" s="37" t="s">
        <v>13</v>
      </c>
      <c r="F2245" s="37" t="s">
        <v>13</v>
      </c>
      <c r="G2245" s="37" t="s">
        <v>13</v>
      </c>
      <c r="H2245" s="37" t="s">
        <v>13</v>
      </c>
      <c r="I2245" s="4"/>
    </row>
    <row r="2246">
      <c r="A2246" s="36">
        <v>2242.0</v>
      </c>
      <c r="B2246" s="37" t="s">
        <v>2667</v>
      </c>
      <c r="C2246" s="37" t="s">
        <v>2804</v>
      </c>
      <c r="D2246" s="37" t="s">
        <v>13</v>
      </c>
      <c r="E2246" s="37">
        <v>1.7710344E8</v>
      </c>
      <c r="F2246" s="37" t="s">
        <v>13</v>
      </c>
      <c r="G2246" s="37" t="s">
        <v>13</v>
      </c>
      <c r="H2246" s="37" t="s">
        <v>13</v>
      </c>
      <c r="I2246" s="4"/>
    </row>
    <row r="2247">
      <c r="A2247" s="36">
        <v>2243.0</v>
      </c>
      <c r="B2247" s="37" t="s">
        <v>2667</v>
      </c>
      <c r="C2247" s="37" t="s">
        <v>2805</v>
      </c>
      <c r="D2247" s="37" t="s">
        <v>13</v>
      </c>
      <c r="E2247" s="37">
        <v>5235870.0</v>
      </c>
      <c r="F2247" s="37" t="s">
        <v>13</v>
      </c>
      <c r="G2247" s="37" t="s">
        <v>13</v>
      </c>
      <c r="H2247" s="37" t="s">
        <v>13</v>
      </c>
      <c r="I2247" s="4"/>
    </row>
    <row r="2248">
      <c r="A2248" s="36">
        <v>2244.0</v>
      </c>
      <c r="B2248" s="37" t="s">
        <v>2667</v>
      </c>
      <c r="C2248" s="37" t="s">
        <v>678</v>
      </c>
      <c r="D2248" s="37">
        <v>44.0</v>
      </c>
      <c r="E2248" s="37">
        <v>1.5448399E7</v>
      </c>
      <c r="F2248" s="37" t="s">
        <v>13</v>
      </c>
      <c r="G2248" s="37" t="s">
        <v>330</v>
      </c>
      <c r="H2248" s="37" t="s">
        <v>2671</v>
      </c>
      <c r="I2248" s="4"/>
    </row>
    <row r="2249">
      <c r="A2249" s="36">
        <v>2245.0</v>
      </c>
      <c r="B2249" s="37" t="s">
        <v>2667</v>
      </c>
      <c r="C2249" s="37" t="s">
        <v>2806</v>
      </c>
      <c r="D2249" s="37" t="s">
        <v>13</v>
      </c>
      <c r="E2249" s="37">
        <v>3.1428812E7</v>
      </c>
      <c r="F2249" s="37" t="s">
        <v>13</v>
      </c>
      <c r="G2249" s="37" t="s">
        <v>2681</v>
      </c>
      <c r="H2249" s="37" t="s">
        <v>13</v>
      </c>
      <c r="I2249" s="4"/>
    </row>
    <row r="2250">
      <c r="A2250" s="36">
        <v>2246.0</v>
      </c>
      <c r="B2250" s="37" t="s">
        <v>2667</v>
      </c>
      <c r="C2250" s="37" t="s">
        <v>2807</v>
      </c>
      <c r="D2250" s="37" t="s">
        <v>13</v>
      </c>
      <c r="E2250" s="37">
        <v>2.0289079E7</v>
      </c>
      <c r="F2250" s="37" t="s">
        <v>13</v>
      </c>
      <c r="G2250" s="37" t="s">
        <v>13</v>
      </c>
      <c r="H2250" s="37" t="s">
        <v>13</v>
      </c>
      <c r="I2250" s="4"/>
    </row>
    <row r="2251">
      <c r="A2251" s="36">
        <v>2247.0</v>
      </c>
      <c r="B2251" s="37" t="s">
        <v>2667</v>
      </c>
      <c r="C2251" s="37" t="s">
        <v>2808</v>
      </c>
      <c r="D2251" s="37" t="s">
        <v>13</v>
      </c>
      <c r="E2251" s="37" t="s">
        <v>13</v>
      </c>
      <c r="F2251" s="37" t="s">
        <v>13</v>
      </c>
      <c r="G2251" s="37" t="s">
        <v>2809</v>
      </c>
      <c r="H2251" s="37" t="s">
        <v>13</v>
      </c>
      <c r="I2251" s="4"/>
    </row>
    <row r="2252">
      <c r="A2252" s="38">
        <v>2248.0</v>
      </c>
      <c r="B2252" s="38" t="s">
        <v>2667</v>
      </c>
      <c r="C2252" s="38" t="s">
        <v>2810</v>
      </c>
      <c r="D2252" s="38" t="s">
        <v>13</v>
      </c>
      <c r="E2252" s="38">
        <v>4817701.0</v>
      </c>
      <c r="F2252" s="38" t="s">
        <v>13</v>
      </c>
      <c r="G2252" s="38" t="s">
        <v>13</v>
      </c>
      <c r="H2252" s="38" t="s">
        <v>13</v>
      </c>
      <c r="I2252" s="4"/>
    </row>
    <row r="2253">
      <c r="A2253" s="38">
        <v>2249.0</v>
      </c>
      <c r="B2253" s="38" t="s">
        <v>2667</v>
      </c>
      <c r="C2253" s="38" t="s">
        <v>2811</v>
      </c>
      <c r="D2253" s="38" t="s">
        <v>13</v>
      </c>
      <c r="E2253" s="38" t="s">
        <v>13</v>
      </c>
      <c r="F2253" s="38" t="s">
        <v>13</v>
      </c>
      <c r="G2253" s="38" t="s">
        <v>13</v>
      </c>
      <c r="H2253" s="38" t="s">
        <v>13</v>
      </c>
      <c r="I2253" s="4"/>
    </row>
    <row r="2254">
      <c r="A2254" s="38">
        <v>2250.0</v>
      </c>
      <c r="B2254" s="38" t="s">
        <v>2667</v>
      </c>
      <c r="C2254" s="38" t="s">
        <v>2812</v>
      </c>
      <c r="D2254" s="38" t="s">
        <v>13</v>
      </c>
      <c r="E2254" s="38" t="s">
        <v>13</v>
      </c>
      <c r="F2254" s="38" t="s">
        <v>13</v>
      </c>
      <c r="G2254" s="38" t="s">
        <v>13</v>
      </c>
      <c r="H2254" s="38" t="s">
        <v>13</v>
      </c>
      <c r="I2254" s="4"/>
    </row>
    <row r="2255">
      <c r="A2255" s="38">
        <v>2251.0</v>
      </c>
      <c r="B2255" s="38" t="s">
        <v>2667</v>
      </c>
      <c r="C2255" s="38" t="s">
        <v>2813</v>
      </c>
      <c r="D2255" s="38">
        <v>55.0</v>
      </c>
      <c r="E2255" s="38" t="s">
        <v>13</v>
      </c>
      <c r="F2255" s="38" t="s">
        <v>13</v>
      </c>
      <c r="G2255" s="38" t="s">
        <v>2814</v>
      </c>
      <c r="H2255" s="38" t="s">
        <v>2671</v>
      </c>
      <c r="I2255" s="4"/>
    </row>
    <row r="2256">
      <c r="A2256" s="38">
        <v>2252.0</v>
      </c>
      <c r="B2256" s="38" t="s">
        <v>2667</v>
      </c>
      <c r="C2256" s="38" t="s">
        <v>2815</v>
      </c>
      <c r="D2256" s="38" t="s">
        <v>13</v>
      </c>
      <c r="E2256" s="38">
        <v>3.0186534E7</v>
      </c>
      <c r="F2256" s="38" t="s">
        <v>13</v>
      </c>
      <c r="G2256" s="38" t="s">
        <v>13</v>
      </c>
      <c r="H2256" s="38" t="s">
        <v>13</v>
      </c>
      <c r="I2256" s="4"/>
    </row>
    <row r="2257">
      <c r="A2257" s="38">
        <v>2253.0</v>
      </c>
      <c r="B2257" s="38" t="s">
        <v>2667</v>
      </c>
      <c r="C2257" s="38" t="s">
        <v>2816</v>
      </c>
      <c r="D2257" s="38" t="s">
        <v>13</v>
      </c>
      <c r="E2257" s="38" t="s">
        <v>13</v>
      </c>
      <c r="F2257" s="38" t="s">
        <v>13</v>
      </c>
      <c r="G2257" s="38" t="s">
        <v>13</v>
      </c>
      <c r="H2257" s="38" t="s">
        <v>13</v>
      </c>
      <c r="I2257" s="4"/>
    </row>
    <row r="2258">
      <c r="A2258" s="38">
        <v>2254.0</v>
      </c>
      <c r="B2258" s="38" t="s">
        <v>2667</v>
      </c>
      <c r="C2258" s="38" t="s">
        <v>2817</v>
      </c>
      <c r="D2258" s="38" t="s">
        <v>13</v>
      </c>
      <c r="E2258" s="38">
        <v>1.1055173E7</v>
      </c>
      <c r="F2258" s="38" t="s">
        <v>13</v>
      </c>
      <c r="G2258" s="38" t="s">
        <v>2681</v>
      </c>
      <c r="H2258" s="38" t="s">
        <v>425</v>
      </c>
      <c r="I2258" s="4"/>
    </row>
    <row r="2259">
      <c r="A2259" s="38">
        <v>2255.0</v>
      </c>
      <c r="B2259" s="38" t="s">
        <v>2667</v>
      </c>
      <c r="C2259" s="38" t="s">
        <v>2818</v>
      </c>
      <c r="D2259" s="38">
        <v>39.0</v>
      </c>
      <c r="E2259" s="38">
        <v>2.0007393E7</v>
      </c>
      <c r="F2259" s="38" t="s">
        <v>13</v>
      </c>
      <c r="G2259" s="38" t="s">
        <v>330</v>
      </c>
      <c r="H2259" s="38" t="s">
        <v>2671</v>
      </c>
      <c r="I2259" s="4"/>
    </row>
    <row r="2260">
      <c r="A2260" s="38">
        <v>2256.0</v>
      </c>
      <c r="B2260" s="38" t="s">
        <v>2667</v>
      </c>
      <c r="C2260" s="38" t="s">
        <v>2819</v>
      </c>
      <c r="D2260" s="38" t="s">
        <v>13</v>
      </c>
      <c r="E2260" s="38">
        <v>2.0558133E7</v>
      </c>
      <c r="F2260" s="38" t="s">
        <v>13</v>
      </c>
      <c r="G2260" s="38" t="s">
        <v>13</v>
      </c>
      <c r="H2260" s="38" t="s">
        <v>13</v>
      </c>
      <c r="I2260" s="4"/>
    </row>
    <row r="2261">
      <c r="A2261" s="38">
        <v>2257.0</v>
      </c>
      <c r="B2261" s="38" t="s">
        <v>2667</v>
      </c>
      <c r="C2261" s="38" t="s">
        <v>2820</v>
      </c>
      <c r="D2261" s="38" t="s">
        <v>13</v>
      </c>
      <c r="E2261" s="38">
        <v>1.2346891E7</v>
      </c>
      <c r="F2261" s="38" t="s">
        <v>13</v>
      </c>
      <c r="G2261" s="38" t="s">
        <v>2821</v>
      </c>
      <c r="H2261" s="38" t="s">
        <v>13</v>
      </c>
      <c r="I2261" s="4"/>
    </row>
    <row r="2262">
      <c r="A2262" s="38">
        <v>2258.0</v>
      </c>
      <c r="B2262" s="38" t="s">
        <v>2667</v>
      </c>
      <c r="C2262" s="38" t="s">
        <v>2822</v>
      </c>
      <c r="D2262" s="38" t="s">
        <v>13</v>
      </c>
      <c r="E2262" s="38">
        <v>1.2500467E7</v>
      </c>
      <c r="F2262" s="38" t="s">
        <v>13</v>
      </c>
      <c r="G2262" s="38" t="s">
        <v>2821</v>
      </c>
      <c r="H2262" s="38" t="s">
        <v>13</v>
      </c>
      <c r="I2262" s="4"/>
    </row>
    <row r="2263">
      <c r="A2263" s="38">
        <v>2259.0</v>
      </c>
      <c r="B2263" s="38" t="s">
        <v>2667</v>
      </c>
      <c r="C2263" s="38" t="s">
        <v>2823</v>
      </c>
      <c r="D2263" s="38" t="s">
        <v>13</v>
      </c>
      <c r="E2263" s="38" t="s">
        <v>13</v>
      </c>
      <c r="F2263" s="38" t="s">
        <v>13</v>
      </c>
      <c r="G2263" s="38" t="s">
        <v>2734</v>
      </c>
      <c r="H2263" s="38" t="s">
        <v>13</v>
      </c>
      <c r="I2263" s="4"/>
    </row>
    <row r="2264">
      <c r="A2264" s="38">
        <v>2260.0</v>
      </c>
      <c r="B2264" s="38" t="s">
        <v>2667</v>
      </c>
      <c r="C2264" s="38" t="s">
        <v>2824</v>
      </c>
      <c r="D2264" s="38" t="s">
        <v>13</v>
      </c>
      <c r="E2264" s="38">
        <v>1.1640596E7</v>
      </c>
      <c r="F2264" s="38" t="s">
        <v>13</v>
      </c>
      <c r="G2264" s="38" t="s">
        <v>2681</v>
      </c>
      <c r="H2264" s="38" t="s">
        <v>13</v>
      </c>
      <c r="I2264" s="4"/>
    </row>
    <row r="2265">
      <c r="A2265" s="38">
        <v>2261.0</v>
      </c>
      <c r="B2265" s="38" t="s">
        <v>2667</v>
      </c>
      <c r="C2265" s="38" t="s">
        <v>2825</v>
      </c>
      <c r="D2265" s="38" t="s">
        <v>13</v>
      </c>
      <c r="E2265" s="38" t="s">
        <v>13</v>
      </c>
      <c r="F2265" s="38" t="s">
        <v>13</v>
      </c>
      <c r="G2265" s="38" t="s">
        <v>13</v>
      </c>
      <c r="H2265" s="38" t="s">
        <v>13</v>
      </c>
      <c r="I2265" s="4"/>
    </row>
    <row r="2266">
      <c r="A2266" s="38">
        <v>2262.0</v>
      </c>
      <c r="B2266" s="38" t="s">
        <v>2667</v>
      </c>
      <c r="C2266" s="38" t="s">
        <v>2826</v>
      </c>
      <c r="D2266" s="38" t="s">
        <v>13</v>
      </c>
      <c r="E2266" s="38">
        <v>1.5967267E7</v>
      </c>
      <c r="F2266" s="38" t="s">
        <v>13</v>
      </c>
      <c r="G2266" s="38" t="s">
        <v>2681</v>
      </c>
      <c r="H2266" s="38" t="s">
        <v>13</v>
      </c>
      <c r="I2266" s="4"/>
    </row>
    <row r="2267">
      <c r="A2267" s="38">
        <v>2263.0</v>
      </c>
      <c r="B2267" s="38" t="s">
        <v>2667</v>
      </c>
      <c r="C2267" s="38" t="s">
        <v>2827</v>
      </c>
      <c r="D2267" s="38" t="s">
        <v>13</v>
      </c>
      <c r="E2267" s="38">
        <v>6086109.0</v>
      </c>
      <c r="F2267" s="38" t="s">
        <v>13</v>
      </c>
      <c r="G2267" s="38" t="s">
        <v>2828</v>
      </c>
      <c r="H2267" s="38" t="s">
        <v>13</v>
      </c>
      <c r="I2267" s="4"/>
    </row>
    <row r="2268">
      <c r="A2268" s="38">
        <v>2264.0</v>
      </c>
      <c r="B2268" s="38" t="s">
        <v>2667</v>
      </c>
      <c r="C2268" s="38" t="s">
        <v>2829</v>
      </c>
      <c r="D2268" s="38" t="s">
        <v>13</v>
      </c>
      <c r="E2268" s="38">
        <v>1.2485868E7</v>
      </c>
      <c r="F2268" s="38" t="s">
        <v>13</v>
      </c>
      <c r="G2268" s="38" t="s">
        <v>2681</v>
      </c>
      <c r="H2268" s="38" t="s">
        <v>13</v>
      </c>
      <c r="I2268" s="4"/>
    </row>
    <row r="2269">
      <c r="A2269" s="38">
        <v>2265.0</v>
      </c>
      <c r="B2269" s="38" t="s">
        <v>2667</v>
      </c>
      <c r="C2269" s="38" t="s">
        <v>2830</v>
      </c>
      <c r="D2269" s="38" t="s">
        <v>13</v>
      </c>
      <c r="E2269" s="38" t="s">
        <v>13</v>
      </c>
      <c r="F2269" s="38" t="s">
        <v>13</v>
      </c>
      <c r="G2269" s="38" t="s">
        <v>13</v>
      </c>
      <c r="H2269" s="38" t="s">
        <v>13</v>
      </c>
      <c r="I2269" s="4"/>
    </row>
    <row r="2270">
      <c r="A2270" s="38">
        <v>2266.0</v>
      </c>
      <c r="B2270" s="38" t="s">
        <v>2667</v>
      </c>
      <c r="C2270" s="38" t="s">
        <v>2831</v>
      </c>
      <c r="D2270" s="38" t="s">
        <v>13</v>
      </c>
      <c r="E2270" s="38">
        <v>2987711.0</v>
      </c>
      <c r="F2270" s="38" t="s">
        <v>13</v>
      </c>
      <c r="G2270" s="38" t="s">
        <v>13</v>
      </c>
      <c r="H2270" s="38" t="s">
        <v>13</v>
      </c>
      <c r="I2270" s="4"/>
    </row>
    <row r="2271">
      <c r="A2271" s="38">
        <v>2267.0</v>
      </c>
      <c r="B2271" s="38" t="s">
        <v>2667</v>
      </c>
      <c r="C2271" s="38" t="s">
        <v>2832</v>
      </c>
      <c r="D2271" s="38" t="s">
        <v>13</v>
      </c>
      <c r="E2271" s="38" t="s">
        <v>13</v>
      </c>
      <c r="F2271" s="38" t="s">
        <v>13</v>
      </c>
      <c r="G2271" s="38" t="s">
        <v>13</v>
      </c>
      <c r="H2271" s="38" t="s">
        <v>13</v>
      </c>
      <c r="I2271" s="4"/>
    </row>
    <row r="2272">
      <c r="A2272" s="38">
        <v>2268.0</v>
      </c>
      <c r="B2272" s="38" t="s">
        <v>2667</v>
      </c>
      <c r="C2272" s="38" t="s">
        <v>2833</v>
      </c>
      <c r="D2272" s="38" t="s">
        <v>13</v>
      </c>
      <c r="E2272" s="38">
        <v>1.9606465E7</v>
      </c>
      <c r="F2272" s="38" t="s">
        <v>13</v>
      </c>
      <c r="G2272" s="38" t="s">
        <v>13</v>
      </c>
      <c r="H2272" s="38" t="s">
        <v>13</v>
      </c>
      <c r="I2272" s="4"/>
    </row>
    <row r="2273">
      <c r="A2273" s="38">
        <v>2269.0</v>
      </c>
      <c r="B2273" s="38" t="s">
        <v>2667</v>
      </c>
      <c r="C2273" s="38" t="s">
        <v>2065</v>
      </c>
      <c r="D2273" s="38" t="s">
        <v>13</v>
      </c>
      <c r="E2273" s="38" t="s">
        <v>13</v>
      </c>
      <c r="F2273" s="38" t="s">
        <v>13</v>
      </c>
      <c r="G2273" s="38" t="s">
        <v>13</v>
      </c>
      <c r="H2273" s="38" t="s">
        <v>13</v>
      </c>
      <c r="I2273" s="4"/>
    </row>
    <row r="2274">
      <c r="A2274" s="38">
        <v>2270.0</v>
      </c>
      <c r="B2274" s="38" t="s">
        <v>2667</v>
      </c>
      <c r="C2274" s="38" t="s">
        <v>2834</v>
      </c>
      <c r="D2274" s="38" t="s">
        <v>13</v>
      </c>
      <c r="E2274" s="38" t="s">
        <v>13</v>
      </c>
      <c r="F2274" s="38" t="s">
        <v>13</v>
      </c>
      <c r="G2274" s="38" t="s">
        <v>13</v>
      </c>
      <c r="H2274" s="38" t="s">
        <v>13</v>
      </c>
      <c r="I2274" s="4"/>
    </row>
    <row r="2275">
      <c r="A2275" s="38">
        <v>2271.0</v>
      </c>
      <c r="B2275" s="38" t="s">
        <v>2667</v>
      </c>
      <c r="C2275" s="38" t="s">
        <v>2835</v>
      </c>
      <c r="D2275" s="38" t="s">
        <v>13</v>
      </c>
      <c r="E2275" s="38" t="s">
        <v>13</v>
      </c>
      <c r="F2275" s="38" t="s">
        <v>13</v>
      </c>
      <c r="G2275" s="38" t="s">
        <v>2681</v>
      </c>
      <c r="H2275" s="38" t="s">
        <v>13</v>
      </c>
      <c r="I2275" s="4"/>
    </row>
    <row r="2276">
      <c r="A2276" s="38">
        <v>2272.0</v>
      </c>
      <c r="B2276" s="38" t="s">
        <v>2667</v>
      </c>
      <c r="C2276" s="38" t="s">
        <v>2835</v>
      </c>
      <c r="D2276" s="38" t="s">
        <v>13</v>
      </c>
      <c r="E2276" s="38" t="s">
        <v>13</v>
      </c>
      <c r="F2276" s="38" t="s">
        <v>13</v>
      </c>
      <c r="G2276" s="38" t="s">
        <v>13</v>
      </c>
      <c r="H2276" s="38" t="s">
        <v>13</v>
      </c>
      <c r="I2276" s="4"/>
    </row>
    <row r="2277">
      <c r="A2277" s="38">
        <v>2273.0</v>
      </c>
      <c r="B2277" s="38" t="s">
        <v>2667</v>
      </c>
      <c r="C2277" s="38" t="s">
        <v>2836</v>
      </c>
      <c r="D2277" s="38" t="s">
        <v>13</v>
      </c>
      <c r="E2277" s="38" t="s">
        <v>13</v>
      </c>
      <c r="F2277" s="38" t="s">
        <v>13</v>
      </c>
      <c r="G2277" s="38" t="s">
        <v>13</v>
      </c>
      <c r="H2277" s="38" t="s">
        <v>13</v>
      </c>
      <c r="I2277" s="4"/>
    </row>
    <row r="2278">
      <c r="A2278" s="38">
        <v>2274.0</v>
      </c>
      <c r="B2278" s="38" t="s">
        <v>2667</v>
      </c>
      <c r="C2278" s="38" t="s">
        <v>2837</v>
      </c>
      <c r="D2278" s="38" t="s">
        <v>13</v>
      </c>
      <c r="E2278" s="38" t="s">
        <v>13</v>
      </c>
      <c r="F2278" s="38" t="s">
        <v>13</v>
      </c>
      <c r="G2278" s="38" t="s">
        <v>13</v>
      </c>
      <c r="H2278" s="38" t="s">
        <v>13</v>
      </c>
      <c r="I2278" s="4"/>
    </row>
    <row r="2279">
      <c r="A2279" s="38">
        <v>2275.0</v>
      </c>
      <c r="B2279" s="38" t="s">
        <v>2667</v>
      </c>
      <c r="C2279" s="38" t="s">
        <v>2838</v>
      </c>
      <c r="D2279" s="38" t="s">
        <v>13</v>
      </c>
      <c r="E2279" s="38">
        <v>1.5164293E7</v>
      </c>
      <c r="F2279" s="38" t="s">
        <v>13</v>
      </c>
      <c r="G2279" s="38" t="s">
        <v>2681</v>
      </c>
      <c r="H2279" s="38" t="s">
        <v>13</v>
      </c>
      <c r="I2279" s="4"/>
    </row>
    <row r="2280">
      <c r="A2280" s="38">
        <v>2276.0</v>
      </c>
      <c r="B2280" s="38" t="s">
        <v>2667</v>
      </c>
      <c r="C2280" s="38" t="s">
        <v>2839</v>
      </c>
      <c r="D2280" s="38" t="s">
        <v>13</v>
      </c>
      <c r="E2280" s="38" t="s">
        <v>13</v>
      </c>
      <c r="F2280" s="38" t="s">
        <v>13</v>
      </c>
      <c r="G2280" s="38" t="s">
        <v>2840</v>
      </c>
      <c r="H2280" s="38" t="s">
        <v>13</v>
      </c>
      <c r="I2280" s="4"/>
    </row>
    <row r="2281">
      <c r="A2281" s="38">
        <v>2277.0</v>
      </c>
      <c r="B2281" s="38" t="s">
        <v>2667</v>
      </c>
      <c r="C2281" s="38" t="s">
        <v>2841</v>
      </c>
      <c r="D2281" s="38" t="s">
        <v>13</v>
      </c>
      <c r="E2281" s="38">
        <v>2.7026323E7</v>
      </c>
      <c r="F2281" s="38" t="s">
        <v>13</v>
      </c>
      <c r="G2281" s="38" t="s">
        <v>2681</v>
      </c>
      <c r="H2281" s="38" t="s">
        <v>13</v>
      </c>
      <c r="I2281" s="4"/>
    </row>
    <row r="2282">
      <c r="A2282" s="38">
        <v>2278.0</v>
      </c>
      <c r="B2282" s="38" t="s">
        <v>2667</v>
      </c>
      <c r="C2282" s="38" t="s">
        <v>2842</v>
      </c>
      <c r="D2282" s="38" t="s">
        <v>13</v>
      </c>
      <c r="E2282" s="38" t="s">
        <v>13</v>
      </c>
      <c r="F2282" s="38" t="s">
        <v>13</v>
      </c>
      <c r="G2282" s="38" t="s">
        <v>2681</v>
      </c>
      <c r="H2282" s="38" t="s">
        <v>13</v>
      </c>
      <c r="I2282" s="4"/>
    </row>
    <row r="2283">
      <c r="A2283" s="38">
        <v>2279.0</v>
      </c>
      <c r="B2283" s="38" t="s">
        <v>2667</v>
      </c>
      <c r="C2283" s="38" t="s">
        <v>2843</v>
      </c>
      <c r="D2283" s="38">
        <v>17.0</v>
      </c>
      <c r="E2283" s="38">
        <v>3.4064183E7</v>
      </c>
      <c r="F2283" s="38" t="s">
        <v>13</v>
      </c>
      <c r="G2283" s="38" t="s">
        <v>330</v>
      </c>
      <c r="H2283" s="38" t="s">
        <v>2671</v>
      </c>
      <c r="I2283" s="4"/>
    </row>
    <row r="2284">
      <c r="A2284" s="38">
        <v>2280.0</v>
      </c>
      <c r="B2284" s="38" t="s">
        <v>2667</v>
      </c>
      <c r="C2284" s="38" t="s">
        <v>2844</v>
      </c>
      <c r="D2284" s="38" t="s">
        <v>13</v>
      </c>
      <c r="E2284" s="38" t="s">
        <v>13</v>
      </c>
      <c r="F2284" s="38" t="s">
        <v>13</v>
      </c>
      <c r="G2284" s="38" t="s">
        <v>13</v>
      </c>
      <c r="H2284" s="38" t="s">
        <v>13</v>
      </c>
      <c r="I2284" s="4"/>
    </row>
    <row r="2285">
      <c r="A2285" s="38">
        <v>2281.0</v>
      </c>
      <c r="B2285" s="38" t="s">
        <v>2667</v>
      </c>
      <c r="C2285" s="38" t="s">
        <v>2845</v>
      </c>
      <c r="D2285" s="38">
        <v>24.0</v>
      </c>
      <c r="E2285" s="38">
        <v>2.8304997E7</v>
      </c>
      <c r="F2285" s="38" t="s">
        <v>13</v>
      </c>
      <c r="G2285" s="38" t="s">
        <v>330</v>
      </c>
      <c r="H2285" s="38" t="s">
        <v>2671</v>
      </c>
      <c r="I2285" s="4"/>
    </row>
    <row r="2286">
      <c r="A2286" s="38">
        <v>2282.0</v>
      </c>
      <c r="B2286" s="38" t="s">
        <v>2667</v>
      </c>
      <c r="C2286" s="38" t="s">
        <v>2846</v>
      </c>
      <c r="D2286" s="38" t="s">
        <v>13</v>
      </c>
      <c r="E2286" s="38" t="s">
        <v>13</v>
      </c>
      <c r="F2286" s="38" t="s">
        <v>13</v>
      </c>
      <c r="G2286" s="38" t="s">
        <v>13</v>
      </c>
      <c r="H2286" s="38" t="s">
        <v>13</v>
      </c>
      <c r="I2286" s="4"/>
    </row>
    <row r="2287">
      <c r="A2287" s="38">
        <v>2283.0</v>
      </c>
      <c r="B2287" s="38" t="s">
        <v>2667</v>
      </c>
      <c r="C2287" s="38" t="s">
        <v>2847</v>
      </c>
      <c r="D2287" s="38" t="s">
        <v>13</v>
      </c>
      <c r="E2287" s="38">
        <v>1.6312925E8</v>
      </c>
      <c r="F2287" s="38" t="s">
        <v>13</v>
      </c>
      <c r="G2287" s="38" t="s">
        <v>13</v>
      </c>
      <c r="H2287" s="38" t="s">
        <v>13</v>
      </c>
      <c r="I2287" s="4"/>
    </row>
    <row r="2288">
      <c r="A2288" s="38">
        <v>2284.0</v>
      </c>
      <c r="B2288" s="38" t="s">
        <v>2667</v>
      </c>
      <c r="C2288" s="38" t="s">
        <v>2848</v>
      </c>
      <c r="D2288" s="38" t="s">
        <v>13</v>
      </c>
      <c r="E2288" s="38" t="s">
        <v>13</v>
      </c>
      <c r="F2288" s="38" t="s">
        <v>13</v>
      </c>
      <c r="G2288" s="38" t="s">
        <v>13</v>
      </c>
      <c r="H2288" s="38" t="s">
        <v>13</v>
      </c>
      <c r="I2288" s="4"/>
    </row>
    <row r="2289">
      <c r="A2289" s="38">
        <v>2285.0</v>
      </c>
      <c r="B2289" s="38" t="s">
        <v>2667</v>
      </c>
      <c r="C2289" s="38" t="s">
        <v>751</v>
      </c>
      <c r="D2289" s="38">
        <v>20.0</v>
      </c>
      <c r="E2289" s="38">
        <v>3.2271433E7</v>
      </c>
      <c r="F2289" s="38" t="s">
        <v>13</v>
      </c>
      <c r="G2289" s="38" t="s">
        <v>330</v>
      </c>
      <c r="H2289" s="38" t="s">
        <v>2671</v>
      </c>
      <c r="I2289" s="4"/>
    </row>
    <row r="2290">
      <c r="A2290" s="38">
        <v>2286.0</v>
      </c>
      <c r="B2290" s="38" t="s">
        <v>2667</v>
      </c>
      <c r="C2290" s="38" t="s">
        <v>2849</v>
      </c>
      <c r="D2290" s="38" t="s">
        <v>13</v>
      </c>
      <c r="E2290" s="38">
        <v>1.972124E7</v>
      </c>
      <c r="F2290" s="38" t="s">
        <v>13</v>
      </c>
      <c r="G2290" s="38" t="s">
        <v>13</v>
      </c>
      <c r="H2290" s="38" t="s">
        <v>13</v>
      </c>
      <c r="I2290" s="4"/>
    </row>
    <row r="2291">
      <c r="A2291" s="38">
        <v>2287.0</v>
      </c>
      <c r="B2291" s="38" t="s">
        <v>2667</v>
      </c>
      <c r="C2291" s="38" t="s">
        <v>2850</v>
      </c>
      <c r="D2291" s="38" t="s">
        <v>13</v>
      </c>
      <c r="E2291" s="38" t="s">
        <v>13</v>
      </c>
      <c r="F2291" s="38" t="s">
        <v>13</v>
      </c>
      <c r="G2291" s="38" t="s">
        <v>13</v>
      </c>
      <c r="H2291" s="38" t="s">
        <v>13</v>
      </c>
      <c r="I2291" s="4"/>
    </row>
    <row r="2292">
      <c r="A2292" s="38">
        <v>2288.0</v>
      </c>
      <c r="B2292" s="38" t="s">
        <v>2667</v>
      </c>
      <c r="C2292" s="38" t="s">
        <v>2851</v>
      </c>
      <c r="D2292" s="38" t="s">
        <v>13</v>
      </c>
      <c r="E2292" s="38" t="s">
        <v>13</v>
      </c>
      <c r="F2292" s="38" t="s">
        <v>13</v>
      </c>
      <c r="G2292" s="38" t="s">
        <v>13</v>
      </c>
      <c r="H2292" s="38" t="s">
        <v>2852</v>
      </c>
      <c r="I2292" s="4"/>
    </row>
    <row r="2293">
      <c r="A2293" s="38">
        <v>2289.0</v>
      </c>
      <c r="B2293" s="38" t="s">
        <v>2667</v>
      </c>
      <c r="C2293" s="38" t="s">
        <v>2853</v>
      </c>
      <c r="D2293" s="38" t="s">
        <v>13</v>
      </c>
      <c r="E2293" s="38">
        <v>6927171.0</v>
      </c>
      <c r="F2293" s="38" t="s">
        <v>13</v>
      </c>
      <c r="G2293" s="38" t="s">
        <v>13</v>
      </c>
      <c r="H2293" s="38" t="s">
        <v>13</v>
      </c>
      <c r="I2293" s="4"/>
    </row>
    <row r="2294">
      <c r="A2294" s="38">
        <v>2290.0</v>
      </c>
      <c r="B2294" s="38" t="s">
        <v>2667</v>
      </c>
      <c r="C2294" s="38" t="s">
        <v>2854</v>
      </c>
      <c r="D2294" s="38"/>
      <c r="E2294" s="38"/>
      <c r="F2294" s="38"/>
      <c r="G2294" s="38"/>
      <c r="H2294" s="38" t="s">
        <v>2669</v>
      </c>
      <c r="I2294" s="4"/>
    </row>
    <row r="2295">
      <c r="A2295" s="38">
        <v>2291.0</v>
      </c>
      <c r="B2295" s="38" t="s">
        <v>2667</v>
      </c>
      <c r="C2295" s="38" t="s">
        <v>2855</v>
      </c>
      <c r="D2295" s="38"/>
      <c r="E2295" s="38" t="s">
        <v>2856</v>
      </c>
      <c r="F2295" s="38"/>
      <c r="G2295" s="38"/>
      <c r="H2295" s="38" t="s">
        <v>15</v>
      </c>
      <c r="I2295" s="4"/>
    </row>
    <row r="2296">
      <c r="A2296" s="38">
        <v>2292.0</v>
      </c>
      <c r="B2296" s="38" t="s">
        <v>2667</v>
      </c>
      <c r="C2296" s="38" t="s">
        <v>2857</v>
      </c>
      <c r="D2296" s="38" t="s">
        <v>13</v>
      </c>
      <c r="E2296" s="38">
        <v>2.64155E7</v>
      </c>
      <c r="F2296" s="38" t="s">
        <v>13</v>
      </c>
      <c r="G2296" s="38" t="s">
        <v>13</v>
      </c>
      <c r="H2296" s="38" t="s">
        <v>13</v>
      </c>
      <c r="I2296" s="4"/>
    </row>
    <row r="2297">
      <c r="A2297" s="38">
        <v>2293.0</v>
      </c>
      <c r="B2297" s="38" t="s">
        <v>2667</v>
      </c>
      <c r="C2297" s="38" t="s">
        <v>2858</v>
      </c>
      <c r="D2297" s="38">
        <v>55.0</v>
      </c>
      <c r="E2297" s="38">
        <v>1.7934645E7</v>
      </c>
      <c r="F2297" s="38" t="s">
        <v>13</v>
      </c>
      <c r="G2297" s="38" t="s">
        <v>330</v>
      </c>
      <c r="H2297" s="38" t="s">
        <v>2671</v>
      </c>
      <c r="I2297" s="4"/>
    </row>
    <row r="2298">
      <c r="A2298" s="38">
        <v>2294.0</v>
      </c>
      <c r="B2298" s="38" t="s">
        <v>2667</v>
      </c>
      <c r="C2298" s="38" t="s">
        <v>2859</v>
      </c>
      <c r="D2298" s="38" t="s">
        <v>13</v>
      </c>
      <c r="E2298" s="38">
        <v>1.3069223E7</v>
      </c>
      <c r="F2298" s="38" t="s">
        <v>13</v>
      </c>
      <c r="G2298" s="38" t="s">
        <v>2860</v>
      </c>
      <c r="H2298" s="38" t="s">
        <v>13</v>
      </c>
      <c r="I2298" s="4"/>
    </row>
    <row r="2299">
      <c r="A2299" s="38">
        <v>2295.0</v>
      </c>
      <c r="B2299" s="38" t="s">
        <v>2667</v>
      </c>
      <c r="C2299" s="38" t="s">
        <v>2859</v>
      </c>
      <c r="D2299" s="38" t="s">
        <v>1731</v>
      </c>
      <c r="E2299" s="38">
        <v>1.3069223E8</v>
      </c>
      <c r="F2299" s="38" t="s">
        <v>13</v>
      </c>
      <c r="G2299" s="38" t="s">
        <v>2861</v>
      </c>
      <c r="H2299" s="38" t="s">
        <v>1731</v>
      </c>
      <c r="I2299" s="4"/>
    </row>
    <row r="2300">
      <c r="A2300" s="38">
        <v>2296.0</v>
      </c>
      <c r="B2300" s="38" t="s">
        <v>2667</v>
      </c>
      <c r="C2300" s="38" t="s">
        <v>2862</v>
      </c>
      <c r="D2300" s="38" t="s">
        <v>13</v>
      </c>
      <c r="E2300" s="38" t="s">
        <v>13</v>
      </c>
      <c r="F2300" s="38" t="s">
        <v>13</v>
      </c>
      <c r="G2300" s="38" t="s">
        <v>13</v>
      </c>
      <c r="H2300" s="38" t="s">
        <v>13</v>
      </c>
      <c r="I2300" s="4"/>
    </row>
    <row r="2301">
      <c r="A2301" s="38">
        <v>2297.0</v>
      </c>
      <c r="B2301" s="38" t="s">
        <v>2667</v>
      </c>
      <c r="C2301" s="38" t="s">
        <v>2863</v>
      </c>
      <c r="D2301" s="38">
        <v>48.0</v>
      </c>
      <c r="E2301" s="38">
        <v>1.4589306E7</v>
      </c>
      <c r="F2301" s="38" t="s">
        <v>13</v>
      </c>
      <c r="G2301" s="38" t="s">
        <v>330</v>
      </c>
      <c r="H2301" s="38" t="s">
        <v>2671</v>
      </c>
      <c r="I2301" s="4"/>
    </row>
    <row r="2302">
      <c r="A2302" s="38">
        <v>2298.0</v>
      </c>
      <c r="B2302" s="38" t="s">
        <v>2667</v>
      </c>
      <c r="C2302" s="38" t="s">
        <v>2864</v>
      </c>
      <c r="D2302" s="38" t="s">
        <v>13</v>
      </c>
      <c r="E2302" s="38">
        <v>1.8465401E7</v>
      </c>
      <c r="F2302" s="38" t="s">
        <v>13</v>
      </c>
      <c r="G2302" s="38" t="s">
        <v>13</v>
      </c>
      <c r="H2302" s="38" t="s">
        <v>13</v>
      </c>
      <c r="I2302" s="4"/>
    </row>
    <row r="2303">
      <c r="A2303" s="38">
        <v>2299.0</v>
      </c>
      <c r="B2303" s="38" t="s">
        <v>2667</v>
      </c>
      <c r="C2303" s="38" t="s">
        <v>2865</v>
      </c>
      <c r="D2303" s="38" t="s">
        <v>13</v>
      </c>
      <c r="E2303" s="38">
        <v>1.8406003E7</v>
      </c>
      <c r="F2303" s="38" t="s">
        <v>13</v>
      </c>
      <c r="G2303" s="38" t="s">
        <v>2681</v>
      </c>
      <c r="H2303" s="38" t="s">
        <v>13</v>
      </c>
      <c r="I2303" s="4"/>
    </row>
    <row r="2304">
      <c r="A2304" s="38">
        <v>2300.0</v>
      </c>
      <c r="B2304" s="38" t="s">
        <v>2667</v>
      </c>
      <c r="C2304" s="38" t="s">
        <v>2866</v>
      </c>
      <c r="D2304" s="38" t="s">
        <v>13</v>
      </c>
      <c r="E2304" s="38" t="s">
        <v>13</v>
      </c>
      <c r="F2304" s="38" t="s">
        <v>13</v>
      </c>
      <c r="G2304" s="38" t="s">
        <v>13</v>
      </c>
      <c r="H2304" s="38" t="s">
        <v>13</v>
      </c>
      <c r="I2304" s="4"/>
    </row>
    <row r="2305">
      <c r="A2305" s="38">
        <v>2301.0</v>
      </c>
      <c r="B2305" s="38" t="s">
        <v>2667</v>
      </c>
      <c r="C2305" s="38" t="s">
        <v>2866</v>
      </c>
      <c r="D2305" s="38" t="s">
        <v>13</v>
      </c>
      <c r="E2305" s="38">
        <v>2.2480906E7</v>
      </c>
      <c r="F2305" s="38" t="s">
        <v>13</v>
      </c>
      <c r="G2305" s="38" t="s">
        <v>13</v>
      </c>
      <c r="H2305" s="38" t="s">
        <v>13</v>
      </c>
      <c r="I2305" s="4"/>
    </row>
    <row r="2306">
      <c r="A2306" s="38">
        <v>2302.0</v>
      </c>
      <c r="B2306" s="38" t="s">
        <v>2667</v>
      </c>
      <c r="C2306" s="38" t="s">
        <v>2867</v>
      </c>
      <c r="D2306" s="38" t="s">
        <v>13</v>
      </c>
      <c r="E2306" s="38">
        <v>1.5164243E7</v>
      </c>
      <c r="F2306" s="38" t="s">
        <v>13</v>
      </c>
      <c r="G2306" s="38" t="s">
        <v>13</v>
      </c>
      <c r="H2306" s="38" t="s">
        <v>13</v>
      </c>
      <c r="I2306" s="4"/>
    </row>
    <row r="2307">
      <c r="A2307" s="38">
        <v>2303.0</v>
      </c>
      <c r="B2307" s="38" t="s">
        <v>2667</v>
      </c>
      <c r="C2307" s="38" t="s">
        <v>2868</v>
      </c>
      <c r="D2307" s="38" t="s">
        <v>13</v>
      </c>
      <c r="E2307" s="38" t="s">
        <v>13</v>
      </c>
      <c r="F2307" s="38" t="s">
        <v>13</v>
      </c>
      <c r="G2307" s="38" t="s">
        <v>13</v>
      </c>
      <c r="H2307" s="38" t="s">
        <v>13</v>
      </c>
      <c r="I2307" s="4"/>
    </row>
    <row r="2308">
      <c r="A2308" s="38">
        <v>2304.0</v>
      </c>
      <c r="B2308" s="38" t="s">
        <v>2667</v>
      </c>
      <c r="C2308" s="38" t="s">
        <v>2869</v>
      </c>
      <c r="D2308" s="38" t="s">
        <v>13</v>
      </c>
      <c r="E2308" s="38">
        <v>2.1015899E7</v>
      </c>
      <c r="F2308" s="38" t="s">
        <v>13</v>
      </c>
      <c r="G2308" s="38" t="s">
        <v>13</v>
      </c>
      <c r="H2308" s="38" t="s">
        <v>13</v>
      </c>
      <c r="I2308" s="4"/>
    </row>
    <row r="2309">
      <c r="A2309" s="38">
        <v>2305.0</v>
      </c>
      <c r="B2309" s="38" t="s">
        <v>2667</v>
      </c>
      <c r="C2309" s="38" t="s">
        <v>2870</v>
      </c>
      <c r="D2309" s="38" t="s">
        <v>13</v>
      </c>
      <c r="E2309" s="38" t="s">
        <v>13</v>
      </c>
      <c r="F2309" s="38" t="s">
        <v>13</v>
      </c>
      <c r="G2309" s="38" t="s">
        <v>2681</v>
      </c>
      <c r="H2309" s="38" t="s">
        <v>13</v>
      </c>
      <c r="I2309" s="4"/>
    </row>
    <row r="2310">
      <c r="A2310" s="38">
        <v>2306.0</v>
      </c>
      <c r="B2310" s="38" t="s">
        <v>2667</v>
      </c>
      <c r="C2310" s="38" t="s">
        <v>2871</v>
      </c>
      <c r="D2310" s="38" t="s">
        <v>13</v>
      </c>
      <c r="E2310" s="38" t="s">
        <v>13</v>
      </c>
      <c r="F2310" s="38" t="s">
        <v>13</v>
      </c>
      <c r="G2310" s="38" t="s">
        <v>13</v>
      </c>
      <c r="H2310" s="38" t="s">
        <v>13</v>
      </c>
      <c r="I2310" s="4"/>
    </row>
    <row r="2311">
      <c r="A2311" s="38">
        <v>2307.0</v>
      </c>
      <c r="B2311" s="38" t="s">
        <v>2667</v>
      </c>
      <c r="C2311" s="38" t="s">
        <v>2872</v>
      </c>
      <c r="D2311" s="38" t="s">
        <v>13</v>
      </c>
      <c r="E2311" s="38" t="s">
        <v>13</v>
      </c>
      <c r="F2311" s="38" t="s">
        <v>13</v>
      </c>
      <c r="G2311" s="38" t="s">
        <v>13</v>
      </c>
      <c r="H2311" s="38" t="s">
        <v>13</v>
      </c>
      <c r="I2311" s="4"/>
    </row>
    <row r="2312">
      <c r="A2312" s="38">
        <v>2308.0</v>
      </c>
      <c r="B2312" s="38" t="s">
        <v>2667</v>
      </c>
      <c r="C2312" s="38" t="s">
        <v>2873</v>
      </c>
      <c r="D2312" s="38" t="s">
        <v>13</v>
      </c>
      <c r="E2312" s="38">
        <v>2.2480306E7</v>
      </c>
      <c r="F2312" s="38" t="s">
        <v>13</v>
      </c>
      <c r="G2312" s="38" t="s">
        <v>2681</v>
      </c>
      <c r="H2312" s="38" t="s">
        <v>13</v>
      </c>
      <c r="I2312" s="4"/>
    </row>
    <row r="2313">
      <c r="A2313" s="38">
        <v>2309.0</v>
      </c>
      <c r="B2313" s="38" t="s">
        <v>2667</v>
      </c>
      <c r="C2313" s="38" t="s">
        <v>2874</v>
      </c>
      <c r="D2313" s="38" t="s">
        <v>13</v>
      </c>
      <c r="E2313" s="38">
        <v>1.5550954E7</v>
      </c>
      <c r="F2313" s="38" t="s">
        <v>13</v>
      </c>
      <c r="G2313" s="38" t="s">
        <v>2681</v>
      </c>
      <c r="H2313" s="38" t="s">
        <v>13</v>
      </c>
      <c r="I2313" s="4"/>
    </row>
    <row r="2314">
      <c r="A2314" s="38">
        <v>2310.0</v>
      </c>
      <c r="B2314" s="38" t="s">
        <v>2667</v>
      </c>
      <c r="C2314" s="38" t="s">
        <v>2875</v>
      </c>
      <c r="D2314" s="38" t="s">
        <v>13</v>
      </c>
      <c r="E2314" s="38">
        <v>8.4555057E7</v>
      </c>
      <c r="F2314" s="38" t="s">
        <v>13</v>
      </c>
      <c r="G2314" s="38" t="s">
        <v>13</v>
      </c>
      <c r="H2314" s="38" t="s">
        <v>13</v>
      </c>
      <c r="I2314" s="4"/>
    </row>
    <row r="2315">
      <c r="A2315" s="38">
        <v>2311.0</v>
      </c>
      <c r="B2315" s="38" t="s">
        <v>2667</v>
      </c>
      <c r="C2315" s="38" t="s">
        <v>2876</v>
      </c>
      <c r="D2315" s="38" t="s">
        <v>13</v>
      </c>
      <c r="E2315" s="38">
        <v>2.2750136E7</v>
      </c>
      <c r="F2315" s="38" t="s">
        <v>13</v>
      </c>
      <c r="G2315" s="38" t="s">
        <v>13</v>
      </c>
      <c r="H2315" s="38" t="s">
        <v>13</v>
      </c>
      <c r="I2315" s="4"/>
    </row>
    <row r="2316">
      <c r="A2316" s="38">
        <v>2312.0</v>
      </c>
      <c r="B2316" s="38" t="s">
        <v>2667</v>
      </c>
      <c r="C2316" s="38" t="s">
        <v>2877</v>
      </c>
      <c r="D2316" s="38" t="s">
        <v>13</v>
      </c>
      <c r="E2316" s="38" t="s">
        <v>13</v>
      </c>
      <c r="F2316" s="38" t="s">
        <v>13</v>
      </c>
      <c r="G2316" s="38" t="s">
        <v>13</v>
      </c>
      <c r="H2316" s="38" t="s">
        <v>13</v>
      </c>
      <c r="I2316" s="4"/>
    </row>
    <row r="2317">
      <c r="A2317" s="38">
        <v>2313.0</v>
      </c>
      <c r="B2317" s="38" t="s">
        <v>2667</v>
      </c>
      <c r="C2317" s="38" t="s">
        <v>2878</v>
      </c>
      <c r="D2317" s="38" t="s">
        <v>13</v>
      </c>
      <c r="E2317" s="38">
        <v>2.3527437E7</v>
      </c>
      <c r="F2317" s="38" t="s">
        <v>13</v>
      </c>
      <c r="G2317" s="38" t="s">
        <v>13</v>
      </c>
      <c r="H2317" s="38" t="s">
        <v>13</v>
      </c>
      <c r="I2317" s="4"/>
    </row>
    <row r="2318">
      <c r="A2318" s="38">
        <v>2314.0</v>
      </c>
      <c r="B2318" s="38" t="s">
        <v>2667</v>
      </c>
      <c r="C2318" s="38" t="s">
        <v>2879</v>
      </c>
      <c r="D2318" s="38" t="s">
        <v>13</v>
      </c>
      <c r="E2318" s="38" t="s">
        <v>13</v>
      </c>
      <c r="F2318" s="38" t="s">
        <v>13</v>
      </c>
      <c r="G2318" s="38" t="s">
        <v>13</v>
      </c>
      <c r="H2318" s="38" t="s">
        <v>13</v>
      </c>
      <c r="I2318" s="4"/>
    </row>
    <row r="2319">
      <c r="A2319" s="38">
        <v>2315.0</v>
      </c>
      <c r="B2319" s="38" t="s">
        <v>2667</v>
      </c>
      <c r="C2319" s="38" t="s">
        <v>793</v>
      </c>
      <c r="D2319" s="38">
        <v>42.0</v>
      </c>
      <c r="E2319" s="38" t="s">
        <v>13</v>
      </c>
      <c r="F2319" s="38" t="s">
        <v>13</v>
      </c>
      <c r="G2319" s="38" t="s">
        <v>13</v>
      </c>
      <c r="H2319" s="38" t="s">
        <v>2671</v>
      </c>
      <c r="I2319" s="4"/>
    </row>
    <row r="2320">
      <c r="A2320" s="38">
        <v>2316.0</v>
      </c>
      <c r="B2320" s="38" t="s">
        <v>2667</v>
      </c>
      <c r="C2320" s="38" t="s">
        <v>803</v>
      </c>
      <c r="D2320" s="38">
        <v>42.0</v>
      </c>
      <c r="E2320" s="38">
        <v>1.8141519E7</v>
      </c>
      <c r="F2320" s="38" t="s">
        <v>13</v>
      </c>
      <c r="G2320" s="38" t="s">
        <v>330</v>
      </c>
      <c r="H2320" s="38" t="s">
        <v>2671</v>
      </c>
      <c r="I2320" s="4"/>
    </row>
    <row r="2321">
      <c r="A2321" s="38">
        <v>2317.0</v>
      </c>
      <c r="B2321" s="38" t="s">
        <v>2667</v>
      </c>
      <c r="C2321" s="38" t="s">
        <v>2880</v>
      </c>
      <c r="D2321" s="38" t="s">
        <v>13</v>
      </c>
      <c r="E2321" s="38" t="s">
        <v>13</v>
      </c>
      <c r="F2321" s="38" t="s">
        <v>13</v>
      </c>
      <c r="G2321" s="38" t="s">
        <v>13</v>
      </c>
      <c r="H2321" s="38" t="s">
        <v>13</v>
      </c>
      <c r="I2321" s="4"/>
    </row>
    <row r="2322">
      <c r="A2322" s="38">
        <v>2318.0</v>
      </c>
      <c r="B2322" s="38" t="s">
        <v>2667</v>
      </c>
      <c r="C2322" s="38" t="s">
        <v>2880</v>
      </c>
      <c r="D2322" s="38" t="s">
        <v>13</v>
      </c>
      <c r="E2322" s="38" t="s">
        <v>13</v>
      </c>
      <c r="F2322" s="38" t="s">
        <v>13</v>
      </c>
      <c r="G2322" s="38" t="s">
        <v>2681</v>
      </c>
      <c r="H2322" s="38" t="s">
        <v>13</v>
      </c>
      <c r="I2322" s="4"/>
    </row>
    <row r="2323">
      <c r="A2323" s="38">
        <v>2319.0</v>
      </c>
      <c r="B2323" s="38" t="s">
        <v>2667</v>
      </c>
      <c r="C2323" s="38" t="s">
        <v>2881</v>
      </c>
      <c r="D2323" s="38">
        <v>4.0</v>
      </c>
      <c r="E2323" s="38" t="s">
        <v>13</v>
      </c>
      <c r="F2323" s="38" t="s">
        <v>13</v>
      </c>
      <c r="G2323" s="38" t="s">
        <v>13</v>
      </c>
      <c r="H2323" s="38" t="s">
        <v>13</v>
      </c>
      <c r="I2323" s="4"/>
    </row>
    <row r="2324">
      <c r="A2324" s="38">
        <v>2320.0</v>
      </c>
      <c r="B2324" s="38" t="s">
        <v>2667</v>
      </c>
      <c r="C2324" s="38" t="s">
        <v>2882</v>
      </c>
      <c r="D2324" s="38" t="s">
        <v>13</v>
      </c>
      <c r="E2324" s="38">
        <v>1.5285857E7</v>
      </c>
      <c r="F2324" s="38" t="s">
        <v>13</v>
      </c>
      <c r="G2324" s="38" t="s">
        <v>13</v>
      </c>
      <c r="H2324" s="38" t="s">
        <v>13</v>
      </c>
      <c r="I2324" s="4"/>
    </row>
    <row r="2325">
      <c r="A2325" s="38">
        <v>2321.0</v>
      </c>
      <c r="B2325" s="38" t="s">
        <v>2667</v>
      </c>
      <c r="C2325" s="38" t="s">
        <v>2883</v>
      </c>
      <c r="D2325" s="38" t="s">
        <v>13</v>
      </c>
      <c r="E2325" s="38" t="s">
        <v>13</v>
      </c>
      <c r="F2325" s="38" t="s">
        <v>13</v>
      </c>
      <c r="G2325" s="38" t="s">
        <v>13</v>
      </c>
      <c r="H2325" s="38" t="s">
        <v>13</v>
      </c>
      <c r="I2325" s="4"/>
    </row>
    <row r="2326">
      <c r="A2326" s="38">
        <v>2322.0</v>
      </c>
      <c r="B2326" s="38" t="s">
        <v>2667</v>
      </c>
      <c r="C2326" s="38" t="s">
        <v>2884</v>
      </c>
      <c r="D2326" s="38" t="s">
        <v>13</v>
      </c>
      <c r="E2326" s="38" t="s">
        <v>13</v>
      </c>
      <c r="F2326" s="38" t="s">
        <v>13</v>
      </c>
      <c r="G2326" s="38" t="s">
        <v>13</v>
      </c>
      <c r="H2326" s="38" t="s">
        <v>13</v>
      </c>
      <c r="I2326" s="4"/>
    </row>
    <row r="2327">
      <c r="A2327" s="38">
        <v>2323.0</v>
      </c>
      <c r="B2327" s="38" t="s">
        <v>2667</v>
      </c>
      <c r="C2327" s="38" t="s">
        <v>2884</v>
      </c>
      <c r="D2327" s="38" t="s">
        <v>13</v>
      </c>
      <c r="E2327" s="38">
        <v>1.8817136E8</v>
      </c>
      <c r="F2327" s="38" t="s">
        <v>13</v>
      </c>
      <c r="G2327" s="38" t="s">
        <v>13</v>
      </c>
      <c r="H2327" s="38" t="s">
        <v>13</v>
      </c>
      <c r="I2327" s="4"/>
    </row>
    <row r="2328">
      <c r="A2328" s="38">
        <v>2324.0</v>
      </c>
      <c r="B2328" s="38" t="s">
        <v>2667</v>
      </c>
      <c r="C2328" s="38" t="s">
        <v>2885</v>
      </c>
      <c r="D2328" s="38" t="s">
        <v>13</v>
      </c>
      <c r="E2328" s="38" t="s">
        <v>13</v>
      </c>
      <c r="F2328" s="38" t="s">
        <v>13</v>
      </c>
      <c r="G2328" s="38" t="s">
        <v>13</v>
      </c>
      <c r="H2328" s="38" t="s">
        <v>13</v>
      </c>
      <c r="I2328" s="4"/>
    </row>
    <row r="2329">
      <c r="A2329" s="38">
        <v>2325.0</v>
      </c>
      <c r="B2329" s="38" t="s">
        <v>2667</v>
      </c>
      <c r="C2329" s="38" t="s">
        <v>2886</v>
      </c>
      <c r="D2329" s="38" t="s">
        <v>1731</v>
      </c>
      <c r="E2329" s="38">
        <v>1.5550954E8</v>
      </c>
      <c r="F2329" s="38" t="s">
        <v>13</v>
      </c>
      <c r="G2329" s="38" t="s">
        <v>330</v>
      </c>
      <c r="H2329" s="38" t="s">
        <v>1731</v>
      </c>
      <c r="I2329" s="4"/>
    </row>
    <row r="2330">
      <c r="A2330" s="38">
        <v>2326.0</v>
      </c>
      <c r="B2330" s="38" t="s">
        <v>2667</v>
      </c>
      <c r="C2330" s="38" t="s">
        <v>2887</v>
      </c>
      <c r="D2330" s="38"/>
      <c r="E2330" s="38"/>
      <c r="F2330" s="38"/>
      <c r="G2330" s="38"/>
      <c r="H2330" s="38" t="s">
        <v>2669</v>
      </c>
      <c r="I2330" s="4"/>
    </row>
    <row r="2331">
      <c r="A2331" s="38">
        <v>2327.0</v>
      </c>
      <c r="B2331" s="38" t="s">
        <v>2667</v>
      </c>
      <c r="C2331" s="38" t="s">
        <v>2888</v>
      </c>
      <c r="D2331" s="38"/>
      <c r="E2331" s="38"/>
      <c r="F2331" s="38"/>
      <c r="G2331" s="38"/>
      <c r="H2331" s="38" t="s">
        <v>2669</v>
      </c>
      <c r="I2331" s="4"/>
    </row>
    <row r="2332">
      <c r="A2332" s="38">
        <v>2328.0</v>
      </c>
      <c r="B2332" s="38" t="s">
        <v>2667</v>
      </c>
      <c r="C2332" s="38" t="s">
        <v>2889</v>
      </c>
      <c r="D2332" s="38" t="s">
        <v>13</v>
      </c>
      <c r="E2332" s="38">
        <v>2.9536123E7</v>
      </c>
      <c r="F2332" s="38" t="s">
        <v>13</v>
      </c>
      <c r="G2332" s="38" t="s">
        <v>2681</v>
      </c>
      <c r="H2332" s="38" t="s">
        <v>13</v>
      </c>
      <c r="I2332" s="4"/>
    </row>
    <row r="2333">
      <c r="A2333" s="38">
        <v>2329.0</v>
      </c>
      <c r="B2333" s="38" t="s">
        <v>2667</v>
      </c>
      <c r="C2333" s="38" t="s">
        <v>2889</v>
      </c>
      <c r="D2333" s="38" t="s">
        <v>13</v>
      </c>
      <c r="E2333" s="38" t="s">
        <v>13</v>
      </c>
      <c r="F2333" s="38" t="s">
        <v>13</v>
      </c>
      <c r="G2333" s="38" t="s">
        <v>13</v>
      </c>
      <c r="H2333" s="38" t="s">
        <v>13</v>
      </c>
      <c r="I2333" s="4"/>
    </row>
    <row r="2334">
      <c r="A2334" s="38">
        <v>2330.0</v>
      </c>
      <c r="B2334" s="38" t="s">
        <v>2667</v>
      </c>
      <c r="C2334" s="38" t="s">
        <v>2889</v>
      </c>
      <c r="D2334" s="38" t="s">
        <v>13</v>
      </c>
      <c r="E2334" s="38">
        <v>2.9536127E8</v>
      </c>
      <c r="F2334" s="38" t="s">
        <v>13</v>
      </c>
      <c r="G2334" s="38" t="s">
        <v>13</v>
      </c>
      <c r="H2334" s="38" t="s">
        <v>13</v>
      </c>
      <c r="I2334" s="4"/>
    </row>
    <row r="2335">
      <c r="A2335" s="38">
        <v>2331.0</v>
      </c>
      <c r="B2335" s="38" t="s">
        <v>2667</v>
      </c>
      <c r="C2335" s="38" t="s">
        <v>2890</v>
      </c>
      <c r="D2335" s="38"/>
      <c r="E2335" s="38"/>
      <c r="F2335" s="38"/>
      <c r="G2335" s="38"/>
      <c r="H2335" s="38" t="s">
        <v>2891</v>
      </c>
      <c r="I2335" s="4"/>
    </row>
    <row r="2336">
      <c r="A2336" s="38">
        <v>2332.0</v>
      </c>
      <c r="B2336" s="38" t="s">
        <v>2667</v>
      </c>
      <c r="C2336" s="38" t="s">
        <v>2892</v>
      </c>
      <c r="D2336" s="38" t="s">
        <v>13</v>
      </c>
      <c r="E2336" s="38">
        <v>2.6045569E7</v>
      </c>
      <c r="F2336" s="38" t="s">
        <v>13</v>
      </c>
      <c r="G2336" s="38" t="s">
        <v>13</v>
      </c>
      <c r="H2336" s="38" t="s">
        <v>13</v>
      </c>
      <c r="I2336" s="4"/>
    </row>
    <row r="2337">
      <c r="A2337" s="38">
        <v>2333.0</v>
      </c>
      <c r="B2337" s="38" t="s">
        <v>2667</v>
      </c>
      <c r="C2337" s="38" t="s">
        <v>2254</v>
      </c>
      <c r="D2337" s="38" t="s">
        <v>13</v>
      </c>
      <c r="E2337" s="38" t="s">
        <v>13</v>
      </c>
      <c r="F2337" s="38" t="s">
        <v>13</v>
      </c>
      <c r="G2337" s="38" t="s">
        <v>13</v>
      </c>
      <c r="H2337" s="38" t="s">
        <v>13</v>
      </c>
      <c r="I2337" s="4"/>
    </row>
    <row r="2338">
      <c r="A2338" s="38">
        <v>2334.0</v>
      </c>
      <c r="B2338" s="38" t="s">
        <v>2667</v>
      </c>
      <c r="C2338" s="38" t="s">
        <v>2893</v>
      </c>
      <c r="D2338" s="38" t="s">
        <v>13</v>
      </c>
      <c r="E2338" s="38" t="s">
        <v>13</v>
      </c>
      <c r="F2338" s="38" t="s">
        <v>13</v>
      </c>
      <c r="G2338" s="38" t="s">
        <v>13</v>
      </c>
      <c r="H2338" s="38" t="s">
        <v>2894</v>
      </c>
      <c r="I2338" s="4"/>
    </row>
    <row r="2339">
      <c r="A2339" s="38">
        <v>2335.0</v>
      </c>
      <c r="B2339" s="38" t="s">
        <v>2667</v>
      </c>
      <c r="C2339" s="38" t="s">
        <v>2893</v>
      </c>
      <c r="D2339" s="38" t="s">
        <v>13</v>
      </c>
      <c r="E2339" s="38" t="s">
        <v>13</v>
      </c>
      <c r="F2339" s="38" t="s">
        <v>13</v>
      </c>
      <c r="G2339" s="38" t="s">
        <v>13</v>
      </c>
      <c r="H2339" s="38" t="s">
        <v>13</v>
      </c>
      <c r="I2339" s="4"/>
    </row>
    <row r="2340">
      <c r="A2340" s="38">
        <v>2336.0</v>
      </c>
      <c r="B2340" s="38" t="s">
        <v>2667</v>
      </c>
      <c r="C2340" s="38" t="s">
        <v>2895</v>
      </c>
      <c r="D2340" s="38" t="s">
        <v>13</v>
      </c>
      <c r="E2340" s="38" t="s">
        <v>13</v>
      </c>
      <c r="F2340" s="38" t="s">
        <v>13</v>
      </c>
      <c r="G2340" s="38" t="s">
        <v>13</v>
      </c>
      <c r="H2340" s="38" t="s">
        <v>13</v>
      </c>
      <c r="I2340" s="4"/>
    </row>
    <row r="2341">
      <c r="A2341" s="38">
        <v>2337.0</v>
      </c>
      <c r="B2341" s="38" t="s">
        <v>2667</v>
      </c>
      <c r="C2341" s="38" t="s">
        <v>2896</v>
      </c>
      <c r="D2341" s="38" t="s">
        <v>13</v>
      </c>
      <c r="E2341" s="38" t="s">
        <v>13</v>
      </c>
      <c r="F2341" s="38" t="s">
        <v>13</v>
      </c>
      <c r="G2341" s="38" t="s">
        <v>13</v>
      </c>
      <c r="H2341" s="38" t="s">
        <v>13</v>
      </c>
      <c r="I2341" s="4"/>
    </row>
    <row r="2342">
      <c r="A2342" s="38">
        <v>2338.0</v>
      </c>
      <c r="B2342" s="38" t="s">
        <v>2667</v>
      </c>
      <c r="C2342" s="38" t="s">
        <v>2897</v>
      </c>
      <c r="D2342" s="38">
        <v>32.0</v>
      </c>
      <c r="E2342" s="38">
        <v>2.5176001E7</v>
      </c>
      <c r="F2342" s="38" t="s">
        <v>13</v>
      </c>
      <c r="G2342" s="38" t="s">
        <v>330</v>
      </c>
      <c r="H2342" s="38" t="s">
        <v>2671</v>
      </c>
      <c r="I2342" s="4"/>
    </row>
    <row r="2343">
      <c r="A2343" s="38">
        <v>2339.0</v>
      </c>
      <c r="B2343" s="38" t="s">
        <v>2667</v>
      </c>
      <c r="C2343" s="38" t="s">
        <v>2898</v>
      </c>
      <c r="D2343" s="38" t="s">
        <v>13</v>
      </c>
      <c r="E2343" s="38" t="s">
        <v>13</v>
      </c>
      <c r="F2343" s="38" t="s">
        <v>13</v>
      </c>
      <c r="G2343" s="38" t="s">
        <v>13</v>
      </c>
      <c r="H2343" s="38" t="s">
        <v>13</v>
      </c>
      <c r="I2343" s="4"/>
    </row>
    <row r="2344">
      <c r="A2344" s="38">
        <v>2340.0</v>
      </c>
      <c r="B2344" s="38" t="s">
        <v>2667</v>
      </c>
      <c r="C2344" s="38" t="s">
        <v>2899</v>
      </c>
      <c r="D2344" s="38" t="s">
        <v>13</v>
      </c>
      <c r="E2344" s="38">
        <v>1.2094993E7</v>
      </c>
      <c r="F2344" s="38" t="s">
        <v>13</v>
      </c>
      <c r="G2344" s="38" t="s">
        <v>2681</v>
      </c>
      <c r="H2344" s="38" t="s">
        <v>13</v>
      </c>
      <c r="I2344" s="4"/>
    </row>
    <row r="2345">
      <c r="A2345" s="38">
        <v>2341.0</v>
      </c>
      <c r="B2345" s="38" t="s">
        <v>2667</v>
      </c>
      <c r="C2345" s="38" t="s">
        <v>2900</v>
      </c>
      <c r="D2345" s="38" t="s">
        <v>13</v>
      </c>
      <c r="E2345" s="38" t="s">
        <v>13</v>
      </c>
      <c r="F2345" s="38" t="s">
        <v>13</v>
      </c>
      <c r="G2345" s="38" t="s">
        <v>13</v>
      </c>
      <c r="H2345" s="38" t="s">
        <v>13</v>
      </c>
      <c r="I2345" s="4"/>
    </row>
    <row r="2346">
      <c r="A2346" s="38">
        <v>2342.0</v>
      </c>
      <c r="B2346" s="38" t="s">
        <v>2667</v>
      </c>
      <c r="C2346" s="38" t="s">
        <v>2900</v>
      </c>
      <c r="D2346" s="38" t="s">
        <v>13</v>
      </c>
      <c r="E2346" s="38" t="s">
        <v>13</v>
      </c>
      <c r="F2346" s="38" t="s">
        <v>13</v>
      </c>
      <c r="G2346" s="38" t="s">
        <v>2681</v>
      </c>
      <c r="H2346" s="38" t="s">
        <v>2901</v>
      </c>
      <c r="I2346" s="4"/>
    </row>
    <row r="2347">
      <c r="A2347" s="38">
        <v>2343.0</v>
      </c>
      <c r="B2347" s="38" t="s">
        <v>2667</v>
      </c>
      <c r="C2347" s="38" t="s">
        <v>2902</v>
      </c>
      <c r="D2347" s="38" t="s">
        <v>13</v>
      </c>
      <c r="E2347" s="38" t="s">
        <v>13</v>
      </c>
      <c r="F2347" s="38" t="s">
        <v>13</v>
      </c>
      <c r="G2347" s="38" t="s">
        <v>13</v>
      </c>
      <c r="H2347" s="38" t="s">
        <v>13</v>
      </c>
      <c r="I2347" s="4"/>
    </row>
    <row r="2348">
      <c r="A2348" s="38">
        <v>2344.0</v>
      </c>
      <c r="B2348" s="38" t="s">
        <v>2667</v>
      </c>
      <c r="C2348" s="38" t="s">
        <v>2903</v>
      </c>
      <c r="D2348" s="38">
        <v>47.0</v>
      </c>
      <c r="E2348" s="38">
        <v>1.3357989E7</v>
      </c>
      <c r="F2348" s="38" t="s">
        <v>13</v>
      </c>
      <c r="G2348" s="38" t="s">
        <v>330</v>
      </c>
      <c r="H2348" s="38" t="s">
        <v>2671</v>
      </c>
      <c r="I2348" s="4"/>
    </row>
    <row r="2349">
      <c r="A2349" s="38">
        <v>2345.0</v>
      </c>
      <c r="B2349" s="38" t="s">
        <v>2667</v>
      </c>
      <c r="C2349" s="38" t="s">
        <v>2904</v>
      </c>
      <c r="D2349" s="38">
        <v>16.0</v>
      </c>
      <c r="E2349" s="38">
        <v>3.328594E7</v>
      </c>
      <c r="F2349" s="38" t="s">
        <v>13</v>
      </c>
      <c r="G2349" s="38" t="s">
        <v>330</v>
      </c>
      <c r="H2349" s="38" t="s">
        <v>2671</v>
      </c>
      <c r="I2349" s="4"/>
    </row>
    <row r="2350">
      <c r="A2350" s="38">
        <v>2346.0</v>
      </c>
      <c r="B2350" s="38" t="s">
        <v>2667</v>
      </c>
      <c r="C2350" s="38" t="s">
        <v>2905</v>
      </c>
      <c r="D2350" s="38">
        <v>7.0</v>
      </c>
      <c r="E2350" s="38">
        <v>2.4208194E7</v>
      </c>
      <c r="F2350" s="38" t="s">
        <v>13</v>
      </c>
      <c r="G2350" s="38" t="s">
        <v>330</v>
      </c>
      <c r="H2350" s="38" t="s">
        <v>2671</v>
      </c>
      <c r="I2350" s="4"/>
    </row>
    <row r="2351">
      <c r="A2351" s="38">
        <v>2347.0</v>
      </c>
      <c r="B2351" s="38" t="s">
        <v>2667</v>
      </c>
      <c r="C2351" s="38" t="s">
        <v>2906</v>
      </c>
      <c r="D2351" s="38" t="s">
        <v>13</v>
      </c>
      <c r="E2351" s="38" t="s">
        <v>13</v>
      </c>
      <c r="F2351" s="38" t="s">
        <v>13</v>
      </c>
      <c r="G2351" s="38" t="s">
        <v>2681</v>
      </c>
      <c r="H2351" s="38" t="s">
        <v>13</v>
      </c>
      <c r="I2351" s="4"/>
    </row>
    <row r="2352">
      <c r="A2352" s="38">
        <v>2348.0</v>
      </c>
      <c r="B2352" s="38" t="s">
        <v>2667</v>
      </c>
      <c r="C2352" s="38" t="s">
        <v>2907</v>
      </c>
      <c r="D2352" s="38" t="s">
        <v>13</v>
      </c>
      <c r="E2352" s="38">
        <v>3.654205E7</v>
      </c>
      <c r="F2352" s="38" t="s">
        <v>13</v>
      </c>
      <c r="G2352" s="38" t="s">
        <v>13</v>
      </c>
      <c r="H2352" s="38" t="s">
        <v>13</v>
      </c>
      <c r="I2352" s="4"/>
    </row>
    <row r="2353">
      <c r="A2353" s="38">
        <v>2349.0</v>
      </c>
      <c r="B2353" s="38" t="s">
        <v>2667</v>
      </c>
      <c r="C2353" s="38" t="s">
        <v>2908</v>
      </c>
      <c r="D2353" s="38">
        <v>21.0</v>
      </c>
      <c r="E2353" s="38">
        <v>2.1204553E7</v>
      </c>
      <c r="F2353" s="38" t="s">
        <v>13</v>
      </c>
      <c r="G2353" s="38" t="s">
        <v>330</v>
      </c>
      <c r="H2353" s="38" t="s">
        <v>2671</v>
      </c>
      <c r="I2353" s="4"/>
    </row>
    <row r="2354">
      <c r="A2354" s="38">
        <v>2350.0</v>
      </c>
      <c r="B2354" s="38" t="s">
        <v>2667</v>
      </c>
      <c r="C2354" s="38" t="s">
        <v>2909</v>
      </c>
      <c r="D2354" s="38">
        <v>28.0</v>
      </c>
      <c r="E2354" s="38">
        <v>2.5969769E7</v>
      </c>
      <c r="F2354" s="38" t="s">
        <v>13</v>
      </c>
      <c r="G2354" s="38" t="s">
        <v>330</v>
      </c>
      <c r="H2354" s="38" t="s">
        <v>2671</v>
      </c>
      <c r="I2354" s="4"/>
    </row>
    <row r="2355">
      <c r="A2355" s="38">
        <v>2351.0</v>
      </c>
      <c r="B2355" s="38" t="s">
        <v>2667</v>
      </c>
      <c r="C2355" s="38" t="s">
        <v>2910</v>
      </c>
      <c r="D2355" s="38" t="s">
        <v>13</v>
      </c>
      <c r="E2355" s="38" t="s">
        <v>13</v>
      </c>
      <c r="F2355" s="38" t="s">
        <v>13</v>
      </c>
      <c r="G2355" s="38" t="s">
        <v>13</v>
      </c>
      <c r="H2355" s="38" t="s">
        <v>13</v>
      </c>
      <c r="I2355" s="4"/>
    </row>
    <row r="2356">
      <c r="A2356" s="38">
        <v>2352.0</v>
      </c>
      <c r="B2356" s="38" t="s">
        <v>2667</v>
      </c>
      <c r="C2356" s="38" t="s">
        <v>2911</v>
      </c>
      <c r="D2356" s="38" t="s">
        <v>13</v>
      </c>
      <c r="E2356" s="38">
        <v>6124045.0</v>
      </c>
      <c r="F2356" s="38" t="s">
        <v>13</v>
      </c>
      <c r="G2356" s="38" t="s">
        <v>13</v>
      </c>
      <c r="H2356" s="38" t="s">
        <v>13</v>
      </c>
      <c r="I2356" s="4"/>
    </row>
    <row r="2357">
      <c r="A2357" s="38">
        <v>2353.0</v>
      </c>
      <c r="B2357" s="38" t="s">
        <v>2667</v>
      </c>
      <c r="C2357" s="38" t="s">
        <v>2912</v>
      </c>
      <c r="D2357" s="38">
        <v>82.0</v>
      </c>
      <c r="E2357" s="38">
        <v>5607377.0</v>
      </c>
      <c r="F2357" s="38" t="s">
        <v>13</v>
      </c>
      <c r="G2357" s="38" t="s">
        <v>330</v>
      </c>
      <c r="H2357" s="38" t="s">
        <v>2671</v>
      </c>
      <c r="I2357" s="4"/>
    </row>
    <row r="2358">
      <c r="A2358" s="38">
        <v>2354.0</v>
      </c>
      <c r="B2358" s="38" t="s">
        <v>2667</v>
      </c>
      <c r="C2358" s="38" t="s">
        <v>2913</v>
      </c>
      <c r="D2358" s="38" t="s">
        <v>13</v>
      </c>
      <c r="E2358" s="38" t="s">
        <v>13</v>
      </c>
      <c r="F2358" s="38" t="s">
        <v>13</v>
      </c>
      <c r="G2358" s="38" t="s">
        <v>13</v>
      </c>
      <c r="H2358" s="38" t="s">
        <v>13</v>
      </c>
      <c r="I2358" s="4"/>
    </row>
    <row r="2359">
      <c r="A2359" s="38">
        <v>2355.0</v>
      </c>
      <c r="B2359" s="38" t="s">
        <v>2667</v>
      </c>
      <c r="C2359" s="38" t="s">
        <v>2914</v>
      </c>
      <c r="D2359" s="38" t="s">
        <v>13</v>
      </c>
      <c r="E2359" s="38">
        <v>5521210.0</v>
      </c>
      <c r="F2359" s="38" t="s">
        <v>13</v>
      </c>
      <c r="G2359" s="38" t="s">
        <v>13</v>
      </c>
      <c r="H2359" s="38" t="s">
        <v>13</v>
      </c>
      <c r="I2359" s="4"/>
    </row>
    <row r="2360">
      <c r="A2360" s="38">
        <v>2356.0</v>
      </c>
      <c r="B2360" s="38" t="s">
        <v>2667</v>
      </c>
      <c r="C2360" s="38" t="s">
        <v>2915</v>
      </c>
      <c r="D2360" s="38" t="s">
        <v>13</v>
      </c>
      <c r="E2360" s="38">
        <v>2.0303407E7</v>
      </c>
      <c r="F2360" s="38" t="s">
        <v>13</v>
      </c>
      <c r="G2360" s="38" t="s">
        <v>13</v>
      </c>
      <c r="H2360" s="38" t="s">
        <v>13</v>
      </c>
      <c r="I2360" s="4"/>
    </row>
    <row r="2361">
      <c r="A2361" s="38">
        <v>2357.0</v>
      </c>
      <c r="B2361" s="38" t="s">
        <v>2667</v>
      </c>
      <c r="C2361" s="38" t="s">
        <v>2916</v>
      </c>
      <c r="D2361" s="38" t="s">
        <v>13</v>
      </c>
      <c r="E2361" s="38">
        <v>5005566.0</v>
      </c>
      <c r="F2361" s="38" t="s">
        <v>13</v>
      </c>
      <c r="G2361" s="38" t="s">
        <v>13</v>
      </c>
      <c r="H2361" s="38" t="s">
        <v>13</v>
      </c>
      <c r="I2361" s="4"/>
    </row>
    <row r="2362">
      <c r="A2362" s="38">
        <v>2358.0</v>
      </c>
      <c r="B2362" s="38" t="s">
        <v>2667</v>
      </c>
      <c r="C2362" s="38" t="s">
        <v>2917</v>
      </c>
      <c r="D2362" s="38" t="s">
        <v>13</v>
      </c>
      <c r="E2362" s="38" t="s">
        <v>13</v>
      </c>
      <c r="F2362" s="38" t="s">
        <v>13</v>
      </c>
      <c r="G2362" s="38" t="s">
        <v>13</v>
      </c>
      <c r="H2362" s="38" t="s">
        <v>13</v>
      </c>
      <c r="I2362" s="4"/>
    </row>
    <row r="2363">
      <c r="A2363" s="38">
        <v>2359.0</v>
      </c>
      <c r="B2363" s="38" t="s">
        <v>2667</v>
      </c>
      <c r="C2363" s="38" t="s">
        <v>2918</v>
      </c>
      <c r="D2363" s="38" t="s">
        <v>13</v>
      </c>
      <c r="E2363" s="38">
        <v>2.2022191E7</v>
      </c>
      <c r="F2363" s="38" t="s">
        <v>13</v>
      </c>
      <c r="G2363" s="38" t="s">
        <v>13</v>
      </c>
      <c r="H2363" s="38" t="s">
        <v>13</v>
      </c>
      <c r="I2363" s="4"/>
    </row>
    <row r="2364">
      <c r="A2364" s="38">
        <v>2360.0</v>
      </c>
      <c r="B2364" s="38" t="s">
        <v>2667</v>
      </c>
      <c r="C2364" s="38" t="s">
        <v>2919</v>
      </c>
      <c r="D2364" s="38" t="s">
        <v>13</v>
      </c>
      <c r="E2364" s="38">
        <v>2.6838425E7</v>
      </c>
      <c r="F2364" s="38" t="s">
        <v>13</v>
      </c>
      <c r="G2364" s="38" t="s">
        <v>13</v>
      </c>
      <c r="H2364" s="38" t="s">
        <v>13</v>
      </c>
      <c r="I2364" s="4"/>
    </row>
    <row r="2365">
      <c r="A2365" s="38">
        <v>2361.0</v>
      </c>
      <c r="B2365" s="38" t="s">
        <v>2667</v>
      </c>
      <c r="C2365" s="38" t="s">
        <v>898</v>
      </c>
      <c r="D2365" s="38">
        <v>62.0</v>
      </c>
      <c r="E2365" s="38">
        <v>1.1057636E7</v>
      </c>
      <c r="F2365" s="38" t="s">
        <v>13</v>
      </c>
      <c r="G2365" s="38" t="s">
        <v>330</v>
      </c>
      <c r="H2365" s="38" t="s">
        <v>2671</v>
      </c>
      <c r="I2365" s="4"/>
    </row>
    <row r="2366">
      <c r="A2366" s="38">
        <v>2362.0</v>
      </c>
      <c r="B2366" s="38" t="s">
        <v>2667</v>
      </c>
      <c r="C2366" s="38" t="s">
        <v>2920</v>
      </c>
      <c r="D2366" s="38" t="s">
        <v>13</v>
      </c>
      <c r="E2366" s="38" t="s">
        <v>13</v>
      </c>
      <c r="F2366" s="38" t="s">
        <v>13</v>
      </c>
      <c r="G2366" s="38" t="s">
        <v>13</v>
      </c>
      <c r="H2366" s="38" t="s">
        <v>13</v>
      </c>
      <c r="I2366" s="4"/>
    </row>
    <row r="2367">
      <c r="A2367" s="38">
        <v>2363.0</v>
      </c>
      <c r="B2367" s="38" t="s">
        <v>2667</v>
      </c>
      <c r="C2367" s="38" t="s">
        <v>2921</v>
      </c>
      <c r="D2367" s="38" t="s">
        <v>13</v>
      </c>
      <c r="E2367" s="38">
        <v>6931566.0</v>
      </c>
      <c r="F2367" s="38" t="s">
        <v>13</v>
      </c>
      <c r="G2367" s="38" t="s">
        <v>13</v>
      </c>
      <c r="H2367" s="38" t="s">
        <v>13</v>
      </c>
      <c r="I2367" s="4"/>
    </row>
    <row r="2368">
      <c r="A2368" s="38">
        <v>2364.0</v>
      </c>
      <c r="B2368" s="38" t="s">
        <v>2667</v>
      </c>
      <c r="C2368" s="38" t="s">
        <v>2922</v>
      </c>
      <c r="D2368" s="38" t="s">
        <v>13</v>
      </c>
      <c r="E2368" s="38">
        <v>4110985.0</v>
      </c>
      <c r="F2368" s="38" t="s">
        <v>13</v>
      </c>
      <c r="G2368" s="38" t="s">
        <v>13</v>
      </c>
      <c r="H2368" s="38" t="s">
        <v>13</v>
      </c>
      <c r="I2368" s="4"/>
    </row>
    <row r="2369">
      <c r="A2369" s="38">
        <v>2365.0</v>
      </c>
      <c r="B2369" s="38" t="s">
        <v>2667</v>
      </c>
      <c r="C2369" s="38" t="s">
        <v>2923</v>
      </c>
      <c r="D2369" s="38" t="s">
        <v>13</v>
      </c>
      <c r="E2369" s="38" t="s">
        <v>13</v>
      </c>
      <c r="F2369" s="38" t="s">
        <v>13</v>
      </c>
      <c r="G2369" s="38" t="s">
        <v>13</v>
      </c>
      <c r="H2369" s="38" t="s">
        <v>13</v>
      </c>
      <c r="I2369" s="4"/>
    </row>
    <row r="2370">
      <c r="A2370" s="38">
        <v>2366.0</v>
      </c>
      <c r="B2370" s="38" t="s">
        <v>2667</v>
      </c>
      <c r="C2370" s="38" t="s">
        <v>2924</v>
      </c>
      <c r="D2370" s="38" t="s">
        <v>13</v>
      </c>
      <c r="E2370" s="38">
        <v>2641506.0</v>
      </c>
      <c r="F2370" s="38" t="s">
        <v>13</v>
      </c>
      <c r="G2370" s="38" t="s">
        <v>13</v>
      </c>
      <c r="H2370" s="38" t="s">
        <v>13</v>
      </c>
      <c r="I2370" s="4"/>
    </row>
    <row r="2371">
      <c r="A2371" s="38">
        <v>2367.0</v>
      </c>
      <c r="B2371" s="38" t="s">
        <v>2667</v>
      </c>
      <c r="C2371" s="38" t="s">
        <v>2925</v>
      </c>
      <c r="D2371" s="38" t="s">
        <v>13</v>
      </c>
      <c r="E2371" s="38" t="s">
        <v>13</v>
      </c>
      <c r="F2371" s="38" t="s">
        <v>13</v>
      </c>
      <c r="G2371" s="38" t="s">
        <v>13</v>
      </c>
      <c r="H2371" s="38" t="s">
        <v>13</v>
      </c>
      <c r="I2371" s="4"/>
    </row>
    <row r="2372">
      <c r="A2372" s="38">
        <v>2368.0</v>
      </c>
      <c r="B2372" s="38" t="s">
        <v>2667</v>
      </c>
      <c r="C2372" s="38" t="s">
        <v>2926</v>
      </c>
      <c r="D2372" s="38" t="s">
        <v>13</v>
      </c>
      <c r="E2372" s="38">
        <v>2.0523436E7</v>
      </c>
      <c r="F2372" s="38" t="s">
        <v>13</v>
      </c>
      <c r="G2372" s="38" t="s">
        <v>2681</v>
      </c>
      <c r="H2372" s="38" t="s">
        <v>13</v>
      </c>
      <c r="I2372" s="4"/>
    </row>
    <row r="2373">
      <c r="A2373" s="38">
        <v>2369.0</v>
      </c>
      <c r="B2373" s="38" t="s">
        <v>2667</v>
      </c>
      <c r="C2373" s="38" t="s">
        <v>926</v>
      </c>
      <c r="D2373" s="38">
        <v>2.0</v>
      </c>
      <c r="E2373" s="38">
        <v>3.7441738E7</v>
      </c>
      <c r="F2373" s="38" t="s">
        <v>13</v>
      </c>
      <c r="G2373" s="38" t="s">
        <v>330</v>
      </c>
      <c r="H2373" s="38" t="s">
        <v>2671</v>
      </c>
      <c r="I2373" s="4"/>
    </row>
    <row r="2374">
      <c r="A2374" s="38">
        <v>2370.0</v>
      </c>
      <c r="B2374" s="38" t="s">
        <v>2667</v>
      </c>
      <c r="C2374" s="38" t="s">
        <v>2927</v>
      </c>
      <c r="D2374" s="38" t="s">
        <v>13</v>
      </c>
      <c r="E2374" s="38" t="s">
        <v>13</v>
      </c>
      <c r="F2374" s="38" t="s">
        <v>13</v>
      </c>
      <c r="G2374" s="38" t="s">
        <v>13</v>
      </c>
      <c r="H2374" s="38" t="s">
        <v>2555</v>
      </c>
      <c r="I2374" s="4"/>
    </row>
    <row r="2375">
      <c r="A2375" s="38">
        <v>2371.0</v>
      </c>
      <c r="B2375" s="38" t="s">
        <v>2667</v>
      </c>
      <c r="C2375" s="38" t="s">
        <v>2928</v>
      </c>
      <c r="D2375" s="38" t="s">
        <v>13</v>
      </c>
      <c r="E2375" s="38">
        <v>5604699.0</v>
      </c>
      <c r="F2375" s="38" t="s">
        <v>13</v>
      </c>
      <c r="G2375" s="38" t="s">
        <v>13</v>
      </c>
      <c r="H2375" s="38" t="s">
        <v>13</v>
      </c>
      <c r="I2375" s="4"/>
    </row>
    <row r="2376">
      <c r="A2376" s="38">
        <v>2372.0</v>
      </c>
      <c r="B2376" s="38" t="s">
        <v>2667</v>
      </c>
      <c r="C2376" s="38" t="s">
        <v>2929</v>
      </c>
      <c r="D2376" s="38" t="s">
        <v>13</v>
      </c>
      <c r="E2376" s="38" t="s">
        <v>13</v>
      </c>
      <c r="F2376" s="38" t="s">
        <v>13</v>
      </c>
      <c r="G2376" s="38" t="s">
        <v>13</v>
      </c>
      <c r="H2376" s="38" t="s">
        <v>13</v>
      </c>
      <c r="I2376" s="4"/>
    </row>
    <row r="2377">
      <c r="A2377" s="38">
        <v>2373.0</v>
      </c>
      <c r="B2377" s="38" t="s">
        <v>2667</v>
      </c>
      <c r="C2377" s="38" t="s">
        <v>2930</v>
      </c>
      <c r="D2377" s="38"/>
      <c r="E2377" s="38" t="s">
        <v>14</v>
      </c>
      <c r="F2377" s="38"/>
      <c r="G2377" s="38"/>
      <c r="H2377" s="38" t="s">
        <v>15</v>
      </c>
      <c r="I2377" s="4"/>
    </row>
    <row r="2378">
      <c r="A2378" s="38">
        <v>2374.0</v>
      </c>
      <c r="B2378" s="38" t="s">
        <v>2667</v>
      </c>
      <c r="C2378" s="38" t="s">
        <v>2931</v>
      </c>
      <c r="D2378" s="38" t="s">
        <v>13</v>
      </c>
      <c r="E2378" s="38" t="s">
        <v>13</v>
      </c>
      <c r="F2378" s="38" t="s">
        <v>13</v>
      </c>
      <c r="G2378" s="38" t="s">
        <v>13</v>
      </c>
      <c r="H2378" s="38" t="s">
        <v>13</v>
      </c>
      <c r="I2378" s="4"/>
    </row>
    <row r="2379">
      <c r="A2379" s="38">
        <v>2375.0</v>
      </c>
      <c r="B2379" s="38" t="s">
        <v>2667</v>
      </c>
      <c r="C2379" s="38" t="s">
        <v>2380</v>
      </c>
      <c r="D2379" s="38" t="s">
        <v>13</v>
      </c>
      <c r="E2379" s="38" t="s">
        <v>13</v>
      </c>
      <c r="F2379" s="38" t="s">
        <v>13</v>
      </c>
      <c r="G2379" s="38" t="s">
        <v>13</v>
      </c>
      <c r="H2379" s="38" t="s">
        <v>13</v>
      </c>
      <c r="I2379" s="4"/>
    </row>
    <row r="2380">
      <c r="A2380" s="38">
        <v>2376.0</v>
      </c>
      <c r="B2380" s="38" t="s">
        <v>2667</v>
      </c>
      <c r="C2380" s="38" t="s">
        <v>2380</v>
      </c>
      <c r="D2380" s="38" t="s">
        <v>13</v>
      </c>
      <c r="E2380" s="38">
        <v>2.2026527E8</v>
      </c>
      <c r="F2380" s="38" t="s">
        <v>13</v>
      </c>
      <c r="G2380" s="38" t="s">
        <v>13</v>
      </c>
      <c r="H2380" s="38" t="s">
        <v>13</v>
      </c>
      <c r="I2380" s="4"/>
    </row>
    <row r="2381">
      <c r="A2381" s="38">
        <v>2377.0</v>
      </c>
      <c r="B2381" s="38" t="s">
        <v>2667</v>
      </c>
      <c r="C2381" s="38" t="s">
        <v>2932</v>
      </c>
      <c r="D2381" s="38"/>
      <c r="E2381" s="38"/>
      <c r="F2381" s="38"/>
      <c r="G2381" s="38"/>
      <c r="H2381" s="38" t="s">
        <v>2669</v>
      </c>
      <c r="I2381" s="4"/>
    </row>
    <row r="2382">
      <c r="A2382" s="38">
        <v>2378.0</v>
      </c>
      <c r="B2382" s="38" t="s">
        <v>2667</v>
      </c>
      <c r="C2382" s="38" t="s">
        <v>2933</v>
      </c>
      <c r="D2382" s="38" t="s">
        <v>13</v>
      </c>
      <c r="E2382" s="38" t="s">
        <v>13</v>
      </c>
      <c r="F2382" s="38" t="s">
        <v>13</v>
      </c>
      <c r="G2382" s="38" t="s">
        <v>13</v>
      </c>
      <c r="H2382" s="38" t="s">
        <v>13</v>
      </c>
      <c r="I2382" s="4"/>
    </row>
    <row r="2383">
      <c r="A2383" s="38">
        <v>2379.0</v>
      </c>
      <c r="B2383" s="38" t="s">
        <v>2667</v>
      </c>
      <c r="C2383" s="38" t="s">
        <v>2933</v>
      </c>
      <c r="D2383" s="38" t="s">
        <v>13</v>
      </c>
      <c r="E2383" s="38">
        <v>2.2550086E7</v>
      </c>
      <c r="F2383" s="38" t="s">
        <v>13</v>
      </c>
      <c r="G2383" s="38" t="s">
        <v>2681</v>
      </c>
      <c r="H2383" s="38" t="s">
        <v>13</v>
      </c>
      <c r="I2383" s="4"/>
    </row>
    <row r="2384">
      <c r="A2384" s="38">
        <v>2380.0</v>
      </c>
      <c r="B2384" s="38" t="s">
        <v>2667</v>
      </c>
      <c r="C2384" s="38" t="s">
        <v>2934</v>
      </c>
      <c r="D2384" s="38" t="s">
        <v>1731</v>
      </c>
      <c r="E2384" s="38">
        <v>2.2550086E8</v>
      </c>
      <c r="F2384" s="38" t="s">
        <v>13</v>
      </c>
      <c r="G2384" s="38" t="s">
        <v>330</v>
      </c>
      <c r="H2384" s="38" t="s">
        <v>1731</v>
      </c>
      <c r="I2384" s="4"/>
    </row>
    <row r="2385">
      <c r="A2385" s="38">
        <v>2381.0</v>
      </c>
      <c r="B2385" s="38" t="s">
        <v>2667</v>
      </c>
      <c r="C2385" s="38" t="s">
        <v>2935</v>
      </c>
      <c r="D2385" s="38">
        <v>18.0</v>
      </c>
      <c r="E2385" s="38">
        <v>3.233404E7</v>
      </c>
      <c r="F2385" s="38" t="s">
        <v>13</v>
      </c>
      <c r="G2385" s="38" t="s">
        <v>2936</v>
      </c>
      <c r="H2385" s="38" t="s">
        <v>2671</v>
      </c>
      <c r="I2385" s="4"/>
    </row>
    <row r="2386">
      <c r="A2386" s="38">
        <v>2382.0</v>
      </c>
      <c r="B2386" s="38" t="s">
        <v>2667</v>
      </c>
      <c r="C2386" s="38" t="s">
        <v>945</v>
      </c>
      <c r="D2386" s="38">
        <v>18.0</v>
      </c>
      <c r="E2386" s="38">
        <v>3.233409E7</v>
      </c>
      <c r="F2386" s="38" t="s">
        <v>13</v>
      </c>
      <c r="G2386" s="38" t="s">
        <v>330</v>
      </c>
      <c r="H2386" s="38" t="s">
        <v>2671</v>
      </c>
      <c r="I2386" s="4"/>
    </row>
    <row r="2387">
      <c r="A2387" s="38">
        <v>2383.0</v>
      </c>
      <c r="B2387" s="38" t="s">
        <v>2667</v>
      </c>
      <c r="C2387" s="38" t="s">
        <v>2937</v>
      </c>
      <c r="D2387" s="38">
        <v>14.0</v>
      </c>
      <c r="E2387" s="38">
        <v>1.6705956E7</v>
      </c>
      <c r="F2387" s="38" t="s">
        <v>13</v>
      </c>
      <c r="G2387" s="38" t="s">
        <v>2681</v>
      </c>
      <c r="H2387" s="38" t="s">
        <v>13</v>
      </c>
      <c r="I2387" s="4"/>
    </row>
    <row r="2388">
      <c r="A2388" s="38">
        <v>2384.0</v>
      </c>
      <c r="B2388" s="38" t="s">
        <v>2667</v>
      </c>
      <c r="C2388" s="38" t="s">
        <v>2937</v>
      </c>
      <c r="D2388" s="38" t="s">
        <v>13</v>
      </c>
      <c r="E2388" s="38" t="s">
        <v>13</v>
      </c>
      <c r="F2388" s="38" t="s">
        <v>13</v>
      </c>
      <c r="G2388" s="38" t="s">
        <v>13</v>
      </c>
      <c r="H2388" s="38" t="s">
        <v>13</v>
      </c>
      <c r="I2388" s="4"/>
    </row>
    <row r="2389">
      <c r="A2389" s="38">
        <v>2385.0</v>
      </c>
      <c r="B2389" s="38" t="s">
        <v>2667</v>
      </c>
      <c r="C2389" s="38" t="s">
        <v>2938</v>
      </c>
      <c r="D2389" s="38" t="s">
        <v>1731</v>
      </c>
      <c r="E2389" s="38">
        <v>1.6705956E8</v>
      </c>
      <c r="F2389" s="38" t="s">
        <v>13</v>
      </c>
      <c r="G2389" s="38" t="s">
        <v>330</v>
      </c>
      <c r="H2389" s="38" t="s">
        <v>1731</v>
      </c>
      <c r="I2389" s="4"/>
    </row>
    <row r="2390">
      <c r="A2390" s="38">
        <v>2386.0</v>
      </c>
      <c r="B2390" s="38" t="s">
        <v>2667</v>
      </c>
      <c r="C2390" s="38" t="s">
        <v>2939</v>
      </c>
      <c r="D2390" s="38" t="s">
        <v>13</v>
      </c>
      <c r="E2390" s="38">
        <v>2.0303112E7</v>
      </c>
      <c r="F2390" s="38" t="s">
        <v>13</v>
      </c>
      <c r="G2390" s="38" t="s">
        <v>13</v>
      </c>
      <c r="H2390" s="38" t="s">
        <v>13</v>
      </c>
      <c r="I2390" s="4"/>
    </row>
    <row r="2391">
      <c r="A2391" s="38">
        <v>2387.0</v>
      </c>
      <c r="B2391" s="38" t="s">
        <v>2667</v>
      </c>
      <c r="C2391" s="38" t="s">
        <v>2940</v>
      </c>
      <c r="D2391" s="38" t="s">
        <v>13</v>
      </c>
      <c r="E2391" s="38">
        <v>6207465.0</v>
      </c>
      <c r="F2391" s="38" t="s">
        <v>13</v>
      </c>
      <c r="G2391" s="38" t="s">
        <v>13</v>
      </c>
      <c r="H2391" s="38" t="s">
        <v>13</v>
      </c>
      <c r="I2391" s="4"/>
    </row>
    <row r="2392">
      <c r="A2392" s="38">
        <v>2388.0</v>
      </c>
      <c r="B2392" s="38" t="s">
        <v>2667</v>
      </c>
      <c r="C2392" s="38" t="s">
        <v>2941</v>
      </c>
      <c r="D2392" s="38" t="s">
        <v>13</v>
      </c>
      <c r="E2392" s="38" t="s">
        <v>13</v>
      </c>
      <c r="F2392" s="38" t="s">
        <v>13</v>
      </c>
      <c r="G2392" s="38" t="s">
        <v>13</v>
      </c>
      <c r="H2392" s="38" t="s">
        <v>13</v>
      </c>
      <c r="I2392" s="4"/>
    </row>
    <row r="2393">
      <c r="A2393" s="38">
        <v>2389.0</v>
      </c>
      <c r="B2393" s="38" t="s">
        <v>2667</v>
      </c>
      <c r="C2393" s="38" t="s">
        <v>2942</v>
      </c>
      <c r="D2393" s="38" t="s">
        <v>13</v>
      </c>
      <c r="E2393" s="38">
        <v>2.6373503E7</v>
      </c>
      <c r="F2393" s="38" t="s">
        <v>13</v>
      </c>
      <c r="G2393" s="38" t="s">
        <v>2734</v>
      </c>
      <c r="H2393" s="38" t="s">
        <v>13</v>
      </c>
      <c r="I2393" s="4"/>
    </row>
    <row r="2394">
      <c r="A2394" s="38">
        <v>2390.0</v>
      </c>
      <c r="B2394" s="38" t="s">
        <v>2667</v>
      </c>
      <c r="C2394" s="38" t="s">
        <v>2943</v>
      </c>
      <c r="D2394" s="38" t="s">
        <v>13</v>
      </c>
      <c r="E2394" s="38" t="s">
        <v>13</v>
      </c>
      <c r="F2394" s="38" t="s">
        <v>13</v>
      </c>
      <c r="G2394" s="38" t="s">
        <v>13</v>
      </c>
      <c r="H2394" s="38" t="s">
        <v>13</v>
      </c>
      <c r="I2394" s="4"/>
    </row>
    <row r="2395">
      <c r="A2395" s="38">
        <v>2391.0</v>
      </c>
      <c r="B2395" s="38" t="s">
        <v>2667</v>
      </c>
      <c r="C2395" s="38" t="s">
        <v>2944</v>
      </c>
      <c r="D2395" s="38" t="s">
        <v>13</v>
      </c>
      <c r="E2395" s="38" t="s">
        <v>13</v>
      </c>
      <c r="F2395" s="38" t="s">
        <v>13</v>
      </c>
      <c r="G2395" s="38" t="s">
        <v>13</v>
      </c>
      <c r="H2395" s="38" t="s">
        <v>13</v>
      </c>
      <c r="I2395" s="4"/>
    </row>
    <row r="2396">
      <c r="A2396" s="38">
        <v>2392.0</v>
      </c>
      <c r="B2396" s="38" t="s">
        <v>2667</v>
      </c>
      <c r="C2396" s="38" t="s">
        <v>2944</v>
      </c>
      <c r="D2396" s="38" t="s">
        <v>13</v>
      </c>
      <c r="E2396" s="38">
        <v>799128.0</v>
      </c>
      <c r="F2396" s="38" t="s">
        <v>13</v>
      </c>
      <c r="G2396" s="38" t="s">
        <v>13</v>
      </c>
      <c r="H2396" s="38" t="s">
        <v>13</v>
      </c>
      <c r="I2396" s="4"/>
    </row>
    <row r="2397">
      <c r="A2397" s="38">
        <v>2393.0</v>
      </c>
      <c r="B2397" s="38" t="s">
        <v>2667</v>
      </c>
      <c r="C2397" s="38" t="s">
        <v>2945</v>
      </c>
      <c r="D2397" s="38" t="s">
        <v>13</v>
      </c>
      <c r="E2397" s="38" t="s">
        <v>13</v>
      </c>
      <c r="F2397" s="38" t="s">
        <v>13</v>
      </c>
      <c r="G2397" s="38" t="s">
        <v>13</v>
      </c>
      <c r="H2397" s="38" t="s">
        <v>13</v>
      </c>
      <c r="I2397" s="4"/>
    </row>
    <row r="2398">
      <c r="A2398" s="38">
        <v>2394.0</v>
      </c>
      <c r="B2398" s="38" t="s">
        <v>2667</v>
      </c>
      <c r="C2398" s="38" t="s">
        <v>2946</v>
      </c>
      <c r="D2398" s="38" t="s">
        <v>13</v>
      </c>
      <c r="E2398" s="38">
        <v>5645025.0</v>
      </c>
      <c r="F2398" s="38" t="s">
        <v>13</v>
      </c>
      <c r="G2398" s="38" t="s">
        <v>13</v>
      </c>
      <c r="H2398" s="38" t="s">
        <v>13</v>
      </c>
      <c r="I2398" s="4"/>
    </row>
    <row r="2399">
      <c r="A2399" s="38">
        <v>2395.0</v>
      </c>
      <c r="B2399" s="38" t="s">
        <v>2667</v>
      </c>
      <c r="C2399" s="38" t="s">
        <v>2947</v>
      </c>
      <c r="D2399" s="38" t="s">
        <v>13</v>
      </c>
      <c r="E2399" s="38">
        <v>1.4953283E7</v>
      </c>
      <c r="F2399" s="38" t="s">
        <v>13</v>
      </c>
      <c r="G2399" s="38" t="s">
        <v>2681</v>
      </c>
      <c r="H2399" s="38" t="s">
        <v>13</v>
      </c>
      <c r="I2399" s="4"/>
    </row>
    <row r="2400">
      <c r="A2400" s="38">
        <v>2396.0</v>
      </c>
      <c r="B2400" s="38" t="s">
        <v>2667</v>
      </c>
      <c r="C2400" s="38" t="s">
        <v>2948</v>
      </c>
      <c r="D2400" s="38" t="s">
        <v>13</v>
      </c>
      <c r="E2400" s="38" t="s">
        <v>13</v>
      </c>
      <c r="F2400" s="38" t="s">
        <v>13</v>
      </c>
      <c r="G2400" s="38" t="s">
        <v>13</v>
      </c>
      <c r="H2400" s="38" t="s">
        <v>2688</v>
      </c>
      <c r="I2400" s="4"/>
    </row>
    <row r="2401">
      <c r="A2401" s="38">
        <v>2397.0</v>
      </c>
      <c r="B2401" s="38" t="s">
        <v>2949</v>
      </c>
      <c r="C2401" s="38" t="s">
        <v>2950</v>
      </c>
      <c r="D2401" s="38">
        <v>28.0</v>
      </c>
      <c r="E2401" s="38" t="s">
        <v>2951</v>
      </c>
      <c r="F2401" s="38" t="s">
        <v>13</v>
      </c>
      <c r="G2401" s="38" t="s">
        <v>13</v>
      </c>
      <c r="H2401" s="38" t="s">
        <v>2952</v>
      </c>
      <c r="I2401" s="4"/>
    </row>
    <row r="2402">
      <c r="A2402" s="38">
        <v>2398.0</v>
      </c>
      <c r="B2402" s="38" t="s">
        <v>2949</v>
      </c>
      <c r="C2402" s="38" t="s">
        <v>2953</v>
      </c>
      <c r="D2402" s="38">
        <v>36.0</v>
      </c>
      <c r="E2402" s="38" t="s">
        <v>2954</v>
      </c>
      <c r="F2402" s="38" t="s">
        <v>13</v>
      </c>
      <c r="G2402" s="38" t="s">
        <v>13</v>
      </c>
      <c r="H2402" s="38" t="s">
        <v>2952</v>
      </c>
      <c r="I2402" s="4"/>
    </row>
    <row r="2403">
      <c r="A2403" s="38">
        <v>2399.0</v>
      </c>
      <c r="B2403" s="38" t="s">
        <v>2949</v>
      </c>
      <c r="C2403" s="38" t="s">
        <v>2953</v>
      </c>
      <c r="D2403" s="38">
        <v>36.0</v>
      </c>
      <c r="E2403" s="38">
        <v>2.2036301E8</v>
      </c>
      <c r="F2403" s="38" t="s">
        <v>13</v>
      </c>
      <c r="G2403" s="38" t="s">
        <v>1731</v>
      </c>
      <c r="H2403" s="38" t="s">
        <v>2952</v>
      </c>
      <c r="I2403" s="4"/>
    </row>
    <row r="2404">
      <c r="A2404" s="38">
        <v>2400.0</v>
      </c>
      <c r="B2404" s="38" t="s">
        <v>2949</v>
      </c>
      <c r="C2404" s="38" t="s">
        <v>2955</v>
      </c>
      <c r="D2404" s="38">
        <v>23.0</v>
      </c>
      <c r="E2404" s="38" t="s">
        <v>13</v>
      </c>
      <c r="F2404" s="38" t="s">
        <v>13</v>
      </c>
      <c r="G2404" s="38" t="s">
        <v>13</v>
      </c>
      <c r="H2404" s="38" t="s">
        <v>2956</v>
      </c>
      <c r="I2404" s="4"/>
    </row>
    <row r="2405">
      <c r="A2405" s="38">
        <v>2401.0</v>
      </c>
      <c r="B2405" s="38" t="s">
        <v>2949</v>
      </c>
      <c r="C2405" s="38" t="s">
        <v>2955</v>
      </c>
      <c r="D2405" s="38">
        <v>5.0</v>
      </c>
      <c r="E2405" s="38" t="s">
        <v>13</v>
      </c>
      <c r="F2405" s="38" t="s">
        <v>13</v>
      </c>
      <c r="G2405" s="38" t="s">
        <v>13</v>
      </c>
      <c r="H2405" s="38" t="s">
        <v>2957</v>
      </c>
      <c r="I2405" s="4"/>
    </row>
    <row r="2406">
      <c r="A2406" s="38">
        <v>2402.0</v>
      </c>
      <c r="B2406" s="38" t="s">
        <v>2949</v>
      </c>
      <c r="C2406" s="38" t="s">
        <v>2958</v>
      </c>
      <c r="D2406" s="38">
        <v>45.0</v>
      </c>
      <c r="E2406" s="38" t="s">
        <v>13</v>
      </c>
      <c r="F2406" s="38" t="s">
        <v>13</v>
      </c>
      <c r="G2406" s="38" t="s">
        <v>13</v>
      </c>
      <c r="H2406" s="38" t="s">
        <v>13</v>
      </c>
      <c r="I2406" s="4"/>
    </row>
    <row r="2407">
      <c r="A2407" s="38">
        <v>2403.0</v>
      </c>
      <c r="B2407" s="38" t="s">
        <v>2949</v>
      </c>
      <c r="C2407" s="38" t="s">
        <v>2959</v>
      </c>
      <c r="D2407" s="38">
        <v>39.0</v>
      </c>
      <c r="E2407" s="38">
        <v>1.7443332E8</v>
      </c>
      <c r="F2407" s="38" t="s">
        <v>13</v>
      </c>
      <c r="G2407" s="38" t="s">
        <v>1731</v>
      </c>
      <c r="H2407" s="38" t="s">
        <v>2952</v>
      </c>
      <c r="I2407" s="4"/>
    </row>
    <row r="2408">
      <c r="A2408" s="38">
        <v>2404.0</v>
      </c>
      <c r="B2408" s="38" t="s">
        <v>2949</v>
      </c>
      <c r="C2408" s="38" t="s">
        <v>2959</v>
      </c>
      <c r="D2408" s="38">
        <v>39.0</v>
      </c>
      <c r="E2408" s="38" t="s">
        <v>2960</v>
      </c>
      <c r="F2408" s="38" t="s">
        <v>13</v>
      </c>
      <c r="G2408" s="38" t="s">
        <v>13</v>
      </c>
      <c r="H2408" s="38" t="s">
        <v>2952</v>
      </c>
      <c r="I2408" s="4"/>
    </row>
    <row r="2409">
      <c r="A2409" s="38">
        <v>2405.0</v>
      </c>
      <c r="B2409" s="38" t="s">
        <v>2949</v>
      </c>
      <c r="C2409" s="38" t="s">
        <v>2961</v>
      </c>
      <c r="D2409" s="38">
        <v>45.0</v>
      </c>
      <c r="E2409" s="38" t="s">
        <v>13</v>
      </c>
      <c r="F2409" s="38" t="s">
        <v>13</v>
      </c>
      <c r="G2409" s="38" t="s">
        <v>13</v>
      </c>
      <c r="H2409" s="38" t="s">
        <v>2962</v>
      </c>
      <c r="I2409" s="4"/>
    </row>
    <row r="2410">
      <c r="A2410" s="38">
        <v>2406.0</v>
      </c>
      <c r="B2410" s="38" t="s">
        <v>2949</v>
      </c>
      <c r="C2410" s="38" t="s">
        <v>2963</v>
      </c>
      <c r="D2410" s="38" t="s">
        <v>13</v>
      </c>
      <c r="E2410" s="38" t="s">
        <v>13</v>
      </c>
      <c r="F2410" s="38" t="s">
        <v>13</v>
      </c>
      <c r="G2410" s="38" t="s">
        <v>13</v>
      </c>
      <c r="H2410" s="38" t="s">
        <v>13</v>
      </c>
      <c r="I2410" s="4"/>
    </row>
    <row r="2411">
      <c r="A2411" s="38">
        <v>2407.0</v>
      </c>
      <c r="B2411" s="38" t="s">
        <v>2949</v>
      </c>
      <c r="C2411" s="38" t="s">
        <v>2964</v>
      </c>
      <c r="D2411" s="38">
        <v>21.0</v>
      </c>
      <c r="E2411" s="38">
        <v>3.1995517E8</v>
      </c>
      <c r="F2411" s="38" t="s">
        <v>13</v>
      </c>
      <c r="G2411" s="38" t="s">
        <v>1731</v>
      </c>
      <c r="H2411" s="38" t="s">
        <v>2952</v>
      </c>
      <c r="I2411" s="4"/>
    </row>
    <row r="2412">
      <c r="A2412" s="38">
        <v>2408.0</v>
      </c>
      <c r="B2412" s="38" t="s">
        <v>2949</v>
      </c>
      <c r="C2412" s="38" t="s">
        <v>2965</v>
      </c>
      <c r="D2412" s="38">
        <v>46.0</v>
      </c>
      <c r="E2412" s="38" t="s">
        <v>13</v>
      </c>
      <c r="F2412" s="38" t="s">
        <v>13</v>
      </c>
      <c r="G2412" s="38" t="s">
        <v>2966</v>
      </c>
      <c r="H2412" s="38" t="s">
        <v>13</v>
      </c>
      <c r="I2412" s="4"/>
    </row>
    <row r="2413">
      <c r="A2413" s="38">
        <v>2409.0</v>
      </c>
      <c r="B2413" s="38" t="s">
        <v>2949</v>
      </c>
      <c r="C2413" s="38" t="s">
        <v>2967</v>
      </c>
      <c r="D2413" s="38">
        <v>62.0</v>
      </c>
      <c r="E2413" s="38" t="s">
        <v>13</v>
      </c>
      <c r="F2413" s="38" t="s">
        <v>13</v>
      </c>
      <c r="G2413" s="38" t="s">
        <v>2968</v>
      </c>
      <c r="H2413" s="38" t="s">
        <v>2969</v>
      </c>
      <c r="I2413" s="4"/>
    </row>
    <row r="2414">
      <c r="A2414" s="38">
        <v>2410.0</v>
      </c>
      <c r="B2414" s="38" t="s">
        <v>2949</v>
      </c>
      <c r="C2414" s="38" t="s">
        <v>2970</v>
      </c>
      <c r="D2414" s="38">
        <v>36.0</v>
      </c>
      <c r="E2414" s="38">
        <v>2.2036031E8</v>
      </c>
      <c r="F2414" s="38" t="s">
        <v>13</v>
      </c>
      <c r="G2414" s="38" t="s">
        <v>1731</v>
      </c>
      <c r="H2414" s="38" t="s">
        <v>2952</v>
      </c>
      <c r="I2414" s="4"/>
    </row>
    <row r="2415">
      <c r="A2415" s="38">
        <v>2411.0</v>
      </c>
      <c r="B2415" s="38" t="s">
        <v>2949</v>
      </c>
      <c r="C2415" s="38" t="s">
        <v>2971</v>
      </c>
      <c r="D2415" s="38">
        <v>38.0</v>
      </c>
      <c r="E2415" s="38">
        <v>2.5870399E8</v>
      </c>
      <c r="F2415" s="38" t="s">
        <v>13</v>
      </c>
      <c r="G2415" s="38" t="s">
        <v>330</v>
      </c>
      <c r="H2415" s="38" t="s">
        <v>1731</v>
      </c>
      <c r="I2415" s="4"/>
    </row>
    <row r="2416">
      <c r="A2416" s="38">
        <v>2412.0</v>
      </c>
      <c r="B2416" s="38" t="s">
        <v>2949</v>
      </c>
      <c r="C2416" s="38" t="s">
        <v>2972</v>
      </c>
      <c r="D2416" s="38">
        <v>53.0</v>
      </c>
      <c r="E2416" s="38">
        <v>1.1666062E8</v>
      </c>
      <c r="F2416" s="38" t="s">
        <v>13</v>
      </c>
      <c r="G2416" s="38" t="s">
        <v>1731</v>
      </c>
      <c r="H2416" s="38" t="s">
        <v>2973</v>
      </c>
      <c r="I2416" s="4"/>
    </row>
    <row r="2417">
      <c r="A2417" s="38">
        <v>2413.0</v>
      </c>
      <c r="B2417" s="38" t="s">
        <v>2949</v>
      </c>
      <c r="C2417" s="38" t="s">
        <v>2974</v>
      </c>
      <c r="D2417" s="38">
        <v>65.0</v>
      </c>
      <c r="E2417" s="38">
        <v>6.056892E7</v>
      </c>
      <c r="F2417" s="38" t="s">
        <v>13</v>
      </c>
      <c r="G2417" s="38" t="s">
        <v>1731</v>
      </c>
      <c r="H2417" s="38" t="s">
        <v>2952</v>
      </c>
      <c r="I2417" s="4"/>
    </row>
    <row r="2418">
      <c r="A2418" s="38">
        <v>2414.0</v>
      </c>
      <c r="B2418" s="38" t="s">
        <v>2949</v>
      </c>
      <c r="C2418" s="38" t="s">
        <v>2975</v>
      </c>
      <c r="D2418" s="38">
        <v>49.0</v>
      </c>
      <c r="E2418" s="38">
        <v>1.3571636E8</v>
      </c>
      <c r="F2418" s="38" t="s">
        <v>13</v>
      </c>
      <c r="G2418" s="38" t="s">
        <v>330</v>
      </c>
      <c r="H2418" s="38" t="s">
        <v>1731</v>
      </c>
      <c r="I2418" s="4"/>
    </row>
    <row r="2419">
      <c r="A2419" s="38">
        <v>2415.0</v>
      </c>
      <c r="B2419" s="38" t="s">
        <v>2949</v>
      </c>
      <c r="C2419" s="38" t="s">
        <v>2976</v>
      </c>
      <c r="D2419" s="38">
        <v>33.0</v>
      </c>
      <c r="E2419" s="38" t="s">
        <v>13</v>
      </c>
      <c r="F2419" s="38" t="s">
        <v>13</v>
      </c>
      <c r="G2419" s="38" t="s">
        <v>13</v>
      </c>
      <c r="H2419" s="38" t="s">
        <v>2977</v>
      </c>
      <c r="I2419" s="4"/>
    </row>
    <row r="2420">
      <c r="A2420" s="38">
        <v>2416.0</v>
      </c>
      <c r="B2420" s="38" t="s">
        <v>2949</v>
      </c>
      <c r="C2420" s="38" t="s">
        <v>2978</v>
      </c>
      <c r="D2420" s="38">
        <v>44.0</v>
      </c>
      <c r="E2420" s="38">
        <v>1.2700355E8</v>
      </c>
      <c r="F2420" s="38" t="s">
        <v>13</v>
      </c>
      <c r="G2420" s="38" t="s">
        <v>1731</v>
      </c>
      <c r="H2420" s="38" t="s">
        <v>2952</v>
      </c>
      <c r="I2420" s="4"/>
    </row>
    <row r="2421">
      <c r="A2421" s="38">
        <v>2417.0</v>
      </c>
      <c r="B2421" s="38" t="s">
        <v>2949</v>
      </c>
      <c r="C2421" s="38" t="s">
        <v>2979</v>
      </c>
      <c r="D2421" s="38">
        <v>26.0</v>
      </c>
      <c r="E2421" s="38" t="s">
        <v>13</v>
      </c>
      <c r="F2421" s="38" t="s">
        <v>13</v>
      </c>
      <c r="G2421" s="38" t="s">
        <v>2980</v>
      </c>
      <c r="H2421" s="38" t="s">
        <v>2981</v>
      </c>
      <c r="I2421" s="4"/>
    </row>
    <row r="2422">
      <c r="A2422" s="38">
        <v>2418.0</v>
      </c>
      <c r="B2422" s="38" t="s">
        <v>2949</v>
      </c>
      <c r="C2422" s="38" t="s">
        <v>2982</v>
      </c>
      <c r="D2422" s="38">
        <v>22.0</v>
      </c>
      <c r="E2422" s="38" t="s">
        <v>13</v>
      </c>
      <c r="F2422" s="38" t="s">
        <v>13</v>
      </c>
      <c r="G2422" s="38" t="s">
        <v>13</v>
      </c>
      <c r="H2422" s="38" t="s">
        <v>2983</v>
      </c>
      <c r="I2422" s="4"/>
    </row>
    <row r="2423">
      <c r="A2423" s="38">
        <v>2419.0</v>
      </c>
      <c r="B2423" s="38" t="s">
        <v>2949</v>
      </c>
      <c r="C2423" s="38" t="s">
        <v>2984</v>
      </c>
      <c r="D2423" s="38">
        <v>49.0</v>
      </c>
      <c r="E2423" s="38">
        <v>1.3333359E8</v>
      </c>
      <c r="F2423" s="38" t="s">
        <v>13</v>
      </c>
      <c r="G2423" s="38" t="s">
        <v>1731</v>
      </c>
      <c r="H2423" s="38" t="s">
        <v>2952</v>
      </c>
      <c r="I2423" s="4"/>
    </row>
    <row r="2424">
      <c r="A2424" s="38">
        <v>2420.0</v>
      </c>
      <c r="B2424" s="38" t="s">
        <v>2949</v>
      </c>
      <c r="C2424" s="38" t="s">
        <v>2985</v>
      </c>
      <c r="D2424" s="38">
        <v>15.0</v>
      </c>
      <c r="E2424" s="38" t="s">
        <v>2986</v>
      </c>
      <c r="F2424" s="38" t="s">
        <v>13</v>
      </c>
      <c r="G2424" s="38" t="s">
        <v>13</v>
      </c>
      <c r="H2424" s="38" t="s">
        <v>2987</v>
      </c>
      <c r="I2424" s="4"/>
    </row>
    <row r="2425">
      <c r="A2425" s="38">
        <v>2421.0</v>
      </c>
      <c r="B2425" s="38" t="s">
        <v>2949</v>
      </c>
      <c r="C2425" s="38" t="s">
        <v>302</v>
      </c>
      <c r="D2425" s="38">
        <v>26.0</v>
      </c>
      <c r="E2425" s="38" t="s">
        <v>13</v>
      </c>
      <c r="F2425" s="38" t="s">
        <v>13</v>
      </c>
      <c r="G2425" s="38" t="s">
        <v>13</v>
      </c>
      <c r="H2425" s="38" t="s">
        <v>2988</v>
      </c>
      <c r="I2425" s="4"/>
    </row>
    <row r="2426">
      <c r="A2426" s="38">
        <v>2422.0</v>
      </c>
      <c r="B2426" s="38" t="s">
        <v>2949</v>
      </c>
      <c r="C2426" s="38" t="s">
        <v>2989</v>
      </c>
      <c r="D2426" s="38" t="s">
        <v>13</v>
      </c>
      <c r="E2426" s="38" t="s">
        <v>13</v>
      </c>
      <c r="F2426" s="38" t="s">
        <v>13</v>
      </c>
      <c r="G2426" s="38" t="s">
        <v>13</v>
      </c>
      <c r="H2426" s="38" t="s">
        <v>13</v>
      </c>
      <c r="I2426" s="4"/>
    </row>
    <row r="2427">
      <c r="A2427" s="38">
        <v>2423.0</v>
      </c>
      <c r="B2427" s="38" t="s">
        <v>2949</v>
      </c>
      <c r="C2427" s="38" t="s">
        <v>2990</v>
      </c>
      <c r="D2427" s="38">
        <v>37.0</v>
      </c>
      <c r="E2427" s="38" t="s">
        <v>13</v>
      </c>
      <c r="F2427" s="38" t="s">
        <v>13</v>
      </c>
      <c r="G2427" s="38" t="s">
        <v>13</v>
      </c>
      <c r="H2427" s="38" t="s">
        <v>2991</v>
      </c>
      <c r="I2427" s="4"/>
    </row>
    <row r="2428">
      <c r="A2428" s="38">
        <v>2424.0</v>
      </c>
      <c r="B2428" s="38" t="s">
        <v>2949</v>
      </c>
      <c r="C2428" s="38" t="s">
        <v>2992</v>
      </c>
      <c r="D2428" s="38">
        <v>37.0</v>
      </c>
      <c r="E2428" s="38" t="s">
        <v>13</v>
      </c>
      <c r="F2428" s="38" t="s">
        <v>13</v>
      </c>
      <c r="G2428" s="38" t="s">
        <v>13</v>
      </c>
      <c r="H2428" s="38" t="s">
        <v>2993</v>
      </c>
      <c r="I2428" s="4"/>
    </row>
    <row r="2429">
      <c r="A2429" s="38">
        <v>2425.0</v>
      </c>
      <c r="B2429" s="38" t="s">
        <v>2949</v>
      </c>
      <c r="C2429" s="38" t="s">
        <v>2994</v>
      </c>
      <c r="D2429" s="38">
        <v>21.0</v>
      </c>
      <c r="E2429" s="38" t="s">
        <v>2995</v>
      </c>
      <c r="F2429" s="38" t="s">
        <v>13</v>
      </c>
      <c r="G2429" s="38" t="s">
        <v>13</v>
      </c>
      <c r="H2429" s="38" t="s">
        <v>2952</v>
      </c>
      <c r="I2429" s="4"/>
    </row>
    <row r="2430">
      <c r="A2430" s="38">
        <v>2426.0</v>
      </c>
      <c r="B2430" s="38" t="s">
        <v>2949</v>
      </c>
      <c r="C2430" s="38" t="s">
        <v>2996</v>
      </c>
      <c r="D2430" s="38">
        <v>29.0</v>
      </c>
      <c r="E2430" s="38" t="s">
        <v>13</v>
      </c>
      <c r="F2430" s="38" t="s">
        <v>13</v>
      </c>
      <c r="G2430" s="38" t="s">
        <v>13</v>
      </c>
      <c r="H2430" s="38" t="s">
        <v>13</v>
      </c>
      <c r="I2430" s="4"/>
    </row>
    <row r="2431">
      <c r="A2431" s="38">
        <v>2427.0</v>
      </c>
      <c r="B2431" s="38" t="s">
        <v>2949</v>
      </c>
      <c r="C2431" s="38" t="s">
        <v>2997</v>
      </c>
      <c r="D2431" s="38">
        <v>27.0</v>
      </c>
      <c r="E2431" s="38" t="s">
        <v>13</v>
      </c>
      <c r="F2431" s="38" t="s">
        <v>13</v>
      </c>
      <c r="G2431" s="38" t="s">
        <v>13</v>
      </c>
      <c r="H2431" s="38" t="s">
        <v>2962</v>
      </c>
      <c r="I2431" s="4"/>
    </row>
    <row r="2432">
      <c r="A2432" s="38">
        <v>2428.0</v>
      </c>
      <c r="B2432" s="38" t="s">
        <v>2949</v>
      </c>
      <c r="C2432" s="38" t="s">
        <v>2998</v>
      </c>
      <c r="D2432" s="38">
        <v>3.0</v>
      </c>
      <c r="E2432" s="38" t="s">
        <v>13</v>
      </c>
      <c r="F2432" s="38" t="s">
        <v>13</v>
      </c>
      <c r="G2432" s="38" t="s">
        <v>13</v>
      </c>
      <c r="H2432" s="38" t="s">
        <v>13</v>
      </c>
      <c r="I2432" s="4"/>
    </row>
    <row r="2433">
      <c r="A2433" s="38">
        <v>2429.0</v>
      </c>
      <c r="B2433" s="38" t="s">
        <v>2949</v>
      </c>
      <c r="C2433" s="38" t="s">
        <v>2999</v>
      </c>
      <c r="D2433" s="38">
        <v>50.0</v>
      </c>
      <c r="E2433" s="38" t="s">
        <v>13</v>
      </c>
      <c r="F2433" s="38" t="s">
        <v>13</v>
      </c>
      <c r="G2433" s="38" t="s">
        <v>330</v>
      </c>
      <c r="H2433" s="38" t="s">
        <v>3000</v>
      </c>
      <c r="I2433" s="4"/>
    </row>
    <row r="2434">
      <c r="A2434" s="38">
        <v>2430.0</v>
      </c>
      <c r="B2434" s="38" t="s">
        <v>2949</v>
      </c>
      <c r="C2434" s="38" t="s">
        <v>3001</v>
      </c>
      <c r="D2434" s="38">
        <v>24.0</v>
      </c>
      <c r="E2434" s="38" t="s">
        <v>13</v>
      </c>
      <c r="F2434" s="38" t="s">
        <v>13</v>
      </c>
      <c r="G2434" s="38" t="s">
        <v>13</v>
      </c>
      <c r="H2434" s="38" t="s">
        <v>2983</v>
      </c>
      <c r="I2434" s="4"/>
    </row>
    <row r="2435">
      <c r="A2435" s="38">
        <v>2431.0</v>
      </c>
      <c r="B2435" s="38" t="s">
        <v>2949</v>
      </c>
      <c r="C2435" s="38" t="s">
        <v>2439</v>
      </c>
      <c r="D2435" s="38">
        <v>6.0</v>
      </c>
      <c r="E2435" s="38" t="s">
        <v>13</v>
      </c>
      <c r="F2435" s="38" t="s">
        <v>13</v>
      </c>
      <c r="G2435" s="38" t="s">
        <v>13</v>
      </c>
      <c r="H2435" s="38" t="s">
        <v>2952</v>
      </c>
      <c r="I2435" s="4"/>
    </row>
    <row r="2436">
      <c r="A2436" s="38">
        <v>2432.0</v>
      </c>
      <c r="B2436" s="38" t="s">
        <v>2949</v>
      </c>
      <c r="C2436" s="38" t="s">
        <v>3002</v>
      </c>
      <c r="D2436" s="38">
        <v>58.0</v>
      </c>
      <c r="E2436" s="38" t="s">
        <v>3003</v>
      </c>
      <c r="F2436" s="38" t="s">
        <v>13</v>
      </c>
      <c r="G2436" s="38" t="s">
        <v>13</v>
      </c>
      <c r="H2436" s="38" t="s">
        <v>2987</v>
      </c>
      <c r="I2436" s="4"/>
    </row>
    <row r="2437">
      <c r="A2437" s="38">
        <v>2433.0</v>
      </c>
      <c r="B2437" s="38" t="s">
        <v>2949</v>
      </c>
      <c r="C2437" s="38" t="s">
        <v>3004</v>
      </c>
      <c r="D2437" s="38" t="s">
        <v>13</v>
      </c>
      <c r="E2437" s="38" t="s">
        <v>13</v>
      </c>
      <c r="F2437" s="38" t="s">
        <v>13</v>
      </c>
      <c r="G2437" s="38" t="s">
        <v>3005</v>
      </c>
      <c r="H2437" s="38" t="s">
        <v>13</v>
      </c>
      <c r="I2437" s="4"/>
    </row>
    <row r="2438">
      <c r="A2438" s="38">
        <v>2434.0</v>
      </c>
      <c r="B2438" s="38" t="s">
        <v>2949</v>
      </c>
      <c r="C2438" s="38" t="s">
        <v>3006</v>
      </c>
      <c r="D2438" s="38">
        <v>15.0</v>
      </c>
      <c r="E2438" s="38">
        <v>3.2525559E8</v>
      </c>
      <c r="F2438" s="38" t="s">
        <v>13</v>
      </c>
      <c r="G2438" s="38" t="s">
        <v>1731</v>
      </c>
      <c r="H2438" s="38" t="s">
        <v>2952</v>
      </c>
      <c r="I2438" s="4"/>
    </row>
    <row r="2439">
      <c r="A2439" s="38">
        <v>2435.0</v>
      </c>
      <c r="B2439" s="38" t="s">
        <v>2949</v>
      </c>
      <c r="C2439" s="38" t="s">
        <v>3007</v>
      </c>
      <c r="D2439" s="38">
        <v>32.0</v>
      </c>
      <c r="E2439" s="38" t="s">
        <v>13</v>
      </c>
      <c r="F2439" s="38" t="s">
        <v>13</v>
      </c>
      <c r="G2439" s="38" t="s">
        <v>3008</v>
      </c>
      <c r="H2439" s="38" t="s">
        <v>13</v>
      </c>
      <c r="I2439" s="4"/>
    </row>
    <row r="2440">
      <c r="A2440" s="38">
        <v>2436.0</v>
      </c>
      <c r="B2440" s="38" t="s">
        <v>2949</v>
      </c>
      <c r="C2440" s="38" t="s">
        <v>3009</v>
      </c>
      <c r="D2440" s="38">
        <v>64.0</v>
      </c>
      <c r="E2440" s="38" t="s">
        <v>13</v>
      </c>
      <c r="F2440" s="38" t="s">
        <v>13</v>
      </c>
      <c r="G2440" s="38" t="s">
        <v>3010</v>
      </c>
      <c r="H2440" s="38" t="s">
        <v>3000</v>
      </c>
      <c r="I2440" s="4"/>
    </row>
    <row r="2441">
      <c r="A2441" s="38">
        <v>2437.0</v>
      </c>
      <c r="B2441" s="38" t="s">
        <v>2949</v>
      </c>
      <c r="C2441" s="38" t="s">
        <v>3011</v>
      </c>
      <c r="D2441" s="38">
        <v>61.0</v>
      </c>
      <c r="E2441" s="38">
        <v>6.842773E7</v>
      </c>
      <c r="F2441" s="38" t="s">
        <v>13</v>
      </c>
      <c r="G2441" s="38" t="s">
        <v>1731</v>
      </c>
      <c r="H2441" s="38" t="s">
        <v>2952</v>
      </c>
      <c r="I2441" s="4"/>
    </row>
    <row r="2442">
      <c r="A2442" s="38">
        <v>2438.0</v>
      </c>
      <c r="B2442" s="38" t="s">
        <v>2949</v>
      </c>
      <c r="C2442" s="38" t="s">
        <v>3012</v>
      </c>
      <c r="D2442" s="38">
        <v>48.0</v>
      </c>
      <c r="E2442" s="38" t="s">
        <v>3013</v>
      </c>
      <c r="F2442" s="38" t="s">
        <v>13</v>
      </c>
      <c r="G2442" s="38" t="s">
        <v>13</v>
      </c>
      <c r="H2442" s="38" t="s">
        <v>2952</v>
      </c>
      <c r="I2442" s="4"/>
    </row>
    <row r="2443">
      <c r="A2443" s="38">
        <v>2439.0</v>
      </c>
      <c r="B2443" s="38" t="s">
        <v>2949</v>
      </c>
      <c r="C2443" s="38" t="s">
        <v>3014</v>
      </c>
      <c r="D2443" s="38">
        <v>17.0</v>
      </c>
      <c r="E2443" s="38" t="s">
        <v>13</v>
      </c>
      <c r="F2443" s="38" t="s">
        <v>13</v>
      </c>
      <c r="G2443" s="38" t="s">
        <v>13</v>
      </c>
      <c r="H2443" s="38" t="s">
        <v>2962</v>
      </c>
      <c r="I2443" s="4"/>
    </row>
    <row r="2444">
      <c r="A2444" s="38">
        <v>2440.0</v>
      </c>
      <c r="B2444" s="38" t="s">
        <v>2949</v>
      </c>
      <c r="C2444" s="38" t="s">
        <v>3015</v>
      </c>
      <c r="D2444" s="38">
        <v>51.0</v>
      </c>
      <c r="E2444" s="38" t="s">
        <v>13</v>
      </c>
      <c r="F2444" s="38" t="s">
        <v>13</v>
      </c>
      <c r="G2444" s="38" t="s">
        <v>13</v>
      </c>
      <c r="H2444" s="38" t="s">
        <v>2962</v>
      </c>
      <c r="I2444" s="4"/>
    </row>
    <row r="2445">
      <c r="A2445" s="38">
        <v>2441.0</v>
      </c>
      <c r="B2445" s="38" t="s">
        <v>2949</v>
      </c>
      <c r="C2445" s="38" t="s">
        <v>3016</v>
      </c>
      <c r="D2445" s="38">
        <v>37.0</v>
      </c>
      <c r="E2445" s="38">
        <v>1.818323E8</v>
      </c>
      <c r="F2445" s="38" t="s">
        <v>13</v>
      </c>
      <c r="G2445" s="38" t="s">
        <v>1731</v>
      </c>
      <c r="H2445" s="38" t="s">
        <v>2952</v>
      </c>
      <c r="I2445" s="4"/>
    </row>
    <row r="2446">
      <c r="A2446" s="38">
        <v>2442.0</v>
      </c>
      <c r="B2446" s="38" t="s">
        <v>2949</v>
      </c>
      <c r="C2446" s="38" t="s">
        <v>3017</v>
      </c>
      <c r="D2446" s="38">
        <v>49.0</v>
      </c>
      <c r="E2446" s="38">
        <v>1.2531664E8</v>
      </c>
      <c r="F2446" s="38" t="s">
        <v>13</v>
      </c>
      <c r="G2446" s="38" t="s">
        <v>1731</v>
      </c>
      <c r="H2446" s="38" t="s">
        <v>2952</v>
      </c>
      <c r="I2446" s="4"/>
    </row>
    <row r="2447">
      <c r="A2447" s="38">
        <v>2443.0</v>
      </c>
      <c r="B2447" s="38" t="s">
        <v>2949</v>
      </c>
      <c r="C2447" s="38" t="s">
        <v>3018</v>
      </c>
      <c r="D2447" s="38">
        <v>48.0</v>
      </c>
      <c r="E2447" s="38" t="s">
        <v>13</v>
      </c>
      <c r="F2447" s="38" t="s">
        <v>13</v>
      </c>
      <c r="G2447" s="38" t="s">
        <v>3019</v>
      </c>
      <c r="H2447" s="38" t="s">
        <v>13</v>
      </c>
      <c r="I2447" s="4"/>
    </row>
    <row r="2448">
      <c r="A2448" s="38">
        <v>2444.0</v>
      </c>
      <c r="B2448" s="38" t="s">
        <v>2949</v>
      </c>
      <c r="C2448" s="38" t="s">
        <v>3020</v>
      </c>
      <c r="D2448" s="38">
        <v>150.0</v>
      </c>
      <c r="E2448" s="38" t="s">
        <v>13</v>
      </c>
      <c r="F2448" s="38" t="s">
        <v>13</v>
      </c>
      <c r="G2448" s="38" t="s">
        <v>3021</v>
      </c>
      <c r="H2448" s="38" t="s">
        <v>3022</v>
      </c>
      <c r="I2448" s="4"/>
    </row>
    <row r="2449">
      <c r="A2449" s="38">
        <v>2445.0</v>
      </c>
      <c r="B2449" s="38" t="s">
        <v>2949</v>
      </c>
      <c r="C2449" s="38" t="s">
        <v>3020</v>
      </c>
      <c r="D2449" s="38">
        <v>30.0</v>
      </c>
      <c r="E2449" s="38">
        <v>2.3718064E8</v>
      </c>
      <c r="F2449" s="38" t="s">
        <v>13</v>
      </c>
      <c r="G2449" s="38" t="s">
        <v>1503</v>
      </c>
      <c r="H2449" s="38" t="s">
        <v>1731</v>
      </c>
      <c r="I2449" s="4"/>
    </row>
    <row r="2450">
      <c r="A2450" s="38">
        <v>2446.0</v>
      </c>
      <c r="B2450" s="38" t="s">
        <v>2949</v>
      </c>
      <c r="C2450" s="38" t="s">
        <v>3023</v>
      </c>
      <c r="D2450" s="38">
        <v>70.0</v>
      </c>
      <c r="E2450" s="38" t="s">
        <v>13</v>
      </c>
      <c r="F2450" s="38" t="s">
        <v>13</v>
      </c>
      <c r="G2450" s="38" t="s">
        <v>13</v>
      </c>
      <c r="H2450" s="38" t="s">
        <v>13</v>
      </c>
      <c r="I2450" s="4"/>
    </row>
    <row r="2451">
      <c r="A2451" s="38">
        <v>2447.0</v>
      </c>
      <c r="B2451" s="38" t="s">
        <v>2949</v>
      </c>
      <c r="C2451" s="38" t="s">
        <v>3024</v>
      </c>
      <c r="D2451" s="38">
        <v>24.0</v>
      </c>
      <c r="E2451" s="38" t="s">
        <v>3025</v>
      </c>
      <c r="F2451" s="38" t="s">
        <v>13</v>
      </c>
      <c r="G2451" s="38" t="s">
        <v>13</v>
      </c>
      <c r="H2451" s="38" t="s">
        <v>2952</v>
      </c>
      <c r="I2451" s="4"/>
    </row>
    <row r="2452">
      <c r="A2452" s="38">
        <v>2448.0</v>
      </c>
      <c r="B2452" s="38" t="s">
        <v>2949</v>
      </c>
      <c r="C2452" s="38" t="s">
        <v>3026</v>
      </c>
      <c r="D2452" s="38" t="s">
        <v>13</v>
      </c>
      <c r="E2452" s="38" t="s">
        <v>13</v>
      </c>
      <c r="F2452" s="38" t="s">
        <v>13</v>
      </c>
      <c r="G2452" s="38" t="s">
        <v>3027</v>
      </c>
      <c r="H2452" s="38" t="s">
        <v>13</v>
      </c>
      <c r="I2452" s="4"/>
    </row>
    <row r="2453">
      <c r="A2453" s="38">
        <v>2449.0</v>
      </c>
      <c r="B2453" s="38" t="s">
        <v>2949</v>
      </c>
      <c r="C2453" s="38" t="s">
        <v>3028</v>
      </c>
      <c r="D2453" s="38">
        <v>33.0</v>
      </c>
      <c r="E2453" s="38" t="s">
        <v>13</v>
      </c>
      <c r="F2453" s="38" t="s">
        <v>13</v>
      </c>
      <c r="G2453" s="38" t="s">
        <v>13</v>
      </c>
      <c r="H2453" s="38" t="s">
        <v>2977</v>
      </c>
      <c r="I2453" s="4"/>
    </row>
    <row r="2454">
      <c r="A2454" s="38">
        <v>2450.0</v>
      </c>
      <c r="B2454" s="38" t="s">
        <v>2949</v>
      </c>
      <c r="C2454" s="38" t="s">
        <v>3029</v>
      </c>
      <c r="D2454" s="38">
        <v>22.0</v>
      </c>
      <c r="E2454" s="38">
        <v>3.0580369E8</v>
      </c>
      <c r="F2454" s="38" t="s">
        <v>13</v>
      </c>
      <c r="G2454" s="38" t="s">
        <v>1731</v>
      </c>
      <c r="H2454" s="38" t="s">
        <v>2973</v>
      </c>
      <c r="I2454" s="4"/>
    </row>
    <row r="2455">
      <c r="A2455" s="38">
        <v>2451.0</v>
      </c>
      <c r="B2455" s="38" t="s">
        <v>2949</v>
      </c>
      <c r="C2455" s="38" t="s">
        <v>3030</v>
      </c>
      <c r="D2455" s="38">
        <v>6.0</v>
      </c>
      <c r="E2455" s="38" t="s">
        <v>13</v>
      </c>
      <c r="F2455" s="38" t="s">
        <v>13</v>
      </c>
      <c r="G2455" s="38" t="s">
        <v>13</v>
      </c>
      <c r="H2455" s="38" t="s">
        <v>2983</v>
      </c>
      <c r="I2455" s="4"/>
    </row>
    <row r="2456">
      <c r="A2456" s="38">
        <v>2452.0</v>
      </c>
      <c r="B2456" s="38" t="s">
        <v>2949</v>
      </c>
      <c r="C2456" s="38" t="s">
        <v>3031</v>
      </c>
      <c r="D2456" s="38">
        <v>30.0</v>
      </c>
      <c r="E2456" s="38" t="s">
        <v>13</v>
      </c>
      <c r="F2456" s="38" t="s">
        <v>13</v>
      </c>
      <c r="G2456" s="38" t="s">
        <v>13</v>
      </c>
      <c r="H2456" s="38" t="s">
        <v>3032</v>
      </c>
      <c r="I2456" s="4"/>
    </row>
    <row r="2457">
      <c r="A2457" s="38">
        <v>2453.0</v>
      </c>
      <c r="B2457" s="38" t="s">
        <v>2949</v>
      </c>
      <c r="C2457" s="38" t="s">
        <v>3033</v>
      </c>
      <c r="D2457" s="38">
        <v>65.0</v>
      </c>
      <c r="E2457" s="38" t="s">
        <v>13</v>
      </c>
      <c r="F2457" s="38" t="s">
        <v>13</v>
      </c>
      <c r="G2457" s="38" t="s">
        <v>3034</v>
      </c>
      <c r="H2457" s="38" t="s">
        <v>13</v>
      </c>
      <c r="I2457" s="4"/>
    </row>
    <row r="2458">
      <c r="A2458" s="38">
        <v>2454.0</v>
      </c>
      <c r="B2458" s="38" t="s">
        <v>2949</v>
      </c>
      <c r="C2458" s="38" t="s">
        <v>640</v>
      </c>
      <c r="D2458" s="38"/>
      <c r="E2458" s="38" t="s">
        <v>14</v>
      </c>
      <c r="F2458" s="38"/>
      <c r="G2458" s="38"/>
      <c r="H2458" s="38" t="s">
        <v>15</v>
      </c>
      <c r="I2458" s="4"/>
    </row>
    <row r="2459">
      <c r="A2459" s="38">
        <v>2455.0</v>
      </c>
      <c r="B2459" s="38" t="s">
        <v>2949</v>
      </c>
      <c r="C2459" s="38" t="s">
        <v>3035</v>
      </c>
      <c r="D2459" s="38">
        <v>22.0</v>
      </c>
      <c r="E2459" s="38" t="s">
        <v>3036</v>
      </c>
      <c r="F2459" s="38" t="s">
        <v>13</v>
      </c>
      <c r="G2459" s="38" t="s">
        <v>13</v>
      </c>
      <c r="H2459" s="38" t="s">
        <v>2952</v>
      </c>
      <c r="I2459" s="4"/>
    </row>
    <row r="2460">
      <c r="A2460" s="38">
        <v>2456.0</v>
      </c>
      <c r="B2460" s="38" t="s">
        <v>2949</v>
      </c>
      <c r="C2460" s="38" t="s">
        <v>3037</v>
      </c>
      <c r="D2460" s="38">
        <v>51.0</v>
      </c>
      <c r="E2460" s="38" t="s">
        <v>13</v>
      </c>
      <c r="F2460" s="38" t="s">
        <v>13</v>
      </c>
      <c r="G2460" s="38" t="s">
        <v>3038</v>
      </c>
      <c r="H2460" s="38" t="s">
        <v>13</v>
      </c>
      <c r="I2460" s="4"/>
    </row>
    <row r="2461">
      <c r="A2461" s="38">
        <v>2457.0</v>
      </c>
      <c r="B2461" s="38" t="s">
        <v>2949</v>
      </c>
      <c r="C2461" s="38" t="s">
        <v>3039</v>
      </c>
      <c r="D2461" s="38">
        <v>32.0</v>
      </c>
      <c r="E2461" s="38" t="s">
        <v>13</v>
      </c>
      <c r="F2461" s="38" t="s">
        <v>13</v>
      </c>
      <c r="G2461" s="38" t="s">
        <v>13</v>
      </c>
      <c r="H2461" s="38" t="s">
        <v>3040</v>
      </c>
      <c r="I2461" s="4"/>
    </row>
    <row r="2462">
      <c r="A2462" s="38">
        <v>2458.0</v>
      </c>
      <c r="B2462" s="38" t="s">
        <v>2949</v>
      </c>
      <c r="C2462" s="38" t="s">
        <v>3041</v>
      </c>
      <c r="D2462" s="38">
        <v>52.0</v>
      </c>
      <c r="E2462" s="38" t="s">
        <v>3042</v>
      </c>
      <c r="F2462" s="38" t="s">
        <v>13</v>
      </c>
      <c r="G2462" s="38" t="s">
        <v>13</v>
      </c>
      <c r="H2462" s="38" t="s">
        <v>2987</v>
      </c>
      <c r="I2462" s="4"/>
    </row>
    <row r="2463">
      <c r="A2463" s="38">
        <v>2459.0</v>
      </c>
      <c r="B2463" s="38" t="s">
        <v>2949</v>
      </c>
      <c r="C2463" s="38" t="s">
        <v>3043</v>
      </c>
      <c r="D2463" s="38" t="s">
        <v>13</v>
      </c>
      <c r="E2463" s="38" t="s">
        <v>13</v>
      </c>
      <c r="F2463" s="38" t="s">
        <v>13</v>
      </c>
      <c r="G2463" s="38" t="s">
        <v>13</v>
      </c>
      <c r="H2463" s="38" t="s">
        <v>13</v>
      </c>
      <c r="I2463" s="4"/>
    </row>
    <row r="2464">
      <c r="A2464" s="38">
        <v>2460.0</v>
      </c>
      <c r="B2464" s="38" t="s">
        <v>2949</v>
      </c>
      <c r="C2464" s="38" t="s">
        <v>3044</v>
      </c>
      <c r="D2464" s="38">
        <v>63.0</v>
      </c>
      <c r="E2464" s="38" t="s">
        <v>13</v>
      </c>
      <c r="F2464" s="38" t="s">
        <v>13</v>
      </c>
      <c r="G2464" s="38" t="s">
        <v>13</v>
      </c>
      <c r="H2464" s="38" t="s">
        <v>3045</v>
      </c>
      <c r="I2464" s="4"/>
    </row>
    <row r="2465">
      <c r="A2465" s="38">
        <v>2461.0</v>
      </c>
      <c r="B2465" s="38" t="s">
        <v>2949</v>
      </c>
      <c r="C2465" s="38" t="s">
        <v>2441</v>
      </c>
      <c r="D2465" s="38">
        <v>40.0</v>
      </c>
      <c r="E2465" s="38" t="s">
        <v>13</v>
      </c>
      <c r="F2465" s="38" t="s">
        <v>13</v>
      </c>
      <c r="G2465" s="38" t="s">
        <v>13</v>
      </c>
      <c r="H2465" s="38" t="s">
        <v>3046</v>
      </c>
      <c r="I2465" s="4"/>
    </row>
    <row r="2466">
      <c r="A2466" s="38">
        <v>2462.0</v>
      </c>
      <c r="B2466" s="38" t="s">
        <v>2949</v>
      </c>
      <c r="C2466" s="38" t="s">
        <v>3047</v>
      </c>
      <c r="D2466" s="38">
        <v>47.0</v>
      </c>
      <c r="E2466" s="38" t="s">
        <v>3048</v>
      </c>
      <c r="F2466" s="38" t="s">
        <v>13</v>
      </c>
      <c r="G2466" s="38" t="s">
        <v>13</v>
      </c>
      <c r="H2466" s="38" t="s">
        <v>2952</v>
      </c>
      <c r="I2466" s="4"/>
    </row>
    <row r="2467">
      <c r="A2467" s="38">
        <v>2463.0</v>
      </c>
      <c r="B2467" s="38" t="s">
        <v>2949</v>
      </c>
      <c r="C2467" s="38" t="s">
        <v>3049</v>
      </c>
      <c r="D2467" s="38">
        <v>46.0</v>
      </c>
      <c r="E2467" s="38" t="s">
        <v>13</v>
      </c>
      <c r="F2467" s="38" t="s">
        <v>13</v>
      </c>
      <c r="G2467" s="38" t="s">
        <v>2966</v>
      </c>
      <c r="H2467" s="38" t="s">
        <v>13</v>
      </c>
      <c r="I2467" s="4"/>
    </row>
    <row r="2468">
      <c r="A2468" s="38">
        <v>2464.0</v>
      </c>
      <c r="B2468" s="38" t="s">
        <v>2949</v>
      </c>
      <c r="C2468" s="38" t="s">
        <v>3050</v>
      </c>
      <c r="D2468" s="38" t="s">
        <v>13</v>
      </c>
      <c r="E2468" s="38" t="s">
        <v>13</v>
      </c>
      <c r="F2468" s="38" t="s">
        <v>13</v>
      </c>
      <c r="G2468" s="38" t="s">
        <v>13</v>
      </c>
      <c r="H2468" s="38" t="s">
        <v>13</v>
      </c>
      <c r="I2468" s="4"/>
    </row>
    <row r="2469">
      <c r="A2469" s="38">
        <v>2465.0</v>
      </c>
      <c r="B2469" s="38" t="s">
        <v>2949</v>
      </c>
      <c r="C2469" s="38" t="s">
        <v>3051</v>
      </c>
      <c r="D2469" s="38">
        <v>20.0</v>
      </c>
      <c r="E2469" s="38" t="s">
        <v>13</v>
      </c>
      <c r="F2469" s="38" t="s">
        <v>13</v>
      </c>
      <c r="G2469" s="38" t="s">
        <v>3052</v>
      </c>
      <c r="H2469" s="38" t="s">
        <v>3000</v>
      </c>
      <c r="I2469" s="4"/>
    </row>
    <row r="2470">
      <c r="A2470" s="38">
        <v>2466.0</v>
      </c>
      <c r="B2470" s="38" t="s">
        <v>2949</v>
      </c>
      <c r="C2470" s="38" t="s">
        <v>3053</v>
      </c>
      <c r="D2470" s="38">
        <v>52.0</v>
      </c>
      <c r="E2470" s="38" t="s">
        <v>13</v>
      </c>
      <c r="F2470" s="38" t="s">
        <v>13</v>
      </c>
      <c r="G2470" s="38" t="s">
        <v>330</v>
      </c>
      <c r="H2470" s="38" t="s">
        <v>3000</v>
      </c>
      <c r="I2470" s="4"/>
    </row>
    <row r="2471">
      <c r="A2471" s="38">
        <v>2467.0</v>
      </c>
      <c r="B2471" s="38" t="s">
        <v>2949</v>
      </c>
      <c r="C2471" s="38" t="s">
        <v>3054</v>
      </c>
      <c r="D2471" s="38">
        <v>52.0</v>
      </c>
      <c r="E2471" s="38">
        <v>1.1643841E8</v>
      </c>
      <c r="F2471" s="38" t="s">
        <v>13</v>
      </c>
      <c r="G2471" s="38" t="s">
        <v>1731</v>
      </c>
      <c r="H2471" s="38" t="s">
        <v>2952</v>
      </c>
      <c r="I2471" s="4"/>
    </row>
    <row r="2472">
      <c r="A2472" s="38">
        <v>2468.0</v>
      </c>
      <c r="B2472" s="38" t="s">
        <v>2949</v>
      </c>
      <c r="C2472" s="38" t="s">
        <v>3055</v>
      </c>
      <c r="D2472" s="38">
        <v>47.0</v>
      </c>
      <c r="E2472" s="38">
        <v>1.5573081E8</v>
      </c>
      <c r="F2472" s="38" t="s">
        <v>13</v>
      </c>
      <c r="G2472" s="38" t="s">
        <v>1731</v>
      </c>
      <c r="H2472" s="38" t="s">
        <v>2952</v>
      </c>
      <c r="I2472" s="4"/>
    </row>
    <row r="2473">
      <c r="A2473" s="38">
        <v>2469.0</v>
      </c>
      <c r="B2473" s="38" t="s">
        <v>2949</v>
      </c>
      <c r="C2473" s="38" t="s">
        <v>3056</v>
      </c>
      <c r="D2473" s="38">
        <v>41.0</v>
      </c>
      <c r="E2473" s="38" t="s">
        <v>13</v>
      </c>
      <c r="F2473" s="38" t="s">
        <v>13</v>
      </c>
      <c r="G2473" s="38" t="s">
        <v>3057</v>
      </c>
      <c r="H2473" s="38" t="s">
        <v>13</v>
      </c>
      <c r="I2473" s="4"/>
    </row>
    <row r="2474">
      <c r="A2474" s="38">
        <v>2470.0</v>
      </c>
      <c r="B2474" s="38" t="s">
        <v>2949</v>
      </c>
      <c r="C2474" s="38" t="s">
        <v>3058</v>
      </c>
      <c r="D2474" s="38">
        <v>24.0</v>
      </c>
      <c r="E2474" s="38" t="s">
        <v>13</v>
      </c>
      <c r="F2474" s="38" t="s">
        <v>13</v>
      </c>
      <c r="G2474" s="38" t="s">
        <v>13</v>
      </c>
      <c r="H2474" s="38" t="s">
        <v>2983</v>
      </c>
      <c r="I2474" s="4"/>
    </row>
    <row r="2475">
      <c r="A2475" s="38">
        <v>2471.0</v>
      </c>
      <c r="B2475" s="38" t="s">
        <v>2949</v>
      </c>
      <c r="C2475" s="38" t="s">
        <v>3059</v>
      </c>
      <c r="D2475" s="38">
        <v>33.0</v>
      </c>
      <c r="E2475" s="38" t="s">
        <v>13</v>
      </c>
      <c r="F2475" s="38" t="s">
        <v>13</v>
      </c>
      <c r="G2475" s="38" t="s">
        <v>13</v>
      </c>
      <c r="H2475" s="38" t="s">
        <v>13</v>
      </c>
      <c r="I2475" s="4"/>
    </row>
    <row r="2476">
      <c r="A2476" s="38">
        <v>2472.0</v>
      </c>
      <c r="B2476" s="38" t="s">
        <v>2949</v>
      </c>
      <c r="C2476" s="38" t="s">
        <v>3059</v>
      </c>
      <c r="D2476" s="38" t="s">
        <v>13</v>
      </c>
      <c r="E2476" s="38" t="s">
        <v>13</v>
      </c>
      <c r="F2476" s="38" t="s">
        <v>13</v>
      </c>
      <c r="G2476" s="38" t="s">
        <v>13</v>
      </c>
      <c r="H2476" s="38" t="s">
        <v>13</v>
      </c>
      <c r="I2476" s="4"/>
    </row>
    <row r="2477">
      <c r="A2477" s="38">
        <v>2473.0</v>
      </c>
      <c r="B2477" s="38" t="s">
        <v>2949</v>
      </c>
      <c r="C2477" s="38" t="s">
        <v>3060</v>
      </c>
      <c r="D2477" s="38" t="s">
        <v>13</v>
      </c>
      <c r="E2477" s="38" t="s">
        <v>13</v>
      </c>
      <c r="F2477" s="38" t="s">
        <v>13</v>
      </c>
      <c r="G2477" s="38" t="s">
        <v>13</v>
      </c>
      <c r="H2477" s="38" t="s">
        <v>13</v>
      </c>
      <c r="I2477" s="4"/>
    </row>
    <row r="2478">
      <c r="A2478" s="38">
        <v>2474.0</v>
      </c>
      <c r="B2478" s="38" t="s">
        <v>2949</v>
      </c>
      <c r="C2478" s="38" t="s">
        <v>3061</v>
      </c>
      <c r="D2478" s="38">
        <v>68.0</v>
      </c>
      <c r="E2478" s="38" t="s">
        <v>13</v>
      </c>
      <c r="F2478" s="38" t="s">
        <v>13</v>
      </c>
      <c r="G2478" s="38" t="s">
        <v>13</v>
      </c>
      <c r="H2478" s="38" t="s">
        <v>13</v>
      </c>
      <c r="I2478" s="4"/>
    </row>
    <row r="2479">
      <c r="A2479" s="38">
        <v>2475.0</v>
      </c>
      <c r="B2479" s="38" t="s">
        <v>2949</v>
      </c>
      <c r="C2479" s="38" t="s">
        <v>3062</v>
      </c>
      <c r="D2479" s="38">
        <v>61.0</v>
      </c>
      <c r="E2479" s="38" t="s">
        <v>13</v>
      </c>
      <c r="F2479" s="38" t="s">
        <v>13</v>
      </c>
      <c r="G2479" s="38" t="s">
        <v>13</v>
      </c>
      <c r="H2479" s="38" t="s">
        <v>2987</v>
      </c>
      <c r="I2479" s="4"/>
    </row>
    <row r="2480">
      <c r="A2480" s="38">
        <v>2476.0</v>
      </c>
      <c r="B2480" s="38" t="s">
        <v>2949</v>
      </c>
      <c r="C2480" s="38" t="s">
        <v>3063</v>
      </c>
      <c r="D2480" s="38">
        <v>18.0</v>
      </c>
      <c r="E2480" s="38">
        <v>3.1962087E8</v>
      </c>
      <c r="F2480" s="38" t="s">
        <v>13</v>
      </c>
      <c r="G2480" s="38" t="s">
        <v>3064</v>
      </c>
      <c r="H2480" s="38" t="s">
        <v>3065</v>
      </c>
      <c r="I2480" s="4"/>
    </row>
    <row r="2481">
      <c r="A2481" s="38">
        <v>2477.0</v>
      </c>
      <c r="B2481" s="38" t="s">
        <v>2949</v>
      </c>
      <c r="C2481" s="38" t="s">
        <v>694</v>
      </c>
      <c r="D2481" s="38"/>
      <c r="E2481" s="38" t="s">
        <v>14</v>
      </c>
      <c r="F2481" s="38"/>
      <c r="G2481" s="38"/>
      <c r="H2481" s="38" t="s">
        <v>15</v>
      </c>
      <c r="I2481" s="4"/>
    </row>
    <row r="2482">
      <c r="A2482" s="38">
        <v>2478.0</v>
      </c>
      <c r="B2482" s="38" t="s">
        <v>2949</v>
      </c>
      <c r="C2482" s="38" t="s">
        <v>3066</v>
      </c>
      <c r="D2482" s="38">
        <v>58.0</v>
      </c>
      <c r="E2482" s="38">
        <v>1.0528878E8</v>
      </c>
      <c r="F2482" s="38" t="s">
        <v>13</v>
      </c>
      <c r="G2482" s="38" t="s">
        <v>1731</v>
      </c>
      <c r="H2482" s="38" t="s">
        <v>3067</v>
      </c>
      <c r="I2482" s="4"/>
    </row>
    <row r="2483">
      <c r="A2483" s="38">
        <v>2479.0</v>
      </c>
      <c r="B2483" s="38" t="s">
        <v>2949</v>
      </c>
      <c r="C2483" s="38" t="s">
        <v>3068</v>
      </c>
      <c r="D2483" s="38">
        <v>74.0</v>
      </c>
      <c r="E2483" s="38" t="s">
        <v>3069</v>
      </c>
      <c r="F2483" s="38" t="s">
        <v>13</v>
      </c>
      <c r="G2483" s="38" t="s">
        <v>13</v>
      </c>
      <c r="H2483" s="38" t="s">
        <v>2952</v>
      </c>
      <c r="I2483" s="4"/>
    </row>
    <row r="2484">
      <c r="A2484" s="38">
        <v>2480.0</v>
      </c>
      <c r="B2484" s="38" t="s">
        <v>2949</v>
      </c>
      <c r="C2484" s="38" t="s">
        <v>3070</v>
      </c>
      <c r="D2484" s="38">
        <v>49.0</v>
      </c>
      <c r="E2484" s="38" t="s">
        <v>3071</v>
      </c>
      <c r="F2484" s="38" t="s">
        <v>13</v>
      </c>
      <c r="G2484" s="38" t="s">
        <v>13</v>
      </c>
      <c r="H2484" s="38" t="s">
        <v>2987</v>
      </c>
      <c r="I2484" s="4"/>
    </row>
    <row r="2485">
      <c r="A2485" s="38">
        <v>2481.0</v>
      </c>
      <c r="B2485" s="38" t="s">
        <v>2949</v>
      </c>
      <c r="C2485" s="38" t="s">
        <v>3072</v>
      </c>
      <c r="D2485" s="38">
        <v>27.0</v>
      </c>
      <c r="E2485" s="38" t="s">
        <v>13</v>
      </c>
      <c r="F2485" s="38" t="s">
        <v>13</v>
      </c>
      <c r="G2485" s="38" t="s">
        <v>3073</v>
      </c>
      <c r="H2485" s="38" t="s">
        <v>3000</v>
      </c>
      <c r="I2485" s="4"/>
    </row>
    <row r="2486">
      <c r="A2486" s="38">
        <v>2482.0</v>
      </c>
      <c r="B2486" s="38" t="s">
        <v>2949</v>
      </c>
      <c r="C2486" s="38" t="s">
        <v>3072</v>
      </c>
      <c r="D2486" s="38">
        <v>14.0</v>
      </c>
      <c r="E2486" s="38">
        <v>3.4273706E8</v>
      </c>
      <c r="F2486" s="38" t="s">
        <v>13</v>
      </c>
      <c r="G2486" s="38" t="s">
        <v>1731</v>
      </c>
      <c r="H2486" s="38" t="s">
        <v>3067</v>
      </c>
      <c r="I2486" s="4"/>
    </row>
    <row r="2487">
      <c r="A2487" s="38">
        <v>2483.0</v>
      </c>
      <c r="B2487" s="38" t="s">
        <v>2949</v>
      </c>
      <c r="C2487" s="38" t="s">
        <v>3074</v>
      </c>
      <c r="D2487" s="38">
        <v>20.0</v>
      </c>
      <c r="E2487" s="38" t="s">
        <v>13</v>
      </c>
      <c r="F2487" s="38" t="s">
        <v>13</v>
      </c>
      <c r="G2487" s="38" t="s">
        <v>13</v>
      </c>
      <c r="H2487" s="38" t="s">
        <v>3075</v>
      </c>
      <c r="I2487" s="4"/>
    </row>
    <row r="2488">
      <c r="A2488" s="38">
        <v>2484.0</v>
      </c>
      <c r="B2488" s="38" t="s">
        <v>2949</v>
      </c>
      <c r="C2488" s="38" t="s">
        <v>3076</v>
      </c>
      <c r="D2488" s="38">
        <v>47.0</v>
      </c>
      <c r="E2488" s="38">
        <v>1.3827925E8</v>
      </c>
      <c r="F2488" s="38" t="s">
        <v>13</v>
      </c>
      <c r="G2488" s="38" t="s">
        <v>1731</v>
      </c>
      <c r="H2488" s="38" t="s">
        <v>2952</v>
      </c>
      <c r="I2488" s="4"/>
    </row>
    <row r="2489">
      <c r="A2489" s="38">
        <v>2485.0</v>
      </c>
      <c r="B2489" s="38" t="s">
        <v>2949</v>
      </c>
      <c r="C2489" s="38" t="s">
        <v>3077</v>
      </c>
      <c r="D2489" s="38">
        <v>24.0</v>
      </c>
      <c r="E2489" s="38" t="s">
        <v>13</v>
      </c>
      <c r="F2489" s="38" t="s">
        <v>13</v>
      </c>
      <c r="G2489" s="38" t="s">
        <v>343</v>
      </c>
      <c r="H2489" s="38" t="s">
        <v>3000</v>
      </c>
      <c r="I2489" s="4"/>
    </row>
    <row r="2490">
      <c r="A2490" s="38">
        <v>2486.0</v>
      </c>
      <c r="B2490" s="38" t="s">
        <v>2949</v>
      </c>
      <c r="C2490" s="38" t="s">
        <v>3078</v>
      </c>
      <c r="D2490" s="38">
        <v>47.0</v>
      </c>
      <c r="E2490" s="38">
        <v>1.3515364E8</v>
      </c>
      <c r="F2490" s="38" t="s">
        <v>13</v>
      </c>
      <c r="G2490" s="38" t="s">
        <v>3079</v>
      </c>
      <c r="H2490" s="38" t="s">
        <v>1731</v>
      </c>
      <c r="I2490" s="4"/>
    </row>
    <row r="2491">
      <c r="A2491" s="38">
        <v>2487.0</v>
      </c>
      <c r="B2491" s="38" t="s">
        <v>2949</v>
      </c>
      <c r="C2491" s="38" t="s">
        <v>3080</v>
      </c>
      <c r="D2491" s="38">
        <v>69.0</v>
      </c>
      <c r="E2491" s="38" t="s">
        <v>13</v>
      </c>
      <c r="F2491" s="38" t="s">
        <v>13</v>
      </c>
      <c r="G2491" s="38" t="s">
        <v>13</v>
      </c>
      <c r="H2491" s="38" t="s">
        <v>3081</v>
      </c>
      <c r="I2491" s="4"/>
    </row>
    <row r="2492">
      <c r="A2492" s="38">
        <v>2488.0</v>
      </c>
      <c r="B2492" s="38" t="s">
        <v>2949</v>
      </c>
      <c r="C2492" s="38" t="s">
        <v>3082</v>
      </c>
      <c r="D2492" s="38">
        <v>28.0</v>
      </c>
      <c r="E2492" s="38" t="s">
        <v>13</v>
      </c>
      <c r="F2492" s="38" t="s">
        <v>13</v>
      </c>
      <c r="G2492" s="38" t="s">
        <v>3083</v>
      </c>
      <c r="H2492" s="38" t="s">
        <v>3000</v>
      </c>
      <c r="I2492" s="4"/>
    </row>
    <row r="2493">
      <c r="A2493" s="38">
        <v>2489.0</v>
      </c>
      <c r="B2493" s="38" t="s">
        <v>2949</v>
      </c>
      <c r="C2493" s="38" t="s">
        <v>3084</v>
      </c>
      <c r="D2493" s="38">
        <v>48.0</v>
      </c>
      <c r="E2493" s="38">
        <v>1.3373135E8</v>
      </c>
      <c r="F2493" s="38" t="s">
        <v>13</v>
      </c>
      <c r="G2493" s="38" t="s">
        <v>1731</v>
      </c>
      <c r="H2493" s="38" t="s">
        <v>2952</v>
      </c>
      <c r="I2493" s="4"/>
    </row>
    <row r="2494">
      <c r="A2494" s="38">
        <v>2490.0</v>
      </c>
      <c r="B2494" s="38" t="s">
        <v>2949</v>
      </c>
      <c r="C2494" s="38" t="s">
        <v>3085</v>
      </c>
      <c r="D2494" s="38">
        <v>49.0</v>
      </c>
      <c r="E2494" s="38" t="s">
        <v>13</v>
      </c>
      <c r="F2494" s="38" t="s">
        <v>13</v>
      </c>
      <c r="G2494" s="38" t="s">
        <v>293</v>
      </c>
      <c r="H2494" s="38" t="s">
        <v>3000</v>
      </c>
      <c r="I2494" s="4"/>
    </row>
    <row r="2495">
      <c r="A2495" s="38">
        <v>2491.0</v>
      </c>
      <c r="B2495" s="38" t="s">
        <v>2949</v>
      </c>
      <c r="C2495" s="38" t="s">
        <v>3086</v>
      </c>
      <c r="D2495" s="38">
        <v>34.0</v>
      </c>
      <c r="E2495" s="38">
        <v>2.4337288E8</v>
      </c>
      <c r="F2495" s="38" t="s">
        <v>13</v>
      </c>
      <c r="G2495" s="38" t="s">
        <v>1731</v>
      </c>
      <c r="H2495" s="38" t="s">
        <v>3067</v>
      </c>
      <c r="I2495" s="4"/>
    </row>
    <row r="2496">
      <c r="A2496" s="38">
        <v>2492.0</v>
      </c>
      <c r="B2496" s="38" t="s">
        <v>2949</v>
      </c>
      <c r="C2496" s="38" t="s">
        <v>3087</v>
      </c>
      <c r="D2496" s="38">
        <v>3.0</v>
      </c>
      <c r="E2496" s="38" t="s">
        <v>13</v>
      </c>
      <c r="F2496" s="38" t="s">
        <v>13</v>
      </c>
      <c r="G2496" s="38" t="s">
        <v>3088</v>
      </c>
      <c r="H2496" s="38" t="s">
        <v>13</v>
      </c>
      <c r="I2496" s="4"/>
    </row>
    <row r="2497">
      <c r="A2497" s="38">
        <v>2493.0</v>
      </c>
      <c r="B2497" s="38" t="s">
        <v>2949</v>
      </c>
      <c r="C2497" s="38" t="s">
        <v>3089</v>
      </c>
      <c r="D2497" s="38">
        <v>34.0</v>
      </c>
      <c r="E2497" s="38" t="s">
        <v>13</v>
      </c>
      <c r="F2497" s="38" t="s">
        <v>13</v>
      </c>
      <c r="G2497" s="38" t="s">
        <v>13</v>
      </c>
      <c r="H2497" s="38" t="s">
        <v>2983</v>
      </c>
      <c r="I2497" s="4"/>
    </row>
    <row r="2498">
      <c r="A2498" s="38">
        <v>2494.0</v>
      </c>
      <c r="B2498" s="38" t="s">
        <v>2949</v>
      </c>
      <c r="C2498" s="38" t="s">
        <v>3090</v>
      </c>
      <c r="D2498" s="38">
        <v>54.0</v>
      </c>
      <c r="E2498" s="38" t="s">
        <v>3091</v>
      </c>
      <c r="F2498" s="38" t="s">
        <v>13</v>
      </c>
      <c r="G2498" s="38" t="s">
        <v>13</v>
      </c>
      <c r="H2498" s="38" t="s">
        <v>2952</v>
      </c>
      <c r="I2498" s="4"/>
    </row>
    <row r="2499">
      <c r="A2499" s="38">
        <v>2495.0</v>
      </c>
      <c r="B2499" s="38" t="s">
        <v>2949</v>
      </c>
      <c r="C2499" s="38" t="s">
        <v>3090</v>
      </c>
      <c r="D2499" s="38">
        <v>54.0</v>
      </c>
      <c r="E2499" s="38">
        <v>1.3531664E8</v>
      </c>
      <c r="F2499" s="38" t="s">
        <v>13</v>
      </c>
      <c r="G2499" s="38" t="s">
        <v>1731</v>
      </c>
      <c r="H2499" s="38" t="s">
        <v>2952</v>
      </c>
      <c r="I2499" s="4"/>
    </row>
    <row r="2500">
      <c r="A2500" s="38">
        <v>2496.0</v>
      </c>
      <c r="B2500" s="38" t="s">
        <v>2949</v>
      </c>
      <c r="C2500" s="38" t="s">
        <v>3092</v>
      </c>
      <c r="D2500" s="38">
        <v>28.0</v>
      </c>
      <c r="E2500" s="38">
        <v>2.5878556E8</v>
      </c>
      <c r="F2500" s="38" t="s">
        <v>13</v>
      </c>
      <c r="G2500" s="38" t="s">
        <v>1499</v>
      </c>
      <c r="H2500" s="38" t="s">
        <v>1731</v>
      </c>
      <c r="I2500" s="4"/>
    </row>
    <row r="2501">
      <c r="A2501" s="38">
        <v>2497.0</v>
      </c>
      <c r="B2501" s="38" t="s">
        <v>2949</v>
      </c>
      <c r="C2501" s="38" t="s">
        <v>3093</v>
      </c>
      <c r="D2501" s="38">
        <v>30.0</v>
      </c>
      <c r="E2501" s="38">
        <v>2.5175345E8</v>
      </c>
      <c r="F2501" s="38" t="s">
        <v>13</v>
      </c>
      <c r="G2501" s="38" t="s">
        <v>1731</v>
      </c>
      <c r="H2501" s="38" t="s">
        <v>2952</v>
      </c>
      <c r="I2501" s="4"/>
    </row>
    <row r="2502">
      <c r="A2502" s="38">
        <v>2498.0</v>
      </c>
      <c r="B2502" s="38" t="s">
        <v>2949</v>
      </c>
      <c r="C2502" s="38" t="s">
        <v>3094</v>
      </c>
      <c r="D2502" s="38">
        <v>68.0</v>
      </c>
      <c r="E2502" s="38" t="s">
        <v>13</v>
      </c>
      <c r="F2502" s="38" t="s">
        <v>13</v>
      </c>
      <c r="G2502" s="38" t="s">
        <v>3095</v>
      </c>
      <c r="H2502" s="38" t="s">
        <v>13</v>
      </c>
      <c r="I2502" s="4"/>
    </row>
    <row r="2503">
      <c r="A2503" s="38">
        <v>2499.0</v>
      </c>
      <c r="B2503" s="38" t="s">
        <v>2949</v>
      </c>
      <c r="C2503" s="38" t="s">
        <v>3096</v>
      </c>
      <c r="D2503" s="38">
        <v>38.0</v>
      </c>
      <c r="E2503" s="38" t="s">
        <v>3097</v>
      </c>
      <c r="F2503" s="38" t="s">
        <v>13</v>
      </c>
      <c r="G2503" s="38" t="s">
        <v>13</v>
      </c>
      <c r="H2503" s="38" t="s">
        <v>2987</v>
      </c>
      <c r="I2503" s="4"/>
    </row>
    <row r="2504">
      <c r="A2504" s="38">
        <v>2500.0</v>
      </c>
      <c r="B2504" s="38" t="s">
        <v>2949</v>
      </c>
      <c r="C2504" s="38" t="s">
        <v>3098</v>
      </c>
      <c r="D2504" s="38">
        <v>44.0</v>
      </c>
      <c r="E2504" s="38" t="s">
        <v>13</v>
      </c>
      <c r="F2504" s="38" t="s">
        <v>13</v>
      </c>
      <c r="G2504" s="38" t="s">
        <v>13</v>
      </c>
      <c r="H2504" s="38" t="s">
        <v>13</v>
      </c>
      <c r="I2504" s="4"/>
    </row>
    <row r="2505">
      <c r="A2505" s="38">
        <v>2501.0</v>
      </c>
      <c r="B2505" s="38" t="s">
        <v>2949</v>
      </c>
      <c r="C2505" s="38" t="s">
        <v>3099</v>
      </c>
      <c r="D2505" s="38">
        <v>29.0</v>
      </c>
      <c r="E2505" s="38" t="s">
        <v>13</v>
      </c>
      <c r="F2505" s="38" t="s">
        <v>13</v>
      </c>
      <c r="G2505" s="38" t="s">
        <v>3100</v>
      </c>
      <c r="H2505" s="38" t="s">
        <v>13</v>
      </c>
      <c r="I2505" s="4"/>
    </row>
    <row r="2506">
      <c r="A2506" s="38">
        <v>2502.0</v>
      </c>
      <c r="B2506" s="38" t="s">
        <v>2949</v>
      </c>
      <c r="C2506" s="38" t="s">
        <v>3101</v>
      </c>
      <c r="D2506" s="38">
        <v>22.0</v>
      </c>
      <c r="E2506" s="38" t="s">
        <v>13</v>
      </c>
      <c r="F2506" s="38" t="s">
        <v>13</v>
      </c>
      <c r="G2506" s="38" t="s">
        <v>3102</v>
      </c>
      <c r="H2506" s="38" t="s">
        <v>13</v>
      </c>
      <c r="I2506" s="4"/>
    </row>
    <row r="2507">
      <c r="A2507" s="38">
        <v>2503.0</v>
      </c>
      <c r="B2507" s="38" t="s">
        <v>2949</v>
      </c>
      <c r="C2507" s="38" t="s">
        <v>3103</v>
      </c>
      <c r="D2507" s="38">
        <v>20.0</v>
      </c>
      <c r="E2507" s="38">
        <v>3.134156E8</v>
      </c>
      <c r="F2507" s="38" t="s">
        <v>13</v>
      </c>
      <c r="G2507" s="38" t="s">
        <v>13</v>
      </c>
      <c r="H2507" s="38" t="s">
        <v>2952</v>
      </c>
      <c r="I2507" s="4"/>
    </row>
    <row r="2508">
      <c r="A2508" s="38">
        <v>2504.0</v>
      </c>
      <c r="B2508" s="38" t="s">
        <v>2949</v>
      </c>
      <c r="C2508" s="38" t="s">
        <v>3103</v>
      </c>
      <c r="D2508" s="38">
        <v>20.0</v>
      </c>
      <c r="E2508" s="38" t="s">
        <v>3104</v>
      </c>
      <c r="F2508" s="38" t="s">
        <v>13</v>
      </c>
      <c r="G2508" s="38" t="s">
        <v>13</v>
      </c>
      <c r="H2508" s="38" t="s">
        <v>2952</v>
      </c>
      <c r="I2508" s="4"/>
    </row>
    <row r="2509">
      <c r="A2509" s="38">
        <v>2505.0</v>
      </c>
      <c r="B2509" s="38" t="s">
        <v>2949</v>
      </c>
      <c r="C2509" s="38" t="s">
        <v>3105</v>
      </c>
      <c r="D2509" s="38">
        <v>46.0</v>
      </c>
      <c r="E2509" s="38" t="s">
        <v>3106</v>
      </c>
      <c r="F2509" s="38" t="s">
        <v>13</v>
      </c>
      <c r="G2509" s="38" t="s">
        <v>13</v>
      </c>
      <c r="H2509" s="38" t="s">
        <v>2987</v>
      </c>
      <c r="I2509" s="4"/>
    </row>
    <row r="2510">
      <c r="A2510" s="38">
        <v>2506.0</v>
      </c>
      <c r="B2510" s="38" t="s">
        <v>2949</v>
      </c>
      <c r="C2510" s="38" t="s">
        <v>3107</v>
      </c>
      <c r="D2510" s="38">
        <v>22.0</v>
      </c>
      <c r="E2510" s="38">
        <v>3.2972237E8</v>
      </c>
      <c r="F2510" s="38" t="s">
        <v>13</v>
      </c>
      <c r="G2510" s="38" t="s">
        <v>13</v>
      </c>
      <c r="H2510" s="38" t="s">
        <v>3108</v>
      </c>
      <c r="I2510" s="4"/>
    </row>
    <row r="2511">
      <c r="A2511" s="38">
        <v>2507.0</v>
      </c>
      <c r="B2511" s="38" t="s">
        <v>2949</v>
      </c>
      <c r="C2511" s="38" t="s">
        <v>3109</v>
      </c>
      <c r="D2511" s="38">
        <v>67.0</v>
      </c>
      <c r="E2511" s="38" t="s">
        <v>13</v>
      </c>
      <c r="F2511" s="38" t="s">
        <v>13</v>
      </c>
      <c r="G2511" s="38" t="s">
        <v>13</v>
      </c>
      <c r="H2511" s="38" t="s">
        <v>2962</v>
      </c>
      <c r="I2511" s="4"/>
    </row>
    <row r="2512">
      <c r="A2512" s="38">
        <v>2508.0</v>
      </c>
      <c r="B2512" s="38" t="s">
        <v>2949</v>
      </c>
      <c r="C2512" s="38" t="s">
        <v>3110</v>
      </c>
      <c r="D2512" s="38">
        <v>45.0</v>
      </c>
      <c r="E2512" s="38" t="s">
        <v>13</v>
      </c>
      <c r="F2512" s="38" t="s">
        <v>13</v>
      </c>
      <c r="G2512" s="38" t="s">
        <v>13</v>
      </c>
      <c r="H2512" s="38" t="s">
        <v>2983</v>
      </c>
      <c r="I2512" s="4"/>
    </row>
    <row r="2513">
      <c r="A2513" s="38">
        <v>2509.0</v>
      </c>
      <c r="B2513" s="38" t="s">
        <v>2949</v>
      </c>
      <c r="C2513" s="38" t="s">
        <v>3111</v>
      </c>
      <c r="D2513" s="38">
        <v>44.0</v>
      </c>
      <c r="E2513" s="38" t="s">
        <v>13</v>
      </c>
      <c r="F2513" s="38" t="s">
        <v>13</v>
      </c>
      <c r="G2513" s="38" t="s">
        <v>13</v>
      </c>
      <c r="H2513" s="38" t="s">
        <v>2983</v>
      </c>
      <c r="I2513" s="4"/>
    </row>
    <row r="2514">
      <c r="A2514" s="38">
        <v>2510.0</v>
      </c>
      <c r="B2514" s="38" t="s">
        <v>2949</v>
      </c>
      <c r="C2514" s="38" t="s">
        <v>3112</v>
      </c>
      <c r="D2514" s="38">
        <v>77.0</v>
      </c>
      <c r="E2514" s="38">
        <v>1.0279036E8</v>
      </c>
      <c r="F2514" s="38" t="s">
        <v>13</v>
      </c>
      <c r="G2514" s="38" t="s">
        <v>1731</v>
      </c>
      <c r="H2514" s="38" t="s">
        <v>2952</v>
      </c>
      <c r="I2514" s="4"/>
    </row>
    <row r="2515">
      <c r="A2515" s="38">
        <v>2511.0</v>
      </c>
      <c r="B2515" s="38" t="s">
        <v>2949</v>
      </c>
      <c r="C2515" s="38" t="s">
        <v>3113</v>
      </c>
      <c r="D2515" s="38">
        <v>35.0</v>
      </c>
      <c r="E2515" s="38">
        <v>1.9915985E8</v>
      </c>
      <c r="F2515" s="38" t="s">
        <v>13</v>
      </c>
      <c r="G2515" s="38" t="s">
        <v>1731</v>
      </c>
      <c r="H2515" s="38" t="s">
        <v>2952</v>
      </c>
      <c r="I2515" s="4"/>
    </row>
    <row r="2516">
      <c r="A2516" s="38">
        <v>2512.0</v>
      </c>
      <c r="B2516" s="38" t="s">
        <v>2949</v>
      </c>
      <c r="C2516" s="38" t="s">
        <v>3114</v>
      </c>
      <c r="D2516" s="38">
        <v>12.0</v>
      </c>
      <c r="E2516" s="38" t="s">
        <v>13</v>
      </c>
      <c r="F2516" s="38" t="s">
        <v>13</v>
      </c>
      <c r="G2516" s="38" t="s">
        <v>13</v>
      </c>
      <c r="H2516" s="38" t="s">
        <v>3032</v>
      </c>
      <c r="I2516" s="4"/>
    </row>
    <row r="2517">
      <c r="A2517" s="38">
        <v>2513.0</v>
      </c>
      <c r="B2517" s="38" t="s">
        <v>2949</v>
      </c>
      <c r="C2517" s="38" t="s">
        <v>3115</v>
      </c>
      <c r="D2517" s="38">
        <v>51.0</v>
      </c>
      <c r="E2517" s="38" t="s">
        <v>13</v>
      </c>
      <c r="F2517" s="38" t="s">
        <v>13</v>
      </c>
      <c r="G2517" s="38" t="s">
        <v>3116</v>
      </c>
      <c r="H2517" s="38" t="s">
        <v>3000</v>
      </c>
      <c r="I2517" s="4"/>
    </row>
    <row r="2518">
      <c r="A2518" s="38">
        <v>2514.0</v>
      </c>
      <c r="B2518" s="38" t="s">
        <v>2949</v>
      </c>
      <c r="C2518" s="38" t="s">
        <v>3117</v>
      </c>
      <c r="D2518" s="38">
        <v>50.0</v>
      </c>
      <c r="E2518" s="38" t="s">
        <v>13</v>
      </c>
      <c r="F2518" s="38" t="s">
        <v>13</v>
      </c>
      <c r="G2518" s="38" t="s">
        <v>3118</v>
      </c>
      <c r="H2518" s="38" t="s">
        <v>3119</v>
      </c>
      <c r="I2518" s="4"/>
    </row>
    <row r="2519">
      <c r="A2519" s="38">
        <v>2515.0</v>
      </c>
      <c r="B2519" s="38" t="s">
        <v>2949</v>
      </c>
      <c r="C2519" s="38" t="s">
        <v>3120</v>
      </c>
      <c r="D2519" s="38">
        <v>49.0</v>
      </c>
      <c r="E2519" s="38" t="s">
        <v>13</v>
      </c>
      <c r="F2519" s="38" t="s">
        <v>13</v>
      </c>
      <c r="G2519" s="38" t="s">
        <v>13</v>
      </c>
      <c r="H2519" s="38" t="s">
        <v>2962</v>
      </c>
      <c r="I2519" s="4"/>
    </row>
    <row r="2520">
      <c r="A2520" s="38">
        <v>2516.0</v>
      </c>
      <c r="B2520" s="38" t="s">
        <v>2949</v>
      </c>
      <c r="C2520" s="38" t="s">
        <v>3121</v>
      </c>
      <c r="D2520" s="38">
        <v>69.0</v>
      </c>
      <c r="E2520" s="38" t="s">
        <v>13</v>
      </c>
      <c r="F2520" s="38" t="s">
        <v>13</v>
      </c>
      <c r="G2520" s="38" t="s">
        <v>13</v>
      </c>
      <c r="H2520" s="38" t="s">
        <v>2962</v>
      </c>
      <c r="I2520" s="4"/>
    </row>
    <row r="2521">
      <c r="A2521" s="38">
        <v>2517.0</v>
      </c>
      <c r="B2521" s="38" t="s">
        <v>2949</v>
      </c>
      <c r="C2521" s="38" t="s">
        <v>3122</v>
      </c>
      <c r="D2521" s="38">
        <v>69.0</v>
      </c>
      <c r="E2521" s="38" t="s">
        <v>13</v>
      </c>
      <c r="F2521" s="38" t="s">
        <v>13</v>
      </c>
      <c r="G2521" s="38" t="s">
        <v>13</v>
      </c>
      <c r="H2521" s="38" t="s">
        <v>2962</v>
      </c>
      <c r="I2521" s="4"/>
    </row>
    <row r="2522">
      <c r="A2522" s="38">
        <v>2518.0</v>
      </c>
      <c r="B2522" s="38" t="s">
        <v>2949</v>
      </c>
      <c r="C2522" s="38" t="s">
        <v>3123</v>
      </c>
      <c r="D2522" s="38">
        <v>46.0</v>
      </c>
      <c r="E2522" s="38">
        <v>1.3853733E8</v>
      </c>
      <c r="F2522" s="38" t="s">
        <v>13</v>
      </c>
      <c r="G2522" s="38" t="s">
        <v>1731</v>
      </c>
      <c r="H2522" s="38" t="s">
        <v>2952</v>
      </c>
      <c r="I2522" s="4"/>
    </row>
    <row r="2523">
      <c r="A2523" s="38">
        <v>2519.0</v>
      </c>
      <c r="B2523" s="38" t="s">
        <v>2949</v>
      </c>
      <c r="C2523" s="38" t="s">
        <v>3124</v>
      </c>
      <c r="D2523" s="38">
        <v>27.0</v>
      </c>
      <c r="E2523" s="38" t="s">
        <v>13</v>
      </c>
      <c r="F2523" s="38" t="s">
        <v>13</v>
      </c>
      <c r="G2523" s="38" t="s">
        <v>13</v>
      </c>
      <c r="H2523" s="38" t="s">
        <v>2962</v>
      </c>
      <c r="I2523" s="4"/>
    </row>
    <row r="2524">
      <c r="A2524" s="38">
        <v>2520.0</v>
      </c>
      <c r="B2524" s="38" t="s">
        <v>2949</v>
      </c>
      <c r="C2524" s="38" t="s">
        <v>3124</v>
      </c>
      <c r="D2524" s="38">
        <v>28.0</v>
      </c>
      <c r="E2524" s="38" t="s">
        <v>13</v>
      </c>
      <c r="F2524" s="38" t="s">
        <v>13</v>
      </c>
      <c r="G2524" s="38" t="s">
        <v>13</v>
      </c>
      <c r="H2524" s="38" t="s">
        <v>2962</v>
      </c>
      <c r="I2524" s="4"/>
    </row>
    <row r="2525">
      <c r="A2525" s="38">
        <v>2521.0</v>
      </c>
      <c r="B2525" s="38" t="s">
        <v>2949</v>
      </c>
      <c r="C2525" s="38" t="s">
        <v>3125</v>
      </c>
      <c r="D2525" s="38">
        <v>49.0</v>
      </c>
      <c r="E2525" s="38" t="s">
        <v>13</v>
      </c>
      <c r="F2525" s="38" t="s">
        <v>13</v>
      </c>
      <c r="G2525" s="38" t="s">
        <v>13</v>
      </c>
      <c r="H2525" s="38" t="s">
        <v>3126</v>
      </c>
      <c r="I2525" s="4"/>
    </row>
    <row r="2526">
      <c r="A2526" s="38">
        <v>2522.0</v>
      </c>
      <c r="B2526" s="38" t="s">
        <v>2949</v>
      </c>
      <c r="C2526" s="38" t="s">
        <v>3127</v>
      </c>
      <c r="D2526" s="38">
        <v>64.0</v>
      </c>
      <c r="E2526" s="38">
        <v>8.617776E7</v>
      </c>
      <c r="F2526" s="38" t="s">
        <v>13</v>
      </c>
      <c r="G2526" s="38" t="s">
        <v>1731</v>
      </c>
      <c r="H2526" s="38" t="s">
        <v>2952</v>
      </c>
      <c r="I2526" s="4"/>
    </row>
    <row r="2527">
      <c r="A2527" s="38">
        <v>2523.0</v>
      </c>
      <c r="B2527" s="38" t="s">
        <v>2949</v>
      </c>
      <c r="C2527" s="38" t="s">
        <v>3128</v>
      </c>
      <c r="D2527" s="38">
        <v>40.0</v>
      </c>
      <c r="E2527" s="38">
        <v>1.8915676E8</v>
      </c>
      <c r="F2527" s="38" t="s">
        <v>13</v>
      </c>
      <c r="G2527" s="38" t="s">
        <v>1503</v>
      </c>
      <c r="H2527" s="38" t="s">
        <v>1731</v>
      </c>
      <c r="I2527" s="4"/>
    </row>
    <row r="2528">
      <c r="A2528" s="38">
        <v>2524.0</v>
      </c>
      <c r="B2528" s="38" t="s">
        <v>2949</v>
      </c>
      <c r="C2528" s="38" t="s">
        <v>3129</v>
      </c>
      <c r="D2528" s="38">
        <v>22.0</v>
      </c>
      <c r="E2528" s="38" t="s">
        <v>13</v>
      </c>
      <c r="F2528" s="38" t="s">
        <v>13</v>
      </c>
      <c r="G2528" s="38" t="s">
        <v>3130</v>
      </c>
      <c r="H2528" s="38" t="s">
        <v>13</v>
      </c>
      <c r="I2528" s="4"/>
    </row>
    <row r="2529">
      <c r="A2529" s="38">
        <v>2525.0</v>
      </c>
      <c r="B2529" s="38" t="s">
        <v>2949</v>
      </c>
      <c r="C2529" s="38" t="s">
        <v>3131</v>
      </c>
      <c r="D2529" s="38">
        <v>30.0</v>
      </c>
      <c r="E2529" s="38" t="s">
        <v>13</v>
      </c>
      <c r="F2529" s="38" t="s">
        <v>13</v>
      </c>
      <c r="G2529" s="38" t="s">
        <v>3132</v>
      </c>
      <c r="H2529" s="38" t="s">
        <v>13</v>
      </c>
      <c r="I2529" s="4"/>
    </row>
    <row r="2530">
      <c r="A2530" s="38">
        <v>2526.0</v>
      </c>
      <c r="B2530" s="38" t="s">
        <v>2949</v>
      </c>
      <c r="C2530" s="38" t="s">
        <v>3133</v>
      </c>
      <c r="D2530" s="38">
        <v>56.0</v>
      </c>
      <c r="E2530" s="38" t="s">
        <v>13</v>
      </c>
      <c r="F2530" s="38" t="s">
        <v>13</v>
      </c>
      <c r="G2530" s="38" t="s">
        <v>3134</v>
      </c>
      <c r="H2530" s="38" t="s">
        <v>13</v>
      </c>
      <c r="I2530" s="4"/>
    </row>
    <row r="2531">
      <c r="A2531" s="38">
        <v>2527.0</v>
      </c>
      <c r="B2531" s="38" t="s">
        <v>2949</v>
      </c>
      <c r="C2531" s="38" t="s">
        <v>3135</v>
      </c>
      <c r="D2531" s="38">
        <v>36.0</v>
      </c>
      <c r="E2531" s="38" t="s">
        <v>13</v>
      </c>
      <c r="F2531" s="38" t="s">
        <v>13</v>
      </c>
      <c r="G2531" s="38" t="s">
        <v>13</v>
      </c>
      <c r="H2531" s="38" t="s">
        <v>13</v>
      </c>
      <c r="I2531" s="4"/>
    </row>
    <row r="2532">
      <c r="A2532" s="38">
        <v>2528.0</v>
      </c>
      <c r="B2532" s="38" t="s">
        <v>2949</v>
      </c>
      <c r="C2532" s="38" t="s">
        <v>3136</v>
      </c>
      <c r="D2532" s="38">
        <v>37.0</v>
      </c>
      <c r="E2532" s="38" t="s">
        <v>13</v>
      </c>
      <c r="F2532" s="38" t="s">
        <v>13</v>
      </c>
      <c r="G2532" s="38" t="s">
        <v>13</v>
      </c>
      <c r="H2532" s="38" t="s">
        <v>2962</v>
      </c>
      <c r="I2532" s="4"/>
    </row>
    <row r="2533">
      <c r="A2533" s="38">
        <v>2529.0</v>
      </c>
      <c r="B2533" s="38" t="s">
        <v>2949</v>
      </c>
      <c r="C2533" s="38" t="s">
        <v>3136</v>
      </c>
      <c r="D2533" s="38">
        <v>45.0</v>
      </c>
      <c r="E2533" s="38" t="s">
        <v>13</v>
      </c>
      <c r="F2533" s="38" t="s">
        <v>13</v>
      </c>
      <c r="G2533" s="38" t="s">
        <v>13</v>
      </c>
      <c r="H2533" s="38" t="s">
        <v>3137</v>
      </c>
      <c r="I2533" s="4"/>
    </row>
    <row r="2534">
      <c r="A2534" s="38">
        <v>2530.0</v>
      </c>
      <c r="B2534" s="38" t="s">
        <v>2949</v>
      </c>
      <c r="C2534" s="38" t="s">
        <v>3138</v>
      </c>
      <c r="D2534" s="38">
        <v>30.0</v>
      </c>
      <c r="E2534" s="38" t="s">
        <v>13</v>
      </c>
      <c r="F2534" s="38" t="s">
        <v>13</v>
      </c>
      <c r="G2534" s="38" t="s">
        <v>3139</v>
      </c>
      <c r="H2534" s="38" t="s">
        <v>13</v>
      </c>
      <c r="I2534" s="4"/>
    </row>
    <row r="2535">
      <c r="A2535" s="38">
        <v>2531.0</v>
      </c>
      <c r="B2535" s="38" t="s">
        <v>2949</v>
      </c>
      <c r="C2535" s="38" t="s">
        <v>3140</v>
      </c>
      <c r="D2535" s="38">
        <v>75.0</v>
      </c>
      <c r="E2535" s="38">
        <v>5.64155E7</v>
      </c>
      <c r="F2535" s="38" t="s">
        <v>13</v>
      </c>
      <c r="G2535" s="38" t="s">
        <v>1731</v>
      </c>
      <c r="H2535" s="38" t="s">
        <v>2973</v>
      </c>
      <c r="I2535" s="4"/>
    </row>
    <row r="2536">
      <c r="A2536" s="38">
        <v>2532.0</v>
      </c>
      <c r="B2536" s="38" t="s">
        <v>2949</v>
      </c>
      <c r="C2536" s="38" t="s">
        <v>3141</v>
      </c>
      <c r="D2536" s="38">
        <v>15.0</v>
      </c>
      <c r="E2536" s="38" t="s">
        <v>13</v>
      </c>
      <c r="F2536" s="38" t="s">
        <v>13</v>
      </c>
      <c r="G2536" s="38" t="s">
        <v>3142</v>
      </c>
      <c r="H2536" s="38" t="s">
        <v>13</v>
      </c>
      <c r="I2536" s="4"/>
    </row>
    <row r="2537">
      <c r="A2537" s="38">
        <v>2533.0</v>
      </c>
      <c r="B2537" s="38" t="s">
        <v>2949</v>
      </c>
      <c r="C2537" s="38" t="s">
        <v>3143</v>
      </c>
      <c r="D2537" s="38">
        <v>15.0</v>
      </c>
      <c r="E2537" s="38" t="s">
        <v>13</v>
      </c>
      <c r="F2537" s="38" t="s">
        <v>13</v>
      </c>
      <c r="G2537" s="38" t="s">
        <v>13</v>
      </c>
      <c r="H2537" s="38" t="s">
        <v>13</v>
      </c>
      <c r="I2537" s="4"/>
    </row>
    <row r="2538">
      <c r="A2538" s="38">
        <v>2534.0</v>
      </c>
      <c r="B2538" s="38" t="s">
        <v>2949</v>
      </c>
      <c r="C2538" s="38" t="s">
        <v>3144</v>
      </c>
      <c r="D2538" s="38">
        <v>52.0</v>
      </c>
      <c r="E2538" s="38" t="s">
        <v>3145</v>
      </c>
      <c r="F2538" s="38" t="s">
        <v>13</v>
      </c>
      <c r="G2538" s="38" t="s">
        <v>13</v>
      </c>
      <c r="H2538" s="38" t="s">
        <v>2952</v>
      </c>
      <c r="I2538" s="4"/>
    </row>
    <row r="2539">
      <c r="A2539" s="38">
        <v>2535.0</v>
      </c>
      <c r="B2539" s="38" t="s">
        <v>2949</v>
      </c>
      <c r="C2539" s="38" t="s">
        <v>3146</v>
      </c>
      <c r="D2539" s="38">
        <v>62.0</v>
      </c>
      <c r="E2539" s="38" t="s">
        <v>3147</v>
      </c>
      <c r="F2539" s="38" t="s">
        <v>13</v>
      </c>
      <c r="G2539" s="38" t="s">
        <v>13</v>
      </c>
      <c r="H2539" s="38" t="s">
        <v>2952</v>
      </c>
      <c r="I2539" s="4"/>
    </row>
    <row r="2540">
      <c r="A2540" s="38">
        <v>2536.0</v>
      </c>
      <c r="B2540" s="38" t="s">
        <v>2949</v>
      </c>
      <c r="C2540" s="38" t="s">
        <v>3146</v>
      </c>
      <c r="D2540" s="38">
        <v>62.0</v>
      </c>
      <c r="E2540" s="38">
        <v>6.887465E7</v>
      </c>
      <c r="F2540" s="38" t="s">
        <v>13</v>
      </c>
      <c r="G2540" s="38" t="s">
        <v>1731</v>
      </c>
      <c r="H2540" s="38" t="s">
        <v>2952</v>
      </c>
      <c r="I2540" s="4"/>
    </row>
    <row r="2541">
      <c r="A2541" s="38">
        <v>2537.0</v>
      </c>
      <c r="B2541" s="38" t="s">
        <v>2949</v>
      </c>
      <c r="C2541" s="38" t="s">
        <v>3148</v>
      </c>
      <c r="D2541" s="38">
        <v>34.0</v>
      </c>
      <c r="E2541" s="38" t="s">
        <v>13</v>
      </c>
      <c r="F2541" s="38" t="s">
        <v>13</v>
      </c>
      <c r="G2541" s="38" t="s">
        <v>13</v>
      </c>
      <c r="H2541" s="38" t="s">
        <v>3032</v>
      </c>
      <c r="I2541" s="4"/>
    </row>
    <row r="2542">
      <c r="A2542" s="38">
        <v>2538.0</v>
      </c>
      <c r="B2542" s="38" t="s">
        <v>2949</v>
      </c>
      <c r="C2542" s="38" t="s">
        <v>3148</v>
      </c>
      <c r="D2542" s="38">
        <v>72.0</v>
      </c>
      <c r="E2542" s="38" t="s">
        <v>13</v>
      </c>
      <c r="F2542" s="38" t="s">
        <v>13</v>
      </c>
      <c r="G2542" s="38" t="s">
        <v>13</v>
      </c>
      <c r="H2542" s="38" t="s">
        <v>3126</v>
      </c>
      <c r="I2542" s="4"/>
    </row>
    <row r="2543">
      <c r="A2543" s="38">
        <v>2539.0</v>
      </c>
      <c r="B2543" s="38" t="s">
        <v>2949</v>
      </c>
      <c r="C2543" s="38" t="s">
        <v>3149</v>
      </c>
      <c r="D2543" s="38">
        <v>44.0</v>
      </c>
      <c r="E2543" s="38" t="s">
        <v>13</v>
      </c>
      <c r="F2543" s="38" t="s">
        <v>13</v>
      </c>
      <c r="G2543" s="38" t="s">
        <v>13</v>
      </c>
      <c r="H2543" s="38" t="s">
        <v>2983</v>
      </c>
      <c r="I2543" s="4"/>
    </row>
    <row r="2544">
      <c r="A2544" s="38">
        <v>2540.0</v>
      </c>
      <c r="B2544" s="38" t="s">
        <v>2949</v>
      </c>
      <c r="C2544" s="38" t="s">
        <v>3150</v>
      </c>
      <c r="D2544" s="38">
        <v>45.0</v>
      </c>
      <c r="E2544" s="38" t="s">
        <v>13</v>
      </c>
      <c r="F2544" s="38" t="s">
        <v>13</v>
      </c>
      <c r="G2544" s="38" t="s">
        <v>13</v>
      </c>
      <c r="H2544" s="38" t="s">
        <v>3137</v>
      </c>
      <c r="I2544" s="4"/>
    </row>
    <row r="2545">
      <c r="A2545" s="38">
        <v>2541.0</v>
      </c>
      <c r="B2545" s="38" t="s">
        <v>2949</v>
      </c>
      <c r="C2545" s="38" t="s">
        <v>3151</v>
      </c>
      <c r="D2545" s="38">
        <v>25.0</v>
      </c>
      <c r="E2545" s="38">
        <v>2.9591963E8</v>
      </c>
      <c r="F2545" s="38" t="s">
        <v>13</v>
      </c>
      <c r="G2545" s="38" t="s">
        <v>330</v>
      </c>
      <c r="H2545" s="38" t="s">
        <v>1731</v>
      </c>
      <c r="I2545" s="4"/>
    </row>
    <row r="2546">
      <c r="A2546" s="38">
        <v>2542.0</v>
      </c>
      <c r="B2546" s="38" t="s">
        <v>2949</v>
      </c>
      <c r="C2546" s="38" t="s">
        <v>3152</v>
      </c>
      <c r="D2546" s="38">
        <v>57.0</v>
      </c>
      <c r="E2546" s="38">
        <v>1.0073429E8</v>
      </c>
      <c r="F2546" s="38" t="s">
        <v>13</v>
      </c>
      <c r="G2546" s="38" t="s">
        <v>1731</v>
      </c>
      <c r="H2546" s="38" t="s">
        <v>2973</v>
      </c>
      <c r="I2546" s="4"/>
    </row>
    <row r="2547">
      <c r="A2547" s="38">
        <v>2543.0</v>
      </c>
      <c r="B2547" s="38" t="s">
        <v>2949</v>
      </c>
      <c r="C2547" s="38" t="s">
        <v>3153</v>
      </c>
      <c r="D2547" s="38">
        <v>45.0</v>
      </c>
      <c r="E2547" s="38" t="s">
        <v>13</v>
      </c>
      <c r="F2547" s="38" t="s">
        <v>13</v>
      </c>
      <c r="G2547" s="38" t="s">
        <v>3010</v>
      </c>
      <c r="H2547" s="38" t="s">
        <v>3000</v>
      </c>
      <c r="I2547" s="4"/>
    </row>
    <row r="2548">
      <c r="A2548" s="38">
        <v>2544.0</v>
      </c>
      <c r="B2548" s="38" t="s">
        <v>2949</v>
      </c>
      <c r="C2548" s="38" t="s">
        <v>3154</v>
      </c>
      <c r="D2548" s="38">
        <v>39.0</v>
      </c>
      <c r="E2548" s="38" t="s">
        <v>3155</v>
      </c>
      <c r="F2548" s="38" t="s">
        <v>13</v>
      </c>
      <c r="G2548" s="38" t="s">
        <v>13</v>
      </c>
      <c r="H2548" s="38" t="s">
        <v>2952</v>
      </c>
      <c r="I2548" s="4"/>
    </row>
    <row r="2549">
      <c r="A2549" s="38">
        <v>2545.0</v>
      </c>
      <c r="B2549" s="38" t="s">
        <v>2949</v>
      </c>
      <c r="C2549" s="38" t="s">
        <v>3156</v>
      </c>
      <c r="D2549" s="38">
        <v>34.0</v>
      </c>
      <c r="E2549" s="38" t="s">
        <v>3157</v>
      </c>
      <c r="F2549" s="38" t="s">
        <v>13</v>
      </c>
      <c r="G2549" s="38" t="s">
        <v>13</v>
      </c>
      <c r="H2549" s="38" t="s">
        <v>2987</v>
      </c>
      <c r="I2549" s="4"/>
    </row>
    <row r="2550">
      <c r="A2550" s="38">
        <v>2546.0</v>
      </c>
      <c r="B2550" s="38" t="s">
        <v>2949</v>
      </c>
      <c r="C2550" s="38" t="s">
        <v>3156</v>
      </c>
      <c r="D2550" s="38">
        <v>34.0</v>
      </c>
      <c r="E2550" s="38">
        <v>2.4331288E8</v>
      </c>
      <c r="F2550" s="38" t="s">
        <v>13</v>
      </c>
      <c r="G2550" s="38" t="s">
        <v>1731</v>
      </c>
      <c r="H2550" s="38" t="s">
        <v>2952</v>
      </c>
      <c r="I2550" s="4"/>
    </row>
    <row r="2551">
      <c r="A2551" s="38">
        <v>2547.0</v>
      </c>
      <c r="B2551" s="38" t="s">
        <v>2949</v>
      </c>
      <c r="C2551" s="38" t="s">
        <v>3158</v>
      </c>
      <c r="D2551" s="38">
        <v>70.0</v>
      </c>
      <c r="E2551" s="38" t="s">
        <v>13</v>
      </c>
      <c r="F2551" s="38" t="s">
        <v>13</v>
      </c>
      <c r="G2551" s="38" t="s">
        <v>13</v>
      </c>
      <c r="H2551" s="38" t="s">
        <v>3159</v>
      </c>
      <c r="I2551" s="4"/>
    </row>
    <row r="2552">
      <c r="A2552" s="38">
        <v>2548.0</v>
      </c>
      <c r="B2552" s="38" t="s">
        <v>2949</v>
      </c>
      <c r="C2552" s="38" t="s">
        <v>3160</v>
      </c>
      <c r="D2552" s="38">
        <v>24.0</v>
      </c>
      <c r="E2552" s="38" t="s">
        <v>13</v>
      </c>
      <c r="F2552" s="38" t="s">
        <v>13</v>
      </c>
      <c r="G2552" s="38" t="s">
        <v>13</v>
      </c>
      <c r="H2552" s="38" t="s">
        <v>13</v>
      </c>
      <c r="I2552" s="4"/>
    </row>
    <row r="2553">
      <c r="A2553" s="38">
        <v>2549.0</v>
      </c>
      <c r="B2553" s="38" t="s">
        <v>2949</v>
      </c>
      <c r="C2553" s="38" t="s">
        <v>3161</v>
      </c>
      <c r="D2553" s="38">
        <v>24.0</v>
      </c>
      <c r="E2553" s="38" t="s">
        <v>13</v>
      </c>
      <c r="F2553" s="38" t="s">
        <v>13</v>
      </c>
      <c r="G2553" s="38" t="s">
        <v>3162</v>
      </c>
      <c r="H2553" s="38" t="s">
        <v>13</v>
      </c>
      <c r="I2553" s="4"/>
    </row>
    <row r="2554">
      <c r="A2554" s="38">
        <v>2550.0</v>
      </c>
      <c r="B2554" s="38" t="s">
        <v>2949</v>
      </c>
      <c r="C2554" s="38" t="s">
        <v>3163</v>
      </c>
      <c r="D2554" s="38">
        <v>49.0</v>
      </c>
      <c r="E2554" s="38" t="s">
        <v>13</v>
      </c>
      <c r="F2554" s="38" t="s">
        <v>13</v>
      </c>
      <c r="G2554" s="38" t="s">
        <v>3164</v>
      </c>
      <c r="H2554" s="38" t="s">
        <v>3000</v>
      </c>
      <c r="I2554" s="4"/>
    </row>
    <row r="2555">
      <c r="A2555" s="38">
        <v>2551.0</v>
      </c>
      <c r="B2555" s="38" t="s">
        <v>2949</v>
      </c>
      <c r="C2555" s="38" t="s">
        <v>3165</v>
      </c>
      <c r="D2555" s="38">
        <v>49.0</v>
      </c>
      <c r="E2555" s="38" t="s">
        <v>13</v>
      </c>
      <c r="F2555" s="38" t="s">
        <v>13</v>
      </c>
      <c r="G2555" s="38" t="s">
        <v>13</v>
      </c>
      <c r="H2555" s="38" t="s">
        <v>3166</v>
      </c>
      <c r="I2555" s="4"/>
    </row>
    <row r="2556">
      <c r="A2556" s="38">
        <v>2552.0</v>
      </c>
      <c r="B2556" s="38" t="s">
        <v>2949</v>
      </c>
      <c r="C2556" s="38" t="s">
        <v>3167</v>
      </c>
      <c r="D2556" s="38">
        <v>40.0</v>
      </c>
      <c r="E2556" s="38" t="s">
        <v>13</v>
      </c>
      <c r="F2556" s="38" t="s">
        <v>13</v>
      </c>
      <c r="G2556" s="38" t="s">
        <v>3168</v>
      </c>
      <c r="H2556" s="38" t="s">
        <v>3000</v>
      </c>
      <c r="I2556" s="4"/>
    </row>
    <row r="2557">
      <c r="A2557" s="38">
        <v>2553.0</v>
      </c>
      <c r="B2557" s="38" t="s">
        <v>2949</v>
      </c>
      <c r="C2557" s="38" t="s">
        <v>3169</v>
      </c>
      <c r="D2557" s="38">
        <v>70.0</v>
      </c>
      <c r="E2557" s="38">
        <v>5.139601E7</v>
      </c>
      <c r="F2557" s="38" t="s">
        <v>13</v>
      </c>
      <c r="G2557" s="38" t="s">
        <v>1731</v>
      </c>
      <c r="H2557" s="38" t="s">
        <v>2973</v>
      </c>
      <c r="I2557" s="4"/>
    </row>
    <row r="2558">
      <c r="A2558" s="38">
        <v>2554.0</v>
      </c>
      <c r="B2558" s="38" t="s">
        <v>2949</v>
      </c>
      <c r="C2558" s="38" t="s">
        <v>3170</v>
      </c>
      <c r="D2558" s="38">
        <v>45.0</v>
      </c>
      <c r="E2558" s="38">
        <v>1.5541032E8</v>
      </c>
      <c r="F2558" s="38" t="s">
        <v>13</v>
      </c>
      <c r="G2558" s="38" t="s">
        <v>1731</v>
      </c>
      <c r="H2558" s="38" t="s">
        <v>2952</v>
      </c>
      <c r="I2558" s="4"/>
    </row>
    <row r="2559">
      <c r="A2559" s="38">
        <v>2555.0</v>
      </c>
      <c r="B2559" s="38" t="s">
        <v>2949</v>
      </c>
      <c r="C2559" s="38" t="s">
        <v>3171</v>
      </c>
      <c r="D2559" s="38">
        <v>72.0</v>
      </c>
      <c r="E2559" s="38" t="s">
        <v>13</v>
      </c>
      <c r="F2559" s="38" t="s">
        <v>13</v>
      </c>
      <c r="G2559" s="38" t="s">
        <v>3172</v>
      </c>
      <c r="H2559" s="38" t="s">
        <v>3000</v>
      </c>
      <c r="I2559" s="4"/>
    </row>
    <row r="2560">
      <c r="A2560" s="38">
        <v>2556.0</v>
      </c>
      <c r="B2560" s="38" t="s">
        <v>2949</v>
      </c>
      <c r="C2560" s="38" t="s">
        <v>3173</v>
      </c>
      <c r="D2560" s="38">
        <v>37.0</v>
      </c>
      <c r="E2560" s="38" t="s">
        <v>13</v>
      </c>
      <c r="F2560" s="38" t="s">
        <v>13</v>
      </c>
      <c r="G2560" s="38" t="s">
        <v>13</v>
      </c>
      <c r="H2560" s="38" t="s">
        <v>3174</v>
      </c>
      <c r="I2560" s="4"/>
    </row>
    <row r="2561">
      <c r="A2561" s="38">
        <v>2557.0</v>
      </c>
      <c r="B2561" s="38" t="s">
        <v>2949</v>
      </c>
      <c r="C2561" s="38" t="s">
        <v>3175</v>
      </c>
      <c r="D2561" s="38">
        <v>26.0</v>
      </c>
      <c r="E2561" s="38" t="s">
        <v>13</v>
      </c>
      <c r="F2561" s="38" t="s">
        <v>13</v>
      </c>
      <c r="G2561" s="38" t="s">
        <v>13</v>
      </c>
      <c r="H2561" s="38" t="s">
        <v>2993</v>
      </c>
      <c r="I2561" s="4"/>
    </row>
    <row r="2562">
      <c r="A2562" s="38">
        <v>2558.0</v>
      </c>
      <c r="B2562" s="38" t="s">
        <v>2949</v>
      </c>
      <c r="C2562" s="38" t="s">
        <v>3176</v>
      </c>
      <c r="D2562" s="38">
        <v>37.0</v>
      </c>
      <c r="E2562" s="38" t="s">
        <v>13</v>
      </c>
      <c r="F2562" s="38" t="s">
        <v>13</v>
      </c>
      <c r="G2562" s="38" t="s">
        <v>3177</v>
      </c>
      <c r="H2562" s="38" t="s">
        <v>3000</v>
      </c>
      <c r="I2562" s="4"/>
    </row>
    <row r="2563">
      <c r="A2563" s="38">
        <v>2559.0</v>
      </c>
      <c r="B2563" s="38" t="s">
        <v>2949</v>
      </c>
      <c r="C2563" s="38" t="s">
        <v>3176</v>
      </c>
      <c r="D2563" s="38">
        <v>27.0</v>
      </c>
      <c r="E2563" s="38">
        <v>2.0558047E8</v>
      </c>
      <c r="F2563" s="38" t="s">
        <v>13</v>
      </c>
      <c r="G2563" s="38" t="s">
        <v>1731</v>
      </c>
      <c r="H2563" s="38" t="s">
        <v>2952</v>
      </c>
      <c r="I2563" s="4"/>
    </row>
    <row r="2564">
      <c r="A2564" s="38">
        <v>2560.0</v>
      </c>
      <c r="B2564" s="38" t="s">
        <v>2949</v>
      </c>
      <c r="C2564" s="38" t="s">
        <v>3178</v>
      </c>
      <c r="D2564" s="38">
        <v>21.0</v>
      </c>
      <c r="E2564" s="38" t="s">
        <v>13</v>
      </c>
      <c r="F2564" s="38" t="s">
        <v>13</v>
      </c>
      <c r="G2564" s="38" t="s">
        <v>3179</v>
      </c>
      <c r="H2564" s="38" t="s">
        <v>13</v>
      </c>
      <c r="I2564" s="4"/>
    </row>
    <row r="2565">
      <c r="A2565" s="38">
        <v>2561.0</v>
      </c>
      <c r="B2565" s="38" t="s">
        <v>2949</v>
      </c>
      <c r="C2565" s="38" t="s">
        <v>3180</v>
      </c>
      <c r="D2565" s="38">
        <v>32.0</v>
      </c>
      <c r="E2565" s="38" t="s">
        <v>13</v>
      </c>
      <c r="F2565" s="38" t="s">
        <v>13</v>
      </c>
      <c r="G2565" s="38" t="s">
        <v>3181</v>
      </c>
      <c r="H2565" s="38" t="s">
        <v>13</v>
      </c>
      <c r="I2565" s="4"/>
    </row>
    <row r="2566">
      <c r="A2566" s="38">
        <v>2562.0</v>
      </c>
      <c r="B2566" s="38" t="s">
        <v>2949</v>
      </c>
      <c r="C2566" s="38" t="s">
        <v>3182</v>
      </c>
      <c r="D2566" s="38">
        <v>31.0</v>
      </c>
      <c r="E2566" s="38" t="s">
        <v>13</v>
      </c>
      <c r="F2566" s="38" t="s">
        <v>13</v>
      </c>
      <c r="G2566" s="38" t="s">
        <v>13</v>
      </c>
      <c r="H2566" s="38" t="s">
        <v>2983</v>
      </c>
      <c r="I2566" s="4"/>
    </row>
    <row r="2567">
      <c r="A2567" s="38">
        <v>2563.0</v>
      </c>
      <c r="B2567" s="38" t="s">
        <v>2949</v>
      </c>
      <c r="C2567" s="38" t="s">
        <v>3182</v>
      </c>
      <c r="D2567" s="38">
        <v>6.0</v>
      </c>
      <c r="E2567" s="38" t="s">
        <v>13</v>
      </c>
      <c r="F2567" s="38" t="s">
        <v>13</v>
      </c>
      <c r="G2567" s="38" t="s">
        <v>13</v>
      </c>
      <c r="H2567" s="38" t="s">
        <v>2983</v>
      </c>
      <c r="I2567" s="4"/>
    </row>
    <row r="2568">
      <c r="A2568" s="38">
        <v>2564.0</v>
      </c>
      <c r="B2568" s="38" t="s">
        <v>2949</v>
      </c>
      <c r="C2568" s="38" t="s">
        <v>3183</v>
      </c>
      <c r="D2568" s="38">
        <v>6.0</v>
      </c>
      <c r="E2568" s="38" t="s">
        <v>13</v>
      </c>
      <c r="F2568" s="38" t="s">
        <v>13</v>
      </c>
      <c r="G2568" s="38" t="s">
        <v>13</v>
      </c>
      <c r="H2568" s="38" t="s">
        <v>2983</v>
      </c>
      <c r="I2568" s="4"/>
    </row>
    <row r="2569">
      <c r="A2569" s="38">
        <v>2565.0</v>
      </c>
      <c r="B2569" s="38" t="s">
        <v>2949</v>
      </c>
      <c r="C2569" s="38" t="s">
        <v>3184</v>
      </c>
      <c r="D2569" s="38">
        <v>65.0</v>
      </c>
      <c r="E2569" s="38" t="s">
        <v>13</v>
      </c>
      <c r="F2569" s="38" t="s">
        <v>13</v>
      </c>
      <c r="G2569" s="38" t="s">
        <v>3185</v>
      </c>
      <c r="H2569" s="38" t="s">
        <v>13</v>
      </c>
      <c r="I2569" s="4"/>
    </row>
    <row r="2570">
      <c r="A2570" s="38">
        <v>2566.0</v>
      </c>
      <c r="B2570" s="38" t="s">
        <v>2949</v>
      </c>
      <c r="C2570" s="38" t="s">
        <v>3186</v>
      </c>
      <c r="D2570" s="38">
        <v>51.0</v>
      </c>
      <c r="E2570" s="38" t="s">
        <v>13</v>
      </c>
      <c r="F2570" s="38" t="s">
        <v>13</v>
      </c>
      <c r="G2570" s="38" t="s">
        <v>3139</v>
      </c>
      <c r="H2570" s="38" t="s">
        <v>13</v>
      </c>
      <c r="I2570" s="4"/>
    </row>
    <row r="2571">
      <c r="A2571" s="38">
        <v>2567.0</v>
      </c>
      <c r="B2571" s="38" t="s">
        <v>2949</v>
      </c>
      <c r="C2571" s="38" t="s">
        <v>3187</v>
      </c>
      <c r="D2571" s="38">
        <v>31.0</v>
      </c>
      <c r="E2571" s="38" t="s">
        <v>13</v>
      </c>
      <c r="F2571" s="38" t="s">
        <v>13</v>
      </c>
      <c r="G2571" s="38" t="s">
        <v>13</v>
      </c>
      <c r="H2571" s="38" t="s">
        <v>3188</v>
      </c>
      <c r="I2571" s="4"/>
    </row>
    <row r="2572">
      <c r="A2572" s="38">
        <v>2568.0</v>
      </c>
      <c r="B2572" s="38" t="s">
        <v>2949</v>
      </c>
      <c r="C2572" s="38" t="s">
        <v>3189</v>
      </c>
      <c r="D2572" s="38">
        <v>31.0</v>
      </c>
      <c r="E2572" s="38" t="s">
        <v>13</v>
      </c>
      <c r="F2572" s="38" t="s">
        <v>13</v>
      </c>
      <c r="G2572" s="38" t="s">
        <v>13</v>
      </c>
      <c r="H2572" s="38" t="s">
        <v>2983</v>
      </c>
      <c r="I2572" s="4"/>
    </row>
    <row r="2573">
      <c r="A2573" s="38">
        <v>2569.0</v>
      </c>
      <c r="B2573" s="38" t="s">
        <v>2949</v>
      </c>
      <c r="C2573" s="38" t="s">
        <v>3190</v>
      </c>
      <c r="D2573" s="38">
        <v>8.0</v>
      </c>
      <c r="E2573" s="38" t="s">
        <v>13</v>
      </c>
      <c r="F2573" s="38" t="s">
        <v>13</v>
      </c>
      <c r="G2573" s="38" t="s">
        <v>13</v>
      </c>
      <c r="H2573" s="38" t="s">
        <v>2952</v>
      </c>
      <c r="I2573" s="4"/>
    </row>
    <row r="2574">
      <c r="A2574" s="38">
        <v>2570.0</v>
      </c>
      <c r="B2574" s="38" t="s">
        <v>2949</v>
      </c>
      <c r="C2574" s="38" t="s">
        <v>3191</v>
      </c>
      <c r="D2574" s="38">
        <v>61.0</v>
      </c>
      <c r="E2574" s="38" t="s">
        <v>3192</v>
      </c>
      <c r="F2574" s="38" t="s">
        <v>13</v>
      </c>
      <c r="G2574" s="38" t="s">
        <v>13</v>
      </c>
      <c r="H2574" s="38" t="s">
        <v>2987</v>
      </c>
      <c r="I2574" s="4"/>
    </row>
    <row r="2575">
      <c r="A2575" s="38">
        <v>2571.0</v>
      </c>
      <c r="B2575" s="38" t="s">
        <v>2949</v>
      </c>
      <c r="C2575" s="38" t="s">
        <v>3193</v>
      </c>
      <c r="D2575" s="38">
        <v>45.0</v>
      </c>
      <c r="E2575" s="38" t="s">
        <v>13</v>
      </c>
      <c r="F2575" s="38" t="s">
        <v>13</v>
      </c>
      <c r="G2575" s="38" t="s">
        <v>13</v>
      </c>
      <c r="H2575" s="38" t="s">
        <v>3137</v>
      </c>
      <c r="I2575" s="4"/>
    </row>
    <row r="2576">
      <c r="A2576" s="38">
        <v>2572.0</v>
      </c>
      <c r="B2576" s="38" t="s">
        <v>2949</v>
      </c>
      <c r="C2576" s="38" t="s">
        <v>3194</v>
      </c>
      <c r="D2576" s="38">
        <v>67.0</v>
      </c>
      <c r="E2576" s="38" t="s">
        <v>13</v>
      </c>
      <c r="F2576" s="38" t="s">
        <v>13</v>
      </c>
      <c r="G2576" s="38" t="s">
        <v>13</v>
      </c>
      <c r="H2576" s="38" t="s">
        <v>2962</v>
      </c>
      <c r="I2576" s="4"/>
    </row>
    <row r="2577">
      <c r="A2577" s="38">
        <v>2573.0</v>
      </c>
      <c r="B2577" s="38" t="s">
        <v>2949</v>
      </c>
      <c r="C2577" s="38" t="s">
        <v>3194</v>
      </c>
      <c r="D2577" s="38">
        <v>69.0</v>
      </c>
      <c r="E2577" s="38" t="s">
        <v>13</v>
      </c>
      <c r="F2577" s="38" t="s">
        <v>13</v>
      </c>
      <c r="G2577" s="38" t="s">
        <v>13</v>
      </c>
      <c r="H2577" s="38" t="s">
        <v>2962</v>
      </c>
      <c r="I2577" s="4"/>
    </row>
    <row r="2578">
      <c r="A2578" s="38">
        <v>2574.0</v>
      </c>
      <c r="B2578" s="38" t="s">
        <v>2949</v>
      </c>
      <c r="C2578" s="38" t="s">
        <v>3195</v>
      </c>
      <c r="D2578" s="38">
        <v>67.0</v>
      </c>
      <c r="E2578" s="38" t="s">
        <v>13</v>
      </c>
      <c r="F2578" s="38" t="s">
        <v>13</v>
      </c>
      <c r="G2578" s="38" t="s">
        <v>13</v>
      </c>
      <c r="H2578" s="38" t="s">
        <v>2962</v>
      </c>
      <c r="I2578" s="4"/>
    </row>
    <row r="2579">
      <c r="A2579" s="38">
        <v>2575.0</v>
      </c>
      <c r="B2579" s="38" t="s">
        <v>2949</v>
      </c>
      <c r="C2579" s="38" t="s">
        <v>3196</v>
      </c>
      <c r="D2579" s="38">
        <v>45.0</v>
      </c>
      <c r="E2579" s="38" t="s">
        <v>3197</v>
      </c>
      <c r="F2579" s="38" t="s">
        <v>13</v>
      </c>
      <c r="G2579" s="38" t="s">
        <v>13</v>
      </c>
      <c r="H2579" s="38" t="s">
        <v>2952</v>
      </c>
      <c r="I2579" s="4"/>
    </row>
    <row r="2580">
      <c r="A2580" s="38">
        <v>2576.0</v>
      </c>
      <c r="B2580" s="38" t="s">
        <v>2949</v>
      </c>
      <c r="C2580" s="38" t="s">
        <v>3198</v>
      </c>
      <c r="D2580" s="38">
        <v>54.0</v>
      </c>
      <c r="E2580" s="38" t="s">
        <v>13</v>
      </c>
      <c r="F2580" s="38" t="s">
        <v>13</v>
      </c>
      <c r="G2580" s="38" t="s">
        <v>3199</v>
      </c>
      <c r="H2580" s="38" t="s">
        <v>3000</v>
      </c>
      <c r="I2580" s="4"/>
    </row>
    <row r="2581">
      <c r="A2581" s="38">
        <v>2577.0</v>
      </c>
      <c r="B2581" s="38" t="s">
        <v>2949</v>
      </c>
      <c r="C2581" s="38" t="s">
        <v>3200</v>
      </c>
      <c r="D2581" s="38">
        <v>52.0</v>
      </c>
      <c r="E2581" s="38">
        <v>1.216347E8</v>
      </c>
      <c r="F2581" s="38" t="s">
        <v>13</v>
      </c>
      <c r="G2581" s="38" t="s">
        <v>13</v>
      </c>
      <c r="H2581" s="38" t="s">
        <v>2952</v>
      </c>
      <c r="I2581" s="4"/>
    </row>
    <row r="2582">
      <c r="A2582" s="38">
        <v>2578.0</v>
      </c>
      <c r="B2582" s="38" t="s">
        <v>2949</v>
      </c>
      <c r="C2582" s="38" t="s">
        <v>3200</v>
      </c>
      <c r="D2582" s="38">
        <v>52.0</v>
      </c>
      <c r="E2582" s="38" t="s">
        <v>3201</v>
      </c>
      <c r="F2582" s="38" t="s">
        <v>13</v>
      </c>
      <c r="G2582" s="38" t="s">
        <v>13</v>
      </c>
      <c r="H2582" s="38" t="s">
        <v>2952</v>
      </c>
      <c r="I2582" s="4"/>
    </row>
    <row r="2583">
      <c r="A2583" s="38">
        <v>2579.0</v>
      </c>
      <c r="B2583" s="38" t="s">
        <v>2949</v>
      </c>
      <c r="C2583" s="38" t="s">
        <v>3202</v>
      </c>
      <c r="D2583" s="38">
        <v>52.0</v>
      </c>
      <c r="E2583" s="38" t="s">
        <v>13</v>
      </c>
      <c r="F2583" s="38" t="s">
        <v>13</v>
      </c>
      <c r="G2583" s="38" t="s">
        <v>3203</v>
      </c>
      <c r="H2583" s="38" t="s">
        <v>3000</v>
      </c>
      <c r="I2583" s="4"/>
    </row>
    <row r="2584">
      <c r="A2584" s="38">
        <v>2580.0</v>
      </c>
      <c r="B2584" s="38" t="s">
        <v>2949</v>
      </c>
      <c r="C2584" s="38" t="s">
        <v>3204</v>
      </c>
      <c r="D2584" s="38">
        <v>36.0</v>
      </c>
      <c r="E2584" s="38" t="s">
        <v>13</v>
      </c>
      <c r="F2584" s="38" t="s">
        <v>13</v>
      </c>
      <c r="G2584" s="38" t="s">
        <v>13</v>
      </c>
      <c r="H2584" s="38" t="s">
        <v>13</v>
      </c>
      <c r="I2584" s="4"/>
    </row>
    <row r="2585">
      <c r="A2585" s="38">
        <v>2581.0</v>
      </c>
      <c r="B2585" s="38" t="s">
        <v>2949</v>
      </c>
      <c r="C2585" s="38" t="s">
        <v>3205</v>
      </c>
      <c r="D2585" s="38">
        <v>30.0</v>
      </c>
      <c r="E2585" s="38" t="s">
        <v>13</v>
      </c>
      <c r="F2585" s="38" t="s">
        <v>13</v>
      </c>
      <c r="G2585" s="38" t="s">
        <v>13</v>
      </c>
      <c r="H2585" s="38" t="s">
        <v>2962</v>
      </c>
      <c r="I2585" s="4"/>
    </row>
    <row r="2586">
      <c r="A2586" s="38">
        <v>2582.0</v>
      </c>
      <c r="B2586" s="38" t="s">
        <v>2949</v>
      </c>
      <c r="C2586" s="38" t="s">
        <v>3206</v>
      </c>
      <c r="D2586" s="38">
        <v>56.0</v>
      </c>
      <c r="E2586" s="38" t="s">
        <v>3207</v>
      </c>
      <c r="F2586" s="38" t="s">
        <v>13</v>
      </c>
      <c r="G2586" s="38" t="s">
        <v>13</v>
      </c>
      <c r="H2586" s="38" t="s">
        <v>2987</v>
      </c>
      <c r="I2586" s="4"/>
    </row>
    <row r="2587">
      <c r="A2587" s="38">
        <v>2583.0</v>
      </c>
      <c r="B2587" s="38" t="s">
        <v>2949</v>
      </c>
      <c r="C2587" s="38" t="s">
        <v>3208</v>
      </c>
      <c r="D2587" s="38">
        <v>30.0</v>
      </c>
      <c r="E2587" s="38" t="s">
        <v>13</v>
      </c>
      <c r="F2587" s="38" t="s">
        <v>13</v>
      </c>
      <c r="G2587" s="38" t="s">
        <v>3209</v>
      </c>
      <c r="H2587" s="38" t="s">
        <v>13</v>
      </c>
      <c r="I2587" s="4"/>
    </row>
    <row r="2588">
      <c r="A2588" s="38">
        <v>2584.0</v>
      </c>
      <c r="B2588" s="38" t="s">
        <v>2949</v>
      </c>
      <c r="C2588" s="38" t="s">
        <v>3210</v>
      </c>
      <c r="D2588" s="38">
        <v>21.0</v>
      </c>
      <c r="E2588" s="38" t="s">
        <v>13</v>
      </c>
      <c r="F2588" s="38" t="s">
        <v>13</v>
      </c>
      <c r="G2588" s="38" t="s">
        <v>13</v>
      </c>
      <c r="H2588" s="38" t="s">
        <v>3211</v>
      </c>
      <c r="I2588" s="4"/>
    </row>
    <row r="2589">
      <c r="A2589" s="38">
        <v>2585.0</v>
      </c>
      <c r="B2589" s="38" t="s">
        <v>2949</v>
      </c>
      <c r="C2589" s="38" t="s">
        <v>3212</v>
      </c>
      <c r="D2589" s="38">
        <v>51.0</v>
      </c>
      <c r="E2589" s="38" t="s">
        <v>13</v>
      </c>
      <c r="F2589" s="38" t="s">
        <v>13</v>
      </c>
      <c r="G2589" s="38" t="s">
        <v>3213</v>
      </c>
      <c r="H2589" s="38" t="s">
        <v>13</v>
      </c>
      <c r="I2589" s="4"/>
    </row>
    <row r="2590">
      <c r="A2590" s="38">
        <v>2586.0</v>
      </c>
      <c r="B2590" s="38" t="s">
        <v>2949</v>
      </c>
      <c r="C2590" s="38" t="s">
        <v>3214</v>
      </c>
      <c r="D2590" s="38">
        <v>42.0</v>
      </c>
      <c r="E2590" s="38" t="s">
        <v>13</v>
      </c>
      <c r="F2590" s="38" t="s">
        <v>13</v>
      </c>
      <c r="G2590" s="38" t="s">
        <v>3215</v>
      </c>
      <c r="H2590" s="38" t="s">
        <v>13</v>
      </c>
      <c r="I2590" s="4"/>
    </row>
    <row r="2591">
      <c r="A2591" s="38">
        <v>2587.0</v>
      </c>
      <c r="B2591" s="38" t="s">
        <v>2949</v>
      </c>
      <c r="C2591" s="38" t="s">
        <v>3216</v>
      </c>
      <c r="D2591" s="38">
        <v>30.0</v>
      </c>
      <c r="E2591" s="38" t="s">
        <v>13</v>
      </c>
      <c r="F2591" s="38" t="s">
        <v>13</v>
      </c>
      <c r="G2591" s="38" t="s">
        <v>3217</v>
      </c>
      <c r="H2591" s="38" t="s">
        <v>2969</v>
      </c>
      <c r="I2591" s="4"/>
    </row>
    <row r="2592">
      <c r="A2592" s="38">
        <v>2588.0</v>
      </c>
      <c r="B2592" s="38" t="s">
        <v>2949</v>
      </c>
      <c r="C2592" s="38" t="s">
        <v>3218</v>
      </c>
      <c r="D2592" s="38">
        <v>17.0</v>
      </c>
      <c r="E2592" s="38" t="s">
        <v>13</v>
      </c>
      <c r="F2592" s="38" t="s">
        <v>13</v>
      </c>
      <c r="G2592" s="38" t="s">
        <v>13</v>
      </c>
      <c r="H2592" s="38" t="s">
        <v>2962</v>
      </c>
      <c r="I2592" s="4"/>
    </row>
    <row r="2593">
      <c r="A2593" s="38">
        <v>2589.0</v>
      </c>
      <c r="B2593" s="38" t="s">
        <v>2949</v>
      </c>
      <c r="C2593" s="38" t="s">
        <v>3219</v>
      </c>
      <c r="D2593" s="38">
        <v>64.0</v>
      </c>
      <c r="E2593" s="38">
        <v>6.433372E7</v>
      </c>
      <c r="F2593" s="38" t="s">
        <v>13</v>
      </c>
      <c r="G2593" s="38" t="s">
        <v>1731</v>
      </c>
      <c r="H2593" s="38" t="s">
        <v>2952</v>
      </c>
      <c r="I2593" s="4"/>
    </row>
    <row r="2594">
      <c r="A2594" s="38">
        <v>2590.0</v>
      </c>
      <c r="B2594" s="38" t="s">
        <v>2949</v>
      </c>
      <c r="C2594" s="38" t="s">
        <v>3220</v>
      </c>
      <c r="D2594" s="38">
        <v>30.0</v>
      </c>
      <c r="E2594" s="38" t="s">
        <v>13</v>
      </c>
      <c r="F2594" s="38" t="s">
        <v>13</v>
      </c>
      <c r="G2594" s="38" t="s">
        <v>13</v>
      </c>
      <c r="H2594" s="38" t="s">
        <v>2983</v>
      </c>
      <c r="I2594" s="4"/>
    </row>
    <row r="2595">
      <c r="A2595" s="38">
        <v>2591.0</v>
      </c>
      <c r="B2595" s="38" t="s">
        <v>2949</v>
      </c>
      <c r="C2595" s="38" t="s">
        <v>3221</v>
      </c>
      <c r="D2595" s="38">
        <v>6.0</v>
      </c>
      <c r="E2595" s="38" t="s">
        <v>13</v>
      </c>
      <c r="F2595" s="38" t="s">
        <v>13</v>
      </c>
      <c r="G2595" s="38" t="s">
        <v>3222</v>
      </c>
      <c r="H2595" s="38" t="s">
        <v>13</v>
      </c>
      <c r="I2595" s="4"/>
    </row>
    <row r="2596">
      <c r="A2596" s="38">
        <v>2592.0</v>
      </c>
      <c r="B2596" s="38" t="s">
        <v>2949</v>
      </c>
      <c r="C2596" s="38" t="s">
        <v>3223</v>
      </c>
      <c r="D2596" s="38">
        <v>30.0</v>
      </c>
      <c r="E2596" s="38" t="s">
        <v>13</v>
      </c>
      <c r="F2596" s="38" t="s">
        <v>13</v>
      </c>
      <c r="G2596" s="38" t="s">
        <v>13</v>
      </c>
      <c r="H2596" s="38" t="s">
        <v>3224</v>
      </c>
      <c r="I2596" s="4"/>
    </row>
    <row r="2597">
      <c r="A2597" s="38">
        <v>2593.0</v>
      </c>
      <c r="B2597" s="38" t="s">
        <v>2949</v>
      </c>
      <c r="C2597" s="38" t="s">
        <v>3225</v>
      </c>
      <c r="D2597" s="38">
        <v>20.0</v>
      </c>
      <c r="E2597" s="38" t="s">
        <v>13</v>
      </c>
      <c r="F2597" s="38" t="s">
        <v>13</v>
      </c>
      <c r="G2597" s="38" t="s">
        <v>2980</v>
      </c>
      <c r="H2597" s="38" t="s">
        <v>3000</v>
      </c>
      <c r="I2597" s="4"/>
    </row>
    <row r="2598">
      <c r="A2598" s="38">
        <v>2594.0</v>
      </c>
      <c r="B2598" s="38" t="s">
        <v>2949</v>
      </c>
      <c r="C2598" s="38" t="s">
        <v>2443</v>
      </c>
      <c r="D2598" s="38">
        <v>49.0</v>
      </c>
      <c r="E2598" s="38" t="s">
        <v>13</v>
      </c>
      <c r="F2598" s="38" t="s">
        <v>13</v>
      </c>
      <c r="G2598" s="38" t="s">
        <v>13</v>
      </c>
      <c r="H2598" s="38" t="s">
        <v>2952</v>
      </c>
      <c r="I2598" s="4"/>
    </row>
    <row r="2599">
      <c r="A2599" s="38">
        <v>2595.0</v>
      </c>
      <c r="B2599" s="38" t="s">
        <v>2949</v>
      </c>
      <c r="C2599" s="38" t="s">
        <v>3226</v>
      </c>
      <c r="D2599" s="38">
        <v>64.0</v>
      </c>
      <c r="E2599" s="38">
        <v>5.685519E7</v>
      </c>
      <c r="F2599" s="38" t="s">
        <v>13</v>
      </c>
      <c r="G2599" s="38" t="s">
        <v>1731</v>
      </c>
      <c r="H2599" s="38" t="s">
        <v>2952</v>
      </c>
      <c r="I2599" s="4"/>
    </row>
    <row r="2600">
      <c r="A2600" s="38">
        <v>2596.0</v>
      </c>
      <c r="B2600" s="38" t="s">
        <v>2949</v>
      </c>
      <c r="C2600" s="38" t="s">
        <v>3227</v>
      </c>
      <c r="D2600" s="38">
        <v>30.0</v>
      </c>
      <c r="E2600" s="38" t="s">
        <v>3228</v>
      </c>
      <c r="F2600" s="38" t="s">
        <v>13</v>
      </c>
      <c r="G2600" s="38" t="s">
        <v>13</v>
      </c>
      <c r="H2600" s="38" t="s">
        <v>2952</v>
      </c>
      <c r="I2600" s="4"/>
    </row>
    <row r="2601">
      <c r="A2601" s="38">
        <v>2597.0</v>
      </c>
      <c r="B2601" s="38" t="s">
        <v>2949</v>
      </c>
      <c r="C2601" s="38" t="s">
        <v>3229</v>
      </c>
      <c r="D2601" s="38">
        <v>6.0</v>
      </c>
      <c r="E2601" s="38" t="s">
        <v>13</v>
      </c>
      <c r="F2601" s="38" t="s">
        <v>13</v>
      </c>
      <c r="G2601" s="38" t="s">
        <v>13</v>
      </c>
      <c r="H2601" s="38" t="s">
        <v>13</v>
      </c>
      <c r="I2601" s="4"/>
    </row>
    <row r="2602">
      <c r="A2602" s="38">
        <v>2598.0</v>
      </c>
      <c r="B2602" s="38" t="s">
        <v>2949</v>
      </c>
      <c r="C2602" s="38" t="s">
        <v>3230</v>
      </c>
      <c r="D2602" s="38">
        <v>39.0</v>
      </c>
      <c r="E2602" s="38">
        <v>1.8142695E8</v>
      </c>
      <c r="F2602" s="38" t="s">
        <v>13</v>
      </c>
      <c r="G2602" s="38" t="s">
        <v>1731</v>
      </c>
      <c r="H2602" s="38" t="s">
        <v>2952</v>
      </c>
      <c r="I2602" s="4"/>
    </row>
    <row r="2603">
      <c r="A2603" s="38">
        <v>2599.0</v>
      </c>
      <c r="B2603" s="38" t="s">
        <v>2949</v>
      </c>
      <c r="C2603" s="38" t="s">
        <v>3231</v>
      </c>
      <c r="D2603" s="38">
        <v>38.0</v>
      </c>
      <c r="E2603" s="38" t="s">
        <v>3232</v>
      </c>
      <c r="F2603" s="38" t="s">
        <v>13</v>
      </c>
      <c r="G2603" s="38" t="s">
        <v>13</v>
      </c>
      <c r="H2603" s="38" t="s">
        <v>2952</v>
      </c>
      <c r="I2603" s="4"/>
    </row>
    <row r="2604">
      <c r="A2604" s="38">
        <v>2600.0</v>
      </c>
      <c r="B2604" s="38" t="s">
        <v>2949</v>
      </c>
      <c r="C2604" s="38" t="s">
        <v>3231</v>
      </c>
      <c r="D2604" s="38">
        <v>38.0</v>
      </c>
      <c r="E2604" s="38">
        <v>1.748209E8</v>
      </c>
      <c r="F2604" s="38" t="s">
        <v>13</v>
      </c>
      <c r="G2604" s="38" t="s">
        <v>13</v>
      </c>
      <c r="H2604" s="38" t="s">
        <v>2952</v>
      </c>
      <c r="I2604" s="4"/>
    </row>
    <row r="2605">
      <c r="A2605" s="38">
        <v>2601.0</v>
      </c>
      <c r="B2605" s="38" t="s">
        <v>2949</v>
      </c>
      <c r="C2605" s="38" t="s">
        <v>3233</v>
      </c>
      <c r="D2605" s="38">
        <v>77.0</v>
      </c>
      <c r="E2605" s="38" t="s">
        <v>13</v>
      </c>
      <c r="F2605" s="38" t="s">
        <v>13</v>
      </c>
      <c r="G2605" s="38" t="s">
        <v>13</v>
      </c>
      <c r="H2605" s="38" t="s">
        <v>13</v>
      </c>
      <c r="I2605" s="4"/>
    </row>
    <row r="2606">
      <c r="A2606" s="38">
        <v>2602.0</v>
      </c>
      <c r="B2606" s="38" t="s">
        <v>2949</v>
      </c>
      <c r="C2606" s="38" t="s">
        <v>3234</v>
      </c>
      <c r="D2606" s="38">
        <v>55.0</v>
      </c>
      <c r="E2606" s="38">
        <v>1.1409997E8</v>
      </c>
      <c r="F2606" s="38" t="s">
        <v>13</v>
      </c>
      <c r="G2606" s="38" t="s">
        <v>1731</v>
      </c>
      <c r="H2606" s="38" t="s">
        <v>2952</v>
      </c>
      <c r="I2606" s="4"/>
    </row>
    <row r="2607">
      <c r="A2607" s="38">
        <v>2603.0</v>
      </c>
      <c r="B2607" s="38" t="s">
        <v>2949</v>
      </c>
      <c r="C2607" s="38" t="s">
        <v>2925</v>
      </c>
      <c r="D2607" s="38">
        <v>54.0</v>
      </c>
      <c r="E2607" s="38" t="s">
        <v>3235</v>
      </c>
      <c r="F2607" s="38" t="s">
        <v>13</v>
      </c>
      <c r="G2607" s="38" t="s">
        <v>1731</v>
      </c>
      <c r="H2607" s="38" t="s">
        <v>2952</v>
      </c>
      <c r="I2607" s="4"/>
    </row>
    <row r="2608">
      <c r="A2608" s="38">
        <v>2604.0</v>
      </c>
      <c r="B2608" s="38" t="s">
        <v>2949</v>
      </c>
      <c r="C2608" s="38" t="s">
        <v>3236</v>
      </c>
      <c r="D2608" s="38">
        <v>55.0</v>
      </c>
      <c r="E2608" s="38" t="s">
        <v>3237</v>
      </c>
      <c r="F2608" s="38" t="s">
        <v>13</v>
      </c>
      <c r="G2608" s="38" t="s">
        <v>13</v>
      </c>
      <c r="H2608" s="38" t="s">
        <v>2952</v>
      </c>
      <c r="I2608" s="4"/>
    </row>
    <row r="2609">
      <c r="A2609" s="38">
        <v>2605.0</v>
      </c>
      <c r="B2609" s="38" t="s">
        <v>2949</v>
      </c>
      <c r="C2609" s="38" t="s">
        <v>924</v>
      </c>
      <c r="D2609" s="38"/>
      <c r="E2609" s="38" t="s">
        <v>14</v>
      </c>
      <c r="F2609" s="38"/>
      <c r="G2609" s="38"/>
      <c r="H2609" s="38" t="s">
        <v>15</v>
      </c>
      <c r="I2609" s="4"/>
    </row>
    <row r="2610">
      <c r="A2610" s="38">
        <v>2606.0</v>
      </c>
      <c r="B2610" s="38" t="s">
        <v>2949</v>
      </c>
      <c r="C2610" s="38" t="s">
        <v>3238</v>
      </c>
      <c r="D2610" s="38">
        <v>37.0</v>
      </c>
      <c r="E2610" s="38" t="s">
        <v>3239</v>
      </c>
      <c r="F2610" s="38" t="s">
        <v>13</v>
      </c>
      <c r="G2610" s="38" t="s">
        <v>13</v>
      </c>
      <c r="H2610" s="38" t="s">
        <v>2952</v>
      </c>
      <c r="I2610" s="4"/>
    </row>
    <row r="2611">
      <c r="A2611" s="38">
        <v>2607.0</v>
      </c>
      <c r="B2611" s="38" t="s">
        <v>2949</v>
      </c>
      <c r="C2611" s="38" t="s">
        <v>2444</v>
      </c>
      <c r="D2611" s="38">
        <v>17.0</v>
      </c>
      <c r="E2611" s="38" t="s">
        <v>13</v>
      </c>
      <c r="F2611" s="38" t="s">
        <v>13</v>
      </c>
      <c r="G2611" s="38" t="s">
        <v>13</v>
      </c>
      <c r="H2611" s="38" t="s">
        <v>2952</v>
      </c>
      <c r="I2611" s="4"/>
    </row>
    <row r="2612">
      <c r="A2612" s="38">
        <v>2608.0</v>
      </c>
      <c r="B2612" s="38" t="s">
        <v>2949</v>
      </c>
      <c r="C2612" s="38" t="s">
        <v>3240</v>
      </c>
      <c r="D2612" s="38">
        <v>22.0</v>
      </c>
      <c r="E2612" s="38">
        <v>3.0114918E8</v>
      </c>
      <c r="F2612" s="38" t="s">
        <v>13</v>
      </c>
      <c r="G2612" s="38" t="s">
        <v>1731</v>
      </c>
      <c r="H2612" s="38" t="s">
        <v>2952</v>
      </c>
      <c r="I2612" s="4"/>
    </row>
    <row r="2613">
      <c r="A2613" s="38">
        <v>2609.0</v>
      </c>
      <c r="B2613" s="38" t="s">
        <v>2949</v>
      </c>
      <c r="C2613" s="38" t="s">
        <v>3241</v>
      </c>
      <c r="D2613" s="38">
        <v>43.0</v>
      </c>
      <c r="E2613" s="38" t="s">
        <v>13</v>
      </c>
      <c r="F2613" s="38" t="s">
        <v>13</v>
      </c>
      <c r="G2613" s="38" t="s">
        <v>13</v>
      </c>
      <c r="H2613" s="38" t="s">
        <v>13</v>
      </c>
      <c r="I2613" s="4"/>
    </row>
    <row r="2614">
      <c r="A2614" s="38">
        <v>2610.0</v>
      </c>
      <c r="B2614" s="38" t="s">
        <v>2949</v>
      </c>
      <c r="C2614" s="38" t="s">
        <v>3242</v>
      </c>
      <c r="D2614" s="38">
        <v>22.0</v>
      </c>
      <c r="E2614" s="38" t="s">
        <v>13</v>
      </c>
      <c r="F2614" s="38" t="s">
        <v>13</v>
      </c>
      <c r="G2614" s="38" t="s">
        <v>13</v>
      </c>
      <c r="H2614" s="38" t="s">
        <v>2983</v>
      </c>
      <c r="I2614" s="4"/>
    </row>
    <row r="2615">
      <c r="A2615" s="38">
        <v>2611.0</v>
      </c>
      <c r="B2615" s="38" t="s">
        <v>2949</v>
      </c>
      <c r="C2615" s="38" t="s">
        <v>3243</v>
      </c>
      <c r="D2615" s="38">
        <v>44.0</v>
      </c>
      <c r="E2615" s="38" t="s">
        <v>13</v>
      </c>
      <c r="F2615" s="38" t="s">
        <v>13</v>
      </c>
      <c r="G2615" s="38" t="s">
        <v>13</v>
      </c>
      <c r="H2615" s="38" t="s">
        <v>2983</v>
      </c>
      <c r="I2615" s="4"/>
    </row>
    <row r="2616">
      <c r="A2616" s="38">
        <v>2612.0</v>
      </c>
      <c r="B2616" s="38" t="s">
        <v>2949</v>
      </c>
      <c r="C2616" s="38" t="s">
        <v>3244</v>
      </c>
      <c r="D2616" s="38">
        <v>18.0</v>
      </c>
      <c r="E2616" s="38" t="s">
        <v>13</v>
      </c>
      <c r="F2616" s="38" t="s">
        <v>13</v>
      </c>
      <c r="G2616" s="38" t="s">
        <v>13</v>
      </c>
      <c r="H2616" s="38" t="s">
        <v>13</v>
      </c>
      <c r="I2616" s="4"/>
    </row>
    <row r="2617">
      <c r="A2617" s="38">
        <v>2613.0</v>
      </c>
      <c r="B2617" s="38" t="s">
        <v>2949</v>
      </c>
      <c r="C2617" s="38" t="s">
        <v>3244</v>
      </c>
      <c r="D2617" s="38" t="s">
        <v>13</v>
      </c>
      <c r="E2617" s="38" t="s">
        <v>13</v>
      </c>
      <c r="F2617" s="38" t="s">
        <v>13</v>
      </c>
      <c r="G2617" s="38" t="s">
        <v>13</v>
      </c>
      <c r="H2617" s="38" t="s">
        <v>13</v>
      </c>
      <c r="I2617" s="4"/>
    </row>
    <row r="2618">
      <c r="A2618" s="38">
        <v>2614.0</v>
      </c>
      <c r="B2618" s="38" t="s">
        <v>2949</v>
      </c>
      <c r="C2618" s="38" t="s">
        <v>3245</v>
      </c>
      <c r="D2618" s="38">
        <v>14.0</v>
      </c>
      <c r="E2618" s="38" t="s">
        <v>3246</v>
      </c>
      <c r="F2618" s="38" t="s">
        <v>13</v>
      </c>
      <c r="G2618" s="38" t="s">
        <v>13</v>
      </c>
      <c r="H2618" s="38" t="s">
        <v>2987</v>
      </c>
      <c r="I2618" s="4"/>
    </row>
    <row r="2619">
      <c r="A2619" s="38">
        <v>2615.0</v>
      </c>
      <c r="B2619" s="38" t="s">
        <v>2949</v>
      </c>
      <c r="C2619" s="38" t="s">
        <v>3247</v>
      </c>
      <c r="D2619" s="38">
        <v>48.0</v>
      </c>
      <c r="E2619" s="38" t="s">
        <v>13</v>
      </c>
      <c r="F2619" s="38" t="s">
        <v>13</v>
      </c>
      <c r="G2619" s="38" t="s">
        <v>13</v>
      </c>
      <c r="H2619" s="38" t="s">
        <v>3248</v>
      </c>
      <c r="I2619" s="4"/>
    </row>
    <row r="2620">
      <c r="A2620" s="38">
        <v>2616.0</v>
      </c>
      <c r="B2620" s="38" t="s">
        <v>2949</v>
      </c>
      <c r="C2620" s="38" t="s">
        <v>3249</v>
      </c>
      <c r="D2620" s="38" t="s">
        <v>13</v>
      </c>
      <c r="E2620" s="38" t="s">
        <v>13</v>
      </c>
      <c r="F2620" s="38" t="s">
        <v>13</v>
      </c>
      <c r="G2620" s="38" t="s">
        <v>3250</v>
      </c>
      <c r="H2620" s="38" t="s">
        <v>13</v>
      </c>
      <c r="I2620" s="4"/>
    </row>
    <row r="2621">
      <c r="A2621" s="38">
        <v>2617.0</v>
      </c>
      <c r="B2621" s="38" t="s">
        <v>2949</v>
      </c>
      <c r="C2621" s="38" t="s">
        <v>3251</v>
      </c>
      <c r="D2621" s="38">
        <v>41.0</v>
      </c>
      <c r="E2621" s="38" t="s">
        <v>13</v>
      </c>
      <c r="F2621" s="38" t="s">
        <v>13</v>
      </c>
      <c r="G2621" s="38" t="s">
        <v>13</v>
      </c>
      <c r="H2621" s="38" t="s">
        <v>13</v>
      </c>
      <c r="I2621" s="4"/>
    </row>
    <row r="2622">
      <c r="A2622" s="38">
        <v>2618.0</v>
      </c>
      <c r="B2622" s="38" t="s">
        <v>2949</v>
      </c>
      <c r="C2622" s="38" t="s">
        <v>3251</v>
      </c>
      <c r="D2622" s="38" t="s">
        <v>13</v>
      </c>
      <c r="E2622" s="38" t="s">
        <v>13</v>
      </c>
      <c r="F2622" s="38" t="s">
        <v>13</v>
      </c>
      <c r="G2622" s="38" t="s">
        <v>3252</v>
      </c>
      <c r="H2622" s="38" t="s">
        <v>13</v>
      </c>
      <c r="I2622" s="4"/>
    </row>
    <row r="2623">
      <c r="A2623" s="38">
        <v>2619.0</v>
      </c>
      <c r="B2623" s="38" t="s">
        <v>2949</v>
      </c>
      <c r="C2623" s="38" t="s">
        <v>3253</v>
      </c>
      <c r="D2623" s="38">
        <v>77.0</v>
      </c>
      <c r="E2623" s="38" t="s">
        <v>3254</v>
      </c>
      <c r="F2623" s="38" t="s">
        <v>13</v>
      </c>
      <c r="G2623" s="38" t="s">
        <v>13</v>
      </c>
      <c r="H2623" s="38" t="s">
        <v>2952</v>
      </c>
      <c r="I2623" s="4"/>
    </row>
    <row r="2624">
      <c r="A2624" s="38">
        <v>2620.0</v>
      </c>
      <c r="B2624" s="38" t="s">
        <v>2949</v>
      </c>
      <c r="C2624" s="38" t="s">
        <v>3253</v>
      </c>
      <c r="D2624" s="38">
        <v>77.0</v>
      </c>
      <c r="E2624" s="38">
        <v>3.55787E7</v>
      </c>
      <c r="F2624" s="38" t="s">
        <v>13</v>
      </c>
      <c r="G2624" s="38" t="s">
        <v>13</v>
      </c>
      <c r="H2624" s="38" t="s">
        <v>2952</v>
      </c>
      <c r="I2624" s="4"/>
    </row>
    <row r="2625">
      <c r="A2625" s="38">
        <v>2621.0</v>
      </c>
      <c r="B2625" s="38" t="s">
        <v>2949</v>
      </c>
      <c r="C2625" s="38" t="s">
        <v>3255</v>
      </c>
      <c r="D2625" s="38">
        <v>54.0</v>
      </c>
      <c r="E2625" s="38">
        <v>1.1166237E8</v>
      </c>
      <c r="F2625" s="38" t="s">
        <v>13</v>
      </c>
      <c r="G2625" s="38" t="s">
        <v>1731</v>
      </c>
      <c r="H2625" s="38" t="s">
        <v>2952</v>
      </c>
      <c r="I2625" s="4"/>
    </row>
    <row r="2626">
      <c r="A2626" s="38">
        <v>2622.0</v>
      </c>
      <c r="B2626" s="38" t="s">
        <v>2949</v>
      </c>
      <c r="C2626" s="38" t="s">
        <v>3256</v>
      </c>
      <c r="D2626" s="38" t="s">
        <v>13</v>
      </c>
      <c r="E2626" s="38" t="s">
        <v>13</v>
      </c>
      <c r="F2626" s="38" t="s">
        <v>13</v>
      </c>
      <c r="G2626" s="38" t="s">
        <v>13</v>
      </c>
      <c r="H2626" s="38" t="s">
        <v>13</v>
      </c>
      <c r="I2626" s="4"/>
    </row>
    <row r="2627">
      <c r="A2627" s="38">
        <v>2623.0</v>
      </c>
      <c r="B2627" s="38" t="s">
        <v>2949</v>
      </c>
      <c r="C2627" s="38" t="s">
        <v>3257</v>
      </c>
      <c r="D2627" s="38">
        <v>46.0</v>
      </c>
      <c r="E2627" s="38" t="s">
        <v>13</v>
      </c>
      <c r="F2627" s="38" t="s">
        <v>13</v>
      </c>
      <c r="G2627" s="38" t="s">
        <v>13</v>
      </c>
      <c r="H2627" s="38" t="s">
        <v>3000</v>
      </c>
      <c r="I2627" s="4"/>
    </row>
    <row r="2628">
      <c r="A2628" s="38">
        <v>2624.0</v>
      </c>
      <c r="B2628" s="38" t="s">
        <v>2949</v>
      </c>
      <c r="C2628" s="38" t="s">
        <v>3258</v>
      </c>
      <c r="D2628" s="38">
        <v>40.0</v>
      </c>
      <c r="E2628" s="38" t="s">
        <v>13</v>
      </c>
      <c r="F2628" s="38" t="s">
        <v>13</v>
      </c>
      <c r="G2628" s="38" t="s">
        <v>3259</v>
      </c>
      <c r="H2628" s="38" t="s">
        <v>3000</v>
      </c>
      <c r="I2628" s="4"/>
    </row>
    <row r="2629">
      <c r="A2629" s="38">
        <v>2625.0</v>
      </c>
      <c r="B2629" s="38" t="s">
        <v>2949</v>
      </c>
      <c r="C2629" s="38" t="s">
        <v>3260</v>
      </c>
      <c r="D2629" s="38">
        <v>30.0</v>
      </c>
      <c r="E2629" s="38" t="s">
        <v>13</v>
      </c>
      <c r="F2629" s="38" t="s">
        <v>13</v>
      </c>
      <c r="G2629" s="38" t="s">
        <v>3261</v>
      </c>
      <c r="H2629" s="38" t="s">
        <v>13</v>
      </c>
      <c r="I2629" s="4"/>
    </row>
    <row r="2630">
      <c r="A2630" s="38">
        <v>2626.0</v>
      </c>
      <c r="B2630" s="38" t="s">
        <v>2949</v>
      </c>
      <c r="C2630" s="38" t="s">
        <v>3262</v>
      </c>
      <c r="D2630" s="38">
        <v>24.0</v>
      </c>
      <c r="E2630" s="38">
        <v>2.9571733E8</v>
      </c>
      <c r="F2630" s="38" t="s">
        <v>13</v>
      </c>
      <c r="G2630" s="38" t="s">
        <v>1731</v>
      </c>
      <c r="H2630" s="38" t="s">
        <v>2952</v>
      </c>
      <c r="I2630" s="4"/>
    </row>
    <row r="2631">
      <c r="A2631" s="38">
        <v>2627.0</v>
      </c>
      <c r="B2631" s="38" t="s">
        <v>2949</v>
      </c>
      <c r="C2631" s="38" t="s">
        <v>3263</v>
      </c>
      <c r="D2631" s="38">
        <v>58.0</v>
      </c>
      <c r="E2631" s="38">
        <v>6.340991E7</v>
      </c>
      <c r="F2631" s="38" t="s">
        <v>13</v>
      </c>
      <c r="G2631" s="38" t="s">
        <v>1731</v>
      </c>
      <c r="H2631" s="38" t="s">
        <v>2952</v>
      </c>
      <c r="I2631" s="4"/>
    </row>
    <row r="2632">
      <c r="A2632" s="38">
        <v>2628.0</v>
      </c>
      <c r="B2632" s="38" t="s">
        <v>2949</v>
      </c>
      <c r="C2632" s="38" t="s">
        <v>3264</v>
      </c>
      <c r="D2632" s="38">
        <v>47.0</v>
      </c>
      <c r="E2632" s="38">
        <v>1.3828545E8</v>
      </c>
      <c r="F2632" s="38" t="s">
        <v>13</v>
      </c>
      <c r="G2632" s="38" t="s">
        <v>1731</v>
      </c>
      <c r="H2632" s="38" t="s">
        <v>2952</v>
      </c>
      <c r="I2632" s="4"/>
    </row>
    <row r="2633">
      <c r="A2633" s="38">
        <v>2629.0</v>
      </c>
      <c r="B2633" s="38" t="s">
        <v>2949</v>
      </c>
      <c r="C2633" s="38" t="s">
        <v>3265</v>
      </c>
      <c r="D2633" s="38">
        <v>30.0</v>
      </c>
      <c r="E2633" s="38" t="s">
        <v>13</v>
      </c>
      <c r="F2633" s="38" t="s">
        <v>13</v>
      </c>
      <c r="G2633" s="38" t="s">
        <v>3266</v>
      </c>
      <c r="H2633" s="38" t="s">
        <v>13</v>
      </c>
      <c r="I2633" s="4"/>
    </row>
    <row r="2634">
      <c r="A2634" s="38">
        <v>2630.0</v>
      </c>
      <c r="B2634" s="38" t="s">
        <v>2949</v>
      </c>
      <c r="C2634" s="38" t="s">
        <v>3267</v>
      </c>
      <c r="D2634" s="38" t="s">
        <v>13</v>
      </c>
      <c r="E2634" s="38" t="s">
        <v>13</v>
      </c>
      <c r="F2634" s="38" t="s">
        <v>13</v>
      </c>
      <c r="G2634" s="38" t="s">
        <v>3268</v>
      </c>
      <c r="H2634" s="38" t="s">
        <v>13</v>
      </c>
      <c r="I2634" s="4"/>
    </row>
    <row r="2635">
      <c r="A2635" s="38">
        <v>2631.0</v>
      </c>
      <c r="B2635" s="38" t="s">
        <v>2949</v>
      </c>
      <c r="C2635" s="38" t="s">
        <v>3269</v>
      </c>
      <c r="D2635" s="38">
        <v>56.0</v>
      </c>
      <c r="E2635" s="38">
        <v>9.960514E7</v>
      </c>
      <c r="F2635" s="38" t="s">
        <v>13</v>
      </c>
      <c r="G2635" s="38" t="s">
        <v>1731</v>
      </c>
      <c r="H2635" s="38" t="s">
        <v>2973</v>
      </c>
      <c r="I2635" s="4"/>
    </row>
    <row r="2636">
      <c r="A2636" s="38">
        <v>2632.0</v>
      </c>
      <c r="B2636" s="38" t="s">
        <v>3270</v>
      </c>
      <c r="C2636" s="38" t="s">
        <v>3271</v>
      </c>
      <c r="D2636" s="38">
        <v>8.0</v>
      </c>
      <c r="E2636" s="38" t="s">
        <v>13</v>
      </c>
      <c r="F2636" s="38" t="s">
        <v>13</v>
      </c>
      <c r="G2636" s="38" t="s">
        <v>3272</v>
      </c>
      <c r="H2636" s="38" t="s">
        <v>13</v>
      </c>
      <c r="I2636" s="4"/>
    </row>
    <row r="2637">
      <c r="A2637" s="38">
        <v>2633.0</v>
      </c>
      <c r="B2637" s="38" t="s">
        <v>3270</v>
      </c>
      <c r="C2637" s="38" t="s">
        <v>3273</v>
      </c>
      <c r="D2637" s="38" t="s">
        <v>13</v>
      </c>
      <c r="E2637" s="38">
        <v>7.995694E7</v>
      </c>
      <c r="F2637" s="38" t="s">
        <v>13</v>
      </c>
      <c r="G2637" s="38" t="s">
        <v>3274</v>
      </c>
      <c r="H2637" s="38" t="s">
        <v>13</v>
      </c>
      <c r="I2637" s="4"/>
    </row>
    <row r="2638">
      <c r="A2638" s="38">
        <v>2634.0</v>
      </c>
      <c r="B2638" s="38" t="s">
        <v>3270</v>
      </c>
      <c r="C2638" s="38" t="s">
        <v>3275</v>
      </c>
      <c r="D2638" s="38">
        <v>6.0</v>
      </c>
      <c r="E2638" s="38" t="s">
        <v>13</v>
      </c>
      <c r="F2638" s="38" t="s">
        <v>13</v>
      </c>
      <c r="G2638" s="38" t="s">
        <v>346</v>
      </c>
      <c r="H2638" s="38" t="s">
        <v>13</v>
      </c>
      <c r="I2638" s="4"/>
    </row>
    <row r="2639">
      <c r="A2639" s="38">
        <v>2635.0</v>
      </c>
      <c r="B2639" s="38" t="s">
        <v>3270</v>
      </c>
      <c r="C2639" s="38" t="s">
        <v>3276</v>
      </c>
      <c r="D2639" s="38" t="s">
        <v>13</v>
      </c>
      <c r="E2639" s="38" t="s">
        <v>13</v>
      </c>
      <c r="F2639" s="38" t="s">
        <v>13</v>
      </c>
      <c r="G2639" s="38" t="s">
        <v>346</v>
      </c>
      <c r="H2639" s="38" t="s">
        <v>13</v>
      </c>
      <c r="I2639" s="4"/>
    </row>
    <row r="2640">
      <c r="A2640" s="38">
        <v>2636.0</v>
      </c>
      <c r="B2640" s="38" t="s">
        <v>3270</v>
      </c>
      <c r="C2640" s="38" t="s">
        <v>3277</v>
      </c>
      <c r="D2640" s="38">
        <v>50.0</v>
      </c>
      <c r="E2640" s="38" t="s">
        <v>13</v>
      </c>
      <c r="F2640" s="38" t="s">
        <v>13</v>
      </c>
      <c r="G2640" s="38" t="s">
        <v>346</v>
      </c>
      <c r="H2640" s="38" t="s">
        <v>13</v>
      </c>
      <c r="I2640" s="4"/>
    </row>
    <row r="2641">
      <c r="A2641" s="38">
        <v>2637.0</v>
      </c>
      <c r="B2641" s="38" t="s">
        <v>3270</v>
      </c>
      <c r="C2641" s="38" t="s">
        <v>3278</v>
      </c>
      <c r="D2641" s="38" t="s">
        <v>13</v>
      </c>
      <c r="E2641" s="38">
        <v>3.4056073E8</v>
      </c>
      <c r="F2641" s="38" t="s">
        <v>13</v>
      </c>
      <c r="G2641" s="38" t="s">
        <v>1126</v>
      </c>
      <c r="H2641" s="38" t="s">
        <v>13</v>
      </c>
      <c r="I2641" s="4"/>
    </row>
    <row r="2642">
      <c r="A2642" s="38">
        <v>2638.0</v>
      </c>
      <c r="B2642" s="38" t="s">
        <v>3270</v>
      </c>
      <c r="C2642" s="38" t="s">
        <v>3279</v>
      </c>
      <c r="D2642" s="38">
        <v>9.0</v>
      </c>
      <c r="E2642" s="38" t="s">
        <v>13</v>
      </c>
      <c r="F2642" s="38" t="s">
        <v>13</v>
      </c>
      <c r="G2642" s="38" t="s">
        <v>3280</v>
      </c>
      <c r="H2642" s="38" t="s">
        <v>13</v>
      </c>
      <c r="I2642" s="4"/>
    </row>
    <row r="2643">
      <c r="A2643" s="38">
        <v>2639.0</v>
      </c>
      <c r="B2643" s="38" t="s">
        <v>3270</v>
      </c>
      <c r="C2643" s="38" t="s">
        <v>3281</v>
      </c>
      <c r="D2643" s="38">
        <v>2.0</v>
      </c>
      <c r="E2643" s="38" t="s">
        <v>13</v>
      </c>
      <c r="F2643" s="38" t="s">
        <v>13</v>
      </c>
      <c r="G2643" s="38" t="s">
        <v>1126</v>
      </c>
      <c r="H2643" s="38" t="s">
        <v>13</v>
      </c>
      <c r="I2643" s="4"/>
    </row>
    <row r="2644">
      <c r="A2644" s="38">
        <v>2640.0</v>
      </c>
      <c r="B2644" s="38" t="s">
        <v>3270</v>
      </c>
      <c r="C2644" s="38" t="s">
        <v>3282</v>
      </c>
      <c r="D2644" s="38">
        <v>4.0</v>
      </c>
      <c r="E2644" s="38">
        <v>2.4182252E8</v>
      </c>
      <c r="F2644" s="38" t="s">
        <v>13</v>
      </c>
      <c r="G2644" s="38" t="s">
        <v>1126</v>
      </c>
      <c r="H2644" s="38" t="s">
        <v>13</v>
      </c>
      <c r="I2644" s="4"/>
    </row>
    <row r="2645">
      <c r="A2645" s="38">
        <v>2641.0</v>
      </c>
      <c r="B2645" s="38" t="s">
        <v>3270</v>
      </c>
      <c r="C2645" s="38" t="s">
        <v>3283</v>
      </c>
      <c r="D2645" s="38">
        <v>12.0</v>
      </c>
      <c r="E2645" s="38" t="s">
        <v>13</v>
      </c>
      <c r="F2645" s="38" t="s">
        <v>13</v>
      </c>
      <c r="G2645" s="38" t="s">
        <v>986</v>
      </c>
      <c r="H2645" s="38" t="s">
        <v>13</v>
      </c>
      <c r="I2645" s="4"/>
    </row>
    <row r="2646">
      <c r="A2646" s="38">
        <v>2642.0</v>
      </c>
      <c r="B2646" s="38" t="s">
        <v>3270</v>
      </c>
      <c r="C2646" s="38" t="s">
        <v>3284</v>
      </c>
      <c r="D2646" s="38">
        <v>45.0</v>
      </c>
      <c r="E2646" s="38" t="s">
        <v>13</v>
      </c>
      <c r="F2646" s="38" t="s">
        <v>13</v>
      </c>
      <c r="G2646" s="38" t="s">
        <v>1088</v>
      </c>
      <c r="H2646" s="38" t="s">
        <v>13</v>
      </c>
      <c r="I2646" s="4"/>
    </row>
    <row r="2647">
      <c r="A2647" s="38">
        <v>2643.0</v>
      </c>
      <c r="B2647" s="38" t="s">
        <v>3270</v>
      </c>
      <c r="C2647" s="38" t="s">
        <v>3285</v>
      </c>
      <c r="D2647" s="38">
        <v>83.0</v>
      </c>
      <c r="E2647" s="38" t="s">
        <v>13</v>
      </c>
      <c r="F2647" s="38" t="s">
        <v>13</v>
      </c>
      <c r="G2647" s="38" t="s">
        <v>1078</v>
      </c>
      <c r="H2647" s="38" t="s">
        <v>13</v>
      </c>
      <c r="I2647" s="4"/>
    </row>
    <row r="2648">
      <c r="A2648" s="38">
        <v>2644.0</v>
      </c>
      <c r="B2648" s="38" t="s">
        <v>3270</v>
      </c>
      <c r="C2648" s="38" t="s">
        <v>3286</v>
      </c>
      <c r="D2648" s="38">
        <v>21.0</v>
      </c>
      <c r="E2648" s="38" t="s">
        <v>13</v>
      </c>
      <c r="F2648" s="38" t="s">
        <v>13</v>
      </c>
      <c r="G2648" s="38" t="s">
        <v>1126</v>
      </c>
      <c r="H2648" s="38" t="s">
        <v>13</v>
      </c>
      <c r="I2648" s="4"/>
    </row>
    <row r="2649">
      <c r="A2649" s="38">
        <v>2645.0</v>
      </c>
      <c r="B2649" s="38" t="s">
        <v>3270</v>
      </c>
      <c r="C2649" s="38" t="s">
        <v>3287</v>
      </c>
      <c r="D2649" s="38" t="s">
        <v>13</v>
      </c>
      <c r="E2649" s="38">
        <v>1.6310971E8</v>
      </c>
      <c r="F2649" s="38" t="s">
        <v>13</v>
      </c>
      <c r="G2649" s="38" t="s">
        <v>3288</v>
      </c>
      <c r="H2649" s="38" t="s">
        <v>13</v>
      </c>
      <c r="I2649" s="4"/>
    </row>
    <row r="2650">
      <c r="A2650" s="38">
        <v>2646.0</v>
      </c>
      <c r="B2650" s="38" t="s">
        <v>3270</v>
      </c>
      <c r="C2650" s="38" t="s">
        <v>3289</v>
      </c>
      <c r="D2650" s="38">
        <v>11.0</v>
      </c>
      <c r="E2650" s="38" t="s">
        <v>13</v>
      </c>
      <c r="F2650" s="38" t="s">
        <v>13</v>
      </c>
      <c r="G2650" s="38" t="s">
        <v>3290</v>
      </c>
      <c r="H2650" s="38" t="s">
        <v>13</v>
      </c>
      <c r="I2650" s="4"/>
    </row>
    <row r="2651">
      <c r="A2651" s="38">
        <v>2647.0</v>
      </c>
      <c r="B2651" s="38" t="s">
        <v>3270</v>
      </c>
      <c r="C2651" s="38" t="s">
        <v>3291</v>
      </c>
      <c r="D2651" s="38" t="s">
        <v>13</v>
      </c>
      <c r="E2651" s="38">
        <v>3.0324338E8</v>
      </c>
      <c r="F2651" s="38" t="s">
        <v>13</v>
      </c>
      <c r="G2651" s="38" t="s">
        <v>13</v>
      </c>
      <c r="H2651" s="38" t="s">
        <v>13</v>
      </c>
      <c r="I2651" s="4"/>
    </row>
    <row r="2652">
      <c r="A2652" s="38">
        <v>2648.0</v>
      </c>
      <c r="B2652" s="38" t="s">
        <v>3270</v>
      </c>
      <c r="C2652" s="38" t="s">
        <v>3291</v>
      </c>
      <c r="D2652" s="38">
        <v>21.0</v>
      </c>
      <c r="E2652" s="38" t="s">
        <v>13</v>
      </c>
      <c r="F2652" s="38" t="s">
        <v>13</v>
      </c>
      <c r="G2652" s="38" t="s">
        <v>346</v>
      </c>
      <c r="H2652" s="38" t="s">
        <v>13</v>
      </c>
      <c r="I2652" s="4"/>
    </row>
    <row r="2653">
      <c r="A2653" s="38">
        <v>2649.0</v>
      </c>
      <c r="B2653" s="38" t="s">
        <v>3270</v>
      </c>
      <c r="C2653" s="38" t="s">
        <v>3292</v>
      </c>
      <c r="D2653" s="38" t="s">
        <v>13</v>
      </c>
      <c r="E2653" s="38">
        <v>3.0456505E8</v>
      </c>
      <c r="F2653" s="38" t="s">
        <v>13</v>
      </c>
      <c r="G2653" s="38" t="s">
        <v>1088</v>
      </c>
      <c r="H2653" s="38" t="s">
        <v>13</v>
      </c>
      <c r="I2653" s="4"/>
    </row>
    <row r="2654">
      <c r="A2654" s="38">
        <v>2650.0</v>
      </c>
      <c r="B2654" s="38" t="s">
        <v>3270</v>
      </c>
      <c r="C2654" s="38" t="s">
        <v>3293</v>
      </c>
      <c r="D2654" s="38">
        <v>67.0</v>
      </c>
      <c r="E2654" s="38" t="s">
        <v>13</v>
      </c>
      <c r="F2654" s="38" t="s">
        <v>13</v>
      </c>
      <c r="G2654" s="38" t="s">
        <v>1088</v>
      </c>
      <c r="H2654" s="38" t="s">
        <v>13</v>
      </c>
      <c r="I2654" s="4"/>
    </row>
    <row r="2655">
      <c r="A2655" s="38">
        <v>2651.0</v>
      </c>
      <c r="B2655" s="38" t="s">
        <v>3270</v>
      </c>
      <c r="C2655" s="38" t="s">
        <v>3294</v>
      </c>
      <c r="D2655" s="38" t="s">
        <v>13</v>
      </c>
      <c r="E2655" s="38">
        <v>2.0560037E8</v>
      </c>
      <c r="F2655" s="38" t="s">
        <v>13</v>
      </c>
      <c r="G2655" s="38" t="s">
        <v>3295</v>
      </c>
      <c r="H2655" s="38" t="s">
        <v>13</v>
      </c>
      <c r="I2655" s="4"/>
    </row>
    <row r="2656">
      <c r="A2656" s="38">
        <v>2652.0</v>
      </c>
      <c r="B2656" s="38" t="s">
        <v>3270</v>
      </c>
      <c r="C2656" s="38" t="s">
        <v>3296</v>
      </c>
      <c r="D2656" s="38">
        <v>16.0</v>
      </c>
      <c r="E2656" s="38" t="s">
        <v>13</v>
      </c>
      <c r="F2656" s="38" t="s">
        <v>13</v>
      </c>
      <c r="G2656" s="38" t="s">
        <v>346</v>
      </c>
      <c r="H2656" s="38" t="s">
        <v>13</v>
      </c>
      <c r="I2656" s="4"/>
    </row>
    <row r="2657">
      <c r="A2657" s="38">
        <v>2653.0</v>
      </c>
      <c r="B2657" s="38" t="s">
        <v>3270</v>
      </c>
      <c r="C2657" s="38" t="s">
        <v>3297</v>
      </c>
      <c r="D2657" s="38">
        <v>41.0</v>
      </c>
      <c r="E2657" s="38" t="s">
        <v>13</v>
      </c>
      <c r="F2657" s="38" t="s">
        <v>13</v>
      </c>
      <c r="G2657" s="38" t="s">
        <v>13</v>
      </c>
      <c r="H2657" s="38" t="s">
        <v>13</v>
      </c>
      <c r="I2657" s="4"/>
    </row>
    <row r="2658">
      <c r="A2658" s="38">
        <v>2654.0</v>
      </c>
      <c r="B2658" s="38" t="s">
        <v>3270</v>
      </c>
      <c r="C2658" s="38" t="s">
        <v>3298</v>
      </c>
      <c r="D2658" s="38" t="s">
        <v>13</v>
      </c>
      <c r="E2658" s="38">
        <v>6.331767E7</v>
      </c>
      <c r="F2658" s="38" t="s">
        <v>13</v>
      </c>
      <c r="G2658" s="38" t="s">
        <v>343</v>
      </c>
      <c r="H2658" s="38" t="s">
        <v>13</v>
      </c>
      <c r="I2658" s="4"/>
    </row>
    <row r="2659">
      <c r="A2659" s="38">
        <v>2655.0</v>
      </c>
      <c r="B2659" s="38" t="s">
        <v>3270</v>
      </c>
      <c r="C2659" s="38" t="s">
        <v>3299</v>
      </c>
      <c r="D2659" s="38">
        <v>15.0</v>
      </c>
      <c r="E2659" s="38" t="s">
        <v>13</v>
      </c>
      <c r="F2659" s="38" t="s">
        <v>13</v>
      </c>
      <c r="G2659" s="38" t="s">
        <v>346</v>
      </c>
      <c r="H2659" s="38" t="s">
        <v>13</v>
      </c>
      <c r="I2659" s="4"/>
    </row>
    <row r="2660">
      <c r="A2660" s="38">
        <v>2656.0</v>
      </c>
      <c r="B2660" s="38" t="s">
        <v>3270</v>
      </c>
      <c r="C2660" s="38" t="s">
        <v>3300</v>
      </c>
      <c r="D2660" s="38">
        <v>7.0</v>
      </c>
      <c r="E2660" s="38" t="s">
        <v>13</v>
      </c>
      <c r="F2660" s="38" t="s">
        <v>13</v>
      </c>
      <c r="G2660" s="38" t="s">
        <v>3290</v>
      </c>
      <c r="H2660" s="38" t="s">
        <v>13</v>
      </c>
      <c r="I2660" s="4"/>
    </row>
    <row r="2661">
      <c r="A2661" s="38">
        <v>2657.0</v>
      </c>
      <c r="B2661" s="38" t="s">
        <v>3270</v>
      </c>
      <c r="C2661" s="38" t="s">
        <v>3300</v>
      </c>
      <c r="D2661" s="38">
        <v>7.0</v>
      </c>
      <c r="E2661" s="38">
        <v>1.715406E8</v>
      </c>
      <c r="F2661" s="38" t="s">
        <v>13</v>
      </c>
      <c r="G2661" s="38" t="s">
        <v>346</v>
      </c>
      <c r="H2661" s="38" t="s">
        <v>13</v>
      </c>
      <c r="I2661" s="4"/>
    </row>
    <row r="2662">
      <c r="A2662" s="38">
        <v>2658.0</v>
      </c>
      <c r="B2662" s="38" t="s">
        <v>3270</v>
      </c>
      <c r="C2662" s="38" t="s">
        <v>3301</v>
      </c>
      <c r="D2662" s="38" t="s">
        <v>13</v>
      </c>
      <c r="E2662" s="38">
        <v>1.7434972E8</v>
      </c>
      <c r="F2662" s="38" t="s">
        <v>13</v>
      </c>
      <c r="G2662" s="38" t="s">
        <v>3302</v>
      </c>
      <c r="H2662" s="38" t="s">
        <v>13</v>
      </c>
      <c r="I2662" s="4"/>
    </row>
    <row r="2663">
      <c r="A2663" s="38">
        <v>2659.0</v>
      </c>
      <c r="B2663" s="38" t="s">
        <v>3270</v>
      </c>
      <c r="C2663" s="38" t="s">
        <v>3303</v>
      </c>
      <c r="D2663" s="38" t="s">
        <v>13</v>
      </c>
      <c r="E2663" s="38">
        <v>1.1692456E8</v>
      </c>
      <c r="F2663" s="38" t="s">
        <v>13</v>
      </c>
      <c r="G2663" s="38" t="s">
        <v>346</v>
      </c>
      <c r="H2663" s="38" t="s">
        <v>13</v>
      </c>
      <c r="I2663" s="4"/>
    </row>
    <row r="2664">
      <c r="A2664" s="38">
        <v>2660.0</v>
      </c>
      <c r="B2664" s="38" t="s">
        <v>3270</v>
      </c>
      <c r="C2664" s="38" t="s">
        <v>3304</v>
      </c>
      <c r="D2664" s="38">
        <v>21.0</v>
      </c>
      <c r="E2664" s="38">
        <v>3.0824977E8</v>
      </c>
      <c r="F2664" s="38" t="s">
        <v>13</v>
      </c>
      <c r="G2664" s="38" t="s">
        <v>1126</v>
      </c>
      <c r="H2664" s="38" t="s">
        <v>13</v>
      </c>
      <c r="I2664" s="4"/>
    </row>
    <row r="2665">
      <c r="A2665" s="38">
        <v>2661.0</v>
      </c>
      <c r="B2665" s="38" t="s">
        <v>3270</v>
      </c>
      <c r="C2665" s="38" t="s">
        <v>3305</v>
      </c>
      <c r="D2665" s="38" t="s">
        <v>13</v>
      </c>
      <c r="E2665" s="38">
        <v>1.4536125E8</v>
      </c>
      <c r="F2665" s="38" t="s">
        <v>13</v>
      </c>
      <c r="G2665" s="38" t="s">
        <v>3306</v>
      </c>
      <c r="H2665" s="38" t="s">
        <v>13</v>
      </c>
      <c r="I2665" s="4"/>
    </row>
    <row r="2666">
      <c r="A2666" s="38">
        <v>2662.0</v>
      </c>
      <c r="B2666" s="38" t="s">
        <v>3270</v>
      </c>
      <c r="C2666" s="38" t="s">
        <v>3307</v>
      </c>
      <c r="D2666" s="38" t="s">
        <v>13</v>
      </c>
      <c r="E2666" s="38" t="s">
        <v>13</v>
      </c>
      <c r="F2666" s="38" t="s">
        <v>13</v>
      </c>
      <c r="G2666" s="38" t="s">
        <v>1126</v>
      </c>
      <c r="H2666" s="38" t="s">
        <v>13</v>
      </c>
      <c r="I2666" s="4"/>
    </row>
    <row r="2667">
      <c r="A2667" s="38">
        <v>2663.0</v>
      </c>
      <c r="B2667" s="38" t="s">
        <v>3270</v>
      </c>
      <c r="C2667" s="38" t="s">
        <v>3308</v>
      </c>
      <c r="D2667" s="38" t="s">
        <v>3309</v>
      </c>
      <c r="E2667" s="38" t="s">
        <v>13</v>
      </c>
      <c r="F2667" s="38" t="s">
        <v>13</v>
      </c>
      <c r="G2667" s="38" t="s">
        <v>346</v>
      </c>
      <c r="H2667" s="38" t="s">
        <v>13</v>
      </c>
      <c r="I2667" s="4"/>
    </row>
    <row r="2668">
      <c r="A2668" s="38">
        <v>2664.0</v>
      </c>
      <c r="B2668" s="38" t="s">
        <v>3270</v>
      </c>
      <c r="C2668" s="38" t="s">
        <v>3310</v>
      </c>
      <c r="D2668" s="38">
        <v>47.0</v>
      </c>
      <c r="E2668" s="38">
        <v>1.3526796E8</v>
      </c>
      <c r="F2668" s="38" t="s">
        <v>13</v>
      </c>
      <c r="G2668" s="38" t="s">
        <v>3272</v>
      </c>
      <c r="H2668" s="38" t="s">
        <v>13</v>
      </c>
      <c r="I2668" s="4"/>
    </row>
    <row r="2669">
      <c r="A2669" s="38">
        <v>2665.0</v>
      </c>
      <c r="B2669" s="38" t="s">
        <v>3270</v>
      </c>
      <c r="C2669" s="38" t="s">
        <v>3311</v>
      </c>
      <c r="D2669" s="38" t="s">
        <v>13</v>
      </c>
      <c r="E2669" s="38" t="s">
        <v>13</v>
      </c>
      <c r="F2669" s="38" t="s">
        <v>13</v>
      </c>
      <c r="G2669" s="38" t="s">
        <v>346</v>
      </c>
      <c r="H2669" s="38" t="s">
        <v>13</v>
      </c>
      <c r="I2669" s="4"/>
    </row>
    <row r="2670">
      <c r="A2670" s="38">
        <v>2666.0</v>
      </c>
      <c r="B2670" s="38" t="s">
        <v>3270</v>
      </c>
      <c r="C2670" s="38" t="s">
        <v>3312</v>
      </c>
      <c r="D2670" s="38" t="s">
        <v>13</v>
      </c>
      <c r="E2670" s="38" t="s">
        <v>13</v>
      </c>
      <c r="F2670" s="38" t="s">
        <v>13</v>
      </c>
      <c r="G2670" s="38" t="s">
        <v>1088</v>
      </c>
      <c r="H2670" s="38" t="s">
        <v>13</v>
      </c>
      <c r="I2670" s="4"/>
    </row>
    <row r="2671">
      <c r="A2671" s="38">
        <v>2667.0</v>
      </c>
      <c r="B2671" s="38" t="s">
        <v>3270</v>
      </c>
      <c r="C2671" s="38" t="s">
        <v>3313</v>
      </c>
      <c r="D2671" s="38" t="s">
        <v>3309</v>
      </c>
      <c r="E2671" s="38" t="s">
        <v>13</v>
      </c>
      <c r="F2671" s="38" t="s">
        <v>13</v>
      </c>
      <c r="G2671" s="38" t="s">
        <v>1126</v>
      </c>
      <c r="H2671" s="38" t="s">
        <v>13</v>
      </c>
      <c r="I2671" s="4"/>
    </row>
    <row r="2672">
      <c r="A2672" s="38">
        <v>2668.0</v>
      </c>
      <c r="B2672" s="38" t="s">
        <v>3270</v>
      </c>
      <c r="C2672" s="38" t="s">
        <v>3314</v>
      </c>
      <c r="D2672" s="38" t="s">
        <v>13</v>
      </c>
      <c r="E2672" s="38">
        <v>3.2304284E8</v>
      </c>
      <c r="F2672" s="38" t="s">
        <v>13</v>
      </c>
      <c r="G2672" s="38" t="s">
        <v>3306</v>
      </c>
      <c r="H2672" s="38" t="s">
        <v>13</v>
      </c>
      <c r="I2672" s="4"/>
    </row>
    <row r="2673">
      <c r="A2673" s="38">
        <v>2669.0</v>
      </c>
      <c r="B2673" s="38" t="s">
        <v>3270</v>
      </c>
      <c r="C2673" s="38" t="s">
        <v>1138</v>
      </c>
      <c r="D2673" s="38">
        <v>48.0</v>
      </c>
      <c r="E2673" s="38" t="s">
        <v>13</v>
      </c>
      <c r="F2673" s="38" t="s">
        <v>13</v>
      </c>
      <c r="G2673" s="38" t="s">
        <v>1088</v>
      </c>
      <c r="H2673" s="38" t="s">
        <v>13</v>
      </c>
      <c r="I2673" s="4"/>
    </row>
    <row r="2674">
      <c r="A2674" s="38">
        <v>2670.0</v>
      </c>
      <c r="B2674" s="38" t="s">
        <v>3270</v>
      </c>
      <c r="C2674" s="38" t="s">
        <v>3315</v>
      </c>
      <c r="D2674" s="38">
        <v>45.0</v>
      </c>
      <c r="E2674" s="38" t="s">
        <v>13</v>
      </c>
      <c r="F2674" s="38" t="s">
        <v>13</v>
      </c>
      <c r="G2674" s="38" t="s">
        <v>346</v>
      </c>
      <c r="H2674" s="38" t="s">
        <v>13</v>
      </c>
      <c r="I2674" s="4"/>
    </row>
    <row r="2675">
      <c r="A2675" s="38">
        <v>2671.0</v>
      </c>
      <c r="B2675" s="38" t="s">
        <v>3270</v>
      </c>
      <c r="C2675" s="38" t="s">
        <v>3316</v>
      </c>
      <c r="D2675" s="38" t="s">
        <v>13</v>
      </c>
      <c r="E2675" s="38">
        <v>3.1428812E8</v>
      </c>
      <c r="F2675" s="38" t="s">
        <v>13</v>
      </c>
      <c r="G2675" s="38" t="s">
        <v>346</v>
      </c>
      <c r="H2675" s="38" t="s">
        <v>13</v>
      </c>
      <c r="I2675" s="4"/>
    </row>
    <row r="2676">
      <c r="A2676" s="38">
        <v>2672.0</v>
      </c>
      <c r="B2676" s="38" t="s">
        <v>3270</v>
      </c>
      <c r="C2676" s="38" t="s">
        <v>3317</v>
      </c>
      <c r="D2676" s="38" t="s">
        <v>13</v>
      </c>
      <c r="E2676" s="38">
        <v>2.361788E8</v>
      </c>
      <c r="F2676" s="38" t="s">
        <v>13</v>
      </c>
      <c r="G2676" s="38" t="s">
        <v>3318</v>
      </c>
      <c r="H2676" s="38" t="s">
        <v>13</v>
      </c>
      <c r="I2676" s="4"/>
    </row>
    <row r="2677">
      <c r="A2677" s="38">
        <v>2673.0</v>
      </c>
      <c r="B2677" s="38" t="s">
        <v>3270</v>
      </c>
      <c r="C2677" s="38" t="s">
        <v>3319</v>
      </c>
      <c r="D2677" s="38" t="s">
        <v>13</v>
      </c>
      <c r="E2677" s="38" t="s">
        <v>13</v>
      </c>
      <c r="F2677" s="38" t="s">
        <v>13</v>
      </c>
      <c r="G2677" s="38" t="s">
        <v>346</v>
      </c>
      <c r="H2677" s="38" t="s">
        <v>13</v>
      </c>
      <c r="I2677" s="4"/>
    </row>
    <row r="2678">
      <c r="A2678" s="38">
        <v>2674.0</v>
      </c>
      <c r="B2678" s="38" t="s">
        <v>3270</v>
      </c>
      <c r="C2678" s="38" t="s">
        <v>3320</v>
      </c>
      <c r="D2678" s="38">
        <v>39.0</v>
      </c>
      <c r="E2678" s="38" t="s">
        <v>13</v>
      </c>
      <c r="F2678" s="38" t="s">
        <v>13</v>
      </c>
      <c r="G2678" s="38" t="s">
        <v>1373</v>
      </c>
      <c r="H2678" s="38" t="s">
        <v>13</v>
      </c>
      <c r="I2678" s="4"/>
    </row>
    <row r="2679">
      <c r="A2679" s="38">
        <v>2675.0</v>
      </c>
      <c r="B2679" s="38" t="s">
        <v>3270</v>
      </c>
      <c r="C2679" s="38" t="s">
        <v>3321</v>
      </c>
      <c r="D2679" s="38" t="s">
        <v>13</v>
      </c>
      <c r="E2679" s="38">
        <v>1.382606E8</v>
      </c>
      <c r="F2679" s="38" t="s">
        <v>13</v>
      </c>
      <c r="G2679" s="38" t="s">
        <v>3322</v>
      </c>
      <c r="H2679" s="38" t="s">
        <v>13</v>
      </c>
      <c r="I2679" s="4"/>
    </row>
    <row r="2680">
      <c r="A2680" s="38">
        <v>2676.0</v>
      </c>
      <c r="B2680" s="38" t="s">
        <v>3270</v>
      </c>
      <c r="C2680" s="38" t="s">
        <v>3323</v>
      </c>
      <c r="D2680" s="38">
        <v>61.0</v>
      </c>
      <c r="E2680" s="38" t="s">
        <v>13</v>
      </c>
      <c r="F2680" s="38" t="s">
        <v>13</v>
      </c>
      <c r="G2680" s="38" t="s">
        <v>3306</v>
      </c>
      <c r="H2680" s="38" t="s">
        <v>13</v>
      </c>
      <c r="I2680" s="4"/>
    </row>
    <row r="2681">
      <c r="A2681" s="38">
        <v>2677.0</v>
      </c>
      <c r="B2681" s="38" t="s">
        <v>3270</v>
      </c>
      <c r="C2681" s="38" t="s">
        <v>1155</v>
      </c>
      <c r="D2681" s="38">
        <v>50.0</v>
      </c>
      <c r="E2681" s="38">
        <v>1.3644495E8</v>
      </c>
      <c r="F2681" s="38" t="s">
        <v>13</v>
      </c>
      <c r="G2681" s="38" t="s">
        <v>346</v>
      </c>
      <c r="H2681" s="38" t="s">
        <v>13</v>
      </c>
      <c r="I2681" s="4"/>
    </row>
    <row r="2682">
      <c r="A2682" s="38">
        <v>2678.0</v>
      </c>
      <c r="B2682" s="38" t="s">
        <v>3270</v>
      </c>
      <c r="C2682" s="38" t="s">
        <v>1494</v>
      </c>
      <c r="D2682" s="38">
        <v>20.0</v>
      </c>
      <c r="E2682" s="38">
        <v>2.8574216E8</v>
      </c>
      <c r="F2682" s="38" t="s">
        <v>13</v>
      </c>
      <c r="G2682" s="38" t="s">
        <v>3306</v>
      </c>
      <c r="H2682" s="38" t="s">
        <v>13</v>
      </c>
      <c r="I2682" s="4"/>
    </row>
    <row r="2683">
      <c r="A2683" s="38">
        <v>2679.0</v>
      </c>
      <c r="B2683" s="38" t="s">
        <v>3270</v>
      </c>
      <c r="C2683" s="38" t="s">
        <v>3324</v>
      </c>
      <c r="D2683" s="38" t="s">
        <v>13</v>
      </c>
      <c r="E2683" s="38">
        <v>1.6975095E8</v>
      </c>
      <c r="F2683" s="38" t="s">
        <v>13</v>
      </c>
      <c r="G2683" s="38" t="s">
        <v>1503</v>
      </c>
      <c r="H2683" s="38" t="s">
        <v>13</v>
      </c>
      <c r="I2683" s="4"/>
    </row>
    <row r="2684">
      <c r="A2684" s="38">
        <v>2680.0</v>
      </c>
      <c r="B2684" s="38" t="s">
        <v>3270</v>
      </c>
      <c r="C2684" s="38" t="s">
        <v>3325</v>
      </c>
      <c r="D2684" s="38">
        <v>36.0</v>
      </c>
      <c r="E2684" s="38">
        <v>1.875657E8</v>
      </c>
      <c r="F2684" s="38" t="s">
        <v>13</v>
      </c>
      <c r="G2684" s="38" t="s">
        <v>1126</v>
      </c>
      <c r="H2684" s="38" t="s">
        <v>13</v>
      </c>
      <c r="I2684" s="4"/>
    </row>
    <row r="2685">
      <c r="A2685" s="38">
        <v>2681.0</v>
      </c>
      <c r="B2685" s="38" t="s">
        <v>3270</v>
      </c>
      <c r="C2685" s="38" t="s">
        <v>3326</v>
      </c>
      <c r="D2685" s="38" t="s">
        <v>13</v>
      </c>
      <c r="E2685" s="38" t="s">
        <v>13</v>
      </c>
      <c r="F2685" s="38" t="s">
        <v>13</v>
      </c>
      <c r="G2685" s="38" t="s">
        <v>13</v>
      </c>
      <c r="H2685" s="38" t="s">
        <v>13</v>
      </c>
      <c r="I2685" s="4"/>
    </row>
    <row r="2686">
      <c r="A2686" s="38">
        <v>2682.0</v>
      </c>
      <c r="B2686" s="38" t="s">
        <v>3270</v>
      </c>
      <c r="C2686" s="38" t="s">
        <v>3327</v>
      </c>
      <c r="D2686" s="38" t="s">
        <v>13</v>
      </c>
      <c r="E2686" s="38">
        <v>3.3594982E8</v>
      </c>
      <c r="F2686" s="38" t="s">
        <v>13</v>
      </c>
      <c r="G2686" s="38" t="s">
        <v>3306</v>
      </c>
      <c r="H2686" s="38" t="s">
        <v>13</v>
      </c>
      <c r="I2686" s="4"/>
    </row>
    <row r="2687">
      <c r="A2687" s="38">
        <v>2683.0</v>
      </c>
      <c r="B2687" s="38" t="s">
        <v>3270</v>
      </c>
      <c r="C2687" s="38" t="s">
        <v>3328</v>
      </c>
      <c r="D2687" s="38" t="s">
        <v>13</v>
      </c>
      <c r="E2687" s="38" t="s">
        <v>13</v>
      </c>
      <c r="F2687" s="38" t="s">
        <v>13</v>
      </c>
      <c r="G2687" s="38" t="s">
        <v>346</v>
      </c>
      <c r="H2687" s="38" t="s">
        <v>13</v>
      </c>
      <c r="I2687" s="4"/>
    </row>
    <row r="2688">
      <c r="A2688" s="38">
        <v>2684.0</v>
      </c>
      <c r="B2688" s="38" t="s">
        <v>3270</v>
      </c>
      <c r="C2688" s="38" t="s">
        <v>3329</v>
      </c>
      <c r="D2688" s="38" t="s">
        <v>13</v>
      </c>
      <c r="E2688" s="38">
        <v>2.9815405E8</v>
      </c>
      <c r="F2688" s="38" t="s">
        <v>13</v>
      </c>
      <c r="G2688" s="38" t="s">
        <v>3306</v>
      </c>
      <c r="H2688" s="38" t="s">
        <v>13</v>
      </c>
      <c r="I2688" s="4"/>
    </row>
    <row r="2689">
      <c r="A2689" s="38">
        <v>2685.0</v>
      </c>
      <c r="B2689" s="38" t="s">
        <v>3270</v>
      </c>
      <c r="C2689" s="38" t="s">
        <v>3330</v>
      </c>
      <c r="D2689" s="38" t="s">
        <v>13</v>
      </c>
      <c r="E2689" s="38">
        <v>3.210694E8</v>
      </c>
      <c r="F2689" s="38" t="s">
        <v>13</v>
      </c>
      <c r="G2689" s="38" t="s">
        <v>343</v>
      </c>
      <c r="H2689" s="38" t="s">
        <v>13</v>
      </c>
      <c r="I2689" s="4"/>
    </row>
    <row r="2690">
      <c r="A2690" s="38">
        <v>2686.0</v>
      </c>
      <c r="B2690" s="38" t="s">
        <v>3270</v>
      </c>
      <c r="C2690" s="38" t="s">
        <v>1204</v>
      </c>
      <c r="D2690" s="38" t="s">
        <v>13</v>
      </c>
      <c r="E2690" s="38" t="s">
        <v>13</v>
      </c>
      <c r="F2690" s="38" t="s">
        <v>13</v>
      </c>
      <c r="G2690" s="38" t="s">
        <v>346</v>
      </c>
      <c r="H2690" s="38" t="s">
        <v>13</v>
      </c>
      <c r="I2690" s="4"/>
    </row>
    <row r="2691">
      <c r="A2691" s="38">
        <v>2687.0</v>
      </c>
      <c r="B2691" s="38" t="s">
        <v>3270</v>
      </c>
      <c r="C2691" s="38" t="s">
        <v>3331</v>
      </c>
      <c r="D2691" s="38" t="s">
        <v>13</v>
      </c>
      <c r="E2691" s="38" t="s">
        <v>13</v>
      </c>
      <c r="F2691" s="38" t="s">
        <v>13</v>
      </c>
      <c r="G2691" s="38" t="s">
        <v>13</v>
      </c>
      <c r="H2691" s="38" t="s">
        <v>13</v>
      </c>
      <c r="I2691" s="4"/>
    </row>
    <row r="2692">
      <c r="A2692" s="38">
        <v>2688.0</v>
      </c>
      <c r="B2692" s="38" t="s">
        <v>3270</v>
      </c>
      <c r="C2692" s="38" t="s">
        <v>3332</v>
      </c>
      <c r="D2692" s="38" t="s">
        <v>13</v>
      </c>
      <c r="E2692" s="38">
        <v>1.3827506E8</v>
      </c>
      <c r="F2692" s="38" t="s">
        <v>13</v>
      </c>
      <c r="G2692" s="38" t="s">
        <v>986</v>
      </c>
      <c r="H2692" s="38" t="s">
        <v>13</v>
      </c>
      <c r="I2692" s="4"/>
    </row>
    <row r="2693">
      <c r="A2693" s="38">
        <v>2689.0</v>
      </c>
      <c r="B2693" s="38" t="s">
        <v>3270</v>
      </c>
      <c r="C2693" s="38" t="s">
        <v>3333</v>
      </c>
      <c r="D2693" s="38">
        <v>32.0</v>
      </c>
      <c r="E2693" s="38" t="s">
        <v>13</v>
      </c>
      <c r="F2693" s="38" t="s">
        <v>13</v>
      </c>
      <c r="G2693" s="38" t="s">
        <v>1078</v>
      </c>
      <c r="H2693" s="38" t="s">
        <v>13</v>
      </c>
      <c r="I2693" s="4"/>
    </row>
    <row r="2694">
      <c r="A2694" s="38">
        <v>2690.0</v>
      </c>
      <c r="B2694" s="38" t="s">
        <v>3270</v>
      </c>
      <c r="C2694" s="38" t="s">
        <v>3334</v>
      </c>
      <c r="D2694" s="38">
        <v>45.0</v>
      </c>
      <c r="E2694" s="38">
        <v>1.650949E8</v>
      </c>
      <c r="F2694" s="38" t="s">
        <v>13</v>
      </c>
      <c r="G2694" s="38" t="s">
        <v>1088</v>
      </c>
      <c r="H2694" s="38" t="s">
        <v>13</v>
      </c>
      <c r="I2694" s="4"/>
    </row>
    <row r="2695">
      <c r="A2695" s="38">
        <v>2691.0</v>
      </c>
      <c r="B2695" s="38" t="s">
        <v>3270</v>
      </c>
      <c r="C2695" s="38" t="s">
        <v>3335</v>
      </c>
      <c r="D2695" s="38">
        <v>47.0</v>
      </c>
      <c r="E2695" s="38" t="s">
        <v>13</v>
      </c>
      <c r="F2695" s="38" t="s">
        <v>13</v>
      </c>
      <c r="G2695" s="38" t="s">
        <v>1088</v>
      </c>
      <c r="H2695" s="38" t="s">
        <v>13</v>
      </c>
      <c r="I2695" s="4"/>
    </row>
    <row r="2696">
      <c r="A2696" s="38">
        <v>2692.0</v>
      </c>
      <c r="B2696" s="38" t="s">
        <v>3270</v>
      </c>
      <c r="C2696" s="38" t="s">
        <v>3336</v>
      </c>
      <c r="D2696" s="38" t="s">
        <v>13</v>
      </c>
      <c r="E2696" s="38">
        <v>1.5859387E8</v>
      </c>
      <c r="F2696" s="38" t="s">
        <v>13</v>
      </c>
      <c r="G2696" s="38" t="s">
        <v>343</v>
      </c>
      <c r="H2696" s="38" t="s">
        <v>13</v>
      </c>
      <c r="I2696" s="4"/>
    </row>
    <row r="2697">
      <c r="A2697" s="38">
        <v>2693.0</v>
      </c>
      <c r="B2697" s="38" t="s">
        <v>3270</v>
      </c>
      <c r="C2697" s="38" t="s">
        <v>3337</v>
      </c>
      <c r="D2697" s="38">
        <v>95.0</v>
      </c>
      <c r="E2697" s="38" t="s">
        <v>13</v>
      </c>
      <c r="F2697" s="38" t="s">
        <v>13</v>
      </c>
      <c r="G2697" s="38" t="s">
        <v>346</v>
      </c>
      <c r="H2697" s="38" t="s">
        <v>13</v>
      </c>
      <c r="I2697" s="4"/>
    </row>
    <row r="2698">
      <c r="A2698" s="38">
        <v>2694.0</v>
      </c>
      <c r="B2698" s="38" t="s">
        <v>3270</v>
      </c>
      <c r="C2698" s="38" t="s">
        <v>3338</v>
      </c>
      <c r="D2698" s="38">
        <v>40.0</v>
      </c>
      <c r="E2698" s="38" t="s">
        <v>13</v>
      </c>
      <c r="F2698" s="38" t="s">
        <v>13</v>
      </c>
      <c r="G2698" s="38" t="s">
        <v>1126</v>
      </c>
      <c r="H2698" s="38" t="s">
        <v>13</v>
      </c>
      <c r="I2698" s="4"/>
    </row>
    <row r="2699">
      <c r="A2699" s="38">
        <v>2695.0</v>
      </c>
      <c r="B2699" s="38" t="s">
        <v>3270</v>
      </c>
      <c r="C2699" s="38" t="s">
        <v>3339</v>
      </c>
      <c r="D2699" s="38">
        <v>22.0</v>
      </c>
      <c r="E2699" s="38" t="s">
        <v>13</v>
      </c>
      <c r="F2699" s="38" t="s">
        <v>13</v>
      </c>
      <c r="G2699" s="38" t="s">
        <v>346</v>
      </c>
      <c r="H2699" s="38" t="s">
        <v>13</v>
      </c>
      <c r="I2699" s="4"/>
    </row>
    <row r="2700">
      <c r="A2700" s="38">
        <v>2696.0</v>
      </c>
      <c r="B2700" s="38" t="s">
        <v>3270</v>
      </c>
      <c r="C2700" s="38" t="s">
        <v>3340</v>
      </c>
      <c r="D2700" s="38" t="s">
        <v>13</v>
      </c>
      <c r="E2700" s="38" t="s">
        <v>13</v>
      </c>
      <c r="F2700" s="38" t="s">
        <v>13</v>
      </c>
      <c r="G2700" s="38" t="s">
        <v>13</v>
      </c>
      <c r="H2700" s="38" t="s">
        <v>13</v>
      </c>
      <c r="I2700" s="4"/>
    </row>
    <row r="2701">
      <c r="A2701" s="38">
        <v>2697.0</v>
      </c>
      <c r="B2701" s="38" t="s">
        <v>3270</v>
      </c>
      <c r="C2701" s="38" t="s">
        <v>3341</v>
      </c>
      <c r="D2701" s="38">
        <v>42.0</v>
      </c>
      <c r="E2701" s="38" t="s">
        <v>13</v>
      </c>
      <c r="F2701" s="38" t="s">
        <v>13</v>
      </c>
      <c r="G2701" s="38" t="s">
        <v>346</v>
      </c>
      <c r="H2701" s="38" t="s">
        <v>13</v>
      </c>
      <c r="I2701" s="4"/>
    </row>
    <row r="2702">
      <c r="A2702" s="38">
        <v>2698.0</v>
      </c>
      <c r="B2702" s="38" t="s">
        <v>3270</v>
      </c>
      <c r="C2702" s="38" t="s">
        <v>3342</v>
      </c>
      <c r="D2702" s="38">
        <v>10.0</v>
      </c>
      <c r="E2702" s="38" t="s">
        <v>13</v>
      </c>
      <c r="F2702" s="38" t="s">
        <v>13</v>
      </c>
      <c r="G2702" s="38" t="s">
        <v>1078</v>
      </c>
      <c r="H2702" s="38" t="s">
        <v>13</v>
      </c>
      <c r="I2702" s="4"/>
    </row>
    <row r="2703">
      <c r="A2703" s="38">
        <v>2699.0</v>
      </c>
      <c r="B2703" s="38" t="s">
        <v>3270</v>
      </c>
      <c r="C2703" s="38" t="s">
        <v>3343</v>
      </c>
      <c r="D2703" s="38" t="s">
        <v>13</v>
      </c>
      <c r="E2703" s="38" t="s">
        <v>13</v>
      </c>
      <c r="F2703" s="38" t="s">
        <v>13</v>
      </c>
      <c r="G2703" s="38" t="s">
        <v>346</v>
      </c>
      <c r="H2703" s="38" t="s">
        <v>13</v>
      </c>
      <c r="I2703" s="4"/>
    </row>
    <row r="2704">
      <c r="A2704" s="38">
        <v>2700.0</v>
      </c>
      <c r="B2704" s="38" t="s">
        <v>3270</v>
      </c>
      <c r="C2704" s="38" t="s">
        <v>3344</v>
      </c>
      <c r="D2704" s="38" t="s">
        <v>13</v>
      </c>
      <c r="E2704" s="38">
        <v>1.6309376E8</v>
      </c>
      <c r="F2704" s="38" t="s">
        <v>13</v>
      </c>
      <c r="G2704" s="38" t="s">
        <v>3345</v>
      </c>
      <c r="H2704" s="38" t="s">
        <v>13</v>
      </c>
      <c r="I2704" s="4"/>
    </row>
    <row r="2705">
      <c r="A2705" s="38">
        <v>2701.0</v>
      </c>
      <c r="B2705" s="38" t="s">
        <v>3270</v>
      </c>
      <c r="C2705" s="38" t="s">
        <v>3346</v>
      </c>
      <c r="D2705" s="38">
        <v>26.0</v>
      </c>
      <c r="E2705" s="38" t="s">
        <v>13</v>
      </c>
      <c r="F2705" s="38" t="s">
        <v>13</v>
      </c>
      <c r="G2705" s="38" t="s">
        <v>1107</v>
      </c>
      <c r="H2705" s="38" t="s">
        <v>13</v>
      </c>
      <c r="I2705" s="4"/>
    </row>
    <row r="2706">
      <c r="A2706" s="38">
        <v>2702.0</v>
      </c>
      <c r="B2706" s="38" t="s">
        <v>3270</v>
      </c>
      <c r="C2706" s="38" t="s">
        <v>3347</v>
      </c>
      <c r="D2706" s="38">
        <v>38.0</v>
      </c>
      <c r="E2706" s="38" t="s">
        <v>13</v>
      </c>
      <c r="F2706" s="38" t="s">
        <v>13</v>
      </c>
      <c r="G2706" s="38" t="s">
        <v>3306</v>
      </c>
      <c r="H2706" s="38" t="s">
        <v>13</v>
      </c>
      <c r="I2706" s="4"/>
    </row>
    <row r="2707">
      <c r="A2707" s="38">
        <v>2703.0</v>
      </c>
      <c r="B2707" s="38" t="s">
        <v>3270</v>
      </c>
      <c r="C2707" s="38" t="s">
        <v>1217</v>
      </c>
      <c r="D2707" s="38" t="s">
        <v>13</v>
      </c>
      <c r="E2707" s="38" t="s">
        <v>13</v>
      </c>
      <c r="F2707" s="38" t="s">
        <v>13</v>
      </c>
      <c r="G2707" s="38" t="s">
        <v>1078</v>
      </c>
      <c r="H2707" s="38" t="s">
        <v>13</v>
      </c>
      <c r="I2707" s="4"/>
    </row>
    <row r="2708">
      <c r="A2708" s="38">
        <v>2704.0</v>
      </c>
      <c r="B2708" s="38" t="s">
        <v>3270</v>
      </c>
      <c r="C2708" s="38" t="s">
        <v>3348</v>
      </c>
      <c r="D2708" s="38">
        <v>43.0</v>
      </c>
      <c r="E2708" s="38" t="s">
        <v>13</v>
      </c>
      <c r="F2708" s="38" t="s">
        <v>13</v>
      </c>
      <c r="G2708" s="38" t="s">
        <v>346</v>
      </c>
      <c r="H2708" s="38" t="s">
        <v>13</v>
      </c>
      <c r="I2708" s="4"/>
    </row>
    <row r="2709">
      <c r="A2709" s="38">
        <v>2705.0</v>
      </c>
      <c r="B2709" s="38" t="s">
        <v>3270</v>
      </c>
      <c r="C2709" s="38" t="s">
        <v>3349</v>
      </c>
      <c r="D2709" s="38">
        <v>31.0</v>
      </c>
      <c r="E2709" s="38" t="s">
        <v>13</v>
      </c>
      <c r="F2709" s="38" t="s">
        <v>13</v>
      </c>
      <c r="G2709" s="38" t="s">
        <v>1126</v>
      </c>
      <c r="H2709" s="38" t="s">
        <v>13</v>
      </c>
      <c r="I2709" s="4"/>
    </row>
    <row r="2710">
      <c r="A2710" s="38">
        <v>2706.0</v>
      </c>
      <c r="B2710" s="38" t="s">
        <v>3270</v>
      </c>
      <c r="C2710" s="38" t="s">
        <v>3350</v>
      </c>
      <c r="D2710" s="38" t="s">
        <v>13</v>
      </c>
      <c r="E2710" s="38">
        <v>1.1059667E8</v>
      </c>
      <c r="F2710" s="38" t="s">
        <v>13</v>
      </c>
      <c r="G2710" s="38" t="s">
        <v>3274</v>
      </c>
      <c r="H2710" s="38" t="s">
        <v>13</v>
      </c>
      <c r="I2710" s="4"/>
    </row>
    <row r="2711">
      <c r="A2711" s="38">
        <v>2707.0</v>
      </c>
      <c r="B2711" s="38" t="s">
        <v>3270</v>
      </c>
      <c r="C2711" s="38" t="s">
        <v>3351</v>
      </c>
      <c r="D2711" s="38" t="s">
        <v>13</v>
      </c>
      <c r="E2711" s="38" t="s">
        <v>13</v>
      </c>
      <c r="F2711" s="38" t="s">
        <v>13</v>
      </c>
      <c r="G2711" s="38" t="s">
        <v>1370</v>
      </c>
      <c r="H2711" s="38" t="s">
        <v>13</v>
      </c>
      <c r="I2711" s="4"/>
    </row>
    <row r="2712">
      <c r="A2712" s="38">
        <v>2708.0</v>
      </c>
      <c r="B2712" s="38" t="s">
        <v>3270</v>
      </c>
      <c r="C2712" s="38" t="s">
        <v>3352</v>
      </c>
      <c r="D2712" s="38" t="s">
        <v>13</v>
      </c>
      <c r="E2712" s="38">
        <v>1.4314455E8</v>
      </c>
      <c r="F2712" s="38" t="s">
        <v>13</v>
      </c>
      <c r="G2712" s="38" t="s">
        <v>1142</v>
      </c>
      <c r="H2712" s="38" t="s">
        <v>13</v>
      </c>
      <c r="I2712" s="4"/>
    </row>
    <row r="2713">
      <c r="A2713" s="38">
        <v>2709.0</v>
      </c>
      <c r="B2713" s="38" t="s">
        <v>3270</v>
      </c>
      <c r="C2713" s="38" t="s">
        <v>3353</v>
      </c>
      <c r="D2713" s="38" t="s">
        <v>13</v>
      </c>
      <c r="E2713" s="38">
        <v>2.6363002E8</v>
      </c>
      <c r="F2713" s="38" t="s">
        <v>13</v>
      </c>
      <c r="G2713" s="38" t="s">
        <v>1370</v>
      </c>
      <c r="H2713" s="38" t="s">
        <v>13</v>
      </c>
      <c r="I2713" s="4"/>
    </row>
    <row r="2714">
      <c r="A2714" s="38">
        <v>2710.0</v>
      </c>
      <c r="B2714" s="38" t="s">
        <v>3270</v>
      </c>
      <c r="C2714" s="38" t="s">
        <v>3354</v>
      </c>
      <c r="D2714" s="38" t="s">
        <v>13</v>
      </c>
      <c r="E2714" s="38" t="s">
        <v>13</v>
      </c>
      <c r="F2714" s="38" t="s">
        <v>13</v>
      </c>
      <c r="G2714" s="38" t="s">
        <v>3355</v>
      </c>
      <c r="H2714" s="38" t="s">
        <v>13</v>
      </c>
      <c r="I2714" s="4"/>
    </row>
    <row r="2715">
      <c r="A2715" s="38">
        <v>2711.0</v>
      </c>
      <c r="B2715" s="38" t="s">
        <v>3270</v>
      </c>
      <c r="C2715" s="38" t="s">
        <v>3356</v>
      </c>
      <c r="D2715" s="38" t="s">
        <v>13</v>
      </c>
      <c r="E2715" s="38">
        <v>1.1966827E8</v>
      </c>
      <c r="F2715" s="38" t="s">
        <v>13</v>
      </c>
      <c r="G2715" s="38" t="s">
        <v>343</v>
      </c>
      <c r="H2715" s="38" t="s">
        <v>13</v>
      </c>
      <c r="I2715" s="4"/>
    </row>
    <row r="2716">
      <c r="A2716" s="38">
        <v>2712.0</v>
      </c>
      <c r="B2716" s="38" t="s">
        <v>3270</v>
      </c>
      <c r="C2716" s="38" t="s">
        <v>3357</v>
      </c>
      <c r="D2716" s="38">
        <v>64.0</v>
      </c>
      <c r="E2716" s="38" t="s">
        <v>13</v>
      </c>
      <c r="F2716" s="38" t="s">
        <v>13</v>
      </c>
      <c r="G2716" s="38" t="s">
        <v>3306</v>
      </c>
      <c r="H2716" s="38" t="s">
        <v>13</v>
      </c>
      <c r="I2716" s="4"/>
    </row>
    <row r="2717">
      <c r="A2717" s="38">
        <v>2713.0</v>
      </c>
      <c r="B2717" s="38" t="s">
        <v>3270</v>
      </c>
      <c r="C2717" s="38" t="s">
        <v>3358</v>
      </c>
      <c r="D2717" s="38">
        <v>65.0</v>
      </c>
      <c r="E2717" s="38">
        <v>6.448422E7</v>
      </c>
      <c r="F2717" s="38" t="s">
        <v>13</v>
      </c>
      <c r="G2717" s="38" t="s">
        <v>3306</v>
      </c>
      <c r="H2717" s="38" t="s">
        <v>13</v>
      </c>
      <c r="I2717" s="4"/>
    </row>
    <row r="2718">
      <c r="A2718" s="38">
        <v>2714.0</v>
      </c>
      <c r="B2718" s="38" t="s">
        <v>3270</v>
      </c>
      <c r="C2718" s="38" t="s">
        <v>3359</v>
      </c>
      <c r="D2718" s="38" t="s">
        <v>13</v>
      </c>
      <c r="E2718" s="38" t="s">
        <v>13</v>
      </c>
      <c r="F2718" s="38" t="s">
        <v>13</v>
      </c>
      <c r="G2718" s="38" t="s">
        <v>13</v>
      </c>
      <c r="H2718" s="38" t="s">
        <v>13</v>
      </c>
      <c r="I2718" s="4"/>
    </row>
    <row r="2719">
      <c r="A2719" s="38">
        <v>2715.0</v>
      </c>
      <c r="B2719" s="38" t="s">
        <v>3270</v>
      </c>
      <c r="C2719" s="38" t="s">
        <v>3360</v>
      </c>
      <c r="D2719" s="38">
        <v>70.0</v>
      </c>
      <c r="E2719" s="38" t="s">
        <v>13</v>
      </c>
      <c r="F2719" s="38" t="s">
        <v>13</v>
      </c>
      <c r="G2719" s="38" t="s">
        <v>346</v>
      </c>
      <c r="H2719" s="38" t="s">
        <v>13</v>
      </c>
      <c r="I2719" s="4"/>
    </row>
    <row r="2720">
      <c r="A2720" s="38">
        <v>2716.0</v>
      </c>
      <c r="B2720" s="38" t="s">
        <v>3270</v>
      </c>
      <c r="C2720" s="38" t="s">
        <v>3361</v>
      </c>
      <c r="D2720" s="38">
        <v>4.0</v>
      </c>
      <c r="E2720" s="38" t="s">
        <v>13</v>
      </c>
      <c r="F2720" s="38" t="s">
        <v>13</v>
      </c>
      <c r="G2720" s="38" t="s">
        <v>1126</v>
      </c>
      <c r="H2720" s="38" t="s">
        <v>13</v>
      </c>
      <c r="I2720" s="4"/>
    </row>
    <row r="2721">
      <c r="A2721" s="38">
        <v>2717.0</v>
      </c>
      <c r="B2721" s="38" t="s">
        <v>3270</v>
      </c>
      <c r="C2721" s="38" t="s">
        <v>3362</v>
      </c>
      <c r="D2721" s="38" t="s">
        <v>13</v>
      </c>
      <c r="E2721" s="38" t="s">
        <v>13</v>
      </c>
      <c r="F2721" s="38" t="s">
        <v>13</v>
      </c>
      <c r="G2721" s="38" t="s">
        <v>343</v>
      </c>
      <c r="H2721" s="38" t="s">
        <v>13</v>
      </c>
      <c r="I2721" s="4"/>
    </row>
    <row r="2722">
      <c r="A2722" s="38">
        <v>2718.0</v>
      </c>
      <c r="B2722" s="38" t="s">
        <v>3270</v>
      </c>
      <c r="C2722" s="38" t="s">
        <v>3363</v>
      </c>
      <c r="D2722" s="38" t="s">
        <v>13</v>
      </c>
      <c r="E2722" s="38">
        <v>7.991965E7</v>
      </c>
      <c r="F2722" s="38" t="s">
        <v>13</v>
      </c>
      <c r="G2722" s="38" t="s">
        <v>3306</v>
      </c>
      <c r="H2722" s="38" t="s">
        <v>13</v>
      </c>
      <c r="I2722" s="4"/>
    </row>
    <row r="2723">
      <c r="A2723" s="38">
        <v>2719.0</v>
      </c>
      <c r="B2723" s="38" t="s">
        <v>3270</v>
      </c>
      <c r="C2723" s="38" t="s">
        <v>3364</v>
      </c>
      <c r="D2723" s="38">
        <v>41.0</v>
      </c>
      <c r="E2723" s="38" t="s">
        <v>13</v>
      </c>
      <c r="F2723" s="38" t="s">
        <v>13</v>
      </c>
      <c r="G2723" s="38" t="s">
        <v>1088</v>
      </c>
      <c r="H2723" s="38" t="s">
        <v>13</v>
      </c>
      <c r="I2723" s="4"/>
    </row>
    <row r="2724">
      <c r="A2724" s="38">
        <v>2720.0</v>
      </c>
      <c r="B2724" s="38" t="s">
        <v>3270</v>
      </c>
      <c r="C2724" s="38" t="s">
        <v>3365</v>
      </c>
      <c r="D2724" s="38" t="s">
        <v>13</v>
      </c>
      <c r="E2724" s="38">
        <v>6.800389E7</v>
      </c>
      <c r="F2724" s="38" t="s">
        <v>13</v>
      </c>
      <c r="G2724" s="38" t="s">
        <v>1126</v>
      </c>
      <c r="H2724" s="38" t="s">
        <v>13</v>
      </c>
      <c r="I2724" s="4"/>
    </row>
    <row r="2725">
      <c r="A2725" s="38">
        <v>2721.0</v>
      </c>
      <c r="B2725" s="38" t="s">
        <v>3270</v>
      </c>
      <c r="C2725" s="38" t="s">
        <v>3366</v>
      </c>
      <c r="D2725" s="38">
        <v>65.0</v>
      </c>
      <c r="E2725" s="38" t="s">
        <v>13</v>
      </c>
      <c r="F2725" s="38" t="s">
        <v>13</v>
      </c>
      <c r="G2725" s="38" t="s">
        <v>1078</v>
      </c>
      <c r="H2725" s="38" t="s">
        <v>13</v>
      </c>
      <c r="I2725" s="4"/>
    </row>
    <row r="2726">
      <c r="A2726" s="38">
        <v>2722.0</v>
      </c>
      <c r="B2726" s="38" t="s">
        <v>3270</v>
      </c>
      <c r="C2726" s="38" t="s">
        <v>3367</v>
      </c>
      <c r="D2726" s="38" t="s">
        <v>13</v>
      </c>
      <c r="E2726" s="38" t="s">
        <v>13</v>
      </c>
      <c r="F2726" s="38" t="s">
        <v>13</v>
      </c>
      <c r="G2726" s="38" t="s">
        <v>3306</v>
      </c>
      <c r="H2726" s="38" t="s">
        <v>13</v>
      </c>
      <c r="I2726" s="4"/>
    </row>
    <row r="2727">
      <c r="A2727" s="38">
        <v>2723.0</v>
      </c>
      <c r="B2727" s="38" t="s">
        <v>3270</v>
      </c>
      <c r="C2727" s="38" t="s">
        <v>3368</v>
      </c>
      <c r="D2727" s="38" t="s">
        <v>13</v>
      </c>
      <c r="E2727" s="38">
        <v>6.487637E7</v>
      </c>
      <c r="F2727" s="38" t="s">
        <v>13</v>
      </c>
      <c r="G2727" s="38" t="s">
        <v>3306</v>
      </c>
      <c r="H2727" s="38" t="s">
        <v>13</v>
      </c>
      <c r="I2727" s="4"/>
    </row>
    <row r="2728">
      <c r="A2728" s="38">
        <v>2724.0</v>
      </c>
      <c r="B2728" s="38" t="s">
        <v>3270</v>
      </c>
      <c r="C2728" s="38" t="s">
        <v>3369</v>
      </c>
      <c r="D2728" s="38" t="s">
        <v>13</v>
      </c>
      <c r="E2728" s="38">
        <v>2.1171308E8</v>
      </c>
      <c r="F2728" s="38" t="s">
        <v>13</v>
      </c>
      <c r="G2728" s="38" t="s">
        <v>3370</v>
      </c>
      <c r="H2728" s="38" t="s">
        <v>13</v>
      </c>
      <c r="I2728" s="4"/>
    </row>
    <row r="2729">
      <c r="A2729" s="38">
        <v>2725.0</v>
      </c>
      <c r="B2729" s="38" t="s">
        <v>3270</v>
      </c>
      <c r="C2729" s="38" t="s">
        <v>3371</v>
      </c>
      <c r="D2729" s="38" t="s">
        <v>13</v>
      </c>
      <c r="E2729" s="38">
        <v>1.8923829E8</v>
      </c>
      <c r="F2729" s="38" t="s">
        <v>13</v>
      </c>
      <c r="G2729" s="38" t="s">
        <v>1373</v>
      </c>
      <c r="H2729" s="38" t="s">
        <v>13</v>
      </c>
      <c r="I2729" s="4"/>
    </row>
    <row r="2730">
      <c r="A2730" s="38">
        <v>2726.0</v>
      </c>
      <c r="B2730" s="38" t="s">
        <v>3270</v>
      </c>
      <c r="C2730" s="38" t="s">
        <v>3372</v>
      </c>
      <c r="D2730" s="38">
        <v>5.0</v>
      </c>
      <c r="E2730" s="38">
        <v>2.3710852E8</v>
      </c>
      <c r="F2730" s="38" t="s">
        <v>13</v>
      </c>
      <c r="G2730" s="38" t="s">
        <v>3373</v>
      </c>
      <c r="H2730" s="38" t="s">
        <v>13</v>
      </c>
      <c r="I2730" s="4"/>
    </row>
    <row r="2731">
      <c r="A2731" s="38">
        <v>2727.0</v>
      </c>
      <c r="B2731" s="38" t="s">
        <v>3270</v>
      </c>
      <c r="C2731" s="38" t="s">
        <v>3374</v>
      </c>
      <c r="D2731" s="38" t="s">
        <v>13</v>
      </c>
      <c r="E2731" s="38">
        <v>1.5929488E8</v>
      </c>
      <c r="F2731" s="38" t="s">
        <v>13</v>
      </c>
      <c r="G2731" s="38" t="s">
        <v>3355</v>
      </c>
      <c r="H2731" s="38" t="s">
        <v>13</v>
      </c>
      <c r="I2731" s="4"/>
    </row>
    <row r="2732">
      <c r="A2732" s="38">
        <v>2728.0</v>
      </c>
      <c r="B2732" s="38" t="s">
        <v>3270</v>
      </c>
      <c r="C2732" s="38" t="s">
        <v>3375</v>
      </c>
      <c r="D2732" s="38" t="s">
        <v>13</v>
      </c>
      <c r="E2732" s="38">
        <v>2.9910634E8</v>
      </c>
      <c r="F2732" s="38" t="s">
        <v>13</v>
      </c>
      <c r="G2732" s="38" t="s">
        <v>1107</v>
      </c>
      <c r="H2732" s="38" t="s">
        <v>13</v>
      </c>
      <c r="I2732" s="4"/>
    </row>
    <row r="2733">
      <c r="A2733" s="38">
        <v>2729.0</v>
      </c>
      <c r="B2733" s="38" t="s">
        <v>3270</v>
      </c>
      <c r="C2733" s="38" t="s">
        <v>3376</v>
      </c>
      <c r="D2733" s="38" t="s">
        <v>13</v>
      </c>
      <c r="E2733" s="38" t="s">
        <v>13</v>
      </c>
      <c r="F2733" s="38" t="s">
        <v>13</v>
      </c>
      <c r="G2733" s="38" t="s">
        <v>346</v>
      </c>
      <c r="H2733" s="38" t="s">
        <v>13</v>
      </c>
      <c r="I2733" s="4"/>
    </row>
    <row r="2734">
      <c r="A2734" s="38">
        <v>2730.0</v>
      </c>
      <c r="B2734" s="38" t="s">
        <v>3270</v>
      </c>
      <c r="C2734" s="38" t="s">
        <v>3377</v>
      </c>
      <c r="D2734" s="38" t="s">
        <v>13</v>
      </c>
      <c r="E2734" s="38">
        <v>2.0007932E8</v>
      </c>
      <c r="F2734" s="38" t="s">
        <v>13</v>
      </c>
      <c r="G2734" s="38" t="s">
        <v>3306</v>
      </c>
      <c r="H2734" s="38" t="s">
        <v>13</v>
      </c>
      <c r="I2734" s="4"/>
    </row>
    <row r="2735">
      <c r="A2735" s="38">
        <v>2731.0</v>
      </c>
      <c r="B2735" s="38" t="s">
        <v>3270</v>
      </c>
      <c r="C2735" s="38" t="s">
        <v>3378</v>
      </c>
      <c r="D2735" s="38">
        <v>41.0</v>
      </c>
      <c r="E2735" s="38" t="s">
        <v>13</v>
      </c>
      <c r="F2735" s="38" t="s">
        <v>13</v>
      </c>
      <c r="G2735" s="38" t="s">
        <v>346</v>
      </c>
      <c r="H2735" s="38" t="s">
        <v>13</v>
      </c>
      <c r="I2735" s="4"/>
    </row>
    <row r="2736">
      <c r="A2736" s="38">
        <v>2732.0</v>
      </c>
      <c r="B2736" s="38" t="s">
        <v>3270</v>
      </c>
      <c r="C2736" s="38" t="s">
        <v>3379</v>
      </c>
      <c r="D2736" s="38" t="s">
        <v>13</v>
      </c>
      <c r="E2736" s="38" t="s">
        <v>13</v>
      </c>
      <c r="F2736" s="38" t="s">
        <v>13</v>
      </c>
      <c r="G2736" s="38" t="s">
        <v>346</v>
      </c>
      <c r="H2736" s="38" t="s">
        <v>13</v>
      </c>
      <c r="I2736" s="4"/>
    </row>
    <row r="2737">
      <c r="A2737" s="38">
        <v>2733.0</v>
      </c>
      <c r="B2737" s="38" t="s">
        <v>3270</v>
      </c>
      <c r="C2737" s="38" t="s">
        <v>3380</v>
      </c>
      <c r="D2737" s="38" t="s">
        <v>13</v>
      </c>
      <c r="E2737" s="38">
        <v>3.6337677E8</v>
      </c>
      <c r="F2737" s="38" t="s">
        <v>13</v>
      </c>
      <c r="G2737" s="38" t="s">
        <v>3306</v>
      </c>
      <c r="H2737" s="38" t="s">
        <v>13</v>
      </c>
      <c r="I2737" s="4"/>
    </row>
    <row r="2738">
      <c r="A2738" s="38">
        <v>2734.0</v>
      </c>
      <c r="B2738" s="38" t="s">
        <v>3270</v>
      </c>
      <c r="C2738" s="38" t="s">
        <v>3381</v>
      </c>
      <c r="D2738" s="38">
        <v>7.0</v>
      </c>
      <c r="E2738" s="38" t="s">
        <v>13</v>
      </c>
      <c r="F2738" s="38" t="s">
        <v>13</v>
      </c>
      <c r="G2738" s="38" t="s">
        <v>13</v>
      </c>
      <c r="H2738" s="38" t="s">
        <v>13</v>
      </c>
      <c r="I2738" s="4"/>
    </row>
    <row r="2739">
      <c r="A2739" s="38">
        <v>2735.0</v>
      </c>
      <c r="B2739" s="38" t="s">
        <v>3270</v>
      </c>
      <c r="C2739" s="38" t="s">
        <v>3382</v>
      </c>
      <c r="D2739" s="38" t="s">
        <v>13</v>
      </c>
      <c r="E2739" s="38" t="s">
        <v>13</v>
      </c>
      <c r="F2739" s="38" t="s">
        <v>13</v>
      </c>
      <c r="G2739" s="38" t="s">
        <v>3383</v>
      </c>
      <c r="H2739" s="38" t="s">
        <v>13</v>
      </c>
      <c r="I2739" s="4"/>
    </row>
    <row r="2740">
      <c r="A2740" s="38">
        <v>2736.0</v>
      </c>
      <c r="B2740" s="38" t="s">
        <v>3270</v>
      </c>
      <c r="C2740" s="38" t="s">
        <v>3384</v>
      </c>
      <c r="D2740" s="38" t="s">
        <v>13</v>
      </c>
      <c r="E2740" s="38">
        <v>1.2717464E8</v>
      </c>
      <c r="F2740" s="38" t="s">
        <v>13</v>
      </c>
      <c r="G2740" s="38" t="s">
        <v>346</v>
      </c>
      <c r="H2740" s="38" t="s">
        <v>13</v>
      </c>
      <c r="I2740" s="4"/>
    </row>
    <row r="2741">
      <c r="A2741" s="38">
        <v>2737.0</v>
      </c>
      <c r="B2741" s="38" t="s">
        <v>3270</v>
      </c>
      <c r="C2741" s="38" t="s">
        <v>3385</v>
      </c>
      <c r="D2741" s="38">
        <v>15.0</v>
      </c>
      <c r="E2741" s="38">
        <v>3.4064139E8</v>
      </c>
      <c r="F2741" s="38" t="s">
        <v>13</v>
      </c>
      <c r="G2741" s="38" t="s">
        <v>343</v>
      </c>
      <c r="H2741" s="38" t="s">
        <v>13</v>
      </c>
      <c r="I2741" s="4"/>
    </row>
    <row r="2742">
      <c r="A2742" s="38">
        <v>2738.0</v>
      </c>
      <c r="B2742" s="38" t="s">
        <v>3270</v>
      </c>
      <c r="C2742" s="38" t="s">
        <v>3386</v>
      </c>
      <c r="D2742" s="38">
        <v>60.0</v>
      </c>
      <c r="E2742" s="38" t="s">
        <v>13</v>
      </c>
      <c r="F2742" s="38" t="s">
        <v>13</v>
      </c>
      <c r="G2742" s="38" t="s">
        <v>346</v>
      </c>
      <c r="H2742" s="38" t="s">
        <v>13</v>
      </c>
      <c r="I2742" s="4"/>
    </row>
    <row r="2743">
      <c r="A2743" s="38">
        <v>2739.0</v>
      </c>
      <c r="B2743" s="38" t="s">
        <v>3270</v>
      </c>
      <c r="C2743" s="38" t="s">
        <v>3387</v>
      </c>
      <c r="D2743" s="38" t="s">
        <v>13</v>
      </c>
      <c r="E2743" s="38" t="s">
        <v>13</v>
      </c>
      <c r="F2743" s="38" t="s">
        <v>13</v>
      </c>
      <c r="G2743" s="38" t="s">
        <v>1126</v>
      </c>
      <c r="H2743" s="38" t="s">
        <v>13</v>
      </c>
      <c r="I2743" s="4"/>
    </row>
    <row r="2744">
      <c r="A2744" s="38">
        <v>2740.0</v>
      </c>
      <c r="B2744" s="38" t="s">
        <v>3270</v>
      </c>
      <c r="C2744" s="38" t="s">
        <v>3388</v>
      </c>
      <c r="D2744" s="38" t="s">
        <v>13</v>
      </c>
      <c r="E2744" s="38">
        <v>3.3218212E8</v>
      </c>
      <c r="F2744" s="38" t="s">
        <v>13</v>
      </c>
      <c r="G2744" s="38" t="s">
        <v>3389</v>
      </c>
      <c r="H2744" s="38" t="s">
        <v>13</v>
      </c>
      <c r="I2744" s="4"/>
    </row>
    <row r="2745">
      <c r="A2745" s="38">
        <v>2741.0</v>
      </c>
      <c r="B2745" s="38" t="s">
        <v>3270</v>
      </c>
      <c r="C2745" s="38" t="s">
        <v>3390</v>
      </c>
      <c r="D2745" s="38">
        <v>10.0</v>
      </c>
      <c r="E2745" s="38" t="s">
        <v>13</v>
      </c>
      <c r="F2745" s="38" t="s">
        <v>13</v>
      </c>
      <c r="G2745" s="38" t="s">
        <v>346</v>
      </c>
      <c r="H2745" s="38" t="s">
        <v>13</v>
      </c>
      <c r="I2745" s="4"/>
    </row>
    <row r="2746">
      <c r="A2746" s="38">
        <v>2742.0</v>
      </c>
      <c r="B2746" s="38" t="s">
        <v>3270</v>
      </c>
      <c r="C2746" s="38" t="s">
        <v>3391</v>
      </c>
      <c r="D2746" s="38">
        <v>29.0</v>
      </c>
      <c r="E2746" s="38">
        <v>2.6316132E8</v>
      </c>
      <c r="F2746" s="38" t="s">
        <v>13</v>
      </c>
      <c r="G2746" s="38" t="s">
        <v>1160</v>
      </c>
      <c r="H2746" s="38" t="s">
        <v>13</v>
      </c>
      <c r="I2746" s="4"/>
    </row>
    <row r="2747">
      <c r="A2747" s="38">
        <v>2743.0</v>
      </c>
      <c r="B2747" s="38" t="s">
        <v>3270</v>
      </c>
      <c r="C2747" s="38" t="s">
        <v>3392</v>
      </c>
      <c r="D2747" s="38">
        <v>10.0</v>
      </c>
      <c r="E2747" s="38">
        <v>2.4942164E8</v>
      </c>
      <c r="F2747" s="38" t="s">
        <v>13</v>
      </c>
      <c r="G2747" s="38" t="s">
        <v>1088</v>
      </c>
      <c r="H2747" s="38" t="s">
        <v>13</v>
      </c>
      <c r="I2747" s="4"/>
    </row>
    <row r="2748">
      <c r="A2748" s="38">
        <v>2744.0</v>
      </c>
      <c r="B2748" s="38" t="s">
        <v>3270</v>
      </c>
      <c r="C2748" s="38" t="s">
        <v>3393</v>
      </c>
      <c r="D2748" s="38">
        <v>3.0</v>
      </c>
      <c r="E2748" s="38">
        <v>2.5464509E8</v>
      </c>
      <c r="F2748" s="38" t="s">
        <v>13</v>
      </c>
      <c r="G2748" s="38" t="s">
        <v>346</v>
      </c>
      <c r="H2748" s="38" t="s">
        <v>13</v>
      </c>
      <c r="I2748" s="4"/>
    </row>
    <row r="2749">
      <c r="A2749" s="38">
        <v>2745.0</v>
      </c>
      <c r="B2749" s="38" t="s">
        <v>3270</v>
      </c>
      <c r="C2749" s="38" t="s">
        <v>3394</v>
      </c>
      <c r="D2749" s="38">
        <v>11.0</v>
      </c>
      <c r="E2749" s="38" t="s">
        <v>13</v>
      </c>
      <c r="F2749" s="38" t="s">
        <v>13</v>
      </c>
      <c r="G2749" s="38" t="s">
        <v>346</v>
      </c>
      <c r="H2749" s="38" t="s">
        <v>13</v>
      </c>
      <c r="I2749" s="4"/>
    </row>
    <row r="2750">
      <c r="A2750" s="38">
        <v>2746.0</v>
      </c>
      <c r="B2750" s="38" t="s">
        <v>3270</v>
      </c>
      <c r="C2750" s="38" t="s">
        <v>3395</v>
      </c>
      <c r="D2750" s="38" t="s">
        <v>13</v>
      </c>
      <c r="E2750" s="38">
        <v>2.6131879E8</v>
      </c>
      <c r="F2750" s="38" t="s">
        <v>13</v>
      </c>
      <c r="G2750" s="38" t="s">
        <v>3306</v>
      </c>
      <c r="H2750" s="38" t="s">
        <v>13</v>
      </c>
      <c r="I2750" s="4"/>
    </row>
    <row r="2751">
      <c r="A2751" s="38">
        <v>2747.0</v>
      </c>
      <c r="B2751" s="38" t="s">
        <v>3270</v>
      </c>
      <c r="C2751" s="38" t="s">
        <v>3396</v>
      </c>
      <c r="D2751" s="38">
        <v>28.0</v>
      </c>
      <c r="E2751" s="38">
        <v>2.6648434E8</v>
      </c>
      <c r="F2751" s="38" t="s">
        <v>13</v>
      </c>
      <c r="G2751" s="38" t="s">
        <v>1126</v>
      </c>
      <c r="H2751" s="38" t="s">
        <v>13</v>
      </c>
      <c r="I2751" s="4"/>
    </row>
    <row r="2752">
      <c r="A2752" s="38">
        <v>2748.0</v>
      </c>
      <c r="B2752" s="38" t="s">
        <v>3270</v>
      </c>
      <c r="C2752" s="38" t="s">
        <v>3397</v>
      </c>
      <c r="D2752" s="38" t="s">
        <v>13</v>
      </c>
      <c r="E2752" s="38" t="s">
        <v>13</v>
      </c>
      <c r="F2752" s="38" t="s">
        <v>13</v>
      </c>
      <c r="G2752" s="38" t="s">
        <v>13</v>
      </c>
      <c r="H2752" s="38" t="s">
        <v>13</v>
      </c>
      <c r="I2752" s="4"/>
    </row>
    <row r="2753">
      <c r="A2753" s="38">
        <v>2749.0</v>
      </c>
      <c r="B2753" s="38" t="s">
        <v>3270</v>
      </c>
      <c r="C2753" s="38" t="s">
        <v>3398</v>
      </c>
      <c r="D2753" s="38" t="s">
        <v>13</v>
      </c>
      <c r="E2753" s="38" t="s">
        <v>13</v>
      </c>
      <c r="F2753" s="38" t="s">
        <v>13</v>
      </c>
      <c r="G2753" s="38" t="s">
        <v>1126</v>
      </c>
      <c r="H2753" s="38" t="s">
        <v>13</v>
      </c>
      <c r="I2753" s="4"/>
    </row>
    <row r="2754">
      <c r="A2754" s="38">
        <v>2750.0</v>
      </c>
      <c r="B2754" s="38" t="s">
        <v>3270</v>
      </c>
      <c r="C2754" s="38" t="s">
        <v>3399</v>
      </c>
      <c r="D2754" s="38">
        <v>50.0</v>
      </c>
      <c r="E2754" s="38" t="s">
        <v>13</v>
      </c>
      <c r="F2754" s="38" t="s">
        <v>13</v>
      </c>
      <c r="G2754" s="38" t="s">
        <v>3400</v>
      </c>
      <c r="H2754" s="38" t="s">
        <v>13</v>
      </c>
      <c r="I2754" s="4"/>
    </row>
    <row r="2755">
      <c r="A2755" s="38">
        <v>2751.0</v>
      </c>
      <c r="B2755" s="38" t="s">
        <v>3270</v>
      </c>
      <c r="C2755" s="38" t="s">
        <v>3401</v>
      </c>
      <c r="D2755" s="38">
        <v>13.0</v>
      </c>
      <c r="E2755" s="38">
        <v>3.2273006E8</v>
      </c>
      <c r="F2755" s="38" t="s">
        <v>13</v>
      </c>
      <c r="G2755" s="38" t="s">
        <v>346</v>
      </c>
      <c r="H2755" s="38" t="s">
        <v>13</v>
      </c>
      <c r="I2755" s="4"/>
    </row>
    <row r="2756">
      <c r="A2756" s="38">
        <v>2752.0</v>
      </c>
      <c r="B2756" s="38" t="s">
        <v>3270</v>
      </c>
      <c r="C2756" s="38" t="s">
        <v>3402</v>
      </c>
      <c r="D2756" s="38" t="s">
        <v>13</v>
      </c>
      <c r="E2756" s="38">
        <v>1.7960912E8</v>
      </c>
      <c r="F2756" s="38" t="s">
        <v>13</v>
      </c>
      <c r="G2756" s="38" t="s">
        <v>3306</v>
      </c>
      <c r="H2756" s="38" t="s">
        <v>13</v>
      </c>
      <c r="I2756" s="4"/>
    </row>
    <row r="2757">
      <c r="A2757" s="38">
        <v>2753.0</v>
      </c>
      <c r="B2757" s="38" t="s">
        <v>3270</v>
      </c>
      <c r="C2757" s="38" t="s">
        <v>3403</v>
      </c>
      <c r="D2757" s="38" t="s">
        <v>13</v>
      </c>
      <c r="E2757" s="38">
        <v>2.4187992E8</v>
      </c>
      <c r="F2757" s="38" t="s">
        <v>13</v>
      </c>
      <c r="G2757" s="38" t="s">
        <v>545</v>
      </c>
      <c r="H2757" s="38" t="s">
        <v>13</v>
      </c>
      <c r="I2757" s="4"/>
    </row>
    <row r="2758">
      <c r="A2758" s="38">
        <v>2754.0</v>
      </c>
      <c r="B2758" s="38" t="s">
        <v>3270</v>
      </c>
      <c r="C2758" s="38" t="s">
        <v>3404</v>
      </c>
      <c r="D2758" s="38">
        <v>2.0</v>
      </c>
      <c r="E2758" s="38" t="s">
        <v>13</v>
      </c>
      <c r="F2758" s="38" t="s">
        <v>13</v>
      </c>
      <c r="G2758" s="38" t="s">
        <v>346</v>
      </c>
      <c r="H2758" s="38" t="s">
        <v>13</v>
      </c>
      <c r="I2758" s="4"/>
    </row>
    <row r="2759">
      <c r="A2759" s="38">
        <v>2755.0</v>
      </c>
      <c r="B2759" s="38" t="s">
        <v>3270</v>
      </c>
      <c r="C2759" s="38" t="s">
        <v>3405</v>
      </c>
      <c r="D2759" s="38">
        <v>9.0</v>
      </c>
      <c r="E2759" s="38" t="s">
        <v>13</v>
      </c>
      <c r="F2759" s="38" t="s">
        <v>13</v>
      </c>
      <c r="G2759" s="38" t="s">
        <v>3406</v>
      </c>
      <c r="H2759" s="38" t="s">
        <v>13</v>
      </c>
      <c r="I2759" s="4"/>
    </row>
    <row r="2760">
      <c r="A2760" s="38">
        <v>2756.0</v>
      </c>
      <c r="B2760" s="38" t="s">
        <v>3270</v>
      </c>
      <c r="C2760" s="38" t="s">
        <v>3407</v>
      </c>
      <c r="D2760" s="38">
        <v>52.0</v>
      </c>
      <c r="E2760" s="38" t="s">
        <v>13</v>
      </c>
      <c r="F2760" s="38" t="s">
        <v>13</v>
      </c>
      <c r="G2760" s="38" t="s">
        <v>3408</v>
      </c>
      <c r="H2760" s="38" t="s">
        <v>13</v>
      </c>
      <c r="I2760" s="4"/>
    </row>
    <row r="2761">
      <c r="A2761" s="38">
        <v>2757.0</v>
      </c>
      <c r="B2761" s="38" t="s">
        <v>3270</v>
      </c>
      <c r="C2761" s="38" t="s">
        <v>3409</v>
      </c>
      <c r="D2761" s="38">
        <v>1.0</v>
      </c>
      <c r="E2761" s="38" t="s">
        <v>13</v>
      </c>
      <c r="F2761" s="38" t="s">
        <v>13</v>
      </c>
      <c r="G2761" s="38" t="s">
        <v>3410</v>
      </c>
      <c r="H2761" s="38" t="s">
        <v>13</v>
      </c>
      <c r="I2761" s="4"/>
    </row>
    <row r="2762">
      <c r="A2762" s="38">
        <v>2758.0</v>
      </c>
      <c r="B2762" s="38" t="s">
        <v>3270</v>
      </c>
      <c r="C2762" s="38" t="s">
        <v>3411</v>
      </c>
      <c r="D2762" s="38" t="s">
        <v>13</v>
      </c>
      <c r="E2762" s="38" t="s">
        <v>13</v>
      </c>
      <c r="F2762" s="38" t="s">
        <v>13</v>
      </c>
      <c r="G2762" s="38" t="s">
        <v>1088</v>
      </c>
      <c r="H2762" s="38" t="s">
        <v>13</v>
      </c>
      <c r="I2762" s="4"/>
    </row>
    <row r="2763">
      <c r="A2763" s="38">
        <v>2759.0</v>
      </c>
      <c r="B2763" s="38" t="s">
        <v>3270</v>
      </c>
      <c r="C2763" s="38" t="s">
        <v>3412</v>
      </c>
      <c r="D2763" s="38">
        <v>36.0</v>
      </c>
      <c r="E2763" s="38" t="s">
        <v>13</v>
      </c>
      <c r="F2763" s="38" t="s">
        <v>13</v>
      </c>
      <c r="G2763" s="38" t="s">
        <v>1078</v>
      </c>
      <c r="H2763" s="38" t="s">
        <v>13</v>
      </c>
      <c r="I2763" s="4"/>
    </row>
    <row r="2764">
      <c r="A2764" s="38">
        <v>2760.0</v>
      </c>
      <c r="B2764" s="38" t="s">
        <v>3270</v>
      </c>
      <c r="C2764" s="38" t="s">
        <v>3413</v>
      </c>
      <c r="D2764" s="38">
        <v>34.0</v>
      </c>
      <c r="E2764" s="38" t="s">
        <v>13</v>
      </c>
      <c r="F2764" s="38" t="s">
        <v>13</v>
      </c>
      <c r="G2764" s="38" t="s">
        <v>986</v>
      </c>
      <c r="H2764" s="38" t="s">
        <v>13</v>
      </c>
      <c r="I2764" s="4"/>
    </row>
    <row r="2765">
      <c r="A2765" s="4"/>
      <c r="B2765" s="4"/>
      <c r="C2765" s="4"/>
      <c r="D2765" s="4"/>
      <c r="E2765" s="4"/>
      <c r="F2765" s="4"/>
      <c r="G2765" s="4"/>
      <c r="H2765" s="4"/>
      <c r="I2765" s="4"/>
    </row>
    <row r="2766">
      <c r="A2766" s="4"/>
      <c r="B2766" s="4"/>
      <c r="C2766" s="4"/>
      <c r="D2766" s="4"/>
      <c r="E2766" s="4"/>
      <c r="F2766" s="4"/>
      <c r="G2766" s="4"/>
      <c r="H2766" s="4"/>
      <c r="I2766" s="4"/>
    </row>
    <row r="2767">
      <c r="A2767" s="4"/>
      <c r="B2767" s="4"/>
      <c r="C2767" s="4"/>
      <c r="D2767" s="4"/>
      <c r="E2767" s="4"/>
      <c r="F2767" s="4"/>
      <c r="G2767" s="4"/>
      <c r="H2767" s="4"/>
      <c r="I2767" s="4"/>
    </row>
    <row r="2768">
      <c r="A2768" s="4"/>
      <c r="B2768" s="4"/>
      <c r="C2768" s="4"/>
      <c r="D2768" s="4"/>
      <c r="E2768" s="4"/>
      <c r="F2768" s="4"/>
      <c r="G2768" s="4"/>
      <c r="H2768" s="4"/>
      <c r="I2768" s="4"/>
    </row>
    <row r="2769">
      <c r="A2769" s="4"/>
      <c r="B2769" s="4"/>
      <c r="C2769" s="4"/>
      <c r="D2769" s="4"/>
      <c r="E2769" s="4"/>
      <c r="F2769" s="4"/>
      <c r="G2769" s="4"/>
      <c r="H2769" s="4"/>
      <c r="I2769" s="4"/>
    </row>
    <row r="2770">
      <c r="A2770" s="4"/>
      <c r="B2770" s="4"/>
      <c r="C2770" s="4"/>
      <c r="D2770" s="4"/>
      <c r="E2770" s="4"/>
      <c r="F2770" s="4"/>
      <c r="G2770" s="4"/>
      <c r="H2770" s="4"/>
      <c r="I2770" s="4"/>
    </row>
    <row r="2771">
      <c r="A2771" s="4"/>
      <c r="B2771" s="4"/>
      <c r="C2771" s="4"/>
      <c r="D2771" s="4"/>
      <c r="E2771" s="4"/>
      <c r="F2771" s="4"/>
      <c r="G2771" s="4"/>
      <c r="H2771" s="4"/>
      <c r="I2771" s="4"/>
    </row>
    <row r="2772">
      <c r="A2772" s="4"/>
      <c r="B2772" s="4"/>
      <c r="C2772" s="4"/>
      <c r="D2772" s="4"/>
      <c r="E2772" s="4"/>
      <c r="F2772" s="4"/>
      <c r="G2772" s="4"/>
      <c r="H2772" s="4"/>
      <c r="I2772" s="4"/>
    </row>
    <row r="2773">
      <c r="A2773" s="4"/>
      <c r="B2773" s="4"/>
      <c r="C2773" s="4"/>
      <c r="D2773" s="4"/>
      <c r="E2773" s="4"/>
      <c r="F2773" s="4"/>
      <c r="G2773" s="4"/>
      <c r="H2773" s="4"/>
      <c r="I2773" s="4"/>
    </row>
    <row r="2774">
      <c r="A2774" s="4"/>
      <c r="B2774" s="4"/>
      <c r="C2774" s="4"/>
      <c r="D2774" s="4"/>
      <c r="E2774" s="4"/>
      <c r="F2774" s="4"/>
      <c r="G2774" s="4"/>
      <c r="H2774" s="4"/>
      <c r="I2774" s="4"/>
    </row>
    <row r="2775">
      <c r="A2775" s="4"/>
      <c r="B2775" s="4"/>
      <c r="C2775" s="4"/>
      <c r="D2775" s="4"/>
      <c r="E2775" s="4"/>
      <c r="F2775" s="4"/>
      <c r="G2775" s="4"/>
      <c r="H2775" s="4"/>
      <c r="I2775" s="4"/>
    </row>
    <row r="2776">
      <c r="A2776" s="4"/>
      <c r="B2776" s="4"/>
      <c r="C2776" s="4"/>
      <c r="D2776" s="4"/>
      <c r="E2776" s="4"/>
      <c r="F2776" s="4"/>
      <c r="G2776" s="4"/>
      <c r="H2776" s="4"/>
      <c r="I2776" s="4"/>
    </row>
    <row r="2777">
      <c r="A2777" s="4"/>
      <c r="B2777" s="4"/>
      <c r="C2777" s="4"/>
      <c r="D2777" s="4"/>
      <c r="E2777" s="4"/>
      <c r="F2777" s="4"/>
      <c r="G2777" s="4"/>
      <c r="H2777" s="4"/>
      <c r="I2777" s="4"/>
    </row>
    <row r="2778">
      <c r="A2778" s="4"/>
      <c r="B2778" s="4"/>
      <c r="C2778" s="4"/>
      <c r="D2778" s="4"/>
      <c r="E2778" s="4"/>
      <c r="F2778" s="4"/>
      <c r="G2778" s="4"/>
      <c r="H2778" s="4"/>
      <c r="I2778" s="4"/>
    </row>
    <row r="2779">
      <c r="A2779" s="4"/>
      <c r="B2779" s="4"/>
      <c r="C2779" s="4"/>
      <c r="D2779" s="4"/>
      <c r="E2779" s="4"/>
      <c r="F2779" s="4"/>
      <c r="G2779" s="4"/>
      <c r="H2779" s="4"/>
      <c r="I2779" s="4"/>
    </row>
    <row r="2780">
      <c r="A2780" s="4"/>
      <c r="B2780" s="4"/>
      <c r="C2780" s="4"/>
      <c r="D2780" s="4"/>
      <c r="E2780" s="4"/>
      <c r="F2780" s="4"/>
      <c r="G2780" s="4"/>
      <c r="H2780" s="4"/>
      <c r="I2780" s="4"/>
    </row>
    <row r="2781">
      <c r="A2781" s="4"/>
      <c r="B2781" s="4"/>
      <c r="C2781" s="4"/>
      <c r="D2781" s="4"/>
      <c r="E2781" s="4"/>
      <c r="F2781" s="4"/>
      <c r="G2781" s="4"/>
      <c r="H2781" s="4"/>
      <c r="I2781" s="4"/>
    </row>
    <row r="2782">
      <c r="A2782" s="4"/>
      <c r="B2782" s="4"/>
      <c r="C2782" s="4"/>
      <c r="D2782" s="4"/>
      <c r="E2782" s="4"/>
      <c r="F2782" s="4"/>
      <c r="G2782" s="4"/>
      <c r="H2782" s="4"/>
      <c r="I2782" s="4"/>
    </row>
    <row r="2783">
      <c r="A2783" s="4"/>
      <c r="B2783" s="4"/>
      <c r="C2783" s="4"/>
      <c r="D2783" s="4"/>
      <c r="E2783" s="4"/>
      <c r="F2783" s="4"/>
      <c r="G2783" s="4"/>
      <c r="H2783" s="4"/>
      <c r="I2783" s="4"/>
    </row>
    <row r="2784">
      <c r="A2784" s="4"/>
      <c r="B2784" s="4"/>
      <c r="C2784" s="4"/>
      <c r="D2784" s="4"/>
      <c r="E2784" s="4"/>
      <c r="F2784" s="4"/>
      <c r="G2784" s="4"/>
      <c r="H2784" s="4"/>
      <c r="I2784" s="4"/>
    </row>
    <row r="2785">
      <c r="A2785" s="4"/>
      <c r="B2785" s="4"/>
      <c r="C2785" s="4"/>
      <c r="D2785" s="4"/>
      <c r="E2785" s="4"/>
      <c r="F2785" s="4"/>
      <c r="G2785" s="4"/>
      <c r="H2785" s="4"/>
      <c r="I2785" s="4"/>
    </row>
    <row r="2786">
      <c r="A2786" s="4"/>
      <c r="B2786" s="4"/>
      <c r="C2786" s="4"/>
      <c r="D2786" s="4"/>
      <c r="E2786" s="4"/>
      <c r="F2786" s="4"/>
      <c r="G2786" s="4"/>
      <c r="H2786" s="4"/>
      <c r="I2786" s="4"/>
    </row>
    <row r="2787">
      <c r="A2787" s="4"/>
      <c r="B2787" s="4"/>
      <c r="C2787" s="4"/>
      <c r="D2787" s="4"/>
      <c r="E2787" s="4"/>
      <c r="F2787" s="4"/>
      <c r="G2787" s="4"/>
      <c r="H2787" s="4"/>
      <c r="I2787" s="4"/>
    </row>
    <row r="2788">
      <c r="A2788" s="4"/>
      <c r="B2788" s="4"/>
      <c r="C2788" s="4"/>
      <c r="D2788" s="4"/>
      <c r="E2788" s="4"/>
      <c r="F2788" s="4"/>
      <c r="G2788" s="4"/>
      <c r="H2788" s="4"/>
      <c r="I2788" s="4"/>
    </row>
    <row r="2789">
      <c r="A2789" s="4"/>
      <c r="B2789" s="4"/>
      <c r="C2789" s="4"/>
      <c r="D2789" s="4"/>
      <c r="E2789" s="4"/>
      <c r="F2789" s="4"/>
      <c r="G2789" s="4"/>
      <c r="H2789" s="4"/>
      <c r="I2789" s="4"/>
    </row>
    <row r="2790">
      <c r="A2790" s="4"/>
      <c r="B2790" s="4"/>
      <c r="C2790" s="4"/>
      <c r="D2790" s="4"/>
      <c r="E2790" s="4"/>
      <c r="F2790" s="4"/>
      <c r="G2790" s="4"/>
      <c r="H2790" s="4"/>
      <c r="I2790" s="4"/>
    </row>
    <row r="2791">
      <c r="A2791" s="4"/>
      <c r="B2791" s="4"/>
      <c r="C2791" s="4"/>
      <c r="D2791" s="4"/>
      <c r="E2791" s="4"/>
      <c r="F2791" s="4"/>
      <c r="G2791" s="4"/>
      <c r="H2791" s="4"/>
      <c r="I2791" s="4"/>
    </row>
    <row r="2792">
      <c r="A2792" s="4"/>
      <c r="B2792" s="4"/>
      <c r="C2792" s="4"/>
      <c r="D2792" s="4"/>
      <c r="E2792" s="4"/>
      <c r="F2792" s="4"/>
      <c r="G2792" s="4"/>
      <c r="H2792" s="4"/>
      <c r="I2792" s="4"/>
    </row>
    <row r="2793">
      <c r="A2793" s="4"/>
      <c r="B2793" s="4"/>
      <c r="C2793" s="4"/>
      <c r="D2793" s="4"/>
      <c r="E2793" s="4"/>
      <c r="F2793" s="4"/>
      <c r="G2793" s="4"/>
      <c r="H2793" s="4"/>
      <c r="I2793" s="4"/>
    </row>
    <row r="2794">
      <c r="A2794" s="4"/>
      <c r="B2794" s="4"/>
      <c r="C2794" s="4"/>
      <c r="D2794" s="4"/>
      <c r="E2794" s="4"/>
      <c r="F2794" s="4"/>
      <c r="G2794" s="4"/>
      <c r="H2794" s="4"/>
      <c r="I2794" s="4"/>
    </row>
    <row r="2795">
      <c r="A2795" s="4"/>
      <c r="B2795" s="4"/>
      <c r="C2795" s="4"/>
      <c r="D2795" s="4"/>
      <c r="E2795" s="4"/>
      <c r="F2795" s="4"/>
      <c r="G2795" s="4"/>
      <c r="H2795" s="4"/>
      <c r="I2795" s="4"/>
    </row>
    <row r="2796">
      <c r="A2796" s="4"/>
      <c r="B2796" s="4"/>
      <c r="C2796" s="4"/>
      <c r="D2796" s="4"/>
      <c r="E2796" s="4"/>
      <c r="F2796" s="4"/>
      <c r="G2796" s="4"/>
      <c r="H2796" s="4"/>
      <c r="I2796" s="4"/>
    </row>
    <row r="2797">
      <c r="A2797" s="4"/>
      <c r="B2797" s="4"/>
      <c r="C2797" s="4"/>
      <c r="D2797" s="4"/>
      <c r="E2797" s="4"/>
      <c r="F2797" s="4"/>
      <c r="G2797" s="4"/>
      <c r="H2797" s="4"/>
      <c r="I2797" s="4"/>
    </row>
    <row r="2798">
      <c r="A2798" s="4"/>
      <c r="B2798" s="4"/>
      <c r="C2798" s="4"/>
      <c r="D2798" s="4"/>
      <c r="E2798" s="4"/>
      <c r="F2798" s="4"/>
      <c r="G2798" s="4"/>
      <c r="H2798" s="4"/>
      <c r="I2798" s="4"/>
    </row>
    <row r="2799">
      <c r="A2799" s="4"/>
      <c r="B2799" s="4"/>
      <c r="C2799" s="4"/>
      <c r="D2799" s="4"/>
      <c r="E2799" s="4"/>
      <c r="F2799" s="4"/>
      <c r="G2799" s="4"/>
      <c r="H2799" s="4"/>
      <c r="I2799" s="4"/>
    </row>
    <row r="2800">
      <c r="A2800" s="4"/>
      <c r="B2800" s="4"/>
      <c r="C2800" s="4"/>
      <c r="D2800" s="4"/>
      <c r="E2800" s="4"/>
      <c r="F2800" s="4"/>
      <c r="G2800" s="4"/>
      <c r="H2800" s="4"/>
      <c r="I2800" s="4"/>
    </row>
    <row r="2801">
      <c r="A2801" s="4"/>
      <c r="B2801" s="4"/>
      <c r="C2801" s="4"/>
      <c r="D2801" s="4"/>
      <c r="E2801" s="4"/>
      <c r="F2801" s="4"/>
      <c r="G2801" s="4"/>
      <c r="H2801" s="4"/>
      <c r="I2801" s="4"/>
    </row>
    <row r="2802">
      <c r="A2802" s="4"/>
      <c r="B2802" s="4"/>
      <c r="C2802" s="4"/>
      <c r="D2802" s="4"/>
      <c r="E2802" s="4"/>
      <c r="F2802" s="4"/>
      <c r="G2802" s="4"/>
      <c r="H2802" s="4"/>
      <c r="I2802" s="4"/>
    </row>
    <row r="2803">
      <c r="A2803" s="4"/>
      <c r="B2803" s="4"/>
      <c r="C2803" s="4"/>
      <c r="D2803" s="4"/>
      <c r="E2803" s="4"/>
      <c r="F2803" s="4"/>
      <c r="G2803" s="4"/>
      <c r="H2803" s="4"/>
      <c r="I2803" s="4"/>
    </row>
    <row r="2804">
      <c r="A2804" s="4"/>
      <c r="B2804" s="4"/>
      <c r="C2804" s="4"/>
      <c r="D2804" s="4"/>
      <c r="E2804" s="4"/>
      <c r="F2804" s="4"/>
      <c r="G2804" s="4"/>
      <c r="H2804" s="4"/>
      <c r="I2804" s="4"/>
    </row>
    <row r="2805">
      <c r="A2805" s="4"/>
      <c r="B2805" s="4"/>
      <c r="C2805" s="4"/>
      <c r="D2805" s="4"/>
      <c r="E2805" s="4"/>
      <c r="F2805" s="4"/>
      <c r="G2805" s="4"/>
      <c r="H2805" s="4"/>
      <c r="I2805" s="4"/>
    </row>
    <row r="2806">
      <c r="A2806" s="4"/>
      <c r="B2806" s="4"/>
      <c r="C2806" s="4"/>
      <c r="D2806" s="4"/>
      <c r="E2806" s="4"/>
      <c r="F2806" s="4"/>
      <c r="G2806" s="4"/>
      <c r="H2806" s="4"/>
      <c r="I2806" s="4"/>
    </row>
    <row r="2807">
      <c r="A2807" s="4"/>
      <c r="B2807" s="4"/>
      <c r="C2807" s="4"/>
      <c r="D2807" s="4"/>
      <c r="E2807" s="4"/>
      <c r="F2807" s="4"/>
      <c r="G2807" s="4"/>
      <c r="H2807" s="4"/>
      <c r="I2807" s="4"/>
    </row>
    <row r="2808">
      <c r="A2808" s="4"/>
      <c r="B2808" s="4"/>
      <c r="C2808" s="4"/>
      <c r="D2808" s="4"/>
      <c r="E2808" s="4"/>
      <c r="F2808" s="4"/>
      <c r="G2808" s="4"/>
      <c r="H2808" s="4"/>
      <c r="I2808" s="4"/>
    </row>
    <row r="2809">
      <c r="A2809" s="4"/>
      <c r="B2809" s="4"/>
      <c r="C2809" s="4"/>
      <c r="D2809" s="4"/>
      <c r="E2809" s="4"/>
      <c r="F2809" s="4"/>
      <c r="G2809" s="4"/>
      <c r="H2809" s="4"/>
      <c r="I2809" s="4"/>
    </row>
    <row r="2810">
      <c r="A2810" s="4"/>
      <c r="B2810" s="4"/>
      <c r="C2810" s="4"/>
      <c r="D2810" s="4"/>
      <c r="E2810" s="4"/>
      <c r="F2810" s="4"/>
      <c r="G2810" s="4"/>
      <c r="H2810" s="4"/>
      <c r="I2810" s="4"/>
    </row>
    <row r="2811">
      <c r="A2811" s="4"/>
      <c r="B2811" s="4"/>
      <c r="C2811" s="4"/>
      <c r="D2811" s="4"/>
      <c r="E2811" s="4"/>
      <c r="F2811" s="4"/>
      <c r="G2811" s="4"/>
      <c r="H2811" s="4"/>
      <c r="I2811" s="4"/>
    </row>
    <row r="2812">
      <c r="A2812" s="4"/>
      <c r="B2812" s="4"/>
      <c r="C2812" s="4"/>
      <c r="D2812" s="4"/>
      <c r="E2812" s="4"/>
      <c r="F2812" s="4"/>
      <c r="G2812" s="4"/>
      <c r="H2812" s="4"/>
      <c r="I2812" s="4"/>
    </row>
    <row r="2813">
      <c r="A2813" s="4"/>
      <c r="B2813" s="4"/>
      <c r="C2813" s="4"/>
      <c r="D2813" s="4"/>
      <c r="E2813" s="4"/>
      <c r="F2813" s="4"/>
      <c r="G2813" s="4"/>
      <c r="H2813" s="4"/>
      <c r="I2813" s="4"/>
    </row>
    <row r="2814">
      <c r="A2814" s="4"/>
      <c r="B2814" s="4"/>
      <c r="C2814" s="4"/>
      <c r="D2814" s="4"/>
      <c r="E2814" s="4"/>
      <c r="F2814" s="4"/>
      <c r="G2814" s="4"/>
      <c r="H2814" s="4"/>
      <c r="I2814" s="4"/>
    </row>
    <row r="2815">
      <c r="A2815" s="4"/>
      <c r="B2815" s="4"/>
      <c r="C2815" s="4"/>
      <c r="D2815" s="4"/>
      <c r="E2815" s="4"/>
      <c r="F2815" s="4"/>
      <c r="G2815" s="4"/>
      <c r="H2815" s="4"/>
      <c r="I2815" s="4"/>
    </row>
    <row r="2816">
      <c r="A2816" s="4"/>
      <c r="B2816" s="4"/>
      <c r="C2816" s="4"/>
      <c r="D2816" s="4"/>
      <c r="E2816" s="4"/>
      <c r="F2816" s="4"/>
      <c r="G2816" s="4"/>
      <c r="H2816" s="4"/>
      <c r="I2816" s="4"/>
    </row>
    <row r="2817">
      <c r="A2817" s="4"/>
      <c r="B2817" s="4"/>
      <c r="C2817" s="4"/>
      <c r="D2817" s="4"/>
      <c r="E2817" s="4"/>
      <c r="F2817" s="4"/>
      <c r="G2817" s="4"/>
      <c r="H2817" s="4"/>
      <c r="I2817" s="4"/>
    </row>
    <row r="2818">
      <c r="A2818" s="4"/>
      <c r="B2818" s="4"/>
      <c r="C2818" s="4"/>
      <c r="D2818" s="4"/>
      <c r="E2818" s="4"/>
      <c r="F2818" s="4"/>
      <c r="G2818" s="4"/>
      <c r="H2818" s="4"/>
      <c r="I2818" s="4"/>
    </row>
    <row r="2819">
      <c r="A2819" s="4"/>
      <c r="B2819" s="4"/>
      <c r="C2819" s="4"/>
      <c r="D2819" s="4"/>
      <c r="E2819" s="4"/>
      <c r="F2819" s="4"/>
      <c r="G2819" s="4"/>
      <c r="H2819" s="4"/>
      <c r="I2819" s="4"/>
    </row>
    <row r="2820">
      <c r="A2820" s="4"/>
      <c r="B2820" s="4"/>
      <c r="C2820" s="4"/>
      <c r="D2820" s="4"/>
      <c r="E2820" s="4"/>
      <c r="F2820" s="4"/>
      <c r="G2820" s="4"/>
      <c r="H2820" s="4"/>
      <c r="I2820" s="4"/>
    </row>
    <row r="2821">
      <c r="A2821" s="4"/>
      <c r="B2821" s="4"/>
      <c r="C2821" s="4"/>
      <c r="D2821" s="4"/>
      <c r="E2821" s="4"/>
      <c r="F2821" s="4"/>
      <c r="G2821" s="4"/>
      <c r="H2821" s="4"/>
      <c r="I2821" s="4"/>
    </row>
    <row r="2822">
      <c r="A2822" s="4"/>
      <c r="B2822" s="4"/>
      <c r="C2822" s="4"/>
      <c r="D2822" s="4"/>
      <c r="E2822" s="4"/>
      <c r="F2822" s="4"/>
      <c r="G2822" s="4"/>
      <c r="H2822" s="4"/>
      <c r="I2822" s="4"/>
    </row>
    <row r="2823">
      <c r="A2823" s="4"/>
      <c r="B2823" s="4"/>
      <c r="C2823" s="4"/>
      <c r="D2823" s="4"/>
      <c r="E2823" s="4"/>
      <c r="F2823" s="4"/>
      <c r="G2823" s="4"/>
      <c r="H2823" s="4"/>
      <c r="I2823" s="4"/>
    </row>
    <row r="2824">
      <c r="A2824" s="4"/>
      <c r="B2824" s="4"/>
      <c r="C2824" s="4"/>
      <c r="D2824" s="4"/>
      <c r="E2824" s="4"/>
      <c r="F2824" s="4"/>
      <c r="G2824" s="4"/>
      <c r="H2824" s="4"/>
      <c r="I2824" s="4"/>
    </row>
    <row r="2825">
      <c r="A2825" s="4"/>
      <c r="B2825" s="4"/>
      <c r="C2825" s="4"/>
      <c r="D2825" s="4"/>
      <c r="E2825" s="4"/>
      <c r="F2825" s="4"/>
      <c r="G2825" s="4"/>
      <c r="H2825" s="4"/>
      <c r="I2825" s="4"/>
    </row>
    <row r="2826">
      <c r="A2826" s="4"/>
      <c r="B2826" s="4"/>
      <c r="C2826" s="4"/>
      <c r="D2826" s="4"/>
      <c r="E2826" s="4"/>
      <c r="F2826" s="4"/>
      <c r="G2826" s="4"/>
      <c r="H2826" s="4"/>
      <c r="I2826" s="4"/>
    </row>
    <row r="2827">
      <c r="A2827" s="4"/>
      <c r="B2827" s="4"/>
      <c r="C2827" s="4"/>
      <c r="D2827" s="4"/>
      <c r="E2827" s="4"/>
      <c r="F2827" s="4"/>
      <c r="G2827" s="4"/>
      <c r="H2827" s="4"/>
      <c r="I2827" s="4"/>
    </row>
    <row r="2828">
      <c r="A2828" s="4"/>
      <c r="B2828" s="4"/>
      <c r="C2828" s="4"/>
      <c r="D2828" s="4"/>
      <c r="E2828" s="4"/>
      <c r="F2828" s="4"/>
      <c r="G2828" s="4"/>
      <c r="H2828" s="4"/>
      <c r="I2828" s="4"/>
    </row>
    <row r="2829">
      <c r="A2829" s="4"/>
      <c r="B2829" s="4"/>
      <c r="C2829" s="4"/>
      <c r="D2829" s="4"/>
      <c r="E2829" s="4"/>
      <c r="F2829" s="4"/>
      <c r="G2829" s="4"/>
      <c r="H2829" s="4"/>
      <c r="I2829" s="4"/>
    </row>
    <row r="2830">
      <c r="A2830" s="4"/>
      <c r="B2830" s="4"/>
      <c r="C2830" s="4"/>
      <c r="D2830" s="4"/>
      <c r="E2830" s="4"/>
      <c r="F2830" s="4"/>
      <c r="G2830" s="4"/>
      <c r="H2830" s="4"/>
      <c r="I2830" s="4"/>
    </row>
    <row r="2831">
      <c r="A2831" s="4"/>
      <c r="B2831" s="4"/>
      <c r="C2831" s="4"/>
      <c r="D2831" s="4"/>
      <c r="E2831" s="4"/>
      <c r="F2831" s="4"/>
      <c r="G2831" s="4"/>
      <c r="H2831" s="4"/>
      <c r="I2831" s="4"/>
    </row>
    <row r="2832">
      <c r="A2832" s="4"/>
      <c r="B2832" s="4"/>
      <c r="C2832" s="4"/>
      <c r="D2832" s="4"/>
      <c r="E2832" s="4"/>
      <c r="F2832" s="4"/>
      <c r="G2832" s="4"/>
      <c r="H2832" s="4"/>
      <c r="I2832" s="4"/>
    </row>
    <row r="2833">
      <c r="A2833" s="4"/>
      <c r="B2833" s="4"/>
      <c r="C2833" s="4"/>
      <c r="D2833" s="4"/>
      <c r="E2833" s="4"/>
      <c r="F2833" s="4"/>
      <c r="G2833" s="4"/>
      <c r="H2833" s="4"/>
      <c r="I2833" s="4"/>
    </row>
    <row r="2834">
      <c r="A2834" s="4"/>
      <c r="B2834" s="4"/>
      <c r="C2834" s="4"/>
      <c r="D2834" s="4"/>
      <c r="E2834" s="4"/>
      <c r="F2834" s="4"/>
      <c r="G2834" s="4"/>
      <c r="H2834" s="4"/>
      <c r="I2834" s="4"/>
    </row>
    <row r="2835">
      <c r="A2835" s="4"/>
      <c r="B2835" s="4"/>
      <c r="C2835" s="4"/>
      <c r="D2835" s="4"/>
      <c r="E2835" s="4"/>
      <c r="F2835" s="4"/>
      <c r="G2835" s="4"/>
      <c r="H2835" s="4"/>
      <c r="I2835" s="4"/>
    </row>
    <row r="2836">
      <c r="A2836" s="4"/>
      <c r="B2836" s="4"/>
      <c r="C2836" s="4"/>
      <c r="D2836" s="4"/>
      <c r="E2836" s="4"/>
      <c r="F2836" s="4"/>
      <c r="G2836" s="4"/>
      <c r="H2836" s="4"/>
      <c r="I2836" s="4"/>
    </row>
    <row r="2837">
      <c r="A2837" s="4"/>
      <c r="B2837" s="4"/>
      <c r="C2837" s="4"/>
      <c r="D2837" s="4"/>
      <c r="E2837" s="4"/>
      <c r="F2837" s="4"/>
      <c r="G2837" s="4"/>
      <c r="H2837" s="4"/>
      <c r="I2837" s="4"/>
    </row>
    <row r="2838">
      <c r="A2838" s="4"/>
      <c r="B2838" s="4"/>
      <c r="C2838" s="4"/>
      <c r="D2838" s="4"/>
      <c r="E2838" s="4"/>
      <c r="F2838" s="4"/>
      <c r="G2838" s="4"/>
      <c r="H2838" s="4"/>
      <c r="I2838" s="4"/>
    </row>
    <row r="2839">
      <c r="A2839" s="4"/>
      <c r="B2839" s="4"/>
      <c r="C2839" s="4"/>
      <c r="D2839" s="4"/>
      <c r="E2839" s="4"/>
      <c r="F2839" s="4"/>
      <c r="G2839" s="4"/>
      <c r="H2839" s="4"/>
      <c r="I2839" s="4"/>
    </row>
    <row r="2840">
      <c r="A2840" s="4"/>
      <c r="B2840" s="4"/>
      <c r="C2840" s="4"/>
      <c r="D2840" s="4"/>
      <c r="E2840" s="4"/>
      <c r="F2840" s="4"/>
      <c r="G2840" s="4"/>
      <c r="H2840" s="4"/>
      <c r="I2840" s="4"/>
    </row>
    <row r="2841">
      <c r="A2841" s="4"/>
      <c r="B2841" s="4"/>
      <c r="C2841" s="4"/>
      <c r="D2841" s="4"/>
      <c r="E2841" s="4"/>
      <c r="F2841" s="4"/>
      <c r="G2841" s="4"/>
      <c r="H2841" s="4"/>
      <c r="I2841" s="4"/>
    </row>
    <row r="2842">
      <c r="A2842" s="4"/>
      <c r="B2842" s="4"/>
      <c r="C2842" s="4"/>
      <c r="D2842" s="4"/>
      <c r="E2842" s="4"/>
      <c r="F2842" s="4"/>
      <c r="G2842" s="4"/>
      <c r="H2842" s="4"/>
      <c r="I2842" s="4"/>
    </row>
    <row r="2843">
      <c r="A2843" s="4"/>
      <c r="B2843" s="4"/>
      <c r="C2843" s="4"/>
      <c r="D2843" s="4"/>
      <c r="E2843" s="4"/>
      <c r="F2843" s="4"/>
      <c r="G2843" s="4"/>
      <c r="H2843" s="4"/>
      <c r="I2843" s="4"/>
    </row>
    <row r="2844">
      <c r="A2844" s="4"/>
      <c r="B2844" s="4"/>
      <c r="C2844" s="4"/>
      <c r="D2844" s="4"/>
      <c r="E2844" s="4"/>
      <c r="F2844" s="4"/>
      <c r="G2844" s="4"/>
      <c r="H2844" s="4"/>
      <c r="I2844" s="4"/>
    </row>
    <row r="2845">
      <c r="A2845" s="4"/>
      <c r="B2845" s="4"/>
      <c r="C2845" s="4"/>
      <c r="D2845" s="4"/>
      <c r="E2845" s="4"/>
      <c r="F2845" s="4"/>
      <c r="G2845" s="4"/>
      <c r="H2845" s="4"/>
      <c r="I2845" s="4"/>
    </row>
    <row r="2846">
      <c r="A2846" s="4"/>
      <c r="B2846" s="4"/>
      <c r="C2846" s="4"/>
      <c r="D2846" s="4"/>
      <c r="E2846" s="4"/>
      <c r="F2846" s="4"/>
      <c r="G2846" s="4"/>
      <c r="H2846" s="4"/>
      <c r="I2846" s="4"/>
    </row>
    <row r="2847">
      <c r="A2847" s="4"/>
      <c r="B2847" s="4"/>
      <c r="C2847" s="4"/>
      <c r="D2847" s="4"/>
      <c r="E2847" s="4"/>
      <c r="F2847" s="4"/>
      <c r="G2847" s="4"/>
      <c r="H2847" s="4"/>
      <c r="I2847" s="4"/>
    </row>
    <row r="2848">
      <c r="A2848" s="4"/>
      <c r="B2848" s="4"/>
      <c r="C2848" s="4"/>
      <c r="D2848" s="4"/>
      <c r="E2848" s="4"/>
      <c r="F2848" s="4"/>
      <c r="G2848" s="4"/>
      <c r="H2848" s="4"/>
      <c r="I2848" s="4"/>
    </row>
    <row r="2849">
      <c r="A2849" s="4"/>
      <c r="B2849" s="4"/>
      <c r="C2849" s="4"/>
      <c r="D2849" s="4"/>
      <c r="E2849" s="4"/>
      <c r="F2849" s="4"/>
      <c r="G2849" s="4"/>
      <c r="H2849" s="4"/>
      <c r="I2849" s="4"/>
    </row>
    <row r="2850">
      <c r="A2850" s="4"/>
      <c r="B2850" s="4"/>
      <c r="C2850" s="4"/>
      <c r="D2850" s="4"/>
      <c r="E2850" s="4"/>
      <c r="F2850" s="4"/>
      <c r="G2850" s="4"/>
      <c r="H2850" s="4"/>
      <c r="I2850" s="4"/>
    </row>
    <row r="2851">
      <c r="A2851" s="4"/>
      <c r="B2851" s="4"/>
      <c r="C2851" s="4"/>
      <c r="D2851" s="4"/>
      <c r="E2851" s="4"/>
      <c r="F2851" s="4"/>
      <c r="G2851" s="4"/>
      <c r="H2851" s="4"/>
      <c r="I2851" s="4"/>
    </row>
    <row r="2852">
      <c r="A2852" s="4"/>
      <c r="B2852" s="4"/>
      <c r="C2852" s="4"/>
      <c r="D2852" s="4"/>
      <c r="E2852" s="4"/>
      <c r="F2852" s="4"/>
      <c r="G2852" s="4"/>
      <c r="H2852" s="4"/>
      <c r="I2852" s="4"/>
    </row>
    <row r="2853">
      <c r="A2853" s="4"/>
      <c r="B2853" s="4"/>
      <c r="C2853" s="4"/>
      <c r="D2853" s="4"/>
      <c r="E2853" s="4"/>
      <c r="F2853" s="4"/>
      <c r="G2853" s="4"/>
      <c r="H2853" s="4"/>
      <c r="I2853" s="4"/>
    </row>
    <row r="2854">
      <c r="A2854" s="4"/>
      <c r="B2854" s="4"/>
      <c r="C2854" s="4"/>
      <c r="D2854" s="4"/>
      <c r="E2854" s="4"/>
      <c r="F2854" s="4"/>
      <c r="G2854" s="4"/>
      <c r="H2854" s="4"/>
      <c r="I2854" s="4"/>
    </row>
    <row r="2855">
      <c r="A2855" s="4"/>
      <c r="B2855" s="4"/>
      <c r="C2855" s="4"/>
      <c r="D2855" s="4"/>
      <c r="E2855" s="4"/>
      <c r="F2855" s="4"/>
      <c r="G2855" s="4"/>
      <c r="H2855" s="4"/>
      <c r="I2855" s="4"/>
    </row>
    <row r="2856">
      <c r="A2856" s="4"/>
      <c r="B2856" s="4"/>
      <c r="C2856" s="4"/>
      <c r="D2856" s="4"/>
      <c r="E2856" s="4"/>
      <c r="F2856" s="4"/>
      <c r="G2856" s="4"/>
      <c r="H2856" s="4"/>
      <c r="I2856" s="4"/>
    </row>
    <row r="2857">
      <c r="A2857" s="4"/>
      <c r="B2857" s="4"/>
      <c r="C2857" s="4"/>
      <c r="D2857" s="4"/>
      <c r="E2857" s="4"/>
      <c r="F2857" s="4"/>
      <c r="G2857" s="4"/>
      <c r="H2857" s="4"/>
      <c r="I2857" s="4"/>
    </row>
    <row r="2858">
      <c r="A2858" s="4"/>
      <c r="B2858" s="4"/>
      <c r="C2858" s="4"/>
      <c r="D2858" s="4"/>
      <c r="E2858" s="4"/>
      <c r="F2858" s="4"/>
      <c r="G2858" s="4"/>
      <c r="H2858" s="4"/>
      <c r="I2858" s="4"/>
    </row>
    <row r="2859">
      <c r="A2859" s="4"/>
      <c r="B2859" s="4"/>
      <c r="C2859" s="4"/>
      <c r="D2859" s="4"/>
      <c r="E2859" s="4"/>
      <c r="F2859" s="4"/>
      <c r="G2859" s="4"/>
      <c r="H2859" s="4"/>
      <c r="I2859" s="4"/>
    </row>
    <row r="2860">
      <c r="A2860" s="4"/>
      <c r="B2860" s="4"/>
      <c r="C2860" s="4"/>
      <c r="D2860" s="4"/>
      <c r="E2860" s="4"/>
      <c r="F2860" s="4"/>
      <c r="G2860" s="4"/>
      <c r="H2860" s="4"/>
      <c r="I2860" s="4"/>
    </row>
    <row r="2861">
      <c r="A2861" s="4"/>
      <c r="B2861" s="4"/>
      <c r="C2861" s="4"/>
      <c r="D2861" s="4"/>
      <c r="E2861" s="4"/>
      <c r="F2861" s="4"/>
      <c r="G2861" s="4"/>
      <c r="H2861" s="4"/>
      <c r="I2861" s="4"/>
    </row>
    <row r="2862">
      <c r="A2862" s="4"/>
      <c r="B2862" s="4"/>
      <c r="C2862" s="4"/>
      <c r="D2862" s="4"/>
      <c r="E2862" s="4"/>
      <c r="F2862" s="4"/>
      <c r="G2862" s="4"/>
      <c r="H2862" s="4"/>
      <c r="I2862" s="4"/>
    </row>
    <row r="2863">
      <c r="A2863" s="4"/>
      <c r="B2863" s="4"/>
      <c r="C2863" s="4"/>
      <c r="D2863" s="4"/>
      <c r="E2863" s="4"/>
      <c r="F2863" s="4"/>
      <c r="G2863" s="4"/>
      <c r="H2863" s="4"/>
      <c r="I2863" s="4"/>
    </row>
    <row r="2864">
      <c r="A2864" s="4"/>
      <c r="B2864" s="4"/>
      <c r="C2864" s="4"/>
      <c r="D2864" s="4"/>
      <c r="E2864" s="4"/>
      <c r="F2864" s="4"/>
      <c r="G2864" s="4"/>
      <c r="H2864" s="4"/>
      <c r="I2864" s="4"/>
    </row>
    <row r="2865">
      <c r="A2865" s="4"/>
      <c r="B2865" s="4"/>
      <c r="C2865" s="4"/>
      <c r="D2865" s="4"/>
      <c r="E2865" s="4"/>
      <c r="F2865" s="4"/>
      <c r="G2865" s="4"/>
      <c r="H2865" s="4"/>
      <c r="I2865" s="4"/>
    </row>
    <row r="2866">
      <c r="A2866" s="4"/>
      <c r="B2866" s="4"/>
      <c r="C2866" s="4"/>
      <c r="D2866" s="4"/>
      <c r="E2866" s="4"/>
      <c r="F2866" s="4"/>
      <c r="G2866" s="4"/>
      <c r="H2866" s="4"/>
      <c r="I2866" s="4"/>
    </row>
    <row r="2867">
      <c r="A2867" s="4"/>
      <c r="B2867" s="4"/>
      <c r="C2867" s="4"/>
      <c r="D2867" s="4"/>
      <c r="E2867" s="4"/>
      <c r="F2867" s="4"/>
      <c r="G2867" s="4"/>
      <c r="H2867" s="4"/>
      <c r="I2867" s="4"/>
    </row>
    <row r="2868">
      <c r="A2868" s="4"/>
      <c r="B2868" s="4"/>
      <c r="C2868" s="4"/>
      <c r="D2868" s="4"/>
      <c r="E2868" s="4"/>
      <c r="F2868" s="4"/>
      <c r="G2868" s="4"/>
      <c r="H2868" s="4"/>
      <c r="I2868" s="4"/>
    </row>
    <row r="2869">
      <c r="A2869" s="4"/>
      <c r="B2869" s="4"/>
      <c r="C2869" s="4"/>
      <c r="D2869" s="4"/>
      <c r="E2869" s="4"/>
      <c r="F2869" s="4"/>
      <c r="G2869" s="4"/>
      <c r="H2869" s="4"/>
      <c r="I2869" s="4"/>
    </row>
    <row r="2870">
      <c r="A2870" s="4"/>
      <c r="B2870" s="4"/>
      <c r="C2870" s="4"/>
      <c r="D2870" s="4"/>
      <c r="E2870" s="4"/>
      <c r="F2870" s="4"/>
      <c r="G2870" s="4"/>
      <c r="H2870" s="4"/>
      <c r="I2870" s="4"/>
    </row>
    <row r="2871">
      <c r="A2871" s="4"/>
      <c r="B2871" s="4"/>
      <c r="C2871" s="4"/>
      <c r="D2871" s="4"/>
      <c r="E2871" s="4"/>
      <c r="F2871" s="4"/>
      <c r="G2871" s="4"/>
      <c r="H2871" s="4"/>
      <c r="I2871" s="4"/>
    </row>
    <row r="2872">
      <c r="A2872" s="4"/>
      <c r="B2872" s="4"/>
      <c r="C2872" s="4"/>
      <c r="D2872" s="4"/>
      <c r="E2872" s="4"/>
      <c r="F2872" s="4"/>
      <c r="G2872" s="4"/>
      <c r="H2872" s="4"/>
      <c r="I2872" s="4"/>
    </row>
    <row r="2873">
      <c r="A2873" s="4"/>
      <c r="B2873" s="4"/>
      <c r="C2873" s="4"/>
      <c r="D2873" s="4"/>
      <c r="E2873" s="4"/>
      <c r="F2873" s="4"/>
      <c r="G2873" s="4"/>
      <c r="H2873" s="4"/>
      <c r="I2873" s="4"/>
    </row>
    <row r="2874">
      <c r="A2874" s="4"/>
      <c r="B2874" s="4"/>
      <c r="C2874" s="4"/>
      <c r="D2874" s="4"/>
      <c r="E2874" s="4"/>
      <c r="F2874" s="4"/>
      <c r="G2874" s="4"/>
      <c r="H2874" s="4"/>
      <c r="I2874" s="4"/>
    </row>
    <row r="2875">
      <c r="A2875" s="4"/>
      <c r="B2875" s="4"/>
      <c r="C2875" s="4"/>
      <c r="D2875" s="4"/>
      <c r="E2875" s="4"/>
      <c r="F2875" s="4"/>
      <c r="G2875" s="4"/>
      <c r="H2875" s="4"/>
      <c r="I2875" s="4"/>
    </row>
    <row r="2876">
      <c r="A2876" s="4"/>
      <c r="B2876" s="4"/>
      <c r="C2876" s="4"/>
      <c r="D2876" s="4"/>
      <c r="E2876" s="4"/>
      <c r="F2876" s="4"/>
      <c r="G2876" s="4"/>
      <c r="H2876" s="4"/>
      <c r="I2876" s="4"/>
    </row>
    <row r="2877">
      <c r="A2877" s="4"/>
      <c r="B2877" s="4"/>
      <c r="C2877" s="4"/>
      <c r="D2877" s="4"/>
      <c r="E2877" s="4"/>
      <c r="F2877" s="4"/>
      <c r="G2877" s="4"/>
      <c r="H2877" s="4"/>
      <c r="I2877" s="4"/>
    </row>
    <row r="2878">
      <c r="A2878" s="4"/>
      <c r="B2878" s="4"/>
      <c r="C2878" s="4"/>
      <c r="D2878" s="4"/>
      <c r="E2878" s="4"/>
      <c r="F2878" s="4"/>
      <c r="G2878" s="4"/>
      <c r="H2878" s="4"/>
      <c r="I2878" s="4"/>
    </row>
    <row r="2879">
      <c r="A2879" s="4"/>
      <c r="B2879" s="4"/>
      <c r="C2879" s="4"/>
      <c r="D2879" s="4"/>
      <c r="E2879" s="4"/>
      <c r="F2879" s="4"/>
      <c r="G2879" s="4"/>
      <c r="H2879" s="4"/>
      <c r="I2879" s="4"/>
    </row>
    <row r="2880">
      <c r="A2880" s="4"/>
      <c r="B2880" s="4"/>
      <c r="C2880" s="4"/>
      <c r="D2880" s="4"/>
      <c r="E2880" s="4"/>
      <c r="F2880" s="4"/>
      <c r="G2880" s="4"/>
      <c r="H2880" s="4"/>
      <c r="I2880" s="4"/>
    </row>
    <row r="2881">
      <c r="A2881" s="4"/>
      <c r="B2881" s="4"/>
      <c r="C2881" s="4"/>
      <c r="D2881" s="4"/>
      <c r="E2881" s="4"/>
      <c r="F2881" s="4"/>
      <c r="G2881" s="4"/>
      <c r="H2881" s="4"/>
      <c r="I2881" s="4"/>
    </row>
    <row r="2882">
      <c r="A2882" s="4"/>
      <c r="B2882" s="4"/>
      <c r="C2882" s="4"/>
      <c r="D2882" s="4"/>
      <c r="E2882" s="4"/>
      <c r="F2882" s="4"/>
      <c r="G2882" s="4"/>
      <c r="H2882" s="4"/>
      <c r="I2882" s="4"/>
    </row>
    <row r="2883">
      <c r="A2883" s="4"/>
      <c r="B2883" s="4"/>
      <c r="C2883" s="4"/>
      <c r="D2883" s="4"/>
      <c r="E2883" s="4"/>
      <c r="F2883" s="4"/>
      <c r="G2883" s="4"/>
      <c r="H2883" s="4"/>
      <c r="I2883" s="4"/>
    </row>
    <row r="2884">
      <c r="A2884" s="4"/>
      <c r="B2884" s="4"/>
      <c r="C2884" s="4"/>
      <c r="D2884" s="4"/>
      <c r="E2884" s="4"/>
      <c r="F2884" s="4"/>
      <c r="G2884" s="4"/>
      <c r="H2884" s="4"/>
      <c r="I2884" s="4"/>
    </row>
    <row r="2885">
      <c r="A2885" s="4"/>
      <c r="B2885" s="4"/>
      <c r="C2885" s="4"/>
      <c r="D2885" s="4"/>
      <c r="E2885" s="4"/>
      <c r="F2885" s="4"/>
      <c r="G2885" s="4"/>
      <c r="H2885" s="4"/>
      <c r="I2885" s="4"/>
    </row>
    <row r="2886">
      <c r="A2886" s="4"/>
      <c r="B2886" s="4"/>
      <c r="C2886" s="4"/>
      <c r="D2886" s="4"/>
      <c r="E2886" s="4"/>
      <c r="F2886" s="4"/>
      <c r="G2886" s="4"/>
      <c r="H2886" s="4"/>
      <c r="I2886" s="4"/>
    </row>
    <row r="2887">
      <c r="A2887" s="4"/>
      <c r="B2887" s="4"/>
      <c r="C2887" s="4"/>
      <c r="D2887" s="4"/>
      <c r="E2887" s="4"/>
      <c r="F2887" s="4"/>
      <c r="G2887" s="4"/>
      <c r="H2887" s="4"/>
      <c r="I2887" s="4"/>
    </row>
    <row r="2888">
      <c r="A2888" s="4"/>
      <c r="B2888" s="4"/>
      <c r="C2888" s="4"/>
      <c r="D2888" s="4"/>
      <c r="E2888" s="4"/>
      <c r="F2888" s="4"/>
      <c r="G2888" s="4"/>
      <c r="H2888" s="4"/>
      <c r="I2888" s="4"/>
    </row>
    <row r="2889">
      <c r="A2889" s="4"/>
      <c r="B2889" s="4"/>
      <c r="C2889" s="4"/>
      <c r="D2889" s="4"/>
      <c r="E2889" s="4"/>
      <c r="F2889" s="4"/>
      <c r="G2889" s="4"/>
      <c r="H2889" s="4"/>
      <c r="I2889" s="4"/>
    </row>
    <row r="2890">
      <c r="A2890" s="4"/>
      <c r="B2890" s="4"/>
      <c r="C2890" s="4"/>
      <c r="D2890" s="4"/>
      <c r="E2890" s="4"/>
      <c r="F2890" s="4"/>
      <c r="G2890" s="4"/>
      <c r="H2890" s="4"/>
      <c r="I2890" s="4"/>
    </row>
    <row r="2891">
      <c r="A2891" s="4"/>
      <c r="B2891" s="4"/>
      <c r="C2891" s="4"/>
      <c r="D2891" s="4"/>
      <c r="E2891" s="4"/>
      <c r="F2891" s="4"/>
      <c r="G2891" s="4"/>
      <c r="H2891" s="4"/>
      <c r="I2891" s="4"/>
    </row>
    <row r="2892">
      <c r="A2892" s="4"/>
      <c r="B2892" s="4"/>
      <c r="C2892" s="4"/>
      <c r="D2892" s="4"/>
      <c r="E2892" s="4"/>
      <c r="F2892" s="4"/>
      <c r="G2892" s="4"/>
      <c r="H2892" s="4"/>
      <c r="I2892" s="4"/>
    </row>
    <row r="2893">
      <c r="A2893" s="4"/>
      <c r="B2893" s="4"/>
      <c r="C2893" s="4"/>
      <c r="D2893" s="4"/>
      <c r="E2893" s="4"/>
      <c r="F2893" s="4"/>
      <c r="G2893" s="4"/>
      <c r="H2893" s="4"/>
      <c r="I2893" s="4"/>
    </row>
    <row r="2894">
      <c r="A2894" s="4"/>
      <c r="B2894" s="4"/>
      <c r="C2894" s="4"/>
      <c r="D2894" s="4"/>
      <c r="E2894" s="4"/>
      <c r="F2894" s="4"/>
      <c r="G2894" s="4"/>
      <c r="H2894" s="4"/>
      <c r="I2894" s="4"/>
    </row>
    <row r="2895">
      <c r="A2895" s="4"/>
      <c r="B2895" s="4"/>
      <c r="C2895" s="4"/>
      <c r="D2895" s="4"/>
      <c r="E2895" s="4"/>
      <c r="F2895" s="4"/>
      <c r="G2895" s="4"/>
      <c r="H2895" s="4"/>
      <c r="I2895" s="4"/>
    </row>
    <row r="2896">
      <c r="A2896" s="4"/>
      <c r="B2896" s="4"/>
      <c r="C2896" s="4"/>
      <c r="D2896" s="4"/>
      <c r="E2896" s="4"/>
      <c r="F2896" s="4"/>
      <c r="G2896" s="4"/>
      <c r="H2896" s="4"/>
      <c r="I2896" s="4"/>
    </row>
    <row r="2897">
      <c r="A2897" s="4"/>
      <c r="B2897" s="4"/>
      <c r="C2897" s="4"/>
      <c r="D2897" s="4"/>
      <c r="E2897" s="4"/>
      <c r="F2897" s="4"/>
      <c r="G2897" s="4"/>
      <c r="H2897" s="4"/>
      <c r="I2897" s="4"/>
    </row>
    <row r="2898">
      <c r="A2898" s="4"/>
      <c r="B2898" s="4"/>
      <c r="C2898" s="4"/>
      <c r="D2898" s="4"/>
      <c r="E2898" s="4"/>
      <c r="F2898" s="4"/>
      <c r="G2898" s="4"/>
      <c r="H2898" s="4"/>
      <c r="I2898" s="4"/>
    </row>
    <row r="2899">
      <c r="A2899" s="4"/>
      <c r="B2899" s="4"/>
      <c r="C2899" s="4"/>
      <c r="D2899" s="4"/>
      <c r="E2899" s="4"/>
      <c r="F2899" s="4"/>
      <c r="G2899" s="4"/>
      <c r="H2899" s="4"/>
      <c r="I2899" s="4"/>
    </row>
    <row r="2900">
      <c r="A2900" s="4"/>
      <c r="B2900" s="4"/>
      <c r="C2900" s="4"/>
      <c r="D2900" s="4"/>
      <c r="E2900" s="4"/>
      <c r="F2900" s="4"/>
      <c r="G2900" s="4"/>
      <c r="H2900" s="4"/>
      <c r="I2900" s="4"/>
    </row>
    <row r="2901">
      <c r="A2901" s="4"/>
      <c r="B2901" s="4"/>
      <c r="C2901" s="4"/>
      <c r="D2901" s="4"/>
      <c r="E2901" s="4"/>
      <c r="F2901" s="4"/>
      <c r="G2901" s="4"/>
      <c r="H2901" s="4"/>
      <c r="I2901" s="4"/>
    </row>
    <row r="2902">
      <c r="A2902" s="4"/>
      <c r="B2902" s="4"/>
      <c r="C2902" s="4"/>
      <c r="D2902" s="4"/>
      <c r="E2902" s="4"/>
      <c r="F2902" s="4"/>
      <c r="G2902" s="4"/>
      <c r="H2902" s="4"/>
      <c r="I2902" s="4"/>
    </row>
    <row r="2903">
      <c r="A2903" s="4"/>
      <c r="B2903" s="4"/>
      <c r="C2903" s="4"/>
      <c r="D2903" s="4"/>
      <c r="E2903" s="4"/>
      <c r="F2903" s="4"/>
      <c r="G2903" s="4"/>
      <c r="H2903" s="4"/>
      <c r="I2903" s="4"/>
    </row>
    <row r="2904">
      <c r="A2904" s="4"/>
      <c r="B2904" s="4"/>
      <c r="C2904" s="4"/>
      <c r="D2904" s="4"/>
      <c r="E2904" s="4"/>
      <c r="F2904" s="4"/>
      <c r="G2904" s="4"/>
      <c r="H2904" s="4"/>
      <c r="I2904" s="4"/>
    </row>
    <row r="2905">
      <c r="A2905" s="4"/>
      <c r="B2905" s="4"/>
      <c r="C2905" s="4"/>
      <c r="D2905" s="4"/>
      <c r="E2905" s="4"/>
      <c r="F2905" s="4"/>
      <c r="G2905" s="4"/>
      <c r="H2905" s="4"/>
      <c r="I2905" s="4"/>
    </row>
    <row r="2906">
      <c r="A2906" s="4"/>
      <c r="B2906" s="4"/>
      <c r="C2906" s="4"/>
      <c r="D2906" s="4"/>
      <c r="E2906" s="4"/>
      <c r="F2906" s="4"/>
      <c r="G2906" s="4"/>
      <c r="H2906" s="4"/>
      <c r="I2906" s="4"/>
    </row>
    <row r="2907">
      <c r="A2907" s="4"/>
      <c r="B2907" s="4"/>
      <c r="C2907" s="4"/>
      <c r="D2907" s="4"/>
      <c r="E2907" s="4"/>
      <c r="F2907" s="4"/>
      <c r="G2907" s="4"/>
      <c r="H2907" s="4"/>
      <c r="I2907" s="4"/>
    </row>
    <row r="2908">
      <c r="A2908" s="4"/>
      <c r="B2908" s="4"/>
      <c r="C2908" s="4"/>
      <c r="D2908" s="4"/>
      <c r="E2908" s="4"/>
      <c r="F2908" s="4"/>
      <c r="G2908" s="4"/>
      <c r="H2908" s="4"/>
      <c r="I2908" s="4"/>
    </row>
    <row r="2909">
      <c r="A2909" s="4"/>
      <c r="B2909" s="4"/>
      <c r="C2909" s="4"/>
      <c r="D2909" s="4"/>
      <c r="E2909" s="4"/>
      <c r="F2909" s="4"/>
      <c r="G2909" s="4"/>
      <c r="H2909" s="4"/>
      <c r="I2909" s="4"/>
    </row>
    <row r="2910">
      <c r="A2910" s="4"/>
      <c r="B2910" s="4"/>
      <c r="C2910" s="4"/>
      <c r="D2910" s="4"/>
      <c r="E2910" s="4"/>
      <c r="F2910" s="4"/>
      <c r="G2910" s="4"/>
      <c r="H2910" s="4"/>
      <c r="I2910" s="4"/>
    </row>
    <row r="2911">
      <c r="A2911" s="4"/>
      <c r="B2911" s="4"/>
      <c r="C2911" s="4"/>
      <c r="D2911" s="4"/>
      <c r="E2911" s="4"/>
      <c r="F2911" s="4"/>
      <c r="G2911" s="4"/>
      <c r="H2911" s="4"/>
      <c r="I2911" s="4"/>
    </row>
    <row r="2912">
      <c r="A2912" s="4"/>
      <c r="B2912" s="4"/>
      <c r="C2912" s="4"/>
      <c r="D2912" s="4"/>
      <c r="E2912" s="4"/>
      <c r="F2912" s="4"/>
      <c r="G2912" s="4"/>
      <c r="H2912" s="4"/>
      <c r="I2912" s="4"/>
    </row>
    <row r="2913">
      <c r="A2913" s="4"/>
      <c r="B2913" s="4"/>
      <c r="C2913" s="4"/>
      <c r="D2913" s="4"/>
      <c r="E2913" s="4"/>
      <c r="F2913" s="4"/>
      <c r="G2913" s="4"/>
      <c r="H2913" s="4"/>
      <c r="I2913" s="4"/>
    </row>
    <row r="2914">
      <c r="A2914" s="4"/>
      <c r="B2914" s="4"/>
      <c r="C2914" s="4"/>
      <c r="D2914" s="4"/>
      <c r="E2914" s="4"/>
      <c r="F2914" s="4"/>
      <c r="G2914" s="4"/>
      <c r="H2914" s="4"/>
      <c r="I2914" s="4"/>
    </row>
    <row r="2915">
      <c r="A2915" s="4"/>
      <c r="B2915" s="4"/>
      <c r="C2915" s="4"/>
      <c r="D2915" s="4"/>
      <c r="E2915" s="4"/>
      <c r="F2915" s="4"/>
      <c r="G2915" s="4"/>
      <c r="H2915" s="4"/>
      <c r="I2915" s="4"/>
    </row>
    <row r="2916">
      <c r="A2916" s="4"/>
      <c r="B2916" s="4"/>
      <c r="C2916" s="4"/>
      <c r="D2916" s="4"/>
      <c r="E2916" s="4"/>
      <c r="F2916" s="4"/>
      <c r="G2916" s="4"/>
      <c r="H2916" s="4"/>
      <c r="I2916" s="4"/>
    </row>
    <row r="2917">
      <c r="A2917" s="4"/>
      <c r="B2917" s="4"/>
      <c r="C2917" s="4"/>
      <c r="D2917" s="4"/>
      <c r="E2917" s="4"/>
      <c r="F2917" s="4"/>
      <c r="G2917" s="4"/>
      <c r="H2917" s="4"/>
      <c r="I2917" s="4"/>
    </row>
    <row r="2918">
      <c r="A2918" s="4"/>
      <c r="B2918" s="4"/>
      <c r="C2918" s="4"/>
      <c r="D2918" s="4"/>
      <c r="E2918" s="4"/>
      <c r="F2918" s="4"/>
      <c r="G2918" s="4"/>
      <c r="H2918" s="4"/>
      <c r="I2918" s="4"/>
    </row>
    <row r="2919">
      <c r="A2919" s="4"/>
      <c r="B2919" s="4"/>
      <c r="C2919" s="4"/>
      <c r="D2919" s="4"/>
      <c r="E2919" s="4"/>
      <c r="F2919" s="4"/>
      <c r="G2919" s="4"/>
      <c r="H2919" s="4"/>
      <c r="I2919" s="4"/>
    </row>
    <row r="2920">
      <c r="A2920" s="4"/>
      <c r="B2920" s="4"/>
      <c r="C2920" s="4"/>
      <c r="D2920" s="4"/>
      <c r="E2920" s="4"/>
      <c r="F2920" s="4"/>
      <c r="G2920" s="4"/>
      <c r="H2920" s="4"/>
      <c r="I2920" s="4"/>
    </row>
    <row r="2921">
      <c r="A2921" s="4"/>
      <c r="B2921" s="4"/>
      <c r="C2921" s="4"/>
      <c r="D2921" s="4"/>
      <c r="E2921" s="4"/>
      <c r="F2921" s="4"/>
      <c r="G2921" s="4"/>
      <c r="H2921" s="4"/>
      <c r="I2921" s="4"/>
    </row>
    <row r="2922">
      <c r="A2922" s="4"/>
      <c r="B2922" s="4"/>
      <c r="C2922" s="4"/>
      <c r="D2922" s="4"/>
      <c r="E2922" s="4"/>
      <c r="F2922" s="4"/>
      <c r="G2922" s="4"/>
      <c r="H2922" s="4"/>
      <c r="I2922" s="4"/>
    </row>
    <row r="2923">
      <c r="A2923" s="4"/>
      <c r="B2923" s="4"/>
      <c r="C2923" s="4"/>
      <c r="D2923" s="4"/>
      <c r="E2923" s="4"/>
      <c r="F2923" s="4"/>
      <c r="G2923" s="4"/>
      <c r="H2923" s="4"/>
      <c r="I2923" s="4"/>
    </row>
    <row r="2924">
      <c r="A2924" s="4"/>
      <c r="B2924" s="4"/>
      <c r="C2924" s="4"/>
      <c r="D2924" s="4"/>
      <c r="E2924" s="4"/>
      <c r="F2924" s="4"/>
      <c r="G2924" s="4"/>
      <c r="H2924" s="4"/>
      <c r="I2924" s="4"/>
    </row>
    <row r="2925">
      <c r="A2925" s="4"/>
      <c r="B2925" s="4"/>
      <c r="C2925" s="4"/>
      <c r="D2925" s="4"/>
      <c r="E2925" s="4"/>
      <c r="F2925" s="4"/>
      <c r="G2925" s="4"/>
      <c r="H2925" s="4"/>
      <c r="I2925" s="4"/>
    </row>
    <row r="2926">
      <c r="A2926" s="4"/>
      <c r="B2926" s="4"/>
      <c r="C2926" s="4"/>
      <c r="D2926" s="4"/>
      <c r="E2926" s="4"/>
      <c r="F2926" s="4"/>
      <c r="G2926" s="4"/>
      <c r="H2926" s="4"/>
      <c r="I2926" s="4"/>
    </row>
    <row r="2927">
      <c r="A2927" s="4"/>
      <c r="B2927" s="4"/>
      <c r="C2927" s="4"/>
      <c r="D2927" s="4"/>
      <c r="E2927" s="4"/>
      <c r="F2927" s="4"/>
      <c r="G2927" s="4"/>
      <c r="H2927" s="4"/>
      <c r="I2927" s="4"/>
    </row>
    <row r="2928">
      <c r="A2928" s="4"/>
      <c r="B2928" s="4"/>
      <c r="C2928" s="4"/>
      <c r="D2928" s="4"/>
      <c r="E2928" s="4"/>
      <c r="F2928" s="4"/>
      <c r="G2928" s="4"/>
      <c r="H2928" s="4"/>
      <c r="I2928" s="4"/>
    </row>
    <row r="2929">
      <c r="A2929" s="4"/>
      <c r="B2929" s="4"/>
      <c r="C2929" s="4"/>
      <c r="D2929" s="4"/>
      <c r="E2929" s="4"/>
      <c r="F2929" s="4"/>
      <c r="G2929" s="4"/>
      <c r="H2929" s="4"/>
      <c r="I2929" s="4"/>
    </row>
    <row r="2930">
      <c r="A2930" s="4"/>
      <c r="B2930" s="4"/>
      <c r="C2930" s="4"/>
      <c r="D2930" s="4"/>
      <c r="E2930" s="4"/>
      <c r="F2930" s="4"/>
      <c r="G2930" s="4"/>
      <c r="H2930" s="4"/>
      <c r="I2930" s="4"/>
    </row>
    <row r="2931">
      <c r="A2931" s="4"/>
      <c r="B2931" s="4"/>
      <c r="C2931" s="4"/>
      <c r="D2931" s="4"/>
      <c r="E2931" s="4"/>
      <c r="F2931" s="4"/>
      <c r="G2931" s="4"/>
      <c r="H2931" s="4"/>
      <c r="I2931" s="4"/>
    </row>
    <row r="2932">
      <c r="A2932" s="4"/>
      <c r="B2932" s="4"/>
      <c r="C2932" s="4"/>
      <c r="D2932" s="4"/>
      <c r="E2932" s="4"/>
      <c r="F2932" s="4"/>
      <c r="G2932" s="4"/>
      <c r="H2932" s="4"/>
      <c r="I2932" s="4"/>
    </row>
    <row r="2933">
      <c r="A2933" s="4"/>
      <c r="B2933" s="4"/>
      <c r="C2933" s="4"/>
      <c r="D2933" s="4"/>
      <c r="E2933" s="4"/>
      <c r="F2933" s="4"/>
      <c r="G2933" s="4"/>
      <c r="H2933" s="4"/>
      <c r="I2933" s="4"/>
    </row>
    <row r="2934">
      <c r="A2934" s="4"/>
      <c r="B2934" s="4"/>
      <c r="C2934" s="4"/>
      <c r="D2934" s="4"/>
      <c r="E2934" s="4"/>
      <c r="F2934" s="4"/>
      <c r="G2934" s="4"/>
      <c r="H2934" s="4"/>
      <c r="I2934" s="4"/>
    </row>
    <row r="2935">
      <c r="A2935" s="4"/>
      <c r="B2935" s="4"/>
      <c r="C2935" s="4"/>
      <c r="D2935" s="4"/>
      <c r="E2935" s="4"/>
      <c r="F2935" s="4"/>
      <c r="G2935" s="4"/>
      <c r="H2935" s="4"/>
      <c r="I2935" s="4"/>
    </row>
    <row r="2936">
      <c r="A2936" s="4"/>
      <c r="B2936" s="4"/>
      <c r="C2936" s="4"/>
      <c r="D2936" s="4"/>
      <c r="E2936" s="4"/>
      <c r="F2936" s="4"/>
      <c r="G2936" s="4"/>
      <c r="H2936" s="4"/>
      <c r="I2936" s="4"/>
    </row>
    <row r="2937">
      <c r="A2937" s="4"/>
      <c r="B2937" s="4"/>
      <c r="C2937" s="4"/>
      <c r="D2937" s="4"/>
      <c r="E2937" s="4"/>
      <c r="F2937" s="4"/>
      <c r="G2937" s="4"/>
      <c r="H2937" s="4"/>
      <c r="I2937" s="4"/>
    </row>
    <row r="2938">
      <c r="A2938" s="4"/>
      <c r="B2938" s="4"/>
      <c r="C2938" s="4"/>
      <c r="D2938" s="4"/>
      <c r="E2938" s="4"/>
      <c r="F2938" s="4"/>
      <c r="G2938" s="4"/>
      <c r="H2938" s="4"/>
      <c r="I2938" s="4"/>
    </row>
    <row r="2939">
      <c r="A2939" s="4"/>
      <c r="B2939" s="4"/>
      <c r="C2939" s="4"/>
      <c r="D2939" s="4"/>
      <c r="E2939" s="4"/>
      <c r="F2939" s="4"/>
      <c r="G2939" s="4"/>
      <c r="H2939" s="4"/>
      <c r="I2939" s="4"/>
    </row>
    <row r="2940">
      <c r="A2940" s="4"/>
      <c r="B2940" s="4"/>
      <c r="C2940" s="4"/>
      <c r="D2940" s="4"/>
      <c r="E2940" s="4"/>
      <c r="F2940" s="4"/>
      <c r="G2940" s="4"/>
      <c r="H2940" s="4"/>
      <c r="I2940" s="4"/>
    </row>
    <row r="2941">
      <c r="A2941" s="4"/>
      <c r="B2941" s="4"/>
      <c r="C2941" s="4"/>
      <c r="D2941" s="4"/>
      <c r="E2941" s="4"/>
      <c r="F2941" s="4"/>
      <c r="G2941" s="4"/>
      <c r="H2941" s="4"/>
      <c r="I2941" s="4"/>
    </row>
    <row r="2942">
      <c r="A2942" s="4"/>
      <c r="B2942" s="4"/>
      <c r="C2942" s="4"/>
      <c r="D2942" s="4"/>
      <c r="E2942" s="4"/>
      <c r="F2942" s="4"/>
      <c r="G2942" s="4"/>
      <c r="H2942" s="4"/>
      <c r="I2942" s="4"/>
    </row>
    <row r="2943">
      <c r="A2943" s="4"/>
      <c r="B2943" s="4"/>
      <c r="C2943" s="4"/>
      <c r="D2943" s="4"/>
      <c r="E2943" s="4"/>
      <c r="F2943" s="4"/>
      <c r="G2943" s="4"/>
      <c r="H2943" s="4"/>
      <c r="I2943" s="4"/>
    </row>
    <row r="2944">
      <c r="A2944" s="4"/>
      <c r="B2944" s="4"/>
      <c r="C2944" s="4"/>
      <c r="D2944" s="4"/>
      <c r="E2944" s="4"/>
      <c r="F2944" s="4"/>
      <c r="G2944" s="4"/>
      <c r="H2944" s="4"/>
      <c r="I2944" s="4"/>
    </row>
    <row r="2945">
      <c r="A2945" s="4"/>
      <c r="B2945" s="4"/>
      <c r="C2945" s="4"/>
      <c r="D2945" s="4"/>
      <c r="E2945" s="4"/>
      <c r="F2945" s="4"/>
      <c r="G2945" s="4"/>
      <c r="H2945" s="4"/>
      <c r="I2945" s="4"/>
    </row>
    <row r="2946">
      <c r="A2946" s="4"/>
      <c r="B2946" s="4"/>
      <c r="C2946" s="4"/>
      <c r="D2946" s="4"/>
      <c r="E2946" s="4"/>
      <c r="F2946" s="4"/>
      <c r="G2946" s="4"/>
      <c r="H2946" s="4"/>
      <c r="I2946" s="4"/>
    </row>
    <row r="2947">
      <c r="A2947" s="4"/>
      <c r="B2947" s="4"/>
      <c r="C2947" s="4"/>
      <c r="D2947" s="4"/>
      <c r="E2947" s="4"/>
      <c r="F2947" s="4"/>
      <c r="G2947" s="4"/>
      <c r="H2947" s="4"/>
      <c r="I2947" s="4"/>
    </row>
    <row r="2948">
      <c r="A2948" s="4"/>
      <c r="B2948" s="4"/>
      <c r="C2948" s="4"/>
      <c r="D2948" s="4"/>
      <c r="E2948" s="4"/>
      <c r="F2948" s="4"/>
      <c r="G2948" s="4"/>
      <c r="H2948" s="4"/>
      <c r="I2948" s="4"/>
    </row>
    <row r="2949">
      <c r="A2949" s="4"/>
      <c r="B2949" s="4"/>
      <c r="C2949" s="4"/>
      <c r="D2949" s="4"/>
      <c r="E2949" s="4"/>
      <c r="F2949" s="4"/>
      <c r="G2949" s="4"/>
      <c r="H2949" s="4"/>
      <c r="I2949" s="4"/>
    </row>
    <row r="2950">
      <c r="A2950" s="4"/>
      <c r="B2950" s="4"/>
      <c r="C2950" s="4"/>
      <c r="D2950" s="4"/>
      <c r="E2950" s="4"/>
      <c r="F2950" s="4"/>
      <c r="G2950" s="4"/>
      <c r="H2950" s="4"/>
      <c r="I2950" s="4"/>
    </row>
    <row r="2951">
      <c r="A2951" s="4"/>
      <c r="B2951" s="4"/>
      <c r="C2951" s="4"/>
      <c r="D2951" s="4"/>
      <c r="E2951" s="4"/>
      <c r="F2951" s="4"/>
      <c r="G2951" s="4"/>
      <c r="H2951" s="4"/>
      <c r="I2951" s="4"/>
    </row>
    <row r="2952">
      <c r="A2952" s="4"/>
      <c r="B2952" s="4"/>
      <c r="C2952" s="4"/>
      <c r="D2952" s="4"/>
      <c r="E2952" s="4"/>
      <c r="F2952" s="4"/>
      <c r="G2952" s="4"/>
      <c r="H2952" s="4"/>
      <c r="I2952" s="4"/>
    </row>
  </sheetData>
  <mergeCells count="3">
    <mergeCell ref="A1:H1"/>
    <mergeCell ref="A2:H2"/>
    <mergeCell ref="A3:H3"/>
  </mergeCells>
  <printOptions/>
  <pageMargins bottom="1.0" footer="0.0" header="0.0" left="0.75" right="0.75" top="1.0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4.38"/>
    <col customWidth="1" min="2" max="2" width="26.25"/>
    <col customWidth="1" min="3" max="3" width="7.0"/>
    <col customWidth="1" min="4" max="5" width="15.75"/>
    <col customWidth="1" min="6" max="6" width="26.25"/>
    <col customWidth="1" min="7" max="7" width="21.88"/>
    <col customWidth="1" min="8" max="26" width="7.63"/>
  </cols>
  <sheetData>
    <row r="1" ht="27.75" customHeight="1">
      <c r="A1" s="69" t="s">
        <v>4863</v>
      </c>
      <c r="B1" s="2"/>
      <c r="C1" s="2"/>
      <c r="D1" s="2"/>
      <c r="E1" s="2"/>
      <c r="F1" s="2"/>
      <c r="G1" s="3"/>
    </row>
    <row r="2" ht="19.5" customHeight="1">
      <c r="A2" s="7" t="s">
        <v>3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</row>
    <row r="3" ht="15.75" customHeight="1">
      <c r="A3" s="21">
        <v>1.0</v>
      </c>
      <c r="B3" s="22" t="s">
        <v>1036</v>
      </c>
      <c r="C3" s="22" t="s">
        <v>13</v>
      </c>
      <c r="D3" s="22" t="s">
        <v>1037</v>
      </c>
      <c r="E3" s="22" t="s">
        <v>13</v>
      </c>
      <c r="F3" s="22" t="s">
        <v>1038</v>
      </c>
      <c r="G3" s="22" t="s">
        <v>13</v>
      </c>
    </row>
    <row r="4" ht="15.75" customHeight="1">
      <c r="A4" s="21">
        <v>2.0</v>
      </c>
      <c r="B4" s="22" t="s">
        <v>1039</v>
      </c>
      <c r="C4" s="22" t="s">
        <v>13</v>
      </c>
      <c r="D4" s="22" t="s">
        <v>1040</v>
      </c>
      <c r="E4" s="22" t="s">
        <v>13</v>
      </c>
      <c r="F4" s="22" t="s">
        <v>346</v>
      </c>
      <c r="G4" s="22" t="s">
        <v>13</v>
      </c>
    </row>
    <row r="5" ht="15.75" customHeight="1">
      <c r="A5" s="21">
        <v>3.0</v>
      </c>
      <c r="B5" s="22" t="s">
        <v>1041</v>
      </c>
      <c r="C5" s="22" t="s">
        <v>13</v>
      </c>
      <c r="D5" s="22" t="s">
        <v>1042</v>
      </c>
      <c r="E5" s="22" t="s">
        <v>13</v>
      </c>
      <c r="F5" s="22" t="s">
        <v>1043</v>
      </c>
      <c r="G5" s="22" t="s">
        <v>13</v>
      </c>
    </row>
    <row r="6" ht="15.75" customHeight="1">
      <c r="A6" s="21">
        <v>4.0</v>
      </c>
      <c r="B6" s="22" t="s">
        <v>1044</v>
      </c>
      <c r="C6" s="22" t="s">
        <v>13</v>
      </c>
      <c r="D6" s="22" t="s">
        <v>1045</v>
      </c>
      <c r="E6" s="22" t="s">
        <v>13</v>
      </c>
      <c r="F6" s="22" t="s">
        <v>343</v>
      </c>
      <c r="G6" s="22" t="s">
        <v>13</v>
      </c>
    </row>
    <row r="7" ht="15.75" customHeight="1">
      <c r="A7" s="21">
        <v>5.0</v>
      </c>
      <c r="B7" s="22" t="s">
        <v>1046</v>
      </c>
      <c r="C7" s="22" t="s">
        <v>13</v>
      </c>
      <c r="D7" s="22" t="s">
        <v>1047</v>
      </c>
      <c r="E7" s="22" t="s">
        <v>13</v>
      </c>
      <c r="F7" s="22" t="s">
        <v>997</v>
      </c>
      <c r="G7" s="22" t="s">
        <v>1048</v>
      </c>
    </row>
    <row r="8" ht="15.75" customHeight="1">
      <c r="A8" s="21">
        <v>6.0</v>
      </c>
      <c r="B8" s="22" t="s">
        <v>1049</v>
      </c>
      <c r="C8" s="22" t="s">
        <v>13</v>
      </c>
      <c r="D8" s="22" t="s">
        <v>1050</v>
      </c>
      <c r="E8" s="22" t="s">
        <v>13</v>
      </c>
      <c r="F8" s="22" t="s">
        <v>1051</v>
      </c>
      <c r="G8" s="22" t="s">
        <v>13</v>
      </c>
    </row>
    <row r="9" ht="15.75" customHeight="1">
      <c r="A9" s="21">
        <v>7.0</v>
      </c>
      <c r="B9" s="22" t="s">
        <v>1052</v>
      </c>
      <c r="C9" s="22" t="s">
        <v>13</v>
      </c>
      <c r="D9" s="22" t="s">
        <v>1053</v>
      </c>
      <c r="E9" s="22" t="s">
        <v>13</v>
      </c>
      <c r="F9" s="22" t="s">
        <v>346</v>
      </c>
      <c r="G9" s="22" t="s">
        <v>13</v>
      </c>
    </row>
    <row r="10" ht="15.75" customHeight="1">
      <c r="A10" s="21">
        <v>8.0</v>
      </c>
      <c r="B10" s="22" t="s">
        <v>1029</v>
      </c>
      <c r="C10" s="22" t="s">
        <v>13</v>
      </c>
      <c r="D10" s="22" t="s">
        <v>1054</v>
      </c>
      <c r="E10" s="22" t="s">
        <v>13</v>
      </c>
      <c r="F10" s="22" t="s">
        <v>346</v>
      </c>
      <c r="G10" s="22" t="s">
        <v>13</v>
      </c>
    </row>
    <row r="11" ht="15.75" customHeight="1">
      <c r="A11" s="21">
        <v>9.0</v>
      </c>
      <c r="B11" s="22" t="s">
        <v>1033</v>
      </c>
      <c r="C11" s="22" t="s">
        <v>13</v>
      </c>
      <c r="D11" s="22" t="s">
        <v>1055</v>
      </c>
      <c r="E11" s="22" t="s">
        <v>13</v>
      </c>
      <c r="F11" s="22" t="s">
        <v>1056</v>
      </c>
      <c r="G11" s="22" t="s">
        <v>13</v>
      </c>
    </row>
    <row r="12">
      <c r="A12" s="4"/>
      <c r="B12" s="4"/>
      <c r="C12" s="4"/>
      <c r="D12" s="4"/>
      <c r="E12" s="4"/>
      <c r="F12" s="4"/>
      <c r="G12" s="4"/>
    </row>
    <row r="13">
      <c r="A13" s="4"/>
      <c r="B13" s="4"/>
      <c r="C13" s="4"/>
      <c r="D13" s="4"/>
      <c r="E13" s="4"/>
      <c r="F13" s="4"/>
      <c r="G13" s="4"/>
    </row>
    <row r="14">
      <c r="A14" s="4"/>
      <c r="B14" s="4"/>
      <c r="C14" s="4"/>
      <c r="D14" s="4"/>
      <c r="E14" s="4"/>
      <c r="F14" s="4"/>
      <c r="G14" s="4"/>
    </row>
    <row r="15">
      <c r="A15" s="4"/>
      <c r="B15" s="4"/>
      <c r="C15" s="4"/>
      <c r="D15" s="4"/>
      <c r="E15" s="4"/>
      <c r="F15" s="4"/>
      <c r="G15" s="4"/>
    </row>
    <row r="16">
      <c r="A16" s="4"/>
      <c r="B16" s="4"/>
      <c r="C16" s="4"/>
      <c r="D16" s="4"/>
      <c r="E16" s="4"/>
      <c r="F16" s="4"/>
      <c r="G16" s="4"/>
    </row>
    <row r="17">
      <c r="A17" s="4"/>
      <c r="B17" s="4"/>
      <c r="C17" s="4"/>
      <c r="D17" s="4"/>
      <c r="E17" s="4"/>
      <c r="F17" s="4"/>
      <c r="G17" s="4"/>
    </row>
    <row r="18">
      <c r="A18" s="4"/>
      <c r="B18" s="4"/>
      <c r="C18" s="4"/>
      <c r="D18" s="4"/>
      <c r="E18" s="4"/>
      <c r="F18" s="4"/>
      <c r="G18" s="4"/>
    </row>
    <row r="19">
      <c r="A19" s="4"/>
      <c r="B19" s="4"/>
      <c r="C19" s="4"/>
      <c r="D19" s="4"/>
      <c r="E19" s="4"/>
      <c r="F19" s="4"/>
      <c r="G19" s="4"/>
    </row>
    <row r="20">
      <c r="A20" s="4"/>
      <c r="B20" s="4"/>
      <c r="C20" s="4"/>
      <c r="D20" s="4"/>
      <c r="E20" s="4"/>
      <c r="F20" s="4"/>
      <c r="G20" s="4"/>
    </row>
    <row r="21">
      <c r="A21" s="4"/>
      <c r="B21" s="4"/>
      <c r="C21" s="4"/>
      <c r="D21" s="4"/>
      <c r="E21" s="4"/>
      <c r="F21" s="4"/>
      <c r="G21" s="4"/>
    </row>
    <row r="22">
      <c r="A22" s="4"/>
      <c r="B22" s="4"/>
      <c r="C22" s="4"/>
      <c r="D22" s="4"/>
      <c r="E22" s="4"/>
      <c r="F22" s="4"/>
      <c r="G22" s="4"/>
    </row>
    <row r="23">
      <c r="A23" s="4"/>
      <c r="B23" s="4"/>
      <c r="C23" s="4"/>
      <c r="D23" s="4"/>
      <c r="E23" s="4"/>
      <c r="F23" s="4"/>
      <c r="G23" s="4"/>
    </row>
    <row r="24">
      <c r="A24" s="4"/>
      <c r="B24" s="4"/>
      <c r="C24" s="4"/>
      <c r="D24" s="4"/>
      <c r="E24" s="4"/>
      <c r="F24" s="4"/>
      <c r="G24" s="4"/>
    </row>
    <row r="25">
      <c r="A25" s="4"/>
      <c r="B25" s="4"/>
      <c r="C25" s="4"/>
      <c r="D25" s="4"/>
      <c r="E25" s="4"/>
      <c r="F25" s="4"/>
      <c r="G25" s="4"/>
    </row>
    <row r="26">
      <c r="A26" s="4"/>
      <c r="B26" s="4"/>
      <c r="C26" s="4"/>
      <c r="D26" s="4"/>
      <c r="E26" s="4"/>
      <c r="F26" s="4"/>
      <c r="G26" s="4"/>
    </row>
    <row r="27">
      <c r="A27" s="4"/>
      <c r="B27" s="4"/>
      <c r="C27" s="4"/>
      <c r="D27" s="4"/>
      <c r="E27" s="4"/>
      <c r="F27" s="4"/>
      <c r="G27" s="4"/>
    </row>
    <row r="28">
      <c r="A28" s="4"/>
      <c r="B28" s="4"/>
      <c r="C28" s="4"/>
      <c r="D28" s="4"/>
      <c r="E28" s="4"/>
      <c r="F28" s="4"/>
      <c r="G28" s="4"/>
    </row>
    <row r="29">
      <c r="A29" s="4"/>
      <c r="B29" s="4"/>
      <c r="C29" s="4"/>
      <c r="D29" s="4"/>
      <c r="E29" s="4"/>
      <c r="F29" s="4"/>
      <c r="G29" s="4"/>
    </row>
    <row r="30">
      <c r="A30" s="4"/>
      <c r="B30" s="4"/>
      <c r="C30" s="4"/>
      <c r="D30" s="4"/>
      <c r="E30" s="4"/>
      <c r="F30" s="4"/>
      <c r="G30" s="4"/>
    </row>
    <row r="31">
      <c r="A31" s="4"/>
      <c r="B31" s="4"/>
      <c r="C31" s="4"/>
      <c r="D31" s="4"/>
      <c r="E31" s="4"/>
      <c r="F31" s="4"/>
      <c r="G31" s="4"/>
    </row>
    <row r="32">
      <c r="A32" s="4"/>
      <c r="B32" s="4"/>
      <c r="C32" s="4"/>
      <c r="D32" s="4"/>
      <c r="E32" s="4"/>
      <c r="F32" s="4"/>
      <c r="G32" s="4"/>
    </row>
    <row r="33">
      <c r="A33" s="4"/>
      <c r="B33" s="4"/>
      <c r="C33" s="4"/>
      <c r="D33" s="4"/>
      <c r="E33" s="4"/>
      <c r="F33" s="4"/>
      <c r="G33" s="4"/>
    </row>
    <row r="34">
      <c r="A34" s="4"/>
      <c r="B34" s="4"/>
      <c r="C34" s="4"/>
      <c r="D34" s="4"/>
      <c r="E34" s="4"/>
      <c r="F34" s="4"/>
      <c r="G34" s="4"/>
    </row>
    <row r="35">
      <c r="A35" s="4"/>
      <c r="B35" s="4"/>
      <c r="C35" s="4"/>
      <c r="D35" s="4"/>
      <c r="E35" s="4"/>
      <c r="F35" s="4"/>
      <c r="G35" s="4"/>
    </row>
    <row r="36">
      <c r="A36" s="4"/>
      <c r="B36" s="4"/>
      <c r="C36" s="4"/>
      <c r="D36" s="4"/>
      <c r="E36" s="4"/>
      <c r="F36" s="4"/>
      <c r="G36" s="4"/>
    </row>
    <row r="37">
      <c r="A37" s="4"/>
      <c r="B37" s="4"/>
      <c r="C37" s="4"/>
      <c r="D37" s="4"/>
      <c r="E37" s="4"/>
      <c r="F37" s="4"/>
      <c r="G37" s="4"/>
    </row>
    <row r="38">
      <c r="A38" s="4"/>
      <c r="B38" s="4"/>
      <c r="C38" s="4"/>
      <c r="D38" s="4"/>
      <c r="E38" s="4"/>
      <c r="F38" s="4"/>
      <c r="G38" s="4"/>
    </row>
    <row r="39">
      <c r="A39" s="4"/>
      <c r="B39" s="4"/>
      <c r="C39" s="4"/>
      <c r="D39" s="4"/>
      <c r="E39" s="4"/>
      <c r="F39" s="4"/>
      <c r="G39" s="4"/>
    </row>
    <row r="40">
      <c r="A40" s="4"/>
      <c r="B40" s="4"/>
      <c r="C40" s="4"/>
      <c r="D40" s="4"/>
      <c r="E40" s="4"/>
      <c r="F40" s="4"/>
      <c r="G40" s="4"/>
    </row>
    <row r="41">
      <c r="A41" s="4"/>
      <c r="B41" s="4"/>
      <c r="C41" s="4"/>
      <c r="D41" s="4"/>
      <c r="E41" s="4"/>
      <c r="F41" s="4"/>
      <c r="G41" s="4"/>
    </row>
    <row r="42">
      <c r="A42" s="4"/>
      <c r="B42" s="4"/>
      <c r="C42" s="4"/>
      <c r="D42" s="4"/>
      <c r="E42" s="4"/>
      <c r="F42" s="4"/>
      <c r="G42" s="4"/>
    </row>
    <row r="43">
      <c r="A43" s="4"/>
      <c r="B43" s="4"/>
      <c r="C43" s="4"/>
      <c r="D43" s="4"/>
      <c r="E43" s="4"/>
      <c r="F43" s="4"/>
      <c r="G43" s="4"/>
    </row>
    <row r="44">
      <c r="A44" s="4"/>
      <c r="B44" s="4"/>
      <c r="C44" s="4"/>
      <c r="D44" s="4"/>
      <c r="E44" s="4"/>
      <c r="F44" s="4"/>
      <c r="G44" s="4"/>
    </row>
    <row r="45">
      <c r="A45" s="4"/>
      <c r="B45" s="4"/>
      <c r="C45" s="4"/>
      <c r="D45" s="4"/>
      <c r="E45" s="4"/>
      <c r="F45" s="4"/>
      <c r="G45" s="4"/>
    </row>
    <row r="46">
      <c r="A46" s="4"/>
      <c r="B46" s="4"/>
      <c r="C46" s="4"/>
      <c r="D46" s="4"/>
      <c r="E46" s="4"/>
      <c r="F46" s="4"/>
      <c r="G46" s="4"/>
    </row>
    <row r="47">
      <c r="A47" s="4"/>
      <c r="B47" s="4"/>
      <c r="C47" s="4"/>
      <c r="D47" s="4"/>
      <c r="E47" s="4"/>
      <c r="F47" s="4"/>
      <c r="G47" s="4"/>
    </row>
    <row r="48">
      <c r="A48" s="4"/>
      <c r="B48" s="4"/>
      <c r="C48" s="4"/>
      <c r="D48" s="4"/>
      <c r="E48" s="4"/>
      <c r="F48" s="4"/>
      <c r="G48" s="4"/>
    </row>
    <row r="49">
      <c r="A49" s="4"/>
      <c r="B49" s="4"/>
      <c r="C49" s="4"/>
      <c r="D49" s="4"/>
      <c r="E49" s="4"/>
      <c r="F49" s="4"/>
      <c r="G49" s="4"/>
    </row>
    <row r="50">
      <c r="A50" s="4"/>
      <c r="B50" s="4"/>
      <c r="C50" s="4"/>
      <c r="D50" s="4"/>
      <c r="E50" s="4"/>
      <c r="F50" s="4"/>
      <c r="G50" s="4"/>
    </row>
    <row r="51">
      <c r="A51" s="4"/>
      <c r="B51" s="4"/>
      <c r="C51" s="4"/>
      <c r="D51" s="4"/>
      <c r="E51" s="4"/>
      <c r="F51" s="4"/>
      <c r="G51" s="4"/>
    </row>
    <row r="52">
      <c r="A52" s="4"/>
      <c r="B52" s="4"/>
      <c r="C52" s="4"/>
      <c r="D52" s="4"/>
      <c r="E52" s="4"/>
      <c r="F52" s="4"/>
      <c r="G52" s="4"/>
    </row>
    <row r="53">
      <c r="A53" s="4"/>
      <c r="B53" s="4"/>
      <c r="C53" s="4"/>
      <c r="D53" s="4"/>
      <c r="E53" s="4"/>
      <c r="F53" s="4"/>
      <c r="G53" s="4"/>
    </row>
    <row r="54">
      <c r="A54" s="4"/>
      <c r="B54" s="4"/>
      <c r="C54" s="4"/>
      <c r="D54" s="4"/>
      <c r="E54" s="4"/>
      <c r="F54" s="4"/>
      <c r="G54" s="4"/>
    </row>
    <row r="55">
      <c r="A55" s="4"/>
      <c r="B55" s="4"/>
      <c r="C55" s="4"/>
      <c r="D55" s="4"/>
      <c r="E55" s="4"/>
      <c r="F55" s="4"/>
      <c r="G55" s="4"/>
    </row>
    <row r="56">
      <c r="A56" s="4"/>
      <c r="B56" s="4"/>
      <c r="C56" s="4"/>
      <c r="D56" s="4"/>
      <c r="E56" s="4"/>
      <c r="F56" s="4"/>
      <c r="G56" s="4"/>
    </row>
    <row r="57">
      <c r="A57" s="4"/>
      <c r="B57" s="4"/>
      <c r="C57" s="4"/>
      <c r="D57" s="4"/>
      <c r="E57" s="4"/>
      <c r="F57" s="4"/>
      <c r="G57" s="4"/>
    </row>
    <row r="58">
      <c r="A58" s="4"/>
      <c r="B58" s="4"/>
      <c r="C58" s="4"/>
      <c r="D58" s="4"/>
      <c r="E58" s="4"/>
      <c r="F58" s="4"/>
      <c r="G58" s="4"/>
    </row>
    <row r="59">
      <c r="A59" s="4"/>
      <c r="B59" s="4"/>
      <c r="C59" s="4"/>
      <c r="D59" s="4"/>
      <c r="E59" s="4"/>
      <c r="F59" s="4"/>
      <c r="G59" s="4"/>
    </row>
    <row r="60">
      <c r="A60" s="4"/>
      <c r="B60" s="4"/>
      <c r="C60" s="4"/>
      <c r="D60" s="4"/>
      <c r="E60" s="4"/>
      <c r="F60" s="4"/>
      <c r="G60" s="4"/>
    </row>
    <row r="61">
      <c r="A61" s="4"/>
      <c r="B61" s="4"/>
      <c r="C61" s="4"/>
      <c r="D61" s="4"/>
      <c r="E61" s="4"/>
      <c r="F61" s="4"/>
      <c r="G61" s="4"/>
    </row>
    <row r="62">
      <c r="A62" s="4"/>
      <c r="B62" s="4"/>
      <c r="C62" s="4"/>
      <c r="D62" s="4"/>
      <c r="E62" s="4"/>
      <c r="F62" s="4"/>
      <c r="G62" s="4"/>
    </row>
    <row r="63">
      <c r="A63" s="4"/>
      <c r="B63" s="4"/>
      <c r="C63" s="4"/>
      <c r="D63" s="4"/>
      <c r="E63" s="4"/>
      <c r="F63" s="4"/>
      <c r="G63" s="4"/>
    </row>
    <row r="64">
      <c r="A64" s="4"/>
      <c r="B64" s="4"/>
      <c r="C64" s="4"/>
      <c r="D64" s="4"/>
      <c r="E64" s="4"/>
      <c r="F64" s="4"/>
      <c r="G64" s="4"/>
    </row>
    <row r="65">
      <c r="A65" s="4"/>
      <c r="B65" s="4"/>
      <c r="C65" s="4"/>
      <c r="D65" s="4"/>
      <c r="E65" s="4"/>
      <c r="F65" s="4"/>
      <c r="G65" s="4"/>
    </row>
    <row r="66">
      <c r="A66" s="4"/>
      <c r="B66" s="4"/>
      <c r="C66" s="4"/>
      <c r="D66" s="4"/>
      <c r="E66" s="4"/>
      <c r="F66" s="4"/>
      <c r="G66" s="4"/>
    </row>
    <row r="67">
      <c r="A67" s="4"/>
      <c r="B67" s="4"/>
      <c r="C67" s="4"/>
      <c r="D67" s="4"/>
      <c r="E67" s="4"/>
      <c r="F67" s="4"/>
      <c r="G67" s="4"/>
    </row>
    <row r="68">
      <c r="A68" s="4"/>
      <c r="B68" s="4"/>
      <c r="C68" s="4"/>
      <c r="D68" s="4"/>
      <c r="E68" s="4"/>
      <c r="F68" s="4"/>
      <c r="G68" s="4"/>
    </row>
    <row r="69">
      <c r="A69" s="4"/>
      <c r="B69" s="4"/>
      <c r="C69" s="4"/>
      <c r="D69" s="4"/>
      <c r="E69" s="4"/>
      <c r="F69" s="4"/>
      <c r="G69" s="4"/>
    </row>
    <row r="70">
      <c r="A70" s="4"/>
      <c r="B70" s="4"/>
      <c r="C70" s="4"/>
      <c r="D70" s="4"/>
      <c r="E70" s="4"/>
      <c r="F70" s="4"/>
      <c r="G70" s="4"/>
    </row>
    <row r="71">
      <c r="A71" s="4"/>
      <c r="B71" s="4"/>
      <c r="C71" s="4"/>
      <c r="D71" s="4"/>
      <c r="E71" s="4"/>
      <c r="F71" s="4"/>
      <c r="G71" s="4"/>
    </row>
    <row r="72">
      <c r="A72" s="4"/>
      <c r="B72" s="4"/>
      <c r="C72" s="4"/>
      <c r="D72" s="4"/>
      <c r="E72" s="4"/>
      <c r="F72" s="4"/>
      <c r="G72" s="4"/>
    </row>
    <row r="73">
      <c r="A73" s="4"/>
      <c r="B73" s="4"/>
      <c r="C73" s="4"/>
      <c r="D73" s="4"/>
      <c r="E73" s="4"/>
      <c r="F73" s="4"/>
      <c r="G73" s="4"/>
    </row>
    <row r="74">
      <c r="A74" s="4"/>
      <c r="B74" s="4"/>
      <c r="C74" s="4"/>
      <c r="D74" s="4"/>
      <c r="E74" s="4"/>
      <c r="F74" s="4"/>
      <c r="G74" s="4"/>
    </row>
    <row r="75">
      <c r="A75" s="4"/>
      <c r="B75" s="4"/>
      <c r="C75" s="4"/>
      <c r="D75" s="4"/>
      <c r="E75" s="4"/>
      <c r="F75" s="4"/>
      <c r="G75" s="4"/>
    </row>
    <row r="76">
      <c r="A76" s="4"/>
      <c r="B76" s="4"/>
      <c r="C76" s="4"/>
      <c r="D76" s="4"/>
      <c r="E76" s="4"/>
      <c r="F76" s="4"/>
      <c r="G76" s="4"/>
    </row>
    <row r="77">
      <c r="A77" s="4"/>
      <c r="B77" s="4"/>
      <c r="C77" s="4"/>
      <c r="D77" s="4"/>
      <c r="E77" s="4"/>
      <c r="F77" s="4"/>
      <c r="G77" s="4"/>
    </row>
    <row r="78">
      <c r="A78" s="4"/>
      <c r="B78" s="4"/>
      <c r="C78" s="4"/>
      <c r="D78" s="4"/>
      <c r="E78" s="4"/>
      <c r="F78" s="4"/>
      <c r="G78" s="4"/>
    </row>
    <row r="79">
      <c r="A79" s="4"/>
      <c r="B79" s="4"/>
      <c r="C79" s="4"/>
      <c r="D79" s="4"/>
      <c r="E79" s="4"/>
      <c r="F79" s="4"/>
      <c r="G79" s="4"/>
    </row>
    <row r="80">
      <c r="A80" s="4"/>
      <c r="B80" s="4"/>
      <c r="C80" s="4"/>
      <c r="D80" s="4"/>
      <c r="E80" s="4"/>
      <c r="F80" s="4"/>
      <c r="G80" s="4"/>
    </row>
    <row r="81">
      <c r="A81" s="4"/>
      <c r="B81" s="4"/>
      <c r="C81" s="4"/>
      <c r="D81" s="4"/>
      <c r="E81" s="4"/>
      <c r="F81" s="4"/>
      <c r="G81" s="4"/>
    </row>
    <row r="82">
      <c r="A82" s="4"/>
      <c r="B82" s="4"/>
      <c r="C82" s="4"/>
      <c r="D82" s="4"/>
      <c r="E82" s="4"/>
      <c r="F82" s="4"/>
      <c r="G82" s="4"/>
    </row>
    <row r="83">
      <c r="A83" s="4"/>
      <c r="B83" s="4"/>
      <c r="C83" s="4"/>
      <c r="D83" s="4"/>
      <c r="E83" s="4"/>
      <c r="F83" s="4"/>
      <c r="G83" s="4"/>
    </row>
    <row r="84">
      <c r="A84" s="4"/>
      <c r="B84" s="4"/>
      <c r="C84" s="4"/>
      <c r="D84" s="4"/>
      <c r="E84" s="4"/>
      <c r="F84" s="4"/>
      <c r="G84" s="4"/>
    </row>
    <row r="85">
      <c r="A85" s="4"/>
      <c r="B85" s="4"/>
      <c r="C85" s="4"/>
      <c r="D85" s="4"/>
      <c r="E85" s="4"/>
      <c r="F85" s="4"/>
      <c r="G85" s="4"/>
    </row>
    <row r="86">
      <c r="A86" s="4"/>
      <c r="B86" s="4"/>
      <c r="C86" s="4"/>
      <c r="D86" s="4"/>
      <c r="E86" s="4"/>
      <c r="F86" s="4"/>
      <c r="G86" s="4"/>
    </row>
    <row r="87">
      <c r="A87" s="4"/>
      <c r="B87" s="4"/>
      <c r="C87" s="4"/>
      <c r="D87" s="4"/>
      <c r="E87" s="4"/>
      <c r="F87" s="4"/>
      <c r="G87" s="4"/>
    </row>
    <row r="88">
      <c r="A88" s="4"/>
      <c r="B88" s="4"/>
      <c r="C88" s="4"/>
      <c r="D88" s="4"/>
      <c r="E88" s="4"/>
      <c r="F88" s="4"/>
      <c r="G88" s="4"/>
    </row>
    <row r="89">
      <c r="A89" s="4"/>
      <c r="B89" s="4"/>
      <c r="C89" s="4"/>
      <c r="D89" s="4"/>
      <c r="E89" s="4"/>
      <c r="F89" s="4"/>
      <c r="G89" s="4"/>
    </row>
    <row r="90">
      <c r="A90" s="4"/>
      <c r="B90" s="4"/>
      <c r="C90" s="4"/>
      <c r="D90" s="4"/>
      <c r="E90" s="4"/>
      <c r="F90" s="4"/>
      <c r="G90" s="4"/>
    </row>
    <row r="91">
      <c r="A91" s="4"/>
      <c r="B91" s="4"/>
      <c r="C91" s="4"/>
      <c r="D91" s="4"/>
      <c r="E91" s="4"/>
      <c r="F91" s="4"/>
      <c r="G91" s="4"/>
    </row>
    <row r="92">
      <c r="A92" s="4"/>
      <c r="B92" s="4"/>
      <c r="C92" s="4"/>
      <c r="D92" s="4"/>
      <c r="E92" s="4"/>
      <c r="F92" s="4"/>
      <c r="G92" s="4"/>
    </row>
    <row r="93">
      <c r="A93" s="4"/>
      <c r="B93" s="4"/>
      <c r="C93" s="4"/>
      <c r="D93" s="4"/>
      <c r="E93" s="4"/>
      <c r="F93" s="4"/>
      <c r="G93" s="4"/>
    </row>
    <row r="94">
      <c r="A94" s="4"/>
      <c r="B94" s="4"/>
      <c r="C94" s="4"/>
      <c r="D94" s="4"/>
      <c r="E94" s="4"/>
      <c r="F94" s="4"/>
      <c r="G94" s="4"/>
    </row>
    <row r="95">
      <c r="A95" s="4"/>
      <c r="B95" s="4"/>
      <c r="C95" s="4"/>
      <c r="D95" s="4"/>
      <c r="E95" s="4"/>
      <c r="F95" s="4"/>
      <c r="G95" s="4"/>
    </row>
    <row r="96">
      <c r="A96" s="4"/>
      <c r="B96" s="4"/>
      <c r="C96" s="4"/>
      <c r="D96" s="4"/>
      <c r="E96" s="4"/>
      <c r="F96" s="4"/>
      <c r="G96" s="4"/>
    </row>
    <row r="97">
      <c r="A97" s="4"/>
      <c r="B97" s="4"/>
      <c r="C97" s="4"/>
      <c r="D97" s="4"/>
      <c r="E97" s="4"/>
      <c r="F97" s="4"/>
      <c r="G97" s="4"/>
    </row>
    <row r="98">
      <c r="A98" s="4"/>
      <c r="B98" s="4"/>
      <c r="C98" s="4"/>
      <c r="D98" s="4"/>
      <c r="E98" s="4"/>
      <c r="F98" s="4"/>
      <c r="G98" s="4"/>
    </row>
    <row r="99">
      <c r="A99" s="4"/>
      <c r="B99" s="4"/>
      <c r="C99" s="4"/>
      <c r="D99" s="4"/>
      <c r="E99" s="4"/>
      <c r="F99" s="4"/>
      <c r="G99" s="4"/>
    </row>
    <row r="100">
      <c r="A100" s="4"/>
      <c r="B100" s="4"/>
      <c r="C100" s="4"/>
      <c r="D100" s="4"/>
      <c r="E100" s="4"/>
      <c r="F100" s="4"/>
      <c r="G100" s="4"/>
    </row>
    <row r="101">
      <c r="A101" s="4"/>
      <c r="B101" s="4"/>
      <c r="C101" s="4"/>
      <c r="D101" s="4"/>
      <c r="E101" s="4"/>
      <c r="F101" s="4"/>
      <c r="G101" s="4"/>
    </row>
    <row r="102">
      <c r="A102" s="4"/>
      <c r="B102" s="4"/>
      <c r="C102" s="4"/>
      <c r="D102" s="4"/>
      <c r="E102" s="4"/>
      <c r="F102" s="4"/>
      <c r="G102" s="4"/>
    </row>
    <row r="103">
      <c r="A103" s="4"/>
      <c r="B103" s="4"/>
      <c r="C103" s="4"/>
      <c r="D103" s="4"/>
      <c r="E103" s="4"/>
      <c r="F103" s="4"/>
      <c r="G103" s="4"/>
    </row>
    <row r="104">
      <c r="A104" s="4"/>
      <c r="B104" s="4"/>
      <c r="C104" s="4"/>
      <c r="D104" s="4"/>
      <c r="E104" s="4"/>
      <c r="F104" s="4"/>
      <c r="G104" s="4"/>
    </row>
    <row r="105">
      <c r="A105" s="4"/>
      <c r="B105" s="4"/>
      <c r="C105" s="4"/>
      <c r="D105" s="4"/>
      <c r="E105" s="4"/>
      <c r="F105" s="4"/>
      <c r="G105" s="4"/>
    </row>
    <row r="106">
      <c r="A106" s="4"/>
      <c r="B106" s="4"/>
      <c r="C106" s="4"/>
      <c r="D106" s="4"/>
      <c r="E106" s="4"/>
      <c r="F106" s="4"/>
      <c r="G106" s="4"/>
    </row>
    <row r="107">
      <c r="A107" s="4"/>
      <c r="B107" s="4"/>
      <c r="C107" s="4"/>
      <c r="D107" s="4"/>
      <c r="E107" s="4"/>
      <c r="F107" s="4"/>
      <c r="G107" s="4"/>
    </row>
    <row r="108">
      <c r="A108" s="4"/>
      <c r="B108" s="4"/>
      <c r="C108" s="4"/>
      <c r="D108" s="4"/>
      <c r="E108" s="4"/>
      <c r="F108" s="4"/>
      <c r="G108" s="4"/>
    </row>
    <row r="109">
      <c r="A109" s="4"/>
      <c r="B109" s="4"/>
      <c r="C109" s="4"/>
      <c r="D109" s="4"/>
      <c r="E109" s="4"/>
      <c r="F109" s="4"/>
      <c r="G109" s="4"/>
    </row>
    <row r="110">
      <c r="A110" s="4"/>
      <c r="B110" s="4"/>
      <c r="C110" s="4"/>
      <c r="D110" s="4"/>
      <c r="E110" s="4"/>
      <c r="F110" s="4"/>
      <c r="G110" s="4"/>
    </row>
    <row r="111">
      <c r="A111" s="4"/>
      <c r="B111" s="4"/>
      <c r="C111" s="4"/>
      <c r="D111" s="4"/>
      <c r="E111" s="4"/>
      <c r="F111" s="4"/>
      <c r="G111" s="4"/>
    </row>
    <row r="112">
      <c r="A112" s="4"/>
      <c r="B112" s="4"/>
      <c r="C112" s="4"/>
      <c r="D112" s="4"/>
      <c r="E112" s="4"/>
      <c r="F112" s="4"/>
      <c r="G112" s="4"/>
    </row>
    <row r="113">
      <c r="A113" s="4"/>
      <c r="B113" s="4"/>
      <c r="C113" s="4"/>
      <c r="D113" s="4"/>
      <c r="E113" s="4"/>
      <c r="F113" s="4"/>
      <c r="G113" s="4"/>
    </row>
    <row r="114">
      <c r="A114" s="4"/>
      <c r="B114" s="4"/>
      <c r="C114" s="4"/>
      <c r="D114" s="4"/>
      <c r="E114" s="4"/>
      <c r="F114" s="4"/>
      <c r="G114" s="4"/>
    </row>
    <row r="115">
      <c r="A115" s="4"/>
      <c r="B115" s="4"/>
      <c r="C115" s="4"/>
      <c r="D115" s="4"/>
      <c r="E115" s="4"/>
      <c r="F115" s="4"/>
      <c r="G115" s="4"/>
    </row>
    <row r="116">
      <c r="A116" s="4"/>
      <c r="B116" s="4"/>
      <c r="C116" s="4"/>
      <c r="D116" s="4"/>
      <c r="E116" s="4"/>
      <c r="F116" s="4"/>
      <c r="G116" s="4"/>
    </row>
    <row r="117">
      <c r="A117" s="4"/>
      <c r="B117" s="4"/>
      <c r="C117" s="4"/>
      <c r="D117" s="4"/>
      <c r="E117" s="4"/>
      <c r="F117" s="4"/>
      <c r="G117" s="4"/>
    </row>
    <row r="118">
      <c r="A118" s="4"/>
      <c r="B118" s="4"/>
      <c r="C118" s="4"/>
      <c r="D118" s="4"/>
      <c r="E118" s="4"/>
      <c r="F118" s="4"/>
      <c r="G118" s="4"/>
    </row>
    <row r="119">
      <c r="A119" s="4"/>
      <c r="B119" s="4"/>
      <c r="C119" s="4"/>
      <c r="D119" s="4"/>
      <c r="E119" s="4"/>
      <c r="F119" s="4"/>
      <c r="G119" s="4"/>
    </row>
    <row r="120">
      <c r="A120" s="4"/>
      <c r="B120" s="4"/>
      <c r="C120" s="4"/>
      <c r="D120" s="4"/>
      <c r="E120" s="4"/>
      <c r="F120" s="4"/>
      <c r="G120" s="4"/>
    </row>
    <row r="121">
      <c r="A121" s="4"/>
      <c r="B121" s="4"/>
      <c r="C121" s="4"/>
      <c r="D121" s="4"/>
      <c r="E121" s="4"/>
      <c r="F121" s="4"/>
      <c r="G121" s="4"/>
    </row>
    <row r="122">
      <c r="A122" s="4"/>
      <c r="B122" s="4"/>
      <c r="C122" s="4"/>
      <c r="D122" s="4"/>
      <c r="E122" s="4"/>
      <c r="F122" s="4"/>
      <c r="G122" s="4"/>
    </row>
    <row r="123">
      <c r="A123" s="4"/>
      <c r="B123" s="4"/>
      <c r="C123" s="4"/>
      <c r="D123" s="4"/>
      <c r="E123" s="4"/>
      <c r="F123" s="4"/>
      <c r="G123" s="4"/>
    </row>
    <row r="124">
      <c r="A124" s="4"/>
      <c r="B124" s="4"/>
      <c r="C124" s="4"/>
      <c r="D124" s="4"/>
      <c r="E124" s="4"/>
      <c r="F124" s="4"/>
      <c r="G124" s="4"/>
    </row>
    <row r="125">
      <c r="A125" s="4"/>
      <c r="B125" s="4"/>
      <c r="C125" s="4"/>
      <c r="D125" s="4"/>
      <c r="E125" s="4"/>
      <c r="F125" s="4"/>
      <c r="G125" s="4"/>
    </row>
    <row r="126">
      <c r="A126" s="4"/>
      <c r="B126" s="4"/>
      <c r="C126" s="4"/>
      <c r="D126" s="4"/>
      <c r="E126" s="4"/>
      <c r="F126" s="4"/>
      <c r="G126" s="4"/>
    </row>
    <row r="127">
      <c r="A127" s="4"/>
      <c r="B127" s="4"/>
      <c r="C127" s="4"/>
      <c r="D127" s="4"/>
      <c r="E127" s="4"/>
      <c r="F127" s="4"/>
      <c r="G127" s="4"/>
    </row>
    <row r="128">
      <c r="A128" s="4"/>
      <c r="B128" s="4"/>
      <c r="C128" s="4"/>
      <c r="D128" s="4"/>
      <c r="E128" s="4"/>
      <c r="F128" s="4"/>
      <c r="G128" s="4"/>
    </row>
    <row r="129">
      <c r="A129" s="4"/>
      <c r="B129" s="4"/>
      <c r="C129" s="4"/>
      <c r="D129" s="4"/>
      <c r="E129" s="4"/>
      <c r="F129" s="4"/>
      <c r="G129" s="4"/>
    </row>
    <row r="130">
      <c r="A130" s="4"/>
      <c r="B130" s="4"/>
      <c r="C130" s="4"/>
      <c r="D130" s="4"/>
      <c r="E130" s="4"/>
      <c r="F130" s="4"/>
      <c r="G130" s="4"/>
    </row>
    <row r="131">
      <c r="A131" s="4"/>
      <c r="B131" s="4"/>
      <c r="C131" s="4"/>
      <c r="D131" s="4"/>
      <c r="E131" s="4"/>
      <c r="F131" s="4"/>
      <c r="G131" s="4"/>
    </row>
    <row r="132">
      <c r="A132" s="4"/>
      <c r="B132" s="4"/>
      <c r="C132" s="4"/>
      <c r="D132" s="4"/>
      <c r="E132" s="4"/>
      <c r="F132" s="4"/>
      <c r="G132" s="4"/>
    </row>
    <row r="133">
      <c r="A133" s="4"/>
      <c r="B133" s="4"/>
      <c r="C133" s="4"/>
      <c r="D133" s="4"/>
      <c r="E133" s="4"/>
      <c r="F133" s="4"/>
      <c r="G133" s="4"/>
    </row>
    <row r="134">
      <c r="A134" s="4"/>
      <c r="B134" s="4"/>
      <c r="C134" s="4"/>
      <c r="D134" s="4"/>
      <c r="E134" s="4"/>
      <c r="F134" s="4"/>
      <c r="G134" s="4"/>
    </row>
    <row r="135">
      <c r="A135" s="4"/>
      <c r="B135" s="4"/>
      <c r="C135" s="4"/>
      <c r="D135" s="4"/>
      <c r="E135" s="4"/>
      <c r="F135" s="4"/>
      <c r="G135" s="4"/>
    </row>
    <row r="136">
      <c r="A136" s="4"/>
      <c r="B136" s="4"/>
      <c r="C136" s="4"/>
      <c r="D136" s="4"/>
      <c r="E136" s="4"/>
      <c r="F136" s="4"/>
      <c r="G136" s="4"/>
    </row>
    <row r="137">
      <c r="A137" s="4"/>
      <c r="B137" s="4"/>
      <c r="C137" s="4"/>
      <c r="D137" s="4"/>
      <c r="E137" s="4"/>
      <c r="F137" s="4"/>
      <c r="G137" s="4"/>
    </row>
    <row r="138">
      <c r="A138" s="4"/>
      <c r="B138" s="4"/>
      <c r="C138" s="4"/>
      <c r="D138" s="4"/>
      <c r="E138" s="4"/>
      <c r="F138" s="4"/>
      <c r="G138" s="4"/>
    </row>
    <row r="139">
      <c r="A139" s="4"/>
      <c r="B139" s="4"/>
      <c r="C139" s="4"/>
      <c r="D139" s="4"/>
      <c r="E139" s="4"/>
      <c r="F139" s="4"/>
      <c r="G139" s="4"/>
    </row>
    <row r="140">
      <c r="A140" s="4"/>
      <c r="B140" s="4"/>
      <c r="C140" s="4"/>
      <c r="D140" s="4"/>
      <c r="E140" s="4"/>
      <c r="F140" s="4"/>
      <c r="G140" s="4"/>
    </row>
    <row r="141">
      <c r="A141" s="4"/>
      <c r="B141" s="4"/>
      <c r="C141" s="4"/>
      <c r="D141" s="4"/>
      <c r="E141" s="4"/>
      <c r="F141" s="4"/>
      <c r="G141" s="4"/>
    </row>
    <row r="142">
      <c r="A142" s="4"/>
      <c r="B142" s="4"/>
      <c r="C142" s="4"/>
      <c r="D142" s="4"/>
      <c r="E142" s="4"/>
      <c r="F142" s="4"/>
      <c r="G142" s="4"/>
    </row>
    <row r="143">
      <c r="A143" s="4"/>
      <c r="B143" s="4"/>
      <c r="C143" s="4"/>
      <c r="D143" s="4"/>
      <c r="E143" s="4"/>
      <c r="F143" s="4"/>
      <c r="G143" s="4"/>
    </row>
    <row r="144">
      <c r="A144" s="4"/>
      <c r="B144" s="4"/>
      <c r="C144" s="4"/>
      <c r="D144" s="4"/>
      <c r="E144" s="4"/>
      <c r="F144" s="4"/>
      <c r="G144" s="4"/>
    </row>
    <row r="145">
      <c r="A145" s="4"/>
      <c r="B145" s="4"/>
      <c r="C145" s="4"/>
      <c r="D145" s="4"/>
      <c r="E145" s="4"/>
      <c r="F145" s="4"/>
      <c r="G145" s="4"/>
    </row>
    <row r="146">
      <c r="A146" s="4"/>
      <c r="B146" s="4"/>
      <c r="C146" s="4"/>
      <c r="D146" s="4"/>
      <c r="E146" s="4"/>
      <c r="F146" s="4"/>
      <c r="G146" s="4"/>
    </row>
    <row r="147">
      <c r="A147" s="4"/>
      <c r="B147" s="4"/>
      <c r="C147" s="4"/>
      <c r="D147" s="4"/>
      <c r="E147" s="4"/>
      <c r="F147" s="4"/>
      <c r="G147" s="4"/>
    </row>
    <row r="148">
      <c r="A148" s="4"/>
      <c r="B148" s="4"/>
      <c r="C148" s="4"/>
      <c r="D148" s="4"/>
      <c r="E148" s="4"/>
      <c r="F148" s="4"/>
      <c r="G148" s="4"/>
    </row>
    <row r="149">
      <c r="A149" s="4"/>
      <c r="B149" s="4"/>
      <c r="C149" s="4"/>
      <c r="D149" s="4"/>
      <c r="E149" s="4"/>
      <c r="F149" s="4"/>
      <c r="G149" s="4"/>
    </row>
    <row r="150">
      <c r="A150" s="4"/>
      <c r="B150" s="4"/>
      <c r="C150" s="4"/>
      <c r="D150" s="4"/>
      <c r="E150" s="4"/>
      <c r="F150" s="4"/>
      <c r="G150" s="4"/>
    </row>
    <row r="151">
      <c r="A151" s="4"/>
      <c r="B151" s="4"/>
      <c r="C151" s="4"/>
      <c r="D151" s="4"/>
      <c r="E151" s="4"/>
      <c r="F151" s="4"/>
      <c r="G151" s="4"/>
    </row>
    <row r="152">
      <c r="A152" s="4"/>
      <c r="B152" s="4"/>
      <c r="C152" s="4"/>
      <c r="D152" s="4"/>
      <c r="E152" s="4"/>
      <c r="F152" s="4"/>
      <c r="G152" s="4"/>
    </row>
    <row r="153">
      <c r="A153" s="4"/>
      <c r="B153" s="4"/>
      <c r="C153" s="4"/>
      <c r="D153" s="4"/>
      <c r="E153" s="4"/>
      <c r="F153" s="4"/>
      <c r="G153" s="4"/>
    </row>
    <row r="154">
      <c r="A154" s="4"/>
      <c r="B154" s="4"/>
      <c r="C154" s="4"/>
      <c r="D154" s="4"/>
      <c r="E154" s="4"/>
      <c r="F154" s="4"/>
      <c r="G154" s="4"/>
    </row>
    <row r="155">
      <c r="A155" s="4"/>
      <c r="B155" s="4"/>
      <c r="C155" s="4"/>
      <c r="D155" s="4"/>
      <c r="E155" s="4"/>
      <c r="F155" s="4"/>
      <c r="G155" s="4"/>
    </row>
    <row r="156">
      <c r="A156" s="4"/>
      <c r="B156" s="4"/>
      <c r="C156" s="4"/>
      <c r="D156" s="4"/>
      <c r="E156" s="4"/>
      <c r="F156" s="4"/>
      <c r="G156" s="4"/>
    </row>
    <row r="157">
      <c r="A157" s="4"/>
      <c r="B157" s="4"/>
      <c r="C157" s="4"/>
      <c r="D157" s="4"/>
      <c r="E157" s="4"/>
      <c r="F157" s="4"/>
      <c r="G157" s="4"/>
    </row>
    <row r="158">
      <c r="A158" s="4"/>
      <c r="B158" s="4"/>
      <c r="C158" s="4"/>
      <c r="D158" s="4"/>
      <c r="E158" s="4"/>
      <c r="F158" s="4"/>
      <c r="G158" s="4"/>
    </row>
    <row r="159">
      <c r="A159" s="4"/>
      <c r="B159" s="4"/>
      <c r="C159" s="4"/>
      <c r="D159" s="4"/>
      <c r="E159" s="4"/>
      <c r="F159" s="4"/>
      <c r="G159" s="4"/>
    </row>
    <row r="160">
      <c r="A160" s="4"/>
      <c r="B160" s="4"/>
      <c r="C160" s="4"/>
      <c r="D160" s="4"/>
      <c r="E160" s="4"/>
      <c r="F160" s="4"/>
      <c r="G160" s="4"/>
    </row>
    <row r="161">
      <c r="A161" s="4"/>
      <c r="B161" s="4"/>
      <c r="C161" s="4"/>
      <c r="D161" s="4"/>
      <c r="E161" s="4"/>
      <c r="F161" s="4"/>
      <c r="G161" s="4"/>
    </row>
    <row r="162">
      <c r="A162" s="4"/>
      <c r="B162" s="4"/>
      <c r="C162" s="4"/>
      <c r="D162" s="4"/>
      <c r="E162" s="4"/>
      <c r="F162" s="4"/>
      <c r="G162" s="4"/>
    </row>
    <row r="163">
      <c r="A163" s="4"/>
      <c r="B163" s="4"/>
      <c r="C163" s="4"/>
      <c r="D163" s="4"/>
      <c r="E163" s="4"/>
      <c r="F163" s="4"/>
      <c r="G163" s="4"/>
    </row>
    <row r="164">
      <c r="A164" s="4"/>
      <c r="B164" s="4"/>
      <c r="C164" s="4"/>
      <c r="D164" s="4"/>
      <c r="E164" s="4"/>
      <c r="F164" s="4"/>
      <c r="G164" s="4"/>
    </row>
    <row r="165">
      <c r="A165" s="4"/>
      <c r="B165" s="4"/>
      <c r="C165" s="4"/>
      <c r="D165" s="4"/>
      <c r="E165" s="4"/>
      <c r="F165" s="4"/>
      <c r="G165" s="4"/>
    </row>
    <row r="166">
      <c r="A166" s="4"/>
      <c r="B166" s="4"/>
      <c r="C166" s="4"/>
      <c r="D166" s="4"/>
      <c r="E166" s="4"/>
      <c r="F166" s="4"/>
      <c r="G166" s="4"/>
    </row>
    <row r="167">
      <c r="A167" s="4"/>
      <c r="B167" s="4"/>
      <c r="C167" s="4"/>
      <c r="D167" s="4"/>
      <c r="E167" s="4"/>
      <c r="F167" s="4"/>
      <c r="G167" s="4"/>
    </row>
    <row r="168">
      <c r="A168" s="4"/>
      <c r="B168" s="4"/>
      <c r="C168" s="4"/>
      <c r="D168" s="4"/>
      <c r="E168" s="4"/>
      <c r="F168" s="4"/>
      <c r="G168" s="4"/>
    </row>
    <row r="169">
      <c r="A169" s="4"/>
      <c r="B169" s="4"/>
      <c r="C169" s="4"/>
      <c r="D169" s="4"/>
      <c r="E169" s="4"/>
      <c r="F169" s="4"/>
      <c r="G169" s="4"/>
    </row>
    <row r="170">
      <c r="A170" s="4"/>
      <c r="B170" s="4"/>
      <c r="C170" s="4"/>
      <c r="D170" s="4"/>
      <c r="E170" s="4"/>
      <c r="F170" s="4"/>
      <c r="G170" s="4"/>
    </row>
    <row r="171">
      <c r="A171" s="4"/>
      <c r="B171" s="4"/>
      <c r="C171" s="4"/>
      <c r="D171" s="4"/>
      <c r="E171" s="4"/>
      <c r="F171" s="4"/>
      <c r="G171" s="4"/>
    </row>
    <row r="172">
      <c r="A172" s="4"/>
      <c r="B172" s="4"/>
      <c r="C172" s="4"/>
      <c r="D172" s="4"/>
      <c r="E172" s="4"/>
      <c r="F172" s="4"/>
      <c r="G172" s="4"/>
    </row>
    <row r="173">
      <c r="A173" s="4"/>
      <c r="B173" s="4"/>
      <c r="C173" s="4"/>
      <c r="D173" s="4"/>
      <c r="E173" s="4"/>
      <c r="F173" s="4"/>
      <c r="G173" s="4"/>
    </row>
    <row r="174">
      <c r="A174" s="4"/>
      <c r="B174" s="4"/>
      <c r="C174" s="4"/>
      <c r="D174" s="4"/>
      <c r="E174" s="4"/>
      <c r="F174" s="4"/>
      <c r="G174" s="4"/>
    </row>
    <row r="175">
      <c r="A175" s="4"/>
      <c r="B175" s="4"/>
      <c r="C175" s="4"/>
      <c r="D175" s="4"/>
      <c r="E175" s="4"/>
      <c r="F175" s="4"/>
      <c r="G175" s="4"/>
    </row>
    <row r="176">
      <c r="A176" s="4"/>
      <c r="B176" s="4"/>
      <c r="C176" s="4"/>
      <c r="D176" s="4"/>
      <c r="E176" s="4"/>
      <c r="F176" s="4"/>
      <c r="G176" s="4"/>
    </row>
    <row r="177">
      <c r="A177" s="4"/>
      <c r="B177" s="4"/>
      <c r="C177" s="4"/>
      <c r="D177" s="4"/>
      <c r="E177" s="4"/>
      <c r="F177" s="4"/>
      <c r="G177" s="4"/>
    </row>
    <row r="178">
      <c r="A178" s="4"/>
      <c r="B178" s="4"/>
      <c r="C178" s="4"/>
      <c r="D178" s="4"/>
      <c r="E178" s="4"/>
      <c r="F178" s="4"/>
      <c r="G178" s="4"/>
    </row>
    <row r="179">
      <c r="A179" s="4"/>
      <c r="B179" s="4"/>
      <c r="C179" s="4"/>
      <c r="D179" s="4"/>
      <c r="E179" s="4"/>
      <c r="F179" s="4"/>
      <c r="G179" s="4"/>
    </row>
    <row r="180">
      <c r="A180" s="4"/>
      <c r="B180" s="4"/>
      <c r="C180" s="4"/>
      <c r="D180" s="4"/>
      <c r="E180" s="4"/>
      <c r="F180" s="4"/>
      <c r="G180" s="4"/>
    </row>
    <row r="181">
      <c r="A181" s="4"/>
      <c r="B181" s="4"/>
      <c r="C181" s="4"/>
      <c r="D181" s="4"/>
      <c r="E181" s="4"/>
      <c r="F181" s="4"/>
      <c r="G181" s="4"/>
    </row>
    <row r="182">
      <c r="A182" s="4"/>
      <c r="B182" s="4"/>
      <c r="C182" s="4"/>
      <c r="D182" s="4"/>
      <c r="E182" s="4"/>
      <c r="F182" s="4"/>
      <c r="G182" s="4"/>
    </row>
    <row r="183">
      <c r="A183" s="4"/>
      <c r="B183" s="4"/>
      <c r="C183" s="4"/>
      <c r="D183" s="4"/>
      <c r="E183" s="4"/>
      <c r="F183" s="4"/>
      <c r="G183" s="4"/>
    </row>
    <row r="184">
      <c r="A184" s="4"/>
      <c r="B184" s="4"/>
      <c r="C184" s="4"/>
      <c r="D184" s="4"/>
      <c r="E184" s="4"/>
      <c r="F184" s="4"/>
      <c r="G184" s="4"/>
    </row>
    <row r="185">
      <c r="A185" s="4"/>
      <c r="B185" s="4"/>
      <c r="C185" s="4"/>
      <c r="D185" s="4"/>
      <c r="E185" s="4"/>
      <c r="F185" s="4"/>
      <c r="G185" s="4"/>
    </row>
    <row r="186">
      <c r="A186" s="4"/>
      <c r="B186" s="4"/>
      <c r="C186" s="4"/>
      <c r="D186" s="4"/>
      <c r="E186" s="4"/>
      <c r="F186" s="4"/>
      <c r="G186" s="4"/>
    </row>
    <row r="187">
      <c r="A187" s="4"/>
      <c r="B187" s="4"/>
      <c r="C187" s="4"/>
      <c r="D187" s="4"/>
      <c r="E187" s="4"/>
      <c r="F187" s="4"/>
      <c r="G187" s="4"/>
    </row>
    <row r="188">
      <c r="A188" s="4"/>
      <c r="B188" s="4"/>
      <c r="C188" s="4"/>
      <c r="D188" s="4"/>
      <c r="E188" s="4"/>
      <c r="F188" s="4"/>
      <c r="G188" s="4"/>
    </row>
    <row r="189">
      <c r="A189" s="4"/>
      <c r="B189" s="4"/>
      <c r="C189" s="4"/>
      <c r="D189" s="4"/>
      <c r="E189" s="4"/>
      <c r="F189" s="4"/>
      <c r="G189" s="4"/>
    </row>
    <row r="190">
      <c r="A190" s="4"/>
      <c r="B190" s="4"/>
      <c r="C190" s="4"/>
      <c r="D190" s="4"/>
      <c r="E190" s="4"/>
      <c r="F190" s="4"/>
      <c r="G190" s="4"/>
    </row>
    <row r="191">
      <c r="A191" s="4"/>
      <c r="B191" s="4"/>
      <c r="C191" s="4"/>
      <c r="D191" s="4"/>
      <c r="E191" s="4"/>
      <c r="F191" s="4"/>
      <c r="G191" s="4"/>
    </row>
    <row r="192">
      <c r="A192" s="4"/>
      <c r="B192" s="4"/>
      <c r="C192" s="4"/>
      <c r="D192" s="4"/>
      <c r="E192" s="4"/>
      <c r="F192" s="4"/>
      <c r="G192" s="4"/>
    </row>
    <row r="193">
      <c r="A193" s="4"/>
      <c r="B193" s="4"/>
      <c r="C193" s="4"/>
      <c r="D193" s="4"/>
      <c r="E193" s="4"/>
      <c r="F193" s="4"/>
      <c r="G193" s="4"/>
    </row>
    <row r="194">
      <c r="A194" s="4"/>
      <c r="B194" s="4"/>
      <c r="C194" s="4"/>
      <c r="D194" s="4"/>
      <c r="E194" s="4"/>
      <c r="F194" s="4"/>
      <c r="G194" s="4"/>
    </row>
    <row r="195">
      <c r="A195" s="4"/>
      <c r="B195" s="4"/>
      <c r="C195" s="4"/>
      <c r="D195" s="4"/>
      <c r="E195" s="4"/>
      <c r="F195" s="4"/>
      <c r="G195" s="4"/>
    </row>
    <row r="196">
      <c r="A196" s="4"/>
      <c r="B196" s="4"/>
      <c r="C196" s="4"/>
      <c r="D196" s="4"/>
      <c r="E196" s="4"/>
      <c r="F196" s="4"/>
      <c r="G196" s="4"/>
    </row>
    <row r="197">
      <c r="A197" s="4"/>
      <c r="B197" s="4"/>
      <c r="C197" s="4"/>
      <c r="D197" s="4"/>
      <c r="E197" s="4"/>
      <c r="F197" s="4"/>
      <c r="G197" s="4"/>
    </row>
    <row r="198">
      <c r="A198" s="4"/>
      <c r="B198" s="4"/>
      <c r="C198" s="4"/>
      <c r="D198" s="4"/>
      <c r="E198" s="4"/>
      <c r="F198" s="4"/>
      <c r="G198" s="4"/>
    </row>
    <row r="199">
      <c r="A199" s="4"/>
      <c r="B199" s="4"/>
      <c r="C199" s="4"/>
      <c r="D199" s="4"/>
      <c r="E199" s="4"/>
      <c r="F199" s="4"/>
      <c r="G199" s="4"/>
    </row>
    <row r="200">
      <c r="A200" s="4"/>
      <c r="B200" s="4"/>
      <c r="C200" s="4"/>
      <c r="D200" s="4"/>
      <c r="E200" s="4"/>
      <c r="F200" s="4"/>
      <c r="G200" s="4"/>
    </row>
    <row r="201">
      <c r="A201" s="4"/>
      <c r="B201" s="4"/>
      <c r="C201" s="4"/>
      <c r="D201" s="4"/>
      <c r="E201" s="4"/>
      <c r="F201" s="4"/>
      <c r="G201" s="4"/>
    </row>
    <row r="202">
      <c r="A202" s="4"/>
      <c r="B202" s="4"/>
      <c r="C202" s="4"/>
      <c r="D202" s="4"/>
      <c r="E202" s="4"/>
      <c r="F202" s="4"/>
      <c r="G202" s="4"/>
    </row>
    <row r="203">
      <c r="A203" s="4"/>
      <c r="B203" s="4"/>
      <c r="C203" s="4"/>
      <c r="D203" s="4"/>
      <c r="E203" s="4"/>
      <c r="F203" s="4"/>
      <c r="G203" s="4"/>
    </row>
    <row r="204">
      <c r="A204" s="4"/>
      <c r="B204" s="4"/>
      <c r="C204" s="4"/>
      <c r="D204" s="4"/>
      <c r="E204" s="4"/>
      <c r="F204" s="4"/>
      <c r="G204" s="4"/>
    </row>
    <row r="205">
      <c r="A205" s="4"/>
      <c r="B205" s="4"/>
      <c r="C205" s="4"/>
      <c r="D205" s="4"/>
      <c r="E205" s="4"/>
      <c r="F205" s="4"/>
      <c r="G205" s="4"/>
    </row>
    <row r="206">
      <c r="A206" s="4"/>
      <c r="B206" s="4"/>
      <c r="C206" s="4"/>
      <c r="D206" s="4"/>
      <c r="E206" s="4"/>
      <c r="F206" s="4"/>
      <c r="G206" s="4"/>
    </row>
    <row r="207">
      <c r="A207" s="4"/>
      <c r="B207" s="4"/>
      <c r="C207" s="4"/>
      <c r="D207" s="4"/>
      <c r="E207" s="4"/>
      <c r="F207" s="4"/>
      <c r="G207" s="4"/>
    </row>
    <row r="208">
      <c r="A208" s="4"/>
      <c r="B208" s="4"/>
      <c r="C208" s="4"/>
      <c r="D208" s="4"/>
      <c r="E208" s="4"/>
      <c r="F208" s="4"/>
      <c r="G208" s="4"/>
    </row>
    <row r="209">
      <c r="A209" s="4"/>
      <c r="B209" s="4"/>
      <c r="C209" s="4"/>
      <c r="D209" s="4"/>
      <c r="E209" s="4"/>
      <c r="F209" s="4"/>
      <c r="G209" s="4"/>
    </row>
    <row r="210">
      <c r="A210" s="4"/>
      <c r="B210" s="4"/>
      <c r="C210" s="4"/>
      <c r="D210" s="4"/>
      <c r="E210" s="4"/>
      <c r="F210" s="4"/>
      <c r="G210" s="4"/>
    </row>
    <row r="211">
      <c r="A211" s="4"/>
      <c r="B211" s="4"/>
      <c r="C211" s="4"/>
      <c r="D211" s="4"/>
      <c r="E211" s="4"/>
      <c r="F211" s="4"/>
      <c r="G211" s="4"/>
    </row>
    <row r="212">
      <c r="A212" s="4"/>
      <c r="B212" s="4"/>
      <c r="C212" s="4"/>
      <c r="D212" s="4"/>
      <c r="E212" s="4"/>
      <c r="F212" s="4"/>
      <c r="G212" s="4"/>
    </row>
    <row r="213">
      <c r="A213" s="4"/>
      <c r="B213" s="4"/>
      <c r="C213" s="4"/>
      <c r="D213" s="4"/>
      <c r="E213" s="4"/>
      <c r="F213" s="4"/>
      <c r="G213" s="4"/>
    </row>
    <row r="214">
      <c r="A214" s="4"/>
      <c r="B214" s="4"/>
      <c r="C214" s="4"/>
      <c r="D214" s="4"/>
      <c r="E214" s="4"/>
      <c r="F214" s="4"/>
      <c r="G214" s="4"/>
    </row>
    <row r="215">
      <c r="A215" s="4"/>
      <c r="B215" s="4"/>
      <c r="C215" s="4"/>
      <c r="D215" s="4"/>
      <c r="E215" s="4"/>
      <c r="F215" s="4"/>
      <c r="G215" s="4"/>
    </row>
    <row r="216">
      <c r="A216" s="4"/>
      <c r="B216" s="4"/>
      <c r="C216" s="4"/>
      <c r="D216" s="4"/>
      <c r="E216" s="4"/>
      <c r="F216" s="4"/>
      <c r="G216" s="4"/>
    </row>
    <row r="217">
      <c r="A217" s="4"/>
      <c r="B217" s="4"/>
      <c r="C217" s="4"/>
      <c r="D217" s="4"/>
      <c r="E217" s="4"/>
      <c r="F217" s="4"/>
      <c r="G217" s="4"/>
    </row>
    <row r="218">
      <c r="A218" s="4"/>
      <c r="B218" s="4"/>
      <c r="C218" s="4"/>
      <c r="D218" s="4"/>
      <c r="E218" s="4"/>
      <c r="F218" s="4"/>
      <c r="G218" s="4"/>
    </row>
    <row r="219">
      <c r="A219" s="4"/>
      <c r="B219" s="4"/>
      <c r="C219" s="4"/>
      <c r="D219" s="4"/>
      <c r="E219" s="4"/>
      <c r="F219" s="4"/>
      <c r="G219" s="4"/>
    </row>
    <row r="220">
      <c r="A220" s="4"/>
      <c r="B220" s="4"/>
      <c r="C220" s="4"/>
      <c r="D220" s="4"/>
      <c r="E220" s="4"/>
      <c r="F220" s="4"/>
      <c r="G220" s="4"/>
    </row>
    <row r="221">
      <c r="A221" s="4"/>
      <c r="B221" s="4"/>
      <c r="C221" s="4"/>
      <c r="D221" s="4"/>
      <c r="E221" s="4"/>
      <c r="F221" s="4"/>
      <c r="G221" s="4"/>
    </row>
    <row r="222">
      <c r="A222" s="4"/>
      <c r="B222" s="4"/>
      <c r="C222" s="4"/>
      <c r="D222" s="4"/>
      <c r="E222" s="4"/>
      <c r="F222" s="4"/>
      <c r="G222" s="4"/>
    </row>
    <row r="223">
      <c r="A223" s="4"/>
      <c r="B223" s="4"/>
      <c r="C223" s="4"/>
      <c r="D223" s="4"/>
      <c r="E223" s="4"/>
      <c r="F223" s="4"/>
      <c r="G223" s="4"/>
    </row>
    <row r="224">
      <c r="A224" s="4"/>
      <c r="B224" s="4"/>
      <c r="C224" s="4"/>
      <c r="D224" s="4"/>
      <c r="E224" s="4"/>
      <c r="F224" s="4"/>
      <c r="G224" s="4"/>
    </row>
    <row r="225">
      <c r="A225" s="4"/>
      <c r="B225" s="4"/>
      <c r="C225" s="4"/>
      <c r="D225" s="4"/>
      <c r="E225" s="4"/>
      <c r="F225" s="4"/>
      <c r="G225" s="4"/>
    </row>
    <row r="226">
      <c r="A226" s="4"/>
      <c r="B226" s="4"/>
      <c r="C226" s="4"/>
      <c r="D226" s="4"/>
      <c r="E226" s="4"/>
      <c r="F226" s="4"/>
      <c r="G226" s="4"/>
    </row>
    <row r="227">
      <c r="A227" s="4"/>
      <c r="B227" s="4"/>
      <c r="C227" s="4"/>
      <c r="D227" s="4"/>
      <c r="E227" s="4"/>
      <c r="F227" s="4"/>
      <c r="G227" s="4"/>
    </row>
    <row r="228">
      <c r="A228" s="4"/>
      <c r="B228" s="4"/>
      <c r="C228" s="4"/>
      <c r="D228" s="4"/>
      <c r="E228" s="4"/>
      <c r="F228" s="4"/>
      <c r="G228" s="4"/>
    </row>
    <row r="229">
      <c r="A229" s="4"/>
      <c r="B229" s="4"/>
      <c r="C229" s="4"/>
      <c r="D229" s="4"/>
      <c r="E229" s="4"/>
      <c r="F229" s="4"/>
      <c r="G229" s="4"/>
    </row>
    <row r="230">
      <c r="A230" s="4"/>
      <c r="B230" s="4"/>
      <c r="C230" s="4"/>
      <c r="D230" s="4"/>
      <c r="E230" s="4"/>
      <c r="F230" s="4"/>
      <c r="G230" s="4"/>
    </row>
    <row r="231">
      <c r="A231" s="4"/>
      <c r="B231" s="4"/>
      <c r="C231" s="4"/>
      <c r="D231" s="4"/>
      <c r="E231" s="4"/>
      <c r="F231" s="4"/>
      <c r="G231" s="4"/>
    </row>
    <row r="232">
      <c r="A232" s="4"/>
      <c r="B232" s="4"/>
      <c r="C232" s="4"/>
      <c r="D232" s="4"/>
      <c r="E232" s="4"/>
      <c r="F232" s="4"/>
      <c r="G232" s="4"/>
    </row>
    <row r="233">
      <c r="A233" s="4"/>
      <c r="B233" s="4"/>
      <c r="C233" s="4"/>
      <c r="D233" s="4"/>
      <c r="E233" s="4"/>
      <c r="F233" s="4"/>
      <c r="G233" s="4"/>
    </row>
    <row r="234">
      <c r="A234" s="4"/>
      <c r="B234" s="4"/>
      <c r="C234" s="4"/>
      <c r="D234" s="4"/>
      <c r="E234" s="4"/>
      <c r="F234" s="4"/>
      <c r="G234" s="4"/>
    </row>
    <row r="235">
      <c r="A235" s="4"/>
      <c r="B235" s="4"/>
      <c r="C235" s="4"/>
      <c r="D235" s="4"/>
      <c r="E235" s="4"/>
      <c r="F235" s="4"/>
      <c r="G235" s="4"/>
    </row>
    <row r="236">
      <c r="A236" s="4"/>
      <c r="B236" s="4"/>
      <c r="C236" s="4"/>
      <c r="D236" s="4"/>
      <c r="E236" s="4"/>
      <c r="F236" s="4"/>
      <c r="G236" s="4"/>
    </row>
    <row r="237">
      <c r="A237" s="4"/>
      <c r="B237" s="4"/>
      <c r="C237" s="4"/>
      <c r="D237" s="4"/>
      <c r="E237" s="4"/>
      <c r="F237" s="4"/>
      <c r="G237" s="4"/>
    </row>
    <row r="238">
      <c r="A238" s="4"/>
      <c r="B238" s="4"/>
      <c r="C238" s="4"/>
      <c r="D238" s="4"/>
      <c r="E238" s="4"/>
      <c r="F238" s="4"/>
      <c r="G238" s="4"/>
    </row>
    <row r="239">
      <c r="A239" s="4"/>
      <c r="B239" s="4"/>
      <c r="C239" s="4"/>
      <c r="D239" s="4"/>
      <c r="E239" s="4"/>
      <c r="F239" s="4"/>
      <c r="G239" s="4"/>
    </row>
    <row r="240">
      <c r="A240" s="4"/>
      <c r="B240" s="4"/>
      <c r="C240" s="4"/>
      <c r="D240" s="4"/>
      <c r="E240" s="4"/>
      <c r="F240" s="4"/>
      <c r="G240" s="4"/>
    </row>
    <row r="241">
      <c r="A241" s="4"/>
      <c r="B241" s="4"/>
      <c r="C241" s="4"/>
      <c r="D241" s="4"/>
      <c r="E241" s="4"/>
      <c r="F241" s="4"/>
      <c r="G241" s="4"/>
    </row>
    <row r="242">
      <c r="A242" s="4"/>
      <c r="B242" s="4"/>
      <c r="C242" s="4"/>
      <c r="D242" s="4"/>
      <c r="E242" s="4"/>
      <c r="F242" s="4"/>
      <c r="G242" s="4"/>
    </row>
    <row r="243">
      <c r="A243" s="4"/>
      <c r="B243" s="4"/>
      <c r="C243" s="4"/>
      <c r="D243" s="4"/>
      <c r="E243" s="4"/>
      <c r="F243" s="4"/>
      <c r="G243" s="4"/>
    </row>
    <row r="244">
      <c r="A244" s="4"/>
      <c r="B244" s="4"/>
      <c r="C244" s="4"/>
      <c r="D244" s="4"/>
      <c r="E244" s="4"/>
      <c r="F244" s="4"/>
      <c r="G244" s="4"/>
    </row>
    <row r="245">
      <c r="A245" s="4"/>
      <c r="B245" s="4"/>
      <c r="C245" s="4"/>
      <c r="D245" s="4"/>
      <c r="E245" s="4"/>
      <c r="F245" s="4"/>
      <c r="G245" s="4"/>
    </row>
    <row r="246">
      <c r="A246" s="4"/>
      <c r="B246" s="4"/>
      <c r="C246" s="4"/>
      <c r="D246" s="4"/>
      <c r="E246" s="4"/>
      <c r="F246" s="4"/>
      <c r="G246" s="4"/>
    </row>
    <row r="247">
      <c r="A247" s="4"/>
      <c r="B247" s="4"/>
      <c r="C247" s="4"/>
      <c r="D247" s="4"/>
      <c r="E247" s="4"/>
      <c r="F247" s="4"/>
      <c r="G247" s="4"/>
    </row>
    <row r="248">
      <c r="A248" s="4"/>
      <c r="B248" s="4"/>
      <c r="C248" s="4"/>
      <c r="D248" s="4"/>
      <c r="E248" s="4"/>
      <c r="F248" s="4"/>
      <c r="G248" s="4"/>
    </row>
    <row r="249">
      <c r="A249" s="4"/>
      <c r="B249" s="4"/>
      <c r="C249" s="4"/>
      <c r="D249" s="4"/>
      <c r="E249" s="4"/>
      <c r="F249" s="4"/>
      <c r="G249" s="4"/>
    </row>
    <row r="250">
      <c r="A250" s="4"/>
      <c r="B250" s="4"/>
      <c r="C250" s="4"/>
      <c r="D250" s="4"/>
      <c r="E250" s="4"/>
      <c r="F250" s="4"/>
      <c r="G250" s="4"/>
    </row>
    <row r="251">
      <c r="A251" s="4"/>
      <c r="B251" s="4"/>
      <c r="C251" s="4"/>
      <c r="D251" s="4"/>
      <c r="E251" s="4"/>
      <c r="F251" s="4"/>
      <c r="G251" s="4"/>
    </row>
    <row r="252">
      <c r="A252" s="4"/>
      <c r="B252" s="4"/>
      <c r="C252" s="4"/>
      <c r="D252" s="4"/>
      <c r="E252" s="4"/>
      <c r="F252" s="4"/>
      <c r="G252" s="4"/>
    </row>
    <row r="253">
      <c r="A253" s="4"/>
      <c r="B253" s="4"/>
      <c r="C253" s="4"/>
      <c r="D253" s="4"/>
      <c r="E253" s="4"/>
      <c r="F253" s="4"/>
      <c r="G253" s="4"/>
    </row>
    <row r="254">
      <c r="A254" s="4"/>
      <c r="B254" s="4"/>
      <c r="C254" s="4"/>
      <c r="D254" s="4"/>
      <c r="E254" s="4"/>
      <c r="F254" s="4"/>
      <c r="G254" s="4"/>
    </row>
    <row r="255">
      <c r="A255" s="4"/>
      <c r="B255" s="4"/>
      <c r="C255" s="4"/>
      <c r="D255" s="4"/>
      <c r="E255" s="4"/>
      <c r="F255" s="4"/>
      <c r="G255" s="4"/>
    </row>
    <row r="256">
      <c r="A256" s="4"/>
      <c r="B256" s="4"/>
      <c r="C256" s="4"/>
      <c r="D256" s="4"/>
      <c r="E256" s="4"/>
      <c r="F256" s="4"/>
      <c r="G256" s="4"/>
    </row>
    <row r="257">
      <c r="A257" s="4"/>
      <c r="B257" s="4"/>
      <c r="C257" s="4"/>
      <c r="D257" s="4"/>
      <c r="E257" s="4"/>
      <c r="F257" s="4"/>
      <c r="G257" s="4"/>
    </row>
    <row r="258">
      <c r="A258" s="4"/>
      <c r="B258" s="4"/>
      <c r="C258" s="4"/>
      <c r="D258" s="4"/>
      <c r="E258" s="4"/>
      <c r="F258" s="4"/>
      <c r="G258" s="4"/>
    </row>
    <row r="259">
      <c r="A259" s="4"/>
      <c r="B259" s="4"/>
      <c r="C259" s="4"/>
      <c r="D259" s="4"/>
      <c r="E259" s="4"/>
      <c r="F259" s="4"/>
      <c r="G259" s="4"/>
    </row>
    <row r="260">
      <c r="A260" s="4"/>
      <c r="B260" s="4"/>
      <c r="C260" s="4"/>
      <c r="D260" s="4"/>
      <c r="E260" s="4"/>
      <c r="F260" s="4"/>
      <c r="G260" s="4"/>
    </row>
    <row r="261">
      <c r="A261" s="4"/>
      <c r="B261" s="4"/>
      <c r="C261" s="4"/>
      <c r="D261" s="4"/>
      <c r="E261" s="4"/>
      <c r="F261" s="4"/>
      <c r="G261" s="4"/>
    </row>
    <row r="262">
      <c r="A262" s="4"/>
      <c r="B262" s="4"/>
      <c r="C262" s="4"/>
      <c r="D262" s="4"/>
      <c r="E262" s="4"/>
      <c r="F262" s="4"/>
      <c r="G262" s="4"/>
    </row>
    <row r="263">
      <c r="A263" s="4"/>
      <c r="B263" s="4"/>
      <c r="C263" s="4"/>
      <c r="D263" s="4"/>
      <c r="E263" s="4"/>
      <c r="F263" s="4"/>
      <c r="G263" s="4"/>
    </row>
    <row r="264">
      <c r="A264" s="4"/>
      <c r="B264" s="4"/>
      <c r="C264" s="4"/>
      <c r="D264" s="4"/>
      <c r="E264" s="4"/>
      <c r="F264" s="4"/>
      <c r="G264" s="4"/>
    </row>
    <row r="265">
      <c r="A265" s="4"/>
      <c r="B265" s="4"/>
      <c r="C265" s="4"/>
      <c r="D265" s="4"/>
      <c r="E265" s="4"/>
      <c r="F265" s="4"/>
      <c r="G265" s="4"/>
    </row>
    <row r="266">
      <c r="A266" s="4"/>
      <c r="B266" s="4"/>
      <c r="C266" s="4"/>
      <c r="D266" s="4"/>
      <c r="E266" s="4"/>
      <c r="F266" s="4"/>
      <c r="G266" s="4"/>
    </row>
    <row r="267">
      <c r="A267" s="4"/>
      <c r="B267" s="4"/>
      <c r="C267" s="4"/>
      <c r="D267" s="4"/>
      <c r="E267" s="4"/>
      <c r="F267" s="4"/>
      <c r="G267" s="4"/>
    </row>
    <row r="268">
      <c r="A268" s="4"/>
      <c r="B268" s="4"/>
      <c r="C268" s="4"/>
      <c r="D268" s="4"/>
      <c r="E268" s="4"/>
      <c r="F268" s="4"/>
      <c r="G268" s="4"/>
    </row>
    <row r="269">
      <c r="A269" s="4"/>
      <c r="B269" s="4"/>
      <c r="C269" s="4"/>
      <c r="D269" s="4"/>
      <c r="E269" s="4"/>
      <c r="F269" s="4"/>
      <c r="G269" s="4"/>
    </row>
    <row r="270">
      <c r="A270" s="4"/>
      <c r="B270" s="4"/>
      <c r="C270" s="4"/>
      <c r="D270" s="4"/>
      <c r="E270" s="4"/>
      <c r="F270" s="4"/>
      <c r="G270" s="4"/>
    </row>
    <row r="271">
      <c r="A271" s="4"/>
      <c r="B271" s="4"/>
      <c r="C271" s="4"/>
      <c r="D271" s="4"/>
      <c r="E271" s="4"/>
      <c r="F271" s="4"/>
      <c r="G271" s="4"/>
    </row>
    <row r="272">
      <c r="A272" s="4"/>
      <c r="B272" s="4"/>
      <c r="C272" s="4"/>
      <c r="D272" s="4"/>
      <c r="E272" s="4"/>
      <c r="F272" s="4"/>
      <c r="G272" s="4"/>
    </row>
    <row r="273">
      <c r="A273" s="4"/>
      <c r="B273" s="4"/>
      <c r="C273" s="4"/>
      <c r="D273" s="4"/>
      <c r="E273" s="4"/>
      <c r="F273" s="4"/>
      <c r="G273" s="4"/>
    </row>
    <row r="274">
      <c r="A274" s="4"/>
      <c r="B274" s="4"/>
      <c r="C274" s="4"/>
      <c r="D274" s="4"/>
      <c r="E274" s="4"/>
      <c r="F274" s="4"/>
      <c r="G274" s="4"/>
    </row>
    <row r="275">
      <c r="A275" s="4"/>
      <c r="B275" s="4"/>
      <c r="C275" s="4"/>
      <c r="D275" s="4"/>
      <c r="E275" s="4"/>
      <c r="F275" s="4"/>
      <c r="G275" s="4"/>
    </row>
    <row r="276">
      <c r="A276" s="4"/>
      <c r="B276" s="4"/>
      <c r="C276" s="4"/>
      <c r="D276" s="4"/>
      <c r="E276" s="4"/>
      <c r="F276" s="4"/>
      <c r="G276" s="4"/>
    </row>
    <row r="277">
      <c r="A277" s="4"/>
      <c r="B277" s="4"/>
      <c r="C277" s="4"/>
      <c r="D277" s="4"/>
      <c r="E277" s="4"/>
      <c r="F277" s="4"/>
      <c r="G277" s="4"/>
    </row>
    <row r="278">
      <c r="A278" s="4"/>
      <c r="B278" s="4"/>
      <c r="C278" s="4"/>
      <c r="D278" s="4"/>
      <c r="E278" s="4"/>
      <c r="F278" s="4"/>
      <c r="G278" s="4"/>
    </row>
    <row r="279">
      <c r="A279" s="4"/>
      <c r="B279" s="4"/>
      <c r="C279" s="4"/>
      <c r="D279" s="4"/>
      <c r="E279" s="4"/>
      <c r="F279" s="4"/>
      <c r="G279" s="4"/>
    </row>
    <row r="280">
      <c r="A280" s="4"/>
      <c r="B280" s="4"/>
      <c r="C280" s="4"/>
      <c r="D280" s="4"/>
      <c r="E280" s="4"/>
      <c r="F280" s="4"/>
      <c r="G280" s="4"/>
    </row>
    <row r="281">
      <c r="A281" s="4"/>
      <c r="B281" s="4"/>
      <c r="C281" s="4"/>
      <c r="D281" s="4"/>
      <c r="E281" s="4"/>
      <c r="F281" s="4"/>
      <c r="G281" s="4"/>
    </row>
    <row r="282">
      <c r="A282" s="4"/>
      <c r="B282" s="4"/>
      <c r="C282" s="4"/>
      <c r="D282" s="4"/>
      <c r="E282" s="4"/>
      <c r="F282" s="4"/>
      <c r="G282" s="4"/>
    </row>
    <row r="283">
      <c r="A283" s="4"/>
      <c r="B283" s="4"/>
      <c r="C283" s="4"/>
      <c r="D283" s="4"/>
      <c r="E283" s="4"/>
      <c r="F283" s="4"/>
      <c r="G283" s="4"/>
    </row>
    <row r="284">
      <c r="A284" s="4"/>
      <c r="B284" s="4"/>
      <c r="C284" s="4"/>
      <c r="D284" s="4"/>
      <c r="E284" s="4"/>
      <c r="F284" s="4"/>
      <c r="G284" s="4"/>
    </row>
    <row r="285">
      <c r="A285" s="4"/>
      <c r="B285" s="4"/>
      <c r="C285" s="4"/>
      <c r="D285" s="4"/>
      <c r="E285" s="4"/>
      <c r="F285" s="4"/>
      <c r="G285" s="4"/>
    </row>
    <row r="286">
      <c r="A286" s="4"/>
      <c r="B286" s="4"/>
      <c r="C286" s="4"/>
      <c r="D286" s="4"/>
      <c r="E286" s="4"/>
      <c r="F286" s="4"/>
      <c r="G286" s="4"/>
    </row>
    <row r="287">
      <c r="A287" s="4"/>
      <c r="B287" s="4"/>
      <c r="C287" s="4"/>
      <c r="D287" s="4"/>
      <c r="E287" s="4"/>
      <c r="F287" s="4"/>
      <c r="G287" s="4"/>
    </row>
    <row r="288">
      <c r="A288" s="4"/>
      <c r="B288" s="4"/>
      <c r="C288" s="4"/>
      <c r="D288" s="4"/>
      <c r="E288" s="4"/>
      <c r="F288" s="4"/>
      <c r="G288" s="4"/>
    </row>
    <row r="289">
      <c r="A289" s="4"/>
      <c r="B289" s="4"/>
      <c r="C289" s="4"/>
      <c r="D289" s="4"/>
      <c r="E289" s="4"/>
      <c r="F289" s="4"/>
      <c r="G289" s="4"/>
    </row>
    <row r="290">
      <c r="A290" s="4"/>
      <c r="B290" s="4"/>
      <c r="C290" s="4"/>
      <c r="D290" s="4"/>
      <c r="E290" s="4"/>
      <c r="F290" s="4"/>
      <c r="G290" s="4"/>
    </row>
    <row r="291">
      <c r="A291" s="4"/>
      <c r="B291" s="4"/>
      <c r="C291" s="4"/>
      <c r="D291" s="4"/>
      <c r="E291" s="4"/>
      <c r="F291" s="4"/>
      <c r="G291" s="4"/>
    </row>
    <row r="292">
      <c r="A292" s="4"/>
      <c r="B292" s="4"/>
      <c r="C292" s="4"/>
      <c r="D292" s="4"/>
      <c r="E292" s="4"/>
      <c r="F292" s="4"/>
      <c r="G292" s="4"/>
    </row>
    <row r="293">
      <c r="A293" s="4"/>
      <c r="B293" s="4"/>
      <c r="C293" s="4"/>
      <c r="D293" s="4"/>
      <c r="E293" s="4"/>
      <c r="F293" s="4"/>
      <c r="G293" s="4"/>
    </row>
    <row r="294">
      <c r="A294" s="4"/>
      <c r="B294" s="4"/>
      <c r="C294" s="4"/>
      <c r="D294" s="4"/>
      <c r="E294" s="4"/>
      <c r="F294" s="4"/>
      <c r="G294" s="4"/>
    </row>
    <row r="295">
      <c r="A295" s="4"/>
      <c r="B295" s="4"/>
      <c r="C295" s="4"/>
      <c r="D295" s="4"/>
      <c r="E295" s="4"/>
      <c r="F295" s="4"/>
      <c r="G295" s="4"/>
    </row>
    <row r="296">
      <c r="A296" s="4"/>
      <c r="B296" s="4"/>
      <c r="C296" s="4"/>
      <c r="D296" s="4"/>
      <c r="E296" s="4"/>
      <c r="F296" s="4"/>
      <c r="G296" s="4"/>
    </row>
    <row r="297">
      <c r="A297" s="4"/>
      <c r="B297" s="4"/>
      <c r="C297" s="4"/>
      <c r="D297" s="4"/>
      <c r="E297" s="4"/>
      <c r="F297" s="4"/>
      <c r="G297" s="4"/>
    </row>
    <row r="298">
      <c r="A298" s="4"/>
      <c r="B298" s="4"/>
      <c r="C298" s="4"/>
      <c r="D298" s="4"/>
      <c r="E298" s="4"/>
      <c r="F298" s="4"/>
      <c r="G298" s="4"/>
    </row>
    <row r="299">
      <c r="A299" s="4"/>
      <c r="B299" s="4"/>
      <c r="C299" s="4"/>
      <c r="D299" s="4"/>
      <c r="E299" s="4"/>
      <c r="F299" s="4"/>
      <c r="G299" s="4"/>
    </row>
    <row r="300">
      <c r="A300" s="4"/>
      <c r="B300" s="4"/>
      <c r="C300" s="4"/>
      <c r="D300" s="4"/>
      <c r="E300" s="4"/>
      <c r="F300" s="4"/>
      <c r="G300" s="4"/>
    </row>
    <row r="301">
      <c r="A301" s="4"/>
      <c r="B301" s="4"/>
      <c r="C301" s="4"/>
      <c r="D301" s="4"/>
      <c r="E301" s="4"/>
      <c r="F301" s="4"/>
      <c r="G301" s="4"/>
    </row>
    <row r="302">
      <c r="A302" s="4"/>
      <c r="B302" s="4"/>
      <c r="C302" s="4"/>
      <c r="D302" s="4"/>
      <c r="E302" s="4"/>
      <c r="F302" s="4"/>
      <c r="G302" s="4"/>
    </row>
    <row r="303">
      <c r="A303" s="4"/>
      <c r="B303" s="4"/>
      <c r="C303" s="4"/>
      <c r="D303" s="4"/>
      <c r="E303" s="4"/>
      <c r="F303" s="4"/>
      <c r="G303" s="4"/>
    </row>
    <row r="304">
      <c r="A304" s="4"/>
      <c r="B304" s="4"/>
      <c r="C304" s="4"/>
      <c r="D304" s="4"/>
      <c r="E304" s="4"/>
      <c r="F304" s="4"/>
      <c r="G304" s="4"/>
    </row>
    <row r="305">
      <c r="A305" s="4"/>
      <c r="B305" s="4"/>
      <c r="C305" s="4"/>
      <c r="D305" s="4"/>
      <c r="E305" s="4"/>
      <c r="F305" s="4"/>
      <c r="G305" s="4"/>
    </row>
    <row r="306">
      <c r="A306" s="4"/>
      <c r="B306" s="4"/>
      <c r="C306" s="4"/>
      <c r="D306" s="4"/>
      <c r="E306" s="4"/>
      <c r="F306" s="4"/>
      <c r="G306" s="4"/>
    </row>
    <row r="307">
      <c r="A307" s="4"/>
      <c r="B307" s="4"/>
      <c r="C307" s="4"/>
      <c r="D307" s="4"/>
      <c r="E307" s="4"/>
      <c r="F307" s="4"/>
      <c r="G307" s="4"/>
    </row>
    <row r="308">
      <c r="A308" s="4"/>
      <c r="B308" s="4"/>
      <c r="C308" s="4"/>
      <c r="D308" s="4"/>
      <c r="E308" s="4"/>
      <c r="F308" s="4"/>
      <c r="G308" s="4"/>
    </row>
    <row r="309">
      <c r="A309" s="4"/>
      <c r="B309" s="4"/>
      <c r="C309" s="4"/>
      <c r="D309" s="4"/>
      <c r="E309" s="4"/>
      <c r="F309" s="4"/>
      <c r="G309" s="4"/>
    </row>
    <row r="310">
      <c r="A310" s="4"/>
      <c r="B310" s="4"/>
      <c r="C310" s="4"/>
      <c r="D310" s="4"/>
      <c r="E310" s="4"/>
      <c r="F310" s="4"/>
      <c r="G310" s="4"/>
    </row>
    <row r="311">
      <c r="A311" s="4"/>
      <c r="B311" s="4"/>
      <c r="C311" s="4"/>
      <c r="D311" s="4"/>
      <c r="E311" s="4"/>
      <c r="F311" s="4"/>
      <c r="G311" s="4"/>
    </row>
    <row r="312">
      <c r="A312" s="4"/>
      <c r="B312" s="4"/>
      <c r="C312" s="4"/>
      <c r="D312" s="4"/>
      <c r="E312" s="4"/>
      <c r="F312" s="4"/>
      <c r="G312" s="4"/>
    </row>
    <row r="313">
      <c r="A313" s="4"/>
      <c r="B313" s="4"/>
      <c r="C313" s="4"/>
      <c r="D313" s="4"/>
      <c r="E313" s="4"/>
      <c r="F313" s="4"/>
      <c r="G313" s="4"/>
    </row>
    <row r="314">
      <c r="A314" s="4"/>
      <c r="B314" s="4"/>
      <c r="C314" s="4"/>
      <c r="D314" s="4"/>
      <c r="E314" s="4"/>
      <c r="F314" s="4"/>
      <c r="G314" s="4"/>
    </row>
    <row r="315">
      <c r="A315" s="4"/>
      <c r="B315" s="4"/>
      <c r="C315" s="4"/>
      <c r="D315" s="4"/>
      <c r="E315" s="4"/>
      <c r="F315" s="4"/>
      <c r="G315" s="4"/>
    </row>
    <row r="316">
      <c r="A316" s="4"/>
      <c r="B316" s="4"/>
      <c r="C316" s="4"/>
      <c r="D316" s="4"/>
      <c r="E316" s="4"/>
      <c r="F316" s="4"/>
      <c r="G316" s="4"/>
    </row>
    <row r="317">
      <c r="A317" s="4"/>
      <c r="B317" s="4"/>
      <c r="C317" s="4"/>
      <c r="D317" s="4"/>
      <c r="E317" s="4"/>
      <c r="F317" s="4"/>
      <c r="G317" s="4"/>
    </row>
    <row r="318">
      <c r="A318" s="4"/>
      <c r="B318" s="4"/>
      <c r="C318" s="4"/>
      <c r="D318" s="4"/>
      <c r="E318" s="4"/>
      <c r="F318" s="4"/>
      <c r="G318" s="4"/>
    </row>
    <row r="319">
      <c r="A319" s="4"/>
      <c r="B319" s="4"/>
      <c r="C319" s="4"/>
      <c r="D319" s="4"/>
      <c r="E319" s="4"/>
      <c r="F319" s="4"/>
      <c r="G319" s="4"/>
    </row>
    <row r="320">
      <c r="A320" s="4"/>
      <c r="B320" s="4"/>
      <c r="C320" s="4"/>
      <c r="D320" s="4"/>
      <c r="E320" s="4"/>
      <c r="F320" s="4"/>
      <c r="G320" s="4"/>
    </row>
    <row r="321">
      <c r="A321" s="4"/>
      <c r="B321" s="4"/>
      <c r="C321" s="4"/>
      <c r="D321" s="4"/>
      <c r="E321" s="4"/>
      <c r="F321" s="4"/>
      <c r="G321" s="4"/>
    </row>
    <row r="322">
      <c r="A322" s="4"/>
      <c r="B322" s="4"/>
      <c r="C322" s="4"/>
      <c r="D322" s="4"/>
      <c r="E322" s="4"/>
      <c r="F322" s="4"/>
      <c r="G322" s="4"/>
    </row>
    <row r="323">
      <c r="A323" s="4"/>
      <c r="B323" s="4"/>
      <c r="C323" s="4"/>
      <c r="D323" s="4"/>
      <c r="E323" s="4"/>
      <c r="F323" s="4"/>
      <c r="G323" s="4"/>
    </row>
    <row r="324">
      <c r="A324" s="4"/>
      <c r="B324" s="4"/>
      <c r="C324" s="4"/>
      <c r="D324" s="4"/>
      <c r="E324" s="4"/>
      <c r="F324" s="4"/>
      <c r="G324" s="4"/>
    </row>
    <row r="325">
      <c r="A325" s="4"/>
      <c r="B325" s="4"/>
      <c r="C325" s="4"/>
      <c r="D325" s="4"/>
      <c r="E325" s="4"/>
      <c r="F325" s="4"/>
      <c r="G325" s="4"/>
    </row>
    <row r="326">
      <c r="A326" s="4"/>
      <c r="B326" s="4"/>
      <c r="C326" s="4"/>
      <c r="D326" s="4"/>
      <c r="E326" s="4"/>
      <c r="F326" s="4"/>
      <c r="G326" s="4"/>
    </row>
    <row r="327">
      <c r="A327" s="4"/>
      <c r="B327" s="4"/>
      <c r="C327" s="4"/>
      <c r="D327" s="4"/>
      <c r="E327" s="4"/>
      <c r="F327" s="4"/>
      <c r="G327" s="4"/>
    </row>
    <row r="328">
      <c r="A328" s="4"/>
      <c r="B328" s="4"/>
      <c r="C328" s="4"/>
      <c r="D328" s="4"/>
      <c r="E328" s="4"/>
      <c r="F328" s="4"/>
      <c r="G328" s="4"/>
    </row>
    <row r="329">
      <c r="A329" s="4"/>
      <c r="B329" s="4"/>
      <c r="C329" s="4"/>
      <c r="D329" s="4"/>
      <c r="E329" s="4"/>
      <c r="F329" s="4"/>
      <c r="G329" s="4"/>
    </row>
    <row r="330">
      <c r="A330" s="4"/>
      <c r="B330" s="4"/>
      <c r="C330" s="4"/>
      <c r="D330" s="4"/>
      <c r="E330" s="4"/>
      <c r="F330" s="4"/>
      <c r="G330" s="4"/>
    </row>
    <row r="331">
      <c r="A331" s="4"/>
      <c r="B331" s="4"/>
      <c r="C331" s="4"/>
      <c r="D331" s="4"/>
      <c r="E331" s="4"/>
      <c r="F331" s="4"/>
      <c r="G331" s="4"/>
    </row>
    <row r="332">
      <c r="A332" s="4"/>
      <c r="B332" s="4"/>
      <c r="C332" s="4"/>
      <c r="D332" s="4"/>
      <c r="E332" s="4"/>
      <c r="F332" s="4"/>
      <c r="G332" s="4"/>
    </row>
    <row r="333">
      <c r="A333" s="4"/>
      <c r="B333" s="4"/>
      <c r="C333" s="4"/>
      <c r="D333" s="4"/>
      <c r="E333" s="4"/>
      <c r="F333" s="4"/>
      <c r="G333" s="4"/>
    </row>
    <row r="334">
      <c r="A334" s="4"/>
      <c r="B334" s="4"/>
      <c r="C334" s="4"/>
      <c r="D334" s="4"/>
      <c r="E334" s="4"/>
      <c r="F334" s="4"/>
      <c r="G334" s="4"/>
    </row>
    <row r="335">
      <c r="A335" s="4"/>
      <c r="B335" s="4"/>
      <c r="C335" s="4"/>
      <c r="D335" s="4"/>
      <c r="E335" s="4"/>
      <c r="F335" s="4"/>
      <c r="G335" s="4"/>
    </row>
    <row r="336">
      <c r="A336" s="4"/>
      <c r="B336" s="4"/>
      <c r="C336" s="4"/>
      <c r="D336" s="4"/>
      <c r="E336" s="4"/>
      <c r="F336" s="4"/>
      <c r="G336" s="4"/>
    </row>
    <row r="337">
      <c r="A337" s="4"/>
      <c r="B337" s="4"/>
      <c r="C337" s="4"/>
      <c r="D337" s="4"/>
      <c r="E337" s="4"/>
      <c r="F337" s="4"/>
      <c r="G337" s="4"/>
    </row>
    <row r="338">
      <c r="A338" s="4"/>
      <c r="B338" s="4"/>
      <c r="C338" s="4"/>
      <c r="D338" s="4"/>
      <c r="E338" s="4"/>
      <c r="F338" s="4"/>
      <c r="G338" s="4"/>
    </row>
    <row r="339">
      <c r="A339" s="4"/>
      <c r="B339" s="4"/>
      <c r="C339" s="4"/>
      <c r="D339" s="4"/>
      <c r="E339" s="4"/>
      <c r="F339" s="4"/>
      <c r="G339" s="4"/>
    </row>
    <row r="340">
      <c r="A340" s="4"/>
      <c r="B340" s="4"/>
      <c r="C340" s="4"/>
      <c r="D340" s="4"/>
      <c r="E340" s="4"/>
      <c r="F340" s="4"/>
      <c r="G340" s="4"/>
    </row>
    <row r="341">
      <c r="A341" s="4"/>
      <c r="B341" s="4"/>
      <c r="C341" s="4"/>
      <c r="D341" s="4"/>
      <c r="E341" s="4"/>
      <c r="F341" s="4"/>
      <c r="G341" s="4"/>
    </row>
    <row r="342">
      <c r="A342" s="4"/>
      <c r="B342" s="4"/>
      <c r="C342" s="4"/>
      <c r="D342" s="4"/>
      <c r="E342" s="4"/>
      <c r="F342" s="4"/>
      <c r="G342" s="4"/>
    </row>
    <row r="343">
      <c r="A343" s="4"/>
      <c r="B343" s="4"/>
      <c r="C343" s="4"/>
      <c r="D343" s="4"/>
      <c r="E343" s="4"/>
      <c r="F343" s="4"/>
      <c r="G343" s="4"/>
    </row>
    <row r="344">
      <c r="A344" s="4"/>
      <c r="B344" s="4"/>
      <c r="C344" s="4"/>
      <c r="D344" s="4"/>
      <c r="E344" s="4"/>
      <c r="F344" s="4"/>
      <c r="G344" s="4"/>
    </row>
    <row r="345">
      <c r="A345" s="4"/>
      <c r="B345" s="4"/>
      <c r="C345" s="4"/>
      <c r="D345" s="4"/>
      <c r="E345" s="4"/>
      <c r="F345" s="4"/>
      <c r="G345" s="4"/>
    </row>
    <row r="346">
      <c r="A346" s="4"/>
      <c r="B346" s="4"/>
      <c r="C346" s="4"/>
      <c r="D346" s="4"/>
      <c r="E346" s="4"/>
      <c r="F346" s="4"/>
      <c r="G346" s="4"/>
    </row>
    <row r="347">
      <c r="A347" s="4"/>
      <c r="B347" s="4"/>
      <c r="C347" s="4"/>
      <c r="D347" s="4"/>
      <c r="E347" s="4"/>
      <c r="F347" s="4"/>
      <c r="G347" s="4"/>
    </row>
    <row r="348">
      <c r="A348" s="4"/>
      <c r="B348" s="4"/>
      <c r="C348" s="4"/>
      <c r="D348" s="4"/>
      <c r="E348" s="4"/>
      <c r="F348" s="4"/>
      <c r="G348" s="4"/>
    </row>
    <row r="349">
      <c r="A349" s="4"/>
      <c r="B349" s="4"/>
      <c r="C349" s="4"/>
      <c r="D349" s="4"/>
      <c r="E349" s="4"/>
      <c r="F349" s="4"/>
      <c r="G349" s="4"/>
    </row>
    <row r="350">
      <c r="A350" s="4"/>
      <c r="B350" s="4"/>
      <c r="C350" s="4"/>
      <c r="D350" s="4"/>
      <c r="E350" s="4"/>
      <c r="F350" s="4"/>
      <c r="G350" s="4"/>
    </row>
    <row r="351">
      <c r="A351" s="4"/>
      <c r="B351" s="4"/>
      <c r="C351" s="4"/>
      <c r="D351" s="4"/>
      <c r="E351" s="4"/>
      <c r="F351" s="4"/>
      <c r="G351" s="4"/>
    </row>
    <row r="352">
      <c r="A352" s="4"/>
      <c r="B352" s="4"/>
      <c r="C352" s="4"/>
      <c r="D352" s="4"/>
      <c r="E352" s="4"/>
      <c r="F352" s="4"/>
      <c r="G352" s="4"/>
    </row>
    <row r="353">
      <c r="A353" s="4"/>
      <c r="B353" s="4"/>
      <c r="C353" s="4"/>
      <c r="D353" s="4"/>
      <c r="E353" s="4"/>
      <c r="F353" s="4"/>
      <c r="G353" s="4"/>
    </row>
    <row r="354">
      <c r="A354" s="4"/>
      <c r="B354" s="4"/>
      <c r="C354" s="4"/>
      <c r="D354" s="4"/>
      <c r="E354" s="4"/>
      <c r="F354" s="4"/>
      <c r="G354" s="4"/>
    </row>
    <row r="355">
      <c r="A355" s="4"/>
      <c r="B355" s="4"/>
      <c r="C355" s="4"/>
      <c r="D355" s="4"/>
      <c r="E355" s="4"/>
      <c r="F355" s="4"/>
      <c r="G355" s="4"/>
    </row>
    <row r="356">
      <c r="A356" s="4"/>
      <c r="B356" s="4"/>
      <c r="C356" s="4"/>
      <c r="D356" s="4"/>
      <c r="E356" s="4"/>
      <c r="F356" s="4"/>
      <c r="G356" s="4"/>
    </row>
    <row r="357">
      <c r="A357" s="4"/>
      <c r="B357" s="4"/>
      <c r="C357" s="4"/>
      <c r="D357" s="4"/>
      <c r="E357" s="4"/>
      <c r="F357" s="4"/>
      <c r="G357" s="4"/>
    </row>
    <row r="358">
      <c r="A358" s="4"/>
      <c r="B358" s="4"/>
      <c r="C358" s="4"/>
      <c r="D358" s="4"/>
      <c r="E358" s="4"/>
      <c r="F358" s="4"/>
      <c r="G358" s="4"/>
    </row>
    <row r="359">
      <c r="A359" s="4"/>
      <c r="B359" s="4"/>
      <c r="C359" s="4"/>
      <c r="D359" s="4"/>
      <c r="E359" s="4"/>
      <c r="F359" s="4"/>
      <c r="G359" s="4"/>
    </row>
    <row r="360">
      <c r="A360" s="4"/>
      <c r="B360" s="4"/>
      <c r="C360" s="4"/>
      <c r="D360" s="4"/>
      <c r="E360" s="4"/>
      <c r="F360" s="4"/>
      <c r="G360" s="4"/>
    </row>
    <row r="361">
      <c r="A361" s="4"/>
      <c r="B361" s="4"/>
      <c r="C361" s="4"/>
      <c r="D361" s="4"/>
      <c r="E361" s="4"/>
      <c r="F361" s="4"/>
      <c r="G361" s="4"/>
    </row>
    <row r="362">
      <c r="A362" s="4"/>
      <c r="B362" s="4"/>
      <c r="C362" s="4"/>
      <c r="D362" s="4"/>
      <c r="E362" s="4"/>
      <c r="F362" s="4"/>
      <c r="G362" s="4"/>
    </row>
    <row r="363">
      <c r="A363" s="4"/>
      <c r="B363" s="4"/>
      <c r="C363" s="4"/>
      <c r="D363" s="4"/>
      <c r="E363" s="4"/>
      <c r="F363" s="4"/>
      <c r="G363" s="4"/>
    </row>
    <row r="364">
      <c r="A364" s="4"/>
      <c r="B364" s="4"/>
      <c r="C364" s="4"/>
      <c r="D364" s="4"/>
      <c r="E364" s="4"/>
      <c r="F364" s="4"/>
      <c r="G364" s="4"/>
    </row>
    <row r="365">
      <c r="A365" s="4"/>
      <c r="B365" s="4"/>
      <c r="C365" s="4"/>
      <c r="D365" s="4"/>
      <c r="E365" s="4"/>
      <c r="F365" s="4"/>
      <c r="G365" s="4"/>
    </row>
    <row r="366">
      <c r="A366" s="4"/>
      <c r="B366" s="4"/>
      <c r="C366" s="4"/>
      <c r="D366" s="4"/>
      <c r="E366" s="4"/>
      <c r="F366" s="4"/>
      <c r="G366" s="4"/>
    </row>
    <row r="367">
      <c r="A367" s="4"/>
      <c r="B367" s="4"/>
      <c r="C367" s="4"/>
      <c r="D367" s="4"/>
      <c r="E367" s="4"/>
      <c r="F367" s="4"/>
      <c r="G367" s="4"/>
    </row>
    <row r="368">
      <c r="A368" s="4"/>
      <c r="B368" s="4"/>
      <c r="C368" s="4"/>
      <c r="D368" s="4"/>
      <c r="E368" s="4"/>
      <c r="F368" s="4"/>
      <c r="G368" s="4"/>
    </row>
    <row r="369">
      <c r="A369" s="4"/>
      <c r="B369" s="4"/>
      <c r="C369" s="4"/>
      <c r="D369" s="4"/>
      <c r="E369" s="4"/>
      <c r="F369" s="4"/>
      <c r="G369" s="4"/>
    </row>
    <row r="370">
      <c r="A370" s="4"/>
      <c r="B370" s="4"/>
      <c r="C370" s="4"/>
      <c r="D370" s="4"/>
      <c r="E370" s="4"/>
      <c r="F370" s="4"/>
      <c r="G370" s="4"/>
    </row>
    <row r="371">
      <c r="A371" s="4"/>
      <c r="B371" s="4"/>
      <c r="C371" s="4"/>
      <c r="D371" s="4"/>
      <c r="E371" s="4"/>
      <c r="F371" s="4"/>
      <c r="G371" s="4"/>
    </row>
    <row r="372">
      <c r="A372" s="4"/>
      <c r="B372" s="4"/>
      <c r="C372" s="4"/>
      <c r="D372" s="4"/>
      <c r="E372" s="4"/>
      <c r="F372" s="4"/>
      <c r="G372" s="4"/>
    </row>
    <row r="373">
      <c r="A373" s="4"/>
      <c r="B373" s="4"/>
      <c r="C373" s="4"/>
      <c r="D373" s="4"/>
      <c r="E373" s="4"/>
      <c r="F373" s="4"/>
      <c r="G373" s="4"/>
    </row>
    <row r="374">
      <c r="A374" s="4"/>
      <c r="B374" s="4"/>
      <c r="C374" s="4"/>
      <c r="D374" s="4"/>
      <c r="E374" s="4"/>
      <c r="F374" s="4"/>
      <c r="G374" s="4"/>
    </row>
    <row r="375">
      <c r="A375" s="4"/>
      <c r="B375" s="4"/>
      <c r="C375" s="4"/>
      <c r="D375" s="4"/>
      <c r="E375" s="4"/>
      <c r="F375" s="4"/>
      <c r="G375" s="4"/>
    </row>
    <row r="376">
      <c r="A376" s="4"/>
      <c r="B376" s="4"/>
      <c r="C376" s="4"/>
      <c r="D376" s="4"/>
      <c r="E376" s="4"/>
      <c r="F376" s="4"/>
      <c r="G376" s="4"/>
    </row>
    <row r="377">
      <c r="A377" s="4"/>
      <c r="B377" s="4"/>
      <c r="C377" s="4"/>
      <c r="D377" s="4"/>
      <c r="E377" s="4"/>
      <c r="F377" s="4"/>
      <c r="G377" s="4"/>
    </row>
    <row r="378">
      <c r="A378" s="4"/>
      <c r="B378" s="4"/>
      <c r="C378" s="4"/>
      <c r="D378" s="4"/>
      <c r="E378" s="4"/>
      <c r="F378" s="4"/>
      <c r="G378" s="4"/>
    </row>
    <row r="379">
      <c r="A379" s="4"/>
      <c r="B379" s="4"/>
      <c r="C379" s="4"/>
      <c r="D379" s="4"/>
      <c r="E379" s="4"/>
      <c r="F379" s="4"/>
      <c r="G379" s="4"/>
    </row>
    <row r="380">
      <c r="A380" s="4"/>
      <c r="B380" s="4"/>
      <c r="C380" s="4"/>
      <c r="D380" s="4"/>
      <c r="E380" s="4"/>
      <c r="F380" s="4"/>
      <c r="G380" s="4"/>
    </row>
    <row r="381">
      <c r="A381" s="4"/>
      <c r="B381" s="4"/>
      <c r="C381" s="4"/>
      <c r="D381" s="4"/>
      <c r="E381" s="4"/>
      <c r="F381" s="4"/>
      <c r="G381" s="4"/>
    </row>
    <row r="382">
      <c r="A382" s="4"/>
      <c r="B382" s="4"/>
      <c r="C382" s="4"/>
      <c r="D382" s="4"/>
      <c r="E382" s="4"/>
      <c r="F382" s="4"/>
      <c r="G382" s="4"/>
    </row>
    <row r="383">
      <c r="A383" s="4"/>
      <c r="B383" s="4"/>
      <c r="C383" s="4"/>
      <c r="D383" s="4"/>
      <c r="E383" s="4"/>
      <c r="F383" s="4"/>
      <c r="G383" s="4"/>
    </row>
    <row r="384">
      <c r="A384" s="4"/>
      <c r="B384" s="4"/>
      <c r="C384" s="4"/>
      <c r="D384" s="4"/>
      <c r="E384" s="4"/>
      <c r="F384" s="4"/>
      <c r="G384" s="4"/>
    </row>
    <row r="385">
      <c r="A385" s="4"/>
      <c r="B385" s="4"/>
      <c r="C385" s="4"/>
      <c r="D385" s="4"/>
      <c r="E385" s="4"/>
      <c r="F385" s="4"/>
      <c r="G385" s="4"/>
    </row>
    <row r="386">
      <c r="A386" s="4"/>
      <c r="B386" s="4"/>
      <c r="C386" s="4"/>
      <c r="D386" s="4"/>
      <c r="E386" s="4"/>
      <c r="F386" s="4"/>
      <c r="G386" s="4"/>
    </row>
    <row r="387">
      <c r="A387" s="4"/>
      <c r="B387" s="4"/>
      <c r="C387" s="4"/>
      <c r="D387" s="4"/>
      <c r="E387" s="4"/>
      <c r="F387" s="4"/>
      <c r="G387" s="4"/>
    </row>
    <row r="388">
      <c r="A388" s="4"/>
      <c r="B388" s="4"/>
      <c r="C388" s="4"/>
      <c r="D388" s="4"/>
      <c r="E388" s="4"/>
      <c r="F388" s="4"/>
      <c r="G388" s="4"/>
    </row>
    <row r="389">
      <c r="A389" s="4"/>
      <c r="B389" s="4"/>
      <c r="C389" s="4"/>
      <c r="D389" s="4"/>
      <c r="E389" s="4"/>
      <c r="F389" s="4"/>
      <c r="G389" s="4"/>
    </row>
    <row r="390">
      <c r="A390" s="4"/>
      <c r="B390" s="4"/>
      <c r="C390" s="4"/>
      <c r="D390" s="4"/>
      <c r="E390" s="4"/>
      <c r="F390" s="4"/>
      <c r="G390" s="4"/>
    </row>
    <row r="391">
      <c r="A391" s="4"/>
      <c r="B391" s="4"/>
      <c r="C391" s="4"/>
      <c r="D391" s="4"/>
      <c r="E391" s="4"/>
      <c r="F391" s="4"/>
      <c r="G391" s="4"/>
    </row>
    <row r="392">
      <c r="A392" s="4"/>
      <c r="B392" s="4"/>
      <c r="C392" s="4"/>
      <c r="D392" s="4"/>
      <c r="E392" s="4"/>
      <c r="F392" s="4"/>
      <c r="G392" s="4"/>
    </row>
    <row r="393">
      <c r="A393" s="4"/>
      <c r="B393" s="4"/>
      <c r="C393" s="4"/>
      <c r="D393" s="4"/>
      <c r="E393" s="4"/>
      <c r="F393" s="4"/>
      <c r="G393" s="4"/>
    </row>
    <row r="394">
      <c r="A394" s="4"/>
      <c r="B394" s="4"/>
      <c r="C394" s="4"/>
      <c r="D394" s="4"/>
      <c r="E394" s="4"/>
      <c r="F394" s="4"/>
      <c r="G394" s="4"/>
    </row>
    <row r="395">
      <c r="A395" s="4"/>
      <c r="B395" s="4"/>
      <c r="C395" s="4"/>
      <c r="D395" s="4"/>
      <c r="E395" s="4"/>
      <c r="F395" s="4"/>
      <c r="G395" s="4"/>
    </row>
    <row r="396">
      <c r="A396" s="4"/>
      <c r="B396" s="4"/>
      <c r="C396" s="4"/>
      <c r="D396" s="4"/>
      <c r="E396" s="4"/>
      <c r="F396" s="4"/>
      <c r="G396" s="4"/>
    </row>
    <row r="397">
      <c r="A397" s="4"/>
      <c r="B397" s="4"/>
      <c r="C397" s="4"/>
      <c r="D397" s="4"/>
      <c r="E397" s="4"/>
      <c r="F397" s="4"/>
      <c r="G397" s="4"/>
    </row>
    <row r="398">
      <c r="A398" s="4"/>
      <c r="B398" s="4"/>
      <c r="C398" s="4"/>
      <c r="D398" s="4"/>
      <c r="E398" s="4"/>
      <c r="F398" s="4"/>
      <c r="G398" s="4"/>
    </row>
    <row r="399">
      <c r="A399" s="4"/>
      <c r="B399" s="4"/>
      <c r="C399" s="4"/>
      <c r="D399" s="4"/>
      <c r="E399" s="4"/>
      <c r="F399" s="4"/>
      <c r="G399" s="4"/>
    </row>
    <row r="400">
      <c r="A400" s="4"/>
      <c r="B400" s="4"/>
      <c r="C400" s="4"/>
      <c r="D400" s="4"/>
      <c r="E400" s="4"/>
      <c r="F400" s="4"/>
      <c r="G400" s="4"/>
    </row>
    <row r="401">
      <c r="A401" s="4"/>
      <c r="B401" s="4"/>
      <c r="C401" s="4"/>
      <c r="D401" s="4"/>
      <c r="E401" s="4"/>
      <c r="F401" s="4"/>
      <c r="G401" s="4"/>
    </row>
    <row r="402">
      <c r="A402" s="4"/>
      <c r="B402" s="4"/>
      <c r="C402" s="4"/>
      <c r="D402" s="4"/>
      <c r="E402" s="4"/>
      <c r="F402" s="4"/>
      <c r="G402" s="4"/>
    </row>
    <row r="403">
      <c r="A403" s="4"/>
      <c r="B403" s="4"/>
      <c r="C403" s="4"/>
      <c r="D403" s="4"/>
      <c r="E403" s="4"/>
      <c r="F403" s="4"/>
      <c r="G403" s="4"/>
    </row>
    <row r="404">
      <c r="A404" s="4"/>
      <c r="B404" s="4"/>
      <c r="C404" s="4"/>
      <c r="D404" s="4"/>
      <c r="E404" s="4"/>
      <c r="F404" s="4"/>
      <c r="G404" s="4"/>
    </row>
    <row r="405">
      <c r="A405" s="4"/>
      <c r="B405" s="4"/>
      <c r="C405" s="4"/>
      <c r="D405" s="4"/>
      <c r="E405" s="4"/>
      <c r="F405" s="4"/>
      <c r="G405" s="4"/>
    </row>
    <row r="406">
      <c r="A406" s="4"/>
      <c r="B406" s="4"/>
      <c r="C406" s="4"/>
      <c r="D406" s="4"/>
      <c r="E406" s="4"/>
      <c r="F406" s="4"/>
      <c r="G406" s="4"/>
    </row>
    <row r="407">
      <c r="A407" s="4"/>
      <c r="B407" s="4"/>
      <c r="C407" s="4"/>
      <c r="D407" s="4"/>
      <c r="E407" s="4"/>
      <c r="F407" s="4"/>
      <c r="G407" s="4"/>
    </row>
    <row r="408">
      <c r="A408" s="4"/>
      <c r="B408" s="4"/>
      <c r="C408" s="4"/>
      <c r="D408" s="4"/>
      <c r="E408" s="4"/>
      <c r="F408" s="4"/>
      <c r="G408" s="4"/>
    </row>
    <row r="409">
      <c r="A409" s="4"/>
      <c r="B409" s="4"/>
      <c r="C409" s="4"/>
      <c r="D409" s="4"/>
      <c r="E409" s="4"/>
      <c r="F409" s="4"/>
      <c r="G409" s="4"/>
    </row>
    <row r="410">
      <c r="A410" s="4"/>
      <c r="B410" s="4"/>
      <c r="C410" s="4"/>
      <c r="D410" s="4"/>
      <c r="E410" s="4"/>
      <c r="F410" s="4"/>
      <c r="G410" s="4"/>
    </row>
    <row r="411">
      <c r="A411" s="4"/>
      <c r="B411" s="4"/>
      <c r="C411" s="4"/>
      <c r="D411" s="4"/>
      <c r="E411" s="4"/>
      <c r="F411" s="4"/>
      <c r="G411" s="4"/>
    </row>
    <row r="412">
      <c r="A412" s="4"/>
      <c r="B412" s="4"/>
      <c r="C412" s="4"/>
      <c r="D412" s="4"/>
      <c r="E412" s="4"/>
      <c r="F412" s="4"/>
      <c r="G412" s="4"/>
    </row>
    <row r="413">
      <c r="A413" s="4"/>
      <c r="B413" s="4"/>
      <c r="C413" s="4"/>
      <c r="D413" s="4"/>
      <c r="E413" s="4"/>
      <c r="F413" s="4"/>
      <c r="G413" s="4"/>
    </row>
    <row r="414">
      <c r="A414" s="4"/>
      <c r="B414" s="4"/>
      <c r="C414" s="4"/>
      <c r="D414" s="4"/>
      <c r="E414" s="4"/>
      <c r="F414" s="4"/>
      <c r="G414" s="4"/>
    </row>
    <row r="415">
      <c r="A415" s="4"/>
      <c r="B415" s="4"/>
      <c r="C415" s="4"/>
      <c r="D415" s="4"/>
      <c r="E415" s="4"/>
      <c r="F415" s="4"/>
      <c r="G415" s="4"/>
    </row>
    <row r="416">
      <c r="A416" s="4"/>
      <c r="B416" s="4"/>
      <c r="C416" s="4"/>
      <c r="D416" s="4"/>
      <c r="E416" s="4"/>
      <c r="F416" s="4"/>
      <c r="G416" s="4"/>
    </row>
    <row r="417">
      <c r="A417" s="4"/>
      <c r="B417" s="4"/>
      <c r="C417" s="4"/>
      <c r="D417" s="4"/>
      <c r="E417" s="4"/>
      <c r="F417" s="4"/>
      <c r="G417" s="4"/>
    </row>
    <row r="418">
      <c r="A418" s="4"/>
      <c r="B418" s="4"/>
      <c r="C418" s="4"/>
      <c r="D418" s="4"/>
      <c r="E418" s="4"/>
      <c r="F418" s="4"/>
      <c r="G418" s="4"/>
    </row>
    <row r="419">
      <c r="A419" s="4"/>
      <c r="B419" s="4"/>
      <c r="C419" s="4"/>
      <c r="D419" s="4"/>
      <c r="E419" s="4"/>
      <c r="F419" s="4"/>
      <c r="G419" s="4"/>
    </row>
    <row r="420">
      <c r="A420" s="4"/>
      <c r="B420" s="4"/>
      <c r="C420" s="4"/>
      <c r="D420" s="4"/>
      <c r="E420" s="4"/>
      <c r="F420" s="4"/>
      <c r="G420" s="4"/>
    </row>
    <row r="421">
      <c r="A421" s="4"/>
      <c r="B421" s="4"/>
      <c r="C421" s="4"/>
      <c r="D421" s="4"/>
      <c r="E421" s="4"/>
      <c r="F421" s="4"/>
      <c r="G421" s="4"/>
    </row>
    <row r="422">
      <c r="A422" s="4"/>
      <c r="B422" s="4"/>
      <c r="C422" s="4"/>
      <c r="D422" s="4"/>
      <c r="E422" s="4"/>
      <c r="F422" s="4"/>
      <c r="G422" s="4"/>
    </row>
    <row r="423">
      <c r="A423" s="4"/>
      <c r="B423" s="4"/>
      <c r="C423" s="4"/>
      <c r="D423" s="4"/>
      <c r="E423" s="4"/>
      <c r="F423" s="4"/>
      <c r="G423" s="4"/>
    </row>
    <row r="424">
      <c r="A424" s="4"/>
      <c r="B424" s="4"/>
      <c r="C424" s="4"/>
      <c r="D424" s="4"/>
      <c r="E424" s="4"/>
      <c r="F424" s="4"/>
      <c r="G424" s="4"/>
    </row>
    <row r="425">
      <c r="A425" s="4"/>
      <c r="B425" s="4"/>
      <c r="C425" s="4"/>
      <c r="D425" s="4"/>
      <c r="E425" s="4"/>
      <c r="F425" s="4"/>
      <c r="G425" s="4"/>
    </row>
    <row r="426">
      <c r="A426" s="4"/>
      <c r="B426" s="4"/>
      <c r="C426" s="4"/>
      <c r="D426" s="4"/>
      <c r="E426" s="4"/>
      <c r="F426" s="4"/>
      <c r="G426" s="4"/>
    </row>
    <row r="427">
      <c r="A427" s="4"/>
      <c r="B427" s="4"/>
      <c r="C427" s="4"/>
      <c r="D427" s="4"/>
      <c r="E427" s="4"/>
      <c r="F427" s="4"/>
      <c r="G427" s="4"/>
    </row>
    <row r="428">
      <c r="A428" s="4"/>
      <c r="B428" s="4"/>
      <c r="C428" s="4"/>
      <c r="D428" s="4"/>
      <c r="E428" s="4"/>
      <c r="F428" s="4"/>
      <c r="G428" s="4"/>
    </row>
    <row r="429">
      <c r="A429" s="4"/>
      <c r="B429" s="4"/>
      <c r="C429" s="4"/>
      <c r="D429" s="4"/>
      <c r="E429" s="4"/>
      <c r="F429" s="4"/>
      <c r="G429" s="4"/>
    </row>
    <row r="430">
      <c r="A430" s="4"/>
      <c r="B430" s="4"/>
      <c r="C430" s="4"/>
      <c r="D430" s="4"/>
      <c r="E430" s="4"/>
      <c r="F430" s="4"/>
      <c r="G430" s="4"/>
    </row>
    <row r="431">
      <c r="A431" s="4"/>
      <c r="B431" s="4"/>
      <c r="C431" s="4"/>
      <c r="D431" s="4"/>
      <c r="E431" s="4"/>
      <c r="F431" s="4"/>
      <c r="G431" s="4"/>
    </row>
    <row r="432">
      <c r="A432" s="4"/>
      <c r="B432" s="4"/>
      <c r="C432" s="4"/>
      <c r="D432" s="4"/>
      <c r="E432" s="4"/>
      <c r="F432" s="4"/>
      <c r="G432" s="4"/>
    </row>
    <row r="433">
      <c r="A433" s="4"/>
      <c r="B433" s="4"/>
      <c r="C433" s="4"/>
      <c r="D433" s="4"/>
      <c r="E433" s="4"/>
      <c r="F433" s="4"/>
      <c r="G433" s="4"/>
    </row>
    <row r="434">
      <c r="A434" s="4"/>
      <c r="B434" s="4"/>
      <c r="C434" s="4"/>
      <c r="D434" s="4"/>
      <c r="E434" s="4"/>
      <c r="F434" s="4"/>
      <c r="G434" s="4"/>
    </row>
    <row r="435">
      <c r="A435" s="4"/>
      <c r="B435" s="4"/>
      <c r="C435" s="4"/>
      <c r="D435" s="4"/>
      <c r="E435" s="4"/>
      <c r="F435" s="4"/>
      <c r="G435" s="4"/>
    </row>
    <row r="436">
      <c r="A436" s="4"/>
      <c r="B436" s="4"/>
      <c r="C436" s="4"/>
      <c r="D436" s="4"/>
      <c r="E436" s="4"/>
      <c r="F436" s="4"/>
      <c r="G436" s="4"/>
    </row>
    <row r="437">
      <c r="A437" s="4"/>
      <c r="B437" s="4"/>
      <c r="C437" s="4"/>
      <c r="D437" s="4"/>
      <c r="E437" s="4"/>
      <c r="F437" s="4"/>
      <c r="G437" s="4"/>
    </row>
    <row r="438">
      <c r="A438" s="4"/>
      <c r="B438" s="4"/>
      <c r="C438" s="4"/>
      <c r="D438" s="4"/>
      <c r="E438" s="4"/>
      <c r="F438" s="4"/>
      <c r="G438" s="4"/>
    </row>
    <row r="439">
      <c r="A439" s="4"/>
      <c r="B439" s="4"/>
      <c r="C439" s="4"/>
      <c r="D439" s="4"/>
      <c r="E439" s="4"/>
      <c r="F439" s="4"/>
      <c r="G439" s="4"/>
    </row>
    <row r="440">
      <c r="A440" s="4"/>
      <c r="B440" s="4"/>
      <c r="C440" s="4"/>
      <c r="D440" s="4"/>
      <c r="E440" s="4"/>
      <c r="F440" s="4"/>
      <c r="G440" s="4"/>
    </row>
    <row r="441">
      <c r="A441" s="4"/>
      <c r="B441" s="4"/>
      <c r="C441" s="4"/>
      <c r="D441" s="4"/>
      <c r="E441" s="4"/>
      <c r="F441" s="4"/>
      <c r="G441" s="4"/>
    </row>
    <row r="442">
      <c r="A442" s="4"/>
      <c r="B442" s="4"/>
      <c r="C442" s="4"/>
      <c r="D442" s="4"/>
      <c r="E442" s="4"/>
      <c r="F442" s="4"/>
      <c r="G442" s="4"/>
    </row>
    <row r="443">
      <c r="A443" s="4"/>
      <c r="B443" s="4"/>
      <c r="C443" s="4"/>
      <c r="D443" s="4"/>
      <c r="E443" s="4"/>
      <c r="F443" s="4"/>
      <c r="G443" s="4"/>
    </row>
    <row r="444">
      <c r="A444" s="4"/>
      <c r="B444" s="4"/>
      <c r="C444" s="4"/>
      <c r="D444" s="4"/>
      <c r="E444" s="4"/>
      <c r="F444" s="4"/>
      <c r="G444" s="4"/>
    </row>
    <row r="445">
      <c r="A445" s="4"/>
      <c r="B445" s="4"/>
      <c r="C445" s="4"/>
      <c r="D445" s="4"/>
      <c r="E445" s="4"/>
      <c r="F445" s="4"/>
      <c r="G445" s="4"/>
    </row>
    <row r="446">
      <c r="A446" s="4"/>
      <c r="B446" s="4"/>
      <c r="C446" s="4"/>
      <c r="D446" s="4"/>
      <c r="E446" s="4"/>
      <c r="F446" s="4"/>
      <c r="G446" s="4"/>
    </row>
    <row r="447">
      <c r="A447" s="4"/>
      <c r="B447" s="4"/>
      <c r="C447" s="4"/>
      <c r="D447" s="4"/>
      <c r="E447" s="4"/>
      <c r="F447" s="4"/>
      <c r="G447" s="4"/>
    </row>
    <row r="448">
      <c r="A448" s="4"/>
      <c r="B448" s="4"/>
      <c r="C448" s="4"/>
      <c r="D448" s="4"/>
      <c r="E448" s="4"/>
      <c r="F448" s="4"/>
      <c r="G448" s="4"/>
    </row>
    <row r="449">
      <c r="A449" s="4"/>
      <c r="B449" s="4"/>
      <c r="C449" s="4"/>
      <c r="D449" s="4"/>
      <c r="E449" s="4"/>
      <c r="F449" s="4"/>
      <c r="G449" s="4"/>
    </row>
    <row r="450">
      <c r="A450" s="4"/>
      <c r="B450" s="4"/>
      <c r="C450" s="4"/>
      <c r="D450" s="4"/>
      <c r="E450" s="4"/>
      <c r="F450" s="4"/>
      <c r="G450" s="4"/>
    </row>
    <row r="451">
      <c r="A451" s="4"/>
      <c r="B451" s="4"/>
      <c r="C451" s="4"/>
      <c r="D451" s="4"/>
      <c r="E451" s="4"/>
      <c r="F451" s="4"/>
      <c r="G451" s="4"/>
    </row>
    <row r="452">
      <c r="A452" s="4"/>
      <c r="B452" s="4"/>
      <c r="C452" s="4"/>
      <c r="D452" s="4"/>
      <c r="E452" s="4"/>
      <c r="F452" s="4"/>
      <c r="G452" s="4"/>
    </row>
    <row r="453">
      <c r="A453" s="4"/>
      <c r="B453" s="4"/>
      <c r="C453" s="4"/>
      <c r="D453" s="4"/>
      <c r="E453" s="4"/>
      <c r="F453" s="4"/>
      <c r="G453" s="4"/>
    </row>
    <row r="454">
      <c r="A454" s="4"/>
      <c r="B454" s="4"/>
      <c r="C454" s="4"/>
      <c r="D454" s="4"/>
      <c r="E454" s="4"/>
      <c r="F454" s="4"/>
      <c r="G454" s="4"/>
    </row>
    <row r="455">
      <c r="A455" s="4"/>
      <c r="B455" s="4"/>
      <c r="C455" s="4"/>
      <c r="D455" s="4"/>
      <c r="E455" s="4"/>
      <c r="F455" s="4"/>
      <c r="G455" s="4"/>
    </row>
    <row r="456">
      <c r="A456" s="4"/>
      <c r="B456" s="4"/>
      <c r="C456" s="4"/>
      <c r="D456" s="4"/>
      <c r="E456" s="4"/>
      <c r="F456" s="4"/>
      <c r="G456" s="4"/>
    </row>
    <row r="457">
      <c r="A457" s="4"/>
      <c r="B457" s="4"/>
      <c r="C457" s="4"/>
      <c r="D457" s="4"/>
      <c r="E457" s="4"/>
      <c r="F457" s="4"/>
      <c r="G457" s="4"/>
    </row>
    <row r="458">
      <c r="A458" s="4"/>
      <c r="B458" s="4"/>
      <c r="C458" s="4"/>
      <c r="D458" s="4"/>
      <c r="E458" s="4"/>
      <c r="F458" s="4"/>
      <c r="G458" s="4"/>
    </row>
    <row r="459">
      <c r="A459" s="4"/>
      <c r="B459" s="4"/>
      <c r="C459" s="4"/>
      <c r="D459" s="4"/>
      <c r="E459" s="4"/>
      <c r="F459" s="4"/>
      <c r="G459" s="4"/>
    </row>
    <row r="460">
      <c r="A460" s="4"/>
      <c r="B460" s="4"/>
      <c r="C460" s="4"/>
      <c r="D460" s="4"/>
      <c r="E460" s="4"/>
      <c r="F460" s="4"/>
      <c r="G460" s="4"/>
    </row>
    <row r="461">
      <c r="A461" s="4"/>
      <c r="B461" s="4"/>
      <c r="C461" s="4"/>
      <c r="D461" s="4"/>
      <c r="E461" s="4"/>
      <c r="F461" s="4"/>
      <c r="G461" s="4"/>
    </row>
    <row r="462">
      <c r="A462" s="4"/>
      <c r="B462" s="4"/>
      <c r="C462" s="4"/>
      <c r="D462" s="4"/>
      <c r="E462" s="4"/>
      <c r="F462" s="4"/>
      <c r="G462" s="4"/>
    </row>
    <row r="463">
      <c r="A463" s="4"/>
      <c r="B463" s="4"/>
      <c r="C463" s="4"/>
      <c r="D463" s="4"/>
      <c r="E463" s="4"/>
      <c r="F463" s="4"/>
      <c r="G463" s="4"/>
    </row>
    <row r="464">
      <c r="A464" s="4"/>
      <c r="B464" s="4"/>
      <c r="C464" s="4"/>
      <c r="D464" s="4"/>
      <c r="E464" s="4"/>
      <c r="F464" s="4"/>
      <c r="G464" s="4"/>
    </row>
    <row r="465">
      <c r="A465" s="4"/>
      <c r="B465" s="4"/>
      <c r="C465" s="4"/>
      <c r="D465" s="4"/>
      <c r="E465" s="4"/>
      <c r="F465" s="4"/>
      <c r="G465" s="4"/>
    </row>
    <row r="466">
      <c r="A466" s="4"/>
      <c r="B466" s="4"/>
      <c r="C466" s="4"/>
      <c r="D466" s="4"/>
      <c r="E466" s="4"/>
      <c r="F466" s="4"/>
      <c r="G466" s="4"/>
    </row>
    <row r="467">
      <c r="A467" s="4"/>
      <c r="B467" s="4"/>
      <c r="C467" s="4"/>
      <c r="D467" s="4"/>
      <c r="E467" s="4"/>
      <c r="F467" s="4"/>
      <c r="G467" s="4"/>
    </row>
    <row r="468">
      <c r="A468" s="4"/>
      <c r="B468" s="4"/>
      <c r="C468" s="4"/>
      <c r="D468" s="4"/>
      <c r="E468" s="4"/>
      <c r="F468" s="4"/>
      <c r="G468" s="4"/>
    </row>
    <row r="469">
      <c r="A469" s="4"/>
      <c r="B469" s="4"/>
      <c r="C469" s="4"/>
      <c r="D469" s="4"/>
      <c r="E469" s="4"/>
      <c r="F469" s="4"/>
      <c r="G469" s="4"/>
    </row>
    <row r="470">
      <c r="A470" s="4"/>
      <c r="B470" s="4"/>
      <c r="C470" s="4"/>
      <c r="D470" s="4"/>
      <c r="E470" s="4"/>
      <c r="F470" s="4"/>
      <c r="G470" s="4"/>
    </row>
    <row r="471">
      <c r="A471" s="4"/>
      <c r="B471" s="4"/>
      <c r="C471" s="4"/>
      <c r="D471" s="4"/>
      <c r="E471" s="4"/>
      <c r="F471" s="4"/>
      <c r="G471" s="4"/>
    </row>
    <row r="472">
      <c r="A472" s="4"/>
      <c r="B472" s="4"/>
      <c r="C472" s="4"/>
      <c r="D472" s="4"/>
      <c r="E472" s="4"/>
      <c r="F472" s="4"/>
      <c r="G472" s="4"/>
    </row>
    <row r="473">
      <c r="A473" s="4"/>
      <c r="B473" s="4"/>
      <c r="C473" s="4"/>
      <c r="D473" s="4"/>
      <c r="E473" s="4"/>
      <c r="F473" s="4"/>
      <c r="G473" s="4"/>
    </row>
    <row r="474">
      <c r="A474" s="4"/>
      <c r="B474" s="4"/>
      <c r="C474" s="4"/>
      <c r="D474" s="4"/>
      <c r="E474" s="4"/>
      <c r="F474" s="4"/>
      <c r="G474" s="4"/>
    </row>
    <row r="475">
      <c r="A475" s="4"/>
      <c r="B475" s="4"/>
      <c r="C475" s="4"/>
      <c r="D475" s="4"/>
      <c r="E475" s="4"/>
      <c r="F475" s="4"/>
      <c r="G475" s="4"/>
    </row>
    <row r="476">
      <c r="A476" s="4"/>
      <c r="B476" s="4"/>
      <c r="C476" s="4"/>
      <c r="D476" s="4"/>
      <c r="E476" s="4"/>
      <c r="F476" s="4"/>
      <c r="G476" s="4"/>
    </row>
    <row r="477">
      <c r="A477" s="4"/>
      <c r="B477" s="4"/>
      <c r="C477" s="4"/>
      <c r="D477" s="4"/>
      <c r="E477" s="4"/>
      <c r="F477" s="4"/>
      <c r="G477" s="4"/>
    </row>
    <row r="478">
      <c r="A478" s="4"/>
      <c r="B478" s="4"/>
      <c r="C478" s="4"/>
      <c r="D478" s="4"/>
      <c r="E478" s="4"/>
      <c r="F478" s="4"/>
      <c r="G478" s="4"/>
    </row>
    <row r="479">
      <c r="A479" s="4"/>
      <c r="B479" s="4"/>
      <c r="C479" s="4"/>
      <c r="D479" s="4"/>
      <c r="E479" s="4"/>
      <c r="F479" s="4"/>
      <c r="G479" s="4"/>
    </row>
    <row r="480">
      <c r="A480" s="4"/>
      <c r="B480" s="4"/>
      <c r="C480" s="4"/>
      <c r="D480" s="4"/>
      <c r="E480" s="4"/>
      <c r="F480" s="4"/>
      <c r="G480" s="4"/>
    </row>
    <row r="481">
      <c r="A481" s="4"/>
      <c r="B481" s="4"/>
      <c r="C481" s="4"/>
      <c r="D481" s="4"/>
      <c r="E481" s="4"/>
      <c r="F481" s="4"/>
      <c r="G481" s="4"/>
    </row>
    <row r="482">
      <c r="A482" s="4"/>
      <c r="B482" s="4"/>
      <c r="C482" s="4"/>
      <c r="D482" s="4"/>
      <c r="E482" s="4"/>
      <c r="F482" s="4"/>
      <c r="G482" s="4"/>
    </row>
    <row r="483">
      <c r="A483" s="4"/>
      <c r="B483" s="4"/>
      <c r="C483" s="4"/>
      <c r="D483" s="4"/>
      <c r="E483" s="4"/>
      <c r="F483" s="4"/>
      <c r="G483" s="4"/>
    </row>
    <row r="484">
      <c r="A484" s="4"/>
      <c r="B484" s="4"/>
      <c r="C484" s="4"/>
      <c r="D484" s="4"/>
      <c r="E484" s="4"/>
      <c r="F484" s="4"/>
      <c r="G484" s="4"/>
    </row>
    <row r="485">
      <c r="A485" s="4"/>
      <c r="B485" s="4"/>
      <c r="C485" s="4"/>
      <c r="D485" s="4"/>
      <c r="E485" s="4"/>
      <c r="F485" s="4"/>
      <c r="G485" s="4"/>
    </row>
    <row r="486">
      <c r="A486" s="4"/>
      <c r="B486" s="4"/>
      <c r="C486" s="4"/>
      <c r="D486" s="4"/>
      <c r="E486" s="4"/>
      <c r="F486" s="4"/>
      <c r="G486" s="4"/>
    </row>
    <row r="487">
      <c r="A487" s="4"/>
      <c r="B487" s="4"/>
      <c r="C487" s="4"/>
      <c r="D487" s="4"/>
      <c r="E487" s="4"/>
      <c r="F487" s="4"/>
      <c r="G487" s="4"/>
    </row>
    <row r="488">
      <c r="A488" s="4"/>
      <c r="B488" s="4"/>
      <c r="C488" s="4"/>
      <c r="D488" s="4"/>
      <c r="E488" s="4"/>
      <c r="F488" s="4"/>
      <c r="G488" s="4"/>
    </row>
    <row r="489">
      <c r="A489" s="4"/>
      <c r="B489" s="4"/>
      <c r="C489" s="4"/>
      <c r="D489" s="4"/>
      <c r="E489" s="4"/>
      <c r="F489" s="4"/>
      <c r="G489" s="4"/>
    </row>
    <row r="490">
      <c r="A490" s="4"/>
      <c r="B490" s="4"/>
      <c r="C490" s="4"/>
      <c r="D490" s="4"/>
      <c r="E490" s="4"/>
      <c r="F490" s="4"/>
      <c r="G490" s="4"/>
    </row>
    <row r="491">
      <c r="A491" s="4"/>
      <c r="B491" s="4"/>
      <c r="C491" s="4"/>
      <c r="D491" s="4"/>
      <c r="E491" s="4"/>
      <c r="F491" s="4"/>
      <c r="G491" s="4"/>
    </row>
    <row r="492">
      <c r="A492" s="4"/>
      <c r="B492" s="4"/>
      <c r="C492" s="4"/>
      <c r="D492" s="4"/>
      <c r="E492" s="4"/>
      <c r="F492" s="4"/>
      <c r="G492" s="4"/>
    </row>
    <row r="493">
      <c r="A493" s="4"/>
      <c r="B493" s="4"/>
      <c r="C493" s="4"/>
      <c r="D493" s="4"/>
      <c r="E493" s="4"/>
      <c r="F493" s="4"/>
      <c r="G493" s="4"/>
    </row>
    <row r="494">
      <c r="A494" s="4"/>
      <c r="B494" s="4"/>
      <c r="C494" s="4"/>
      <c r="D494" s="4"/>
      <c r="E494" s="4"/>
      <c r="F494" s="4"/>
      <c r="G494" s="4"/>
    </row>
    <row r="495">
      <c r="A495" s="4"/>
      <c r="B495" s="4"/>
      <c r="C495" s="4"/>
      <c r="D495" s="4"/>
      <c r="E495" s="4"/>
      <c r="F495" s="4"/>
      <c r="G495" s="4"/>
    </row>
    <row r="496">
      <c r="A496" s="4"/>
      <c r="B496" s="4"/>
      <c r="C496" s="4"/>
      <c r="D496" s="4"/>
      <c r="E496" s="4"/>
      <c r="F496" s="4"/>
      <c r="G496" s="4"/>
    </row>
    <row r="497">
      <c r="A497" s="4"/>
      <c r="B497" s="4"/>
      <c r="C497" s="4"/>
      <c r="D497" s="4"/>
      <c r="E497" s="4"/>
      <c r="F497" s="4"/>
      <c r="G497" s="4"/>
    </row>
    <row r="498">
      <c r="A498" s="4"/>
      <c r="B498" s="4"/>
      <c r="C498" s="4"/>
      <c r="D498" s="4"/>
      <c r="E498" s="4"/>
      <c r="F498" s="4"/>
      <c r="G498" s="4"/>
    </row>
    <row r="499">
      <c r="A499" s="4"/>
      <c r="B499" s="4"/>
      <c r="C499" s="4"/>
      <c r="D499" s="4"/>
      <c r="E499" s="4"/>
      <c r="F499" s="4"/>
      <c r="G499" s="4"/>
    </row>
    <row r="500">
      <c r="A500" s="4"/>
      <c r="B500" s="4"/>
      <c r="C500" s="4"/>
      <c r="D500" s="4"/>
      <c r="E500" s="4"/>
      <c r="F500" s="4"/>
      <c r="G500" s="4"/>
    </row>
    <row r="501">
      <c r="A501" s="4"/>
      <c r="B501" s="4"/>
      <c r="C501" s="4"/>
      <c r="D501" s="4"/>
      <c r="E501" s="4"/>
      <c r="F501" s="4"/>
      <c r="G501" s="4"/>
    </row>
    <row r="502">
      <c r="A502" s="4"/>
      <c r="B502" s="4"/>
      <c r="C502" s="4"/>
      <c r="D502" s="4"/>
      <c r="E502" s="4"/>
      <c r="F502" s="4"/>
      <c r="G502" s="4"/>
    </row>
    <row r="503">
      <c r="A503" s="4"/>
      <c r="B503" s="4"/>
      <c r="C503" s="4"/>
      <c r="D503" s="4"/>
      <c r="E503" s="4"/>
      <c r="F503" s="4"/>
      <c r="G503" s="4"/>
    </row>
    <row r="504">
      <c r="A504" s="4"/>
      <c r="B504" s="4"/>
      <c r="C504" s="4"/>
      <c r="D504" s="4"/>
      <c r="E504" s="4"/>
      <c r="F504" s="4"/>
      <c r="G504" s="4"/>
    </row>
    <row r="505">
      <c r="A505" s="4"/>
      <c r="B505" s="4"/>
      <c r="C505" s="4"/>
      <c r="D505" s="4"/>
      <c r="E505" s="4"/>
      <c r="F505" s="4"/>
      <c r="G505" s="4"/>
    </row>
    <row r="506">
      <c r="A506" s="4"/>
      <c r="B506" s="4"/>
      <c r="C506" s="4"/>
      <c r="D506" s="4"/>
      <c r="E506" s="4"/>
      <c r="F506" s="4"/>
      <c r="G506" s="4"/>
    </row>
    <row r="507">
      <c r="A507" s="4"/>
      <c r="B507" s="4"/>
      <c r="C507" s="4"/>
      <c r="D507" s="4"/>
      <c r="E507" s="4"/>
      <c r="F507" s="4"/>
      <c r="G507" s="4"/>
    </row>
    <row r="508">
      <c r="A508" s="4"/>
      <c r="B508" s="4"/>
      <c r="C508" s="4"/>
      <c r="D508" s="4"/>
      <c r="E508" s="4"/>
      <c r="F508" s="4"/>
      <c r="G508" s="4"/>
    </row>
    <row r="509">
      <c r="A509" s="4"/>
      <c r="B509" s="4"/>
      <c r="C509" s="4"/>
      <c r="D509" s="4"/>
      <c r="E509" s="4"/>
      <c r="F509" s="4"/>
      <c r="G509" s="4"/>
    </row>
    <row r="510">
      <c r="A510" s="4"/>
      <c r="B510" s="4"/>
      <c r="C510" s="4"/>
      <c r="D510" s="4"/>
      <c r="E510" s="4"/>
      <c r="F510" s="4"/>
      <c r="G510" s="4"/>
    </row>
    <row r="511">
      <c r="A511" s="4"/>
      <c r="B511" s="4"/>
      <c r="C511" s="4"/>
      <c r="D511" s="4"/>
      <c r="E511" s="4"/>
      <c r="F511" s="4"/>
      <c r="G511" s="4"/>
    </row>
    <row r="512">
      <c r="A512" s="4"/>
      <c r="B512" s="4"/>
      <c r="C512" s="4"/>
      <c r="D512" s="4"/>
      <c r="E512" s="4"/>
      <c r="F512" s="4"/>
      <c r="G512" s="4"/>
    </row>
    <row r="513">
      <c r="A513" s="4"/>
      <c r="B513" s="4"/>
      <c r="C513" s="4"/>
      <c r="D513" s="4"/>
      <c r="E513" s="4"/>
      <c r="F513" s="4"/>
      <c r="G513" s="4"/>
    </row>
    <row r="514">
      <c r="A514" s="4"/>
      <c r="B514" s="4"/>
      <c r="C514" s="4"/>
      <c r="D514" s="4"/>
      <c r="E514" s="4"/>
      <c r="F514" s="4"/>
      <c r="G514" s="4"/>
    </row>
    <row r="515">
      <c r="A515" s="4"/>
      <c r="B515" s="4"/>
      <c r="C515" s="4"/>
      <c r="D515" s="4"/>
      <c r="E515" s="4"/>
      <c r="F515" s="4"/>
      <c r="G515" s="4"/>
    </row>
    <row r="516">
      <c r="A516" s="4"/>
      <c r="B516" s="4"/>
      <c r="C516" s="4"/>
      <c r="D516" s="4"/>
      <c r="E516" s="4"/>
      <c r="F516" s="4"/>
      <c r="G516" s="4"/>
    </row>
    <row r="517">
      <c r="A517" s="4"/>
      <c r="B517" s="4"/>
      <c r="C517" s="4"/>
      <c r="D517" s="4"/>
      <c r="E517" s="4"/>
      <c r="F517" s="4"/>
      <c r="G517" s="4"/>
    </row>
    <row r="518">
      <c r="A518" s="4"/>
      <c r="B518" s="4"/>
      <c r="C518" s="4"/>
      <c r="D518" s="4"/>
      <c r="E518" s="4"/>
      <c r="F518" s="4"/>
      <c r="G518" s="4"/>
    </row>
    <row r="519">
      <c r="A519" s="4"/>
      <c r="B519" s="4"/>
      <c r="C519" s="4"/>
      <c r="D519" s="4"/>
      <c r="E519" s="4"/>
      <c r="F519" s="4"/>
      <c r="G519" s="4"/>
    </row>
    <row r="520">
      <c r="A520" s="4"/>
      <c r="B520" s="4"/>
      <c r="C520" s="4"/>
      <c r="D520" s="4"/>
      <c r="E520" s="4"/>
      <c r="F520" s="4"/>
      <c r="G520" s="4"/>
    </row>
    <row r="521">
      <c r="A521" s="4"/>
      <c r="B521" s="4"/>
      <c r="C521" s="4"/>
      <c r="D521" s="4"/>
      <c r="E521" s="4"/>
      <c r="F521" s="4"/>
      <c r="G521" s="4"/>
    </row>
    <row r="522">
      <c r="A522" s="4"/>
      <c r="B522" s="4"/>
      <c r="C522" s="4"/>
      <c r="D522" s="4"/>
      <c r="E522" s="4"/>
      <c r="F522" s="4"/>
      <c r="G522" s="4"/>
    </row>
    <row r="523">
      <c r="A523" s="4"/>
      <c r="B523" s="4"/>
      <c r="C523" s="4"/>
      <c r="D523" s="4"/>
      <c r="E523" s="4"/>
      <c r="F523" s="4"/>
      <c r="G523" s="4"/>
    </row>
    <row r="524">
      <c r="A524" s="4"/>
      <c r="B524" s="4"/>
      <c r="C524" s="4"/>
      <c r="D524" s="4"/>
      <c r="E524" s="4"/>
      <c r="F524" s="4"/>
      <c r="G524" s="4"/>
    </row>
    <row r="525">
      <c r="A525" s="4"/>
      <c r="B525" s="4"/>
      <c r="C525" s="4"/>
      <c r="D525" s="4"/>
      <c r="E525" s="4"/>
      <c r="F525" s="4"/>
      <c r="G525" s="4"/>
    </row>
    <row r="526">
      <c r="A526" s="4"/>
      <c r="B526" s="4"/>
      <c r="C526" s="4"/>
      <c r="D526" s="4"/>
      <c r="E526" s="4"/>
      <c r="F526" s="4"/>
      <c r="G526" s="4"/>
    </row>
    <row r="527">
      <c r="A527" s="4"/>
      <c r="B527" s="4"/>
      <c r="C527" s="4"/>
      <c r="D527" s="4"/>
      <c r="E527" s="4"/>
      <c r="F527" s="4"/>
      <c r="G527" s="4"/>
    </row>
    <row r="528">
      <c r="A528" s="4"/>
      <c r="B528" s="4"/>
      <c r="C528" s="4"/>
      <c r="D528" s="4"/>
      <c r="E528" s="4"/>
      <c r="F528" s="4"/>
      <c r="G528" s="4"/>
    </row>
    <row r="529">
      <c r="A529" s="4"/>
      <c r="B529" s="4"/>
      <c r="C529" s="4"/>
      <c r="D529" s="4"/>
      <c r="E529" s="4"/>
      <c r="F529" s="4"/>
      <c r="G529" s="4"/>
    </row>
    <row r="530">
      <c r="A530" s="4"/>
      <c r="B530" s="4"/>
      <c r="C530" s="4"/>
      <c r="D530" s="4"/>
      <c r="E530" s="4"/>
      <c r="F530" s="4"/>
      <c r="G530" s="4"/>
    </row>
    <row r="531">
      <c r="A531" s="4"/>
      <c r="B531" s="4"/>
      <c r="C531" s="4"/>
      <c r="D531" s="4"/>
      <c r="E531" s="4"/>
      <c r="F531" s="4"/>
      <c r="G531" s="4"/>
    </row>
    <row r="532">
      <c r="A532" s="4"/>
      <c r="B532" s="4"/>
      <c r="C532" s="4"/>
      <c r="D532" s="4"/>
      <c r="E532" s="4"/>
      <c r="F532" s="4"/>
      <c r="G532" s="4"/>
    </row>
    <row r="533">
      <c r="A533" s="4"/>
      <c r="B533" s="4"/>
      <c r="C533" s="4"/>
      <c r="D533" s="4"/>
      <c r="E533" s="4"/>
      <c r="F533" s="4"/>
      <c r="G533" s="4"/>
    </row>
    <row r="534">
      <c r="A534" s="4"/>
      <c r="B534" s="4"/>
      <c r="C534" s="4"/>
      <c r="D534" s="4"/>
      <c r="E534" s="4"/>
      <c r="F534" s="4"/>
      <c r="G534" s="4"/>
    </row>
    <row r="535">
      <c r="A535" s="4"/>
      <c r="B535" s="4"/>
      <c r="C535" s="4"/>
      <c r="D535" s="4"/>
      <c r="E535" s="4"/>
      <c r="F535" s="4"/>
      <c r="G535" s="4"/>
    </row>
    <row r="536">
      <c r="A536" s="4"/>
      <c r="B536" s="4"/>
      <c r="C536" s="4"/>
      <c r="D536" s="4"/>
      <c r="E536" s="4"/>
      <c r="F536" s="4"/>
      <c r="G536" s="4"/>
    </row>
    <row r="537">
      <c r="A537" s="4"/>
      <c r="B537" s="4"/>
      <c r="C537" s="4"/>
      <c r="D537" s="4"/>
      <c r="E537" s="4"/>
      <c r="F537" s="4"/>
      <c r="G537" s="4"/>
    </row>
    <row r="538">
      <c r="A538" s="4"/>
      <c r="B538" s="4"/>
      <c r="C538" s="4"/>
      <c r="D538" s="4"/>
      <c r="E538" s="4"/>
      <c r="F538" s="4"/>
      <c r="G538" s="4"/>
    </row>
    <row r="539">
      <c r="A539" s="4"/>
      <c r="B539" s="4"/>
      <c r="C539" s="4"/>
      <c r="D539" s="4"/>
      <c r="E539" s="4"/>
      <c r="F539" s="4"/>
      <c r="G539" s="4"/>
    </row>
    <row r="540">
      <c r="A540" s="4"/>
      <c r="B540" s="4"/>
      <c r="C540" s="4"/>
      <c r="D540" s="4"/>
      <c r="E540" s="4"/>
      <c r="F540" s="4"/>
      <c r="G540" s="4"/>
    </row>
    <row r="541">
      <c r="A541" s="4"/>
      <c r="B541" s="4"/>
      <c r="C541" s="4"/>
      <c r="D541" s="4"/>
      <c r="E541" s="4"/>
      <c r="F541" s="4"/>
      <c r="G541" s="4"/>
    </row>
    <row r="542">
      <c r="A542" s="4"/>
      <c r="B542" s="4"/>
      <c r="C542" s="4"/>
      <c r="D542" s="4"/>
      <c r="E542" s="4"/>
      <c r="F542" s="4"/>
      <c r="G542" s="4"/>
    </row>
    <row r="543">
      <c r="A543" s="4"/>
      <c r="B543" s="4"/>
      <c r="C543" s="4"/>
      <c r="D543" s="4"/>
      <c r="E543" s="4"/>
      <c r="F543" s="4"/>
      <c r="G543" s="4"/>
    </row>
    <row r="544">
      <c r="A544" s="4"/>
      <c r="B544" s="4"/>
      <c r="C544" s="4"/>
      <c r="D544" s="4"/>
      <c r="E544" s="4"/>
      <c r="F544" s="4"/>
      <c r="G544" s="4"/>
    </row>
    <row r="545">
      <c r="A545" s="4"/>
      <c r="B545" s="4"/>
      <c r="C545" s="4"/>
      <c r="D545" s="4"/>
      <c r="E545" s="4"/>
      <c r="F545" s="4"/>
      <c r="G545" s="4"/>
    </row>
    <row r="546">
      <c r="A546" s="4"/>
      <c r="B546" s="4"/>
      <c r="C546" s="4"/>
      <c r="D546" s="4"/>
      <c r="E546" s="4"/>
      <c r="F546" s="4"/>
      <c r="G546" s="4"/>
    </row>
    <row r="547">
      <c r="A547" s="4"/>
      <c r="B547" s="4"/>
      <c r="C547" s="4"/>
      <c r="D547" s="4"/>
      <c r="E547" s="4"/>
      <c r="F547" s="4"/>
      <c r="G547" s="4"/>
    </row>
    <row r="548">
      <c r="A548" s="4"/>
      <c r="B548" s="4"/>
      <c r="C548" s="4"/>
      <c r="D548" s="4"/>
      <c r="E548" s="4"/>
      <c r="F548" s="4"/>
      <c r="G548" s="4"/>
    </row>
    <row r="549">
      <c r="A549" s="4"/>
      <c r="B549" s="4"/>
      <c r="C549" s="4"/>
      <c r="D549" s="4"/>
      <c r="E549" s="4"/>
      <c r="F549" s="4"/>
      <c r="G549" s="4"/>
    </row>
    <row r="550">
      <c r="A550" s="4"/>
      <c r="B550" s="4"/>
      <c r="C550" s="4"/>
      <c r="D550" s="4"/>
      <c r="E550" s="4"/>
      <c r="F550" s="4"/>
      <c r="G550" s="4"/>
    </row>
    <row r="551">
      <c r="A551" s="4"/>
      <c r="B551" s="4"/>
      <c r="C551" s="4"/>
      <c r="D551" s="4"/>
      <c r="E551" s="4"/>
      <c r="F551" s="4"/>
      <c r="G551" s="4"/>
    </row>
    <row r="552">
      <c r="A552" s="4"/>
      <c r="B552" s="4"/>
      <c r="C552" s="4"/>
      <c r="D552" s="4"/>
      <c r="E552" s="4"/>
      <c r="F552" s="4"/>
      <c r="G552" s="4"/>
    </row>
    <row r="553">
      <c r="A553" s="4"/>
      <c r="B553" s="4"/>
      <c r="C553" s="4"/>
      <c r="D553" s="4"/>
      <c r="E553" s="4"/>
      <c r="F553" s="4"/>
      <c r="G553" s="4"/>
    </row>
    <row r="554">
      <c r="A554" s="4"/>
      <c r="B554" s="4"/>
      <c r="C554" s="4"/>
      <c r="D554" s="4"/>
      <c r="E554" s="4"/>
      <c r="F554" s="4"/>
      <c r="G554" s="4"/>
    </row>
    <row r="555">
      <c r="A555" s="4"/>
      <c r="B555" s="4"/>
      <c r="C555" s="4"/>
      <c r="D555" s="4"/>
      <c r="E555" s="4"/>
      <c r="F555" s="4"/>
      <c r="G555" s="4"/>
    </row>
    <row r="556">
      <c r="A556" s="4"/>
      <c r="B556" s="4"/>
      <c r="C556" s="4"/>
      <c r="D556" s="4"/>
      <c r="E556" s="4"/>
      <c r="F556" s="4"/>
      <c r="G556" s="4"/>
    </row>
    <row r="557">
      <c r="A557" s="4"/>
      <c r="B557" s="4"/>
      <c r="C557" s="4"/>
      <c r="D557" s="4"/>
      <c r="E557" s="4"/>
      <c r="F557" s="4"/>
      <c r="G557" s="4"/>
    </row>
    <row r="558">
      <c r="A558" s="4"/>
      <c r="B558" s="4"/>
      <c r="C558" s="4"/>
      <c r="D558" s="4"/>
      <c r="E558" s="4"/>
      <c r="F558" s="4"/>
      <c r="G558" s="4"/>
    </row>
    <row r="559">
      <c r="A559" s="4"/>
      <c r="B559" s="4"/>
      <c r="C559" s="4"/>
      <c r="D559" s="4"/>
      <c r="E559" s="4"/>
      <c r="F559" s="4"/>
      <c r="G559" s="4"/>
    </row>
    <row r="560">
      <c r="A560" s="4"/>
      <c r="B560" s="4"/>
      <c r="C560" s="4"/>
      <c r="D560" s="4"/>
      <c r="E560" s="4"/>
      <c r="F560" s="4"/>
      <c r="G560" s="4"/>
    </row>
    <row r="561">
      <c r="A561" s="4"/>
      <c r="B561" s="4"/>
      <c r="C561" s="4"/>
      <c r="D561" s="4"/>
      <c r="E561" s="4"/>
      <c r="F561" s="4"/>
      <c r="G561" s="4"/>
    </row>
    <row r="562">
      <c r="A562" s="4"/>
      <c r="B562" s="4"/>
      <c r="C562" s="4"/>
      <c r="D562" s="4"/>
      <c r="E562" s="4"/>
      <c r="F562" s="4"/>
      <c r="G562" s="4"/>
    </row>
    <row r="563">
      <c r="A563" s="4"/>
      <c r="B563" s="4"/>
      <c r="C563" s="4"/>
      <c r="D563" s="4"/>
      <c r="E563" s="4"/>
      <c r="F563" s="4"/>
      <c r="G563" s="4"/>
    </row>
    <row r="564">
      <c r="A564" s="4"/>
      <c r="B564" s="4"/>
      <c r="C564" s="4"/>
      <c r="D564" s="4"/>
      <c r="E564" s="4"/>
      <c r="F564" s="4"/>
      <c r="G564" s="4"/>
    </row>
    <row r="565">
      <c r="A565" s="4"/>
      <c r="B565" s="4"/>
      <c r="C565" s="4"/>
      <c r="D565" s="4"/>
      <c r="E565" s="4"/>
      <c r="F565" s="4"/>
      <c r="G565" s="4"/>
    </row>
    <row r="566">
      <c r="A566" s="4"/>
      <c r="B566" s="4"/>
      <c r="C566" s="4"/>
      <c r="D566" s="4"/>
      <c r="E566" s="4"/>
      <c r="F566" s="4"/>
      <c r="G566" s="4"/>
    </row>
    <row r="567">
      <c r="A567" s="4"/>
      <c r="B567" s="4"/>
      <c r="C567" s="4"/>
      <c r="D567" s="4"/>
      <c r="E567" s="4"/>
      <c r="F567" s="4"/>
      <c r="G567" s="4"/>
    </row>
    <row r="568">
      <c r="A568" s="4"/>
      <c r="B568" s="4"/>
      <c r="C568" s="4"/>
      <c r="D568" s="4"/>
      <c r="E568" s="4"/>
      <c r="F568" s="4"/>
      <c r="G568" s="4"/>
    </row>
    <row r="569">
      <c r="A569" s="4"/>
      <c r="B569" s="4"/>
      <c r="C569" s="4"/>
      <c r="D569" s="4"/>
      <c r="E569" s="4"/>
      <c r="F569" s="4"/>
      <c r="G569" s="4"/>
    </row>
    <row r="570">
      <c r="A570" s="4"/>
      <c r="B570" s="4"/>
      <c r="C570" s="4"/>
      <c r="D570" s="4"/>
      <c r="E570" s="4"/>
      <c r="F570" s="4"/>
      <c r="G570" s="4"/>
    </row>
    <row r="571">
      <c r="A571" s="4"/>
      <c r="B571" s="4"/>
      <c r="C571" s="4"/>
      <c r="D571" s="4"/>
      <c r="E571" s="4"/>
      <c r="F571" s="4"/>
      <c r="G571" s="4"/>
    </row>
    <row r="572">
      <c r="A572" s="4"/>
      <c r="B572" s="4"/>
      <c r="C572" s="4"/>
      <c r="D572" s="4"/>
      <c r="E572" s="4"/>
      <c r="F572" s="4"/>
      <c r="G572" s="4"/>
    </row>
    <row r="573">
      <c r="A573" s="4"/>
      <c r="B573" s="4"/>
      <c r="C573" s="4"/>
      <c r="D573" s="4"/>
      <c r="E573" s="4"/>
      <c r="F573" s="4"/>
      <c r="G573" s="4"/>
    </row>
    <row r="574">
      <c r="A574" s="4"/>
      <c r="B574" s="4"/>
      <c r="C574" s="4"/>
      <c r="D574" s="4"/>
      <c r="E574" s="4"/>
      <c r="F574" s="4"/>
      <c r="G574" s="4"/>
    </row>
    <row r="575">
      <c r="A575" s="4"/>
      <c r="B575" s="4"/>
      <c r="C575" s="4"/>
      <c r="D575" s="4"/>
      <c r="E575" s="4"/>
      <c r="F575" s="4"/>
      <c r="G575" s="4"/>
    </row>
    <row r="576">
      <c r="A576" s="4"/>
      <c r="B576" s="4"/>
      <c r="C576" s="4"/>
      <c r="D576" s="4"/>
      <c r="E576" s="4"/>
      <c r="F576" s="4"/>
      <c r="G576" s="4"/>
    </row>
    <row r="577">
      <c r="A577" s="4"/>
      <c r="B577" s="4"/>
      <c r="C577" s="4"/>
      <c r="D577" s="4"/>
      <c r="E577" s="4"/>
      <c r="F577" s="4"/>
      <c r="G577" s="4"/>
    </row>
    <row r="578">
      <c r="A578" s="4"/>
      <c r="B578" s="4"/>
      <c r="C578" s="4"/>
      <c r="D578" s="4"/>
      <c r="E578" s="4"/>
      <c r="F578" s="4"/>
      <c r="G578" s="4"/>
    </row>
    <row r="579">
      <c r="A579" s="4"/>
      <c r="B579" s="4"/>
      <c r="C579" s="4"/>
      <c r="D579" s="4"/>
      <c r="E579" s="4"/>
      <c r="F579" s="4"/>
      <c r="G579" s="4"/>
    </row>
    <row r="580">
      <c r="A580" s="4"/>
      <c r="B580" s="4"/>
      <c r="C580" s="4"/>
      <c r="D580" s="4"/>
      <c r="E580" s="4"/>
      <c r="F580" s="4"/>
      <c r="G580" s="4"/>
    </row>
    <row r="581">
      <c r="A581" s="4"/>
      <c r="B581" s="4"/>
      <c r="C581" s="4"/>
      <c r="D581" s="4"/>
      <c r="E581" s="4"/>
      <c r="F581" s="4"/>
      <c r="G581" s="4"/>
    </row>
    <row r="582">
      <c r="A582" s="4"/>
      <c r="B582" s="4"/>
      <c r="C582" s="4"/>
      <c r="D582" s="4"/>
      <c r="E582" s="4"/>
      <c r="F582" s="4"/>
      <c r="G582" s="4"/>
    </row>
    <row r="583">
      <c r="A583" s="4"/>
      <c r="B583" s="4"/>
      <c r="C583" s="4"/>
      <c r="D583" s="4"/>
      <c r="E583" s="4"/>
      <c r="F583" s="4"/>
      <c r="G583" s="4"/>
    </row>
    <row r="584">
      <c r="A584" s="4"/>
      <c r="B584" s="4"/>
      <c r="C584" s="4"/>
      <c r="D584" s="4"/>
      <c r="E584" s="4"/>
      <c r="F584" s="4"/>
      <c r="G584" s="4"/>
    </row>
    <row r="585">
      <c r="A585" s="4"/>
      <c r="B585" s="4"/>
      <c r="C585" s="4"/>
      <c r="D585" s="4"/>
      <c r="E585" s="4"/>
      <c r="F585" s="4"/>
      <c r="G585" s="4"/>
    </row>
    <row r="586">
      <c r="A586" s="4"/>
      <c r="B586" s="4"/>
      <c r="C586" s="4"/>
      <c r="D586" s="4"/>
      <c r="E586" s="4"/>
      <c r="F586" s="4"/>
      <c r="G586" s="4"/>
    </row>
    <row r="587">
      <c r="A587" s="4"/>
      <c r="B587" s="4"/>
      <c r="C587" s="4"/>
      <c r="D587" s="4"/>
      <c r="E587" s="4"/>
      <c r="F587" s="4"/>
      <c r="G587" s="4"/>
    </row>
    <row r="588">
      <c r="A588" s="4"/>
      <c r="B588" s="4"/>
      <c r="C588" s="4"/>
      <c r="D588" s="4"/>
      <c r="E588" s="4"/>
      <c r="F588" s="4"/>
      <c r="G588" s="4"/>
    </row>
    <row r="589">
      <c r="A589" s="4"/>
      <c r="B589" s="4"/>
      <c r="C589" s="4"/>
      <c r="D589" s="4"/>
      <c r="E589" s="4"/>
      <c r="F589" s="4"/>
      <c r="G589" s="4"/>
    </row>
    <row r="590">
      <c r="A590" s="4"/>
      <c r="B590" s="4"/>
      <c r="C590" s="4"/>
      <c r="D590" s="4"/>
      <c r="E590" s="4"/>
      <c r="F590" s="4"/>
      <c r="G590" s="4"/>
    </row>
    <row r="591">
      <c r="A591" s="4"/>
      <c r="B591" s="4"/>
      <c r="C591" s="4"/>
      <c r="D591" s="4"/>
      <c r="E591" s="4"/>
      <c r="F591" s="4"/>
      <c r="G591" s="4"/>
    </row>
    <row r="592">
      <c r="A592" s="4"/>
      <c r="B592" s="4"/>
      <c r="C592" s="4"/>
      <c r="D592" s="4"/>
      <c r="E592" s="4"/>
      <c r="F592" s="4"/>
      <c r="G592" s="4"/>
    </row>
    <row r="593">
      <c r="A593" s="4"/>
      <c r="B593" s="4"/>
      <c r="C593" s="4"/>
      <c r="D593" s="4"/>
      <c r="E593" s="4"/>
      <c r="F593" s="4"/>
      <c r="G593" s="4"/>
    </row>
    <row r="594">
      <c r="A594" s="4"/>
      <c r="B594" s="4"/>
      <c r="C594" s="4"/>
      <c r="D594" s="4"/>
      <c r="E594" s="4"/>
      <c r="F594" s="4"/>
      <c r="G594" s="4"/>
    </row>
    <row r="595">
      <c r="A595" s="4"/>
      <c r="B595" s="4"/>
      <c r="C595" s="4"/>
      <c r="D595" s="4"/>
      <c r="E595" s="4"/>
      <c r="F595" s="4"/>
      <c r="G595" s="4"/>
    </row>
    <row r="596">
      <c r="A596" s="4"/>
      <c r="B596" s="4"/>
      <c r="C596" s="4"/>
      <c r="D596" s="4"/>
      <c r="E596" s="4"/>
      <c r="F596" s="4"/>
      <c r="G596" s="4"/>
    </row>
    <row r="597">
      <c r="A597" s="4"/>
      <c r="B597" s="4"/>
      <c r="C597" s="4"/>
      <c r="D597" s="4"/>
      <c r="E597" s="4"/>
      <c r="F597" s="4"/>
      <c r="G597" s="4"/>
    </row>
    <row r="598">
      <c r="A598" s="4"/>
      <c r="B598" s="4"/>
      <c r="C598" s="4"/>
      <c r="D598" s="4"/>
      <c r="E598" s="4"/>
      <c r="F598" s="4"/>
      <c r="G598" s="4"/>
    </row>
    <row r="599">
      <c r="A599" s="4"/>
      <c r="B599" s="4"/>
      <c r="C599" s="4"/>
      <c r="D599" s="4"/>
      <c r="E599" s="4"/>
      <c r="F599" s="4"/>
      <c r="G599" s="4"/>
    </row>
    <row r="600">
      <c r="A600" s="4"/>
      <c r="B600" s="4"/>
      <c r="C600" s="4"/>
      <c r="D600" s="4"/>
      <c r="E600" s="4"/>
      <c r="F600" s="4"/>
      <c r="G600" s="4"/>
    </row>
    <row r="601">
      <c r="A601" s="4"/>
      <c r="B601" s="4"/>
      <c r="C601" s="4"/>
      <c r="D601" s="4"/>
      <c r="E601" s="4"/>
      <c r="F601" s="4"/>
      <c r="G601" s="4"/>
    </row>
    <row r="602">
      <c r="A602" s="4"/>
      <c r="B602" s="4"/>
      <c r="C602" s="4"/>
      <c r="D602" s="4"/>
      <c r="E602" s="4"/>
      <c r="F602" s="4"/>
      <c r="G602" s="4"/>
    </row>
    <row r="603">
      <c r="A603" s="4"/>
      <c r="B603" s="4"/>
      <c r="C603" s="4"/>
      <c r="D603" s="4"/>
      <c r="E603" s="4"/>
      <c r="F603" s="4"/>
      <c r="G603" s="4"/>
    </row>
    <row r="604">
      <c r="A604" s="4"/>
      <c r="B604" s="4"/>
      <c r="C604" s="4"/>
      <c r="D604" s="4"/>
      <c r="E604" s="4"/>
      <c r="F604" s="4"/>
      <c r="G604" s="4"/>
    </row>
    <row r="605">
      <c r="A605" s="4"/>
      <c r="B605" s="4"/>
      <c r="C605" s="4"/>
      <c r="D605" s="4"/>
      <c r="E605" s="4"/>
      <c r="F605" s="4"/>
      <c r="G605" s="4"/>
    </row>
    <row r="606">
      <c r="A606" s="4"/>
      <c r="B606" s="4"/>
      <c r="C606" s="4"/>
      <c r="D606" s="4"/>
      <c r="E606" s="4"/>
      <c r="F606" s="4"/>
      <c r="G606" s="4"/>
    </row>
    <row r="607">
      <c r="A607" s="4"/>
      <c r="B607" s="4"/>
      <c r="C607" s="4"/>
      <c r="D607" s="4"/>
      <c r="E607" s="4"/>
      <c r="F607" s="4"/>
      <c r="G607" s="4"/>
    </row>
    <row r="608">
      <c r="A608" s="4"/>
      <c r="B608" s="4"/>
      <c r="C608" s="4"/>
      <c r="D608" s="4"/>
      <c r="E608" s="4"/>
      <c r="F608" s="4"/>
      <c r="G608" s="4"/>
    </row>
    <row r="609">
      <c r="A609" s="4"/>
      <c r="B609" s="4"/>
      <c r="C609" s="4"/>
      <c r="D609" s="4"/>
      <c r="E609" s="4"/>
      <c r="F609" s="4"/>
      <c r="G609" s="4"/>
    </row>
    <row r="610">
      <c r="A610" s="4"/>
      <c r="B610" s="4"/>
      <c r="C610" s="4"/>
      <c r="D610" s="4"/>
      <c r="E610" s="4"/>
      <c r="F610" s="4"/>
      <c r="G610" s="4"/>
    </row>
    <row r="611">
      <c r="A611" s="4"/>
      <c r="B611" s="4"/>
      <c r="C611" s="4"/>
      <c r="D611" s="4"/>
      <c r="E611" s="4"/>
      <c r="F611" s="4"/>
      <c r="G611" s="4"/>
    </row>
    <row r="612">
      <c r="A612" s="4"/>
      <c r="B612" s="4"/>
      <c r="C612" s="4"/>
      <c r="D612" s="4"/>
      <c r="E612" s="4"/>
      <c r="F612" s="4"/>
      <c r="G612" s="4"/>
    </row>
    <row r="613">
      <c r="A613" s="4"/>
      <c r="B613" s="4"/>
      <c r="C613" s="4"/>
      <c r="D613" s="4"/>
      <c r="E613" s="4"/>
      <c r="F613" s="4"/>
      <c r="G613" s="4"/>
    </row>
    <row r="614">
      <c r="A614" s="4"/>
      <c r="B614" s="4"/>
      <c r="C614" s="4"/>
      <c r="D614" s="4"/>
      <c r="E614" s="4"/>
      <c r="F614" s="4"/>
      <c r="G614" s="4"/>
    </row>
    <row r="615">
      <c r="A615" s="4"/>
      <c r="B615" s="4"/>
      <c r="C615" s="4"/>
      <c r="D615" s="4"/>
      <c r="E615" s="4"/>
      <c r="F615" s="4"/>
      <c r="G615" s="4"/>
    </row>
    <row r="616">
      <c r="A616" s="4"/>
      <c r="B616" s="4"/>
      <c r="C616" s="4"/>
      <c r="D616" s="4"/>
      <c r="E616" s="4"/>
      <c r="F616" s="4"/>
      <c r="G616" s="4"/>
    </row>
    <row r="617">
      <c r="A617" s="4"/>
      <c r="B617" s="4"/>
      <c r="C617" s="4"/>
      <c r="D617" s="4"/>
      <c r="E617" s="4"/>
      <c r="F617" s="4"/>
      <c r="G617" s="4"/>
    </row>
    <row r="618">
      <c r="A618" s="4"/>
      <c r="B618" s="4"/>
      <c r="C618" s="4"/>
      <c r="D618" s="4"/>
      <c r="E618" s="4"/>
      <c r="F618" s="4"/>
      <c r="G618" s="4"/>
    </row>
    <row r="619">
      <c r="A619" s="4"/>
      <c r="B619" s="4"/>
      <c r="C619" s="4"/>
      <c r="D619" s="4"/>
      <c r="E619" s="4"/>
      <c r="F619" s="4"/>
      <c r="G619" s="4"/>
    </row>
    <row r="620">
      <c r="A620" s="4"/>
      <c r="B620" s="4"/>
      <c r="C620" s="4"/>
      <c r="D620" s="4"/>
      <c r="E620" s="4"/>
      <c r="F620" s="4"/>
      <c r="G620" s="4"/>
    </row>
    <row r="621">
      <c r="A621" s="4"/>
      <c r="B621" s="4"/>
      <c r="C621" s="4"/>
      <c r="D621" s="4"/>
      <c r="E621" s="4"/>
      <c r="F621" s="4"/>
      <c r="G621" s="4"/>
    </row>
    <row r="622">
      <c r="A622" s="4"/>
      <c r="B622" s="4"/>
      <c r="C622" s="4"/>
      <c r="D622" s="4"/>
      <c r="E622" s="4"/>
      <c r="F622" s="4"/>
      <c r="G622" s="4"/>
    </row>
    <row r="623">
      <c r="A623" s="4"/>
      <c r="B623" s="4"/>
      <c r="C623" s="4"/>
      <c r="D623" s="4"/>
      <c r="E623" s="4"/>
      <c r="F623" s="4"/>
      <c r="G623" s="4"/>
    </row>
    <row r="624">
      <c r="A624" s="4"/>
      <c r="B624" s="4"/>
      <c r="C624" s="4"/>
      <c r="D624" s="4"/>
      <c r="E624" s="4"/>
      <c r="F624" s="4"/>
      <c r="G624" s="4"/>
    </row>
    <row r="625">
      <c r="A625" s="4"/>
      <c r="B625" s="4"/>
      <c r="C625" s="4"/>
      <c r="D625" s="4"/>
      <c r="E625" s="4"/>
      <c r="F625" s="4"/>
      <c r="G625" s="4"/>
    </row>
    <row r="626">
      <c r="A626" s="4"/>
      <c r="B626" s="4"/>
      <c r="C626" s="4"/>
      <c r="D626" s="4"/>
      <c r="E626" s="4"/>
      <c r="F626" s="4"/>
      <c r="G626" s="4"/>
    </row>
    <row r="627">
      <c r="A627" s="4"/>
      <c r="B627" s="4"/>
      <c r="C627" s="4"/>
      <c r="D627" s="4"/>
      <c r="E627" s="4"/>
      <c r="F627" s="4"/>
      <c r="G627" s="4"/>
    </row>
    <row r="628">
      <c r="A628" s="4"/>
      <c r="B628" s="4"/>
      <c r="C628" s="4"/>
      <c r="D628" s="4"/>
      <c r="E628" s="4"/>
      <c r="F628" s="4"/>
      <c r="G628" s="4"/>
    </row>
    <row r="629">
      <c r="A629" s="4"/>
      <c r="B629" s="4"/>
      <c r="C629" s="4"/>
      <c r="D629" s="4"/>
      <c r="E629" s="4"/>
      <c r="F629" s="4"/>
      <c r="G629" s="4"/>
    </row>
    <row r="630">
      <c r="A630" s="4"/>
      <c r="B630" s="4"/>
      <c r="C630" s="4"/>
      <c r="D630" s="4"/>
      <c r="E630" s="4"/>
      <c r="F630" s="4"/>
      <c r="G630" s="4"/>
    </row>
    <row r="631">
      <c r="A631" s="4"/>
      <c r="B631" s="4"/>
      <c r="C631" s="4"/>
      <c r="D631" s="4"/>
      <c r="E631" s="4"/>
      <c r="F631" s="4"/>
      <c r="G631" s="4"/>
    </row>
    <row r="632">
      <c r="A632" s="4"/>
      <c r="B632" s="4"/>
      <c r="C632" s="4"/>
      <c r="D632" s="4"/>
      <c r="E632" s="4"/>
      <c r="F632" s="4"/>
      <c r="G632" s="4"/>
    </row>
    <row r="633">
      <c r="A633" s="4"/>
      <c r="B633" s="4"/>
      <c r="C633" s="4"/>
      <c r="D633" s="4"/>
      <c r="E633" s="4"/>
      <c r="F633" s="4"/>
      <c r="G633" s="4"/>
    </row>
    <row r="634">
      <c r="A634" s="4"/>
      <c r="B634" s="4"/>
      <c r="C634" s="4"/>
      <c r="D634" s="4"/>
      <c r="E634" s="4"/>
      <c r="F634" s="4"/>
      <c r="G634" s="4"/>
    </row>
    <row r="635">
      <c r="A635" s="4"/>
      <c r="B635" s="4"/>
      <c r="C635" s="4"/>
      <c r="D635" s="4"/>
      <c r="E635" s="4"/>
      <c r="F635" s="4"/>
      <c r="G635" s="4"/>
    </row>
    <row r="636">
      <c r="A636" s="4"/>
      <c r="B636" s="4"/>
      <c r="C636" s="4"/>
      <c r="D636" s="4"/>
      <c r="E636" s="4"/>
      <c r="F636" s="4"/>
      <c r="G636" s="4"/>
    </row>
    <row r="637">
      <c r="A637" s="4"/>
      <c r="B637" s="4"/>
      <c r="C637" s="4"/>
      <c r="D637" s="4"/>
      <c r="E637" s="4"/>
      <c r="F637" s="4"/>
      <c r="G637" s="4"/>
    </row>
    <row r="638">
      <c r="A638" s="4"/>
      <c r="B638" s="4"/>
      <c r="C638" s="4"/>
      <c r="D638" s="4"/>
      <c r="E638" s="4"/>
      <c r="F638" s="4"/>
      <c r="G638" s="4"/>
    </row>
    <row r="639">
      <c r="A639" s="4"/>
      <c r="B639" s="4"/>
      <c r="C639" s="4"/>
      <c r="D639" s="4"/>
      <c r="E639" s="4"/>
      <c r="F639" s="4"/>
      <c r="G639" s="4"/>
    </row>
    <row r="640">
      <c r="A640" s="4"/>
      <c r="B640" s="4"/>
      <c r="C640" s="4"/>
      <c r="D640" s="4"/>
      <c r="E640" s="4"/>
      <c r="F640" s="4"/>
      <c r="G640" s="4"/>
    </row>
    <row r="641">
      <c r="A641" s="4"/>
      <c r="B641" s="4"/>
      <c r="C641" s="4"/>
      <c r="D641" s="4"/>
      <c r="E641" s="4"/>
      <c r="F641" s="4"/>
      <c r="G641" s="4"/>
    </row>
    <row r="642">
      <c r="A642" s="4"/>
      <c r="B642" s="4"/>
      <c r="C642" s="4"/>
      <c r="D642" s="4"/>
      <c r="E642" s="4"/>
      <c r="F642" s="4"/>
      <c r="G642" s="4"/>
    </row>
    <row r="643">
      <c r="A643" s="4"/>
      <c r="B643" s="4"/>
      <c r="C643" s="4"/>
      <c r="D643" s="4"/>
      <c r="E643" s="4"/>
      <c r="F643" s="4"/>
      <c r="G643" s="4"/>
    </row>
    <row r="644">
      <c r="A644" s="4"/>
      <c r="B644" s="4"/>
      <c r="C644" s="4"/>
      <c r="D644" s="4"/>
      <c r="E644" s="4"/>
      <c r="F644" s="4"/>
      <c r="G644" s="4"/>
    </row>
    <row r="645">
      <c r="A645" s="4"/>
      <c r="B645" s="4"/>
      <c r="C645" s="4"/>
      <c r="D645" s="4"/>
      <c r="E645" s="4"/>
      <c r="F645" s="4"/>
      <c r="G645" s="4"/>
    </row>
    <row r="646">
      <c r="A646" s="4"/>
      <c r="B646" s="4"/>
      <c r="C646" s="4"/>
      <c r="D646" s="4"/>
      <c r="E646" s="4"/>
      <c r="F646" s="4"/>
      <c r="G646" s="4"/>
    </row>
    <row r="647">
      <c r="A647" s="4"/>
      <c r="B647" s="4"/>
      <c r="C647" s="4"/>
      <c r="D647" s="4"/>
      <c r="E647" s="4"/>
      <c r="F647" s="4"/>
      <c r="G647" s="4"/>
    </row>
    <row r="648">
      <c r="A648" s="4"/>
      <c r="B648" s="4"/>
      <c r="C648" s="4"/>
      <c r="D648" s="4"/>
      <c r="E648" s="4"/>
      <c r="F648" s="4"/>
      <c r="G648" s="4"/>
    </row>
    <row r="649">
      <c r="A649" s="4"/>
      <c r="B649" s="4"/>
      <c r="C649" s="4"/>
      <c r="D649" s="4"/>
      <c r="E649" s="4"/>
      <c r="F649" s="4"/>
      <c r="G649" s="4"/>
    </row>
    <row r="650">
      <c r="A650" s="4"/>
      <c r="B650" s="4"/>
      <c r="C650" s="4"/>
      <c r="D650" s="4"/>
      <c r="E650" s="4"/>
      <c r="F650" s="4"/>
      <c r="G650" s="4"/>
    </row>
    <row r="651">
      <c r="A651" s="4"/>
      <c r="B651" s="4"/>
      <c r="C651" s="4"/>
      <c r="D651" s="4"/>
      <c r="E651" s="4"/>
      <c r="F651" s="4"/>
      <c r="G651" s="4"/>
    </row>
    <row r="652">
      <c r="A652" s="4"/>
      <c r="B652" s="4"/>
      <c r="C652" s="4"/>
      <c r="D652" s="4"/>
      <c r="E652" s="4"/>
      <c r="F652" s="4"/>
      <c r="G652" s="4"/>
    </row>
    <row r="653">
      <c r="A653" s="4"/>
      <c r="B653" s="4"/>
      <c r="C653" s="4"/>
      <c r="D653" s="4"/>
      <c r="E653" s="4"/>
      <c r="F653" s="4"/>
      <c r="G653" s="4"/>
    </row>
    <row r="654">
      <c r="A654" s="4"/>
      <c r="B654" s="4"/>
      <c r="C654" s="4"/>
      <c r="D654" s="4"/>
      <c r="E654" s="4"/>
      <c r="F654" s="4"/>
      <c r="G654" s="4"/>
    </row>
    <row r="655">
      <c r="A655" s="4"/>
      <c r="B655" s="4"/>
      <c r="C655" s="4"/>
      <c r="D655" s="4"/>
      <c r="E655" s="4"/>
      <c r="F655" s="4"/>
      <c r="G655" s="4"/>
    </row>
    <row r="656">
      <c r="A656" s="4"/>
      <c r="B656" s="4"/>
      <c r="C656" s="4"/>
      <c r="D656" s="4"/>
      <c r="E656" s="4"/>
      <c r="F656" s="4"/>
      <c r="G656" s="4"/>
    </row>
    <row r="657">
      <c r="A657" s="4"/>
      <c r="B657" s="4"/>
      <c r="C657" s="4"/>
      <c r="D657" s="4"/>
      <c r="E657" s="4"/>
      <c r="F657" s="4"/>
      <c r="G657" s="4"/>
    </row>
    <row r="658">
      <c r="A658" s="4"/>
      <c r="B658" s="4"/>
      <c r="C658" s="4"/>
      <c r="D658" s="4"/>
      <c r="E658" s="4"/>
      <c r="F658" s="4"/>
      <c r="G658" s="4"/>
    </row>
    <row r="659">
      <c r="A659" s="4"/>
      <c r="B659" s="4"/>
      <c r="C659" s="4"/>
      <c r="D659" s="4"/>
      <c r="E659" s="4"/>
      <c r="F659" s="4"/>
      <c r="G659" s="4"/>
    </row>
    <row r="660">
      <c r="A660" s="4"/>
      <c r="B660" s="4"/>
      <c r="C660" s="4"/>
      <c r="D660" s="4"/>
      <c r="E660" s="4"/>
      <c r="F660" s="4"/>
      <c r="G660" s="4"/>
    </row>
    <row r="661">
      <c r="A661" s="4"/>
      <c r="B661" s="4"/>
      <c r="C661" s="4"/>
      <c r="D661" s="4"/>
      <c r="E661" s="4"/>
      <c r="F661" s="4"/>
      <c r="G661" s="4"/>
    </row>
    <row r="662">
      <c r="A662" s="4"/>
      <c r="B662" s="4"/>
      <c r="C662" s="4"/>
      <c r="D662" s="4"/>
      <c r="E662" s="4"/>
      <c r="F662" s="4"/>
      <c r="G662" s="4"/>
    </row>
    <row r="663">
      <c r="A663" s="4"/>
      <c r="B663" s="4"/>
      <c r="C663" s="4"/>
      <c r="D663" s="4"/>
      <c r="E663" s="4"/>
      <c r="F663" s="4"/>
      <c r="G663" s="4"/>
    </row>
    <row r="664">
      <c r="A664" s="4"/>
      <c r="B664" s="4"/>
      <c r="C664" s="4"/>
      <c r="D664" s="4"/>
      <c r="E664" s="4"/>
      <c r="F664" s="4"/>
      <c r="G664" s="4"/>
    </row>
    <row r="665">
      <c r="A665" s="4"/>
      <c r="B665" s="4"/>
      <c r="C665" s="4"/>
      <c r="D665" s="4"/>
      <c r="E665" s="4"/>
      <c r="F665" s="4"/>
      <c r="G665" s="4"/>
    </row>
    <row r="666">
      <c r="A666" s="4"/>
      <c r="B666" s="4"/>
      <c r="C666" s="4"/>
      <c r="D666" s="4"/>
      <c r="E666" s="4"/>
      <c r="F666" s="4"/>
      <c r="G666" s="4"/>
    </row>
    <row r="667">
      <c r="A667" s="4"/>
      <c r="B667" s="4"/>
      <c r="C667" s="4"/>
      <c r="D667" s="4"/>
      <c r="E667" s="4"/>
      <c r="F667" s="4"/>
      <c r="G667" s="4"/>
    </row>
    <row r="668">
      <c r="A668" s="4"/>
      <c r="B668" s="4"/>
      <c r="C668" s="4"/>
      <c r="D668" s="4"/>
      <c r="E668" s="4"/>
      <c r="F668" s="4"/>
      <c r="G668" s="4"/>
    </row>
    <row r="669">
      <c r="A669" s="4"/>
      <c r="B669" s="4"/>
      <c r="C669" s="4"/>
      <c r="D669" s="4"/>
      <c r="E669" s="4"/>
      <c r="F669" s="4"/>
      <c r="G669" s="4"/>
    </row>
    <row r="670">
      <c r="A670" s="4"/>
      <c r="B670" s="4"/>
      <c r="C670" s="4"/>
      <c r="D670" s="4"/>
      <c r="E670" s="4"/>
      <c r="F670" s="4"/>
      <c r="G670" s="4"/>
    </row>
    <row r="671">
      <c r="A671" s="4"/>
      <c r="B671" s="4"/>
      <c r="C671" s="4"/>
      <c r="D671" s="4"/>
      <c r="E671" s="4"/>
      <c r="F671" s="4"/>
      <c r="G671" s="4"/>
    </row>
    <row r="672">
      <c r="A672" s="4"/>
      <c r="B672" s="4"/>
      <c r="C672" s="4"/>
      <c r="D672" s="4"/>
      <c r="E672" s="4"/>
      <c r="F672" s="4"/>
      <c r="G672" s="4"/>
    </row>
    <row r="673">
      <c r="A673" s="4"/>
      <c r="B673" s="4"/>
      <c r="C673" s="4"/>
      <c r="D673" s="4"/>
      <c r="E673" s="4"/>
      <c r="F673" s="4"/>
      <c r="G673" s="4"/>
    </row>
    <row r="674">
      <c r="A674" s="4"/>
      <c r="B674" s="4"/>
      <c r="C674" s="4"/>
      <c r="D674" s="4"/>
      <c r="E674" s="4"/>
      <c r="F674" s="4"/>
      <c r="G674" s="4"/>
    </row>
    <row r="675">
      <c r="A675" s="4"/>
      <c r="B675" s="4"/>
      <c r="C675" s="4"/>
      <c r="D675" s="4"/>
      <c r="E675" s="4"/>
      <c r="F675" s="4"/>
      <c r="G675" s="4"/>
    </row>
    <row r="676">
      <c r="A676" s="4"/>
      <c r="B676" s="4"/>
      <c r="C676" s="4"/>
      <c r="D676" s="4"/>
      <c r="E676" s="4"/>
      <c r="F676" s="4"/>
      <c r="G676" s="4"/>
    </row>
    <row r="677">
      <c r="A677" s="4"/>
      <c r="B677" s="4"/>
      <c r="C677" s="4"/>
      <c r="D677" s="4"/>
      <c r="E677" s="4"/>
      <c r="F677" s="4"/>
      <c r="G677" s="4"/>
    </row>
    <row r="678">
      <c r="A678" s="4"/>
      <c r="B678" s="4"/>
      <c r="C678" s="4"/>
      <c r="D678" s="4"/>
      <c r="E678" s="4"/>
      <c r="F678" s="4"/>
      <c r="G678" s="4"/>
    </row>
    <row r="679">
      <c r="A679" s="4"/>
      <c r="B679" s="4"/>
      <c r="C679" s="4"/>
      <c r="D679" s="4"/>
      <c r="E679" s="4"/>
      <c r="F679" s="4"/>
      <c r="G679" s="4"/>
    </row>
    <row r="680">
      <c r="A680" s="4"/>
      <c r="B680" s="4"/>
      <c r="C680" s="4"/>
      <c r="D680" s="4"/>
      <c r="E680" s="4"/>
      <c r="F680" s="4"/>
      <c r="G680" s="4"/>
    </row>
    <row r="681">
      <c r="A681" s="4"/>
      <c r="B681" s="4"/>
      <c r="C681" s="4"/>
      <c r="D681" s="4"/>
      <c r="E681" s="4"/>
      <c r="F681" s="4"/>
      <c r="G681" s="4"/>
    </row>
    <row r="682">
      <c r="A682" s="4"/>
      <c r="B682" s="4"/>
      <c r="C682" s="4"/>
      <c r="D682" s="4"/>
      <c r="E682" s="4"/>
      <c r="F682" s="4"/>
      <c r="G682" s="4"/>
    </row>
    <row r="683">
      <c r="A683" s="4"/>
      <c r="B683" s="4"/>
      <c r="C683" s="4"/>
      <c r="D683" s="4"/>
      <c r="E683" s="4"/>
      <c r="F683" s="4"/>
      <c r="G683" s="4"/>
    </row>
    <row r="684">
      <c r="A684" s="4"/>
      <c r="B684" s="4"/>
      <c r="C684" s="4"/>
      <c r="D684" s="4"/>
      <c r="E684" s="4"/>
      <c r="F684" s="4"/>
      <c r="G684" s="4"/>
    </row>
    <row r="685">
      <c r="A685" s="4"/>
      <c r="B685" s="4"/>
      <c r="C685" s="4"/>
      <c r="D685" s="4"/>
      <c r="E685" s="4"/>
      <c r="F685" s="4"/>
      <c r="G685" s="4"/>
    </row>
    <row r="686">
      <c r="A686" s="4"/>
      <c r="B686" s="4"/>
      <c r="C686" s="4"/>
      <c r="D686" s="4"/>
      <c r="E686" s="4"/>
      <c r="F686" s="4"/>
      <c r="G686" s="4"/>
    </row>
    <row r="687">
      <c r="A687" s="4"/>
      <c r="B687" s="4"/>
      <c r="C687" s="4"/>
      <c r="D687" s="4"/>
      <c r="E687" s="4"/>
      <c r="F687" s="4"/>
      <c r="G687" s="4"/>
    </row>
    <row r="688">
      <c r="A688" s="4"/>
      <c r="B688" s="4"/>
      <c r="C688" s="4"/>
      <c r="D688" s="4"/>
      <c r="E688" s="4"/>
      <c r="F688" s="4"/>
      <c r="G688" s="4"/>
    </row>
    <row r="689">
      <c r="A689" s="4"/>
      <c r="B689" s="4"/>
      <c r="C689" s="4"/>
      <c r="D689" s="4"/>
      <c r="E689" s="4"/>
      <c r="F689" s="4"/>
      <c r="G689" s="4"/>
    </row>
    <row r="690">
      <c r="A690" s="4"/>
      <c r="B690" s="4"/>
      <c r="C690" s="4"/>
      <c r="D690" s="4"/>
      <c r="E690" s="4"/>
      <c r="F690" s="4"/>
      <c r="G690" s="4"/>
    </row>
    <row r="691">
      <c r="A691" s="4"/>
      <c r="B691" s="4"/>
      <c r="C691" s="4"/>
      <c r="D691" s="4"/>
      <c r="E691" s="4"/>
      <c r="F691" s="4"/>
      <c r="G691" s="4"/>
    </row>
    <row r="692">
      <c r="A692" s="4"/>
      <c r="B692" s="4"/>
      <c r="C692" s="4"/>
      <c r="D692" s="4"/>
      <c r="E692" s="4"/>
      <c r="F692" s="4"/>
      <c r="G692" s="4"/>
    </row>
    <row r="693">
      <c r="A693" s="4"/>
      <c r="B693" s="4"/>
      <c r="C693" s="4"/>
      <c r="D693" s="4"/>
      <c r="E693" s="4"/>
      <c r="F693" s="4"/>
      <c r="G693" s="4"/>
    </row>
    <row r="694">
      <c r="A694" s="4"/>
      <c r="B694" s="4"/>
      <c r="C694" s="4"/>
      <c r="D694" s="4"/>
      <c r="E694" s="4"/>
      <c r="F694" s="4"/>
      <c r="G694" s="4"/>
    </row>
    <row r="695">
      <c r="A695" s="4"/>
      <c r="B695" s="4"/>
      <c r="C695" s="4"/>
      <c r="D695" s="4"/>
      <c r="E695" s="4"/>
      <c r="F695" s="4"/>
      <c r="G695" s="4"/>
    </row>
    <row r="696">
      <c r="A696" s="4"/>
      <c r="B696" s="4"/>
      <c r="C696" s="4"/>
      <c r="D696" s="4"/>
      <c r="E696" s="4"/>
      <c r="F696" s="4"/>
      <c r="G696" s="4"/>
    </row>
    <row r="697">
      <c r="A697" s="4"/>
      <c r="B697" s="4"/>
      <c r="C697" s="4"/>
      <c r="D697" s="4"/>
      <c r="E697" s="4"/>
      <c r="F697" s="4"/>
      <c r="G697" s="4"/>
    </row>
    <row r="698">
      <c r="A698" s="4"/>
      <c r="B698" s="4"/>
      <c r="C698" s="4"/>
      <c r="D698" s="4"/>
      <c r="E698" s="4"/>
      <c r="F698" s="4"/>
      <c r="G698" s="4"/>
    </row>
    <row r="699">
      <c r="A699" s="4"/>
      <c r="B699" s="4"/>
      <c r="C699" s="4"/>
      <c r="D699" s="4"/>
      <c r="E699" s="4"/>
      <c r="F699" s="4"/>
      <c r="G699" s="4"/>
    </row>
    <row r="700">
      <c r="A700" s="4"/>
      <c r="B700" s="4"/>
      <c r="C700" s="4"/>
      <c r="D700" s="4"/>
      <c r="E700" s="4"/>
      <c r="F700" s="4"/>
      <c r="G700" s="4"/>
    </row>
    <row r="701">
      <c r="A701" s="4"/>
      <c r="B701" s="4"/>
      <c r="C701" s="4"/>
      <c r="D701" s="4"/>
      <c r="E701" s="4"/>
      <c r="F701" s="4"/>
      <c r="G701" s="4"/>
    </row>
    <row r="702">
      <c r="A702" s="4"/>
      <c r="B702" s="4"/>
      <c r="C702" s="4"/>
      <c r="D702" s="4"/>
      <c r="E702" s="4"/>
      <c r="F702" s="4"/>
      <c r="G702" s="4"/>
    </row>
    <row r="703">
      <c r="A703" s="4"/>
      <c r="B703" s="4"/>
      <c r="C703" s="4"/>
      <c r="D703" s="4"/>
      <c r="E703" s="4"/>
      <c r="F703" s="4"/>
      <c r="G703" s="4"/>
    </row>
    <row r="704">
      <c r="A704" s="4"/>
      <c r="B704" s="4"/>
      <c r="C704" s="4"/>
      <c r="D704" s="4"/>
      <c r="E704" s="4"/>
      <c r="F704" s="4"/>
      <c r="G704" s="4"/>
    </row>
    <row r="705">
      <c r="A705" s="4"/>
      <c r="B705" s="4"/>
      <c r="C705" s="4"/>
      <c r="D705" s="4"/>
      <c r="E705" s="4"/>
      <c r="F705" s="4"/>
      <c r="G705" s="4"/>
    </row>
    <row r="706">
      <c r="A706" s="4"/>
      <c r="B706" s="4"/>
      <c r="C706" s="4"/>
      <c r="D706" s="4"/>
      <c r="E706" s="4"/>
      <c r="F706" s="4"/>
      <c r="G706" s="4"/>
    </row>
    <row r="707">
      <c r="A707" s="4"/>
      <c r="B707" s="4"/>
      <c r="C707" s="4"/>
      <c r="D707" s="4"/>
      <c r="E707" s="4"/>
      <c r="F707" s="4"/>
      <c r="G707" s="4"/>
    </row>
    <row r="708">
      <c r="A708" s="4"/>
      <c r="B708" s="4"/>
      <c r="C708" s="4"/>
      <c r="D708" s="4"/>
      <c r="E708" s="4"/>
      <c r="F708" s="4"/>
      <c r="G708" s="4"/>
    </row>
    <row r="709">
      <c r="A709" s="4"/>
      <c r="B709" s="4"/>
      <c r="C709" s="4"/>
      <c r="D709" s="4"/>
      <c r="E709" s="4"/>
      <c r="F709" s="4"/>
      <c r="G709" s="4"/>
    </row>
    <row r="710">
      <c r="A710" s="4"/>
      <c r="B710" s="4"/>
      <c r="C710" s="4"/>
      <c r="D710" s="4"/>
      <c r="E710" s="4"/>
      <c r="F710" s="4"/>
      <c r="G710" s="4"/>
    </row>
    <row r="711">
      <c r="A711" s="4"/>
      <c r="B711" s="4"/>
      <c r="C711" s="4"/>
      <c r="D711" s="4"/>
      <c r="E711" s="4"/>
      <c r="F711" s="4"/>
      <c r="G711" s="4"/>
    </row>
    <row r="712">
      <c r="A712" s="4"/>
      <c r="B712" s="4"/>
      <c r="C712" s="4"/>
      <c r="D712" s="4"/>
      <c r="E712" s="4"/>
      <c r="F712" s="4"/>
      <c r="G712" s="4"/>
    </row>
    <row r="713">
      <c r="A713" s="4"/>
      <c r="B713" s="4"/>
      <c r="C713" s="4"/>
      <c r="D713" s="4"/>
      <c r="E713" s="4"/>
      <c r="F713" s="4"/>
      <c r="G713" s="4"/>
    </row>
    <row r="714">
      <c r="A714" s="4"/>
      <c r="B714" s="4"/>
      <c r="C714" s="4"/>
      <c r="D714" s="4"/>
      <c r="E714" s="4"/>
      <c r="F714" s="4"/>
      <c r="G714" s="4"/>
    </row>
    <row r="715">
      <c r="A715" s="4"/>
      <c r="B715" s="4"/>
      <c r="C715" s="4"/>
      <c r="D715" s="4"/>
      <c r="E715" s="4"/>
      <c r="F715" s="4"/>
      <c r="G715" s="4"/>
    </row>
    <row r="716">
      <c r="A716" s="4"/>
      <c r="B716" s="4"/>
      <c r="C716" s="4"/>
      <c r="D716" s="4"/>
      <c r="E716" s="4"/>
      <c r="F716" s="4"/>
      <c r="G716" s="4"/>
    </row>
    <row r="717">
      <c r="A717" s="4"/>
      <c r="B717" s="4"/>
      <c r="C717" s="4"/>
      <c r="D717" s="4"/>
      <c r="E717" s="4"/>
      <c r="F717" s="4"/>
      <c r="G717" s="4"/>
    </row>
    <row r="718">
      <c r="A718" s="4"/>
      <c r="B718" s="4"/>
      <c r="C718" s="4"/>
      <c r="D718" s="4"/>
      <c r="E718" s="4"/>
      <c r="F718" s="4"/>
      <c r="G718" s="4"/>
    </row>
    <row r="719">
      <c r="A719" s="4"/>
      <c r="B719" s="4"/>
      <c r="C719" s="4"/>
      <c r="D719" s="4"/>
      <c r="E719" s="4"/>
      <c r="F719" s="4"/>
      <c r="G719" s="4"/>
    </row>
    <row r="720">
      <c r="A720" s="4"/>
      <c r="B720" s="4"/>
      <c r="C720" s="4"/>
      <c r="D720" s="4"/>
      <c r="E720" s="4"/>
      <c r="F720" s="4"/>
      <c r="G720" s="4"/>
    </row>
    <row r="721">
      <c r="A721" s="4"/>
      <c r="B721" s="4"/>
      <c r="C721" s="4"/>
      <c r="D721" s="4"/>
      <c r="E721" s="4"/>
      <c r="F721" s="4"/>
      <c r="G721" s="4"/>
    </row>
    <row r="722">
      <c r="A722" s="4"/>
      <c r="B722" s="4"/>
      <c r="C722" s="4"/>
      <c r="D722" s="4"/>
      <c r="E722" s="4"/>
      <c r="F722" s="4"/>
      <c r="G722" s="4"/>
    </row>
    <row r="723">
      <c r="A723" s="4"/>
      <c r="B723" s="4"/>
      <c r="C723" s="4"/>
      <c r="D723" s="4"/>
      <c r="E723" s="4"/>
      <c r="F723" s="4"/>
      <c r="G723" s="4"/>
    </row>
    <row r="724">
      <c r="A724" s="4"/>
      <c r="B724" s="4"/>
      <c r="C724" s="4"/>
      <c r="D724" s="4"/>
      <c r="E724" s="4"/>
      <c r="F724" s="4"/>
      <c r="G724" s="4"/>
    </row>
    <row r="725">
      <c r="A725" s="4"/>
      <c r="B725" s="4"/>
      <c r="C725" s="4"/>
      <c r="D725" s="4"/>
      <c r="E725" s="4"/>
      <c r="F725" s="4"/>
      <c r="G725" s="4"/>
    </row>
    <row r="726">
      <c r="A726" s="4"/>
      <c r="B726" s="4"/>
      <c r="C726" s="4"/>
      <c r="D726" s="4"/>
      <c r="E726" s="4"/>
      <c r="F726" s="4"/>
      <c r="G726" s="4"/>
    </row>
    <row r="727">
      <c r="A727" s="4"/>
      <c r="B727" s="4"/>
      <c r="C727" s="4"/>
      <c r="D727" s="4"/>
      <c r="E727" s="4"/>
      <c r="F727" s="4"/>
      <c r="G727" s="4"/>
    </row>
    <row r="728">
      <c r="A728" s="4"/>
      <c r="B728" s="4"/>
      <c r="C728" s="4"/>
      <c r="D728" s="4"/>
      <c r="E728" s="4"/>
      <c r="F728" s="4"/>
      <c r="G728" s="4"/>
    </row>
    <row r="729">
      <c r="A729" s="4"/>
      <c r="B729" s="4"/>
      <c r="C729" s="4"/>
      <c r="D729" s="4"/>
      <c r="E729" s="4"/>
      <c r="F729" s="4"/>
      <c r="G729" s="4"/>
    </row>
    <row r="730">
      <c r="A730" s="4"/>
      <c r="B730" s="4"/>
      <c r="C730" s="4"/>
      <c r="D730" s="4"/>
      <c r="E730" s="4"/>
      <c r="F730" s="4"/>
      <c r="G730" s="4"/>
    </row>
    <row r="731">
      <c r="A731" s="4"/>
      <c r="B731" s="4"/>
      <c r="C731" s="4"/>
      <c r="D731" s="4"/>
      <c r="E731" s="4"/>
      <c r="F731" s="4"/>
      <c r="G731" s="4"/>
    </row>
    <row r="732">
      <c r="A732" s="4"/>
      <c r="B732" s="4"/>
      <c r="C732" s="4"/>
      <c r="D732" s="4"/>
      <c r="E732" s="4"/>
      <c r="F732" s="4"/>
      <c r="G732" s="4"/>
    </row>
    <row r="733">
      <c r="A733" s="4"/>
      <c r="B733" s="4"/>
      <c r="C733" s="4"/>
      <c r="D733" s="4"/>
      <c r="E733" s="4"/>
      <c r="F733" s="4"/>
      <c r="G733" s="4"/>
    </row>
    <row r="734">
      <c r="A734" s="4"/>
      <c r="B734" s="4"/>
      <c r="C734" s="4"/>
      <c r="D734" s="4"/>
      <c r="E734" s="4"/>
      <c r="F734" s="4"/>
      <c r="G734" s="4"/>
    </row>
    <row r="735">
      <c r="A735" s="4"/>
      <c r="B735" s="4"/>
      <c r="C735" s="4"/>
      <c r="D735" s="4"/>
      <c r="E735" s="4"/>
      <c r="F735" s="4"/>
      <c r="G735" s="4"/>
    </row>
    <row r="736">
      <c r="A736" s="4"/>
      <c r="B736" s="4"/>
      <c r="C736" s="4"/>
      <c r="D736" s="4"/>
      <c r="E736" s="4"/>
      <c r="F736" s="4"/>
      <c r="G736" s="4"/>
    </row>
    <row r="737">
      <c r="A737" s="4"/>
      <c r="B737" s="4"/>
      <c r="C737" s="4"/>
      <c r="D737" s="4"/>
      <c r="E737" s="4"/>
      <c r="F737" s="4"/>
      <c r="G737" s="4"/>
    </row>
    <row r="738">
      <c r="A738" s="4"/>
      <c r="B738" s="4"/>
      <c r="C738" s="4"/>
      <c r="D738" s="4"/>
      <c r="E738" s="4"/>
      <c r="F738" s="4"/>
      <c r="G738" s="4"/>
    </row>
    <row r="739">
      <c r="A739" s="4"/>
      <c r="B739" s="4"/>
      <c r="C739" s="4"/>
      <c r="D739" s="4"/>
      <c r="E739" s="4"/>
      <c r="F739" s="4"/>
      <c r="G739" s="4"/>
    </row>
    <row r="740">
      <c r="A740" s="4"/>
      <c r="B740" s="4"/>
      <c r="C740" s="4"/>
      <c r="D740" s="4"/>
      <c r="E740" s="4"/>
      <c r="F740" s="4"/>
      <c r="G740" s="4"/>
    </row>
    <row r="741">
      <c r="A741" s="4"/>
      <c r="B741" s="4"/>
      <c r="C741" s="4"/>
      <c r="D741" s="4"/>
      <c r="E741" s="4"/>
      <c r="F741" s="4"/>
      <c r="G741" s="4"/>
    </row>
    <row r="742">
      <c r="A742" s="4"/>
      <c r="B742" s="4"/>
      <c r="C742" s="4"/>
      <c r="D742" s="4"/>
      <c r="E742" s="4"/>
      <c r="F742" s="4"/>
      <c r="G742" s="4"/>
    </row>
    <row r="743">
      <c r="A743" s="4"/>
      <c r="B743" s="4"/>
      <c r="C743" s="4"/>
      <c r="D743" s="4"/>
      <c r="E743" s="4"/>
      <c r="F743" s="4"/>
      <c r="G743" s="4"/>
    </row>
    <row r="744">
      <c r="A744" s="4"/>
      <c r="B744" s="4"/>
      <c r="C744" s="4"/>
      <c r="D744" s="4"/>
      <c r="E744" s="4"/>
      <c r="F744" s="4"/>
      <c r="G744" s="4"/>
    </row>
    <row r="745">
      <c r="A745" s="4"/>
      <c r="B745" s="4"/>
      <c r="C745" s="4"/>
      <c r="D745" s="4"/>
      <c r="E745" s="4"/>
      <c r="F745" s="4"/>
      <c r="G745" s="4"/>
    </row>
    <row r="746">
      <c r="A746" s="4"/>
      <c r="B746" s="4"/>
      <c r="C746" s="4"/>
      <c r="D746" s="4"/>
      <c r="E746" s="4"/>
      <c r="F746" s="4"/>
      <c r="G746" s="4"/>
    </row>
    <row r="747">
      <c r="A747" s="4"/>
      <c r="B747" s="4"/>
      <c r="C747" s="4"/>
      <c r="D747" s="4"/>
      <c r="E747" s="4"/>
      <c r="F747" s="4"/>
      <c r="G747" s="4"/>
    </row>
    <row r="748">
      <c r="A748" s="4"/>
      <c r="B748" s="4"/>
      <c r="C748" s="4"/>
      <c r="D748" s="4"/>
      <c r="E748" s="4"/>
      <c r="F748" s="4"/>
      <c r="G748" s="4"/>
    </row>
    <row r="749">
      <c r="A749" s="4"/>
      <c r="B749" s="4"/>
      <c r="C749" s="4"/>
      <c r="D749" s="4"/>
      <c r="E749" s="4"/>
      <c r="F749" s="4"/>
      <c r="G749" s="4"/>
    </row>
    <row r="750">
      <c r="A750" s="4"/>
      <c r="B750" s="4"/>
      <c r="C750" s="4"/>
      <c r="D750" s="4"/>
      <c r="E750" s="4"/>
      <c r="F750" s="4"/>
      <c r="G750" s="4"/>
    </row>
    <row r="751">
      <c r="A751" s="4"/>
      <c r="B751" s="4"/>
      <c r="C751" s="4"/>
      <c r="D751" s="4"/>
      <c r="E751" s="4"/>
      <c r="F751" s="4"/>
      <c r="G751" s="4"/>
    </row>
    <row r="752">
      <c r="A752" s="4"/>
      <c r="B752" s="4"/>
      <c r="C752" s="4"/>
      <c r="D752" s="4"/>
      <c r="E752" s="4"/>
      <c r="F752" s="4"/>
      <c r="G752" s="4"/>
    </row>
    <row r="753">
      <c r="A753" s="4"/>
      <c r="B753" s="4"/>
      <c r="C753" s="4"/>
      <c r="D753" s="4"/>
      <c r="E753" s="4"/>
      <c r="F753" s="4"/>
      <c r="G753" s="4"/>
    </row>
    <row r="754">
      <c r="A754" s="4"/>
      <c r="B754" s="4"/>
      <c r="C754" s="4"/>
      <c r="D754" s="4"/>
      <c r="E754" s="4"/>
      <c r="F754" s="4"/>
      <c r="G754" s="4"/>
    </row>
    <row r="755">
      <c r="A755" s="4"/>
      <c r="B755" s="4"/>
      <c r="C755" s="4"/>
      <c r="D755" s="4"/>
      <c r="E755" s="4"/>
      <c r="F755" s="4"/>
      <c r="G755" s="4"/>
    </row>
    <row r="756">
      <c r="A756" s="4"/>
      <c r="B756" s="4"/>
      <c r="C756" s="4"/>
      <c r="D756" s="4"/>
      <c r="E756" s="4"/>
      <c r="F756" s="4"/>
      <c r="G756" s="4"/>
    </row>
    <row r="757">
      <c r="A757" s="4"/>
      <c r="B757" s="4"/>
      <c r="C757" s="4"/>
      <c r="D757" s="4"/>
      <c r="E757" s="4"/>
      <c r="F757" s="4"/>
      <c r="G757" s="4"/>
    </row>
    <row r="758">
      <c r="A758" s="4"/>
      <c r="B758" s="4"/>
      <c r="C758" s="4"/>
      <c r="D758" s="4"/>
      <c r="E758" s="4"/>
      <c r="F758" s="4"/>
      <c r="G758" s="4"/>
    </row>
    <row r="759">
      <c r="A759" s="4"/>
      <c r="B759" s="4"/>
      <c r="C759" s="4"/>
      <c r="D759" s="4"/>
      <c r="E759" s="4"/>
      <c r="F759" s="4"/>
      <c r="G759" s="4"/>
    </row>
    <row r="760">
      <c r="A760" s="4"/>
      <c r="B760" s="4"/>
      <c r="C760" s="4"/>
      <c r="D760" s="4"/>
      <c r="E760" s="4"/>
      <c r="F760" s="4"/>
      <c r="G760" s="4"/>
    </row>
    <row r="761">
      <c r="A761" s="4"/>
      <c r="B761" s="4"/>
      <c r="C761" s="4"/>
      <c r="D761" s="4"/>
      <c r="E761" s="4"/>
      <c r="F761" s="4"/>
      <c r="G761" s="4"/>
    </row>
    <row r="762">
      <c r="A762" s="4"/>
      <c r="B762" s="4"/>
      <c r="C762" s="4"/>
      <c r="D762" s="4"/>
      <c r="E762" s="4"/>
      <c r="F762" s="4"/>
      <c r="G762" s="4"/>
    </row>
    <row r="763">
      <c r="A763" s="4"/>
      <c r="B763" s="4"/>
      <c r="C763" s="4"/>
      <c r="D763" s="4"/>
      <c r="E763" s="4"/>
      <c r="F763" s="4"/>
      <c r="G763" s="4"/>
    </row>
    <row r="764">
      <c r="A764" s="4"/>
      <c r="B764" s="4"/>
      <c r="C764" s="4"/>
      <c r="D764" s="4"/>
      <c r="E764" s="4"/>
      <c r="F764" s="4"/>
      <c r="G764" s="4"/>
    </row>
    <row r="765">
      <c r="A765" s="4"/>
      <c r="B765" s="4"/>
      <c r="C765" s="4"/>
      <c r="D765" s="4"/>
      <c r="E765" s="4"/>
      <c r="F765" s="4"/>
      <c r="G765" s="4"/>
    </row>
    <row r="766">
      <c r="A766" s="4"/>
      <c r="B766" s="4"/>
      <c r="C766" s="4"/>
      <c r="D766" s="4"/>
      <c r="E766" s="4"/>
      <c r="F766" s="4"/>
      <c r="G766" s="4"/>
    </row>
    <row r="767">
      <c r="A767" s="4"/>
      <c r="B767" s="4"/>
      <c r="C767" s="4"/>
      <c r="D767" s="4"/>
      <c r="E767" s="4"/>
      <c r="F767" s="4"/>
      <c r="G767" s="4"/>
    </row>
    <row r="768">
      <c r="A768" s="4"/>
      <c r="B768" s="4"/>
      <c r="C768" s="4"/>
      <c r="D768" s="4"/>
      <c r="E768" s="4"/>
      <c r="F768" s="4"/>
      <c r="G768" s="4"/>
    </row>
    <row r="769">
      <c r="A769" s="4"/>
      <c r="B769" s="4"/>
      <c r="C769" s="4"/>
      <c r="D769" s="4"/>
      <c r="E769" s="4"/>
      <c r="F769" s="4"/>
      <c r="G769" s="4"/>
    </row>
    <row r="770">
      <c r="A770" s="4"/>
      <c r="B770" s="4"/>
      <c r="C770" s="4"/>
      <c r="D770" s="4"/>
      <c r="E770" s="4"/>
      <c r="F770" s="4"/>
      <c r="G770" s="4"/>
    </row>
    <row r="771">
      <c r="A771" s="4"/>
      <c r="B771" s="4"/>
      <c r="C771" s="4"/>
      <c r="D771" s="4"/>
      <c r="E771" s="4"/>
      <c r="F771" s="4"/>
      <c r="G771" s="4"/>
    </row>
    <row r="772">
      <c r="A772" s="4"/>
      <c r="B772" s="4"/>
      <c r="C772" s="4"/>
      <c r="D772" s="4"/>
      <c r="E772" s="4"/>
      <c r="F772" s="4"/>
      <c r="G772" s="4"/>
    </row>
    <row r="773">
      <c r="A773" s="4"/>
      <c r="B773" s="4"/>
      <c r="C773" s="4"/>
      <c r="D773" s="4"/>
      <c r="E773" s="4"/>
      <c r="F773" s="4"/>
      <c r="G773" s="4"/>
    </row>
    <row r="774">
      <c r="A774" s="4"/>
      <c r="B774" s="4"/>
      <c r="C774" s="4"/>
      <c r="D774" s="4"/>
      <c r="E774" s="4"/>
      <c r="F774" s="4"/>
      <c r="G774" s="4"/>
    </row>
    <row r="775">
      <c r="A775" s="4"/>
      <c r="B775" s="4"/>
      <c r="C775" s="4"/>
      <c r="D775" s="4"/>
      <c r="E775" s="4"/>
      <c r="F775" s="4"/>
      <c r="G775" s="4"/>
    </row>
    <row r="776">
      <c r="A776" s="4"/>
      <c r="B776" s="4"/>
      <c r="C776" s="4"/>
      <c r="D776" s="4"/>
      <c r="E776" s="4"/>
      <c r="F776" s="4"/>
      <c r="G776" s="4"/>
    </row>
    <row r="777">
      <c r="A777" s="4"/>
      <c r="B777" s="4"/>
      <c r="C777" s="4"/>
      <c r="D777" s="4"/>
      <c r="E777" s="4"/>
      <c r="F777" s="4"/>
      <c r="G777" s="4"/>
    </row>
    <row r="778">
      <c r="A778" s="4"/>
      <c r="B778" s="4"/>
      <c r="C778" s="4"/>
      <c r="D778" s="4"/>
      <c r="E778" s="4"/>
      <c r="F778" s="4"/>
      <c r="G778" s="4"/>
    </row>
    <row r="779">
      <c r="A779" s="4"/>
      <c r="B779" s="4"/>
      <c r="C779" s="4"/>
      <c r="D779" s="4"/>
      <c r="E779" s="4"/>
      <c r="F779" s="4"/>
      <c r="G779" s="4"/>
    </row>
    <row r="780">
      <c r="A780" s="4"/>
      <c r="B780" s="4"/>
      <c r="C780" s="4"/>
      <c r="D780" s="4"/>
      <c r="E780" s="4"/>
      <c r="F780" s="4"/>
      <c r="G780" s="4"/>
    </row>
    <row r="781">
      <c r="A781" s="4"/>
      <c r="B781" s="4"/>
      <c r="C781" s="4"/>
      <c r="D781" s="4"/>
      <c r="E781" s="4"/>
      <c r="F781" s="4"/>
      <c r="G781" s="4"/>
    </row>
    <row r="782">
      <c r="A782" s="4"/>
      <c r="B782" s="4"/>
      <c r="C782" s="4"/>
      <c r="D782" s="4"/>
      <c r="E782" s="4"/>
      <c r="F782" s="4"/>
      <c r="G782" s="4"/>
    </row>
    <row r="783">
      <c r="A783" s="4"/>
      <c r="B783" s="4"/>
      <c r="C783" s="4"/>
      <c r="D783" s="4"/>
      <c r="E783" s="4"/>
      <c r="F783" s="4"/>
      <c r="G783" s="4"/>
    </row>
    <row r="784">
      <c r="A784" s="4"/>
      <c r="B784" s="4"/>
      <c r="C784" s="4"/>
      <c r="D784" s="4"/>
      <c r="E784" s="4"/>
      <c r="F784" s="4"/>
      <c r="G784" s="4"/>
    </row>
    <row r="785">
      <c r="A785" s="4"/>
      <c r="B785" s="4"/>
      <c r="C785" s="4"/>
      <c r="D785" s="4"/>
      <c r="E785" s="4"/>
      <c r="F785" s="4"/>
      <c r="G785" s="4"/>
    </row>
    <row r="786">
      <c r="A786" s="4"/>
      <c r="B786" s="4"/>
      <c r="C786" s="4"/>
      <c r="D786" s="4"/>
      <c r="E786" s="4"/>
      <c r="F786" s="4"/>
      <c r="G786" s="4"/>
    </row>
    <row r="787">
      <c r="A787" s="4"/>
      <c r="B787" s="4"/>
      <c r="C787" s="4"/>
      <c r="D787" s="4"/>
      <c r="E787" s="4"/>
      <c r="F787" s="4"/>
      <c r="G787" s="4"/>
    </row>
    <row r="788">
      <c r="A788" s="4"/>
      <c r="B788" s="4"/>
      <c r="C788" s="4"/>
      <c r="D788" s="4"/>
      <c r="E788" s="4"/>
      <c r="F788" s="4"/>
      <c r="G788" s="4"/>
    </row>
    <row r="789">
      <c r="A789" s="4"/>
      <c r="B789" s="4"/>
      <c r="C789" s="4"/>
      <c r="D789" s="4"/>
      <c r="E789" s="4"/>
      <c r="F789" s="4"/>
      <c r="G789" s="4"/>
    </row>
    <row r="790">
      <c r="A790" s="4"/>
      <c r="B790" s="4"/>
      <c r="C790" s="4"/>
      <c r="D790" s="4"/>
      <c r="E790" s="4"/>
      <c r="F790" s="4"/>
      <c r="G790" s="4"/>
    </row>
    <row r="791">
      <c r="A791" s="4"/>
      <c r="B791" s="4"/>
      <c r="C791" s="4"/>
      <c r="D791" s="4"/>
      <c r="E791" s="4"/>
      <c r="F791" s="4"/>
      <c r="G791" s="4"/>
    </row>
    <row r="792">
      <c r="A792" s="4"/>
      <c r="B792" s="4"/>
      <c r="C792" s="4"/>
      <c r="D792" s="4"/>
      <c r="E792" s="4"/>
      <c r="F792" s="4"/>
      <c r="G792" s="4"/>
    </row>
    <row r="793">
      <c r="A793" s="4"/>
      <c r="B793" s="4"/>
      <c r="C793" s="4"/>
      <c r="D793" s="4"/>
      <c r="E793" s="4"/>
      <c r="F793" s="4"/>
      <c r="G793" s="4"/>
    </row>
    <row r="794">
      <c r="A794" s="4"/>
      <c r="B794" s="4"/>
      <c r="C794" s="4"/>
      <c r="D794" s="4"/>
      <c r="E794" s="4"/>
      <c r="F794" s="4"/>
      <c r="G794" s="4"/>
    </row>
    <row r="795">
      <c r="A795" s="4"/>
      <c r="B795" s="4"/>
      <c r="C795" s="4"/>
      <c r="D795" s="4"/>
      <c r="E795" s="4"/>
      <c r="F795" s="4"/>
      <c r="G795" s="4"/>
    </row>
    <row r="796">
      <c r="A796" s="4"/>
      <c r="B796" s="4"/>
      <c r="C796" s="4"/>
      <c r="D796" s="4"/>
      <c r="E796" s="4"/>
      <c r="F796" s="4"/>
      <c r="G796" s="4"/>
    </row>
    <row r="797">
      <c r="A797" s="4"/>
      <c r="B797" s="4"/>
      <c r="C797" s="4"/>
      <c r="D797" s="4"/>
      <c r="E797" s="4"/>
      <c r="F797" s="4"/>
      <c r="G797" s="4"/>
    </row>
    <row r="798">
      <c r="A798" s="4"/>
      <c r="B798" s="4"/>
      <c r="C798" s="4"/>
      <c r="D798" s="4"/>
      <c r="E798" s="4"/>
      <c r="F798" s="4"/>
      <c r="G798" s="4"/>
    </row>
    <row r="799">
      <c r="A799" s="4"/>
      <c r="B799" s="4"/>
      <c r="C799" s="4"/>
      <c r="D799" s="4"/>
      <c r="E799" s="4"/>
      <c r="F799" s="4"/>
      <c r="G799" s="4"/>
    </row>
    <row r="800">
      <c r="A800" s="4"/>
      <c r="B800" s="4"/>
      <c r="C800" s="4"/>
      <c r="D800" s="4"/>
      <c r="E800" s="4"/>
      <c r="F800" s="4"/>
      <c r="G800" s="4"/>
    </row>
    <row r="801">
      <c r="A801" s="4"/>
      <c r="B801" s="4"/>
      <c r="C801" s="4"/>
      <c r="D801" s="4"/>
      <c r="E801" s="4"/>
      <c r="F801" s="4"/>
      <c r="G801" s="4"/>
    </row>
    <row r="802">
      <c r="A802" s="4"/>
      <c r="B802" s="4"/>
      <c r="C802" s="4"/>
      <c r="D802" s="4"/>
      <c r="E802" s="4"/>
      <c r="F802" s="4"/>
      <c r="G802" s="4"/>
    </row>
    <row r="803">
      <c r="A803" s="4"/>
      <c r="B803" s="4"/>
      <c r="C803" s="4"/>
      <c r="D803" s="4"/>
      <c r="E803" s="4"/>
      <c r="F803" s="4"/>
      <c r="G803" s="4"/>
    </row>
    <row r="804">
      <c r="A804" s="4"/>
      <c r="B804" s="4"/>
      <c r="C804" s="4"/>
      <c r="D804" s="4"/>
      <c r="E804" s="4"/>
      <c r="F804" s="4"/>
      <c r="G804" s="4"/>
    </row>
    <row r="805">
      <c r="A805" s="4"/>
      <c r="B805" s="4"/>
      <c r="C805" s="4"/>
      <c r="D805" s="4"/>
      <c r="E805" s="4"/>
      <c r="F805" s="4"/>
      <c r="G805" s="4"/>
    </row>
    <row r="806">
      <c r="A806" s="4"/>
      <c r="B806" s="4"/>
      <c r="C806" s="4"/>
      <c r="D806" s="4"/>
      <c r="E806" s="4"/>
      <c r="F806" s="4"/>
      <c r="G806" s="4"/>
    </row>
    <row r="807">
      <c r="A807" s="4"/>
      <c r="B807" s="4"/>
      <c r="C807" s="4"/>
      <c r="D807" s="4"/>
      <c r="E807" s="4"/>
      <c r="F807" s="4"/>
      <c r="G807" s="4"/>
    </row>
    <row r="808">
      <c r="A808" s="4"/>
      <c r="B808" s="4"/>
      <c r="C808" s="4"/>
      <c r="D808" s="4"/>
      <c r="E808" s="4"/>
      <c r="F808" s="4"/>
      <c r="G808" s="4"/>
    </row>
    <row r="809">
      <c r="A809" s="4"/>
      <c r="B809" s="4"/>
      <c r="C809" s="4"/>
      <c r="D809" s="4"/>
      <c r="E809" s="4"/>
      <c r="F809" s="4"/>
      <c r="G809" s="4"/>
    </row>
    <row r="810">
      <c r="A810" s="4"/>
      <c r="B810" s="4"/>
      <c r="C810" s="4"/>
      <c r="D810" s="4"/>
      <c r="E810" s="4"/>
      <c r="F810" s="4"/>
      <c r="G810" s="4"/>
    </row>
    <row r="811">
      <c r="A811" s="4"/>
      <c r="B811" s="4"/>
      <c r="C811" s="4"/>
      <c r="D811" s="4"/>
      <c r="E811" s="4"/>
      <c r="F811" s="4"/>
      <c r="G811" s="4"/>
    </row>
    <row r="812">
      <c r="A812" s="4"/>
      <c r="B812" s="4"/>
      <c r="C812" s="4"/>
      <c r="D812" s="4"/>
      <c r="E812" s="4"/>
      <c r="F812" s="4"/>
      <c r="G812" s="4"/>
    </row>
    <row r="813">
      <c r="A813" s="4"/>
      <c r="B813" s="4"/>
      <c r="C813" s="4"/>
      <c r="D813" s="4"/>
      <c r="E813" s="4"/>
      <c r="F813" s="4"/>
      <c r="G813" s="4"/>
    </row>
    <row r="814">
      <c r="A814" s="4"/>
      <c r="B814" s="4"/>
      <c r="C814" s="4"/>
      <c r="D814" s="4"/>
      <c r="E814" s="4"/>
      <c r="F814" s="4"/>
      <c r="G814" s="4"/>
    </row>
    <row r="815">
      <c r="A815" s="4"/>
      <c r="B815" s="4"/>
      <c r="C815" s="4"/>
      <c r="D815" s="4"/>
      <c r="E815" s="4"/>
      <c r="F815" s="4"/>
      <c r="G815" s="4"/>
    </row>
    <row r="816">
      <c r="A816" s="4"/>
      <c r="B816" s="4"/>
      <c r="C816" s="4"/>
      <c r="D816" s="4"/>
      <c r="E816" s="4"/>
      <c r="F816" s="4"/>
      <c r="G816" s="4"/>
    </row>
    <row r="817">
      <c r="A817" s="4"/>
      <c r="B817" s="4"/>
      <c r="C817" s="4"/>
      <c r="D817" s="4"/>
      <c r="E817" s="4"/>
      <c r="F817" s="4"/>
      <c r="G817" s="4"/>
    </row>
    <row r="818">
      <c r="A818" s="4"/>
      <c r="B818" s="4"/>
      <c r="C818" s="4"/>
      <c r="D818" s="4"/>
      <c r="E818" s="4"/>
      <c r="F818" s="4"/>
      <c r="G818" s="4"/>
    </row>
    <row r="819">
      <c r="A819" s="4"/>
      <c r="B819" s="4"/>
      <c r="C819" s="4"/>
      <c r="D819" s="4"/>
      <c r="E819" s="4"/>
      <c r="F819" s="4"/>
      <c r="G819" s="4"/>
    </row>
    <row r="820">
      <c r="A820" s="4"/>
      <c r="B820" s="4"/>
      <c r="C820" s="4"/>
      <c r="D820" s="4"/>
      <c r="E820" s="4"/>
      <c r="F820" s="4"/>
      <c r="G820" s="4"/>
    </row>
    <row r="821">
      <c r="A821" s="4"/>
      <c r="B821" s="4"/>
      <c r="C821" s="4"/>
      <c r="D821" s="4"/>
      <c r="E821" s="4"/>
      <c r="F821" s="4"/>
      <c r="G821" s="4"/>
    </row>
    <row r="822">
      <c r="A822" s="4"/>
      <c r="B822" s="4"/>
      <c r="C822" s="4"/>
      <c r="D822" s="4"/>
      <c r="E822" s="4"/>
      <c r="F822" s="4"/>
      <c r="G822" s="4"/>
    </row>
    <row r="823">
      <c r="A823" s="4"/>
      <c r="B823" s="4"/>
      <c r="C823" s="4"/>
      <c r="D823" s="4"/>
      <c r="E823" s="4"/>
      <c r="F823" s="4"/>
      <c r="G823" s="4"/>
    </row>
    <row r="824">
      <c r="A824" s="4"/>
      <c r="B824" s="4"/>
      <c r="C824" s="4"/>
      <c r="D824" s="4"/>
      <c r="E824" s="4"/>
      <c r="F824" s="4"/>
      <c r="G824" s="4"/>
    </row>
    <row r="825">
      <c r="A825" s="4"/>
      <c r="B825" s="4"/>
      <c r="C825" s="4"/>
      <c r="D825" s="4"/>
      <c r="E825" s="4"/>
      <c r="F825" s="4"/>
      <c r="G825" s="4"/>
    </row>
    <row r="826">
      <c r="A826" s="4"/>
      <c r="B826" s="4"/>
      <c r="C826" s="4"/>
      <c r="D826" s="4"/>
      <c r="E826" s="4"/>
      <c r="F826" s="4"/>
      <c r="G826" s="4"/>
    </row>
    <row r="827">
      <c r="A827" s="4"/>
      <c r="B827" s="4"/>
      <c r="C827" s="4"/>
      <c r="D827" s="4"/>
      <c r="E827" s="4"/>
      <c r="F827" s="4"/>
      <c r="G827" s="4"/>
    </row>
    <row r="828">
      <c r="A828" s="4"/>
      <c r="B828" s="4"/>
      <c r="C828" s="4"/>
      <c r="D828" s="4"/>
      <c r="E828" s="4"/>
      <c r="F828" s="4"/>
      <c r="G828" s="4"/>
    </row>
    <row r="829">
      <c r="A829" s="4"/>
      <c r="B829" s="4"/>
      <c r="C829" s="4"/>
      <c r="D829" s="4"/>
      <c r="E829" s="4"/>
      <c r="F829" s="4"/>
      <c r="G829" s="4"/>
    </row>
    <row r="830">
      <c r="A830" s="4"/>
      <c r="B830" s="4"/>
      <c r="C830" s="4"/>
      <c r="D830" s="4"/>
      <c r="E830" s="4"/>
      <c r="F830" s="4"/>
      <c r="G830" s="4"/>
    </row>
    <row r="831">
      <c r="A831" s="4"/>
      <c r="B831" s="4"/>
      <c r="C831" s="4"/>
      <c r="D831" s="4"/>
      <c r="E831" s="4"/>
      <c r="F831" s="4"/>
      <c r="G831" s="4"/>
    </row>
    <row r="832">
      <c r="A832" s="4"/>
      <c r="B832" s="4"/>
      <c r="C832" s="4"/>
      <c r="D832" s="4"/>
      <c r="E832" s="4"/>
      <c r="F832" s="4"/>
      <c r="G832" s="4"/>
    </row>
    <row r="833">
      <c r="A833" s="4"/>
      <c r="B833" s="4"/>
      <c r="C833" s="4"/>
      <c r="D833" s="4"/>
      <c r="E833" s="4"/>
      <c r="F833" s="4"/>
      <c r="G833" s="4"/>
    </row>
    <row r="834">
      <c r="A834" s="4"/>
      <c r="B834" s="4"/>
      <c r="C834" s="4"/>
      <c r="D834" s="4"/>
      <c r="E834" s="4"/>
      <c r="F834" s="4"/>
      <c r="G834" s="4"/>
    </row>
    <row r="835">
      <c r="A835" s="4"/>
      <c r="B835" s="4"/>
      <c r="C835" s="4"/>
      <c r="D835" s="4"/>
      <c r="E835" s="4"/>
      <c r="F835" s="4"/>
      <c r="G835" s="4"/>
    </row>
    <row r="836">
      <c r="A836" s="4"/>
      <c r="B836" s="4"/>
      <c r="C836" s="4"/>
      <c r="D836" s="4"/>
      <c r="E836" s="4"/>
      <c r="F836" s="4"/>
      <c r="G836" s="4"/>
    </row>
    <row r="837">
      <c r="A837" s="4"/>
      <c r="B837" s="4"/>
      <c r="C837" s="4"/>
      <c r="D837" s="4"/>
      <c r="E837" s="4"/>
      <c r="F837" s="4"/>
      <c r="G837" s="4"/>
    </row>
    <row r="838">
      <c r="A838" s="4"/>
      <c r="B838" s="4"/>
      <c r="C838" s="4"/>
      <c r="D838" s="4"/>
      <c r="E838" s="4"/>
      <c r="F838" s="4"/>
      <c r="G838" s="4"/>
    </row>
    <row r="839">
      <c r="A839" s="4"/>
      <c r="B839" s="4"/>
      <c r="C839" s="4"/>
      <c r="D839" s="4"/>
      <c r="E839" s="4"/>
      <c r="F839" s="4"/>
      <c r="G839" s="4"/>
    </row>
    <row r="840">
      <c r="A840" s="4"/>
      <c r="B840" s="4"/>
      <c r="C840" s="4"/>
      <c r="D840" s="4"/>
      <c r="E840" s="4"/>
      <c r="F840" s="4"/>
      <c r="G840" s="4"/>
    </row>
    <row r="841">
      <c r="A841" s="4"/>
      <c r="B841" s="4"/>
      <c r="C841" s="4"/>
      <c r="D841" s="4"/>
      <c r="E841" s="4"/>
      <c r="F841" s="4"/>
      <c r="G841" s="4"/>
    </row>
    <row r="842">
      <c r="A842" s="4"/>
      <c r="B842" s="4"/>
      <c r="C842" s="4"/>
      <c r="D842" s="4"/>
      <c r="E842" s="4"/>
      <c r="F842" s="4"/>
      <c r="G842" s="4"/>
    </row>
    <row r="843">
      <c r="A843" s="4"/>
      <c r="B843" s="4"/>
      <c r="C843" s="4"/>
      <c r="D843" s="4"/>
      <c r="E843" s="4"/>
      <c r="F843" s="4"/>
      <c r="G843" s="4"/>
    </row>
    <row r="844">
      <c r="A844" s="4"/>
      <c r="B844" s="4"/>
      <c r="C844" s="4"/>
      <c r="D844" s="4"/>
      <c r="E844" s="4"/>
      <c r="F844" s="4"/>
      <c r="G844" s="4"/>
    </row>
    <row r="845">
      <c r="A845" s="4"/>
      <c r="B845" s="4"/>
      <c r="C845" s="4"/>
      <c r="D845" s="4"/>
      <c r="E845" s="4"/>
      <c r="F845" s="4"/>
      <c r="G845" s="4"/>
    </row>
    <row r="846">
      <c r="A846" s="4"/>
      <c r="B846" s="4"/>
      <c r="C846" s="4"/>
      <c r="D846" s="4"/>
      <c r="E846" s="4"/>
      <c r="F846" s="4"/>
      <c r="G846" s="4"/>
    </row>
    <row r="847">
      <c r="A847" s="4"/>
      <c r="B847" s="4"/>
      <c r="C847" s="4"/>
      <c r="D847" s="4"/>
      <c r="E847" s="4"/>
      <c r="F847" s="4"/>
      <c r="G847" s="4"/>
    </row>
    <row r="848">
      <c r="A848" s="4"/>
      <c r="B848" s="4"/>
      <c r="C848" s="4"/>
      <c r="D848" s="4"/>
      <c r="E848" s="4"/>
      <c r="F848" s="4"/>
      <c r="G848" s="4"/>
    </row>
    <row r="849">
      <c r="A849" s="4"/>
      <c r="B849" s="4"/>
      <c r="C849" s="4"/>
      <c r="D849" s="4"/>
      <c r="E849" s="4"/>
      <c r="F849" s="4"/>
      <c r="G849" s="4"/>
    </row>
    <row r="850">
      <c r="A850" s="4"/>
      <c r="B850" s="4"/>
      <c r="C850" s="4"/>
      <c r="D850" s="4"/>
      <c r="E850" s="4"/>
      <c r="F850" s="4"/>
      <c r="G850" s="4"/>
    </row>
    <row r="851">
      <c r="A851" s="4"/>
      <c r="B851" s="4"/>
      <c r="C851" s="4"/>
      <c r="D851" s="4"/>
      <c r="E851" s="4"/>
      <c r="F851" s="4"/>
      <c r="G851" s="4"/>
    </row>
    <row r="852">
      <c r="A852" s="4"/>
      <c r="B852" s="4"/>
      <c r="C852" s="4"/>
      <c r="D852" s="4"/>
      <c r="E852" s="4"/>
      <c r="F852" s="4"/>
      <c r="G852" s="4"/>
    </row>
    <row r="853">
      <c r="A853" s="4"/>
      <c r="B853" s="4"/>
      <c r="C853" s="4"/>
      <c r="D853" s="4"/>
      <c r="E853" s="4"/>
      <c r="F853" s="4"/>
      <c r="G853" s="4"/>
    </row>
    <row r="854">
      <c r="A854" s="4"/>
      <c r="B854" s="4"/>
      <c r="C854" s="4"/>
      <c r="D854" s="4"/>
      <c r="E854" s="4"/>
      <c r="F854" s="4"/>
      <c r="G854" s="4"/>
    </row>
    <row r="855">
      <c r="A855" s="4"/>
      <c r="B855" s="4"/>
      <c r="C855" s="4"/>
      <c r="D855" s="4"/>
      <c r="E855" s="4"/>
      <c r="F855" s="4"/>
      <c r="G855" s="4"/>
    </row>
    <row r="856">
      <c r="A856" s="4"/>
      <c r="B856" s="4"/>
      <c r="C856" s="4"/>
      <c r="D856" s="4"/>
      <c r="E856" s="4"/>
      <c r="F856" s="4"/>
      <c r="G856" s="4"/>
    </row>
    <row r="857">
      <c r="A857" s="4"/>
      <c r="B857" s="4"/>
      <c r="C857" s="4"/>
      <c r="D857" s="4"/>
      <c r="E857" s="4"/>
      <c r="F857" s="4"/>
      <c r="G857" s="4"/>
    </row>
    <row r="858">
      <c r="A858" s="4"/>
      <c r="B858" s="4"/>
      <c r="C858" s="4"/>
      <c r="D858" s="4"/>
      <c r="E858" s="4"/>
      <c r="F858" s="4"/>
      <c r="G858" s="4"/>
    </row>
    <row r="859">
      <c r="A859" s="4"/>
      <c r="B859" s="4"/>
      <c r="C859" s="4"/>
      <c r="D859" s="4"/>
      <c r="E859" s="4"/>
      <c r="F859" s="4"/>
      <c r="G859" s="4"/>
    </row>
    <row r="860">
      <c r="A860" s="4"/>
      <c r="B860" s="4"/>
      <c r="C860" s="4"/>
      <c r="D860" s="4"/>
      <c r="E860" s="4"/>
      <c r="F860" s="4"/>
      <c r="G860" s="4"/>
    </row>
    <row r="861">
      <c r="A861" s="4"/>
      <c r="B861" s="4"/>
      <c r="C861" s="4"/>
      <c r="D861" s="4"/>
      <c r="E861" s="4"/>
      <c r="F861" s="4"/>
      <c r="G861" s="4"/>
    </row>
    <row r="862">
      <c r="A862" s="4"/>
      <c r="B862" s="4"/>
      <c r="C862" s="4"/>
      <c r="D862" s="4"/>
      <c r="E862" s="4"/>
      <c r="F862" s="4"/>
      <c r="G862" s="4"/>
    </row>
    <row r="863">
      <c r="A863" s="4"/>
      <c r="B863" s="4"/>
      <c r="C863" s="4"/>
      <c r="D863" s="4"/>
      <c r="E863" s="4"/>
      <c r="F863" s="4"/>
      <c r="G863" s="4"/>
    </row>
    <row r="864">
      <c r="A864" s="4"/>
      <c r="B864" s="4"/>
      <c r="C864" s="4"/>
      <c r="D864" s="4"/>
      <c r="E864" s="4"/>
      <c r="F864" s="4"/>
      <c r="G864" s="4"/>
    </row>
    <row r="865">
      <c r="A865" s="4"/>
      <c r="B865" s="4"/>
      <c r="C865" s="4"/>
      <c r="D865" s="4"/>
      <c r="E865" s="4"/>
      <c r="F865" s="4"/>
      <c r="G865" s="4"/>
    </row>
    <row r="866">
      <c r="A866" s="4"/>
      <c r="B866" s="4"/>
      <c r="C866" s="4"/>
      <c r="D866" s="4"/>
      <c r="E866" s="4"/>
      <c r="F866" s="4"/>
      <c r="G866" s="4"/>
    </row>
    <row r="867">
      <c r="A867" s="4"/>
      <c r="B867" s="4"/>
      <c r="C867" s="4"/>
      <c r="D867" s="4"/>
      <c r="E867" s="4"/>
      <c r="F867" s="4"/>
      <c r="G867" s="4"/>
    </row>
    <row r="868">
      <c r="A868" s="4"/>
      <c r="B868" s="4"/>
      <c r="C868" s="4"/>
      <c r="D868" s="4"/>
      <c r="E868" s="4"/>
      <c r="F868" s="4"/>
      <c r="G868" s="4"/>
    </row>
    <row r="869">
      <c r="A869" s="4"/>
      <c r="B869" s="4"/>
      <c r="C869" s="4"/>
      <c r="D869" s="4"/>
      <c r="E869" s="4"/>
      <c r="F869" s="4"/>
      <c r="G869" s="4"/>
    </row>
    <row r="870">
      <c r="A870" s="4"/>
      <c r="B870" s="4"/>
      <c r="C870" s="4"/>
      <c r="D870" s="4"/>
      <c r="E870" s="4"/>
      <c r="F870" s="4"/>
      <c r="G870" s="4"/>
    </row>
    <row r="871">
      <c r="A871" s="4"/>
      <c r="B871" s="4"/>
      <c r="C871" s="4"/>
      <c r="D871" s="4"/>
      <c r="E871" s="4"/>
      <c r="F871" s="4"/>
      <c r="G871" s="4"/>
    </row>
    <row r="872">
      <c r="A872" s="4"/>
      <c r="B872" s="4"/>
      <c r="C872" s="4"/>
      <c r="D872" s="4"/>
      <c r="E872" s="4"/>
      <c r="F872" s="4"/>
      <c r="G872" s="4"/>
    </row>
    <row r="873">
      <c r="A873" s="4"/>
      <c r="B873" s="4"/>
      <c r="C873" s="4"/>
      <c r="D873" s="4"/>
      <c r="E873" s="4"/>
      <c r="F873" s="4"/>
      <c r="G873" s="4"/>
    </row>
    <row r="874">
      <c r="A874" s="4"/>
      <c r="B874" s="4"/>
      <c r="C874" s="4"/>
      <c r="D874" s="4"/>
      <c r="E874" s="4"/>
      <c r="F874" s="4"/>
      <c r="G874" s="4"/>
    </row>
    <row r="875">
      <c r="A875" s="4"/>
      <c r="B875" s="4"/>
      <c r="C875" s="4"/>
      <c r="D875" s="4"/>
      <c r="E875" s="4"/>
      <c r="F875" s="4"/>
      <c r="G875" s="4"/>
    </row>
    <row r="876">
      <c r="A876" s="4"/>
      <c r="B876" s="4"/>
      <c r="C876" s="4"/>
      <c r="D876" s="4"/>
      <c r="E876" s="4"/>
      <c r="F876" s="4"/>
      <c r="G876" s="4"/>
    </row>
    <row r="877">
      <c r="A877" s="4"/>
      <c r="B877" s="4"/>
      <c r="C877" s="4"/>
      <c r="D877" s="4"/>
      <c r="E877" s="4"/>
      <c r="F877" s="4"/>
      <c r="G877" s="4"/>
    </row>
    <row r="878">
      <c r="A878" s="4"/>
      <c r="B878" s="4"/>
      <c r="C878" s="4"/>
      <c r="D878" s="4"/>
      <c r="E878" s="4"/>
      <c r="F878" s="4"/>
      <c r="G878" s="4"/>
    </row>
    <row r="879">
      <c r="A879" s="4"/>
      <c r="B879" s="4"/>
      <c r="C879" s="4"/>
      <c r="D879" s="4"/>
      <c r="E879" s="4"/>
      <c r="F879" s="4"/>
      <c r="G879" s="4"/>
    </row>
    <row r="880">
      <c r="A880" s="4"/>
      <c r="B880" s="4"/>
      <c r="C880" s="4"/>
      <c r="D880" s="4"/>
      <c r="E880" s="4"/>
      <c r="F880" s="4"/>
      <c r="G880" s="4"/>
    </row>
    <row r="881">
      <c r="A881" s="4"/>
      <c r="B881" s="4"/>
      <c r="C881" s="4"/>
      <c r="D881" s="4"/>
      <c r="E881" s="4"/>
      <c r="F881" s="4"/>
      <c r="G881" s="4"/>
    </row>
    <row r="882">
      <c r="A882" s="4"/>
      <c r="B882" s="4"/>
      <c r="C882" s="4"/>
      <c r="D882" s="4"/>
      <c r="E882" s="4"/>
      <c r="F882" s="4"/>
      <c r="G882" s="4"/>
    </row>
    <row r="883">
      <c r="A883" s="4"/>
      <c r="B883" s="4"/>
      <c r="C883" s="4"/>
      <c r="D883" s="4"/>
      <c r="E883" s="4"/>
      <c r="F883" s="4"/>
      <c r="G883" s="4"/>
    </row>
    <row r="884">
      <c r="A884" s="4"/>
      <c r="B884" s="4"/>
      <c r="C884" s="4"/>
      <c r="D884" s="4"/>
      <c r="E884" s="4"/>
      <c r="F884" s="4"/>
      <c r="G884" s="4"/>
    </row>
    <row r="885">
      <c r="A885" s="4"/>
      <c r="B885" s="4"/>
      <c r="C885" s="4"/>
      <c r="D885" s="4"/>
      <c r="E885" s="4"/>
      <c r="F885" s="4"/>
      <c r="G885" s="4"/>
    </row>
    <row r="886">
      <c r="A886" s="4"/>
      <c r="B886" s="4"/>
      <c r="C886" s="4"/>
      <c r="D886" s="4"/>
      <c r="E886" s="4"/>
      <c r="F886" s="4"/>
      <c r="G886" s="4"/>
    </row>
    <row r="887">
      <c r="A887" s="4"/>
      <c r="B887" s="4"/>
      <c r="C887" s="4"/>
      <c r="D887" s="4"/>
      <c r="E887" s="4"/>
      <c r="F887" s="4"/>
      <c r="G887" s="4"/>
    </row>
    <row r="888">
      <c r="A888" s="4"/>
      <c r="B888" s="4"/>
      <c r="C888" s="4"/>
      <c r="D888" s="4"/>
      <c r="E888" s="4"/>
      <c r="F888" s="4"/>
      <c r="G888" s="4"/>
    </row>
    <row r="889">
      <c r="A889" s="4"/>
      <c r="B889" s="4"/>
      <c r="C889" s="4"/>
      <c r="D889" s="4"/>
      <c r="E889" s="4"/>
      <c r="F889" s="4"/>
      <c r="G889" s="4"/>
    </row>
    <row r="890">
      <c r="A890" s="4"/>
      <c r="B890" s="4"/>
      <c r="C890" s="4"/>
      <c r="D890" s="4"/>
      <c r="E890" s="4"/>
      <c r="F890" s="4"/>
      <c r="G890" s="4"/>
    </row>
    <row r="891">
      <c r="A891" s="4"/>
      <c r="B891" s="4"/>
      <c r="C891" s="4"/>
      <c r="D891" s="4"/>
      <c r="E891" s="4"/>
      <c r="F891" s="4"/>
      <c r="G891" s="4"/>
    </row>
    <row r="892">
      <c r="A892" s="4"/>
      <c r="B892" s="4"/>
      <c r="C892" s="4"/>
      <c r="D892" s="4"/>
      <c r="E892" s="4"/>
      <c r="F892" s="4"/>
      <c r="G892" s="4"/>
    </row>
    <row r="893">
      <c r="A893" s="4"/>
      <c r="B893" s="4"/>
      <c r="C893" s="4"/>
      <c r="D893" s="4"/>
      <c r="E893" s="4"/>
      <c r="F893" s="4"/>
      <c r="G893" s="4"/>
    </row>
    <row r="894">
      <c r="A894" s="4"/>
      <c r="B894" s="4"/>
      <c r="C894" s="4"/>
      <c r="D894" s="4"/>
      <c r="E894" s="4"/>
      <c r="F894" s="4"/>
      <c r="G894" s="4"/>
    </row>
    <row r="895">
      <c r="A895" s="4"/>
      <c r="B895" s="4"/>
      <c r="C895" s="4"/>
      <c r="D895" s="4"/>
      <c r="E895" s="4"/>
      <c r="F895" s="4"/>
      <c r="G895" s="4"/>
    </row>
    <row r="896">
      <c r="A896" s="4"/>
      <c r="B896" s="4"/>
      <c r="C896" s="4"/>
      <c r="D896" s="4"/>
      <c r="E896" s="4"/>
      <c r="F896" s="4"/>
      <c r="G896" s="4"/>
    </row>
    <row r="897">
      <c r="A897" s="4"/>
      <c r="B897" s="4"/>
      <c r="C897" s="4"/>
      <c r="D897" s="4"/>
      <c r="E897" s="4"/>
      <c r="F897" s="4"/>
      <c r="G897" s="4"/>
    </row>
    <row r="898">
      <c r="A898" s="4"/>
      <c r="B898" s="4"/>
      <c r="C898" s="4"/>
      <c r="D898" s="4"/>
      <c r="E898" s="4"/>
      <c r="F898" s="4"/>
      <c r="G898" s="4"/>
    </row>
    <row r="899">
      <c r="A899" s="4"/>
      <c r="B899" s="4"/>
      <c r="C899" s="4"/>
      <c r="D899" s="4"/>
      <c r="E899" s="4"/>
      <c r="F899" s="4"/>
      <c r="G899" s="4"/>
    </row>
    <row r="900">
      <c r="A900" s="4"/>
      <c r="B900" s="4"/>
      <c r="C900" s="4"/>
      <c r="D900" s="4"/>
      <c r="E900" s="4"/>
      <c r="F900" s="4"/>
      <c r="G900" s="4"/>
    </row>
    <row r="901">
      <c r="A901" s="4"/>
      <c r="B901" s="4"/>
      <c r="C901" s="4"/>
      <c r="D901" s="4"/>
      <c r="E901" s="4"/>
      <c r="F901" s="4"/>
      <c r="G901" s="4"/>
    </row>
    <row r="902">
      <c r="A902" s="4"/>
      <c r="B902" s="4"/>
      <c r="C902" s="4"/>
      <c r="D902" s="4"/>
      <c r="E902" s="4"/>
      <c r="F902" s="4"/>
      <c r="G902" s="4"/>
    </row>
    <row r="903">
      <c r="A903" s="4"/>
      <c r="B903" s="4"/>
      <c r="C903" s="4"/>
      <c r="D903" s="4"/>
      <c r="E903" s="4"/>
      <c r="F903" s="4"/>
      <c r="G903" s="4"/>
    </row>
    <row r="904">
      <c r="A904" s="4"/>
      <c r="B904" s="4"/>
      <c r="C904" s="4"/>
      <c r="D904" s="4"/>
      <c r="E904" s="4"/>
      <c r="F904" s="4"/>
      <c r="G904" s="4"/>
    </row>
    <row r="905">
      <c r="A905" s="4"/>
      <c r="B905" s="4"/>
      <c r="C905" s="4"/>
      <c r="D905" s="4"/>
      <c r="E905" s="4"/>
      <c r="F905" s="4"/>
      <c r="G905" s="4"/>
    </row>
    <row r="906">
      <c r="A906" s="4"/>
      <c r="B906" s="4"/>
      <c r="C906" s="4"/>
      <c r="D906" s="4"/>
      <c r="E906" s="4"/>
      <c r="F906" s="4"/>
      <c r="G906" s="4"/>
    </row>
    <row r="907">
      <c r="A907" s="4"/>
      <c r="B907" s="4"/>
      <c r="C907" s="4"/>
      <c r="D907" s="4"/>
      <c r="E907" s="4"/>
      <c r="F907" s="4"/>
      <c r="G907" s="4"/>
    </row>
    <row r="908">
      <c r="A908" s="4"/>
      <c r="B908" s="4"/>
      <c r="C908" s="4"/>
      <c r="D908" s="4"/>
      <c r="E908" s="4"/>
      <c r="F908" s="4"/>
      <c r="G908" s="4"/>
    </row>
    <row r="909">
      <c r="A909" s="4"/>
      <c r="B909" s="4"/>
      <c r="C909" s="4"/>
      <c r="D909" s="4"/>
      <c r="E909" s="4"/>
      <c r="F909" s="4"/>
      <c r="G909" s="4"/>
    </row>
    <row r="910">
      <c r="A910" s="4"/>
      <c r="B910" s="4"/>
      <c r="C910" s="4"/>
      <c r="D910" s="4"/>
      <c r="E910" s="4"/>
      <c r="F910" s="4"/>
      <c r="G910" s="4"/>
    </row>
    <row r="911">
      <c r="A911" s="4"/>
      <c r="B911" s="4"/>
      <c r="C911" s="4"/>
      <c r="D911" s="4"/>
      <c r="E911" s="4"/>
      <c r="F911" s="4"/>
      <c r="G911" s="4"/>
    </row>
    <row r="912">
      <c r="A912" s="4"/>
      <c r="B912" s="4"/>
      <c r="C912" s="4"/>
      <c r="D912" s="4"/>
      <c r="E912" s="4"/>
      <c r="F912" s="4"/>
      <c r="G912" s="4"/>
    </row>
    <row r="913">
      <c r="A913" s="4"/>
      <c r="B913" s="4"/>
      <c r="C913" s="4"/>
      <c r="D913" s="4"/>
      <c r="E913" s="4"/>
      <c r="F913" s="4"/>
      <c r="G913" s="4"/>
    </row>
    <row r="914">
      <c r="A914" s="4"/>
      <c r="B914" s="4"/>
      <c r="C914" s="4"/>
      <c r="D914" s="4"/>
      <c r="E914" s="4"/>
      <c r="F914" s="4"/>
      <c r="G914" s="4"/>
    </row>
    <row r="915">
      <c r="A915" s="4"/>
      <c r="B915" s="4"/>
      <c r="C915" s="4"/>
      <c r="D915" s="4"/>
      <c r="E915" s="4"/>
      <c r="F915" s="4"/>
      <c r="G915" s="4"/>
    </row>
    <row r="916">
      <c r="A916" s="4"/>
      <c r="B916" s="4"/>
      <c r="C916" s="4"/>
      <c r="D916" s="4"/>
      <c r="E916" s="4"/>
      <c r="F916" s="4"/>
      <c r="G916" s="4"/>
    </row>
    <row r="917">
      <c r="A917" s="4"/>
      <c r="B917" s="4"/>
      <c r="C917" s="4"/>
      <c r="D917" s="4"/>
      <c r="E917" s="4"/>
      <c r="F917" s="4"/>
      <c r="G917" s="4"/>
    </row>
    <row r="918">
      <c r="A918" s="4"/>
      <c r="B918" s="4"/>
      <c r="C918" s="4"/>
      <c r="D918" s="4"/>
      <c r="E918" s="4"/>
      <c r="F918" s="4"/>
      <c r="G918" s="4"/>
    </row>
    <row r="919">
      <c r="A919" s="4"/>
      <c r="B919" s="4"/>
      <c r="C919" s="4"/>
      <c r="D919" s="4"/>
      <c r="E919" s="4"/>
      <c r="F919" s="4"/>
      <c r="G919" s="4"/>
    </row>
    <row r="920">
      <c r="A920" s="4"/>
      <c r="B920" s="4"/>
      <c r="C920" s="4"/>
      <c r="D920" s="4"/>
      <c r="E920" s="4"/>
      <c r="F920" s="4"/>
      <c r="G920" s="4"/>
    </row>
    <row r="921">
      <c r="A921" s="4"/>
      <c r="B921" s="4"/>
      <c r="C921" s="4"/>
      <c r="D921" s="4"/>
      <c r="E921" s="4"/>
      <c r="F921" s="4"/>
      <c r="G921" s="4"/>
    </row>
    <row r="922">
      <c r="A922" s="4"/>
      <c r="B922" s="4"/>
      <c r="C922" s="4"/>
      <c r="D922" s="4"/>
      <c r="E922" s="4"/>
      <c r="F922" s="4"/>
      <c r="G922" s="4"/>
    </row>
    <row r="923">
      <c r="A923" s="4"/>
      <c r="B923" s="4"/>
      <c r="C923" s="4"/>
      <c r="D923" s="4"/>
      <c r="E923" s="4"/>
      <c r="F923" s="4"/>
      <c r="G923" s="4"/>
    </row>
    <row r="924">
      <c r="A924" s="4"/>
      <c r="B924" s="4"/>
      <c r="C924" s="4"/>
      <c r="D924" s="4"/>
      <c r="E924" s="4"/>
      <c r="F924" s="4"/>
      <c r="G924" s="4"/>
    </row>
    <row r="925">
      <c r="A925" s="4"/>
      <c r="B925" s="4"/>
      <c r="C925" s="4"/>
      <c r="D925" s="4"/>
      <c r="E925" s="4"/>
      <c r="F925" s="4"/>
      <c r="G925" s="4"/>
    </row>
    <row r="926">
      <c r="A926" s="4"/>
      <c r="B926" s="4"/>
      <c r="C926" s="4"/>
      <c r="D926" s="4"/>
      <c r="E926" s="4"/>
      <c r="F926" s="4"/>
      <c r="G926" s="4"/>
    </row>
    <row r="927">
      <c r="A927" s="4"/>
      <c r="B927" s="4"/>
      <c r="C927" s="4"/>
      <c r="D927" s="4"/>
      <c r="E927" s="4"/>
      <c r="F927" s="4"/>
      <c r="G927" s="4"/>
    </row>
    <row r="928">
      <c r="A928" s="4"/>
      <c r="B928" s="4"/>
      <c r="C928" s="4"/>
      <c r="D928" s="4"/>
      <c r="E928" s="4"/>
      <c r="F928" s="4"/>
      <c r="G928" s="4"/>
    </row>
    <row r="929">
      <c r="A929" s="4"/>
      <c r="B929" s="4"/>
      <c r="C929" s="4"/>
      <c r="D929" s="4"/>
      <c r="E929" s="4"/>
      <c r="F929" s="4"/>
      <c r="G929" s="4"/>
    </row>
    <row r="930">
      <c r="A930" s="4"/>
      <c r="B930" s="4"/>
      <c r="C930" s="4"/>
      <c r="D930" s="4"/>
      <c r="E930" s="4"/>
      <c r="F930" s="4"/>
      <c r="G930" s="4"/>
    </row>
    <row r="931">
      <c r="A931" s="4"/>
      <c r="B931" s="4"/>
      <c r="C931" s="4"/>
      <c r="D931" s="4"/>
      <c r="E931" s="4"/>
      <c r="F931" s="4"/>
      <c r="G931" s="4"/>
    </row>
    <row r="932">
      <c r="A932" s="4"/>
      <c r="B932" s="4"/>
      <c r="C932" s="4"/>
      <c r="D932" s="4"/>
      <c r="E932" s="4"/>
      <c r="F932" s="4"/>
      <c r="G932" s="4"/>
    </row>
    <row r="933">
      <c r="A933" s="4"/>
      <c r="B933" s="4"/>
      <c r="C933" s="4"/>
      <c r="D933" s="4"/>
      <c r="E933" s="4"/>
      <c r="F933" s="4"/>
      <c r="G933" s="4"/>
    </row>
    <row r="934">
      <c r="A934" s="4"/>
      <c r="B934" s="4"/>
      <c r="C934" s="4"/>
      <c r="D934" s="4"/>
      <c r="E934" s="4"/>
      <c r="F934" s="4"/>
      <c r="G934" s="4"/>
    </row>
    <row r="935">
      <c r="A935" s="4"/>
      <c r="B935" s="4"/>
      <c r="C935" s="4"/>
      <c r="D935" s="4"/>
      <c r="E935" s="4"/>
      <c r="F935" s="4"/>
      <c r="G935" s="4"/>
    </row>
    <row r="936">
      <c r="A936" s="4"/>
      <c r="B936" s="4"/>
      <c r="C936" s="4"/>
      <c r="D936" s="4"/>
      <c r="E936" s="4"/>
      <c r="F936" s="4"/>
      <c r="G936" s="4"/>
    </row>
    <row r="937">
      <c r="A937" s="4"/>
      <c r="B937" s="4"/>
      <c r="C937" s="4"/>
      <c r="D937" s="4"/>
      <c r="E937" s="4"/>
      <c r="F937" s="4"/>
      <c r="G937" s="4"/>
    </row>
    <row r="938">
      <c r="A938" s="4"/>
      <c r="B938" s="4"/>
      <c r="C938" s="4"/>
      <c r="D938" s="4"/>
      <c r="E938" s="4"/>
      <c r="F938" s="4"/>
      <c r="G938" s="4"/>
    </row>
    <row r="939">
      <c r="A939" s="4"/>
      <c r="B939" s="4"/>
      <c r="C939" s="4"/>
      <c r="D939" s="4"/>
      <c r="E939" s="4"/>
      <c r="F939" s="4"/>
      <c r="G939" s="4"/>
    </row>
    <row r="940">
      <c r="A940" s="4"/>
      <c r="B940" s="4"/>
      <c r="C940" s="4"/>
      <c r="D940" s="4"/>
      <c r="E940" s="4"/>
      <c r="F940" s="4"/>
      <c r="G940" s="4"/>
    </row>
    <row r="941">
      <c r="A941" s="4"/>
      <c r="B941" s="4"/>
      <c r="C941" s="4"/>
      <c r="D941" s="4"/>
      <c r="E941" s="4"/>
      <c r="F941" s="4"/>
      <c r="G941" s="4"/>
    </row>
    <row r="942">
      <c r="A942" s="4"/>
      <c r="B942" s="4"/>
      <c r="C942" s="4"/>
      <c r="D942" s="4"/>
      <c r="E942" s="4"/>
      <c r="F942" s="4"/>
      <c r="G942" s="4"/>
    </row>
    <row r="943">
      <c r="A943" s="4"/>
      <c r="B943" s="4"/>
      <c r="C943" s="4"/>
      <c r="D943" s="4"/>
      <c r="E943" s="4"/>
      <c r="F943" s="4"/>
      <c r="G943" s="4"/>
    </row>
    <row r="944">
      <c r="A944" s="4"/>
      <c r="B944" s="4"/>
      <c r="C944" s="4"/>
      <c r="D944" s="4"/>
      <c r="E944" s="4"/>
      <c r="F944" s="4"/>
      <c r="G944" s="4"/>
    </row>
    <row r="945">
      <c r="A945" s="4"/>
      <c r="B945" s="4"/>
      <c r="C945" s="4"/>
      <c r="D945" s="4"/>
      <c r="E945" s="4"/>
      <c r="F945" s="4"/>
      <c r="G945" s="4"/>
    </row>
    <row r="946">
      <c r="A946" s="4"/>
      <c r="B946" s="4"/>
      <c r="C946" s="4"/>
      <c r="D946" s="4"/>
      <c r="E946" s="4"/>
      <c r="F946" s="4"/>
      <c r="G946" s="4"/>
    </row>
    <row r="947">
      <c r="A947" s="4"/>
      <c r="B947" s="4"/>
      <c r="C947" s="4"/>
      <c r="D947" s="4"/>
      <c r="E947" s="4"/>
      <c r="F947" s="4"/>
      <c r="G947" s="4"/>
    </row>
    <row r="948">
      <c r="A948" s="4"/>
      <c r="B948" s="4"/>
      <c r="C948" s="4"/>
      <c r="D948" s="4"/>
      <c r="E948" s="4"/>
      <c r="F948" s="4"/>
      <c r="G948" s="4"/>
    </row>
    <row r="949">
      <c r="A949" s="4"/>
      <c r="B949" s="4"/>
      <c r="C949" s="4"/>
      <c r="D949" s="4"/>
      <c r="E949" s="4"/>
      <c r="F949" s="4"/>
      <c r="G949" s="4"/>
    </row>
    <row r="950">
      <c r="A950" s="4"/>
      <c r="B950" s="4"/>
      <c r="C950" s="4"/>
      <c r="D950" s="4"/>
      <c r="E950" s="4"/>
      <c r="F950" s="4"/>
      <c r="G950" s="4"/>
    </row>
    <row r="951">
      <c r="A951" s="4"/>
      <c r="B951" s="4"/>
      <c r="C951" s="4"/>
      <c r="D951" s="4"/>
      <c r="E951" s="4"/>
      <c r="F951" s="4"/>
      <c r="G951" s="4"/>
    </row>
    <row r="952">
      <c r="A952" s="4"/>
      <c r="B952" s="4"/>
      <c r="C952" s="4"/>
      <c r="D952" s="4"/>
      <c r="E952" s="4"/>
      <c r="F952" s="4"/>
      <c r="G952" s="4"/>
    </row>
    <row r="953">
      <c r="A953" s="4"/>
      <c r="B953" s="4"/>
      <c r="C953" s="4"/>
      <c r="D953" s="4"/>
      <c r="E953" s="4"/>
      <c r="F953" s="4"/>
      <c r="G953" s="4"/>
    </row>
    <row r="954">
      <c r="A954" s="4"/>
      <c r="B954" s="4"/>
      <c r="C954" s="4"/>
      <c r="D954" s="4"/>
      <c r="E954" s="4"/>
      <c r="F954" s="4"/>
      <c r="G954" s="4"/>
    </row>
    <row r="955">
      <c r="A955" s="4"/>
      <c r="B955" s="4"/>
      <c r="C955" s="4"/>
      <c r="D955" s="4"/>
      <c r="E955" s="4"/>
      <c r="F955" s="4"/>
      <c r="G955" s="4"/>
    </row>
    <row r="956">
      <c r="A956" s="4"/>
      <c r="B956" s="4"/>
      <c r="C956" s="4"/>
      <c r="D956" s="4"/>
      <c r="E956" s="4"/>
      <c r="F956" s="4"/>
      <c r="G956" s="4"/>
    </row>
    <row r="957">
      <c r="A957" s="4"/>
      <c r="B957" s="4"/>
      <c r="C957" s="4"/>
      <c r="D957" s="4"/>
      <c r="E957" s="4"/>
      <c r="F957" s="4"/>
      <c r="G957" s="4"/>
    </row>
    <row r="958">
      <c r="A958" s="4"/>
      <c r="B958" s="4"/>
      <c r="C958" s="4"/>
      <c r="D958" s="4"/>
      <c r="E958" s="4"/>
      <c r="F958" s="4"/>
      <c r="G958" s="4"/>
    </row>
    <row r="959">
      <c r="A959" s="4"/>
      <c r="B959" s="4"/>
      <c r="C959" s="4"/>
      <c r="D959" s="4"/>
      <c r="E959" s="4"/>
      <c r="F959" s="4"/>
      <c r="G959" s="4"/>
    </row>
    <row r="960">
      <c r="A960" s="4"/>
      <c r="B960" s="4"/>
      <c r="C960" s="4"/>
      <c r="D960" s="4"/>
      <c r="E960" s="4"/>
      <c r="F960" s="4"/>
      <c r="G960" s="4"/>
    </row>
    <row r="961">
      <c r="A961" s="4"/>
      <c r="B961" s="4"/>
      <c r="C961" s="4"/>
      <c r="D961" s="4"/>
      <c r="E961" s="4"/>
      <c r="F961" s="4"/>
      <c r="G961" s="4"/>
    </row>
    <row r="962">
      <c r="A962" s="4"/>
      <c r="B962" s="4"/>
      <c r="C962" s="4"/>
      <c r="D962" s="4"/>
      <c r="E962" s="4"/>
      <c r="F962" s="4"/>
      <c r="G962" s="4"/>
    </row>
    <row r="963">
      <c r="A963" s="4"/>
      <c r="B963" s="4"/>
      <c r="C963" s="4"/>
      <c r="D963" s="4"/>
      <c r="E963" s="4"/>
      <c r="F963" s="4"/>
      <c r="G963" s="4"/>
    </row>
    <row r="964">
      <c r="A964" s="4"/>
      <c r="B964" s="4"/>
      <c r="C964" s="4"/>
      <c r="D964" s="4"/>
      <c r="E964" s="4"/>
      <c r="F964" s="4"/>
      <c r="G964" s="4"/>
    </row>
    <row r="965">
      <c r="A965" s="4"/>
      <c r="B965" s="4"/>
      <c r="C965" s="4"/>
      <c r="D965" s="4"/>
      <c r="E965" s="4"/>
      <c r="F965" s="4"/>
      <c r="G965" s="4"/>
    </row>
    <row r="966">
      <c r="A966" s="4"/>
      <c r="B966" s="4"/>
      <c r="C966" s="4"/>
      <c r="D966" s="4"/>
      <c r="E966" s="4"/>
      <c r="F966" s="4"/>
      <c r="G966" s="4"/>
    </row>
    <row r="967">
      <c r="A967" s="4"/>
      <c r="B967" s="4"/>
      <c r="C967" s="4"/>
      <c r="D967" s="4"/>
      <c r="E967" s="4"/>
      <c r="F967" s="4"/>
      <c r="G967" s="4"/>
    </row>
    <row r="968">
      <c r="A968" s="4"/>
      <c r="B968" s="4"/>
      <c r="C968" s="4"/>
      <c r="D968" s="4"/>
      <c r="E968" s="4"/>
      <c r="F968" s="4"/>
      <c r="G968" s="4"/>
    </row>
    <row r="969">
      <c r="A969" s="4"/>
      <c r="B969" s="4"/>
      <c r="C969" s="4"/>
      <c r="D969" s="4"/>
      <c r="E969" s="4"/>
      <c r="F969" s="4"/>
      <c r="G969" s="4"/>
    </row>
    <row r="970">
      <c r="A970" s="4"/>
      <c r="B970" s="4"/>
      <c r="C970" s="4"/>
      <c r="D970" s="4"/>
      <c r="E970" s="4"/>
      <c r="F970" s="4"/>
      <c r="G970" s="4"/>
    </row>
    <row r="971">
      <c r="A971" s="4"/>
      <c r="B971" s="4"/>
      <c r="C971" s="4"/>
      <c r="D971" s="4"/>
      <c r="E971" s="4"/>
      <c r="F971" s="4"/>
      <c r="G971" s="4"/>
    </row>
    <row r="972">
      <c r="A972" s="4"/>
      <c r="B972" s="4"/>
      <c r="C972" s="4"/>
      <c r="D972" s="4"/>
      <c r="E972" s="4"/>
      <c r="F972" s="4"/>
      <c r="G972" s="4"/>
    </row>
    <row r="973">
      <c r="A973" s="4"/>
      <c r="B973" s="4"/>
      <c r="C973" s="4"/>
      <c r="D973" s="4"/>
      <c r="E973" s="4"/>
      <c r="F973" s="4"/>
      <c r="G973" s="4"/>
    </row>
    <row r="974">
      <c r="A974" s="4"/>
      <c r="B974" s="4"/>
      <c r="C974" s="4"/>
      <c r="D974" s="4"/>
      <c r="E974" s="4"/>
      <c r="F974" s="4"/>
      <c r="G974" s="4"/>
    </row>
    <row r="975">
      <c r="A975" s="4"/>
      <c r="B975" s="4"/>
      <c r="C975" s="4"/>
      <c r="D975" s="4"/>
      <c r="E975" s="4"/>
      <c r="F975" s="4"/>
      <c r="G975" s="4"/>
    </row>
    <row r="976">
      <c r="A976" s="4"/>
      <c r="B976" s="4"/>
      <c r="C976" s="4"/>
      <c r="D976" s="4"/>
      <c r="E976" s="4"/>
      <c r="F976" s="4"/>
      <c r="G976" s="4"/>
    </row>
    <row r="977">
      <c r="A977" s="4"/>
      <c r="B977" s="4"/>
      <c r="C977" s="4"/>
      <c r="D977" s="4"/>
      <c r="E977" s="4"/>
      <c r="F977" s="4"/>
      <c r="G977" s="4"/>
    </row>
    <row r="978">
      <c r="A978" s="4"/>
      <c r="B978" s="4"/>
      <c r="C978" s="4"/>
      <c r="D978" s="4"/>
      <c r="E978" s="4"/>
      <c r="F978" s="4"/>
      <c r="G978" s="4"/>
    </row>
    <row r="979">
      <c r="A979" s="4"/>
      <c r="B979" s="4"/>
      <c r="C979" s="4"/>
      <c r="D979" s="4"/>
      <c r="E979" s="4"/>
      <c r="F979" s="4"/>
      <c r="G979" s="4"/>
    </row>
    <row r="980">
      <c r="A980" s="4"/>
      <c r="B980" s="4"/>
      <c r="C980" s="4"/>
      <c r="D980" s="4"/>
      <c r="E980" s="4"/>
      <c r="F980" s="4"/>
      <c r="G980" s="4"/>
    </row>
    <row r="981">
      <c r="A981" s="4"/>
      <c r="B981" s="4"/>
      <c r="C981" s="4"/>
      <c r="D981" s="4"/>
      <c r="E981" s="4"/>
      <c r="F981" s="4"/>
      <c r="G981" s="4"/>
    </row>
    <row r="982">
      <c r="A982" s="4"/>
      <c r="B982" s="4"/>
      <c r="C982" s="4"/>
      <c r="D982" s="4"/>
      <c r="E982" s="4"/>
      <c r="F982" s="4"/>
      <c r="G982" s="4"/>
    </row>
    <row r="983">
      <c r="A983" s="4"/>
      <c r="B983" s="4"/>
      <c r="C983" s="4"/>
      <c r="D983" s="4"/>
      <c r="E983" s="4"/>
      <c r="F983" s="4"/>
      <c r="G983" s="4"/>
    </row>
    <row r="984">
      <c r="A984" s="4"/>
      <c r="B984" s="4"/>
      <c r="C984" s="4"/>
      <c r="D984" s="4"/>
      <c r="E984" s="4"/>
      <c r="F984" s="4"/>
      <c r="G984" s="4"/>
    </row>
    <row r="985">
      <c r="A985" s="4"/>
      <c r="B985" s="4"/>
      <c r="C985" s="4"/>
      <c r="D985" s="4"/>
      <c r="E985" s="4"/>
      <c r="F985" s="4"/>
      <c r="G985" s="4"/>
    </row>
    <row r="986">
      <c r="A986" s="4"/>
      <c r="B986" s="4"/>
      <c r="C986" s="4"/>
      <c r="D986" s="4"/>
      <c r="E986" s="4"/>
      <c r="F986" s="4"/>
      <c r="G986" s="4"/>
    </row>
    <row r="987">
      <c r="A987" s="4"/>
      <c r="B987" s="4"/>
      <c r="C987" s="4"/>
      <c r="D987" s="4"/>
      <c r="E987" s="4"/>
      <c r="F987" s="4"/>
      <c r="G987" s="4"/>
    </row>
    <row r="988">
      <c r="A988" s="4"/>
      <c r="B988" s="4"/>
      <c r="C988" s="4"/>
      <c r="D988" s="4"/>
      <c r="E988" s="4"/>
      <c r="F988" s="4"/>
      <c r="G988" s="4"/>
    </row>
    <row r="989">
      <c r="A989" s="4"/>
      <c r="B989" s="4"/>
      <c r="C989" s="4"/>
      <c r="D989" s="4"/>
      <c r="E989" s="4"/>
      <c r="F989" s="4"/>
      <c r="G989" s="4"/>
    </row>
    <row r="990">
      <c r="A990" s="4"/>
      <c r="B990" s="4"/>
      <c r="C990" s="4"/>
      <c r="D990" s="4"/>
      <c r="E990" s="4"/>
      <c r="F990" s="4"/>
      <c r="G990" s="4"/>
    </row>
    <row r="991">
      <c r="A991" s="4"/>
      <c r="B991" s="4"/>
      <c r="C991" s="4"/>
      <c r="D991" s="4"/>
      <c r="E991" s="4"/>
      <c r="F991" s="4"/>
      <c r="G991" s="4"/>
    </row>
    <row r="992">
      <c r="A992" s="4"/>
      <c r="B992" s="4"/>
      <c r="C992" s="4"/>
      <c r="D992" s="4"/>
      <c r="E992" s="4"/>
      <c r="F992" s="4"/>
      <c r="G992" s="4"/>
    </row>
    <row r="993">
      <c r="A993" s="4"/>
      <c r="B993" s="4"/>
      <c r="C993" s="4"/>
      <c r="D993" s="4"/>
      <c r="E993" s="4"/>
      <c r="F993" s="4"/>
      <c r="G993" s="4"/>
    </row>
    <row r="994">
      <c r="A994" s="4"/>
      <c r="B994" s="4"/>
      <c r="C994" s="4"/>
      <c r="D994" s="4"/>
      <c r="E994" s="4"/>
      <c r="F994" s="4"/>
      <c r="G994" s="4"/>
    </row>
    <row r="995">
      <c r="A995" s="4"/>
      <c r="B995" s="4"/>
      <c r="C995" s="4"/>
      <c r="D995" s="4"/>
      <c r="E995" s="4"/>
      <c r="F995" s="4"/>
      <c r="G995" s="4"/>
    </row>
    <row r="996">
      <c r="A996" s="4"/>
      <c r="B996" s="4"/>
      <c r="C996" s="4"/>
      <c r="D996" s="4"/>
      <c r="E996" s="4"/>
      <c r="F996" s="4"/>
      <c r="G996" s="4"/>
    </row>
    <row r="997">
      <c r="A997" s="4"/>
      <c r="B997" s="4"/>
      <c r="C997" s="4"/>
      <c r="D997" s="4"/>
      <c r="E997" s="4"/>
      <c r="F997" s="4"/>
      <c r="G997" s="4"/>
    </row>
    <row r="998">
      <c r="A998" s="4"/>
      <c r="B998" s="4"/>
      <c r="C998" s="4"/>
      <c r="D998" s="4"/>
      <c r="E998" s="4"/>
      <c r="F998" s="4"/>
      <c r="G998" s="4"/>
    </row>
    <row r="999">
      <c r="A999" s="4"/>
      <c r="B999" s="4"/>
      <c r="C999" s="4"/>
      <c r="D999" s="4"/>
      <c r="E999" s="4"/>
      <c r="F999" s="4"/>
      <c r="G999" s="4"/>
    </row>
    <row r="1000">
      <c r="A1000" s="4"/>
      <c r="B1000" s="4"/>
      <c r="C1000" s="4"/>
      <c r="D1000" s="4"/>
      <c r="E1000" s="4"/>
      <c r="F1000" s="4"/>
      <c r="G1000" s="4"/>
    </row>
  </sheetData>
  <autoFilter ref="$A$2:$G$2"/>
  <mergeCells count="1">
    <mergeCell ref="A1:G1"/>
  </mergeCells>
  <printOptions/>
  <pageMargins bottom="1.0" footer="0.0" header="0.0" left="0.75" right="0.75" top="1.0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4.38"/>
    <col customWidth="1" min="2" max="2" width="26.25"/>
    <col customWidth="1" min="3" max="3" width="7.0"/>
    <col customWidth="1" min="4" max="5" width="15.75"/>
    <col customWidth="1" min="6" max="6" width="26.25"/>
    <col customWidth="1" min="7" max="7" width="21.88"/>
    <col customWidth="1" min="8" max="26" width="7.63"/>
  </cols>
  <sheetData>
    <row r="1" ht="27.75" customHeight="1">
      <c r="A1" s="69" t="s">
        <v>4864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7" t="s">
        <v>3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38">
        <v>1.0</v>
      </c>
      <c r="B3" s="38" t="s">
        <v>2439</v>
      </c>
      <c r="C3" s="38">
        <v>6.0</v>
      </c>
      <c r="D3" s="100" t="s">
        <v>14</v>
      </c>
      <c r="E3" s="101"/>
      <c r="F3" s="38"/>
      <c r="G3" s="38" t="s">
        <v>2440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38">
        <v>2.0</v>
      </c>
      <c r="B4" s="38" t="s">
        <v>2441</v>
      </c>
      <c r="D4" s="38" t="s">
        <v>14</v>
      </c>
      <c r="F4" s="38"/>
      <c r="G4" s="38" t="s">
        <v>2440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38">
        <v>3.0</v>
      </c>
      <c r="B5" s="38" t="s">
        <v>2442</v>
      </c>
      <c r="C5" s="38">
        <v>8.0</v>
      </c>
      <c r="D5" s="38" t="s">
        <v>14</v>
      </c>
      <c r="F5" s="38"/>
      <c r="G5" s="38" t="s">
        <v>2440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38">
        <v>4.0</v>
      </c>
      <c r="B6" s="38" t="s">
        <v>2443</v>
      </c>
      <c r="C6" s="38">
        <v>49.0</v>
      </c>
      <c r="D6" s="38" t="s">
        <v>14</v>
      </c>
      <c r="F6" s="38"/>
      <c r="G6" s="38" t="s">
        <v>2440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38">
        <v>5.0</v>
      </c>
      <c r="B7" s="38" t="s">
        <v>2444</v>
      </c>
      <c r="C7" s="38">
        <v>17.0</v>
      </c>
      <c r="D7" s="38" t="s">
        <v>14</v>
      </c>
      <c r="F7" s="38"/>
      <c r="G7" s="38" t="s">
        <v>2440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autoFilter ref="$A$2:$G$2"/>
  <mergeCells count="7">
    <mergeCell ref="A1:G1"/>
    <mergeCell ref="D3:E3"/>
    <mergeCell ref="B4:C4"/>
    <mergeCell ref="D4:E4"/>
    <mergeCell ref="D5:E5"/>
    <mergeCell ref="D6:E6"/>
    <mergeCell ref="D7:E7"/>
  </mergeCells>
  <printOptions/>
  <pageMargins bottom="1.0" footer="0.0" header="0.0" left="0.75" right="0.75" top="1.0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4.38"/>
    <col customWidth="1" min="2" max="2" width="26.25"/>
    <col customWidth="1" min="3" max="3" width="7.0"/>
    <col customWidth="1" min="4" max="5" width="15.75"/>
    <col customWidth="1" min="6" max="6" width="26.25"/>
    <col customWidth="1" min="7" max="7" width="21.88"/>
    <col customWidth="1" min="8" max="26" width="7.63"/>
  </cols>
  <sheetData>
    <row r="1" ht="27.75" customHeight="1">
      <c r="A1" s="69" t="s">
        <v>4865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7" t="s">
        <v>3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38">
        <v>1.0</v>
      </c>
      <c r="B3" s="100" t="s">
        <v>12</v>
      </c>
      <c r="C3" s="101"/>
      <c r="D3" s="100" t="s">
        <v>14</v>
      </c>
      <c r="E3" s="101"/>
      <c r="F3" s="38"/>
      <c r="G3" s="38" t="s">
        <v>15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38">
        <v>2.0</v>
      </c>
      <c r="B4" s="38" t="s">
        <v>16</v>
      </c>
      <c r="D4" s="38" t="s">
        <v>14</v>
      </c>
      <c r="F4" s="38"/>
      <c r="G4" s="38" t="s">
        <v>15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38">
        <v>3.0</v>
      </c>
      <c r="B5" s="38" t="s">
        <v>17</v>
      </c>
      <c r="D5" s="38" t="s">
        <v>14</v>
      </c>
      <c r="F5" s="38"/>
      <c r="G5" s="38" t="s">
        <v>15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38">
        <v>4.0</v>
      </c>
      <c r="B6" s="38" t="s">
        <v>18</v>
      </c>
      <c r="D6" s="38" t="s">
        <v>14</v>
      </c>
      <c r="F6" s="38"/>
      <c r="G6" s="38" t="s">
        <v>15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38">
        <v>5.0</v>
      </c>
      <c r="B7" s="38" t="s">
        <v>19</v>
      </c>
      <c r="D7" s="38" t="s">
        <v>14</v>
      </c>
      <c r="F7" s="38"/>
      <c r="G7" s="38" t="s">
        <v>15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38">
        <v>6.0</v>
      </c>
      <c r="B8" s="38" t="s">
        <v>20</v>
      </c>
      <c r="D8" s="38" t="s">
        <v>14</v>
      </c>
      <c r="F8" s="38"/>
      <c r="G8" s="38" t="s">
        <v>15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38">
        <v>7.0</v>
      </c>
      <c r="B9" s="38" t="s">
        <v>21</v>
      </c>
      <c r="D9" s="38" t="s">
        <v>14</v>
      </c>
      <c r="F9" s="38"/>
      <c r="G9" s="38" t="s">
        <v>15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38">
        <v>8.0</v>
      </c>
      <c r="B10" s="38" t="s">
        <v>22</v>
      </c>
      <c r="D10" s="38" t="s">
        <v>14</v>
      </c>
      <c r="F10" s="38"/>
      <c r="G10" s="38" t="s">
        <v>15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38">
        <v>9.0</v>
      </c>
      <c r="B11" s="38" t="s">
        <v>23</v>
      </c>
      <c r="D11" s="38" t="s">
        <v>14</v>
      </c>
      <c r="F11" s="38"/>
      <c r="G11" s="38" t="s">
        <v>15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38">
        <v>10.0</v>
      </c>
      <c r="B12" s="38" t="s">
        <v>24</v>
      </c>
      <c r="D12" s="38" t="s">
        <v>14</v>
      </c>
      <c r="F12" s="38"/>
      <c r="G12" s="38" t="s">
        <v>15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38">
        <v>11.0</v>
      </c>
      <c r="B13" s="38" t="s">
        <v>25</v>
      </c>
      <c r="D13" s="38" t="s">
        <v>14</v>
      </c>
      <c r="F13" s="38"/>
      <c r="G13" s="38" t="s">
        <v>15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38">
        <v>12.0</v>
      </c>
      <c r="B14" s="38" t="s">
        <v>26</v>
      </c>
      <c r="D14" s="38" t="s">
        <v>14</v>
      </c>
      <c r="F14" s="38"/>
      <c r="G14" s="38" t="s">
        <v>15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38">
        <v>13.0</v>
      </c>
      <c r="B15" s="38" t="s">
        <v>27</v>
      </c>
      <c r="D15" s="38" t="s">
        <v>14</v>
      </c>
      <c r="F15" s="38"/>
      <c r="G15" s="38" t="s">
        <v>15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38">
        <v>14.0</v>
      </c>
      <c r="B16" s="38" t="s">
        <v>28</v>
      </c>
      <c r="D16" s="38" t="s">
        <v>14</v>
      </c>
      <c r="F16" s="38"/>
      <c r="G16" s="38" t="s">
        <v>15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38">
        <v>15.0</v>
      </c>
      <c r="B17" s="38" t="s">
        <v>29</v>
      </c>
      <c r="D17" s="38" t="s">
        <v>14</v>
      </c>
      <c r="F17" s="38"/>
      <c r="G17" s="38" t="s">
        <v>15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38">
        <v>16.0</v>
      </c>
      <c r="B18" s="38" t="s">
        <v>30</v>
      </c>
      <c r="D18" s="38" t="s">
        <v>14</v>
      </c>
      <c r="F18" s="38"/>
      <c r="G18" s="38" t="s">
        <v>15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38">
        <v>17.0</v>
      </c>
      <c r="B19" s="38" t="s">
        <v>31</v>
      </c>
      <c r="D19" s="38" t="s">
        <v>14</v>
      </c>
      <c r="F19" s="38"/>
      <c r="G19" s="38" t="s">
        <v>15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38">
        <v>18.0</v>
      </c>
      <c r="B20" s="38" t="s">
        <v>32</v>
      </c>
      <c r="D20" s="38" t="s">
        <v>14</v>
      </c>
      <c r="F20" s="38"/>
      <c r="G20" s="38" t="s">
        <v>15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38">
        <v>19.0</v>
      </c>
      <c r="B21" s="38" t="s">
        <v>33</v>
      </c>
      <c r="D21" s="38" t="s">
        <v>14</v>
      </c>
      <c r="F21" s="38"/>
      <c r="G21" s="38" t="s">
        <v>15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38">
        <v>20.0</v>
      </c>
      <c r="B22" s="38" t="s">
        <v>34</v>
      </c>
      <c r="D22" s="38" t="s">
        <v>14</v>
      </c>
      <c r="F22" s="38"/>
      <c r="G22" s="38" t="s">
        <v>15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38">
        <v>21.0</v>
      </c>
      <c r="B23" s="38" t="s">
        <v>35</v>
      </c>
      <c r="D23" s="38" t="s">
        <v>14</v>
      </c>
      <c r="F23" s="38"/>
      <c r="G23" s="38" t="s">
        <v>15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38">
        <v>22.0</v>
      </c>
      <c r="B24" s="38" t="s">
        <v>36</v>
      </c>
      <c r="D24" s="38" t="s">
        <v>14</v>
      </c>
      <c r="F24" s="38"/>
      <c r="G24" s="38" t="s">
        <v>15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38">
        <v>23.0</v>
      </c>
      <c r="B25" s="38" t="s">
        <v>37</v>
      </c>
      <c r="D25" s="38" t="s">
        <v>14</v>
      </c>
      <c r="F25" s="38"/>
      <c r="G25" s="38" t="s">
        <v>15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38">
        <v>24.0</v>
      </c>
      <c r="B26" s="38" t="s">
        <v>38</v>
      </c>
      <c r="D26" s="38" t="s">
        <v>14</v>
      </c>
      <c r="F26" s="38"/>
      <c r="G26" s="38" t="s">
        <v>39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38">
        <v>25.0</v>
      </c>
      <c r="B27" s="38" t="s">
        <v>40</v>
      </c>
      <c r="D27" s="38" t="s">
        <v>14</v>
      </c>
      <c r="F27" s="38"/>
      <c r="G27" s="38" t="s">
        <v>15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38">
        <v>26.0</v>
      </c>
      <c r="B28" s="38" t="s">
        <v>41</v>
      </c>
      <c r="D28" s="38" t="s">
        <v>14</v>
      </c>
      <c r="F28" s="38"/>
      <c r="G28" s="38" t="s">
        <v>15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38">
        <v>27.0</v>
      </c>
      <c r="B29" s="38" t="s">
        <v>42</v>
      </c>
      <c r="D29" s="38" t="s">
        <v>14</v>
      </c>
      <c r="F29" s="38"/>
      <c r="G29" s="38" t="s">
        <v>15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38">
        <v>28.0</v>
      </c>
      <c r="B30" s="38" t="s">
        <v>43</v>
      </c>
      <c r="D30" s="38" t="s">
        <v>14</v>
      </c>
      <c r="F30" s="38"/>
      <c r="G30" s="38" t="s">
        <v>15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38">
        <v>29.0</v>
      </c>
      <c r="B31" s="38" t="s">
        <v>44</v>
      </c>
      <c r="D31" s="38" t="s">
        <v>14</v>
      </c>
      <c r="F31" s="38"/>
      <c r="G31" s="38" t="s">
        <v>15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38">
        <v>30.0</v>
      </c>
      <c r="B32" s="38" t="s">
        <v>45</v>
      </c>
      <c r="D32" s="38" t="s">
        <v>14</v>
      </c>
      <c r="F32" s="38"/>
      <c r="G32" s="38" t="s">
        <v>15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38">
        <v>31.0</v>
      </c>
      <c r="B33" s="38" t="s">
        <v>46</v>
      </c>
      <c r="D33" s="38" t="s">
        <v>14</v>
      </c>
      <c r="F33" s="38"/>
      <c r="G33" s="38" t="s">
        <v>15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38">
        <v>32.0</v>
      </c>
      <c r="B34" s="38" t="s">
        <v>47</v>
      </c>
      <c r="D34" s="38" t="s">
        <v>14</v>
      </c>
      <c r="F34" s="38"/>
      <c r="G34" s="38" t="s">
        <v>15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38">
        <v>33.0</v>
      </c>
      <c r="B35" s="38" t="s">
        <v>48</v>
      </c>
      <c r="D35" s="38" t="s">
        <v>14</v>
      </c>
      <c r="F35" s="38"/>
      <c r="G35" s="38" t="s">
        <v>15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38">
        <v>34.0</v>
      </c>
      <c r="B36" s="38" t="s">
        <v>49</v>
      </c>
      <c r="D36" s="38" t="s">
        <v>14</v>
      </c>
      <c r="F36" s="38"/>
      <c r="G36" s="38" t="s">
        <v>15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38">
        <v>35.0</v>
      </c>
      <c r="B37" s="38" t="s">
        <v>50</v>
      </c>
      <c r="D37" s="38" t="s">
        <v>14</v>
      </c>
      <c r="F37" s="38"/>
      <c r="G37" s="38" t="s">
        <v>15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38">
        <v>36.0</v>
      </c>
      <c r="B38" s="38" t="s">
        <v>51</v>
      </c>
      <c r="D38" s="38" t="s">
        <v>14</v>
      </c>
      <c r="F38" s="38"/>
      <c r="G38" s="38" t="s">
        <v>15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38">
        <v>37.0</v>
      </c>
      <c r="B39" s="38" t="s">
        <v>52</v>
      </c>
      <c r="D39" s="38" t="s">
        <v>14</v>
      </c>
      <c r="F39" s="38"/>
      <c r="G39" s="38" t="s">
        <v>15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38">
        <v>38.0</v>
      </c>
      <c r="B40" s="38" t="s">
        <v>53</v>
      </c>
      <c r="D40" s="38" t="s">
        <v>14</v>
      </c>
      <c r="F40" s="38"/>
      <c r="G40" s="38" t="s">
        <v>15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38">
        <v>39.0</v>
      </c>
      <c r="B41" s="38" t="s">
        <v>54</v>
      </c>
      <c r="D41" s="38" t="s">
        <v>14</v>
      </c>
      <c r="F41" s="38"/>
      <c r="G41" s="38" t="s">
        <v>15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38">
        <v>40.0</v>
      </c>
      <c r="B42" s="38" t="s">
        <v>55</v>
      </c>
      <c r="D42" s="38" t="s">
        <v>14</v>
      </c>
      <c r="F42" s="38"/>
      <c r="G42" s="38" t="s">
        <v>15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38">
        <v>41.0</v>
      </c>
      <c r="B43" s="38" t="s">
        <v>56</v>
      </c>
      <c r="D43" s="38" t="s">
        <v>14</v>
      </c>
      <c r="F43" s="38"/>
      <c r="G43" s="38" t="s">
        <v>15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38">
        <v>42.0</v>
      </c>
      <c r="B44" s="38" t="s">
        <v>57</v>
      </c>
      <c r="D44" s="38" t="s">
        <v>14</v>
      </c>
      <c r="F44" s="38"/>
      <c r="G44" s="38" t="s">
        <v>15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38">
        <v>43.0</v>
      </c>
      <c r="B45" s="38" t="s">
        <v>58</v>
      </c>
      <c r="D45" s="38" t="s">
        <v>14</v>
      </c>
      <c r="F45" s="38"/>
      <c r="G45" s="38" t="s">
        <v>15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38">
        <v>44.0</v>
      </c>
      <c r="B46" s="38" t="s">
        <v>59</v>
      </c>
      <c r="D46" s="38" t="s">
        <v>14</v>
      </c>
      <c r="F46" s="38"/>
      <c r="G46" s="38" t="s">
        <v>15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38">
        <v>45.0</v>
      </c>
      <c r="B47" s="38" t="s">
        <v>60</v>
      </c>
      <c r="D47" s="38" t="s">
        <v>14</v>
      </c>
      <c r="F47" s="38"/>
      <c r="G47" s="38" t="s">
        <v>15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38">
        <v>46.0</v>
      </c>
      <c r="B48" s="38" t="s">
        <v>61</v>
      </c>
      <c r="D48" s="38" t="s">
        <v>14</v>
      </c>
      <c r="F48" s="38"/>
      <c r="G48" s="38" t="s">
        <v>15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38">
        <v>47.0</v>
      </c>
      <c r="B49" s="38" t="s">
        <v>62</v>
      </c>
      <c r="D49" s="38" t="s">
        <v>14</v>
      </c>
      <c r="F49" s="38"/>
      <c r="G49" s="38" t="s">
        <v>15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38">
        <v>48.0</v>
      </c>
      <c r="B50" s="38" t="s">
        <v>63</v>
      </c>
      <c r="D50" s="38" t="s">
        <v>14</v>
      </c>
      <c r="F50" s="38"/>
      <c r="G50" s="38" t="s">
        <v>15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38">
        <v>49.0</v>
      </c>
      <c r="B51" s="38" t="s">
        <v>64</v>
      </c>
      <c r="D51" s="38" t="s">
        <v>14</v>
      </c>
      <c r="F51" s="38"/>
      <c r="G51" s="38" t="s">
        <v>15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38">
        <v>50.0</v>
      </c>
      <c r="B52" s="38" t="s">
        <v>65</v>
      </c>
      <c r="D52" s="38" t="s">
        <v>14</v>
      </c>
      <c r="F52" s="38"/>
      <c r="G52" s="38" t="s">
        <v>15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38">
        <v>51.0</v>
      </c>
      <c r="B53" s="38" t="s">
        <v>66</v>
      </c>
      <c r="D53" s="38" t="s">
        <v>14</v>
      </c>
      <c r="F53" s="38"/>
      <c r="G53" s="38" t="s">
        <v>15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38">
        <v>52.0</v>
      </c>
      <c r="B54" s="38" t="s">
        <v>67</v>
      </c>
      <c r="D54" s="38" t="s">
        <v>14</v>
      </c>
      <c r="F54" s="38"/>
      <c r="G54" s="38" t="s">
        <v>15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38">
        <v>53.0</v>
      </c>
      <c r="B55" s="38" t="s">
        <v>68</v>
      </c>
      <c r="D55" s="38" t="s">
        <v>14</v>
      </c>
      <c r="F55" s="38"/>
      <c r="G55" s="38" t="s">
        <v>15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38">
        <v>54.0</v>
      </c>
      <c r="B56" s="38" t="s">
        <v>69</v>
      </c>
      <c r="D56" s="38" t="s">
        <v>14</v>
      </c>
      <c r="F56" s="38"/>
      <c r="G56" s="38" t="s">
        <v>15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38">
        <v>55.0</v>
      </c>
      <c r="B57" s="38" t="s">
        <v>70</v>
      </c>
      <c r="D57" s="38" t="s">
        <v>14</v>
      </c>
      <c r="F57" s="38"/>
      <c r="G57" s="38" t="s">
        <v>15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38">
        <v>56.0</v>
      </c>
      <c r="B58" s="38" t="s">
        <v>71</v>
      </c>
      <c r="D58" s="38" t="s">
        <v>14</v>
      </c>
      <c r="F58" s="38"/>
      <c r="G58" s="38" t="s">
        <v>15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38">
        <v>57.0</v>
      </c>
      <c r="B59" s="38" t="s">
        <v>72</v>
      </c>
      <c r="D59" s="38" t="s">
        <v>14</v>
      </c>
      <c r="F59" s="38"/>
      <c r="G59" s="38" t="s">
        <v>15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38">
        <v>58.0</v>
      </c>
      <c r="B60" s="38" t="s">
        <v>73</v>
      </c>
      <c r="D60" s="38" t="s">
        <v>14</v>
      </c>
      <c r="F60" s="38"/>
      <c r="G60" s="38" t="s">
        <v>15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38">
        <v>59.0</v>
      </c>
      <c r="B61" s="38" t="s">
        <v>74</v>
      </c>
      <c r="D61" s="38" t="s">
        <v>14</v>
      </c>
      <c r="F61" s="38"/>
      <c r="G61" s="38" t="s">
        <v>15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38">
        <v>60.0</v>
      </c>
      <c r="B62" s="38" t="s">
        <v>75</v>
      </c>
      <c r="D62" s="38" t="s">
        <v>14</v>
      </c>
      <c r="F62" s="38"/>
      <c r="G62" s="38" t="s">
        <v>15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38">
        <v>61.0</v>
      </c>
      <c r="B63" s="38" t="s">
        <v>76</v>
      </c>
      <c r="D63" s="38" t="s">
        <v>14</v>
      </c>
      <c r="F63" s="38"/>
      <c r="G63" s="38" t="s">
        <v>15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38">
        <v>62.0</v>
      </c>
      <c r="B64" s="38" t="s">
        <v>77</v>
      </c>
      <c r="D64" s="38" t="s">
        <v>14</v>
      </c>
      <c r="F64" s="38"/>
      <c r="G64" s="38" t="s">
        <v>15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38">
        <v>63.0</v>
      </c>
      <c r="B65" s="38" t="s">
        <v>78</v>
      </c>
      <c r="D65" s="38" t="s">
        <v>14</v>
      </c>
      <c r="F65" s="38"/>
      <c r="G65" s="38" t="s">
        <v>15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38">
        <v>64.0</v>
      </c>
      <c r="B66" s="38" t="s">
        <v>79</v>
      </c>
      <c r="D66" s="38" t="s">
        <v>14</v>
      </c>
      <c r="F66" s="38"/>
      <c r="G66" s="38" t="s">
        <v>15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38">
        <v>65.0</v>
      </c>
      <c r="B67" s="38" t="s">
        <v>80</v>
      </c>
      <c r="D67" s="38" t="s">
        <v>14</v>
      </c>
      <c r="F67" s="38"/>
      <c r="G67" s="38" t="s">
        <v>15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38">
        <v>66.0</v>
      </c>
      <c r="B68" s="38" t="s">
        <v>81</v>
      </c>
      <c r="D68" s="38" t="s">
        <v>14</v>
      </c>
      <c r="F68" s="38"/>
      <c r="G68" s="38" t="s">
        <v>15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38">
        <v>67.0</v>
      </c>
      <c r="B69" s="38" t="s">
        <v>82</v>
      </c>
      <c r="D69" s="38" t="s">
        <v>14</v>
      </c>
      <c r="F69" s="38"/>
      <c r="G69" s="38" t="s">
        <v>15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38">
        <v>68.0</v>
      </c>
      <c r="B70" s="38" t="s">
        <v>83</v>
      </c>
      <c r="D70" s="38" t="s">
        <v>14</v>
      </c>
      <c r="F70" s="38"/>
      <c r="G70" s="38" t="s">
        <v>15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38">
        <v>69.0</v>
      </c>
      <c r="B71" s="38" t="s">
        <v>84</v>
      </c>
      <c r="D71" s="38" t="s">
        <v>14</v>
      </c>
      <c r="F71" s="38"/>
      <c r="G71" s="38" t="s">
        <v>15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38">
        <v>70.0</v>
      </c>
      <c r="B72" s="38" t="s">
        <v>85</v>
      </c>
      <c r="D72" s="38" t="s">
        <v>14</v>
      </c>
      <c r="F72" s="38"/>
      <c r="G72" s="38" t="s">
        <v>15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38">
        <v>71.0</v>
      </c>
      <c r="B73" s="38" t="s">
        <v>86</v>
      </c>
      <c r="D73" s="38" t="s">
        <v>14</v>
      </c>
      <c r="F73" s="38"/>
      <c r="G73" s="38" t="s">
        <v>15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38">
        <v>72.0</v>
      </c>
      <c r="B74" s="38" t="s">
        <v>87</v>
      </c>
      <c r="D74" s="38" t="s">
        <v>14</v>
      </c>
      <c r="F74" s="38"/>
      <c r="G74" s="38" t="s">
        <v>15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38">
        <v>73.0</v>
      </c>
      <c r="B75" s="38" t="s">
        <v>88</v>
      </c>
      <c r="D75" s="38" t="s">
        <v>14</v>
      </c>
      <c r="F75" s="38"/>
      <c r="G75" s="38" t="s">
        <v>15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38">
        <v>74.0</v>
      </c>
      <c r="B76" s="38" t="s">
        <v>89</v>
      </c>
      <c r="D76" s="38" t="s">
        <v>14</v>
      </c>
      <c r="F76" s="38"/>
      <c r="G76" s="38" t="s">
        <v>15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38">
        <v>75.0</v>
      </c>
      <c r="B77" s="38" t="s">
        <v>90</v>
      </c>
      <c r="D77" s="38" t="s">
        <v>14</v>
      </c>
      <c r="F77" s="38"/>
      <c r="G77" s="38" t="s">
        <v>15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38">
        <v>76.0</v>
      </c>
      <c r="B78" s="38" t="s">
        <v>91</v>
      </c>
      <c r="D78" s="38" t="s">
        <v>14</v>
      </c>
      <c r="F78" s="38"/>
      <c r="G78" s="38" t="s">
        <v>15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38">
        <v>77.0</v>
      </c>
      <c r="B79" s="38" t="s">
        <v>92</v>
      </c>
      <c r="D79" s="38" t="s">
        <v>14</v>
      </c>
      <c r="F79" s="38"/>
      <c r="G79" s="38" t="s">
        <v>15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38">
        <v>78.0</v>
      </c>
      <c r="B80" s="38" t="s">
        <v>93</v>
      </c>
      <c r="D80" s="38" t="s">
        <v>14</v>
      </c>
      <c r="F80" s="38"/>
      <c r="G80" s="38" t="s">
        <v>15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38">
        <v>79.0</v>
      </c>
      <c r="B81" s="38" t="s">
        <v>94</v>
      </c>
      <c r="D81" s="38" t="s">
        <v>14</v>
      </c>
      <c r="F81" s="38"/>
      <c r="G81" s="38" t="s">
        <v>15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38">
        <v>80.0</v>
      </c>
      <c r="B82" s="38" t="s">
        <v>95</v>
      </c>
      <c r="D82" s="38" t="s">
        <v>14</v>
      </c>
      <c r="F82" s="38"/>
      <c r="G82" s="38" t="s">
        <v>15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38">
        <v>81.0</v>
      </c>
      <c r="B83" s="38" t="s">
        <v>96</v>
      </c>
      <c r="D83" s="38" t="s">
        <v>14</v>
      </c>
      <c r="F83" s="38"/>
      <c r="G83" s="38" t="s">
        <v>15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38">
        <v>82.0</v>
      </c>
      <c r="B84" s="38" t="s">
        <v>97</v>
      </c>
      <c r="D84" s="38" t="s">
        <v>14</v>
      </c>
      <c r="F84" s="38"/>
      <c r="G84" s="38" t="s">
        <v>15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38">
        <v>83.0</v>
      </c>
      <c r="B85" s="38" t="s">
        <v>98</v>
      </c>
      <c r="D85" s="38" t="s">
        <v>14</v>
      </c>
      <c r="F85" s="38"/>
      <c r="G85" s="38" t="s">
        <v>15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38">
        <v>84.0</v>
      </c>
      <c r="B86" s="38" t="s">
        <v>99</v>
      </c>
      <c r="D86" s="38" t="s">
        <v>14</v>
      </c>
      <c r="F86" s="38"/>
      <c r="G86" s="38" t="s">
        <v>15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38">
        <v>85.0</v>
      </c>
      <c r="B87" s="38" t="s">
        <v>100</v>
      </c>
      <c r="D87" s="38" t="s">
        <v>14</v>
      </c>
      <c r="F87" s="38"/>
      <c r="G87" s="38" t="s">
        <v>15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38">
        <v>86.0</v>
      </c>
      <c r="B88" s="38" t="s">
        <v>101</v>
      </c>
      <c r="D88" s="38" t="s">
        <v>14</v>
      </c>
      <c r="F88" s="38"/>
      <c r="G88" s="38" t="s">
        <v>15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38">
        <v>87.0</v>
      </c>
      <c r="B89" s="38" t="s">
        <v>102</v>
      </c>
      <c r="D89" s="38" t="s">
        <v>14</v>
      </c>
      <c r="F89" s="38"/>
      <c r="G89" s="38" t="s">
        <v>15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38">
        <v>88.0</v>
      </c>
      <c r="B90" s="38" t="s">
        <v>103</v>
      </c>
      <c r="D90" s="38" t="s">
        <v>14</v>
      </c>
      <c r="F90" s="38"/>
      <c r="G90" s="38" t="s">
        <v>15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38">
        <v>89.0</v>
      </c>
      <c r="B91" s="38" t="s">
        <v>104</v>
      </c>
      <c r="D91" s="38" t="s">
        <v>14</v>
      </c>
      <c r="F91" s="38"/>
      <c r="G91" s="38" t="s">
        <v>15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38">
        <v>90.0</v>
      </c>
      <c r="B92" s="38" t="s">
        <v>105</v>
      </c>
      <c r="D92" s="38" t="s">
        <v>14</v>
      </c>
      <c r="F92" s="38"/>
      <c r="G92" s="38" t="s">
        <v>15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38">
        <v>91.0</v>
      </c>
      <c r="B93" s="38" t="s">
        <v>106</v>
      </c>
      <c r="D93" s="38" t="s">
        <v>14</v>
      </c>
      <c r="F93" s="38"/>
      <c r="G93" s="38" t="s">
        <v>15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38">
        <v>92.0</v>
      </c>
      <c r="B94" s="38" t="s">
        <v>107</v>
      </c>
      <c r="D94" s="38" t="s">
        <v>14</v>
      </c>
      <c r="F94" s="38"/>
      <c r="G94" s="38" t="s">
        <v>15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38">
        <v>93.0</v>
      </c>
      <c r="B95" s="38" t="s">
        <v>108</v>
      </c>
      <c r="D95" s="38" t="s">
        <v>14</v>
      </c>
      <c r="F95" s="38"/>
      <c r="G95" s="38" t="s">
        <v>15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38">
        <v>94.0</v>
      </c>
      <c r="B96" s="38" t="s">
        <v>109</v>
      </c>
      <c r="D96" s="38" t="s">
        <v>14</v>
      </c>
      <c r="F96" s="38"/>
      <c r="G96" s="38" t="s">
        <v>15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38">
        <v>95.0</v>
      </c>
      <c r="B97" s="38" t="s">
        <v>110</v>
      </c>
      <c r="D97" s="38" t="s">
        <v>14</v>
      </c>
      <c r="F97" s="38"/>
      <c r="G97" s="38" t="s">
        <v>15</v>
      </c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38">
        <v>96.0</v>
      </c>
      <c r="B98" s="38" t="s">
        <v>111</v>
      </c>
      <c r="D98" s="38" t="s">
        <v>14</v>
      </c>
      <c r="F98" s="38"/>
      <c r="G98" s="38" t="s">
        <v>15</v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38">
        <v>97.0</v>
      </c>
      <c r="B99" s="38" t="s">
        <v>112</v>
      </c>
      <c r="D99" s="38" t="s">
        <v>14</v>
      </c>
      <c r="F99" s="38"/>
      <c r="G99" s="38" t="s">
        <v>15</v>
      </c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38">
        <v>98.0</v>
      </c>
      <c r="B100" s="38" t="s">
        <v>113</v>
      </c>
      <c r="D100" s="38" t="s">
        <v>14</v>
      </c>
      <c r="F100" s="38"/>
      <c r="G100" s="38" t="s">
        <v>15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38">
        <v>99.0</v>
      </c>
      <c r="B101" s="38" t="s">
        <v>114</v>
      </c>
      <c r="D101" s="38" t="s">
        <v>14</v>
      </c>
      <c r="F101" s="38"/>
      <c r="G101" s="38" t="s">
        <v>15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38">
        <v>100.0</v>
      </c>
      <c r="B102" s="38" t="s">
        <v>115</v>
      </c>
      <c r="D102" s="38" t="s">
        <v>14</v>
      </c>
      <c r="F102" s="38"/>
      <c r="G102" s="38" t="s">
        <v>15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38">
        <v>101.0</v>
      </c>
      <c r="B103" s="38" t="s">
        <v>116</v>
      </c>
      <c r="D103" s="38" t="s">
        <v>14</v>
      </c>
      <c r="F103" s="38"/>
      <c r="G103" s="38" t="s">
        <v>15</v>
      </c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38">
        <v>102.0</v>
      </c>
      <c r="B104" s="38" t="s">
        <v>117</v>
      </c>
      <c r="D104" s="38" t="s">
        <v>14</v>
      </c>
      <c r="F104" s="38"/>
      <c r="G104" s="38" t="s">
        <v>15</v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38">
        <v>103.0</v>
      </c>
      <c r="B105" s="38" t="s">
        <v>118</v>
      </c>
      <c r="D105" s="38" t="s">
        <v>14</v>
      </c>
      <c r="F105" s="38"/>
      <c r="G105" s="38" t="s">
        <v>15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38">
        <v>104.0</v>
      </c>
      <c r="B106" s="38" t="s">
        <v>119</v>
      </c>
      <c r="C106" s="38"/>
      <c r="D106" s="38" t="s">
        <v>14</v>
      </c>
      <c r="F106" s="38"/>
      <c r="G106" s="38" t="s">
        <v>15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38">
        <v>105.0</v>
      </c>
      <c r="B107" s="38" t="s">
        <v>120</v>
      </c>
      <c r="D107" s="38" t="s">
        <v>14</v>
      </c>
      <c r="F107" s="38"/>
      <c r="G107" s="38" t="s">
        <v>15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38">
        <v>106.0</v>
      </c>
      <c r="B108" s="38" t="s">
        <v>121</v>
      </c>
      <c r="D108" s="38" t="s">
        <v>14</v>
      </c>
      <c r="F108" s="38"/>
      <c r="G108" s="38" t="s">
        <v>122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38">
        <v>107.0</v>
      </c>
      <c r="B109" s="38" t="s">
        <v>123</v>
      </c>
      <c r="D109" s="38" t="s">
        <v>14</v>
      </c>
      <c r="F109" s="38"/>
      <c r="G109" s="38" t="s">
        <v>15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38">
        <v>108.0</v>
      </c>
      <c r="B110" s="38" t="s">
        <v>124</v>
      </c>
      <c r="D110" s="38" t="s">
        <v>14</v>
      </c>
      <c r="F110" s="38"/>
      <c r="G110" s="38" t="s">
        <v>15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38">
        <v>109.0</v>
      </c>
      <c r="B111" s="38" t="s">
        <v>125</v>
      </c>
      <c r="D111" s="38" t="s">
        <v>14</v>
      </c>
      <c r="F111" s="38"/>
      <c r="G111" s="38" t="s">
        <v>15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38">
        <v>110.0</v>
      </c>
      <c r="B112" s="38" t="s">
        <v>126</v>
      </c>
      <c r="D112" s="38" t="s">
        <v>14</v>
      </c>
      <c r="F112" s="38"/>
      <c r="G112" s="38" t="s">
        <v>15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38">
        <v>111.0</v>
      </c>
      <c r="B113" s="38" t="s">
        <v>127</v>
      </c>
      <c r="D113" s="38" t="s">
        <v>14</v>
      </c>
      <c r="F113" s="38"/>
      <c r="G113" s="38" t="s">
        <v>15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38">
        <v>112.0</v>
      </c>
      <c r="B114" s="38" t="s">
        <v>128</v>
      </c>
      <c r="D114" s="38" t="s">
        <v>14</v>
      </c>
      <c r="F114" s="38"/>
      <c r="G114" s="38" t="s">
        <v>15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38">
        <v>113.0</v>
      </c>
      <c r="B115" s="38" t="s">
        <v>129</v>
      </c>
      <c r="D115" s="38" t="s">
        <v>14</v>
      </c>
      <c r="F115" s="38"/>
      <c r="G115" s="38" t="s">
        <v>15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38">
        <v>114.0</v>
      </c>
      <c r="B116" s="38" t="s">
        <v>130</v>
      </c>
      <c r="D116" s="38" t="s">
        <v>14</v>
      </c>
      <c r="F116" s="38"/>
      <c r="G116" s="38" t="s">
        <v>15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38">
        <v>115.0</v>
      </c>
      <c r="B117" s="38" t="s">
        <v>131</v>
      </c>
      <c r="D117" s="38" t="s">
        <v>14</v>
      </c>
      <c r="F117" s="38"/>
      <c r="G117" s="38" t="s">
        <v>15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38">
        <v>116.0</v>
      </c>
      <c r="B118" s="38" t="s">
        <v>132</v>
      </c>
      <c r="D118" s="38" t="s">
        <v>14</v>
      </c>
      <c r="F118" s="38"/>
      <c r="G118" s="38" t="s">
        <v>15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38">
        <v>117.0</v>
      </c>
      <c r="B119" s="38" t="s">
        <v>133</v>
      </c>
      <c r="D119" s="38" t="s">
        <v>14</v>
      </c>
      <c r="F119" s="38"/>
      <c r="G119" s="38" t="s">
        <v>15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38">
        <v>118.0</v>
      </c>
      <c r="B120" s="38" t="s">
        <v>134</v>
      </c>
      <c r="D120" s="38" t="s">
        <v>14</v>
      </c>
      <c r="F120" s="38"/>
      <c r="G120" s="38" t="s">
        <v>15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38">
        <v>119.0</v>
      </c>
      <c r="B121" s="38" t="s">
        <v>135</v>
      </c>
      <c r="D121" s="38" t="s">
        <v>14</v>
      </c>
      <c r="F121" s="38"/>
      <c r="G121" s="38" t="s">
        <v>15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38">
        <v>120.0</v>
      </c>
      <c r="B122" s="38" t="s">
        <v>136</v>
      </c>
      <c r="D122" s="38" t="s">
        <v>14</v>
      </c>
      <c r="F122" s="38"/>
      <c r="G122" s="38" t="s">
        <v>15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38">
        <v>121.0</v>
      </c>
      <c r="B123" s="38" t="s">
        <v>137</v>
      </c>
      <c r="D123" s="38" t="s">
        <v>14</v>
      </c>
      <c r="F123" s="38"/>
      <c r="G123" s="38" t="s">
        <v>15</v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38">
        <v>122.0</v>
      </c>
      <c r="B124" s="38" t="s">
        <v>138</v>
      </c>
      <c r="D124" s="38" t="s">
        <v>14</v>
      </c>
      <c r="F124" s="38"/>
      <c r="G124" s="38" t="s">
        <v>15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38">
        <v>123.0</v>
      </c>
      <c r="B125" s="38" t="s">
        <v>139</v>
      </c>
      <c r="D125" s="38" t="s">
        <v>14</v>
      </c>
      <c r="F125" s="38"/>
      <c r="G125" s="38" t="s">
        <v>15</v>
      </c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38">
        <v>124.0</v>
      </c>
      <c r="B126" s="38" t="s">
        <v>140</v>
      </c>
      <c r="D126" s="38" t="s">
        <v>14</v>
      </c>
      <c r="F126" s="38"/>
      <c r="G126" s="38" t="s">
        <v>15</v>
      </c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38">
        <v>125.0</v>
      </c>
      <c r="B127" s="38" t="s">
        <v>141</v>
      </c>
      <c r="D127" s="38" t="s">
        <v>14</v>
      </c>
      <c r="F127" s="38"/>
      <c r="G127" s="38" t="s">
        <v>15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38">
        <v>126.0</v>
      </c>
      <c r="B128" s="38" t="s">
        <v>142</v>
      </c>
      <c r="D128" s="38" t="s">
        <v>14</v>
      </c>
      <c r="F128" s="38"/>
      <c r="G128" s="38" t="s">
        <v>15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38">
        <v>127.0</v>
      </c>
      <c r="B129" s="38" t="s">
        <v>143</v>
      </c>
      <c r="D129" s="38" t="s">
        <v>14</v>
      </c>
      <c r="F129" s="38"/>
      <c r="G129" s="38" t="s">
        <v>15</v>
      </c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38">
        <v>128.0</v>
      </c>
      <c r="B130" s="38" t="s">
        <v>144</v>
      </c>
      <c r="D130" s="38" t="s">
        <v>14</v>
      </c>
      <c r="F130" s="38"/>
      <c r="G130" s="38" t="s">
        <v>15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38">
        <v>129.0</v>
      </c>
      <c r="B131" s="38" t="s">
        <v>145</v>
      </c>
      <c r="D131" s="38" t="s">
        <v>14</v>
      </c>
      <c r="F131" s="38"/>
      <c r="G131" s="38" t="s">
        <v>15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38">
        <v>130.0</v>
      </c>
      <c r="B132" s="38" t="s">
        <v>146</v>
      </c>
      <c r="D132" s="38" t="s">
        <v>14</v>
      </c>
      <c r="F132" s="38"/>
      <c r="G132" s="38" t="s">
        <v>15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38">
        <v>131.0</v>
      </c>
      <c r="B133" s="38" t="s">
        <v>147</v>
      </c>
      <c r="D133" s="38" t="s">
        <v>14</v>
      </c>
      <c r="F133" s="38"/>
      <c r="G133" s="38" t="s">
        <v>15</v>
      </c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38">
        <v>132.0</v>
      </c>
      <c r="B134" s="38" t="s">
        <v>148</v>
      </c>
      <c r="D134" s="38" t="s">
        <v>14</v>
      </c>
      <c r="F134" s="38"/>
      <c r="G134" s="38" t="s">
        <v>15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38">
        <v>133.0</v>
      </c>
      <c r="B135" s="38" t="s">
        <v>149</v>
      </c>
      <c r="D135" s="38" t="s">
        <v>14</v>
      </c>
      <c r="F135" s="38"/>
      <c r="G135" s="38" t="s">
        <v>15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38">
        <v>134.0</v>
      </c>
      <c r="B136" s="38" t="s">
        <v>150</v>
      </c>
      <c r="D136" s="38" t="s">
        <v>14</v>
      </c>
      <c r="F136" s="38"/>
      <c r="G136" s="38" t="s">
        <v>15</v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38">
        <v>135.0</v>
      </c>
      <c r="B137" s="38" t="s">
        <v>151</v>
      </c>
      <c r="D137" s="38" t="s">
        <v>14</v>
      </c>
      <c r="F137" s="38"/>
      <c r="G137" s="38" t="s">
        <v>15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38">
        <v>136.0</v>
      </c>
      <c r="B138" s="38" t="s">
        <v>152</v>
      </c>
      <c r="D138" s="38" t="s">
        <v>14</v>
      </c>
      <c r="F138" s="38"/>
      <c r="G138" s="38" t="s">
        <v>15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38">
        <v>137.0</v>
      </c>
      <c r="B139" s="38" t="s">
        <v>153</v>
      </c>
      <c r="D139" s="38" t="s">
        <v>14</v>
      </c>
      <c r="F139" s="38"/>
      <c r="G139" s="38" t="s">
        <v>15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38">
        <v>138.0</v>
      </c>
      <c r="B140" s="38" t="s">
        <v>154</v>
      </c>
      <c r="D140" s="38" t="s">
        <v>14</v>
      </c>
      <c r="F140" s="38"/>
      <c r="G140" s="38" t="s">
        <v>15</v>
      </c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38">
        <v>139.0</v>
      </c>
      <c r="B141" s="38" t="s">
        <v>155</v>
      </c>
      <c r="D141" s="38" t="s">
        <v>14</v>
      </c>
      <c r="F141" s="38"/>
      <c r="G141" s="38" t="s">
        <v>15</v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38">
        <v>140.0</v>
      </c>
      <c r="B142" s="38" t="s">
        <v>156</v>
      </c>
      <c r="D142" s="38" t="s">
        <v>14</v>
      </c>
      <c r="F142" s="38"/>
      <c r="G142" s="38" t="s">
        <v>15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38">
        <v>141.0</v>
      </c>
      <c r="B143" s="38" t="s">
        <v>157</v>
      </c>
      <c r="D143" s="38" t="s">
        <v>14</v>
      </c>
      <c r="F143" s="38"/>
      <c r="G143" s="38" t="s">
        <v>15</v>
      </c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38">
        <v>142.0</v>
      </c>
      <c r="B144" s="38" t="s">
        <v>158</v>
      </c>
      <c r="D144" s="38" t="s">
        <v>14</v>
      </c>
      <c r="F144" s="38"/>
      <c r="G144" s="38" t="s">
        <v>15</v>
      </c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38">
        <v>143.0</v>
      </c>
      <c r="B145" s="38" t="s">
        <v>159</v>
      </c>
      <c r="D145" s="38" t="s">
        <v>14</v>
      </c>
      <c r="F145" s="38"/>
      <c r="G145" s="38" t="s">
        <v>15</v>
      </c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38">
        <v>144.0</v>
      </c>
      <c r="B146" s="38" t="s">
        <v>160</v>
      </c>
      <c r="D146" s="38" t="s">
        <v>14</v>
      </c>
      <c r="F146" s="38"/>
      <c r="G146" s="38" t="s">
        <v>15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38">
        <v>145.0</v>
      </c>
      <c r="B147" s="38" t="s">
        <v>161</v>
      </c>
      <c r="D147" s="38" t="s">
        <v>14</v>
      </c>
      <c r="F147" s="38"/>
      <c r="G147" s="38" t="s">
        <v>15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38">
        <v>146.0</v>
      </c>
      <c r="B148" s="38" t="s">
        <v>162</v>
      </c>
      <c r="D148" s="38" t="s">
        <v>14</v>
      </c>
      <c r="F148" s="38"/>
      <c r="G148" s="38" t="s">
        <v>15</v>
      </c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38">
        <v>147.0</v>
      </c>
      <c r="B149" s="38" t="s">
        <v>163</v>
      </c>
      <c r="D149" s="38" t="s">
        <v>14</v>
      </c>
      <c r="F149" s="38"/>
      <c r="G149" s="38" t="s">
        <v>15</v>
      </c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38">
        <v>148.0</v>
      </c>
      <c r="B150" s="38" t="s">
        <v>164</v>
      </c>
      <c r="D150" s="38" t="s">
        <v>14</v>
      </c>
      <c r="F150" s="38"/>
      <c r="G150" s="38" t="s">
        <v>15</v>
      </c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38">
        <v>149.0</v>
      </c>
      <c r="B151" s="38" t="s">
        <v>165</v>
      </c>
      <c r="D151" s="38" t="s">
        <v>14</v>
      </c>
      <c r="F151" s="38"/>
      <c r="G151" s="38" t="s">
        <v>15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38">
        <v>150.0</v>
      </c>
      <c r="B152" s="38" t="s">
        <v>166</v>
      </c>
      <c r="D152" s="38" t="s">
        <v>14</v>
      </c>
      <c r="F152" s="38"/>
      <c r="G152" s="38" t="s">
        <v>15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38">
        <v>151.0</v>
      </c>
      <c r="B153" s="38" t="s">
        <v>167</v>
      </c>
      <c r="D153" s="38" t="s">
        <v>14</v>
      </c>
      <c r="F153" s="38"/>
      <c r="G153" s="38" t="s">
        <v>15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38">
        <v>152.0</v>
      </c>
      <c r="B154" s="38" t="s">
        <v>168</v>
      </c>
      <c r="D154" s="38" t="s">
        <v>14</v>
      </c>
      <c r="F154" s="38"/>
      <c r="G154" s="38" t="s">
        <v>15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38">
        <v>153.0</v>
      </c>
      <c r="B155" s="38" t="s">
        <v>169</v>
      </c>
      <c r="D155" s="38" t="s">
        <v>14</v>
      </c>
      <c r="F155" s="38"/>
      <c r="G155" s="38" t="s">
        <v>15</v>
      </c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38">
        <v>154.0</v>
      </c>
      <c r="B156" s="38" t="s">
        <v>170</v>
      </c>
      <c r="D156" s="38" t="s">
        <v>14</v>
      </c>
      <c r="F156" s="38"/>
      <c r="G156" s="38" t="s">
        <v>15</v>
      </c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38">
        <v>155.0</v>
      </c>
      <c r="B157" s="38" t="s">
        <v>171</v>
      </c>
      <c r="D157" s="38" t="s">
        <v>14</v>
      </c>
      <c r="F157" s="38"/>
      <c r="G157" s="38" t="s">
        <v>15</v>
      </c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38">
        <v>156.0</v>
      </c>
      <c r="B158" s="38" t="s">
        <v>172</v>
      </c>
      <c r="D158" s="38" t="s">
        <v>14</v>
      </c>
      <c r="F158" s="38"/>
      <c r="G158" s="38" t="s">
        <v>15</v>
      </c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38">
        <v>157.0</v>
      </c>
      <c r="B159" s="38" t="s">
        <v>173</v>
      </c>
      <c r="D159" s="38" t="s">
        <v>14</v>
      </c>
      <c r="F159" s="38"/>
      <c r="G159" s="38" t="s">
        <v>15</v>
      </c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38">
        <v>158.0</v>
      </c>
      <c r="B160" s="38" t="s">
        <v>174</v>
      </c>
      <c r="D160" s="38" t="s">
        <v>14</v>
      </c>
      <c r="F160" s="38"/>
      <c r="G160" s="38" t="s">
        <v>15</v>
      </c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38">
        <v>159.0</v>
      </c>
      <c r="B161" s="38" t="s">
        <v>175</v>
      </c>
      <c r="D161" s="38" t="s">
        <v>14</v>
      </c>
      <c r="F161" s="38"/>
      <c r="G161" s="38" t="s">
        <v>15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38">
        <v>160.0</v>
      </c>
      <c r="B162" s="38" t="s">
        <v>176</v>
      </c>
      <c r="D162" s="38" t="s">
        <v>14</v>
      </c>
      <c r="F162" s="38"/>
      <c r="G162" s="38" t="s">
        <v>15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38">
        <v>161.0</v>
      </c>
      <c r="B163" s="38" t="s">
        <v>177</v>
      </c>
      <c r="D163" s="38" t="s">
        <v>14</v>
      </c>
      <c r="F163" s="38"/>
      <c r="G163" s="38" t="s">
        <v>15</v>
      </c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38">
        <v>162.0</v>
      </c>
      <c r="B164" s="38" t="s">
        <v>178</v>
      </c>
      <c r="D164" s="38" t="s">
        <v>14</v>
      </c>
      <c r="F164" s="38"/>
      <c r="G164" s="38" t="s">
        <v>15</v>
      </c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38">
        <v>163.0</v>
      </c>
      <c r="B165" s="38" t="s">
        <v>179</v>
      </c>
      <c r="D165" s="38" t="s">
        <v>14</v>
      </c>
      <c r="F165" s="38"/>
      <c r="G165" s="38" t="s">
        <v>15</v>
      </c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38">
        <v>164.0</v>
      </c>
      <c r="B166" s="38" t="s">
        <v>180</v>
      </c>
      <c r="D166" s="38" t="s">
        <v>14</v>
      </c>
      <c r="F166" s="38"/>
      <c r="G166" s="38" t="s">
        <v>15</v>
      </c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38">
        <v>165.0</v>
      </c>
      <c r="B167" s="38" t="s">
        <v>181</v>
      </c>
      <c r="D167" s="38" t="s">
        <v>14</v>
      </c>
      <c r="F167" s="38"/>
      <c r="G167" s="38" t="s">
        <v>15</v>
      </c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38">
        <v>166.0</v>
      </c>
      <c r="B168" s="38" t="s">
        <v>182</v>
      </c>
      <c r="D168" s="38" t="s">
        <v>14</v>
      </c>
      <c r="F168" s="38"/>
      <c r="G168" s="38" t="s">
        <v>15</v>
      </c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38">
        <v>167.0</v>
      </c>
      <c r="B169" s="38" t="s">
        <v>183</v>
      </c>
      <c r="D169" s="38" t="s">
        <v>14</v>
      </c>
      <c r="F169" s="38"/>
      <c r="G169" s="38" t="s">
        <v>15</v>
      </c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38">
        <v>168.0</v>
      </c>
      <c r="B170" s="38" t="s">
        <v>184</v>
      </c>
      <c r="D170" s="38" t="s">
        <v>14</v>
      </c>
      <c r="F170" s="38"/>
      <c r="G170" s="38" t="s">
        <v>15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38">
        <v>169.0</v>
      </c>
      <c r="B171" s="38" t="s">
        <v>185</v>
      </c>
      <c r="D171" s="38" t="s">
        <v>14</v>
      </c>
      <c r="F171" s="38"/>
      <c r="G171" s="38" t="s">
        <v>15</v>
      </c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38">
        <v>170.0</v>
      </c>
      <c r="B172" s="38" t="s">
        <v>186</v>
      </c>
      <c r="D172" s="38" t="s">
        <v>14</v>
      </c>
      <c r="F172" s="38"/>
      <c r="G172" s="38" t="s">
        <v>15</v>
      </c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38">
        <v>171.0</v>
      </c>
      <c r="B173" s="38" t="s">
        <v>187</v>
      </c>
      <c r="D173" s="38" t="s">
        <v>14</v>
      </c>
      <c r="F173" s="38"/>
      <c r="G173" s="38" t="s">
        <v>15</v>
      </c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38">
        <v>172.0</v>
      </c>
      <c r="B174" s="38" t="s">
        <v>188</v>
      </c>
      <c r="D174" s="38" t="s">
        <v>14</v>
      </c>
      <c r="F174" s="38"/>
      <c r="G174" s="38" t="s">
        <v>15</v>
      </c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38">
        <v>173.0</v>
      </c>
      <c r="B175" s="38" t="s">
        <v>189</v>
      </c>
      <c r="D175" s="38" t="s">
        <v>14</v>
      </c>
      <c r="F175" s="38"/>
      <c r="G175" s="38" t="s">
        <v>15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38">
        <v>174.0</v>
      </c>
      <c r="B176" s="38" t="s">
        <v>190</v>
      </c>
      <c r="D176" s="38" t="s">
        <v>14</v>
      </c>
      <c r="F176" s="38"/>
      <c r="G176" s="38" t="s">
        <v>15</v>
      </c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38">
        <v>175.0</v>
      </c>
      <c r="B177" s="38" t="s">
        <v>191</v>
      </c>
      <c r="D177" s="38" t="s">
        <v>14</v>
      </c>
      <c r="F177" s="38"/>
      <c r="G177" s="38" t="s">
        <v>39</v>
      </c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38">
        <v>176.0</v>
      </c>
      <c r="B178" s="38" t="s">
        <v>192</v>
      </c>
      <c r="D178" s="38" t="s">
        <v>14</v>
      </c>
      <c r="F178" s="38"/>
      <c r="G178" s="38" t="s">
        <v>15</v>
      </c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38">
        <v>177.0</v>
      </c>
      <c r="B179" s="38" t="s">
        <v>193</v>
      </c>
      <c r="D179" s="38" t="s">
        <v>14</v>
      </c>
      <c r="F179" s="38"/>
      <c r="G179" s="38" t="s">
        <v>15</v>
      </c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38">
        <v>178.0</v>
      </c>
      <c r="B180" s="38" t="s">
        <v>194</v>
      </c>
      <c r="D180" s="38" t="s">
        <v>14</v>
      </c>
      <c r="F180" s="38"/>
      <c r="G180" s="38" t="s">
        <v>15</v>
      </c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38">
        <v>179.0</v>
      </c>
      <c r="B181" s="38" t="s">
        <v>195</v>
      </c>
      <c r="D181" s="38" t="s">
        <v>14</v>
      </c>
      <c r="F181" s="38"/>
      <c r="G181" s="38" t="s">
        <v>15</v>
      </c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38">
        <v>180.0</v>
      </c>
      <c r="B182" s="38" t="s">
        <v>196</v>
      </c>
      <c r="D182" s="38" t="s">
        <v>14</v>
      </c>
      <c r="F182" s="38"/>
      <c r="G182" s="38" t="s">
        <v>15</v>
      </c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38">
        <v>181.0</v>
      </c>
      <c r="B183" s="38" t="s">
        <v>197</v>
      </c>
      <c r="D183" s="38" t="s">
        <v>14</v>
      </c>
      <c r="F183" s="38"/>
      <c r="G183" s="38" t="s">
        <v>15</v>
      </c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38">
        <v>182.0</v>
      </c>
      <c r="B184" s="38" t="s">
        <v>198</v>
      </c>
      <c r="D184" s="38" t="s">
        <v>14</v>
      </c>
      <c r="F184" s="38"/>
      <c r="G184" s="38" t="s">
        <v>15</v>
      </c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38">
        <v>183.0</v>
      </c>
      <c r="B185" s="38" t="s">
        <v>199</v>
      </c>
      <c r="D185" s="38" t="s">
        <v>14</v>
      </c>
      <c r="F185" s="38"/>
      <c r="G185" s="38" t="s">
        <v>15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38">
        <v>184.0</v>
      </c>
      <c r="B186" s="38" t="s">
        <v>200</v>
      </c>
      <c r="D186" s="38" t="s">
        <v>14</v>
      </c>
      <c r="F186" s="38"/>
      <c r="G186" s="38" t="s">
        <v>15</v>
      </c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38">
        <v>185.0</v>
      </c>
      <c r="B187" s="38" t="s">
        <v>201</v>
      </c>
      <c r="D187" s="38" t="s">
        <v>14</v>
      </c>
      <c r="F187" s="38"/>
      <c r="G187" s="38" t="s">
        <v>15</v>
      </c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38">
        <v>186.0</v>
      </c>
      <c r="B188" s="38" t="s">
        <v>202</v>
      </c>
      <c r="D188" s="38" t="s">
        <v>14</v>
      </c>
      <c r="F188" s="38"/>
      <c r="G188" s="38" t="s">
        <v>15</v>
      </c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38">
        <v>187.0</v>
      </c>
      <c r="B189" s="38" t="s">
        <v>203</v>
      </c>
      <c r="D189" s="38" t="s">
        <v>14</v>
      </c>
      <c r="F189" s="38"/>
      <c r="G189" s="38" t="s">
        <v>15</v>
      </c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38">
        <v>188.0</v>
      </c>
      <c r="B190" s="38" t="s">
        <v>204</v>
      </c>
      <c r="D190" s="38" t="s">
        <v>14</v>
      </c>
      <c r="F190" s="38"/>
      <c r="G190" s="38" t="s">
        <v>15</v>
      </c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38">
        <v>189.0</v>
      </c>
      <c r="B191" s="38" t="s">
        <v>205</v>
      </c>
      <c r="D191" s="38" t="s">
        <v>14</v>
      </c>
      <c r="F191" s="38"/>
      <c r="G191" s="38" t="s">
        <v>15</v>
      </c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38">
        <v>190.0</v>
      </c>
      <c r="B192" s="38" t="s">
        <v>206</v>
      </c>
      <c r="D192" s="38" t="s">
        <v>14</v>
      </c>
      <c r="F192" s="38"/>
      <c r="G192" s="38" t="s">
        <v>15</v>
      </c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38">
        <v>191.0</v>
      </c>
      <c r="B193" s="38" t="s">
        <v>207</v>
      </c>
      <c r="D193" s="38" t="s">
        <v>14</v>
      </c>
      <c r="F193" s="38"/>
      <c r="G193" s="38" t="s">
        <v>15</v>
      </c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38">
        <v>192.0</v>
      </c>
      <c r="B194" s="38" t="s">
        <v>208</v>
      </c>
      <c r="D194" s="38" t="s">
        <v>14</v>
      </c>
      <c r="F194" s="38"/>
      <c r="G194" s="38" t="s">
        <v>15</v>
      </c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38">
        <v>193.0</v>
      </c>
      <c r="B195" s="38" t="s">
        <v>209</v>
      </c>
      <c r="D195" s="38" t="s">
        <v>14</v>
      </c>
      <c r="F195" s="38"/>
      <c r="G195" s="38" t="s">
        <v>15</v>
      </c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38">
        <v>194.0</v>
      </c>
      <c r="B196" s="38" t="s">
        <v>210</v>
      </c>
      <c r="D196" s="38" t="s">
        <v>14</v>
      </c>
      <c r="F196" s="38"/>
      <c r="G196" s="38" t="s">
        <v>15</v>
      </c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38">
        <v>195.0</v>
      </c>
      <c r="B197" s="38" t="s">
        <v>211</v>
      </c>
      <c r="D197" s="38" t="s">
        <v>14</v>
      </c>
      <c r="F197" s="38"/>
      <c r="G197" s="38" t="s">
        <v>15</v>
      </c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38">
        <v>196.0</v>
      </c>
      <c r="B198" s="38" t="s">
        <v>212</v>
      </c>
      <c r="D198" s="38" t="s">
        <v>14</v>
      </c>
      <c r="F198" s="38"/>
      <c r="G198" s="38" t="s">
        <v>15</v>
      </c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38">
        <v>197.0</v>
      </c>
      <c r="B199" s="38" t="s">
        <v>213</v>
      </c>
      <c r="D199" s="38" t="s">
        <v>14</v>
      </c>
      <c r="F199" s="38"/>
      <c r="G199" s="38" t="s">
        <v>15</v>
      </c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38">
        <v>198.0</v>
      </c>
      <c r="B200" s="38" t="s">
        <v>214</v>
      </c>
      <c r="D200" s="38" t="s">
        <v>14</v>
      </c>
      <c r="F200" s="38"/>
      <c r="G200" s="38" t="s">
        <v>15</v>
      </c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38">
        <v>199.0</v>
      </c>
      <c r="B201" s="38" t="s">
        <v>215</v>
      </c>
      <c r="D201" s="38" t="s">
        <v>14</v>
      </c>
      <c r="F201" s="38"/>
      <c r="G201" s="38" t="s">
        <v>15</v>
      </c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38">
        <v>200.0</v>
      </c>
      <c r="B202" s="38" t="s">
        <v>216</v>
      </c>
      <c r="D202" s="38" t="s">
        <v>14</v>
      </c>
      <c r="F202" s="38"/>
      <c r="G202" s="38" t="s">
        <v>15</v>
      </c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38">
        <v>201.0</v>
      </c>
      <c r="B203" s="38" t="s">
        <v>217</v>
      </c>
      <c r="D203" s="38" t="s">
        <v>14</v>
      </c>
      <c r="F203" s="38"/>
      <c r="G203" s="38" t="s">
        <v>15</v>
      </c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38">
        <v>202.0</v>
      </c>
      <c r="B204" s="38" t="s">
        <v>218</v>
      </c>
      <c r="D204" s="38" t="s">
        <v>14</v>
      </c>
      <c r="F204" s="38"/>
      <c r="G204" s="38" t="s">
        <v>15</v>
      </c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38">
        <v>203.0</v>
      </c>
      <c r="B205" s="38" t="s">
        <v>219</v>
      </c>
      <c r="D205" s="38" t="s">
        <v>14</v>
      </c>
      <c r="F205" s="38"/>
      <c r="G205" s="38" t="s">
        <v>15</v>
      </c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38">
        <v>204.0</v>
      </c>
      <c r="B206" s="38" t="s">
        <v>220</v>
      </c>
      <c r="D206" s="38" t="s">
        <v>14</v>
      </c>
      <c r="F206" s="38"/>
      <c r="G206" s="38" t="s">
        <v>15</v>
      </c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38">
        <v>205.0</v>
      </c>
      <c r="B207" s="38" t="s">
        <v>221</v>
      </c>
      <c r="D207" s="38" t="s">
        <v>14</v>
      </c>
      <c r="F207" s="38"/>
      <c r="G207" s="38" t="s">
        <v>15</v>
      </c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38">
        <v>206.0</v>
      </c>
      <c r="B208" s="38" t="s">
        <v>222</v>
      </c>
      <c r="D208" s="38" t="s">
        <v>14</v>
      </c>
      <c r="F208" s="38"/>
      <c r="G208" s="38" t="s">
        <v>15</v>
      </c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38">
        <v>207.0</v>
      </c>
      <c r="B209" s="38" t="s">
        <v>223</v>
      </c>
      <c r="D209" s="38" t="s">
        <v>14</v>
      </c>
      <c r="F209" s="38"/>
      <c r="G209" s="38" t="s">
        <v>15</v>
      </c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38">
        <v>208.0</v>
      </c>
      <c r="B210" s="38" t="s">
        <v>224</v>
      </c>
      <c r="D210" s="38" t="s">
        <v>14</v>
      </c>
      <c r="F210" s="38"/>
      <c r="G210" s="38" t="s">
        <v>15</v>
      </c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38">
        <v>209.0</v>
      </c>
      <c r="B211" s="38" t="s">
        <v>225</v>
      </c>
      <c r="D211" s="38" t="s">
        <v>14</v>
      </c>
      <c r="F211" s="38"/>
      <c r="G211" s="38" t="s">
        <v>15</v>
      </c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38">
        <v>210.0</v>
      </c>
      <c r="B212" s="38" t="s">
        <v>226</v>
      </c>
      <c r="D212" s="38" t="s">
        <v>14</v>
      </c>
      <c r="F212" s="38"/>
      <c r="G212" s="38" t="s">
        <v>15</v>
      </c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38">
        <v>211.0</v>
      </c>
      <c r="B213" s="38" t="s">
        <v>227</v>
      </c>
      <c r="D213" s="38" t="s">
        <v>14</v>
      </c>
      <c r="F213" s="38"/>
      <c r="G213" s="38" t="s">
        <v>15</v>
      </c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38">
        <v>212.0</v>
      </c>
      <c r="B214" s="38" t="s">
        <v>228</v>
      </c>
      <c r="D214" s="38" t="s">
        <v>14</v>
      </c>
      <c r="F214" s="38"/>
      <c r="G214" s="38" t="s">
        <v>15</v>
      </c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38">
        <v>213.0</v>
      </c>
      <c r="B215" s="38" t="s">
        <v>229</v>
      </c>
      <c r="D215" s="38" t="s">
        <v>14</v>
      </c>
      <c r="F215" s="38"/>
      <c r="G215" s="38" t="s">
        <v>15</v>
      </c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38">
        <v>214.0</v>
      </c>
      <c r="B216" s="38" t="s">
        <v>230</v>
      </c>
      <c r="D216" s="38" t="s">
        <v>14</v>
      </c>
      <c r="F216" s="38"/>
      <c r="G216" s="38" t="s">
        <v>15</v>
      </c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38">
        <v>215.0</v>
      </c>
      <c r="B217" s="38" t="s">
        <v>231</v>
      </c>
      <c r="D217" s="38" t="s">
        <v>14</v>
      </c>
      <c r="F217" s="38"/>
      <c r="G217" s="38" t="s">
        <v>15</v>
      </c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38">
        <v>216.0</v>
      </c>
      <c r="B218" s="38" t="s">
        <v>232</v>
      </c>
      <c r="D218" s="38" t="s">
        <v>14</v>
      </c>
      <c r="F218" s="38"/>
      <c r="G218" s="38" t="s">
        <v>15</v>
      </c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38">
        <v>217.0</v>
      </c>
      <c r="B219" s="38" t="s">
        <v>233</v>
      </c>
      <c r="D219" s="38" t="s">
        <v>14</v>
      </c>
      <c r="F219" s="38"/>
      <c r="G219" s="38" t="s">
        <v>15</v>
      </c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38">
        <v>218.0</v>
      </c>
      <c r="B220" s="38" t="s">
        <v>234</v>
      </c>
      <c r="D220" s="38" t="s">
        <v>14</v>
      </c>
      <c r="F220" s="38"/>
      <c r="G220" s="38" t="s">
        <v>15</v>
      </c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38">
        <v>219.0</v>
      </c>
      <c r="B221" s="38" t="s">
        <v>235</v>
      </c>
      <c r="D221" s="38" t="s">
        <v>14</v>
      </c>
      <c r="F221" s="38"/>
      <c r="G221" s="38" t="s">
        <v>15</v>
      </c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38">
        <v>220.0</v>
      </c>
      <c r="B222" s="38" t="s">
        <v>236</v>
      </c>
      <c r="D222" s="38" t="s">
        <v>14</v>
      </c>
      <c r="F222" s="38"/>
      <c r="G222" s="38" t="s">
        <v>15</v>
      </c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38">
        <v>221.0</v>
      </c>
      <c r="B223" s="38" t="s">
        <v>237</v>
      </c>
      <c r="C223" s="38"/>
      <c r="D223" s="38" t="s">
        <v>14</v>
      </c>
      <c r="F223" s="38"/>
      <c r="G223" s="38" t="s">
        <v>15</v>
      </c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38">
        <v>222.0</v>
      </c>
      <c r="B224" s="38" t="s">
        <v>238</v>
      </c>
      <c r="D224" s="38" t="s">
        <v>14</v>
      </c>
      <c r="F224" s="38"/>
      <c r="G224" s="38" t="s">
        <v>15</v>
      </c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38">
        <v>223.0</v>
      </c>
      <c r="B225" s="38" t="s">
        <v>239</v>
      </c>
      <c r="D225" s="38" t="s">
        <v>14</v>
      </c>
      <c r="F225" s="38"/>
      <c r="G225" s="38" t="s">
        <v>15</v>
      </c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38">
        <v>224.0</v>
      </c>
      <c r="B226" s="38" t="s">
        <v>240</v>
      </c>
      <c r="D226" s="38" t="s">
        <v>14</v>
      </c>
      <c r="F226" s="38"/>
      <c r="G226" s="38" t="s">
        <v>15</v>
      </c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38">
        <v>225.0</v>
      </c>
      <c r="B227" s="38" t="s">
        <v>241</v>
      </c>
      <c r="D227" s="38" t="s">
        <v>14</v>
      </c>
      <c r="F227" s="38"/>
      <c r="G227" s="38" t="s">
        <v>15</v>
      </c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38">
        <v>226.0</v>
      </c>
      <c r="B228" s="38" t="s">
        <v>242</v>
      </c>
      <c r="D228" s="38" t="s">
        <v>14</v>
      </c>
      <c r="F228" s="38"/>
      <c r="G228" s="38" t="s">
        <v>15</v>
      </c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38">
        <v>227.0</v>
      </c>
      <c r="B229" s="38" t="s">
        <v>243</v>
      </c>
      <c r="D229" s="38" t="s">
        <v>14</v>
      </c>
      <c r="F229" s="38"/>
      <c r="G229" s="38" t="s">
        <v>15</v>
      </c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38">
        <v>228.0</v>
      </c>
      <c r="B230" s="38" t="s">
        <v>244</v>
      </c>
      <c r="D230" s="38" t="s">
        <v>14</v>
      </c>
      <c r="F230" s="38"/>
      <c r="G230" s="38" t="s">
        <v>15</v>
      </c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38">
        <v>229.0</v>
      </c>
      <c r="B231" s="38" t="s">
        <v>245</v>
      </c>
      <c r="D231" s="38" t="s">
        <v>14</v>
      </c>
      <c r="F231" s="38"/>
      <c r="G231" s="38" t="s">
        <v>15</v>
      </c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38">
        <v>230.0</v>
      </c>
      <c r="B232" s="38" t="s">
        <v>246</v>
      </c>
      <c r="D232" s="38" t="s">
        <v>14</v>
      </c>
      <c r="F232" s="38"/>
      <c r="G232" s="38" t="s">
        <v>15</v>
      </c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38">
        <v>231.0</v>
      </c>
      <c r="B233" s="38" t="s">
        <v>247</v>
      </c>
      <c r="D233" s="38" t="s">
        <v>14</v>
      </c>
      <c r="F233" s="38"/>
      <c r="G233" s="38" t="s">
        <v>15</v>
      </c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38">
        <v>232.0</v>
      </c>
      <c r="B234" s="38" t="s">
        <v>248</v>
      </c>
      <c r="D234" s="38" t="s">
        <v>14</v>
      </c>
      <c r="F234" s="38"/>
      <c r="G234" s="38" t="s">
        <v>15</v>
      </c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38">
        <v>233.0</v>
      </c>
      <c r="B235" s="38" t="s">
        <v>249</v>
      </c>
      <c r="D235" s="38" t="s">
        <v>14</v>
      </c>
      <c r="F235" s="38"/>
      <c r="G235" s="38" t="s">
        <v>15</v>
      </c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38">
        <v>234.0</v>
      </c>
      <c r="B236" s="38" t="s">
        <v>250</v>
      </c>
      <c r="D236" s="38" t="s">
        <v>14</v>
      </c>
      <c r="F236" s="38"/>
      <c r="G236" s="38" t="s">
        <v>15</v>
      </c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38">
        <v>235.0</v>
      </c>
      <c r="B237" s="38" t="s">
        <v>251</v>
      </c>
      <c r="D237" s="38" t="s">
        <v>14</v>
      </c>
      <c r="F237" s="38"/>
      <c r="G237" s="38" t="s">
        <v>15</v>
      </c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38">
        <v>236.0</v>
      </c>
      <c r="B238" s="38" t="s">
        <v>252</v>
      </c>
      <c r="D238" s="38" t="s">
        <v>14</v>
      </c>
      <c r="F238" s="38"/>
      <c r="G238" s="38" t="s">
        <v>15</v>
      </c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autoFilter ref="$A$2:$G$2"/>
  <mergeCells count="471">
    <mergeCell ref="D185:E185"/>
    <mergeCell ref="D186:E186"/>
    <mergeCell ref="D178:E178"/>
    <mergeCell ref="D179:E179"/>
    <mergeCell ref="D180:E180"/>
    <mergeCell ref="D181:E181"/>
    <mergeCell ref="D182:E182"/>
    <mergeCell ref="D183:E183"/>
    <mergeCell ref="D184:E184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204:E204"/>
    <mergeCell ref="D205:E205"/>
    <mergeCell ref="D197:E197"/>
    <mergeCell ref="D198:E198"/>
    <mergeCell ref="D199:E199"/>
    <mergeCell ref="D200:E200"/>
    <mergeCell ref="D201:E201"/>
    <mergeCell ref="D202:E202"/>
    <mergeCell ref="D203:E203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D187:E187"/>
    <mergeCell ref="B188:C188"/>
    <mergeCell ref="D188:E188"/>
    <mergeCell ref="D189:E189"/>
    <mergeCell ref="B189:C189"/>
    <mergeCell ref="B190:C190"/>
    <mergeCell ref="B191:C191"/>
    <mergeCell ref="B192:C192"/>
    <mergeCell ref="B193:C193"/>
    <mergeCell ref="B194:C194"/>
    <mergeCell ref="B195:C195"/>
    <mergeCell ref="D190:E190"/>
    <mergeCell ref="D191:E191"/>
    <mergeCell ref="D192:E192"/>
    <mergeCell ref="D193:E193"/>
    <mergeCell ref="D194:E194"/>
    <mergeCell ref="D195:E195"/>
    <mergeCell ref="D196:E196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D206:E206"/>
    <mergeCell ref="B207:C207"/>
    <mergeCell ref="D207:E207"/>
    <mergeCell ref="A1:G1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D9:E9"/>
    <mergeCell ref="B9:C9"/>
    <mergeCell ref="B10:C10"/>
    <mergeCell ref="B11:C11"/>
    <mergeCell ref="B12:C12"/>
    <mergeCell ref="B13:C13"/>
    <mergeCell ref="B14:C14"/>
    <mergeCell ref="B15:C15"/>
    <mergeCell ref="D10:E10"/>
    <mergeCell ref="D11:E11"/>
    <mergeCell ref="D12:E12"/>
    <mergeCell ref="D13:E13"/>
    <mergeCell ref="D14:E14"/>
    <mergeCell ref="D15:E15"/>
    <mergeCell ref="D16:E16"/>
    <mergeCell ref="B16:C16"/>
    <mergeCell ref="B17:C17"/>
    <mergeCell ref="B18:C18"/>
    <mergeCell ref="B19:C19"/>
    <mergeCell ref="B20:C20"/>
    <mergeCell ref="B21:C21"/>
    <mergeCell ref="B22:C22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D233:E233"/>
    <mergeCell ref="D234:E234"/>
    <mergeCell ref="D226:E226"/>
    <mergeCell ref="D227:E227"/>
    <mergeCell ref="D228:E228"/>
    <mergeCell ref="D229:E229"/>
    <mergeCell ref="D230:E230"/>
    <mergeCell ref="D231:E231"/>
    <mergeCell ref="D232:E232"/>
    <mergeCell ref="B208:C208"/>
    <mergeCell ref="D208:E208"/>
    <mergeCell ref="B209:C209"/>
    <mergeCell ref="D209:E209"/>
    <mergeCell ref="B210:C210"/>
    <mergeCell ref="D210:E210"/>
    <mergeCell ref="D211:E211"/>
    <mergeCell ref="B211:C211"/>
    <mergeCell ref="B212:C212"/>
    <mergeCell ref="B213:C213"/>
    <mergeCell ref="B214:C214"/>
    <mergeCell ref="B215:C215"/>
    <mergeCell ref="B216:C216"/>
    <mergeCell ref="B217:C217"/>
    <mergeCell ref="D212:E212"/>
    <mergeCell ref="D213:E213"/>
    <mergeCell ref="D214:E214"/>
    <mergeCell ref="D215:E215"/>
    <mergeCell ref="D216:E216"/>
    <mergeCell ref="D217:E217"/>
    <mergeCell ref="D218:E218"/>
    <mergeCell ref="B218:C218"/>
    <mergeCell ref="B219:C219"/>
    <mergeCell ref="B220:C220"/>
    <mergeCell ref="B221:C221"/>
    <mergeCell ref="B222:C222"/>
    <mergeCell ref="B224:C224"/>
    <mergeCell ref="B225:C225"/>
    <mergeCell ref="D219:E219"/>
    <mergeCell ref="D220:E220"/>
    <mergeCell ref="D221:E221"/>
    <mergeCell ref="D222:E222"/>
    <mergeCell ref="D223:E223"/>
    <mergeCell ref="D224:E224"/>
    <mergeCell ref="D225:E225"/>
    <mergeCell ref="B226:C226"/>
    <mergeCell ref="B227:C227"/>
    <mergeCell ref="B228:C228"/>
    <mergeCell ref="B229:C229"/>
    <mergeCell ref="B230:C230"/>
    <mergeCell ref="B231:C231"/>
    <mergeCell ref="B232:C232"/>
    <mergeCell ref="B237:C237"/>
    <mergeCell ref="B238:C238"/>
    <mergeCell ref="B233:C233"/>
    <mergeCell ref="B234:C234"/>
    <mergeCell ref="B235:C235"/>
    <mergeCell ref="D235:E235"/>
    <mergeCell ref="B236:C236"/>
    <mergeCell ref="D236:E236"/>
    <mergeCell ref="D237:E237"/>
    <mergeCell ref="D238:E238"/>
  </mergeCells>
  <printOptions/>
  <pageMargins bottom="1.0" footer="0.0" header="0.0" left="0.75" right="0.75" top="1.0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4.38"/>
    <col customWidth="1" min="2" max="2" width="26.25"/>
    <col customWidth="1" min="3" max="3" width="7.0"/>
    <col customWidth="1" min="4" max="5" width="15.75"/>
    <col customWidth="1" min="6" max="6" width="26.25"/>
    <col customWidth="1" min="7" max="7" width="21.88"/>
    <col customWidth="1" min="8" max="26" width="7.63"/>
  </cols>
  <sheetData>
    <row r="1" ht="27.75" customHeight="1">
      <c r="A1" s="69" t="s">
        <v>4866</v>
      </c>
      <c r="B1" s="2"/>
      <c r="C1" s="2"/>
      <c r="D1" s="2"/>
      <c r="E1" s="2"/>
      <c r="F1" s="2"/>
      <c r="G1" s="3"/>
    </row>
    <row r="2" ht="19.5" customHeight="1">
      <c r="A2" s="7" t="s">
        <v>3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</row>
    <row r="3" ht="15.75" customHeight="1">
      <c r="A3" s="27">
        <v>1.0</v>
      </c>
      <c r="B3" s="102" t="s">
        <v>967</v>
      </c>
      <c r="C3" s="102">
        <v>26.0</v>
      </c>
      <c r="D3" s="102">
        <v>3.7454987E7</v>
      </c>
      <c r="E3" s="102" t="s">
        <v>13</v>
      </c>
      <c r="F3" s="102" t="s">
        <v>968</v>
      </c>
      <c r="G3" s="102" t="s">
        <v>969</v>
      </c>
    </row>
    <row r="4" ht="15.75" customHeight="1">
      <c r="A4" s="27">
        <v>2.0</v>
      </c>
      <c r="B4" s="20" t="s">
        <v>970</v>
      </c>
      <c r="C4" s="20" t="s">
        <v>13</v>
      </c>
      <c r="D4" s="20">
        <v>3.00454425E8</v>
      </c>
      <c r="E4" s="20" t="s">
        <v>13</v>
      </c>
      <c r="F4" s="20" t="s">
        <v>330</v>
      </c>
      <c r="G4" s="20" t="s">
        <v>13</v>
      </c>
    </row>
    <row r="5" ht="15.75" customHeight="1">
      <c r="A5" s="27">
        <v>3.0</v>
      </c>
      <c r="B5" s="20" t="s">
        <v>971</v>
      </c>
      <c r="C5" s="20">
        <v>70.0</v>
      </c>
      <c r="D5" s="20" t="s">
        <v>13</v>
      </c>
      <c r="E5" s="20" t="s">
        <v>13</v>
      </c>
      <c r="F5" s="20" t="s">
        <v>972</v>
      </c>
      <c r="G5" s="20" t="s">
        <v>13</v>
      </c>
    </row>
    <row r="6" ht="15.75" customHeight="1">
      <c r="A6" s="27">
        <v>4.0</v>
      </c>
      <c r="B6" s="20" t="s">
        <v>973</v>
      </c>
      <c r="C6" s="20">
        <v>53.0</v>
      </c>
      <c r="D6" s="20">
        <v>1.1201504E7</v>
      </c>
      <c r="E6" s="20" t="s">
        <v>13</v>
      </c>
      <c r="F6" s="20" t="s">
        <v>972</v>
      </c>
      <c r="G6" s="20" t="s">
        <v>13</v>
      </c>
    </row>
    <row r="7" ht="15.75" customHeight="1">
      <c r="A7" s="27">
        <v>5.0</v>
      </c>
      <c r="B7" s="20" t="s">
        <v>974</v>
      </c>
      <c r="C7" s="20">
        <v>21.0</v>
      </c>
      <c r="D7" s="20" t="s">
        <v>13</v>
      </c>
      <c r="E7" s="20" t="s">
        <v>13</v>
      </c>
      <c r="F7" s="20" t="s">
        <v>545</v>
      </c>
      <c r="G7" s="20" t="s">
        <v>13</v>
      </c>
    </row>
    <row r="8" ht="15.75" customHeight="1">
      <c r="A8" s="27">
        <v>6.0</v>
      </c>
      <c r="B8" s="20" t="s">
        <v>975</v>
      </c>
      <c r="C8" s="20">
        <v>22.0</v>
      </c>
      <c r="D8" s="20">
        <v>3.0282613E7</v>
      </c>
      <c r="E8" s="20" t="s">
        <v>13</v>
      </c>
      <c r="F8" s="20" t="s">
        <v>972</v>
      </c>
      <c r="G8" s="20" t="s">
        <v>13</v>
      </c>
    </row>
    <row r="9" ht="15.75" customHeight="1">
      <c r="A9" s="27">
        <v>7.0</v>
      </c>
      <c r="B9" s="20" t="s">
        <v>976</v>
      </c>
      <c r="C9" s="20">
        <v>45.0</v>
      </c>
      <c r="D9" s="20">
        <v>1.5720959E7</v>
      </c>
      <c r="E9" s="20" t="s">
        <v>13</v>
      </c>
      <c r="F9" s="20" t="s">
        <v>375</v>
      </c>
      <c r="G9" s="20" t="s">
        <v>13</v>
      </c>
    </row>
    <row r="10" ht="15.75" customHeight="1">
      <c r="A10" s="27">
        <v>8.0</v>
      </c>
      <c r="B10" s="20" t="s">
        <v>977</v>
      </c>
      <c r="C10" s="20">
        <v>33.0</v>
      </c>
      <c r="D10" s="20">
        <v>2.0925605E7</v>
      </c>
      <c r="E10" s="20" t="s">
        <v>13</v>
      </c>
      <c r="F10" s="20" t="s">
        <v>330</v>
      </c>
      <c r="G10" s="20" t="s">
        <v>13</v>
      </c>
    </row>
    <row r="11" ht="15.75" customHeight="1">
      <c r="A11" s="27">
        <v>9.0</v>
      </c>
      <c r="B11" s="20" t="s">
        <v>978</v>
      </c>
      <c r="C11" s="20">
        <v>41.0</v>
      </c>
      <c r="D11" s="20">
        <v>3.4316929E7</v>
      </c>
      <c r="E11" s="20" t="s">
        <v>13</v>
      </c>
      <c r="F11" s="20" t="s">
        <v>972</v>
      </c>
      <c r="G11" s="20" t="s">
        <v>13</v>
      </c>
    </row>
    <row r="12" ht="15.75" customHeight="1">
      <c r="A12" s="27">
        <v>10.0</v>
      </c>
      <c r="B12" s="20" t="s">
        <v>979</v>
      </c>
      <c r="C12" s="20">
        <v>52.0</v>
      </c>
      <c r="D12" s="20">
        <v>4.8815362E7</v>
      </c>
      <c r="E12" s="20" t="s">
        <v>13</v>
      </c>
      <c r="F12" s="20" t="s">
        <v>980</v>
      </c>
      <c r="G12" s="20" t="s">
        <v>969</v>
      </c>
    </row>
    <row r="13" ht="15.75" customHeight="1">
      <c r="A13" s="27">
        <v>11.0</v>
      </c>
      <c r="B13" s="20" t="s">
        <v>981</v>
      </c>
      <c r="C13" s="20">
        <v>7.0</v>
      </c>
      <c r="D13" s="20" t="s">
        <v>982</v>
      </c>
      <c r="E13" s="20" t="s">
        <v>13</v>
      </c>
      <c r="F13" s="20" t="s">
        <v>13</v>
      </c>
      <c r="G13" s="20" t="s">
        <v>15</v>
      </c>
    </row>
    <row r="14" ht="15.75" customHeight="1">
      <c r="A14" s="27">
        <v>12.0</v>
      </c>
      <c r="B14" s="20" t="s">
        <v>983</v>
      </c>
      <c r="C14" s="20">
        <v>2.0</v>
      </c>
      <c r="D14" s="20">
        <v>4856810.0</v>
      </c>
      <c r="E14" s="20" t="s">
        <v>13</v>
      </c>
      <c r="F14" s="20" t="s">
        <v>984</v>
      </c>
      <c r="G14" s="20" t="s">
        <v>13</v>
      </c>
    </row>
    <row r="15" ht="15.75" customHeight="1">
      <c r="A15" s="27">
        <v>13.0</v>
      </c>
      <c r="B15" s="20" t="s">
        <v>985</v>
      </c>
      <c r="C15" s="20">
        <v>15.0</v>
      </c>
      <c r="D15" s="20" t="s">
        <v>13</v>
      </c>
      <c r="E15" s="20" t="s">
        <v>13</v>
      </c>
      <c r="F15" s="20" t="s">
        <v>986</v>
      </c>
      <c r="G15" s="20" t="s">
        <v>13</v>
      </c>
    </row>
    <row r="16" ht="15.75" customHeight="1">
      <c r="A16" s="27">
        <v>14.0</v>
      </c>
      <c r="B16" s="20" t="s">
        <v>987</v>
      </c>
      <c r="C16" s="20">
        <v>85.0</v>
      </c>
      <c r="D16" s="20">
        <v>3323366.0</v>
      </c>
      <c r="E16" s="20" t="s">
        <v>13</v>
      </c>
      <c r="F16" s="20" t="s">
        <v>988</v>
      </c>
      <c r="G16" s="20" t="s">
        <v>13</v>
      </c>
    </row>
    <row r="17" ht="15.75" customHeight="1">
      <c r="A17" s="27">
        <v>15.0</v>
      </c>
      <c r="B17" s="20" t="s">
        <v>989</v>
      </c>
      <c r="C17" s="20">
        <v>17.0</v>
      </c>
      <c r="D17" s="20" t="s">
        <v>990</v>
      </c>
      <c r="E17" s="20" t="s">
        <v>13</v>
      </c>
      <c r="F17" s="20" t="s">
        <v>13</v>
      </c>
      <c r="G17" s="20" t="s">
        <v>15</v>
      </c>
    </row>
    <row r="18" ht="15.75" customHeight="1">
      <c r="A18" s="27">
        <v>16.0</v>
      </c>
      <c r="B18" s="20" t="s">
        <v>991</v>
      </c>
      <c r="C18" s="20">
        <v>22.0</v>
      </c>
      <c r="D18" s="20">
        <v>3.0091537E7</v>
      </c>
      <c r="E18" s="20" t="s">
        <v>13</v>
      </c>
      <c r="F18" s="20" t="s">
        <v>343</v>
      </c>
      <c r="G18" s="20" t="s">
        <v>13</v>
      </c>
    </row>
    <row r="19">
      <c r="A19" s="103">
        <v>17.0</v>
      </c>
      <c r="B19" s="20" t="s">
        <v>992</v>
      </c>
      <c r="C19" s="20">
        <v>40.0</v>
      </c>
      <c r="D19" s="20">
        <v>1.7755824E7</v>
      </c>
      <c r="E19" s="20" t="s">
        <v>13</v>
      </c>
      <c r="F19" s="20" t="s">
        <v>993</v>
      </c>
      <c r="G19" s="20" t="s">
        <v>13</v>
      </c>
    </row>
    <row r="20">
      <c r="A20" s="27">
        <v>18.0</v>
      </c>
      <c r="B20" s="20" t="s">
        <v>994</v>
      </c>
      <c r="C20" s="20">
        <v>58.0</v>
      </c>
      <c r="D20" s="20" t="s">
        <v>13</v>
      </c>
      <c r="E20" s="20" t="s">
        <v>13</v>
      </c>
      <c r="F20" s="20" t="s">
        <v>330</v>
      </c>
      <c r="G20" s="20" t="s">
        <v>13</v>
      </c>
    </row>
    <row r="21">
      <c r="A21" s="27">
        <v>19.0</v>
      </c>
      <c r="B21" s="20" t="s">
        <v>995</v>
      </c>
      <c r="C21" s="20">
        <v>44.0</v>
      </c>
      <c r="D21" s="20">
        <v>2.0127874E7</v>
      </c>
      <c r="E21" s="20" t="s">
        <v>13</v>
      </c>
      <c r="F21" s="20" t="s">
        <v>972</v>
      </c>
      <c r="G21" s="20" t="s">
        <v>13</v>
      </c>
    </row>
    <row r="22">
      <c r="A22" s="27">
        <v>20.0</v>
      </c>
      <c r="B22" s="20" t="s">
        <v>996</v>
      </c>
      <c r="C22" s="20">
        <v>47.0</v>
      </c>
      <c r="D22" s="20">
        <v>1.4935718E7</v>
      </c>
      <c r="E22" s="20" t="s">
        <v>13</v>
      </c>
      <c r="F22" s="20" t="s">
        <v>997</v>
      </c>
      <c r="G22" s="20" t="s">
        <v>998</v>
      </c>
    </row>
    <row r="23">
      <c r="A23" s="27">
        <v>21.0</v>
      </c>
      <c r="B23" s="20" t="s">
        <v>999</v>
      </c>
      <c r="C23" s="20">
        <v>58.0</v>
      </c>
      <c r="D23" s="20">
        <v>7990728.0</v>
      </c>
      <c r="E23" s="20" t="s">
        <v>13</v>
      </c>
      <c r="F23" s="20" t="s">
        <v>330</v>
      </c>
      <c r="G23" s="20" t="s">
        <v>13</v>
      </c>
    </row>
    <row r="24">
      <c r="A24" s="27">
        <v>22.0</v>
      </c>
      <c r="B24" s="20" t="s">
        <v>1000</v>
      </c>
      <c r="C24" s="20">
        <v>59.0</v>
      </c>
      <c r="D24" s="20">
        <v>6261045.0</v>
      </c>
      <c r="E24" s="20" t="s">
        <v>13</v>
      </c>
      <c r="F24" s="20" t="s">
        <v>375</v>
      </c>
      <c r="G24" s="20" t="s">
        <v>13</v>
      </c>
    </row>
    <row r="25">
      <c r="A25" s="27">
        <v>23.0</v>
      </c>
      <c r="B25" s="20" t="s">
        <v>1001</v>
      </c>
      <c r="C25" s="20">
        <v>29.0</v>
      </c>
      <c r="D25" s="20">
        <v>2.6219522E7</v>
      </c>
      <c r="E25" s="20" t="s">
        <v>13</v>
      </c>
      <c r="F25" s="20" t="s">
        <v>972</v>
      </c>
      <c r="G25" s="20" t="s">
        <v>13</v>
      </c>
    </row>
    <row r="26">
      <c r="A26" s="27">
        <v>24.0</v>
      </c>
      <c r="B26" s="20" t="s">
        <v>1002</v>
      </c>
      <c r="C26" s="20">
        <v>47.0</v>
      </c>
      <c r="D26" s="20" t="s">
        <v>1003</v>
      </c>
      <c r="E26" s="20" t="s">
        <v>13</v>
      </c>
      <c r="F26" s="20" t="s">
        <v>13</v>
      </c>
      <c r="G26" s="20" t="s">
        <v>1004</v>
      </c>
    </row>
    <row r="27">
      <c r="A27" s="27">
        <v>25.0</v>
      </c>
      <c r="B27" s="20" t="s">
        <v>1005</v>
      </c>
      <c r="C27" s="20">
        <v>27.0</v>
      </c>
      <c r="D27" s="20">
        <v>2.7225952E7</v>
      </c>
      <c r="E27" s="20" t="s">
        <v>13</v>
      </c>
      <c r="F27" s="20" t="s">
        <v>346</v>
      </c>
      <c r="G27" s="20" t="s">
        <v>13</v>
      </c>
    </row>
    <row r="28">
      <c r="A28" s="27">
        <v>26.0</v>
      </c>
      <c r="B28" s="20" t="s">
        <v>1006</v>
      </c>
      <c r="C28" s="20">
        <v>65.0</v>
      </c>
      <c r="D28" s="20" t="s">
        <v>1007</v>
      </c>
      <c r="E28" s="20" t="s">
        <v>13</v>
      </c>
      <c r="F28" s="20" t="s">
        <v>13</v>
      </c>
      <c r="G28" s="20" t="s">
        <v>15</v>
      </c>
    </row>
    <row r="29">
      <c r="A29" s="27">
        <v>27.0</v>
      </c>
      <c r="B29" s="20" t="s">
        <v>1008</v>
      </c>
      <c r="C29" s="20">
        <v>7.0</v>
      </c>
      <c r="D29" s="20" t="s">
        <v>13</v>
      </c>
      <c r="E29" s="20" t="s">
        <v>13</v>
      </c>
      <c r="F29" s="20" t="s">
        <v>343</v>
      </c>
      <c r="G29" s="20" t="s">
        <v>13</v>
      </c>
    </row>
    <row r="30">
      <c r="A30" s="27">
        <v>28.0</v>
      </c>
      <c r="B30" s="20" t="s">
        <v>1009</v>
      </c>
      <c r="C30" s="20">
        <v>30.0</v>
      </c>
      <c r="D30" s="20" t="s">
        <v>1010</v>
      </c>
      <c r="E30" s="20" t="s">
        <v>13</v>
      </c>
      <c r="F30" s="20" t="s">
        <v>13</v>
      </c>
      <c r="G30" s="20" t="s">
        <v>15</v>
      </c>
    </row>
    <row r="31">
      <c r="A31" s="27">
        <v>29.0</v>
      </c>
      <c r="B31" s="20" t="s">
        <v>1011</v>
      </c>
      <c r="C31" s="20">
        <v>55.0</v>
      </c>
      <c r="D31" s="20">
        <v>1.062759E7</v>
      </c>
      <c r="E31" s="20" t="s">
        <v>13</v>
      </c>
      <c r="F31" s="20" t="s">
        <v>972</v>
      </c>
      <c r="G31" s="20" t="s">
        <v>13</v>
      </c>
    </row>
    <row r="32">
      <c r="A32" s="27">
        <v>30.0</v>
      </c>
      <c r="B32" s="20" t="s">
        <v>1012</v>
      </c>
      <c r="C32" s="20">
        <v>50.0</v>
      </c>
      <c r="D32" s="20" t="s">
        <v>1013</v>
      </c>
      <c r="E32" s="20" t="s">
        <v>13</v>
      </c>
      <c r="F32" s="20" t="s">
        <v>13</v>
      </c>
      <c r="G32" s="20" t="s">
        <v>1004</v>
      </c>
    </row>
    <row r="33">
      <c r="A33" s="27">
        <v>31.0</v>
      </c>
      <c r="B33" s="20" t="s">
        <v>1014</v>
      </c>
      <c r="C33" s="20">
        <v>19.0</v>
      </c>
      <c r="D33" s="20" t="s">
        <v>1015</v>
      </c>
      <c r="E33" s="20" t="s">
        <v>13</v>
      </c>
      <c r="F33" s="20" t="s">
        <v>13</v>
      </c>
      <c r="G33" s="20" t="s">
        <v>15</v>
      </c>
    </row>
    <row r="34">
      <c r="A34" s="27">
        <v>32.0</v>
      </c>
      <c r="B34" s="20" t="s">
        <v>1016</v>
      </c>
      <c r="C34" s="20">
        <v>68.0</v>
      </c>
      <c r="D34" s="20">
        <v>2.5601129E7</v>
      </c>
      <c r="E34" s="20" t="s">
        <v>13</v>
      </c>
      <c r="F34" s="20" t="s">
        <v>972</v>
      </c>
      <c r="G34" s="20" t="s">
        <v>13</v>
      </c>
    </row>
    <row r="35">
      <c r="A35" s="27">
        <v>33.0</v>
      </c>
      <c r="B35" s="20" t="s">
        <v>1017</v>
      </c>
      <c r="C35" s="20">
        <v>15.0</v>
      </c>
      <c r="D35" s="20" t="s">
        <v>14</v>
      </c>
      <c r="E35" s="20" t="s">
        <v>13</v>
      </c>
      <c r="F35" s="20" t="s">
        <v>13</v>
      </c>
      <c r="G35" s="20" t="s">
        <v>1018</v>
      </c>
    </row>
    <row r="36">
      <c r="A36" s="27">
        <v>34.0</v>
      </c>
      <c r="B36" s="20" t="s">
        <v>1019</v>
      </c>
      <c r="C36" s="20">
        <v>47.0</v>
      </c>
      <c r="D36" s="20">
        <v>1.8822791E7</v>
      </c>
      <c r="E36" s="20" t="s">
        <v>13</v>
      </c>
      <c r="F36" s="20" t="s">
        <v>972</v>
      </c>
      <c r="G36" s="20" t="s">
        <v>13</v>
      </c>
    </row>
    <row r="37">
      <c r="A37" s="27">
        <v>35.0</v>
      </c>
      <c r="B37" s="20" t="s">
        <v>1020</v>
      </c>
      <c r="C37" s="20">
        <v>28.0</v>
      </c>
      <c r="D37" s="20">
        <v>2.5964449E7</v>
      </c>
      <c r="E37" s="20" t="s">
        <v>13</v>
      </c>
      <c r="F37" s="20" t="s">
        <v>993</v>
      </c>
      <c r="G37" s="20" t="s">
        <v>13</v>
      </c>
    </row>
    <row r="38">
      <c r="A38" s="27">
        <v>36.0</v>
      </c>
      <c r="B38" s="20" t="s">
        <v>1021</v>
      </c>
      <c r="C38" s="20">
        <v>31.0</v>
      </c>
      <c r="D38" s="20">
        <v>2.3565571E7</v>
      </c>
      <c r="E38" s="20" t="s">
        <v>13</v>
      </c>
      <c r="F38" s="20" t="s">
        <v>330</v>
      </c>
      <c r="G38" s="20" t="s">
        <v>13</v>
      </c>
    </row>
    <row r="39">
      <c r="A39" s="27">
        <v>37.0</v>
      </c>
      <c r="B39" s="20" t="s">
        <v>855</v>
      </c>
      <c r="C39" s="20">
        <v>53.0</v>
      </c>
      <c r="D39" s="20">
        <v>1.1061254E7</v>
      </c>
      <c r="E39" s="20" t="s">
        <v>13</v>
      </c>
      <c r="F39" s="20" t="s">
        <v>346</v>
      </c>
      <c r="G39" s="20" t="s">
        <v>13</v>
      </c>
    </row>
    <row r="40">
      <c r="A40" s="27">
        <v>38.0</v>
      </c>
      <c r="B40" s="20" t="s">
        <v>1022</v>
      </c>
      <c r="C40" s="20">
        <v>38.0</v>
      </c>
      <c r="D40" s="20">
        <v>8.4305821E7</v>
      </c>
      <c r="E40" s="20" t="s">
        <v>13</v>
      </c>
      <c r="F40" s="20" t="s">
        <v>330</v>
      </c>
      <c r="G40" s="20" t="s">
        <v>13</v>
      </c>
    </row>
    <row r="41">
      <c r="A41" s="27">
        <v>39.0</v>
      </c>
      <c r="B41" s="20" t="s">
        <v>1023</v>
      </c>
      <c r="C41" s="20">
        <v>21.0</v>
      </c>
      <c r="D41" s="20">
        <v>3.0633264E7</v>
      </c>
      <c r="E41" s="20" t="s">
        <v>13</v>
      </c>
      <c r="F41" s="20" t="s">
        <v>330</v>
      </c>
      <c r="G41" s="20" t="s">
        <v>13</v>
      </c>
    </row>
    <row r="42">
      <c r="A42" s="38">
        <v>40.0</v>
      </c>
      <c r="B42" s="38" t="s">
        <v>1024</v>
      </c>
      <c r="C42" s="38">
        <v>31.0</v>
      </c>
      <c r="D42" s="38">
        <v>2.3565721E7</v>
      </c>
      <c r="E42" s="38" t="s">
        <v>13</v>
      </c>
      <c r="F42" s="38" t="s">
        <v>330</v>
      </c>
      <c r="G42" s="38" t="s">
        <v>13</v>
      </c>
    </row>
    <row r="43">
      <c r="A43" s="38">
        <v>41.0</v>
      </c>
      <c r="B43" s="38" t="s">
        <v>1025</v>
      </c>
      <c r="C43" s="38">
        <v>19.0</v>
      </c>
      <c r="D43" s="38" t="s">
        <v>13</v>
      </c>
      <c r="E43" s="38" t="s">
        <v>13</v>
      </c>
      <c r="F43" s="38" t="s">
        <v>13</v>
      </c>
      <c r="G43" s="38" t="s">
        <v>13</v>
      </c>
    </row>
    <row r="44">
      <c r="A44" s="38">
        <v>42.0</v>
      </c>
      <c r="B44" s="38" t="s">
        <v>1026</v>
      </c>
      <c r="C44" s="38">
        <v>43.0</v>
      </c>
      <c r="D44" s="38">
        <v>1.7116373E7</v>
      </c>
      <c r="E44" s="38" t="s">
        <v>13</v>
      </c>
      <c r="F44" s="38" t="s">
        <v>972</v>
      </c>
      <c r="G44" s="38" t="s">
        <v>13</v>
      </c>
    </row>
    <row r="45">
      <c r="A45" s="38">
        <v>43.0</v>
      </c>
      <c r="B45" s="38" t="s">
        <v>1027</v>
      </c>
      <c r="C45" s="38" t="s">
        <v>13</v>
      </c>
      <c r="D45" s="38">
        <v>1.5834314E7</v>
      </c>
      <c r="E45" s="38" t="s">
        <v>13</v>
      </c>
      <c r="F45" s="38" t="s">
        <v>1028</v>
      </c>
      <c r="G45" s="38" t="s">
        <v>13</v>
      </c>
    </row>
    <row r="46">
      <c r="A46" s="38">
        <v>44.0</v>
      </c>
      <c r="B46" s="38" t="s">
        <v>1029</v>
      </c>
      <c r="C46" s="38">
        <v>13.0</v>
      </c>
      <c r="D46" s="38">
        <v>3.5010914E7</v>
      </c>
      <c r="E46" s="38" t="s">
        <v>13</v>
      </c>
      <c r="F46" s="38" t="s">
        <v>1028</v>
      </c>
      <c r="G46" s="38" t="s">
        <v>13</v>
      </c>
    </row>
    <row r="47">
      <c r="A47" s="38">
        <v>45.0</v>
      </c>
      <c r="B47" s="38" t="s">
        <v>1030</v>
      </c>
      <c r="C47" s="38">
        <v>37.0</v>
      </c>
      <c r="D47" s="38" t="s">
        <v>14</v>
      </c>
      <c r="E47" s="38"/>
      <c r="F47" s="38"/>
      <c r="G47" s="38" t="s">
        <v>1031</v>
      </c>
    </row>
    <row r="48">
      <c r="A48" s="38">
        <v>46.0</v>
      </c>
      <c r="B48" s="38" t="s">
        <v>1032</v>
      </c>
      <c r="C48" s="38">
        <v>37.0</v>
      </c>
      <c r="D48" s="38" t="s">
        <v>13</v>
      </c>
      <c r="E48" s="38" t="s">
        <v>13</v>
      </c>
      <c r="F48" s="38" t="s">
        <v>13</v>
      </c>
      <c r="G48" s="38" t="s">
        <v>13</v>
      </c>
    </row>
    <row r="49">
      <c r="A49" s="38">
        <v>47.0</v>
      </c>
      <c r="B49" s="38" t="s">
        <v>1033</v>
      </c>
      <c r="C49" s="38">
        <v>66.0</v>
      </c>
      <c r="D49" s="38">
        <v>6856684.0</v>
      </c>
      <c r="E49" s="38" t="s">
        <v>13</v>
      </c>
      <c r="F49" s="38" t="s">
        <v>1034</v>
      </c>
      <c r="G49" s="38" t="s">
        <v>13</v>
      </c>
    </row>
    <row r="50">
      <c r="A50" s="4"/>
      <c r="B50" s="4"/>
      <c r="C50" s="4"/>
      <c r="D50" s="4"/>
      <c r="E50" s="4"/>
      <c r="F50" s="4"/>
      <c r="G50" s="4"/>
    </row>
    <row r="51">
      <c r="A51" s="4"/>
      <c r="B51" s="4"/>
      <c r="C51" s="4"/>
      <c r="D51" s="4"/>
      <c r="E51" s="4"/>
      <c r="F51" s="4"/>
      <c r="G51" s="4"/>
    </row>
    <row r="52">
      <c r="A52" s="4"/>
      <c r="B52" s="4"/>
      <c r="C52" s="4"/>
      <c r="D52" s="4"/>
      <c r="E52" s="4"/>
      <c r="F52" s="4"/>
      <c r="G52" s="4"/>
    </row>
    <row r="53">
      <c r="A53" s="4"/>
      <c r="B53" s="4"/>
      <c r="C53" s="4"/>
      <c r="D53" s="4"/>
      <c r="E53" s="4"/>
      <c r="F53" s="4"/>
      <c r="G53" s="4"/>
    </row>
    <row r="54">
      <c r="A54" s="4"/>
      <c r="B54" s="4"/>
      <c r="C54" s="4"/>
      <c r="D54" s="4"/>
      <c r="E54" s="4"/>
      <c r="F54" s="4"/>
      <c r="G54" s="4"/>
    </row>
    <row r="55">
      <c r="A55" s="4"/>
      <c r="B55" s="4"/>
      <c r="C55" s="4"/>
      <c r="D55" s="4"/>
      <c r="E55" s="4"/>
      <c r="F55" s="4"/>
      <c r="G55" s="4"/>
    </row>
    <row r="56">
      <c r="A56" s="4"/>
      <c r="B56" s="4"/>
      <c r="C56" s="4"/>
      <c r="D56" s="4"/>
      <c r="E56" s="4"/>
      <c r="F56" s="4"/>
      <c r="G56" s="4"/>
    </row>
    <row r="57">
      <c r="A57" s="4"/>
      <c r="B57" s="4"/>
      <c r="C57" s="4"/>
      <c r="D57" s="4"/>
      <c r="E57" s="4"/>
      <c r="F57" s="4"/>
      <c r="G57" s="4"/>
    </row>
    <row r="58">
      <c r="A58" s="4"/>
      <c r="B58" s="4"/>
      <c r="C58" s="4"/>
      <c r="D58" s="4"/>
      <c r="E58" s="4"/>
      <c r="F58" s="4"/>
      <c r="G58" s="4"/>
    </row>
    <row r="59">
      <c r="A59" s="4"/>
      <c r="B59" s="4"/>
      <c r="C59" s="4"/>
      <c r="D59" s="4"/>
      <c r="E59" s="4"/>
      <c r="F59" s="4"/>
      <c r="G59" s="4"/>
    </row>
    <row r="60">
      <c r="A60" s="4"/>
      <c r="B60" s="4"/>
      <c r="C60" s="4"/>
      <c r="D60" s="4"/>
      <c r="E60" s="4"/>
      <c r="F60" s="4"/>
      <c r="G60" s="4"/>
    </row>
    <row r="61">
      <c r="A61" s="4"/>
      <c r="B61" s="4"/>
      <c r="C61" s="4"/>
      <c r="D61" s="4"/>
      <c r="E61" s="4"/>
      <c r="F61" s="4"/>
      <c r="G61" s="4"/>
    </row>
    <row r="62">
      <c r="A62" s="4"/>
      <c r="B62" s="4"/>
      <c r="C62" s="4"/>
      <c r="D62" s="4"/>
      <c r="E62" s="4"/>
      <c r="F62" s="4"/>
      <c r="G62" s="4"/>
    </row>
    <row r="63">
      <c r="A63" s="4"/>
      <c r="B63" s="4"/>
      <c r="C63" s="4"/>
      <c r="D63" s="4"/>
      <c r="E63" s="4"/>
      <c r="F63" s="4"/>
      <c r="G63" s="4"/>
    </row>
    <row r="64">
      <c r="A64" s="4"/>
      <c r="B64" s="4"/>
      <c r="C64" s="4"/>
      <c r="D64" s="4"/>
      <c r="E64" s="4"/>
      <c r="F64" s="4"/>
      <c r="G64" s="4"/>
    </row>
    <row r="65">
      <c r="A65" s="4"/>
      <c r="B65" s="4"/>
      <c r="C65" s="4"/>
      <c r="D65" s="4"/>
      <c r="E65" s="4"/>
      <c r="F65" s="4"/>
      <c r="G65" s="4"/>
    </row>
    <row r="66">
      <c r="A66" s="4"/>
      <c r="B66" s="4"/>
      <c r="C66" s="4"/>
      <c r="D66" s="4"/>
      <c r="E66" s="4"/>
      <c r="F66" s="4"/>
      <c r="G66" s="4"/>
    </row>
    <row r="67">
      <c r="A67" s="4"/>
      <c r="B67" s="4"/>
      <c r="C67" s="4"/>
      <c r="D67" s="4"/>
      <c r="E67" s="4"/>
      <c r="F67" s="4"/>
      <c r="G67" s="4"/>
    </row>
    <row r="68">
      <c r="A68" s="4"/>
      <c r="B68" s="4"/>
      <c r="C68" s="4"/>
      <c r="D68" s="4"/>
      <c r="E68" s="4"/>
      <c r="F68" s="4"/>
      <c r="G68" s="4"/>
    </row>
    <row r="69">
      <c r="A69" s="4"/>
      <c r="B69" s="4"/>
      <c r="C69" s="4"/>
      <c r="D69" s="4"/>
      <c r="E69" s="4"/>
      <c r="F69" s="4"/>
      <c r="G69" s="4"/>
    </row>
    <row r="70">
      <c r="A70" s="4"/>
      <c r="B70" s="4"/>
      <c r="C70" s="4"/>
      <c r="D70" s="4"/>
      <c r="E70" s="4"/>
      <c r="F70" s="4"/>
      <c r="G70" s="4"/>
    </row>
    <row r="71">
      <c r="A71" s="4"/>
      <c r="B71" s="4"/>
      <c r="C71" s="4"/>
      <c r="D71" s="4"/>
      <c r="E71" s="4"/>
      <c r="F71" s="4"/>
      <c r="G71" s="4"/>
    </row>
    <row r="72">
      <c r="A72" s="4"/>
      <c r="B72" s="4"/>
      <c r="C72" s="4"/>
      <c r="D72" s="4"/>
      <c r="E72" s="4"/>
      <c r="F72" s="4"/>
      <c r="G72" s="4"/>
    </row>
    <row r="73">
      <c r="A73" s="4"/>
      <c r="B73" s="4"/>
      <c r="C73" s="4"/>
      <c r="D73" s="4"/>
      <c r="E73" s="4"/>
      <c r="F73" s="4"/>
      <c r="G73" s="4"/>
    </row>
    <row r="74">
      <c r="A74" s="4"/>
      <c r="B74" s="4"/>
      <c r="C74" s="4"/>
      <c r="D74" s="4"/>
      <c r="E74" s="4"/>
      <c r="F74" s="4"/>
      <c r="G74" s="4"/>
    </row>
    <row r="75">
      <c r="A75" s="4"/>
      <c r="B75" s="4"/>
      <c r="C75" s="4"/>
      <c r="D75" s="4"/>
      <c r="E75" s="4"/>
      <c r="F75" s="4"/>
      <c r="G75" s="4"/>
    </row>
    <row r="76">
      <c r="A76" s="4"/>
      <c r="B76" s="4"/>
      <c r="C76" s="4"/>
      <c r="D76" s="4"/>
      <c r="E76" s="4"/>
      <c r="F76" s="4"/>
      <c r="G76" s="4"/>
    </row>
    <row r="77">
      <c r="A77" s="4"/>
      <c r="B77" s="4"/>
      <c r="C77" s="4"/>
      <c r="D77" s="4"/>
      <c r="E77" s="4"/>
      <c r="F77" s="4"/>
      <c r="G77" s="4"/>
    </row>
    <row r="78">
      <c r="A78" s="4"/>
      <c r="B78" s="4"/>
      <c r="C78" s="4"/>
      <c r="D78" s="4"/>
      <c r="E78" s="4"/>
      <c r="F78" s="4"/>
      <c r="G78" s="4"/>
    </row>
    <row r="79">
      <c r="A79" s="4"/>
      <c r="B79" s="4"/>
      <c r="C79" s="4"/>
      <c r="D79" s="4"/>
      <c r="E79" s="4"/>
      <c r="F79" s="4"/>
      <c r="G79" s="4"/>
    </row>
    <row r="80">
      <c r="A80" s="4"/>
      <c r="B80" s="4"/>
      <c r="C80" s="4"/>
      <c r="D80" s="4"/>
      <c r="E80" s="4"/>
      <c r="F80" s="4"/>
      <c r="G80" s="4"/>
    </row>
    <row r="81">
      <c r="A81" s="4"/>
      <c r="B81" s="4"/>
      <c r="C81" s="4"/>
      <c r="D81" s="4"/>
      <c r="E81" s="4"/>
      <c r="F81" s="4"/>
      <c r="G81" s="4"/>
    </row>
    <row r="82">
      <c r="A82" s="4"/>
      <c r="B82" s="4"/>
      <c r="C82" s="4"/>
      <c r="D82" s="4"/>
      <c r="E82" s="4"/>
      <c r="F82" s="4"/>
      <c r="G82" s="4"/>
    </row>
    <row r="83">
      <c r="A83" s="4"/>
      <c r="B83" s="4"/>
      <c r="C83" s="4"/>
      <c r="D83" s="4"/>
      <c r="E83" s="4"/>
      <c r="F83" s="4"/>
      <c r="G83" s="4"/>
    </row>
    <row r="84">
      <c r="A84" s="4"/>
      <c r="B84" s="4"/>
      <c r="C84" s="4"/>
      <c r="D84" s="4"/>
      <c r="E84" s="4"/>
      <c r="F84" s="4"/>
      <c r="G84" s="4"/>
    </row>
    <row r="85">
      <c r="A85" s="4"/>
      <c r="B85" s="4"/>
      <c r="C85" s="4"/>
      <c r="D85" s="4"/>
      <c r="E85" s="4"/>
      <c r="F85" s="4"/>
      <c r="G85" s="4"/>
    </row>
    <row r="86">
      <c r="A86" s="4"/>
      <c r="B86" s="4"/>
      <c r="C86" s="4"/>
      <c r="D86" s="4"/>
      <c r="E86" s="4"/>
      <c r="F86" s="4"/>
      <c r="G86" s="4"/>
    </row>
    <row r="87">
      <c r="A87" s="4"/>
      <c r="B87" s="4"/>
      <c r="C87" s="4"/>
      <c r="D87" s="4"/>
      <c r="E87" s="4"/>
      <c r="F87" s="4"/>
      <c r="G87" s="4"/>
    </row>
    <row r="88">
      <c r="A88" s="4"/>
      <c r="B88" s="4"/>
      <c r="C88" s="4"/>
      <c r="D88" s="4"/>
      <c r="E88" s="4"/>
      <c r="F88" s="4"/>
      <c r="G88" s="4"/>
    </row>
    <row r="89">
      <c r="A89" s="4"/>
      <c r="B89" s="4"/>
      <c r="C89" s="4"/>
      <c r="D89" s="4"/>
      <c r="E89" s="4"/>
      <c r="F89" s="4"/>
      <c r="G89" s="4"/>
    </row>
    <row r="90">
      <c r="A90" s="4"/>
      <c r="B90" s="4"/>
      <c r="C90" s="4"/>
      <c r="D90" s="4"/>
      <c r="E90" s="4"/>
      <c r="F90" s="4"/>
      <c r="G90" s="4"/>
    </row>
    <row r="91">
      <c r="A91" s="4"/>
      <c r="B91" s="4"/>
      <c r="C91" s="4"/>
      <c r="D91" s="4"/>
      <c r="E91" s="4"/>
      <c r="F91" s="4"/>
      <c r="G91" s="4"/>
    </row>
    <row r="92">
      <c r="A92" s="4"/>
      <c r="B92" s="4"/>
      <c r="C92" s="4"/>
      <c r="D92" s="4"/>
      <c r="E92" s="4"/>
      <c r="F92" s="4"/>
      <c r="G92" s="4"/>
    </row>
    <row r="93">
      <c r="A93" s="4"/>
      <c r="B93" s="4"/>
      <c r="C93" s="4"/>
      <c r="D93" s="4"/>
      <c r="E93" s="4"/>
      <c r="F93" s="4"/>
      <c r="G93" s="4"/>
    </row>
    <row r="94">
      <c r="A94" s="4"/>
      <c r="B94" s="4"/>
      <c r="C94" s="4"/>
      <c r="D94" s="4"/>
      <c r="E94" s="4"/>
      <c r="F94" s="4"/>
      <c r="G94" s="4"/>
    </row>
    <row r="95">
      <c r="A95" s="4"/>
      <c r="B95" s="4"/>
      <c r="C95" s="4"/>
      <c r="D95" s="4"/>
      <c r="E95" s="4"/>
      <c r="F95" s="4"/>
      <c r="G95" s="4"/>
    </row>
    <row r="96">
      <c r="A96" s="4"/>
      <c r="B96" s="4"/>
      <c r="C96" s="4"/>
      <c r="D96" s="4"/>
      <c r="E96" s="4"/>
      <c r="F96" s="4"/>
      <c r="G96" s="4"/>
    </row>
    <row r="97">
      <c r="A97" s="4"/>
      <c r="B97" s="4"/>
      <c r="C97" s="4"/>
      <c r="D97" s="4"/>
      <c r="E97" s="4"/>
      <c r="F97" s="4"/>
      <c r="G97" s="4"/>
    </row>
    <row r="98">
      <c r="A98" s="4"/>
      <c r="B98" s="4"/>
      <c r="C98" s="4"/>
      <c r="D98" s="4"/>
      <c r="E98" s="4"/>
      <c r="F98" s="4"/>
      <c r="G98" s="4"/>
    </row>
    <row r="99">
      <c r="A99" s="4"/>
      <c r="B99" s="4"/>
      <c r="C99" s="4"/>
      <c r="D99" s="4"/>
      <c r="E99" s="4"/>
      <c r="F99" s="4"/>
      <c r="G99" s="4"/>
    </row>
    <row r="100">
      <c r="A100" s="4"/>
      <c r="B100" s="4"/>
      <c r="C100" s="4"/>
      <c r="D100" s="4"/>
      <c r="E100" s="4"/>
      <c r="F100" s="4"/>
      <c r="G100" s="4"/>
    </row>
    <row r="101">
      <c r="A101" s="4"/>
      <c r="B101" s="4"/>
      <c r="C101" s="4"/>
      <c r="D101" s="4"/>
      <c r="E101" s="4"/>
      <c r="F101" s="4"/>
      <c r="G101" s="4"/>
    </row>
    <row r="102">
      <c r="A102" s="4"/>
      <c r="B102" s="4"/>
      <c r="C102" s="4"/>
      <c r="D102" s="4"/>
      <c r="E102" s="4"/>
      <c r="F102" s="4"/>
      <c r="G102" s="4"/>
    </row>
    <row r="103">
      <c r="A103" s="4"/>
      <c r="B103" s="4"/>
      <c r="C103" s="4"/>
      <c r="D103" s="4"/>
      <c r="E103" s="4"/>
      <c r="F103" s="4"/>
      <c r="G103" s="4"/>
    </row>
    <row r="104">
      <c r="A104" s="4"/>
      <c r="B104" s="4"/>
      <c r="C104" s="4"/>
      <c r="D104" s="4"/>
      <c r="E104" s="4"/>
      <c r="F104" s="4"/>
      <c r="G104" s="4"/>
    </row>
    <row r="105">
      <c r="A105" s="4"/>
      <c r="B105" s="4"/>
      <c r="C105" s="4"/>
      <c r="D105" s="4"/>
      <c r="E105" s="4"/>
      <c r="F105" s="4"/>
      <c r="G105" s="4"/>
    </row>
    <row r="106">
      <c r="A106" s="4"/>
      <c r="B106" s="4"/>
      <c r="C106" s="4"/>
      <c r="D106" s="4"/>
      <c r="E106" s="4"/>
      <c r="F106" s="4"/>
      <c r="G106" s="4"/>
    </row>
    <row r="107">
      <c r="A107" s="4"/>
      <c r="B107" s="4"/>
      <c r="C107" s="4"/>
      <c r="D107" s="4"/>
      <c r="E107" s="4"/>
      <c r="F107" s="4"/>
      <c r="G107" s="4"/>
    </row>
    <row r="108">
      <c r="A108" s="4"/>
      <c r="B108" s="4"/>
      <c r="C108" s="4"/>
      <c r="D108" s="4"/>
      <c r="E108" s="4"/>
      <c r="F108" s="4"/>
      <c r="G108" s="4"/>
    </row>
    <row r="109">
      <c r="A109" s="4"/>
      <c r="B109" s="4"/>
      <c r="C109" s="4"/>
      <c r="D109" s="4"/>
      <c r="E109" s="4"/>
      <c r="F109" s="4"/>
      <c r="G109" s="4"/>
    </row>
    <row r="110">
      <c r="A110" s="4"/>
      <c r="B110" s="4"/>
      <c r="C110" s="4"/>
      <c r="D110" s="4"/>
      <c r="E110" s="4"/>
      <c r="F110" s="4"/>
      <c r="G110" s="4"/>
    </row>
    <row r="111">
      <c r="A111" s="4"/>
      <c r="B111" s="4"/>
      <c r="C111" s="4"/>
      <c r="D111" s="4"/>
      <c r="E111" s="4"/>
      <c r="F111" s="4"/>
      <c r="G111" s="4"/>
    </row>
    <row r="112">
      <c r="A112" s="4"/>
      <c r="B112" s="4"/>
      <c r="C112" s="4"/>
      <c r="D112" s="4"/>
      <c r="E112" s="4"/>
      <c r="F112" s="4"/>
      <c r="G112" s="4"/>
    </row>
    <row r="113">
      <c r="A113" s="4"/>
      <c r="B113" s="4"/>
      <c r="C113" s="4"/>
      <c r="D113" s="4"/>
      <c r="E113" s="4"/>
      <c r="F113" s="4"/>
      <c r="G113" s="4"/>
    </row>
    <row r="114">
      <c r="A114" s="4"/>
      <c r="B114" s="4"/>
      <c r="C114" s="4"/>
      <c r="D114" s="4"/>
      <c r="E114" s="4"/>
      <c r="F114" s="4"/>
      <c r="G114" s="4"/>
    </row>
    <row r="115">
      <c r="A115" s="4"/>
      <c r="B115" s="4"/>
      <c r="C115" s="4"/>
      <c r="D115" s="4"/>
      <c r="E115" s="4"/>
      <c r="F115" s="4"/>
      <c r="G115" s="4"/>
    </row>
    <row r="116">
      <c r="A116" s="4"/>
      <c r="B116" s="4"/>
      <c r="C116" s="4"/>
      <c r="D116" s="4"/>
      <c r="E116" s="4"/>
      <c r="F116" s="4"/>
      <c r="G116" s="4"/>
    </row>
    <row r="117">
      <c r="A117" s="4"/>
      <c r="B117" s="4"/>
      <c r="C117" s="4"/>
      <c r="D117" s="4"/>
      <c r="E117" s="4"/>
      <c r="F117" s="4"/>
      <c r="G117" s="4"/>
    </row>
    <row r="118">
      <c r="A118" s="4"/>
      <c r="B118" s="4"/>
      <c r="C118" s="4"/>
      <c r="D118" s="4"/>
      <c r="E118" s="4"/>
      <c r="F118" s="4"/>
      <c r="G118" s="4"/>
    </row>
    <row r="119">
      <c r="A119" s="4"/>
      <c r="B119" s="4"/>
      <c r="C119" s="4"/>
      <c r="D119" s="4"/>
      <c r="E119" s="4"/>
      <c r="F119" s="4"/>
      <c r="G119" s="4"/>
    </row>
    <row r="120">
      <c r="A120" s="4"/>
      <c r="B120" s="4"/>
      <c r="C120" s="4"/>
      <c r="D120" s="4"/>
      <c r="E120" s="4"/>
      <c r="F120" s="4"/>
      <c r="G120" s="4"/>
    </row>
    <row r="121">
      <c r="A121" s="4"/>
      <c r="B121" s="4"/>
      <c r="C121" s="4"/>
      <c r="D121" s="4"/>
      <c r="E121" s="4"/>
      <c r="F121" s="4"/>
      <c r="G121" s="4"/>
    </row>
    <row r="122">
      <c r="A122" s="4"/>
      <c r="B122" s="4"/>
      <c r="C122" s="4"/>
      <c r="D122" s="4"/>
      <c r="E122" s="4"/>
      <c r="F122" s="4"/>
      <c r="G122" s="4"/>
    </row>
    <row r="123">
      <c r="A123" s="4"/>
      <c r="B123" s="4"/>
      <c r="C123" s="4"/>
      <c r="D123" s="4"/>
      <c r="E123" s="4"/>
      <c r="F123" s="4"/>
      <c r="G123" s="4"/>
    </row>
    <row r="124">
      <c r="A124" s="4"/>
      <c r="B124" s="4"/>
      <c r="C124" s="4"/>
      <c r="D124" s="4"/>
      <c r="E124" s="4"/>
      <c r="F124" s="4"/>
      <c r="G124" s="4"/>
    </row>
    <row r="125">
      <c r="A125" s="4"/>
      <c r="B125" s="4"/>
      <c r="C125" s="4"/>
      <c r="D125" s="4"/>
      <c r="E125" s="4"/>
      <c r="F125" s="4"/>
      <c r="G125" s="4"/>
    </row>
    <row r="126">
      <c r="A126" s="4"/>
      <c r="B126" s="4"/>
      <c r="C126" s="4"/>
      <c r="D126" s="4"/>
      <c r="E126" s="4"/>
      <c r="F126" s="4"/>
      <c r="G126" s="4"/>
    </row>
    <row r="127">
      <c r="A127" s="4"/>
      <c r="B127" s="4"/>
      <c r="C127" s="4"/>
      <c r="D127" s="4"/>
      <c r="E127" s="4"/>
      <c r="F127" s="4"/>
      <c r="G127" s="4"/>
    </row>
    <row r="128">
      <c r="A128" s="4"/>
      <c r="B128" s="4"/>
      <c r="C128" s="4"/>
      <c r="D128" s="4"/>
      <c r="E128" s="4"/>
      <c r="F128" s="4"/>
      <c r="G128" s="4"/>
    </row>
    <row r="129">
      <c r="A129" s="4"/>
      <c r="B129" s="4"/>
      <c r="C129" s="4"/>
      <c r="D129" s="4"/>
      <c r="E129" s="4"/>
      <c r="F129" s="4"/>
      <c r="G129" s="4"/>
    </row>
    <row r="130">
      <c r="A130" s="4"/>
      <c r="B130" s="4"/>
      <c r="C130" s="4"/>
      <c r="D130" s="4"/>
      <c r="E130" s="4"/>
      <c r="F130" s="4"/>
      <c r="G130" s="4"/>
    </row>
    <row r="131">
      <c r="A131" s="4"/>
      <c r="B131" s="4"/>
      <c r="C131" s="4"/>
      <c r="D131" s="4"/>
      <c r="E131" s="4"/>
      <c r="F131" s="4"/>
      <c r="G131" s="4"/>
    </row>
    <row r="132">
      <c r="A132" s="4"/>
      <c r="B132" s="4"/>
      <c r="C132" s="4"/>
      <c r="D132" s="4"/>
      <c r="E132" s="4"/>
      <c r="F132" s="4"/>
      <c r="G132" s="4"/>
    </row>
    <row r="133">
      <c r="A133" s="4"/>
      <c r="B133" s="4"/>
      <c r="C133" s="4"/>
      <c r="D133" s="4"/>
      <c r="E133" s="4"/>
      <c r="F133" s="4"/>
      <c r="G133" s="4"/>
    </row>
    <row r="134">
      <c r="A134" s="4"/>
      <c r="B134" s="4"/>
      <c r="C134" s="4"/>
      <c r="D134" s="4"/>
      <c r="E134" s="4"/>
      <c r="F134" s="4"/>
      <c r="G134" s="4"/>
    </row>
    <row r="135">
      <c r="A135" s="4"/>
      <c r="B135" s="4"/>
      <c r="C135" s="4"/>
      <c r="D135" s="4"/>
      <c r="E135" s="4"/>
      <c r="F135" s="4"/>
      <c r="G135" s="4"/>
    </row>
    <row r="136">
      <c r="A136" s="4"/>
      <c r="B136" s="4"/>
      <c r="C136" s="4"/>
      <c r="D136" s="4"/>
      <c r="E136" s="4"/>
      <c r="F136" s="4"/>
      <c r="G136" s="4"/>
    </row>
    <row r="137">
      <c r="A137" s="4"/>
      <c r="B137" s="4"/>
      <c r="C137" s="4"/>
      <c r="D137" s="4"/>
      <c r="E137" s="4"/>
      <c r="F137" s="4"/>
      <c r="G137" s="4"/>
    </row>
    <row r="138">
      <c r="A138" s="4"/>
      <c r="B138" s="4"/>
      <c r="C138" s="4"/>
      <c r="D138" s="4"/>
      <c r="E138" s="4"/>
      <c r="F138" s="4"/>
      <c r="G138" s="4"/>
    </row>
    <row r="139">
      <c r="A139" s="4"/>
      <c r="B139" s="4"/>
      <c r="C139" s="4"/>
      <c r="D139" s="4"/>
      <c r="E139" s="4"/>
      <c r="F139" s="4"/>
      <c r="G139" s="4"/>
    </row>
    <row r="140">
      <c r="A140" s="4"/>
      <c r="B140" s="4"/>
      <c r="C140" s="4"/>
      <c r="D140" s="4"/>
      <c r="E140" s="4"/>
      <c r="F140" s="4"/>
      <c r="G140" s="4"/>
    </row>
    <row r="141">
      <c r="A141" s="4"/>
      <c r="B141" s="4"/>
      <c r="C141" s="4"/>
      <c r="D141" s="4"/>
      <c r="E141" s="4"/>
      <c r="F141" s="4"/>
      <c r="G141" s="4"/>
    </row>
    <row r="142">
      <c r="A142" s="4"/>
      <c r="B142" s="4"/>
      <c r="C142" s="4"/>
      <c r="D142" s="4"/>
      <c r="E142" s="4"/>
      <c r="F142" s="4"/>
      <c r="G142" s="4"/>
    </row>
    <row r="143">
      <c r="A143" s="4"/>
      <c r="B143" s="4"/>
      <c r="C143" s="4"/>
      <c r="D143" s="4"/>
      <c r="E143" s="4"/>
      <c r="F143" s="4"/>
      <c r="G143" s="4"/>
    </row>
    <row r="144">
      <c r="A144" s="4"/>
      <c r="B144" s="4"/>
      <c r="C144" s="4"/>
      <c r="D144" s="4"/>
      <c r="E144" s="4"/>
      <c r="F144" s="4"/>
      <c r="G144" s="4"/>
    </row>
    <row r="145">
      <c r="A145" s="4"/>
      <c r="B145" s="4"/>
      <c r="C145" s="4"/>
      <c r="D145" s="4"/>
      <c r="E145" s="4"/>
      <c r="F145" s="4"/>
      <c r="G145" s="4"/>
    </row>
    <row r="146">
      <c r="A146" s="4"/>
      <c r="B146" s="4"/>
      <c r="C146" s="4"/>
      <c r="D146" s="4"/>
      <c r="E146" s="4"/>
      <c r="F146" s="4"/>
      <c r="G146" s="4"/>
    </row>
    <row r="147">
      <c r="A147" s="4"/>
      <c r="B147" s="4"/>
      <c r="C147" s="4"/>
      <c r="D147" s="4"/>
      <c r="E147" s="4"/>
      <c r="F147" s="4"/>
      <c r="G147" s="4"/>
    </row>
    <row r="148">
      <c r="A148" s="4"/>
      <c r="B148" s="4"/>
      <c r="C148" s="4"/>
      <c r="D148" s="4"/>
      <c r="E148" s="4"/>
      <c r="F148" s="4"/>
      <c r="G148" s="4"/>
    </row>
    <row r="149">
      <c r="A149" s="4"/>
      <c r="B149" s="4"/>
      <c r="C149" s="4"/>
      <c r="D149" s="4"/>
      <c r="E149" s="4"/>
      <c r="F149" s="4"/>
      <c r="G149" s="4"/>
    </row>
    <row r="150">
      <c r="A150" s="4"/>
      <c r="B150" s="4"/>
      <c r="C150" s="4"/>
      <c r="D150" s="4"/>
      <c r="E150" s="4"/>
      <c r="F150" s="4"/>
      <c r="G150" s="4"/>
    </row>
    <row r="151">
      <c r="A151" s="4"/>
      <c r="B151" s="4"/>
      <c r="C151" s="4"/>
      <c r="D151" s="4"/>
      <c r="E151" s="4"/>
      <c r="F151" s="4"/>
      <c r="G151" s="4"/>
    </row>
    <row r="152">
      <c r="A152" s="4"/>
      <c r="B152" s="4"/>
      <c r="C152" s="4"/>
      <c r="D152" s="4"/>
      <c r="E152" s="4"/>
      <c r="F152" s="4"/>
      <c r="G152" s="4"/>
    </row>
    <row r="153">
      <c r="A153" s="4"/>
      <c r="B153" s="4"/>
      <c r="C153" s="4"/>
      <c r="D153" s="4"/>
      <c r="E153" s="4"/>
      <c r="F153" s="4"/>
      <c r="G153" s="4"/>
    </row>
    <row r="154">
      <c r="A154" s="4"/>
      <c r="B154" s="4"/>
      <c r="C154" s="4"/>
      <c r="D154" s="4"/>
      <c r="E154" s="4"/>
      <c r="F154" s="4"/>
      <c r="G154" s="4"/>
    </row>
    <row r="155">
      <c r="A155" s="4"/>
      <c r="B155" s="4"/>
      <c r="C155" s="4"/>
      <c r="D155" s="4"/>
      <c r="E155" s="4"/>
      <c r="F155" s="4"/>
      <c r="G155" s="4"/>
    </row>
    <row r="156">
      <c r="A156" s="4"/>
      <c r="B156" s="4"/>
      <c r="C156" s="4"/>
      <c r="D156" s="4"/>
      <c r="E156" s="4"/>
      <c r="F156" s="4"/>
      <c r="G156" s="4"/>
    </row>
    <row r="157">
      <c r="A157" s="4"/>
      <c r="B157" s="4"/>
      <c r="C157" s="4"/>
      <c r="D157" s="4"/>
      <c r="E157" s="4"/>
      <c r="F157" s="4"/>
      <c r="G157" s="4"/>
    </row>
    <row r="158">
      <c r="A158" s="4"/>
      <c r="B158" s="4"/>
      <c r="C158" s="4"/>
      <c r="D158" s="4"/>
      <c r="E158" s="4"/>
      <c r="F158" s="4"/>
      <c r="G158" s="4"/>
    </row>
    <row r="159">
      <c r="A159" s="4"/>
      <c r="B159" s="4"/>
      <c r="C159" s="4"/>
      <c r="D159" s="4"/>
      <c r="E159" s="4"/>
      <c r="F159" s="4"/>
      <c r="G159" s="4"/>
    </row>
    <row r="160">
      <c r="A160" s="4"/>
      <c r="B160" s="4"/>
      <c r="C160" s="4"/>
      <c r="D160" s="4"/>
      <c r="E160" s="4"/>
      <c r="F160" s="4"/>
      <c r="G160" s="4"/>
    </row>
    <row r="161">
      <c r="A161" s="4"/>
      <c r="B161" s="4"/>
      <c r="C161" s="4"/>
      <c r="D161" s="4"/>
      <c r="E161" s="4"/>
      <c r="F161" s="4"/>
      <c r="G161" s="4"/>
    </row>
    <row r="162">
      <c r="A162" s="4"/>
      <c r="B162" s="4"/>
      <c r="C162" s="4"/>
      <c r="D162" s="4"/>
      <c r="E162" s="4"/>
      <c r="F162" s="4"/>
      <c r="G162" s="4"/>
    </row>
    <row r="163">
      <c r="A163" s="4"/>
      <c r="B163" s="4"/>
      <c r="C163" s="4"/>
      <c r="D163" s="4"/>
      <c r="E163" s="4"/>
      <c r="F163" s="4"/>
      <c r="G163" s="4"/>
    </row>
    <row r="164">
      <c r="A164" s="4"/>
      <c r="B164" s="4"/>
      <c r="C164" s="4"/>
      <c r="D164" s="4"/>
      <c r="E164" s="4"/>
      <c r="F164" s="4"/>
      <c r="G164" s="4"/>
    </row>
    <row r="165">
      <c r="A165" s="4"/>
      <c r="B165" s="4"/>
      <c r="C165" s="4"/>
      <c r="D165" s="4"/>
      <c r="E165" s="4"/>
      <c r="F165" s="4"/>
      <c r="G165" s="4"/>
    </row>
    <row r="166">
      <c r="A166" s="4"/>
      <c r="B166" s="4"/>
      <c r="C166" s="4"/>
      <c r="D166" s="4"/>
      <c r="E166" s="4"/>
      <c r="F166" s="4"/>
      <c r="G166" s="4"/>
    </row>
    <row r="167">
      <c r="A167" s="4"/>
      <c r="B167" s="4"/>
      <c r="C167" s="4"/>
      <c r="D167" s="4"/>
      <c r="E167" s="4"/>
      <c r="F167" s="4"/>
      <c r="G167" s="4"/>
    </row>
    <row r="168">
      <c r="A168" s="4"/>
      <c r="B168" s="4"/>
      <c r="C168" s="4"/>
      <c r="D168" s="4"/>
      <c r="E168" s="4"/>
      <c r="F168" s="4"/>
      <c r="G168" s="4"/>
    </row>
    <row r="169">
      <c r="A169" s="4"/>
      <c r="B169" s="4"/>
      <c r="C169" s="4"/>
      <c r="D169" s="4"/>
      <c r="E169" s="4"/>
      <c r="F169" s="4"/>
      <c r="G169" s="4"/>
    </row>
    <row r="170">
      <c r="A170" s="4"/>
      <c r="B170" s="4"/>
      <c r="C170" s="4"/>
      <c r="D170" s="4"/>
      <c r="E170" s="4"/>
      <c r="F170" s="4"/>
      <c r="G170" s="4"/>
    </row>
    <row r="171">
      <c r="A171" s="4"/>
      <c r="B171" s="4"/>
      <c r="C171" s="4"/>
      <c r="D171" s="4"/>
      <c r="E171" s="4"/>
      <c r="F171" s="4"/>
      <c r="G171" s="4"/>
    </row>
    <row r="172">
      <c r="A172" s="4"/>
      <c r="B172" s="4"/>
      <c r="C172" s="4"/>
      <c r="D172" s="4"/>
      <c r="E172" s="4"/>
      <c r="F172" s="4"/>
      <c r="G172" s="4"/>
    </row>
    <row r="173">
      <c r="A173" s="4"/>
      <c r="B173" s="4"/>
      <c r="C173" s="4"/>
      <c r="D173" s="4"/>
      <c r="E173" s="4"/>
      <c r="F173" s="4"/>
      <c r="G173" s="4"/>
    </row>
    <row r="174">
      <c r="A174" s="4"/>
      <c r="B174" s="4"/>
      <c r="C174" s="4"/>
      <c r="D174" s="4"/>
      <c r="E174" s="4"/>
      <c r="F174" s="4"/>
      <c r="G174" s="4"/>
    </row>
    <row r="175">
      <c r="A175" s="4"/>
      <c r="B175" s="4"/>
      <c r="C175" s="4"/>
      <c r="D175" s="4"/>
      <c r="E175" s="4"/>
      <c r="F175" s="4"/>
      <c r="G175" s="4"/>
    </row>
    <row r="176">
      <c r="A176" s="4"/>
      <c r="B176" s="4"/>
      <c r="C176" s="4"/>
      <c r="D176" s="4"/>
      <c r="E176" s="4"/>
      <c r="F176" s="4"/>
      <c r="G176" s="4"/>
    </row>
    <row r="177">
      <c r="A177" s="4"/>
      <c r="B177" s="4"/>
      <c r="C177" s="4"/>
      <c r="D177" s="4"/>
      <c r="E177" s="4"/>
      <c r="F177" s="4"/>
      <c r="G177" s="4"/>
    </row>
    <row r="178">
      <c r="A178" s="4"/>
      <c r="B178" s="4"/>
      <c r="C178" s="4"/>
      <c r="D178" s="4"/>
      <c r="E178" s="4"/>
      <c r="F178" s="4"/>
      <c r="G178" s="4"/>
    </row>
    <row r="179">
      <c r="A179" s="4"/>
      <c r="B179" s="4"/>
      <c r="C179" s="4"/>
      <c r="D179" s="4"/>
      <c r="E179" s="4"/>
      <c r="F179" s="4"/>
      <c r="G179" s="4"/>
    </row>
    <row r="180">
      <c r="A180" s="4"/>
      <c r="B180" s="4"/>
      <c r="C180" s="4"/>
      <c r="D180" s="4"/>
      <c r="E180" s="4"/>
      <c r="F180" s="4"/>
      <c r="G180" s="4"/>
    </row>
    <row r="181">
      <c r="A181" s="4"/>
      <c r="B181" s="4"/>
      <c r="C181" s="4"/>
      <c r="D181" s="4"/>
      <c r="E181" s="4"/>
      <c r="F181" s="4"/>
      <c r="G181" s="4"/>
    </row>
    <row r="182">
      <c r="A182" s="4"/>
      <c r="B182" s="4"/>
      <c r="C182" s="4"/>
      <c r="D182" s="4"/>
      <c r="E182" s="4"/>
      <c r="F182" s="4"/>
      <c r="G182" s="4"/>
    </row>
    <row r="183">
      <c r="A183" s="4"/>
      <c r="B183" s="4"/>
      <c r="C183" s="4"/>
      <c r="D183" s="4"/>
      <c r="E183" s="4"/>
      <c r="F183" s="4"/>
      <c r="G183" s="4"/>
    </row>
    <row r="184">
      <c r="A184" s="4"/>
      <c r="B184" s="4"/>
      <c r="C184" s="4"/>
      <c r="D184" s="4"/>
      <c r="E184" s="4"/>
      <c r="F184" s="4"/>
      <c r="G184" s="4"/>
    </row>
    <row r="185">
      <c r="A185" s="4"/>
      <c r="B185" s="4"/>
      <c r="C185" s="4"/>
      <c r="D185" s="4"/>
      <c r="E185" s="4"/>
      <c r="F185" s="4"/>
      <c r="G185" s="4"/>
    </row>
    <row r="186">
      <c r="A186" s="4"/>
      <c r="B186" s="4"/>
      <c r="C186" s="4"/>
      <c r="D186" s="4"/>
      <c r="E186" s="4"/>
      <c r="F186" s="4"/>
      <c r="G186" s="4"/>
    </row>
    <row r="187">
      <c r="A187" s="4"/>
      <c r="B187" s="4"/>
      <c r="C187" s="4"/>
      <c r="D187" s="4"/>
      <c r="E187" s="4"/>
      <c r="F187" s="4"/>
      <c r="G187" s="4"/>
    </row>
    <row r="188">
      <c r="A188" s="4"/>
      <c r="B188" s="4"/>
      <c r="C188" s="4"/>
      <c r="D188" s="4"/>
      <c r="E188" s="4"/>
      <c r="F188" s="4"/>
      <c r="G188" s="4"/>
    </row>
    <row r="189">
      <c r="A189" s="4"/>
      <c r="B189" s="4"/>
      <c r="C189" s="4"/>
      <c r="D189" s="4"/>
      <c r="E189" s="4"/>
      <c r="F189" s="4"/>
      <c r="G189" s="4"/>
    </row>
    <row r="190">
      <c r="A190" s="4"/>
      <c r="B190" s="4"/>
      <c r="C190" s="4"/>
      <c r="D190" s="4"/>
      <c r="E190" s="4"/>
      <c r="F190" s="4"/>
      <c r="G190" s="4"/>
    </row>
    <row r="191">
      <c r="A191" s="4"/>
      <c r="B191" s="4"/>
      <c r="C191" s="4"/>
      <c r="D191" s="4"/>
      <c r="E191" s="4"/>
      <c r="F191" s="4"/>
      <c r="G191" s="4"/>
    </row>
    <row r="192">
      <c r="A192" s="4"/>
      <c r="B192" s="4"/>
      <c r="C192" s="4"/>
      <c r="D192" s="4"/>
      <c r="E192" s="4"/>
      <c r="F192" s="4"/>
      <c r="G192" s="4"/>
    </row>
    <row r="193">
      <c r="A193" s="4"/>
      <c r="B193" s="4"/>
      <c r="C193" s="4"/>
      <c r="D193" s="4"/>
      <c r="E193" s="4"/>
      <c r="F193" s="4"/>
      <c r="G193" s="4"/>
    </row>
    <row r="194">
      <c r="A194" s="4"/>
      <c r="B194" s="4"/>
      <c r="C194" s="4"/>
      <c r="D194" s="4"/>
      <c r="E194" s="4"/>
      <c r="F194" s="4"/>
      <c r="G194" s="4"/>
    </row>
    <row r="195">
      <c r="A195" s="4"/>
      <c r="B195" s="4"/>
      <c r="C195" s="4"/>
      <c r="D195" s="4"/>
      <c r="E195" s="4"/>
      <c r="F195" s="4"/>
      <c r="G195" s="4"/>
    </row>
    <row r="196">
      <c r="A196" s="4"/>
      <c r="B196" s="4"/>
      <c r="C196" s="4"/>
      <c r="D196" s="4"/>
      <c r="E196" s="4"/>
      <c r="F196" s="4"/>
      <c r="G196" s="4"/>
    </row>
    <row r="197">
      <c r="A197" s="4"/>
      <c r="B197" s="4"/>
      <c r="C197" s="4"/>
      <c r="D197" s="4"/>
      <c r="E197" s="4"/>
      <c r="F197" s="4"/>
      <c r="G197" s="4"/>
    </row>
    <row r="198">
      <c r="A198" s="4"/>
      <c r="B198" s="4"/>
      <c r="C198" s="4"/>
      <c r="D198" s="4"/>
      <c r="E198" s="4"/>
      <c r="F198" s="4"/>
      <c r="G198" s="4"/>
    </row>
    <row r="199">
      <c r="A199" s="4"/>
      <c r="B199" s="4"/>
      <c r="C199" s="4"/>
      <c r="D199" s="4"/>
      <c r="E199" s="4"/>
      <c r="F199" s="4"/>
      <c r="G199" s="4"/>
    </row>
    <row r="200">
      <c r="A200" s="4"/>
      <c r="B200" s="4"/>
      <c r="C200" s="4"/>
      <c r="D200" s="4"/>
      <c r="E200" s="4"/>
      <c r="F200" s="4"/>
      <c r="G200" s="4"/>
    </row>
    <row r="201">
      <c r="A201" s="4"/>
      <c r="B201" s="4"/>
      <c r="C201" s="4"/>
      <c r="D201" s="4"/>
      <c r="E201" s="4"/>
      <c r="F201" s="4"/>
      <c r="G201" s="4"/>
    </row>
    <row r="202">
      <c r="A202" s="4"/>
      <c r="B202" s="4"/>
      <c r="C202" s="4"/>
      <c r="D202" s="4"/>
      <c r="E202" s="4"/>
      <c r="F202" s="4"/>
      <c r="G202" s="4"/>
    </row>
    <row r="203">
      <c r="A203" s="4"/>
      <c r="B203" s="4"/>
      <c r="C203" s="4"/>
      <c r="D203" s="4"/>
      <c r="E203" s="4"/>
      <c r="F203" s="4"/>
      <c r="G203" s="4"/>
    </row>
    <row r="204">
      <c r="A204" s="4"/>
      <c r="B204" s="4"/>
      <c r="C204" s="4"/>
      <c r="D204" s="4"/>
      <c r="E204" s="4"/>
      <c r="F204" s="4"/>
      <c r="G204" s="4"/>
    </row>
    <row r="205">
      <c r="A205" s="4"/>
      <c r="B205" s="4"/>
      <c r="C205" s="4"/>
      <c r="D205" s="4"/>
      <c r="E205" s="4"/>
      <c r="F205" s="4"/>
      <c r="G205" s="4"/>
    </row>
    <row r="206">
      <c r="A206" s="4"/>
      <c r="B206" s="4"/>
      <c r="C206" s="4"/>
      <c r="D206" s="4"/>
      <c r="E206" s="4"/>
      <c r="F206" s="4"/>
      <c r="G206" s="4"/>
    </row>
    <row r="207">
      <c r="A207" s="4"/>
      <c r="B207" s="4"/>
      <c r="C207" s="4"/>
      <c r="D207" s="4"/>
      <c r="E207" s="4"/>
      <c r="F207" s="4"/>
      <c r="G207" s="4"/>
    </row>
    <row r="208">
      <c r="A208" s="4"/>
      <c r="B208" s="4"/>
      <c r="C208" s="4"/>
      <c r="D208" s="4"/>
      <c r="E208" s="4"/>
      <c r="F208" s="4"/>
      <c r="G208" s="4"/>
    </row>
    <row r="209">
      <c r="A209" s="4"/>
      <c r="B209" s="4"/>
      <c r="C209" s="4"/>
      <c r="D209" s="4"/>
      <c r="E209" s="4"/>
      <c r="F209" s="4"/>
      <c r="G209" s="4"/>
    </row>
    <row r="210">
      <c r="A210" s="4"/>
      <c r="B210" s="4"/>
      <c r="C210" s="4"/>
      <c r="D210" s="4"/>
      <c r="E210" s="4"/>
      <c r="F210" s="4"/>
      <c r="G210" s="4"/>
    </row>
    <row r="211">
      <c r="A211" s="4"/>
      <c r="B211" s="4"/>
      <c r="C211" s="4"/>
      <c r="D211" s="4"/>
      <c r="E211" s="4"/>
      <c r="F211" s="4"/>
      <c r="G211" s="4"/>
    </row>
    <row r="212">
      <c r="A212" s="4"/>
      <c r="B212" s="4"/>
      <c r="C212" s="4"/>
      <c r="D212" s="4"/>
      <c r="E212" s="4"/>
      <c r="F212" s="4"/>
      <c r="G212" s="4"/>
    </row>
    <row r="213">
      <c r="A213" s="4"/>
      <c r="B213" s="4"/>
      <c r="C213" s="4"/>
      <c r="D213" s="4"/>
      <c r="E213" s="4"/>
      <c r="F213" s="4"/>
      <c r="G213" s="4"/>
    </row>
    <row r="214">
      <c r="A214" s="4"/>
      <c r="B214" s="4"/>
      <c r="C214" s="4"/>
      <c r="D214" s="4"/>
      <c r="E214" s="4"/>
      <c r="F214" s="4"/>
      <c r="G214" s="4"/>
    </row>
    <row r="215">
      <c r="A215" s="4"/>
      <c r="B215" s="4"/>
      <c r="C215" s="4"/>
      <c r="D215" s="4"/>
      <c r="E215" s="4"/>
      <c r="F215" s="4"/>
      <c r="G215" s="4"/>
    </row>
    <row r="216">
      <c r="A216" s="4"/>
      <c r="B216" s="4"/>
      <c r="C216" s="4"/>
      <c r="D216" s="4"/>
      <c r="E216" s="4"/>
      <c r="F216" s="4"/>
      <c r="G216" s="4"/>
    </row>
    <row r="217">
      <c r="A217" s="4"/>
      <c r="B217" s="4"/>
      <c r="C217" s="4"/>
      <c r="D217" s="4"/>
      <c r="E217" s="4"/>
      <c r="F217" s="4"/>
      <c r="G217" s="4"/>
    </row>
    <row r="218">
      <c r="A218" s="4"/>
      <c r="B218" s="4"/>
      <c r="C218" s="4"/>
      <c r="D218" s="4"/>
      <c r="E218" s="4"/>
      <c r="F218" s="4"/>
      <c r="G218" s="4"/>
    </row>
    <row r="219">
      <c r="A219" s="4"/>
      <c r="B219" s="4"/>
      <c r="C219" s="4"/>
      <c r="D219" s="4"/>
      <c r="E219" s="4"/>
      <c r="F219" s="4"/>
      <c r="G219" s="4"/>
    </row>
    <row r="220">
      <c r="A220" s="4"/>
      <c r="B220" s="4"/>
      <c r="C220" s="4"/>
      <c r="D220" s="4"/>
      <c r="E220" s="4"/>
      <c r="F220" s="4"/>
      <c r="G220" s="4"/>
    </row>
    <row r="221">
      <c r="A221" s="4"/>
      <c r="B221" s="4"/>
      <c r="C221" s="4"/>
      <c r="D221" s="4"/>
      <c r="E221" s="4"/>
      <c r="F221" s="4"/>
      <c r="G221" s="4"/>
    </row>
    <row r="222">
      <c r="A222" s="4"/>
      <c r="B222" s="4"/>
      <c r="C222" s="4"/>
      <c r="D222" s="4"/>
      <c r="E222" s="4"/>
      <c r="F222" s="4"/>
      <c r="G222" s="4"/>
    </row>
    <row r="223">
      <c r="A223" s="4"/>
      <c r="B223" s="4"/>
      <c r="C223" s="4"/>
      <c r="D223" s="4"/>
      <c r="E223" s="4"/>
      <c r="F223" s="4"/>
      <c r="G223" s="4"/>
    </row>
    <row r="224">
      <c r="A224" s="4"/>
      <c r="B224" s="4"/>
      <c r="C224" s="4"/>
      <c r="D224" s="4"/>
      <c r="E224" s="4"/>
      <c r="F224" s="4"/>
      <c r="G224" s="4"/>
    </row>
    <row r="225">
      <c r="A225" s="4"/>
      <c r="B225" s="4"/>
      <c r="C225" s="4"/>
      <c r="D225" s="4"/>
      <c r="E225" s="4"/>
      <c r="F225" s="4"/>
      <c r="G225" s="4"/>
    </row>
    <row r="226">
      <c r="A226" s="4"/>
      <c r="B226" s="4"/>
      <c r="C226" s="4"/>
      <c r="D226" s="4"/>
      <c r="E226" s="4"/>
      <c r="F226" s="4"/>
      <c r="G226" s="4"/>
    </row>
    <row r="227">
      <c r="A227" s="4"/>
      <c r="B227" s="4"/>
      <c r="C227" s="4"/>
      <c r="D227" s="4"/>
      <c r="E227" s="4"/>
      <c r="F227" s="4"/>
      <c r="G227" s="4"/>
    </row>
    <row r="228">
      <c r="A228" s="4"/>
      <c r="B228" s="4"/>
      <c r="C228" s="4"/>
      <c r="D228" s="4"/>
      <c r="E228" s="4"/>
      <c r="F228" s="4"/>
      <c r="G228" s="4"/>
    </row>
    <row r="229">
      <c r="A229" s="4"/>
      <c r="B229" s="4"/>
      <c r="C229" s="4"/>
      <c r="D229" s="4"/>
      <c r="E229" s="4"/>
      <c r="F229" s="4"/>
      <c r="G229" s="4"/>
    </row>
    <row r="230">
      <c r="A230" s="4"/>
      <c r="B230" s="4"/>
      <c r="C230" s="4"/>
      <c r="D230" s="4"/>
      <c r="E230" s="4"/>
      <c r="F230" s="4"/>
      <c r="G230" s="4"/>
    </row>
    <row r="231">
      <c r="A231" s="4"/>
      <c r="B231" s="4"/>
      <c r="C231" s="4"/>
      <c r="D231" s="4"/>
      <c r="E231" s="4"/>
      <c r="F231" s="4"/>
      <c r="G231" s="4"/>
    </row>
    <row r="232">
      <c r="A232" s="4"/>
      <c r="B232" s="4"/>
      <c r="C232" s="4"/>
      <c r="D232" s="4"/>
      <c r="E232" s="4"/>
      <c r="F232" s="4"/>
      <c r="G232" s="4"/>
    </row>
    <row r="233">
      <c r="A233" s="4"/>
      <c r="B233" s="4"/>
      <c r="C233" s="4"/>
      <c r="D233" s="4"/>
      <c r="E233" s="4"/>
      <c r="F233" s="4"/>
      <c r="G233" s="4"/>
    </row>
    <row r="234">
      <c r="A234" s="4"/>
      <c r="B234" s="4"/>
      <c r="C234" s="4"/>
      <c r="D234" s="4"/>
      <c r="E234" s="4"/>
      <c r="F234" s="4"/>
      <c r="G234" s="4"/>
    </row>
    <row r="235">
      <c r="A235" s="4"/>
      <c r="B235" s="4"/>
      <c r="C235" s="4"/>
      <c r="D235" s="4"/>
      <c r="E235" s="4"/>
      <c r="F235" s="4"/>
      <c r="G235" s="4"/>
    </row>
    <row r="236">
      <c r="A236" s="4"/>
      <c r="B236" s="4"/>
      <c r="C236" s="4"/>
      <c r="D236" s="4"/>
      <c r="E236" s="4"/>
      <c r="F236" s="4"/>
      <c r="G236" s="4"/>
    </row>
    <row r="237">
      <c r="A237" s="4"/>
      <c r="B237" s="4"/>
      <c r="C237" s="4"/>
      <c r="D237" s="4"/>
      <c r="E237" s="4"/>
      <c r="F237" s="4"/>
      <c r="G237" s="4"/>
    </row>
    <row r="238">
      <c r="A238" s="4"/>
      <c r="B238" s="4"/>
      <c r="C238" s="4"/>
      <c r="D238" s="4"/>
      <c r="E238" s="4"/>
      <c r="F238" s="4"/>
      <c r="G238" s="4"/>
    </row>
    <row r="239">
      <c r="A239" s="4"/>
      <c r="B239" s="4"/>
      <c r="C239" s="4"/>
      <c r="D239" s="4"/>
      <c r="E239" s="4"/>
      <c r="F239" s="4"/>
      <c r="G239" s="4"/>
    </row>
    <row r="240">
      <c r="A240" s="4"/>
      <c r="B240" s="4"/>
      <c r="C240" s="4"/>
      <c r="D240" s="4"/>
      <c r="E240" s="4"/>
      <c r="F240" s="4"/>
      <c r="G240" s="4"/>
    </row>
    <row r="241">
      <c r="A241" s="4"/>
      <c r="B241" s="4"/>
      <c r="C241" s="4"/>
      <c r="D241" s="4"/>
      <c r="E241" s="4"/>
      <c r="F241" s="4"/>
      <c r="G241" s="4"/>
    </row>
    <row r="242">
      <c r="A242" s="4"/>
      <c r="B242" s="4"/>
      <c r="C242" s="4"/>
      <c r="D242" s="4"/>
      <c r="E242" s="4"/>
      <c r="F242" s="4"/>
      <c r="G242" s="4"/>
    </row>
    <row r="243">
      <c r="A243" s="4"/>
      <c r="B243" s="4"/>
      <c r="C243" s="4"/>
      <c r="D243" s="4"/>
      <c r="E243" s="4"/>
      <c r="F243" s="4"/>
      <c r="G243" s="4"/>
    </row>
    <row r="244">
      <c r="A244" s="4"/>
      <c r="B244" s="4"/>
      <c r="C244" s="4"/>
      <c r="D244" s="4"/>
      <c r="E244" s="4"/>
      <c r="F244" s="4"/>
      <c r="G244" s="4"/>
    </row>
    <row r="245">
      <c r="A245" s="4"/>
      <c r="B245" s="4"/>
      <c r="C245" s="4"/>
      <c r="D245" s="4"/>
      <c r="E245" s="4"/>
      <c r="F245" s="4"/>
      <c r="G245" s="4"/>
    </row>
    <row r="246">
      <c r="A246" s="4"/>
      <c r="B246" s="4"/>
      <c r="C246" s="4"/>
      <c r="D246" s="4"/>
      <c r="E246" s="4"/>
      <c r="F246" s="4"/>
      <c r="G246" s="4"/>
    </row>
    <row r="247">
      <c r="A247" s="4"/>
      <c r="B247" s="4"/>
      <c r="C247" s="4"/>
      <c r="D247" s="4"/>
      <c r="E247" s="4"/>
      <c r="F247" s="4"/>
      <c r="G247" s="4"/>
    </row>
    <row r="248">
      <c r="A248" s="4"/>
      <c r="B248" s="4"/>
      <c r="C248" s="4"/>
      <c r="D248" s="4"/>
      <c r="E248" s="4"/>
      <c r="F248" s="4"/>
      <c r="G248" s="4"/>
    </row>
    <row r="249">
      <c r="A249" s="4"/>
      <c r="B249" s="4"/>
      <c r="C249" s="4"/>
      <c r="D249" s="4"/>
      <c r="E249" s="4"/>
      <c r="F249" s="4"/>
      <c r="G249" s="4"/>
    </row>
    <row r="250">
      <c r="A250" s="4"/>
      <c r="B250" s="4"/>
      <c r="C250" s="4"/>
      <c r="D250" s="4"/>
      <c r="E250" s="4"/>
      <c r="F250" s="4"/>
      <c r="G250" s="4"/>
    </row>
    <row r="251">
      <c r="A251" s="4"/>
      <c r="B251" s="4"/>
      <c r="C251" s="4"/>
      <c r="D251" s="4"/>
      <c r="E251" s="4"/>
      <c r="F251" s="4"/>
      <c r="G251" s="4"/>
    </row>
    <row r="252">
      <c r="A252" s="4"/>
      <c r="B252" s="4"/>
      <c r="C252" s="4"/>
      <c r="D252" s="4"/>
      <c r="E252" s="4"/>
      <c r="F252" s="4"/>
      <c r="G252" s="4"/>
    </row>
    <row r="253">
      <c r="A253" s="4"/>
      <c r="B253" s="4"/>
      <c r="C253" s="4"/>
      <c r="D253" s="4"/>
      <c r="E253" s="4"/>
      <c r="F253" s="4"/>
      <c r="G253" s="4"/>
    </row>
    <row r="254">
      <c r="A254" s="4"/>
      <c r="B254" s="4"/>
      <c r="C254" s="4"/>
      <c r="D254" s="4"/>
      <c r="E254" s="4"/>
      <c r="F254" s="4"/>
      <c r="G254" s="4"/>
    </row>
    <row r="255">
      <c r="A255" s="4"/>
      <c r="B255" s="4"/>
      <c r="C255" s="4"/>
      <c r="D255" s="4"/>
      <c r="E255" s="4"/>
      <c r="F255" s="4"/>
      <c r="G255" s="4"/>
    </row>
    <row r="256">
      <c r="A256" s="4"/>
      <c r="B256" s="4"/>
      <c r="C256" s="4"/>
      <c r="D256" s="4"/>
      <c r="E256" s="4"/>
      <c r="F256" s="4"/>
      <c r="G256" s="4"/>
    </row>
    <row r="257">
      <c r="A257" s="4"/>
      <c r="B257" s="4"/>
      <c r="C257" s="4"/>
      <c r="D257" s="4"/>
      <c r="E257" s="4"/>
      <c r="F257" s="4"/>
      <c r="G257" s="4"/>
    </row>
    <row r="258">
      <c r="A258" s="4"/>
      <c r="B258" s="4"/>
      <c r="C258" s="4"/>
      <c r="D258" s="4"/>
      <c r="E258" s="4"/>
      <c r="F258" s="4"/>
      <c r="G258" s="4"/>
    </row>
    <row r="259">
      <c r="A259" s="4"/>
      <c r="B259" s="4"/>
      <c r="C259" s="4"/>
      <c r="D259" s="4"/>
      <c r="E259" s="4"/>
      <c r="F259" s="4"/>
      <c r="G259" s="4"/>
    </row>
    <row r="260">
      <c r="A260" s="4"/>
      <c r="B260" s="4"/>
      <c r="C260" s="4"/>
      <c r="D260" s="4"/>
      <c r="E260" s="4"/>
      <c r="F260" s="4"/>
      <c r="G260" s="4"/>
    </row>
    <row r="261">
      <c r="A261" s="4"/>
      <c r="B261" s="4"/>
      <c r="C261" s="4"/>
      <c r="D261" s="4"/>
      <c r="E261" s="4"/>
      <c r="F261" s="4"/>
      <c r="G261" s="4"/>
    </row>
    <row r="262">
      <c r="A262" s="4"/>
      <c r="B262" s="4"/>
      <c r="C262" s="4"/>
      <c r="D262" s="4"/>
      <c r="E262" s="4"/>
      <c r="F262" s="4"/>
      <c r="G262" s="4"/>
    </row>
    <row r="263">
      <c r="A263" s="4"/>
      <c r="B263" s="4"/>
      <c r="C263" s="4"/>
      <c r="D263" s="4"/>
      <c r="E263" s="4"/>
      <c r="F263" s="4"/>
      <c r="G263" s="4"/>
    </row>
    <row r="264">
      <c r="A264" s="4"/>
      <c r="B264" s="4"/>
      <c r="C264" s="4"/>
      <c r="D264" s="4"/>
      <c r="E264" s="4"/>
      <c r="F264" s="4"/>
      <c r="G264" s="4"/>
    </row>
    <row r="265">
      <c r="A265" s="4"/>
      <c r="B265" s="4"/>
      <c r="C265" s="4"/>
      <c r="D265" s="4"/>
      <c r="E265" s="4"/>
      <c r="F265" s="4"/>
      <c r="G265" s="4"/>
    </row>
    <row r="266">
      <c r="A266" s="4"/>
      <c r="B266" s="4"/>
      <c r="C266" s="4"/>
      <c r="D266" s="4"/>
      <c r="E266" s="4"/>
      <c r="F266" s="4"/>
      <c r="G266" s="4"/>
    </row>
    <row r="267">
      <c r="A267" s="4"/>
      <c r="B267" s="4"/>
      <c r="C267" s="4"/>
      <c r="D267" s="4"/>
      <c r="E267" s="4"/>
      <c r="F267" s="4"/>
      <c r="G267" s="4"/>
    </row>
    <row r="268">
      <c r="A268" s="4"/>
      <c r="B268" s="4"/>
      <c r="C268" s="4"/>
      <c r="D268" s="4"/>
      <c r="E268" s="4"/>
      <c r="F268" s="4"/>
      <c r="G268" s="4"/>
    </row>
    <row r="269">
      <c r="A269" s="4"/>
      <c r="B269" s="4"/>
      <c r="C269" s="4"/>
      <c r="D269" s="4"/>
      <c r="E269" s="4"/>
      <c r="F269" s="4"/>
      <c r="G269" s="4"/>
    </row>
    <row r="270">
      <c r="A270" s="4"/>
      <c r="B270" s="4"/>
      <c r="C270" s="4"/>
      <c r="D270" s="4"/>
      <c r="E270" s="4"/>
      <c r="F270" s="4"/>
      <c r="G270" s="4"/>
    </row>
    <row r="271">
      <c r="A271" s="4"/>
      <c r="B271" s="4"/>
      <c r="C271" s="4"/>
      <c r="D271" s="4"/>
      <c r="E271" s="4"/>
      <c r="F271" s="4"/>
      <c r="G271" s="4"/>
    </row>
    <row r="272">
      <c r="A272" s="4"/>
      <c r="B272" s="4"/>
      <c r="C272" s="4"/>
      <c r="D272" s="4"/>
      <c r="E272" s="4"/>
      <c r="F272" s="4"/>
      <c r="G272" s="4"/>
    </row>
    <row r="273">
      <c r="A273" s="4"/>
      <c r="B273" s="4"/>
      <c r="C273" s="4"/>
      <c r="D273" s="4"/>
      <c r="E273" s="4"/>
      <c r="F273" s="4"/>
      <c r="G273" s="4"/>
    </row>
    <row r="274">
      <c r="A274" s="4"/>
      <c r="B274" s="4"/>
      <c r="C274" s="4"/>
      <c r="D274" s="4"/>
      <c r="E274" s="4"/>
      <c r="F274" s="4"/>
      <c r="G274" s="4"/>
    </row>
    <row r="275">
      <c r="A275" s="4"/>
      <c r="B275" s="4"/>
      <c r="C275" s="4"/>
      <c r="D275" s="4"/>
      <c r="E275" s="4"/>
      <c r="F275" s="4"/>
      <c r="G275" s="4"/>
    </row>
    <row r="276">
      <c r="A276" s="4"/>
      <c r="B276" s="4"/>
      <c r="C276" s="4"/>
      <c r="D276" s="4"/>
      <c r="E276" s="4"/>
      <c r="F276" s="4"/>
      <c r="G276" s="4"/>
    </row>
    <row r="277">
      <c r="A277" s="4"/>
      <c r="B277" s="4"/>
      <c r="C277" s="4"/>
      <c r="D277" s="4"/>
      <c r="E277" s="4"/>
      <c r="F277" s="4"/>
      <c r="G277" s="4"/>
    </row>
    <row r="278">
      <c r="A278" s="4"/>
      <c r="B278" s="4"/>
      <c r="C278" s="4"/>
      <c r="D278" s="4"/>
      <c r="E278" s="4"/>
      <c r="F278" s="4"/>
      <c r="G278" s="4"/>
    </row>
    <row r="279">
      <c r="A279" s="4"/>
      <c r="B279" s="4"/>
      <c r="C279" s="4"/>
      <c r="D279" s="4"/>
      <c r="E279" s="4"/>
      <c r="F279" s="4"/>
      <c r="G279" s="4"/>
    </row>
    <row r="280">
      <c r="A280" s="4"/>
      <c r="B280" s="4"/>
      <c r="C280" s="4"/>
      <c r="D280" s="4"/>
      <c r="E280" s="4"/>
      <c r="F280" s="4"/>
      <c r="G280" s="4"/>
    </row>
    <row r="281">
      <c r="A281" s="4"/>
      <c r="B281" s="4"/>
      <c r="C281" s="4"/>
      <c r="D281" s="4"/>
      <c r="E281" s="4"/>
      <c r="F281" s="4"/>
      <c r="G281" s="4"/>
    </row>
    <row r="282">
      <c r="A282" s="4"/>
      <c r="B282" s="4"/>
      <c r="C282" s="4"/>
      <c r="D282" s="4"/>
      <c r="E282" s="4"/>
      <c r="F282" s="4"/>
      <c r="G282" s="4"/>
    </row>
    <row r="283">
      <c r="A283" s="4"/>
      <c r="B283" s="4"/>
      <c r="C283" s="4"/>
      <c r="D283" s="4"/>
      <c r="E283" s="4"/>
      <c r="F283" s="4"/>
      <c r="G283" s="4"/>
    </row>
    <row r="284">
      <c r="A284" s="4"/>
      <c r="B284" s="4"/>
      <c r="C284" s="4"/>
      <c r="D284" s="4"/>
      <c r="E284" s="4"/>
      <c r="F284" s="4"/>
      <c r="G284" s="4"/>
    </row>
    <row r="285">
      <c r="A285" s="4"/>
      <c r="B285" s="4"/>
      <c r="C285" s="4"/>
      <c r="D285" s="4"/>
      <c r="E285" s="4"/>
      <c r="F285" s="4"/>
      <c r="G285" s="4"/>
    </row>
    <row r="286">
      <c r="A286" s="4"/>
      <c r="B286" s="4"/>
      <c r="C286" s="4"/>
      <c r="D286" s="4"/>
      <c r="E286" s="4"/>
      <c r="F286" s="4"/>
      <c r="G286" s="4"/>
    </row>
    <row r="287">
      <c r="A287" s="4"/>
      <c r="B287" s="4"/>
      <c r="C287" s="4"/>
      <c r="D287" s="4"/>
      <c r="E287" s="4"/>
      <c r="F287" s="4"/>
      <c r="G287" s="4"/>
    </row>
    <row r="288">
      <c r="A288" s="4"/>
      <c r="B288" s="4"/>
      <c r="C288" s="4"/>
      <c r="D288" s="4"/>
      <c r="E288" s="4"/>
      <c r="F288" s="4"/>
      <c r="G288" s="4"/>
    </row>
    <row r="289">
      <c r="A289" s="4"/>
      <c r="B289" s="4"/>
      <c r="C289" s="4"/>
      <c r="D289" s="4"/>
      <c r="E289" s="4"/>
      <c r="F289" s="4"/>
      <c r="G289" s="4"/>
    </row>
    <row r="290">
      <c r="A290" s="4"/>
      <c r="B290" s="4"/>
      <c r="C290" s="4"/>
      <c r="D290" s="4"/>
      <c r="E290" s="4"/>
      <c r="F290" s="4"/>
      <c r="G290" s="4"/>
    </row>
    <row r="291">
      <c r="A291" s="4"/>
      <c r="B291" s="4"/>
      <c r="C291" s="4"/>
      <c r="D291" s="4"/>
      <c r="E291" s="4"/>
      <c r="F291" s="4"/>
      <c r="G291" s="4"/>
    </row>
    <row r="292">
      <c r="A292" s="4"/>
      <c r="B292" s="4"/>
      <c r="C292" s="4"/>
      <c r="D292" s="4"/>
      <c r="E292" s="4"/>
      <c r="F292" s="4"/>
      <c r="G292" s="4"/>
    </row>
    <row r="293">
      <c r="A293" s="4"/>
      <c r="B293" s="4"/>
      <c r="C293" s="4"/>
      <c r="D293" s="4"/>
      <c r="E293" s="4"/>
      <c r="F293" s="4"/>
      <c r="G293" s="4"/>
    </row>
    <row r="294">
      <c r="A294" s="4"/>
      <c r="B294" s="4"/>
      <c r="C294" s="4"/>
      <c r="D294" s="4"/>
      <c r="E294" s="4"/>
      <c r="F294" s="4"/>
      <c r="G294" s="4"/>
    </row>
    <row r="295">
      <c r="A295" s="4"/>
      <c r="B295" s="4"/>
      <c r="C295" s="4"/>
      <c r="D295" s="4"/>
      <c r="E295" s="4"/>
      <c r="F295" s="4"/>
      <c r="G295" s="4"/>
    </row>
    <row r="296">
      <c r="A296" s="4"/>
      <c r="B296" s="4"/>
      <c r="C296" s="4"/>
      <c r="D296" s="4"/>
      <c r="E296" s="4"/>
      <c r="F296" s="4"/>
      <c r="G296" s="4"/>
    </row>
    <row r="297">
      <c r="A297" s="4"/>
      <c r="B297" s="4"/>
      <c r="C297" s="4"/>
      <c r="D297" s="4"/>
      <c r="E297" s="4"/>
      <c r="F297" s="4"/>
      <c r="G297" s="4"/>
    </row>
    <row r="298">
      <c r="A298" s="4"/>
      <c r="B298" s="4"/>
      <c r="C298" s="4"/>
      <c r="D298" s="4"/>
      <c r="E298" s="4"/>
      <c r="F298" s="4"/>
      <c r="G298" s="4"/>
    </row>
    <row r="299">
      <c r="A299" s="4"/>
      <c r="B299" s="4"/>
      <c r="C299" s="4"/>
      <c r="D299" s="4"/>
      <c r="E299" s="4"/>
      <c r="F299" s="4"/>
      <c r="G299" s="4"/>
    </row>
    <row r="300">
      <c r="A300" s="4"/>
      <c r="B300" s="4"/>
      <c r="C300" s="4"/>
      <c r="D300" s="4"/>
      <c r="E300" s="4"/>
      <c r="F300" s="4"/>
      <c r="G300" s="4"/>
    </row>
    <row r="301">
      <c r="A301" s="4"/>
      <c r="B301" s="4"/>
      <c r="C301" s="4"/>
      <c r="D301" s="4"/>
      <c r="E301" s="4"/>
      <c r="F301" s="4"/>
      <c r="G301" s="4"/>
    </row>
    <row r="302">
      <c r="A302" s="4"/>
      <c r="B302" s="4"/>
      <c r="C302" s="4"/>
      <c r="D302" s="4"/>
      <c r="E302" s="4"/>
      <c r="F302" s="4"/>
      <c r="G302" s="4"/>
    </row>
    <row r="303">
      <c r="A303" s="4"/>
      <c r="B303" s="4"/>
      <c r="C303" s="4"/>
      <c r="D303" s="4"/>
      <c r="E303" s="4"/>
      <c r="F303" s="4"/>
      <c r="G303" s="4"/>
    </row>
    <row r="304">
      <c r="A304" s="4"/>
      <c r="B304" s="4"/>
      <c r="C304" s="4"/>
      <c r="D304" s="4"/>
      <c r="E304" s="4"/>
      <c r="F304" s="4"/>
      <c r="G304" s="4"/>
    </row>
    <row r="305">
      <c r="A305" s="4"/>
      <c r="B305" s="4"/>
      <c r="C305" s="4"/>
      <c r="D305" s="4"/>
      <c r="E305" s="4"/>
      <c r="F305" s="4"/>
      <c r="G305" s="4"/>
    </row>
    <row r="306">
      <c r="A306" s="4"/>
      <c r="B306" s="4"/>
      <c r="C306" s="4"/>
      <c r="D306" s="4"/>
      <c r="E306" s="4"/>
      <c r="F306" s="4"/>
      <c r="G306" s="4"/>
    </row>
    <row r="307">
      <c r="A307" s="4"/>
      <c r="B307" s="4"/>
      <c r="C307" s="4"/>
      <c r="D307" s="4"/>
      <c r="E307" s="4"/>
      <c r="F307" s="4"/>
      <c r="G307" s="4"/>
    </row>
    <row r="308">
      <c r="A308" s="4"/>
      <c r="B308" s="4"/>
      <c r="C308" s="4"/>
      <c r="D308" s="4"/>
      <c r="E308" s="4"/>
      <c r="F308" s="4"/>
      <c r="G308" s="4"/>
    </row>
    <row r="309">
      <c r="A309" s="4"/>
      <c r="B309" s="4"/>
      <c r="C309" s="4"/>
      <c r="D309" s="4"/>
      <c r="E309" s="4"/>
      <c r="F309" s="4"/>
      <c r="G309" s="4"/>
    </row>
    <row r="310">
      <c r="A310" s="4"/>
      <c r="B310" s="4"/>
      <c r="C310" s="4"/>
      <c r="D310" s="4"/>
      <c r="E310" s="4"/>
      <c r="F310" s="4"/>
      <c r="G310" s="4"/>
    </row>
    <row r="311">
      <c r="A311" s="4"/>
      <c r="B311" s="4"/>
      <c r="C311" s="4"/>
      <c r="D311" s="4"/>
      <c r="E311" s="4"/>
      <c r="F311" s="4"/>
      <c r="G311" s="4"/>
    </row>
    <row r="312">
      <c r="A312" s="4"/>
      <c r="B312" s="4"/>
      <c r="C312" s="4"/>
      <c r="D312" s="4"/>
      <c r="E312" s="4"/>
      <c r="F312" s="4"/>
      <c r="G312" s="4"/>
    </row>
    <row r="313">
      <c r="A313" s="4"/>
      <c r="B313" s="4"/>
      <c r="C313" s="4"/>
      <c r="D313" s="4"/>
      <c r="E313" s="4"/>
      <c r="F313" s="4"/>
      <c r="G313" s="4"/>
    </row>
    <row r="314">
      <c r="A314" s="4"/>
      <c r="B314" s="4"/>
      <c r="C314" s="4"/>
      <c r="D314" s="4"/>
      <c r="E314" s="4"/>
      <c r="F314" s="4"/>
      <c r="G314" s="4"/>
    </row>
    <row r="315">
      <c r="A315" s="4"/>
      <c r="B315" s="4"/>
      <c r="C315" s="4"/>
      <c r="D315" s="4"/>
      <c r="E315" s="4"/>
      <c r="F315" s="4"/>
      <c r="G315" s="4"/>
    </row>
    <row r="316">
      <c r="A316" s="4"/>
      <c r="B316" s="4"/>
      <c r="C316" s="4"/>
      <c r="D316" s="4"/>
      <c r="E316" s="4"/>
      <c r="F316" s="4"/>
      <c r="G316" s="4"/>
    </row>
    <row r="317">
      <c r="A317" s="4"/>
      <c r="B317" s="4"/>
      <c r="C317" s="4"/>
      <c r="D317" s="4"/>
      <c r="E317" s="4"/>
      <c r="F317" s="4"/>
      <c r="G317" s="4"/>
    </row>
    <row r="318">
      <c r="A318" s="4"/>
      <c r="B318" s="4"/>
      <c r="C318" s="4"/>
      <c r="D318" s="4"/>
      <c r="E318" s="4"/>
      <c r="F318" s="4"/>
      <c r="G318" s="4"/>
    </row>
    <row r="319">
      <c r="A319" s="4"/>
      <c r="B319" s="4"/>
      <c r="C319" s="4"/>
      <c r="D319" s="4"/>
      <c r="E319" s="4"/>
      <c r="F319" s="4"/>
      <c r="G319" s="4"/>
    </row>
    <row r="320">
      <c r="A320" s="4"/>
      <c r="B320" s="4"/>
      <c r="C320" s="4"/>
      <c r="D320" s="4"/>
      <c r="E320" s="4"/>
      <c r="F320" s="4"/>
      <c r="G320" s="4"/>
    </row>
    <row r="321">
      <c r="A321" s="4"/>
      <c r="B321" s="4"/>
      <c r="C321" s="4"/>
      <c r="D321" s="4"/>
      <c r="E321" s="4"/>
      <c r="F321" s="4"/>
      <c r="G321" s="4"/>
    </row>
    <row r="322">
      <c r="A322" s="4"/>
      <c r="B322" s="4"/>
      <c r="C322" s="4"/>
      <c r="D322" s="4"/>
      <c r="E322" s="4"/>
      <c r="F322" s="4"/>
      <c r="G322" s="4"/>
    </row>
    <row r="323">
      <c r="A323" s="4"/>
      <c r="B323" s="4"/>
      <c r="C323" s="4"/>
      <c r="D323" s="4"/>
      <c r="E323" s="4"/>
      <c r="F323" s="4"/>
      <c r="G323" s="4"/>
    </row>
    <row r="324">
      <c r="A324" s="4"/>
      <c r="B324" s="4"/>
      <c r="C324" s="4"/>
      <c r="D324" s="4"/>
      <c r="E324" s="4"/>
      <c r="F324" s="4"/>
      <c r="G324" s="4"/>
    </row>
    <row r="325">
      <c r="A325" s="4"/>
      <c r="B325" s="4"/>
      <c r="C325" s="4"/>
      <c r="D325" s="4"/>
      <c r="E325" s="4"/>
      <c r="F325" s="4"/>
      <c r="G325" s="4"/>
    </row>
    <row r="326">
      <c r="A326" s="4"/>
      <c r="B326" s="4"/>
      <c r="C326" s="4"/>
      <c r="D326" s="4"/>
      <c r="E326" s="4"/>
      <c r="F326" s="4"/>
      <c r="G326" s="4"/>
    </row>
    <row r="327">
      <c r="A327" s="4"/>
      <c r="B327" s="4"/>
      <c r="C327" s="4"/>
      <c r="D327" s="4"/>
      <c r="E327" s="4"/>
      <c r="F327" s="4"/>
      <c r="G327" s="4"/>
    </row>
    <row r="328">
      <c r="A328" s="4"/>
      <c r="B328" s="4"/>
      <c r="C328" s="4"/>
      <c r="D328" s="4"/>
      <c r="E328" s="4"/>
      <c r="F328" s="4"/>
      <c r="G328" s="4"/>
    </row>
    <row r="329">
      <c r="A329" s="4"/>
      <c r="B329" s="4"/>
      <c r="C329" s="4"/>
      <c r="D329" s="4"/>
      <c r="E329" s="4"/>
      <c r="F329" s="4"/>
      <c r="G329" s="4"/>
    </row>
    <row r="330">
      <c r="A330" s="4"/>
      <c r="B330" s="4"/>
      <c r="C330" s="4"/>
      <c r="D330" s="4"/>
      <c r="E330" s="4"/>
      <c r="F330" s="4"/>
      <c r="G330" s="4"/>
    </row>
    <row r="331">
      <c r="A331" s="4"/>
      <c r="B331" s="4"/>
      <c r="C331" s="4"/>
      <c r="D331" s="4"/>
      <c r="E331" s="4"/>
      <c r="F331" s="4"/>
      <c r="G331" s="4"/>
    </row>
    <row r="332">
      <c r="A332" s="4"/>
      <c r="B332" s="4"/>
      <c r="C332" s="4"/>
      <c r="D332" s="4"/>
      <c r="E332" s="4"/>
      <c r="F332" s="4"/>
      <c r="G332" s="4"/>
    </row>
    <row r="333">
      <c r="A333" s="4"/>
      <c r="B333" s="4"/>
      <c r="C333" s="4"/>
      <c r="D333" s="4"/>
      <c r="E333" s="4"/>
      <c r="F333" s="4"/>
      <c r="G333" s="4"/>
    </row>
    <row r="334">
      <c r="A334" s="4"/>
      <c r="B334" s="4"/>
      <c r="C334" s="4"/>
      <c r="D334" s="4"/>
      <c r="E334" s="4"/>
      <c r="F334" s="4"/>
      <c r="G334" s="4"/>
    </row>
    <row r="335">
      <c r="A335" s="4"/>
      <c r="B335" s="4"/>
      <c r="C335" s="4"/>
      <c r="D335" s="4"/>
      <c r="E335" s="4"/>
      <c r="F335" s="4"/>
      <c r="G335" s="4"/>
    </row>
    <row r="336">
      <c r="A336" s="4"/>
      <c r="B336" s="4"/>
      <c r="C336" s="4"/>
      <c r="D336" s="4"/>
      <c r="E336" s="4"/>
      <c r="F336" s="4"/>
      <c r="G336" s="4"/>
    </row>
    <row r="337">
      <c r="A337" s="4"/>
      <c r="B337" s="4"/>
      <c r="C337" s="4"/>
      <c r="D337" s="4"/>
      <c r="E337" s="4"/>
      <c r="F337" s="4"/>
      <c r="G337" s="4"/>
    </row>
    <row r="338">
      <c r="A338" s="4"/>
      <c r="B338" s="4"/>
      <c r="C338" s="4"/>
      <c r="D338" s="4"/>
      <c r="E338" s="4"/>
      <c r="F338" s="4"/>
      <c r="G338" s="4"/>
    </row>
    <row r="339">
      <c r="A339" s="4"/>
      <c r="B339" s="4"/>
      <c r="C339" s="4"/>
      <c r="D339" s="4"/>
      <c r="E339" s="4"/>
      <c r="F339" s="4"/>
      <c r="G339" s="4"/>
    </row>
    <row r="340">
      <c r="A340" s="4"/>
      <c r="B340" s="4"/>
      <c r="C340" s="4"/>
      <c r="D340" s="4"/>
      <c r="E340" s="4"/>
      <c r="F340" s="4"/>
      <c r="G340" s="4"/>
    </row>
    <row r="341">
      <c r="A341" s="4"/>
      <c r="B341" s="4"/>
      <c r="C341" s="4"/>
      <c r="D341" s="4"/>
      <c r="E341" s="4"/>
      <c r="F341" s="4"/>
      <c r="G341" s="4"/>
    </row>
    <row r="342">
      <c r="A342" s="4"/>
      <c r="B342" s="4"/>
      <c r="C342" s="4"/>
      <c r="D342" s="4"/>
      <c r="E342" s="4"/>
      <c r="F342" s="4"/>
      <c r="G342" s="4"/>
    </row>
    <row r="343">
      <c r="A343" s="4"/>
      <c r="B343" s="4"/>
      <c r="C343" s="4"/>
      <c r="D343" s="4"/>
      <c r="E343" s="4"/>
      <c r="F343" s="4"/>
      <c r="G343" s="4"/>
    </row>
    <row r="344">
      <c r="A344" s="4"/>
      <c r="B344" s="4"/>
      <c r="C344" s="4"/>
      <c r="D344" s="4"/>
      <c r="E344" s="4"/>
      <c r="F344" s="4"/>
      <c r="G344" s="4"/>
    </row>
    <row r="345">
      <c r="A345" s="4"/>
      <c r="B345" s="4"/>
      <c r="C345" s="4"/>
      <c r="D345" s="4"/>
      <c r="E345" s="4"/>
      <c r="F345" s="4"/>
      <c r="G345" s="4"/>
    </row>
    <row r="346">
      <c r="A346" s="4"/>
      <c r="B346" s="4"/>
      <c r="C346" s="4"/>
      <c r="D346" s="4"/>
      <c r="E346" s="4"/>
      <c r="F346" s="4"/>
      <c r="G346" s="4"/>
    </row>
    <row r="347">
      <c r="A347" s="4"/>
      <c r="B347" s="4"/>
      <c r="C347" s="4"/>
      <c r="D347" s="4"/>
      <c r="E347" s="4"/>
      <c r="F347" s="4"/>
      <c r="G347" s="4"/>
    </row>
    <row r="348">
      <c r="A348" s="4"/>
      <c r="B348" s="4"/>
      <c r="C348" s="4"/>
      <c r="D348" s="4"/>
      <c r="E348" s="4"/>
      <c r="F348" s="4"/>
      <c r="G348" s="4"/>
    </row>
    <row r="349">
      <c r="A349" s="4"/>
      <c r="B349" s="4"/>
      <c r="C349" s="4"/>
      <c r="D349" s="4"/>
      <c r="E349" s="4"/>
      <c r="F349" s="4"/>
      <c r="G349" s="4"/>
    </row>
    <row r="350">
      <c r="A350" s="4"/>
      <c r="B350" s="4"/>
      <c r="C350" s="4"/>
      <c r="D350" s="4"/>
      <c r="E350" s="4"/>
      <c r="F350" s="4"/>
      <c r="G350" s="4"/>
    </row>
    <row r="351">
      <c r="A351" s="4"/>
      <c r="B351" s="4"/>
      <c r="C351" s="4"/>
      <c r="D351" s="4"/>
      <c r="E351" s="4"/>
      <c r="F351" s="4"/>
      <c r="G351" s="4"/>
    </row>
    <row r="352">
      <c r="A352" s="4"/>
      <c r="B352" s="4"/>
      <c r="C352" s="4"/>
      <c r="D352" s="4"/>
      <c r="E352" s="4"/>
      <c r="F352" s="4"/>
      <c r="G352" s="4"/>
    </row>
    <row r="353">
      <c r="A353" s="4"/>
      <c r="B353" s="4"/>
      <c r="C353" s="4"/>
      <c r="D353" s="4"/>
      <c r="E353" s="4"/>
      <c r="F353" s="4"/>
      <c r="G353" s="4"/>
    </row>
    <row r="354">
      <c r="A354" s="4"/>
      <c r="B354" s="4"/>
      <c r="C354" s="4"/>
      <c r="D354" s="4"/>
      <c r="E354" s="4"/>
      <c r="F354" s="4"/>
      <c r="G354" s="4"/>
    </row>
    <row r="355">
      <c r="A355" s="4"/>
      <c r="B355" s="4"/>
      <c r="C355" s="4"/>
      <c r="D355" s="4"/>
      <c r="E355" s="4"/>
      <c r="F355" s="4"/>
      <c r="G355" s="4"/>
    </row>
    <row r="356">
      <c r="A356" s="4"/>
      <c r="B356" s="4"/>
      <c r="C356" s="4"/>
      <c r="D356" s="4"/>
      <c r="E356" s="4"/>
      <c r="F356" s="4"/>
      <c r="G356" s="4"/>
    </row>
    <row r="357">
      <c r="A357" s="4"/>
      <c r="B357" s="4"/>
      <c r="C357" s="4"/>
      <c r="D357" s="4"/>
      <c r="E357" s="4"/>
      <c r="F357" s="4"/>
      <c r="G357" s="4"/>
    </row>
    <row r="358">
      <c r="A358" s="4"/>
      <c r="B358" s="4"/>
      <c r="C358" s="4"/>
      <c r="D358" s="4"/>
      <c r="E358" s="4"/>
      <c r="F358" s="4"/>
      <c r="G358" s="4"/>
    </row>
    <row r="359">
      <c r="A359" s="4"/>
      <c r="B359" s="4"/>
      <c r="C359" s="4"/>
      <c r="D359" s="4"/>
      <c r="E359" s="4"/>
      <c r="F359" s="4"/>
      <c r="G359" s="4"/>
    </row>
    <row r="360">
      <c r="A360" s="4"/>
      <c r="B360" s="4"/>
      <c r="C360" s="4"/>
      <c r="D360" s="4"/>
      <c r="E360" s="4"/>
      <c r="F360" s="4"/>
      <c r="G360" s="4"/>
    </row>
    <row r="361">
      <c r="A361" s="4"/>
      <c r="B361" s="4"/>
      <c r="C361" s="4"/>
      <c r="D361" s="4"/>
      <c r="E361" s="4"/>
      <c r="F361" s="4"/>
      <c r="G361" s="4"/>
    </row>
    <row r="362">
      <c r="A362" s="4"/>
      <c r="B362" s="4"/>
      <c r="C362" s="4"/>
      <c r="D362" s="4"/>
      <c r="E362" s="4"/>
      <c r="F362" s="4"/>
      <c r="G362" s="4"/>
    </row>
    <row r="363">
      <c r="A363" s="4"/>
      <c r="B363" s="4"/>
      <c r="C363" s="4"/>
      <c r="D363" s="4"/>
      <c r="E363" s="4"/>
      <c r="F363" s="4"/>
      <c r="G363" s="4"/>
    </row>
    <row r="364">
      <c r="A364" s="4"/>
      <c r="B364" s="4"/>
      <c r="C364" s="4"/>
      <c r="D364" s="4"/>
      <c r="E364" s="4"/>
      <c r="F364" s="4"/>
      <c r="G364" s="4"/>
    </row>
    <row r="365">
      <c r="A365" s="4"/>
      <c r="B365" s="4"/>
      <c r="C365" s="4"/>
      <c r="D365" s="4"/>
      <c r="E365" s="4"/>
      <c r="F365" s="4"/>
      <c r="G365" s="4"/>
    </row>
    <row r="366">
      <c r="A366" s="4"/>
      <c r="B366" s="4"/>
      <c r="C366" s="4"/>
      <c r="D366" s="4"/>
      <c r="E366" s="4"/>
      <c r="F366" s="4"/>
      <c r="G366" s="4"/>
    </row>
    <row r="367">
      <c r="A367" s="4"/>
      <c r="B367" s="4"/>
      <c r="C367" s="4"/>
      <c r="D367" s="4"/>
      <c r="E367" s="4"/>
      <c r="F367" s="4"/>
      <c r="G367" s="4"/>
    </row>
    <row r="368">
      <c r="A368" s="4"/>
      <c r="B368" s="4"/>
      <c r="C368" s="4"/>
      <c r="D368" s="4"/>
      <c r="E368" s="4"/>
      <c r="F368" s="4"/>
      <c r="G368" s="4"/>
    </row>
    <row r="369">
      <c r="A369" s="4"/>
      <c r="B369" s="4"/>
      <c r="C369" s="4"/>
      <c r="D369" s="4"/>
      <c r="E369" s="4"/>
      <c r="F369" s="4"/>
      <c r="G369" s="4"/>
    </row>
    <row r="370">
      <c r="A370" s="4"/>
      <c r="B370" s="4"/>
      <c r="C370" s="4"/>
      <c r="D370" s="4"/>
      <c r="E370" s="4"/>
      <c r="F370" s="4"/>
      <c r="G370" s="4"/>
    </row>
    <row r="371">
      <c r="A371" s="4"/>
      <c r="B371" s="4"/>
      <c r="C371" s="4"/>
      <c r="D371" s="4"/>
      <c r="E371" s="4"/>
      <c r="F371" s="4"/>
      <c r="G371" s="4"/>
    </row>
    <row r="372">
      <c r="A372" s="4"/>
      <c r="B372" s="4"/>
      <c r="C372" s="4"/>
      <c r="D372" s="4"/>
      <c r="E372" s="4"/>
      <c r="F372" s="4"/>
      <c r="G372" s="4"/>
    </row>
    <row r="373">
      <c r="A373" s="4"/>
      <c r="B373" s="4"/>
      <c r="C373" s="4"/>
      <c r="D373" s="4"/>
      <c r="E373" s="4"/>
      <c r="F373" s="4"/>
      <c r="G373" s="4"/>
    </row>
    <row r="374">
      <c r="A374" s="4"/>
      <c r="B374" s="4"/>
      <c r="C374" s="4"/>
      <c r="D374" s="4"/>
      <c r="E374" s="4"/>
      <c r="F374" s="4"/>
      <c r="G374" s="4"/>
    </row>
    <row r="375">
      <c r="A375" s="4"/>
      <c r="B375" s="4"/>
      <c r="C375" s="4"/>
      <c r="D375" s="4"/>
      <c r="E375" s="4"/>
      <c r="F375" s="4"/>
      <c r="G375" s="4"/>
    </row>
    <row r="376">
      <c r="A376" s="4"/>
      <c r="B376" s="4"/>
      <c r="C376" s="4"/>
      <c r="D376" s="4"/>
      <c r="E376" s="4"/>
      <c r="F376" s="4"/>
      <c r="G376" s="4"/>
    </row>
    <row r="377">
      <c r="A377" s="4"/>
      <c r="B377" s="4"/>
      <c r="C377" s="4"/>
      <c r="D377" s="4"/>
      <c r="E377" s="4"/>
      <c r="F377" s="4"/>
      <c r="G377" s="4"/>
    </row>
    <row r="378">
      <c r="A378" s="4"/>
      <c r="B378" s="4"/>
      <c r="C378" s="4"/>
      <c r="D378" s="4"/>
      <c r="E378" s="4"/>
      <c r="F378" s="4"/>
      <c r="G378" s="4"/>
    </row>
    <row r="379">
      <c r="A379" s="4"/>
      <c r="B379" s="4"/>
      <c r="C379" s="4"/>
      <c r="D379" s="4"/>
      <c r="E379" s="4"/>
      <c r="F379" s="4"/>
      <c r="G379" s="4"/>
    </row>
    <row r="380">
      <c r="A380" s="4"/>
      <c r="B380" s="4"/>
      <c r="C380" s="4"/>
      <c r="D380" s="4"/>
      <c r="E380" s="4"/>
      <c r="F380" s="4"/>
      <c r="G380" s="4"/>
    </row>
    <row r="381">
      <c r="A381" s="4"/>
      <c r="B381" s="4"/>
      <c r="C381" s="4"/>
      <c r="D381" s="4"/>
      <c r="E381" s="4"/>
      <c r="F381" s="4"/>
      <c r="G381" s="4"/>
    </row>
    <row r="382">
      <c r="A382" s="4"/>
      <c r="B382" s="4"/>
      <c r="C382" s="4"/>
      <c r="D382" s="4"/>
      <c r="E382" s="4"/>
      <c r="F382" s="4"/>
      <c r="G382" s="4"/>
    </row>
    <row r="383">
      <c r="A383" s="4"/>
      <c r="B383" s="4"/>
      <c r="C383" s="4"/>
      <c r="D383" s="4"/>
      <c r="E383" s="4"/>
      <c r="F383" s="4"/>
      <c r="G383" s="4"/>
    </row>
    <row r="384">
      <c r="A384" s="4"/>
      <c r="B384" s="4"/>
      <c r="C384" s="4"/>
      <c r="D384" s="4"/>
      <c r="E384" s="4"/>
      <c r="F384" s="4"/>
      <c r="G384" s="4"/>
    </row>
    <row r="385">
      <c r="A385" s="4"/>
      <c r="B385" s="4"/>
      <c r="C385" s="4"/>
      <c r="D385" s="4"/>
      <c r="E385" s="4"/>
      <c r="F385" s="4"/>
      <c r="G385" s="4"/>
    </row>
    <row r="386">
      <c r="A386" s="4"/>
      <c r="B386" s="4"/>
      <c r="C386" s="4"/>
      <c r="D386" s="4"/>
      <c r="E386" s="4"/>
      <c r="F386" s="4"/>
      <c r="G386" s="4"/>
    </row>
    <row r="387">
      <c r="A387" s="4"/>
      <c r="B387" s="4"/>
      <c r="C387" s="4"/>
      <c r="D387" s="4"/>
      <c r="E387" s="4"/>
      <c r="F387" s="4"/>
      <c r="G387" s="4"/>
    </row>
    <row r="388">
      <c r="A388" s="4"/>
      <c r="B388" s="4"/>
      <c r="C388" s="4"/>
      <c r="D388" s="4"/>
      <c r="E388" s="4"/>
      <c r="F388" s="4"/>
      <c r="G388" s="4"/>
    </row>
    <row r="389">
      <c r="A389" s="4"/>
      <c r="B389" s="4"/>
      <c r="C389" s="4"/>
      <c r="D389" s="4"/>
      <c r="E389" s="4"/>
      <c r="F389" s="4"/>
      <c r="G389" s="4"/>
    </row>
    <row r="390">
      <c r="A390" s="4"/>
      <c r="B390" s="4"/>
      <c r="C390" s="4"/>
      <c r="D390" s="4"/>
      <c r="E390" s="4"/>
      <c r="F390" s="4"/>
      <c r="G390" s="4"/>
    </row>
    <row r="391">
      <c r="A391" s="4"/>
      <c r="B391" s="4"/>
      <c r="C391" s="4"/>
      <c r="D391" s="4"/>
      <c r="E391" s="4"/>
      <c r="F391" s="4"/>
      <c r="G391" s="4"/>
    </row>
    <row r="392">
      <c r="A392" s="4"/>
      <c r="B392" s="4"/>
      <c r="C392" s="4"/>
      <c r="D392" s="4"/>
      <c r="E392" s="4"/>
      <c r="F392" s="4"/>
      <c r="G392" s="4"/>
    </row>
    <row r="393">
      <c r="A393" s="4"/>
      <c r="B393" s="4"/>
      <c r="C393" s="4"/>
      <c r="D393" s="4"/>
      <c r="E393" s="4"/>
      <c r="F393" s="4"/>
      <c r="G393" s="4"/>
    </row>
    <row r="394">
      <c r="A394" s="4"/>
      <c r="B394" s="4"/>
      <c r="C394" s="4"/>
      <c r="D394" s="4"/>
      <c r="E394" s="4"/>
      <c r="F394" s="4"/>
      <c r="G394" s="4"/>
    </row>
    <row r="395">
      <c r="A395" s="4"/>
      <c r="B395" s="4"/>
      <c r="C395" s="4"/>
      <c r="D395" s="4"/>
      <c r="E395" s="4"/>
      <c r="F395" s="4"/>
      <c r="G395" s="4"/>
    </row>
    <row r="396">
      <c r="A396" s="4"/>
      <c r="B396" s="4"/>
      <c r="C396" s="4"/>
      <c r="D396" s="4"/>
      <c r="E396" s="4"/>
      <c r="F396" s="4"/>
      <c r="G396" s="4"/>
    </row>
    <row r="397">
      <c r="A397" s="4"/>
      <c r="B397" s="4"/>
      <c r="C397" s="4"/>
      <c r="D397" s="4"/>
      <c r="E397" s="4"/>
      <c r="F397" s="4"/>
      <c r="G397" s="4"/>
    </row>
    <row r="398">
      <c r="A398" s="4"/>
      <c r="B398" s="4"/>
      <c r="C398" s="4"/>
      <c r="D398" s="4"/>
      <c r="E398" s="4"/>
      <c r="F398" s="4"/>
      <c r="G398" s="4"/>
    </row>
    <row r="399">
      <c r="A399" s="4"/>
      <c r="B399" s="4"/>
      <c r="C399" s="4"/>
      <c r="D399" s="4"/>
      <c r="E399" s="4"/>
      <c r="F399" s="4"/>
      <c r="G399" s="4"/>
    </row>
    <row r="400">
      <c r="A400" s="4"/>
      <c r="B400" s="4"/>
      <c r="C400" s="4"/>
      <c r="D400" s="4"/>
      <c r="E400" s="4"/>
      <c r="F400" s="4"/>
      <c r="G400" s="4"/>
    </row>
    <row r="401">
      <c r="A401" s="4"/>
      <c r="B401" s="4"/>
      <c r="C401" s="4"/>
      <c r="D401" s="4"/>
      <c r="E401" s="4"/>
      <c r="F401" s="4"/>
      <c r="G401" s="4"/>
    </row>
    <row r="402">
      <c r="A402" s="4"/>
      <c r="B402" s="4"/>
      <c r="C402" s="4"/>
      <c r="D402" s="4"/>
      <c r="E402" s="4"/>
      <c r="F402" s="4"/>
      <c r="G402" s="4"/>
    </row>
    <row r="403">
      <c r="A403" s="4"/>
      <c r="B403" s="4"/>
      <c r="C403" s="4"/>
      <c r="D403" s="4"/>
      <c r="E403" s="4"/>
      <c r="F403" s="4"/>
      <c r="G403" s="4"/>
    </row>
    <row r="404">
      <c r="A404" s="4"/>
      <c r="B404" s="4"/>
      <c r="C404" s="4"/>
      <c r="D404" s="4"/>
      <c r="E404" s="4"/>
      <c r="F404" s="4"/>
      <c r="G404" s="4"/>
    </row>
    <row r="405">
      <c r="A405" s="4"/>
      <c r="B405" s="4"/>
      <c r="C405" s="4"/>
      <c r="D405" s="4"/>
      <c r="E405" s="4"/>
      <c r="F405" s="4"/>
      <c r="G405" s="4"/>
    </row>
    <row r="406">
      <c r="A406" s="4"/>
      <c r="B406" s="4"/>
      <c r="C406" s="4"/>
      <c r="D406" s="4"/>
      <c r="E406" s="4"/>
      <c r="F406" s="4"/>
      <c r="G406" s="4"/>
    </row>
    <row r="407">
      <c r="A407" s="4"/>
      <c r="B407" s="4"/>
      <c r="C407" s="4"/>
      <c r="D407" s="4"/>
      <c r="E407" s="4"/>
      <c r="F407" s="4"/>
      <c r="G407" s="4"/>
    </row>
    <row r="408">
      <c r="A408" s="4"/>
      <c r="B408" s="4"/>
      <c r="C408" s="4"/>
      <c r="D408" s="4"/>
      <c r="E408" s="4"/>
      <c r="F408" s="4"/>
      <c r="G408" s="4"/>
    </row>
    <row r="409">
      <c r="A409" s="4"/>
      <c r="B409" s="4"/>
      <c r="C409" s="4"/>
      <c r="D409" s="4"/>
      <c r="E409" s="4"/>
      <c r="F409" s="4"/>
      <c r="G409" s="4"/>
    </row>
    <row r="410">
      <c r="A410" s="4"/>
      <c r="B410" s="4"/>
      <c r="C410" s="4"/>
      <c r="D410" s="4"/>
      <c r="E410" s="4"/>
      <c r="F410" s="4"/>
      <c r="G410" s="4"/>
    </row>
    <row r="411">
      <c r="A411" s="4"/>
      <c r="B411" s="4"/>
      <c r="C411" s="4"/>
      <c r="D411" s="4"/>
      <c r="E411" s="4"/>
      <c r="F411" s="4"/>
      <c r="G411" s="4"/>
    </row>
    <row r="412">
      <c r="A412" s="4"/>
      <c r="B412" s="4"/>
      <c r="C412" s="4"/>
      <c r="D412" s="4"/>
      <c r="E412" s="4"/>
      <c r="F412" s="4"/>
      <c r="G412" s="4"/>
    </row>
    <row r="413">
      <c r="A413" s="4"/>
      <c r="B413" s="4"/>
      <c r="C413" s="4"/>
      <c r="D413" s="4"/>
      <c r="E413" s="4"/>
      <c r="F413" s="4"/>
      <c r="G413" s="4"/>
    </row>
    <row r="414">
      <c r="A414" s="4"/>
      <c r="B414" s="4"/>
      <c r="C414" s="4"/>
      <c r="D414" s="4"/>
      <c r="E414" s="4"/>
      <c r="F414" s="4"/>
      <c r="G414" s="4"/>
    </row>
    <row r="415">
      <c r="A415" s="4"/>
      <c r="B415" s="4"/>
      <c r="C415" s="4"/>
      <c r="D415" s="4"/>
      <c r="E415" s="4"/>
      <c r="F415" s="4"/>
      <c r="G415" s="4"/>
    </row>
    <row r="416">
      <c r="A416" s="4"/>
      <c r="B416" s="4"/>
      <c r="C416" s="4"/>
      <c r="D416" s="4"/>
      <c r="E416" s="4"/>
      <c r="F416" s="4"/>
      <c r="G416" s="4"/>
    </row>
    <row r="417">
      <c r="A417" s="4"/>
      <c r="B417" s="4"/>
      <c r="C417" s="4"/>
      <c r="D417" s="4"/>
      <c r="E417" s="4"/>
      <c r="F417" s="4"/>
      <c r="G417" s="4"/>
    </row>
    <row r="418">
      <c r="A418" s="4"/>
      <c r="B418" s="4"/>
      <c r="C418" s="4"/>
      <c r="D418" s="4"/>
      <c r="E418" s="4"/>
      <c r="F418" s="4"/>
      <c r="G418" s="4"/>
    </row>
    <row r="419">
      <c r="A419" s="4"/>
      <c r="B419" s="4"/>
      <c r="C419" s="4"/>
      <c r="D419" s="4"/>
      <c r="E419" s="4"/>
      <c r="F419" s="4"/>
      <c r="G419" s="4"/>
    </row>
    <row r="420">
      <c r="A420" s="4"/>
      <c r="B420" s="4"/>
      <c r="C420" s="4"/>
      <c r="D420" s="4"/>
      <c r="E420" s="4"/>
      <c r="F420" s="4"/>
      <c r="G420" s="4"/>
    </row>
    <row r="421">
      <c r="A421" s="4"/>
      <c r="B421" s="4"/>
      <c r="C421" s="4"/>
      <c r="D421" s="4"/>
      <c r="E421" s="4"/>
      <c r="F421" s="4"/>
      <c r="G421" s="4"/>
    </row>
    <row r="422">
      <c r="A422" s="4"/>
      <c r="B422" s="4"/>
      <c r="C422" s="4"/>
      <c r="D422" s="4"/>
      <c r="E422" s="4"/>
      <c r="F422" s="4"/>
      <c r="G422" s="4"/>
    </row>
    <row r="423">
      <c r="A423" s="4"/>
      <c r="B423" s="4"/>
      <c r="C423" s="4"/>
      <c r="D423" s="4"/>
      <c r="E423" s="4"/>
      <c r="F423" s="4"/>
      <c r="G423" s="4"/>
    </row>
    <row r="424">
      <c r="A424" s="4"/>
      <c r="B424" s="4"/>
      <c r="C424" s="4"/>
      <c r="D424" s="4"/>
      <c r="E424" s="4"/>
      <c r="F424" s="4"/>
      <c r="G424" s="4"/>
    </row>
    <row r="425">
      <c r="A425" s="4"/>
      <c r="B425" s="4"/>
      <c r="C425" s="4"/>
      <c r="D425" s="4"/>
      <c r="E425" s="4"/>
      <c r="F425" s="4"/>
      <c r="G425" s="4"/>
    </row>
    <row r="426">
      <c r="A426" s="4"/>
      <c r="B426" s="4"/>
      <c r="C426" s="4"/>
      <c r="D426" s="4"/>
      <c r="E426" s="4"/>
      <c r="F426" s="4"/>
      <c r="G426" s="4"/>
    </row>
    <row r="427">
      <c r="A427" s="4"/>
      <c r="B427" s="4"/>
      <c r="C427" s="4"/>
      <c r="D427" s="4"/>
      <c r="E427" s="4"/>
      <c r="F427" s="4"/>
      <c r="G427" s="4"/>
    </row>
    <row r="428">
      <c r="A428" s="4"/>
      <c r="B428" s="4"/>
      <c r="C428" s="4"/>
      <c r="D428" s="4"/>
      <c r="E428" s="4"/>
      <c r="F428" s="4"/>
      <c r="G428" s="4"/>
    </row>
    <row r="429">
      <c r="A429" s="4"/>
      <c r="B429" s="4"/>
      <c r="C429" s="4"/>
      <c r="D429" s="4"/>
      <c r="E429" s="4"/>
      <c r="F429" s="4"/>
      <c r="G429" s="4"/>
    </row>
    <row r="430">
      <c r="A430" s="4"/>
      <c r="B430" s="4"/>
      <c r="C430" s="4"/>
      <c r="D430" s="4"/>
      <c r="E430" s="4"/>
      <c r="F430" s="4"/>
      <c r="G430" s="4"/>
    </row>
    <row r="431">
      <c r="A431" s="4"/>
      <c r="B431" s="4"/>
      <c r="C431" s="4"/>
      <c r="D431" s="4"/>
      <c r="E431" s="4"/>
      <c r="F431" s="4"/>
      <c r="G431" s="4"/>
    </row>
    <row r="432">
      <c r="A432" s="4"/>
      <c r="B432" s="4"/>
      <c r="C432" s="4"/>
      <c r="D432" s="4"/>
      <c r="E432" s="4"/>
      <c r="F432" s="4"/>
      <c r="G432" s="4"/>
    </row>
    <row r="433">
      <c r="A433" s="4"/>
      <c r="B433" s="4"/>
      <c r="C433" s="4"/>
      <c r="D433" s="4"/>
      <c r="E433" s="4"/>
      <c r="F433" s="4"/>
      <c r="G433" s="4"/>
    </row>
    <row r="434">
      <c r="A434" s="4"/>
      <c r="B434" s="4"/>
      <c r="C434" s="4"/>
      <c r="D434" s="4"/>
      <c r="E434" s="4"/>
      <c r="F434" s="4"/>
      <c r="G434" s="4"/>
    </row>
    <row r="435">
      <c r="A435" s="4"/>
      <c r="B435" s="4"/>
      <c r="C435" s="4"/>
      <c r="D435" s="4"/>
      <c r="E435" s="4"/>
      <c r="F435" s="4"/>
      <c r="G435" s="4"/>
    </row>
    <row r="436">
      <c r="A436" s="4"/>
      <c r="B436" s="4"/>
      <c r="C436" s="4"/>
      <c r="D436" s="4"/>
      <c r="E436" s="4"/>
      <c r="F436" s="4"/>
      <c r="G436" s="4"/>
    </row>
    <row r="437">
      <c r="A437" s="4"/>
      <c r="B437" s="4"/>
      <c r="C437" s="4"/>
      <c r="D437" s="4"/>
      <c r="E437" s="4"/>
      <c r="F437" s="4"/>
      <c r="G437" s="4"/>
    </row>
    <row r="438">
      <c r="A438" s="4"/>
      <c r="B438" s="4"/>
      <c r="C438" s="4"/>
      <c r="D438" s="4"/>
      <c r="E438" s="4"/>
      <c r="F438" s="4"/>
      <c r="G438" s="4"/>
    </row>
    <row r="439">
      <c r="A439" s="4"/>
      <c r="B439" s="4"/>
      <c r="C439" s="4"/>
      <c r="D439" s="4"/>
      <c r="E439" s="4"/>
      <c r="F439" s="4"/>
      <c r="G439" s="4"/>
    </row>
    <row r="440">
      <c r="A440" s="4"/>
      <c r="B440" s="4"/>
      <c r="C440" s="4"/>
      <c r="D440" s="4"/>
      <c r="E440" s="4"/>
      <c r="F440" s="4"/>
      <c r="G440" s="4"/>
    </row>
    <row r="441">
      <c r="A441" s="4"/>
      <c r="B441" s="4"/>
      <c r="C441" s="4"/>
      <c r="D441" s="4"/>
      <c r="E441" s="4"/>
      <c r="F441" s="4"/>
      <c r="G441" s="4"/>
    </row>
    <row r="442">
      <c r="A442" s="4"/>
      <c r="B442" s="4"/>
      <c r="C442" s="4"/>
      <c r="D442" s="4"/>
      <c r="E442" s="4"/>
      <c r="F442" s="4"/>
      <c r="G442" s="4"/>
    </row>
    <row r="443">
      <c r="A443" s="4"/>
      <c r="B443" s="4"/>
      <c r="C443" s="4"/>
      <c r="D443" s="4"/>
      <c r="E443" s="4"/>
      <c r="F443" s="4"/>
      <c r="G443" s="4"/>
    </row>
    <row r="444">
      <c r="A444" s="4"/>
      <c r="B444" s="4"/>
      <c r="C444" s="4"/>
      <c r="D444" s="4"/>
      <c r="E444" s="4"/>
      <c r="F444" s="4"/>
      <c r="G444" s="4"/>
    </row>
    <row r="445">
      <c r="A445" s="4"/>
      <c r="B445" s="4"/>
      <c r="C445" s="4"/>
      <c r="D445" s="4"/>
      <c r="E445" s="4"/>
      <c r="F445" s="4"/>
      <c r="G445" s="4"/>
    </row>
    <row r="446">
      <c r="A446" s="4"/>
      <c r="B446" s="4"/>
      <c r="C446" s="4"/>
      <c r="D446" s="4"/>
      <c r="E446" s="4"/>
      <c r="F446" s="4"/>
      <c r="G446" s="4"/>
    </row>
    <row r="447">
      <c r="A447" s="4"/>
      <c r="B447" s="4"/>
      <c r="C447" s="4"/>
      <c r="D447" s="4"/>
      <c r="E447" s="4"/>
      <c r="F447" s="4"/>
      <c r="G447" s="4"/>
    </row>
    <row r="448">
      <c r="A448" s="4"/>
      <c r="B448" s="4"/>
      <c r="C448" s="4"/>
      <c r="D448" s="4"/>
      <c r="E448" s="4"/>
      <c r="F448" s="4"/>
      <c r="G448" s="4"/>
    </row>
    <row r="449">
      <c r="A449" s="4"/>
      <c r="B449" s="4"/>
      <c r="C449" s="4"/>
      <c r="D449" s="4"/>
      <c r="E449" s="4"/>
      <c r="F449" s="4"/>
      <c r="G449" s="4"/>
    </row>
    <row r="450">
      <c r="A450" s="4"/>
      <c r="B450" s="4"/>
      <c r="C450" s="4"/>
      <c r="D450" s="4"/>
      <c r="E450" s="4"/>
      <c r="F450" s="4"/>
      <c r="G450" s="4"/>
    </row>
    <row r="451">
      <c r="A451" s="4"/>
      <c r="B451" s="4"/>
      <c r="C451" s="4"/>
      <c r="D451" s="4"/>
      <c r="E451" s="4"/>
      <c r="F451" s="4"/>
      <c r="G451" s="4"/>
    </row>
    <row r="452">
      <c r="A452" s="4"/>
      <c r="B452" s="4"/>
      <c r="C452" s="4"/>
      <c r="D452" s="4"/>
      <c r="E452" s="4"/>
      <c r="F452" s="4"/>
      <c r="G452" s="4"/>
    </row>
    <row r="453">
      <c r="A453" s="4"/>
      <c r="B453" s="4"/>
      <c r="C453" s="4"/>
      <c r="D453" s="4"/>
      <c r="E453" s="4"/>
      <c r="F453" s="4"/>
      <c r="G453" s="4"/>
    </row>
    <row r="454">
      <c r="A454" s="4"/>
      <c r="B454" s="4"/>
      <c r="C454" s="4"/>
      <c r="D454" s="4"/>
      <c r="E454" s="4"/>
      <c r="F454" s="4"/>
      <c r="G454" s="4"/>
    </row>
    <row r="455">
      <c r="A455" s="4"/>
      <c r="B455" s="4"/>
      <c r="C455" s="4"/>
      <c r="D455" s="4"/>
      <c r="E455" s="4"/>
      <c r="F455" s="4"/>
      <c r="G455" s="4"/>
    </row>
    <row r="456">
      <c r="A456" s="4"/>
      <c r="B456" s="4"/>
      <c r="C456" s="4"/>
      <c r="D456" s="4"/>
      <c r="E456" s="4"/>
      <c r="F456" s="4"/>
      <c r="G456" s="4"/>
    </row>
    <row r="457">
      <c r="A457" s="4"/>
      <c r="B457" s="4"/>
      <c r="C457" s="4"/>
      <c r="D457" s="4"/>
      <c r="E457" s="4"/>
      <c r="F457" s="4"/>
      <c r="G457" s="4"/>
    </row>
    <row r="458">
      <c r="A458" s="4"/>
      <c r="B458" s="4"/>
      <c r="C458" s="4"/>
      <c r="D458" s="4"/>
      <c r="E458" s="4"/>
      <c r="F458" s="4"/>
      <c r="G458" s="4"/>
    </row>
    <row r="459">
      <c r="A459" s="4"/>
      <c r="B459" s="4"/>
      <c r="C459" s="4"/>
      <c r="D459" s="4"/>
      <c r="E459" s="4"/>
      <c r="F459" s="4"/>
      <c r="G459" s="4"/>
    </row>
    <row r="460">
      <c r="A460" s="4"/>
      <c r="B460" s="4"/>
      <c r="C460" s="4"/>
      <c r="D460" s="4"/>
      <c r="E460" s="4"/>
      <c r="F460" s="4"/>
      <c r="G460" s="4"/>
    </row>
    <row r="461">
      <c r="A461" s="4"/>
      <c r="B461" s="4"/>
      <c r="C461" s="4"/>
      <c r="D461" s="4"/>
      <c r="E461" s="4"/>
      <c r="F461" s="4"/>
      <c r="G461" s="4"/>
    </row>
    <row r="462">
      <c r="A462" s="4"/>
      <c r="B462" s="4"/>
      <c r="C462" s="4"/>
      <c r="D462" s="4"/>
      <c r="E462" s="4"/>
      <c r="F462" s="4"/>
      <c r="G462" s="4"/>
    </row>
    <row r="463">
      <c r="A463" s="4"/>
      <c r="B463" s="4"/>
      <c r="C463" s="4"/>
      <c r="D463" s="4"/>
      <c r="E463" s="4"/>
      <c r="F463" s="4"/>
      <c r="G463" s="4"/>
    </row>
    <row r="464">
      <c r="A464" s="4"/>
      <c r="B464" s="4"/>
      <c r="C464" s="4"/>
      <c r="D464" s="4"/>
      <c r="E464" s="4"/>
      <c r="F464" s="4"/>
      <c r="G464" s="4"/>
    </row>
    <row r="465">
      <c r="A465" s="4"/>
      <c r="B465" s="4"/>
      <c r="C465" s="4"/>
      <c r="D465" s="4"/>
      <c r="E465" s="4"/>
      <c r="F465" s="4"/>
      <c r="G465" s="4"/>
    </row>
    <row r="466">
      <c r="A466" s="4"/>
      <c r="B466" s="4"/>
      <c r="C466" s="4"/>
      <c r="D466" s="4"/>
      <c r="E466" s="4"/>
      <c r="F466" s="4"/>
      <c r="G466" s="4"/>
    </row>
    <row r="467">
      <c r="A467" s="4"/>
      <c r="B467" s="4"/>
      <c r="C467" s="4"/>
      <c r="D467" s="4"/>
      <c r="E467" s="4"/>
      <c r="F467" s="4"/>
      <c r="G467" s="4"/>
    </row>
    <row r="468">
      <c r="A468" s="4"/>
      <c r="B468" s="4"/>
      <c r="C468" s="4"/>
      <c r="D468" s="4"/>
      <c r="E468" s="4"/>
      <c r="F468" s="4"/>
      <c r="G468" s="4"/>
    </row>
    <row r="469">
      <c r="A469" s="4"/>
      <c r="B469" s="4"/>
      <c r="C469" s="4"/>
      <c r="D469" s="4"/>
      <c r="E469" s="4"/>
      <c r="F469" s="4"/>
      <c r="G469" s="4"/>
    </row>
    <row r="470">
      <c r="A470" s="4"/>
      <c r="B470" s="4"/>
      <c r="C470" s="4"/>
      <c r="D470" s="4"/>
      <c r="E470" s="4"/>
      <c r="F470" s="4"/>
      <c r="G470" s="4"/>
    </row>
    <row r="471">
      <c r="A471" s="4"/>
      <c r="B471" s="4"/>
      <c r="C471" s="4"/>
      <c r="D471" s="4"/>
      <c r="E471" s="4"/>
      <c r="F471" s="4"/>
      <c r="G471" s="4"/>
    </row>
    <row r="472">
      <c r="A472" s="4"/>
      <c r="B472" s="4"/>
      <c r="C472" s="4"/>
      <c r="D472" s="4"/>
      <c r="E472" s="4"/>
      <c r="F472" s="4"/>
      <c r="G472" s="4"/>
    </row>
    <row r="473">
      <c r="A473" s="4"/>
      <c r="B473" s="4"/>
      <c r="C473" s="4"/>
      <c r="D473" s="4"/>
      <c r="E473" s="4"/>
      <c r="F473" s="4"/>
      <c r="G473" s="4"/>
    </row>
    <row r="474">
      <c r="A474" s="4"/>
      <c r="B474" s="4"/>
      <c r="C474" s="4"/>
      <c r="D474" s="4"/>
      <c r="E474" s="4"/>
      <c r="F474" s="4"/>
      <c r="G474" s="4"/>
    </row>
    <row r="475">
      <c r="A475" s="4"/>
      <c r="B475" s="4"/>
      <c r="C475" s="4"/>
      <c r="D475" s="4"/>
      <c r="E475" s="4"/>
      <c r="F475" s="4"/>
      <c r="G475" s="4"/>
    </row>
    <row r="476">
      <c r="A476" s="4"/>
      <c r="B476" s="4"/>
      <c r="C476" s="4"/>
      <c r="D476" s="4"/>
      <c r="E476" s="4"/>
      <c r="F476" s="4"/>
      <c r="G476" s="4"/>
    </row>
    <row r="477">
      <c r="A477" s="4"/>
      <c r="B477" s="4"/>
      <c r="C477" s="4"/>
      <c r="D477" s="4"/>
      <c r="E477" s="4"/>
      <c r="F477" s="4"/>
      <c r="G477" s="4"/>
    </row>
    <row r="478">
      <c r="A478" s="4"/>
      <c r="B478" s="4"/>
      <c r="C478" s="4"/>
      <c r="D478" s="4"/>
      <c r="E478" s="4"/>
      <c r="F478" s="4"/>
      <c r="G478" s="4"/>
    </row>
    <row r="479">
      <c r="A479" s="4"/>
      <c r="B479" s="4"/>
      <c r="C479" s="4"/>
      <c r="D479" s="4"/>
      <c r="E479" s="4"/>
      <c r="F479" s="4"/>
      <c r="G479" s="4"/>
    </row>
    <row r="480">
      <c r="A480" s="4"/>
      <c r="B480" s="4"/>
      <c r="C480" s="4"/>
      <c r="D480" s="4"/>
      <c r="E480" s="4"/>
      <c r="F480" s="4"/>
      <c r="G480" s="4"/>
    </row>
    <row r="481">
      <c r="A481" s="4"/>
      <c r="B481" s="4"/>
      <c r="C481" s="4"/>
      <c r="D481" s="4"/>
      <c r="E481" s="4"/>
      <c r="F481" s="4"/>
      <c r="G481" s="4"/>
    </row>
    <row r="482">
      <c r="A482" s="4"/>
      <c r="B482" s="4"/>
      <c r="C482" s="4"/>
      <c r="D482" s="4"/>
      <c r="E482" s="4"/>
      <c r="F482" s="4"/>
      <c r="G482" s="4"/>
    </row>
    <row r="483">
      <c r="A483" s="4"/>
      <c r="B483" s="4"/>
      <c r="C483" s="4"/>
      <c r="D483" s="4"/>
      <c r="E483" s="4"/>
      <c r="F483" s="4"/>
      <c r="G483" s="4"/>
    </row>
    <row r="484">
      <c r="A484" s="4"/>
      <c r="B484" s="4"/>
      <c r="C484" s="4"/>
      <c r="D484" s="4"/>
      <c r="E484" s="4"/>
      <c r="F484" s="4"/>
      <c r="G484" s="4"/>
    </row>
    <row r="485">
      <c r="A485" s="4"/>
      <c r="B485" s="4"/>
      <c r="C485" s="4"/>
      <c r="D485" s="4"/>
      <c r="E485" s="4"/>
      <c r="F485" s="4"/>
      <c r="G485" s="4"/>
    </row>
    <row r="486">
      <c r="A486" s="4"/>
      <c r="B486" s="4"/>
      <c r="C486" s="4"/>
      <c r="D486" s="4"/>
      <c r="E486" s="4"/>
      <c r="F486" s="4"/>
      <c r="G486" s="4"/>
    </row>
    <row r="487">
      <c r="A487" s="4"/>
      <c r="B487" s="4"/>
      <c r="C487" s="4"/>
      <c r="D487" s="4"/>
      <c r="E487" s="4"/>
      <c r="F487" s="4"/>
      <c r="G487" s="4"/>
    </row>
    <row r="488">
      <c r="A488" s="4"/>
      <c r="B488" s="4"/>
      <c r="C488" s="4"/>
      <c r="D488" s="4"/>
      <c r="E488" s="4"/>
      <c r="F488" s="4"/>
      <c r="G488" s="4"/>
    </row>
    <row r="489">
      <c r="A489" s="4"/>
      <c r="B489" s="4"/>
      <c r="C489" s="4"/>
      <c r="D489" s="4"/>
      <c r="E489" s="4"/>
      <c r="F489" s="4"/>
      <c r="G489" s="4"/>
    </row>
    <row r="490">
      <c r="A490" s="4"/>
      <c r="B490" s="4"/>
      <c r="C490" s="4"/>
      <c r="D490" s="4"/>
      <c r="E490" s="4"/>
      <c r="F490" s="4"/>
      <c r="G490" s="4"/>
    </row>
    <row r="491">
      <c r="A491" s="4"/>
      <c r="B491" s="4"/>
      <c r="C491" s="4"/>
      <c r="D491" s="4"/>
      <c r="E491" s="4"/>
      <c r="F491" s="4"/>
      <c r="G491" s="4"/>
    </row>
    <row r="492">
      <c r="A492" s="4"/>
      <c r="B492" s="4"/>
      <c r="C492" s="4"/>
      <c r="D492" s="4"/>
      <c r="E492" s="4"/>
      <c r="F492" s="4"/>
      <c r="G492" s="4"/>
    </row>
    <row r="493">
      <c r="A493" s="4"/>
      <c r="B493" s="4"/>
      <c r="C493" s="4"/>
      <c r="D493" s="4"/>
      <c r="E493" s="4"/>
      <c r="F493" s="4"/>
      <c r="G493" s="4"/>
    </row>
    <row r="494">
      <c r="A494" s="4"/>
      <c r="B494" s="4"/>
      <c r="C494" s="4"/>
      <c r="D494" s="4"/>
      <c r="E494" s="4"/>
      <c r="F494" s="4"/>
      <c r="G494" s="4"/>
    </row>
    <row r="495">
      <c r="A495" s="4"/>
      <c r="B495" s="4"/>
      <c r="C495" s="4"/>
      <c r="D495" s="4"/>
      <c r="E495" s="4"/>
      <c r="F495" s="4"/>
      <c r="G495" s="4"/>
    </row>
    <row r="496">
      <c r="A496" s="4"/>
      <c r="B496" s="4"/>
      <c r="C496" s="4"/>
      <c r="D496" s="4"/>
      <c r="E496" s="4"/>
      <c r="F496" s="4"/>
      <c r="G496" s="4"/>
    </row>
    <row r="497">
      <c r="A497" s="4"/>
      <c r="B497" s="4"/>
      <c r="C497" s="4"/>
      <c r="D497" s="4"/>
      <c r="E497" s="4"/>
      <c r="F497" s="4"/>
      <c r="G497" s="4"/>
    </row>
    <row r="498">
      <c r="A498" s="4"/>
      <c r="B498" s="4"/>
      <c r="C498" s="4"/>
      <c r="D498" s="4"/>
      <c r="E498" s="4"/>
      <c r="F498" s="4"/>
      <c r="G498" s="4"/>
    </row>
    <row r="499">
      <c r="A499" s="4"/>
      <c r="B499" s="4"/>
      <c r="C499" s="4"/>
      <c r="D499" s="4"/>
      <c r="E499" s="4"/>
      <c r="F499" s="4"/>
      <c r="G499" s="4"/>
    </row>
    <row r="500">
      <c r="A500" s="4"/>
      <c r="B500" s="4"/>
      <c r="C500" s="4"/>
      <c r="D500" s="4"/>
      <c r="E500" s="4"/>
      <c r="F500" s="4"/>
      <c r="G500" s="4"/>
    </row>
    <row r="501">
      <c r="A501" s="4"/>
      <c r="B501" s="4"/>
      <c r="C501" s="4"/>
      <c r="D501" s="4"/>
      <c r="E501" s="4"/>
      <c r="F501" s="4"/>
      <c r="G501" s="4"/>
    </row>
    <row r="502">
      <c r="A502" s="4"/>
      <c r="B502" s="4"/>
      <c r="C502" s="4"/>
      <c r="D502" s="4"/>
      <c r="E502" s="4"/>
      <c r="F502" s="4"/>
      <c r="G502" s="4"/>
    </row>
    <row r="503">
      <c r="A503" s="4"/>
      <c r="B503" s="4"/>
      <c r="C503" s="4"/>
      <c r="D503" s="4"/>
      <c r="E503" s="4"/>
      <c r="F503" s="4"/>
      <c r="G503" s="4"/>
    </row>
    <row r="504">
      <c r="A504" s="4"/>
      <c r="B504" s="4"/>
      <c r="C504" s="4"/>
      <c r="D504" s="4"/>
      <c r="E504" s="4"/>
      <c r="F504" s="4"/>
      <c r="G504" s="4"/>
    </row>
    <row r="505">
      <c r="A505" s="4"/>
      <c r="B505" s="4"/>
      <c r="C505" s="4"/>
      <c r="D505" s="4"/>
      <c r="E505" s="4"/>
      <c r="F505" s="4"/>
      <c r="G505" s="4"/>
    </row>
    <row r="506">
      <c r="A506" s="4"/>
      <c r="B506" s="4"/>
      <c r="C506" s="4"/>
      <c r="D506" s="4"/>
      <c r="E506" s="4"/>
      <c r="F506" s="4"/>
      <c r="G506" s="4"/>
    </row>
    <row r="507">
      <c r="A507" s="4"/>
      <c r="B507" s="4"/>
      <c r="C507" s="4"/>
      <c r="D507" s="4"/>
      <c r="E507" s="4"/>
      <c r="F507" s="4"/>
      <c r="G507" s="4"/>
    </row>
    <row r="508">
      <c r="A508" s="4"/>
      <c r="B508" s="4"/>
      <c r="C508" s="4"/>
      <c r="D508" s="4"/>
      <c r="E508" s="4"/>
      <c r="F508" s="4"/>
      <c r="G508" s="4"/>
    </row>
    <row r="509">
      <c r="A509" s="4"/>
      <c r="B509" s="4"/>
      <c r="C509" s="4"/>
      <c r="D509" s="4"/>
      <c r="E509" s="4"/>
      <c r="F509" s="4"/>
      <c r="G509" s="4"/>
    </row>
    <row r="510">
      <c r="A510" s="4"/>
      <c r="B510" s="4"/>
      <c r="C510" s="4"/>
      <c r="D510" s="4"/>
      <c r="E510" s="4"/>
      <c r="F510" s="4"/>
      <c r="G510" s="4"/>
    </row>
    <row r="511">
      <c r="A511" s="4"/>
      <c r="B511" s="4"/>
      <c r="C511" s="4"/>
      <c r="D511" s="4"/>
      <c r="E511" s="4"/>
      <c r="F511" s="4"/>
      <c r="G511" s="4"/>
    </row>
    <row r="512">
      <c r="A512" s="4"/>
      <c r="B512" s="4"/>
      <c r="C512" s="4"/>
      <c r="D512" s="4"/>
      <c r="E512" s="4"/>
      <c r="F512" s="4"/>
      <c r="G512" s="4"/>
    </row>
    <row r="513">
      <c r="A513" s="4"/>
      <c r="B513" s="4"/>
      <c r="C513" s="4"/>
      <c r="D513" s="4"/>
      <c r="E513" s="4"/>
      <c r="F513" s="4"/>
      <c r="G513" s="4"/>
    </row>
    <row r="514">
      <c r="A514" s="4"/>
      <c r="B514" s="4"/>
      <c r="C514" s="4"/>
      <c r="D514" s="4"/>
      <c r="E514" s="4"/>
      <c r="F514" s="4"/>
      <c r="G514" s="4"/>
    </row>
    <row r="515">
      <c r="A515" s="4"/>
      <c r="B515" s="4"/>
      <c r="C515" s="4"/>
      <c r="D515" s="4"/>
      <c r="E515" s="4"/>
      <c r="F515" s="4"/>
      <c r="G515" s="4"/>
    </row>
    <row r="516">
      <c r="A516" s="4"/>
      <c r="B516" s="4"/>
      <c r="C516" s="4"/>
      <c r="D516" s="4"/>
      <c r="E516" s="4"/>
      <c r="F516" s="4"/>
      <c r="G516" s="4"/>
    </row>
    <row r="517">
      <c r="A517" s="4"/>
      <c r="B517" s="4"/>
      <c r="C517" s="4"/>
      <c r="D517" s="4"/>
      <c r="E517" s="4"/>
      <c r="F517" s="4"/>
      <c r="G517" s="4"/>
    </row>
    <row r="518">
      <c r="A518" s="4"/>
      <c r="B518" s="4"/>
      <c r="C518" s="4"/>
      <c r="D518" s="4"/>
      <c r="E518" s="4"/>
      <c r="F518" s="4"/>
      <c r="G518" s="4"/>
    </row>
    <row r="519">
      <c r="A519" s="4"/>
      <c r="B519" s="4"/>
      <c r="C519" s="4"/>
      <c r="D519" s="4"/>
      <c r="E519" s="4"/>
      <c r="F519" s="4"/>
      <c r="G519" s="4"/>
    </row>
    <row r="520">
      <c r="A520" s="4"/>
      <c r="B520" s="4"/>
      <c r="C520" s="4"/>
      <c r="D520" s="4"/>
      <c r="E520" s="4"/>
      <c r="F520" s="4"/>
      <c r="G520" s="4"/>
    </row>
    <row r="521">
      <c r="A521" s="4"/>
      <c r="B521" s="4"/>
      <c r="C521" s="4"/>
      <c r="D521" s="4"/>
      <c r="E521" s="4"/>
      <c r="F521" s="4"/>
      <c r="G521" s="4"/>
    </row>
    <row r="522">
      <c r="A522" s="4"/>
      <c r="B522" s="4"/>
      <c r="C522" s="4"/>
      <c r="D522" s="4"/>
      <c r="E522" s="4"/>
      <c r="F522" s="4"/>
      <c r="G522" s="4"/>
    </row>
    <row r="523">
      <c r="A523" s="4"/>
      <c r="B523" s="4"/>
      <c r="C523" s="4"/>
      <c r="D523" s="4"/>
      <c r="E523" s="4"/>
      <c r="F523" s="4"/>
      <c r="G523" s="4"/>
    </row>
    <row r="524">
      <c r="A524" s="4"/>
      <c r="B524" s="4"/>
      <c r="C524" s="4"/>
      <c r="D524" s="4"/>
      <c r="E524" s="4"/>
      <c r="F524" s="4"/>
      <c r="G524" s="4"/>
    </row>
    <row r="525">
      <c r="A525" s="4"/>
      <c r="B525" s="4"/>
      <c r="C525" s="4"/>
      <c r="D525" s="4"/>
      <c r="E525" s="4"/>
      <c r="F525" s="4"/>
      <c r="G525" s="4"/>
    </row>
    <row r="526">
      <c r="A526" s="4"/>
      <c r="B526" s="4"/>
      <c r="C526" s="4"/>
      <c r="D526" s="4"/>
      <c r="E526" s="4"/>
      <c r="F526" s="4"/>
      <c r="G526" s="4"/>
    </row>
    <row r="527">
      <c r="A527" s="4"/>
      <c r="B527" s="4"/>
      <c r="C527" s="4"/>
      <c r="D527" s="4"/>
      <c r="E527" s="4"/>
      <c r="F527" s="4"/>
      <c r="G527" s="4"/>
    </row>
    <row r="528">
      <c r="A528" s="4"/>
      <c r="B528" s="4"/>
      <c r="C528" s="4"/>
      <c r="D528" s="4"/>
      <c r="E528" s="4"/>
      <c r="F528" s="4"/>
      <c r="G528" s="4"/>
    </row>
    <row r="529">
      <c r="A529" s="4"/>
      <c r="B529" s="4"/>
      <c r="C529" s="4"/>
      <c r="D529" s="4"/>
      <c r="E529" s="4"/>
      <c r="F529" s="4"/>
      <c r="G529" s="4"/>
    </row>
    <row r="530">
      <c r="A530" s="4"/>
      <c r="B530" s="4"/>
      <c r="C530" s="4"/>
      <c r="D530" s="4"/>
      <c r="E530" s="4"/>
      <c r="F530" s="4"/>
      <c r="G530" s="4"/>
    </row>
    <row r="531">
      <c r="A531" s="4"/>
      <c r="B531" s="4"/>
      <c r="C531" s="4"/>
      <c r="D531" s="4"/>
      <c r="E531" s="4"/>
      <c r="F531" s="4"/>
      <c r="G531" s="4"/>
    </row>
    <row r="532">
      <c r="A532" s="4"/>
      <c r="B532" s="4"/>
      <c r="C532" s="4"/>
      <c r="D532" s="4"/>
      <c r="E532" s="4"/>
      <c r="F532" s="4"/>
      <c r="G532" s="4"/>
    </row>
    <row r="533">
      <c r="A533" s="4"/>
      <c r="B533" s="4"/>
      <c r="C533" s="4"/>
      <c r="D533" s="4"/>
      <c r="E533" s="4"/>
      <c r="F533" s="4"/>
      <c r="G533" s="4"/>
    </row>
    <row r="534">
      <c r="A534" s="4"/>
      <c r="B534" s="4"/>
      <c r="C534" s="4"/>
      <c r="D534" s="4"/>
      <c r="E534" s="4"/>
      <c r="F534" s="4"/>
      <c r="G534" s="4"/>
    </row>
    <row r="535">
      <c r="A535" s="4"/>
      <c r="B535" s="4"/>
      <c r="C535" s="4"/>
      <c r="D535" s="4"/>
      <c r="E535" s="4"/>
      <c r="F535" s="4"/>
      <c r="G535" s="4"/>
    </row>
    <row r="536">
      <c r="A536" s="4"/>
      <c r="B536" s="4"/>
      <c r="C536" s="4"/>
      <c r="D536" s="4"/>
      <c r="E536" s="4"/>
      <c r="F536" s="4"/>
      <c r="G536" s="4"/>
    </row>
    <row r="537">
      <c r="A537" s="4"/>
      <c r="B537" s="4"/>
      <c r="C537" s="4"/>
      <c r="D537" s="4"/>
      <c r="E537" s="4"/>
      <c r="F537" s="4"/>
      <c r="G537" s="4"/>
    </row>
    <row r="538">
      <c r="A538" s="4"/>
      <c r="B538" s="4"/>
      <c r="C538" s="4"/>
      <c r="D538" s="4"/>
      <c r="E538" s="4"/>
      <c r="F538" s="4"/>
      <c r="G538" s="4"/>
    </row>
    <row r="539">
      <c r="A539" s="4"/>
      <c r="B539" s="4"/>
      <c r="C539" s="4"/>
      <c r="D539" s="4"/>
      <c r="E539" s="4"/>
      <c r="F539" s="4"/>
      <c r="G539" s="4"/>
    </row>
    <row r="540">
      <c r="A540" s="4"/>
      <c r="B540" s="4"/>
      <c r="C540" s="4"/>
      <c r="D540" s="4"/>
      <c r="E540" s="4"/>
      <c r="F540" s="4"/>
      <c r="G540" s="4"/>
    </row>
    <row r="541">
      <c r="A541" s="4"/>
      <c r="B541" s="4"/>
      <c r="C541" s="4"/>
      <c r="D541" s="4"/>
      <c r="E541" s="4"/>
      <c r="F541" s="4"/>
      <c r="G541" s="4"/>
    </row>
    <row r="542">
      <c r="A542" s="4"/>
      <c r="B542" s="4"/>
      <c r="C542" s="4"/>
      <c r="D542" s="4"/>
      <c r="E542" s="4"/>
      <c r="F542" s="4"/>
      <c r="G542" s="4"/>
    </row>
    <row r="543">
      <c r="A543" s="4"/>
      <c r="B543" s="4"/>
      <c r="C543" s="4"/>
      <c r="D543" s="4"/>
      <c r="E543" s="4"/>
      <c r="F543" s="4"/>
      <c r="G543" s="4"/>
    </row>
    <row r="544">
      <c r="A544" s="4"/>
      <c r="B544" s="4"/>
      <c r="C544" s="4"/>
      <c r="D544" s="4"/>
      <c r="E544" s="4"/>
      <c r="F544" s="4"/>
      <c r="G544" s="4"/>
    </row>
    <row r="545">
      <c r="A545" s="4"/>
      <c r="B545" s="4"/>
      <c r="C545" s="4"/>
      <c r="D545" s="4"/>
      <c r="E545" s="4"/>
      <c r="F545" s="4"/>
      <c r="G545" s="4"/>
    </row>
    <row r="546">
      <c r="A546" s="4"/>
      <c r="B546" s="4"/>
      <c r="C546" s="4"/>
      <c r="D546" s="4"/>
      <c r="E546" s="4"/>
      <c r="F546" s="4"/>
      <c r="G546" s="4"/>
    </row>
    <row r="547">
      <c r="A547" s="4"/>
      <c r="B547" s="4"/>
      <c r="C547" s="4"/>
      <c r="D547" s="4"/>
      <c r="E547" s="4"/>
      <c r="F547" s="4"/>
      <c r="G547" s="4"/>
    </row>
    <row r="548">
      <c r="A548" s="4"/>
      <c r="B548" s="4"/>
      <c r="C548" s="4"/>
      <c r="D548" s="4"/>
      <c r="E548" s="4"/>
      <c r="F548" s="4"/>
      <c r="G548" s="4"/>
    </row>
    <row r="549">
      <c r="A549" s="4"/>
      <c r="B549" s="4"/>
      <c r="C549" s="4"/>
      <c r="D549" s="4"/>
      <c r="E549" s="4"/>
      <c r="F549" s="4"/>
      <c r="G549" s="4"/>
    </row>
    <row r="550">
      <c r="A550" s="4"/>
      <c r="B550" s="4"/>
      <c r="C550" s="4"/>
      <c r="D550" s="4"/>
      <c r="E550" s="4"/>
      <c r="F550" s="4"/>
      <c r="G550" s="4"/>
    </row>
    <row r="551">
      <c r="A551" s="4"/>
      <c r="B551" s="4"/>
      <c r="C551" s="4"/>
      <c r="D551" s="4"/>
      <c r="E551" s="4"/>
      <c r="F551" s="4"/>
      <c r="G551" s="4"/>
    </row>
    <row r="552">
      <c r="A552" s="4"/>
      <c r="B552" s="4"/>
      <c r="C552" s="4"/>
      <c r="D552" s="4"/>
      <c r="E552" s="4"/>
      <c r="F552" s="4"/>
      <c r="G552" s="4"/>
    </row>
    <row r="553">
      <c r="A553" s="4"/>
      <c r="B553" s="4"/>
      <c r="C553" s="4"/>
      <c r="D553" s="4"/>
      <c r="E553" s="4"/>
      <c r="F553" s="4"/>
      <c r="G553" s="4"/>
    </row>
    <row r="554">
      <c r="A554" s="4"/>
      <c r="B554" s="4"/>
      <c r="C554" s="4"/>
      <c r="D554" s="4"/>
      <c r="E554" s="4"/>
      <c r="F554" s="4"/>
      <c r="G554" s="4"/>
    </row>
    <row r="555">
      <c r="A555" s="4"/>
      <c r="B555" s="4"/>
      <c r="C555" s="4"/>
      <c r="D555" s="4"/>
      <c r="E555" s="4"/>
      <c r="F555" s="4"/>
      <c r="G555" s="4"/>
    </row>
    <row r="556">
      <c r="A556" s="4"/>
      <c r="B556" s="4"/>
      <c r="C556" s="4"/>
      <c r="D556" s="4"/>
      <c r="E556" s="4"/>
      <c r="F556" s="4"/>
      <c r="G556" s="4"/>
    </row>
    <row r="557">
      <c r="A557" s="4"/>
      <c r="B557" s="4"/>
      <c r="C557" s="4"/>
      <c r="D557" s="4"/>
      <c r="E557" s="4"/>
      <c r="F557" s="4"/>
      <c r="G557" s="4"/>
    </row>
    <row r="558">
      <c r="A558" s="4"/>
      <c r="B558" s="4"/>
      <c r="C558" s="4"/>
      <c r="D558" s="4"/>
      <c r="E558" s="4"/>
      <c r="F558" s="4"/>
      <c r="G558" s="4"/>
    </row>
    <row r="559">
      <c r="A559" s="4"/>
      <c r="B559" s="4"/>
      <c r="C559" s="4"/>
      <c r="D559" s="4"/>
      <c r="E559" s="4"/>
      <c r="F559" s="4"/>
      <c r="G559" s="4"/>
    </row>
    <row r="560">
      <c r="A560" s="4"/>
      <c r="B560" s="4"/>
      <c r="C560" s="4"/>
      <c r="D560" s="4"/>
      <c r="E560" s="4"/>
      <c r="F560" s="4"/>
      <c r="G560" s="4"/>
    </row>
    <row r="561">
      <c r="A561" s="4"/>
      <c r="B561" s="4"/>
      <c r="C561" s="4"/>
      <c r="D561" s="4"/>
      <c r="E561" s="4"/>
      <c r="F561" s="4"/>
      <c r="G561" s="4"/>
    </row>
    <row r="562">
      <c r="A562" s="4"/>
      <c r="B562" s="4"/>
      <c r="C562" s="4"/>
      <c r="D562" s="4"/>
      <c r="E562" s="4"/>
      <c r="F562" s="4"/>
      <c r="G562" s="4"/>
    </row>
    <row r="563">
      <c r="A563" s="4"/>
      <c r="B563" s="4"/>
      <c r="C563" s="4"/>
      <c r="D563" s="4"/>
      <c r="E563" s="4"/>
      <c r="F563" s="4"/>
      <c r="G563" s="4"/>
    </row>
    <row r="564">
      <c r="A564" s="4"/>
      <c r="B564" s="4"/>
      <c r="C564" s="4"/>
      <c r="D564" s="4"/>
      <c r="E564" s="4"/>
      <c r="F564" s="4"/>
      <c r="G564" s="4"/>
    </row>
    <row r="565">
      <c r="A565" s="4"/>
      <c r="B565" s="4"/>
      <c r="C565" s="4"/>
      <c r="D565" s="4"/>
      <c r="E565" s="4"/>
      <c r="F565" s="4"/>
      <c r="G565" s="4"/>
    </row>
    <row r="566">
      <c r="A566" s="4"/>
      <c r="B566" s="4"/>
      <c r="C566" s="4"/>
      <c r="D566" s="4"/>
      <c r="E566" s="4"/>
      <c r="F566" s="4"/>
      <c r="G566" s="4"/>
    </row>
    <row r="567">
      <c r="A567" s="4"/>
      <c r="B567" s="4"/>
      <c r="C567" s="4"/>
      <c r="D567" s="4"/>
      <c r="E567" s="4"/>
      <c r="F567" s="4"/>
      <c r="G567" s="4"/>
    </row>
    <row r="568">
      <c r="A568" s="4"/>
      <c r="B568" s="4"/>
      <c r="C568" s="4"/>
      <c r="D568" s="4"/>
      <c r="E568" s="4"/>
      <c r="F568" s="4"/>
      <c r="G568" s="4"/>
    </row>
    <row r="569">
      <c r="A569" s="4"/>
      <c r="B569" s="4"/>
      <c r="C569" s="4"/>
      <c r="D569" s="4"/>
      <c r="E569" s="4"/>
      <c r="F569" s="4"/>
      <c r="G569" s="4"/>
    </row>
    <row r="570">
      <c r="A570" s="4"/>
      <c r="B570" s="4"/>
      <c r="C570" s="4"/>
      <c r="D570" s="4"/>
      <c r="E570" s="4"/>
      <c r="F570" s="4"/>
      <c r="G570" s="4"/>
    </row>
    <row r="571">
      <c r="A571" s="4"/>
      <c r="B571" s="4"/>
      <c r="C571" s="4"/>
      <c r="D571" s="4"/>
      <c r="E571" s="4"/>
      <c r="F571" s="4"/>
      <c r="G571" s="4"/>
    </row>
    <row r="572">
      <c r="A572" s="4"/>
      <c r="B572" s="4"/>
      <c r="C572" s="4"/>
      <c r="D572" s="4"/>
      <c r="E572" s="4"/>
      <c r="F572" s="4"/>
      <c r="G572" s="4"/>
    </row>
    <row r="573">
      <c r="A573" s="4"/>
      <c r="B573" s="4"/>
      <c r="C573" s="4"/>
      <c r="D573" s="4"/>
      <c r="E573" s="4"/>
      <c r="F573" s="4"/>
      <c r="G573" s="4"/>
    </row>
    <row r="574">
      <c r="A574" s="4"/>
      <c r="B574" s="4"/>
      <c r="C574" s="4"/>
      <c r="D574" s="4"/>
      <c r="E574" s="4"/>
      <c r="F574" s="4"/>
      <c r="G574" s="4"/>
    </row>
    <row r="575">
      <c r="A575" s="4"/>
      <c r="B575" s="4"/>
      <c r="C575" s="4"/>
      <c r="D575" s="4"/>
      <c r="E575" s="4"/>
      <c r="F575" s="4"/>
      <c r="G575" s="4"/>
    </row>
    <row r="576">
      <c r="A576" s="4"/>
      <c r="B576" s="4"/>
      <c r="C576" s="4"/>
      <c r="D576" s="4"/>
      <c r="E576" s="4"/>
      <c r="F576" s="4"/>
      <c r="G576" s="4"/>
    </row>
    <row r="577">
      <c r="A577" s="4"/>
      <c r="B577" s="4"/>
      <c r="C577" s="4"/>
      <c r="D577" s="4"/>
      <c r="E577" s="4"/>
      <c r="F577" s="4"/>
      <c r="G577" s="4"/>
    </row>
    <row r="578">
      <c r="A578" s="4"/>
      <c r="B578" s="4"/>
      <c r="C578" s="4"/>
      <c r="D578" s="4"/>
      <c r="E578" s="4"/>
      <c r="F578" s="4"/>
      <c r="G578" s="4"/>
    </row>
    <row r="579">
      <c r="A579" s="4"/>
      <c r="B579" s="4"/>
      <c r="C579" s="4"/>
      <c r="D579" s="4"/>
      <c r="E579" s="4"/>
      <c r="F579" s="4"/>
      <c r="G579" s="4"/>
    </row>
    <row r="580">
      <c r="A580" s="4"/>
      <c r="B580" s="4"/>
      <c r="C580" s="4"/>
      <c r="D580" s="4"/>
      <c r="E580" s="4"/>
      <c r="F580" s="4"/>
      <c r="G580" s="4"/>
    </row>
    <row r="581">
      <c r="A581" s="4"/>
      <c r="B581" s="4"/>
      <c r="C581" s="4"/>
      <c r="D581" s="4"/>
      <c r="E581" s="4"/>
      <c r="F581" s="4"/>
      <c r="G581" s="4"/>
    </row>
    <row r="582">
      <c r="A582" s="4"/>
      <c r="B582" s="4"/>
      <c r="C582" s="4"/>
      <c r="D582" s="4"/>
      <c r="E582" s="4"/>
      <c r="F582" s="4"/>
      <c r="G582" s="4"/>
    </row>
    <row r="583">
      <c r="A583" s="4"/>
      <c r="B583" s="4"/>
      <c r="C583" s="4"/>
      <c r="D583" s="4"/>
      <c r="E583" s="4"/>
      <c r="F583" s="4"/>
      <c r="G583" s="4"/>
    </row>
    <row r="584">
      <c r="A584" s="4"/>
      <c r="B584" s="4"/>
      <c r="C584" s="4"/>
      <c r="D584" s="4"/>
      <c r="E584" s="4"/>
      <c r="F584" s="4"/>
      <c r="G584" s="4"/>
    </row>
    <row r="585">
      <c r="A585" s="4"/>
      <c r="B585" s="4"/>
      <c r="C585" s="4"/>
      <c r="D585" s="4"/>
      <c r="E585" s="4"/>
      <c r="F585" s="4"/>
      <c r="G585" s="4"/>
    </row>
    <row r="586">
      <c r="A586" s="4"/>
      <c r="B586" s="4"/>
      <c r="C586" s="4"/>
      <c r="D586" s="4"/>
      <c r="E586" s="4"/>
      <c r="F586" s="4"/>
      <c r="G586" s="4"/>
    </row>
    <row r="587">
      <c r="A587" s="4"/>
      <c r="B587" s="4"/>
      <c r="C587" s="4"/>
      <c r="D587" s="4"/>
      <c r="E587" s="4"/>
      <c r="F587" s="4"/>
      <c r="G587" s="4"/>
    </row>
    <row r="588">
      <c r="A588" s="4"/>
      <c r="B588" s="4"/>
      <c r="C588" s="4"/>
      <c r="D588" s="4"/>
      <c r="E588" s="4"/>
      <c r="F588" s="4"/>
      <c r="G588" s="4"/>
    </row>
    <row r="589">
      <c r="A589" s="4"/>
      <c r="B589" s="4"/>
      <c r="C589" s="4"/>
      <c r="D589" s="4"/>
      <c r="E589" s="4"/>
      <c r="F589" s="4"/>
      <c r="G589" s="4"/>
    </row>
    <row r="590">
      <c r="A590" s="4"/>
      <c r="B590" s="4"/>
      <c r="C590" s="4"/>
      <c r="D590" s="4"/>
      <c r="E590" s="4"/>
      <c r="F590" s="4"/>
      <c r="G590" s="4"/>
    </row>
    <row r="591">
      <c r="A591" s="4"/>
      <c r="B591" s="4"/>
      <c r="C591" s="4"/>
      <c r="D591" s="4"/>
      <c r="E591" s="4"/>
      <c r="F591" s="4"/>
      <c r="G591" s="4"/>
    </row>
    <row r="592">
      <c r="A592" s="4"/>
      <c r="B592" s="4"/>
      <c r="C592" s="4"/>
      <c r="D592" s="4"/>
      <c r="E592" s="4"/>
      <c r="F592" s="4"/>
      <c r="G592" s="4"/>
    </row>
    <row r="593">
      <c r="A593" s="4"/>
      <c r="B593" s="4"/>
      <c r="C593" s="4"/>
      <c r="D593" s="4"/>
      <c r="E593" s="4"/>
      <c r="F593" s="4"/>
      <c r="G593" s="4"/>
    </row>
    <row r="594">
      <c r="A594" s="4"/>
      <c r="B594" s="4"/>
      <c r="C594" s="4"/>
      <c r="D594" s="4"/>
      <c r="E594" s="4"/>
      <c r="F594" s="4"/>
      <c r="G594" s="4"/>
    </row>
    <row r="595">
      <c r="A595" s="4"/>
      <c r="B595" s="4"/>
      <c r="C595" s="4"/>
      <c r="D595" s="4"/>
      <c r="E595" s="4"/>
      <c r="F595" s="4"/>
      <c r="G595" s="4"/>
    </row>
    <row r="596">
      <c r="A596" s="4"/>
      <c r="B596" s="4"/>
      <c r="C596" s="4"/>
      <c r="D596" s="4"/>
      <c r="E596" s="4"/>
      <c r="F596" s="4"/>
      <c r="G596" s="4"/>
    </row>
    <row r="597">
      <c r="A597" s="4"/>
      <c r="B597" s="4"/>
      <c r="C597" s="4"/>
      <c r="D597" s="4"/>
      <c r="E597" s="4"/>
      <c r="F597" s="4"/>
      <c r="G597" s="4"/>
    </row>
    <row r="598">
      <c r="A598" s="4"/>
      <c r="B598" s="4"/>
      <c r="C598" s="4"/>
      <c r="D598" s="4"/>
      <c r="E598" s="4"/>
      <c r="F598" s="4"/>
      <c r="G598" s="4"/>
    </row>
    <row r="599">
      <c r="A599" s="4"/>
      <c r="B599" s="4"/>
      <c r="C599" s="4"/>
      <c r="D599" s="4"/>
      <c r="E599" s="4"/>
      <c r="F599" s="4"/>
      <c r="G599" s="4"/>
    </row>
    <row r="600">
      <c r="A600" s="4"/>
      <c r="B600" s="4"/>
      <c r="C600" s="4"/>
      <c r="D600" s="4"/>
      <c r="E600" s="4"/>
      <c r="F600" s="4"/>
      <c r="G600" s="4"/>
    </row>
    <row r="601">
      <c r="A601" s="4"/>
      <c r="B601" s="4"/>
      <c r="C601" s="4"/>
      <c r="D601" s="4"/>
      <c r="E601" s="4"/>
      <c r="F601" s="4"/>
      <c r="G601" s="4"/>
    </row>
    <row r="602">
      <c r="A602" s="4"/>
      <c r="B602" s="4"/>
      <c r="C602" s="4"/>
      <c r="D602" s="4"/>
      <c r="E602" s="4"/>
      <c r="F602" s="4"/>
      <c r="G602" s="4"/>
    </row>
    <row r="603">
      <c r="A603" s="4"/>
      <c r="B603" s="4"/>
      <c r="C603" s="4"/>
      <c r="D603" s="4"/>
      <c r="E603" s="4"/>
      <c r="F603" s="4"/>
      <c r="G603" s="4"/>
    </row>
    <row r="604">
      <c r="A604" s="4"/>
      <c r="B604" s="4"/>
      <c r="C604" s="4"/>
      <c r="D604" s="4"/>
      <c r="E604" s="4"/>
      <c r="F604" s="4"/>
      <c r="G604" s="4"/>
    </row>
    <row r="605">
      <c r="A605" s="4"/>
      <c r="B605" s="4"/>
      <c r="C605" s="4"/>
      <c r="D605" s="4"/>
      <c r="E605" s="4"/>
      <c r="F605" s="4"/>
      <c r="G605" s="4"/>
    </row>
    <row r="606">
      <c r="A606" s="4"/>
      <c r="B606" s="4"/>
      <c r="C606" s="4"/>
      <c r="D606" s="4"/>
      <c r="E606" s="4"/>
      <c r="F606" s="4"/>
      <c r="G606" s="4"/>
    </row>
    <row r="607">
      <c r="A607" s="4"/>
      <c r="B607" s="4"/>
      <c r="C607" s="4"/>
      <c r="D607" s="4"/>
      <c r="E607" s="4"/>
      <c r="F607" s="4"/>
      <c r="G607" s="4"/>
    </row>
    <row r="608">
      <c r="A608" s="4"/>
      <c r="B608" s="4"/>
      <c r="C608" s="4"/>
      <c r="D608" s="4"/>
      <c r="E608" s="4"/>
      <c r="F608" s="4"/>
      <c r="G608" s="4"/>
    </row>
    <row r="609">
      <c r="A609" s="4"/>
      <c r="B609" s="4"/>
      <c r="C609" s="4"/>
      <c r="D609" s="4"/>
      <c r="E609" s="4"/>
      <c r="F609" s="4"/>
      <c r="G609" s="4"/>
    </row>
    <row r="610">
      <c r="A610" s="4"/>
      <c r="B610" s="4"/>
      <c r="C610" s="4"/>
      <c r="D610" s="4"/>
      <c r="E610" s="4"/>
      <c r="F610" s="4"/>
      <c r="G610" s="4"/>
    </row>
    <row r="611">
      <c r="A611" s="4"/>
      <c r="B611" s="4"/>
      <c r="C611" s="4"/>
      <c r="D611" s="4"/>
      <c r="E611" s="4"/>
      <c r="F611" s="4"/>
      <c r="G611" s="4"/>
    </row>
    <row r="612">
      <c r="A612" s="4"/>
      <c r="B612" s="4"/>
      <c r="C612" s="4"/>
      <c r="D612" s="4"/>
      <c r="E612" s="4"/>
      <c r="F612" s="4"/>
      <c r="G612" s="4"/>
    </row>
    <row r="613">
      <c r="A613" s="4"/>
      <c r="B613" s="4"/>
      <c r="C613" s="4"/>
      <c r="D613" s="4"/>
      <c r="E613" s="4"/>
      <c r="F613" s="4"/>
      <c r="G613" s="4"/>
    </row>
    <row r="614">
      <c r="A614" s="4"/>
      <c r="B614" s="4"/>
      <c r="C614" s="4"/>
      <c r="D614" s="4"/>
      <c r="E614" s="4"/>
      <c r="F614" s="4"/>
      <c r="G614" s="4"/>
    </row>
    <row r="615">
      <c r="A615" s="4"/>
      <c r="B615" s="4"/>
      <c r="C615" s="4"/>
      <c r="D615" s="4"/>
      <c r="E615" s="4"/>
      <c r="F615" s="4"/>
      <c r="G615" s="4"/>
    </row>
    <row r="616">
      <c r="A616" s="4"/>
      <c r="B616" s="4"/>
      <c r="C616" s="4"/>
      <c r="D616" s="4"/>
      <c r="E616" s="4"/>
      <c r="F616" s="4"/>
      <c r="G616" s="4"/>
    </row>
    <row r="617">
      <c r="A617" s="4"/>
      <c r="B617" s="4"/>
      <c r="C617" s="4"/>
      <c r="D617" s="4"/>
      <c r="E617" s="4"/>
      <c r="F617" s="4"/>
      <c r="G617" s="4"/>
    </row>
    <row r="618">
      <c r="A618" s="4"/>
      <c r="B618" s="4"/>
      <c r="C618" s="4"/>
      <c r="D618" s="4"/>
      <c r="E618" s="4"/>
      <c r="F618" s="4"/>
      <c r="G618" s="4"/>
    </row>
    <row r="619">
      <c r="A619" s="4"/>
      <c r="B619" s="4"/>
      <c r="C619" s="4"/>
      <c r="D619" s="4"/>
      <c r="E619" s="4"/>
      <c r="F619" s="4"/>
      <c r="G619" s="4"/>
    </row>
    <row r="620">
      <c r="A620" s="4"/>
      <c r="B620" s="4"/>
      <c r="C620" s="4"/>
      <c r="D620" s="4"/>
      <c r="E620" s="4"/>
      <c r="F620" s="4"/>
      <c r="G620" s="4"/>
    </row>
    <row r="621">
      <c r="A621" s="4"/>
      <c r="B621" s="4"/>
      <c r="C621" s="4"/>
      <c r="D621" s="4"/>
      <c r="E621" s="4"/>
      <c r="F621" s="4"/>
      <c r="G621" s="4"/>
    </row>
    <row r="622">
      <c r="A622" s="4"/>
      <c r="B622" s="4"/>
      <c r="C622" s="4"/>
      <c r="D622" s="4"/>
      <c r="E622" s="4"/>
      <c r="F622" s="4"/>
      <c r="G622" s="4"/>
    </row>
    <row r="623">
      <c r="A623" s="4"/>
      <c r="B623" s="4"/>
      <c r="C623" s="4"/>
      <c r="D623" s="4"/>
      <c r="E623" s="4"/>
      <c r="F623" s="4"/>
      <c r="G623" s="4"/>
    </row>
    <row r="624">
      <c r="A624" s="4"/>
      <c r="B624" s="4"/>
      <c r="C624" s="4"/>
      <c r="D624" s="4"/>
      <c r="E624" s="4"/>
      <c r="F624" s="4"/>
      <c r="G624" s="4"/>
    </row>
    <row r="625">
      <c r="A625" s="4"/>
      <c r="B625" s="4"/>
      <c r="C625" s="4"/>
      <c r="D625" s="4"/>
      <c r="E625" s="4"/>
      <c r="F625" s="4"/>
      <c r="G625" s="4"/>
    </row>
    <row r="626">
      <c r="A626" s="4"/>
      <c r="B626" s="4"/>
      <c r="C626" s="4"/>
      <c r="D626" s="4"/>
      <c r="E626" s="4"/>
      <c r="F626" s="4"/>
      <c r="G626" s="4"/>
    </row>
    <row r="627">
      <c r="A627" s="4"/>
      <c r="B627" s="4"/>
      <c r="C627" s="4"/>
      <c r="D627" s="4"/>
      <c r="E627" s="4"/>
      <c r="F627" s="4"/>
      <c r="G627" s="4"/>
    </row>
    <row r="628">
      <c r="A628" s="4"/>
      <c r="B628" s="4"/>
      <c r="C628" s="4"/>
      <c r="D628" s="4"/>
      <c r="E628" s="4"/>
      <c r="F628" s="4"/>
      <c r="G628" s="4"/>
    </row>
    <row r="629">
      <c r="A629" s="4"/>
      <c r="B629" s="4"/>
      <c r="C629" s="4"/>
      <c r="D629" s="4"/>
      <c r="E629" s="4"/>
      <c r="F629" s="4"/>
      <c r="G629" s="4"/>
    </row>
    <row r="630">
      <c r="A630" s="4"/>
      <c r="B630" s="4"/>
      <c r="C630" s="4"/>
      <c r="D630" s="4"/>
      <c r="E630" s="4"/>
      <c r="F630" s="4"/>
      <c r="G630" s="4"/>
    </row>
    <row r="631">
      <c r="A631" s="4"/>
      <c r="B631" s="4"/>
      <c r="C631" s="4"/>
      <c r="D631" s="4"/>
      <c r="E631" s="4"/>
      <c r="F631" s="4"/>
      <c r="G631" s="4"/>
    </row>
    <row r="632">
      <c r="A632" s="4"/>
      <c r="B632" s="4"/>
      <c r="C632" s="4"/>
      <c r="D632" s="4"/>
      <c r="E632" s="4"/>
      <c r="F632" s="4"/>
      <c r="G632" s="4"/>
    </row>
    <row r="633">
      <c r="A633" s="4"/>
      <c r="B633" s="4"/>
      <c r="C633" s="4"/>
      <c r="D633" s="4"/>
      <c r="E633" s="4"/>
      <c r="F633" s="4"/>
      <c r="G633" s="4"/>
    </row>
    <row r="634">
      <c r="A634" s="4"/>
      <c r="B634" s="4"/>
      <c r="C634" s="4"/>
      <c r="D634" s="4"/>
      <c r="E634" s="4"/>
      <c r="F634" s="4"/>
      <c r="G634" s="4"/>
    </row>
    <row r="635">
      <c r="A635" s="4"/>
      <c r="B635" s="4"/>
      <c r="C635" s="4"/>
      <c r="D635" s="4"/>
      <c r="E635" s="4"/>
      <c r="F635" s="4"/>
      <c r="G635" s="4"/>
    </row>
    <row r="636">
      <c r="A636" s="4"/>
      <c r="B636" s="4"/>
      <c r="C636" s="4"/>
      <c r="D636" s="4"/>
      <c r="E636" s="4"/>
      <c r="F636" s="4"/>
      <c r="G636" s="4"/>
    </row>
    <row r="637">
      <c r="A637" s="4"/>
      <c r="B637" s="4"/>
      <c r="C637" s="4"/>
      <c r="D637" s="4"/>
      <c r="E637" s="4"/>
      <c r="F637" s="4"/>
      <c r="G637" s="4"/>
    </row>
    <row r="638">
      <c r="A638" s="4"/>
      <c r="B638" s="4"/>
      <c r="C638" s="4"/>
      <c r="D638" s="4"/>
      <c r="E638" s="4"/>
      <c r="F638" s="4"/>
      <c r="G638" s="4"/>
    </row>
    <row r="639">
      <c r="A639" s="4"/>
      <c r="B639" s="4"/>
      <c r="C639" s="4"/>
      <c r="D639" s="4"/>
      <c r="E639" s="4"/>
      <c r="F639" s="4"/>
      <c r="G639" s="4"/>
    </row>
    <row r="640">
      <c r="A640" s="4"/>
      <c r="B640" s="4"/>
      <c r="C640" s="4"/>
      <c r="D640" s="4"/>
      <c r="E640" s="4"/>
      <c r="F640" s="4"/>
      <c r="G640" s="4"/>
    </row>
    <row r="641">
      <c r="A641" s="4"/>
      <c r="B641" s="4"/>
      <c r="C641" s="4"/>
      <c r="D641" s="4"/>
      <c r="E641" s="4"/>
      <c r="F641" s="4"/>
      <c r="G641" s="4"/>
    </row>
    <row r="642">
      <c r="A642" s="4"/>
      <c r="B642" s="4"/>
      <c r="C642" s="4"/>
      <c r="D642" s="4"/>
      <c r="E642" s="4"/>
      <c r="F642" s="4"/>
      <c r="G642" s="4"/>
    </row>
    <row r="643">
      <c r="A643" s="4"/>
      <c r="B643" s="4"/>
      <c r="C643" s="4"/>
      <c r="D643" s="4"/>
      <c r="E643" s="4"/>
      <c r="F643" s="4"/>
      <c r="G643" s="4"/>
    </row>
    <row r="644">
      <c r="A644" s="4"/>
      <c r="B644" s="4"/>
      <c r="C644" s="4"/>
      <c r="D644" s="4"/>
      <c r="E644" s="4"/>
      <c r="F644" s="4"/>
      <c r="G644" s="4"/>
    </row>
    <row r="645">
      <c r="A645" s="4"/>
      <c r="B645" s="4"/>
      <c r="C645" s="4"/>
      <c r="D645" s="4"/>
      <c r="E645" s="4"/>
      <c r="F645" s="4"/>
      <c r="G645" s="4"/>
    </row>
    <row r="646">
      <c r="A646" s="4"/>
      <c r="B646" s="4"/>
      <c r="C646" s="4"/>
      <c r="D646" s="4"/>
      <c r="E646" s="4"/>
      <c r="F646" s="4"/>
      <c r="G646" s="4"/>
    </row>
    <row r="647">
      <c r="A647" s="4"/>
      <c r="B647" s="4"/>
      <c r="C647" s="4"/>
      <c r="D647" s="4"/>
      <c r="E647" s="4"/>
      <c r="F647" s="4"/>
      <c r="G647" s="4"/>
    </row>
    <row r="648">
      <c r="A648" s="4"/>
      <c r="B648" s="4"/>
      <c r="C648" s="4"/>
      <c r="D648" s="4"/>
      <c r="E648" s="4"/>
      <c r="F648" s="4"/>
      <c r="G648" s="4"/>
    </row>
    <row r="649">
      <c r="A649" s="4"/>
      <c r="B649" s="4"/>
      <c r="C649" s="4"/>
      <c r="D649" s="4"/>
      <c r="E649" s="4"/>
      <c r="F649" s="4"/>
      <c r="G649" s="4"/>
    </row>
    <row r="650">
      <c r="A650" s="4"/>
      <c r="B650" s="4"/>
      <c r="C650" s="4"/>
      <c r="D650" s="4"/>
      <c r="E650" s="4"/>
      <c r="F650" s="4"/>
      <c r="G650" s="4"/>
    </row>
    <row r="651">
      <c r="A651" s="4"/>
      <c r="B651" s="4"/>
      <c r="C651" s="4"/>
      <c r="D651" s="4"/>
      <c r="E651" s="4"/>
      <c r="F651" s="4"/>
      <c r="G651" s="4"/>
    </row>
    <row r="652">
      <c r="A652" s="4"/>
      <c r="B652" s="4"/>
      <c r="C652" s="4"/>
      <c r="D652" s="4"/>
      <c r="E652" s="4"/>
      <c r="F652" s="4"/>
      <c r="G652" s="4"/>
    </row>
    <row r="653">
      <c r="A653" s="4"/>
      <c r="B653" s="4"/>
      <c r="C653" s="4"/>
      <c r="D653" s="4"/>
      <c r="E653" s="4"/>
      <c r="F653" s="4"/>
      <c r="G653" s="4"/>
    </row>
    <row r="654">
      <c r="A654" s="4"/>
      <c r="B654" s="4"/>
      <c r="C654" s="4"/>
      <c r="D654" s="4"/>
      <c r="E654" s="4"/>
      <c r="F654" s="4"/>
      <c r="G654" s="4"/>
    </row>
    <row r="655">
      <c r="A655" s="4"/>
      <c r="B655" s="4"/>
      <c r="C655" s="4"/>
      <c r="D655" s="4"/>
      <c r="E655" s="4"/>
      <c r="F655" s="4"/>
      <c r="G655" s="4"/>
    </row>
    <row r="656">
      <c r="A656" s="4"/>
      <c r="B656" s="4"/>
      <c r="C656" s="4"/>
      <c r="D656" s="4"/>
      <c r="E656" s="4"/>
      <c r="F656" s="4"/>
      <c r="G656" s="4"/>
    </row>
    <row r="657">
      <c r="A657" s="4"/>
      <c r="B657" s="4"/>
      <c r="C657" s="4"/>
      <c r="D657" s="4"/>
      <c r="E657" s="4"/>
      <c r="F657" s="4"/>
      <c r="G657" s="4"/>
    </row>
    <row r="658">
      <c r="A658" s="4"/>
      <c r="B658" s="4"/>
      <c r="C658" s="4"/>
      <c r="D658" s="4"/>
      <c r="E658" s="4"/>
      <c r="F658" s="4"/>
      <c r="G658" s="4"/>
    </row>
    <row r="659">
      <c r="A659" s="4"/>
      <c r="B659" s="4"/>
      <c r="C659" s="4"/>
      <c r="D659" s="4"/>
      <c r="E659" s="4"/>
      <c r="F659" s="4"/>
      <c r="G659" s="4"/>
    </row>
    <row r="660">
      <c r="A660" s="4"/>
      <c r="B660" s="4"/>
      <c r="C660" s="4"/>
      <c r="D660" s="4"/>
      <c r="E660" s="4"/>
      <c r="F660" s="4"/>
      <c r="G660" s="4"/>
    </row>
    <row r="661">
      <c r="A661" s="4"/>
      <c r="B661" s="4"/>
      <c r="C661" s="4"/>
      <c r="D661" s="4"/>
      <c r="E661" s="4"/>
      <c r="F661" s="4"/>
      <c r="G661" s="4"/>
    </row>
    <row r="662">
      <c r="A662" s="4"/>
      <c r="B662" s="4"/>
      <c r="C662" s="4"/>
      <c r="D662" s="4"/>
      <c r="E662" s="4"/>
      <c r="F662" s="4"/>
      <c r="G662" s="4"/>
    </row>
    <row r="663">
      <c r="A663" s="4"/>
      <c r="B663" s="4"/>
      <c r="C663" s="4"/>
      <c r="D663" s="4"/>
      <c r="E663" s="4"/>
      <c r="F663" s="4"/>
      <c r="G663" s="4"/>
    </row>
    <row r="664">
      <c r="A664" s="4"/>
      <c r="B664" s="4"/>
      <c r="C664" s="4"/>
      <c r="D664" s="4"/>
      <c r="E664" s="4"/>
      <c r="F664" s="4"/>
      <c r="G664" s="4"/>
    </row>
    <row r="665">
      <c r="A665" s="4"/>
      <c r="B665" s="4"/>
      <c r="C665" s="4"/>
      <c r="D665" s="4"/>
      <c r="E665" s="4"/>
      <c r="F665" s="4"/>
      <c r="G665" s="4"/>
    </row>
    <row r="666">
      <c r="A666" s="4"/>
      <c r="B666" s="4"/>
      <c r="C666" s="4"/>
      <c r="D666" s="4"/>
      <c r="E666" s="4"/>
      <c r="F666" s="4"/>
      <c r="G666" s="4"/>
    </row>
    <row r="667">
      <c r="A667" s="4"/>
      <c r="B667" s="4"/>
      <c r="C667" s="4"/>
      <c r="D667" s="4"/>
      <c r="E667" s="4"/>
      <c r="F667" s="4"/>
      <c r="G667" s="4"/>
    </row>
    <row r="668">
      <c r="A668" s="4"/>
      <c r="B668" s="4"/>
      <c r="C668" s="4"/>
      <c r="D668" s="4"/>
      <c r="E668" s="4"/>
      <c r="F668" s="4"/>
      <c r="G668" s="4"/>
    </row>
    <row r="669">
      <c r="A669" s="4"/>
      <c r="B669" s="4"/>
      <c r="C669" s="4"/>
      <c r="D669" s="4"/>
      <c r="E669" s="4"/>
      <c r="F669" s="4"/>
      <c r="G669" s="4"/>
    </row>
    <row r="670">
      <c r="A670" s="4"/>
      <c r="B670" s="4"/>
      <c r="C670" s="4"/>
      <c r="D670" s="4"/>
      <c r="E670" s="4"/>
      <c r="F670" s="4"/>
      <c r="G670" s="4"/>
    </row>
    <row r="671">
      <c r="A671" s="4"/>
      <c r="B671" s="4"/>
      <c r="C671" s="4"/>
      <c r="D671" s="4"/>
      <c r="E671" s="4"/>
      <c r="F671" s="4"/>
      <c r="G671" s="4"/>
    </row>
    <row r="672">
      <c r="A672" s="4"/>
      <c r="B672" s="4"/>
      <c r="C672" s="4"/>
      <c r="D672" s="4"/>
      <c r="E672" s="4"/>
      <c r="F672" s="4"/>
      <c r="G672" s="4"/>
    </row>
    <row r="673">
      <c r="A673" s="4"/>
      <c r="B673" s="4"/>
      <c r="C673" s="4"/>
      <c r="D673" s="4"/>
      <c r="E673" s="4"/>
      <c r="F673" s="4"/>
      <c r="G673" s="4"/>
    </row>
    <row r="674">
      <c r="A674" s="4"/>
      <c r="B674" s="4"/>
      <c r="C674" s="4"/>
      <c r="D674" s="4"/>
      <c r="E674" s="4"/>
      <c r="F674" s="4"/>
      <c r="G674" s="4"/>
    </row>
    <row r="675">
      <c r="A675" s="4"/>
      <c r="B675" s="4"/>
      <c r="C675" s="4"/>
      <c r="D675" s="4"/>
      <c r="E675" s="4"/>
      <c r="F675" s="4"/>
      <c r="G675" s="4"/>
    </row>
    <row r="676">
      <c r="A676" s="4"/>
      <c r="B676" s="4"/>
      <c r="C676" s="4"/>
      <c r="D676" s="4"/>
      <c r="E676" s="4"/>
      <c r="F676" s="4"/>
      <c r="G676" s="4"/>
    </row>
    <row r="677">
      <c r="A677" s="4"/>
      <c r="B677" s="4"/>
      <c r="C677" s="4"/>
      <c r="D677" s="4"/>
      <c r="E677" s="4"/>
      <c r="F677" s="4"/>
      <c r="G677" s="4"/>
    </row>
    <row r="678">
      <c r="A678" s="4"/>
      <c r="B678" s="4"/>
      <c r="C678" s="4"/>
      <c r="D678" s="4"/>
      <c r="E678" s="4"/>
      <c r="F678" s="4"/>
      <c r="G678" s="4"/>
    </row>
    <row r="679">
      <c r="A679" s="4"/>
      <c r="B679" s="4"/>
      <c r="C679" s="4"/>
      <c r="D679" s="4"/>
      <c r="E679" s="4"/>
      <c r="F679" s="4"/>
      <c r="G679" s="4"/>
    </row>
    <row r="680">
      <c r="A680" s="4"/>
      <c r="B680" s="4"/>
      <c r="C680" s="4"/>
      <c r="D680" s="4"/>
      <c r="E680" s="4"/>
      <c r="F680" s="4"/>
      <c r="G680" s="4"/>
    </row>
    <row r="681">
      <c r="A681" s="4"/>
      <c r="B681" s="4"/>
      <c r="C681" s="4"/>
      <c r="D681" s="4"/>
      <c r="E681" s="4"/>
      <c r="F681" s="4"/>
      <c r="G681" s="4"/>
    </row>
    <row r="682">
      <c r="A682" s="4"/>
      <c r="B682" s="4"/>
      <c r="C682" s="4"/>
      <c r="D682" s="4"/>
      <c r="E682" s="4"/>
      <c r="F682" s="4"/>
      <c r="G682" s="4"/>
    </row>
    <row r="683">
      <c r="A683" s="4"/>
      <c r="B683" s="4"/>
      <c r="C683" s="4"/>
      <c r="D683" s="4"/>
      <c r="E683" s="4"/>
      <c r="F683" s="4"/>
      <c r="G683" s="4"/>
    </row>
    <row r="684">
      <c r="A684" s="4"/>
      <c r="B684" s="4"/>
      <c r="C684" s="4"/>
      <c r="D684" s="4"/>
      <c r="E684" s="4"/>
      <c r="F684" s="4"/>
      <c r="G684" s="4"/>
    </row>
    <row r="685">
      <c r="A685" s="4"/>
      <c r="B685" s="4"/>
      <c r="C685" s="4"/>
      <c r="D685" s="4"/>
      <c r="E685" s="4"/>
      <c r="F685" s="4"/>
      <c r="G685" s="4"/>
    </row>
    <row r="686">
      <c r="A686" s="4"/>
      <c r="B686" s="4"/>
      <c r="C686" s="4"/>
      <c r="D686" s="4"/>
      <c r="E686" s="4"/>
      <c r="F686" s="4"/>
      <c r="G686" s="4"/>
    </row>
    <row r="687">
      <c r="A687" s="4"/>
      <c r="B687" s="4"/>
      <c r="C687" s="4"/>
      <c r="D687" s="4"/>
      <c r="E687" s="4"/>
      <c r="F687" s="4"/>
      <c r="G687" s="4"/>
    </row>
    <row r="688">
      <c r="A688" s="4"/>
      <c r="B688" s="4"/>
      <c r="C688" s="4"/>
      <c r="D688" s="4"/>
      <c r="E688" s="4"/>
      <c r="F688" s="4"/>
      <c r="G688" s="4"/>
    </row>
    <row r="689">
      <c r="A689" s="4"/>
      <c r="B689" s="4"/>
      <c r="C689" s="4"/>
      <c r="D689" s="4"/>
      <c r="E689" s="4"/>
      <c r="F689" s="4"/>
      <c r="G689" s="4"/>
    </row>
    <row r="690">
      <c r="A690" s="4"/>
      <c r="B690" s="4"/>
      <c r="C690" s="4"/>
      <c r="D690" s="4"/>
      <c r="E690" s="4"/>
      <c r="F690" s="4"/>
      <c r="G690" s="4"/>
    </row>
    <row r="691">
      <c r="A691" s="4"/>
      <c r="B691" s="4"/>
      <c r="C691" s="4"/>
      <c r="D691" s="4"/>
      <c r="E691" s="4"/>
      <c r="F691" s="4"/>
      <c r="G691" s="4"/>
    </row>
    <row r="692">
      <c r="A692" s="4"/>
      <c r="B692" s="4"/>
      <c r="C692" s="4"/>
      <c r="D692" s="4"/>
      <c r="E692" s="4"/>
      <c r="F692" s="4"/>
      <c r="G692" s="4"/>
    </row>
    <row r="693">
      <c r="A693" s="4"/>
      <c r="B693" s="4"/>
      <c r="C693" s="4"/>
      <c r="D693" s="4"/>
      <c r="E693" s="4"/>
      <c r="F693" s="4"/>
      <c r="G693" s="4"/>
    </row>
    <row r="694">
      <c r="A694" s="4"/>
      <c r="B694" s="4"/>
      <c r="C694" s="4"/>
      <c r="D694" s="4"/>
      <c r="E694" s="4"/>
      <c r="F694" s="4"/>
      <c r="G694" s="4"/>
    </row>
    <row r="695">
      <c r="A695" s="4"/>
      <c r="B695" s="4"/>
      <c r="C695" s="4"/>
      <c r="D695" s="4"/>
      <c r="E695" s="4"/>
      <c r="F695" s="4"/>
      <c r="G695" s="4"/>
    </row>
    <row r="696">
      <c r="A696" s="4"/>
      <c r="B696" s="4"/>
      <c r="C696" s="4"/>
      <c r="D696" s="4"/>
      <c r="E696" s="4"/>
      <c r="F696" s="4"/>
      <c r="G696" s="4"/>
    </row>
    <row r="697">
      <c r="A697" s="4"/>
      <c r="B697" s="4"/>
      <c r="C697" s="4"/>
      <c r="D697" s="4"/>
      <c r="E697" s="4"/>
      <c r="F697" s="4"/>
      <c r="G697" s="4"/>
    </row>
    <row r="698">
      <c r="A698" s="4"/>
      <c r="B698" s="4"/>
      <c r="C698" s="4"/>
      <c r="D698" s="4"/>
      <c r="E698" s="4"/>
      <c r="F698" s="4"/>
      <c r="G698" s="4"/>
    </row>
    <row r="699">
      <c r="A699" s="4"/>
      <c r="B699" s="4"/>
      <c r="C699" s="4"/>
      <c r="D699" s="4"/>
      <c r="E699" s="4"/>
      <c r="F699" s="4"/>
      <c r="G699" s="4"/>
    </row>
    <row r="700">
      <c r="A700" s="4"/>
      <c r="B700" s="4"/>
      <c r="C700" s="4"/>
      <c r="D700" s="4"/>
      <c r="E700" s="4"/>
      <c r="F700" s="4"/>
      <c r="G700" s="4"/>
    </row>
    <row r="701">
      <c r="A701" s="4"/>
      <c r="B701" s="4"/>
      <c r="C701" s="4"/>
      <c r="D701" s="4"/>
      <c r="E701" s="4"/>
      <c r="F701" s="4"/>
      <c r="G701" s="4"/>
    </row>
    <row r="702">
      <c r="A702" s="4"/>
      <c r="B702" s="4"/>
      <c r="C702" s="4"/>
      <c r="D702" s="4"/>
      <c r="E702" s="4"/>
      <c r="F702" s="4"/>
      <c r="G702" s="4"/>
    </row>
    <row r="703">
      <c r="A703" s="4"/>
      <c r="B703" s="4"/>
      <c r="C703" s="4"/>
      <c r="D703" s="4"/>
      <c r="E703" s="4"/>
      <c r="F703" s="4"/>
      <c r="G703" s="4"/>
    </row>
    <row r="704">
      <c r="A704" s="4"/>
      <c r="B704" s="4"/>
      <c r="C704" s="4"/>
      <c r="D704" s="4"/>
      <c r="E704" s="4"/>
      <c r="F704" s="4"/>
      <c r="G704" s="4"/>
    </row>
    <row r="705">
      <c r="A705" s="4"/>
      <c r="B705" s="4"/>
      <c r="C705" s="4"/>
      <c r="D705" s="4"/>
      <c r="E705" s="4"/>
      <c r="F705" s="4"/>
      <c r="G705" s="4"/>
    </row>
    <row r="706">
      <c r="A706" s="4"/>
      <c r="B706" s="4"/>
      <c r="C706" s="4"/>
      <c r="D706" s="4"/>
      <c r="E706" s="4"/>
      <c r="F706" s="4"/>
      <c r="G706" s="4"/>
    </row>
    <row r="707">
      <c r="A707" s="4"/>
      <c r="B707" s="4"/>
      <c r="C707" s="4"/>
      <c r="D707" s="4"/>
      <c r="E707" s="4"/>
      <c r="F707" s="4"/>
      <c r="G707" s="4"/>
    </row>
    <row r="708">
      <c r="A708" s="4"/>
      <c r="B708" s="4"/>
      <c r="C708" s="4"/>
      <c r="D708" s="4"/>
      <c r="E708" s="4"/>
      <c r="F708" s="4"/>
      <c r="G708" s="4"/>
    </row>
    <row r="709">
      <c r="A709" s="4"/>
      <c r="B709" s="4"/>
      <c r="C709" s="4"/>
      <c r="D709" s="4"/>
      <c r="E709" s="4"/>
      <c r="F709" s="4"/>
      <c r="G709" s="4"/>
    </row>
    <row r="710">
      <c r="A710" s="4"/>
      <c r="B710" s="4"/>
      <c r="C710" s="4"/>
      <c r="D710" s="4"/>
      <c r="E710" s="4"/>
      <c r="F710" s="4"/>
      <c r="G710" s="4"/>
    </row>
    <row r="711">
      <c r="A711" s="4"/>
      <c r="B711" s="4"/>
      <c r="C711" s="4"/>
      <c r="D711" s="4"/>
      <c r="E711" s="4"/>
      <c r="F711" s="4"/>
      <c r="G711" s="4"/>
    </row>
    <row r="712">
      <c r="A712" s="4"/>
      <c r="B712" s="4"/>
      <c r="C712" s="4"/>
      <c r="D712" s="4"/>
      <c r="E712" s="4"/>
      <c r="F712" s="4"/>
      <c r="G712" s="4"/>
    </row>
    <row r="713">
      <c r="A713" s="4"/>
      <c r="B713" s="4"/>
      <c r="C713" s="4"/>
      <c r="D713" s="4"/>
      <c r="E713" s="4"/>
      <c r="F713" s="4"/>
      <c r="G713" s="4"/>
    </row>
    <row r="714">
      <c r="A714" s="4"/>
      <c r="B714" s="4"/>
      <c r="C714" s="4"/>
      <c r="D714" s="4"/>
      <c r="E714" s="4"/>
      <c r="F714" s="4"/>
      <c r="G714" s="4"/>
    </row>
    <row r="715">
      <c r="A715" s="4"/>
      <c r="B715" s="4"/>
      <c r="C715" s="4"/>
      <c r="D715" s="4"/>
      <c r="E715" s="4"/>
      <c r="F715" s="4"/>
      <c r="G715" s="4"/>
    </row>
    <row r="716">
      <c r="A716" s="4"/>
      <c r="B716" s="4"/>
      <c r="C716" s="4"/>
      <c r="D716" s="4"/>
      <c r="E716" s="4"/>
      <c r="F716" s="4"/>
      <c r="G716" s="4"/>
    </row>
    <row r="717">
      <c r="A717" s="4"/>
      <c r="B717" s="4"/>
      <c r="C717" s="4"/>
      <c r="D717" s="4"/>
      <c r="E717" s="4"/>
      <c r="F717" s="4"/>
      <c r="G717" s="4"/>
    </row>
    <row r="718">
      <c r="A718" s="4"/>
      <c r="B718" s="4"/>
      <c r="C718" s="4"/>
      <c r="D718" s="4"/>
      <c r="E718" s="4"/>
      <c r="F718" s="4"/>
      <c r="G718" s="4"/>
    </row>
    <row r="719">
      <c r="A719" s="4"/>
      <c r="B719" s="4"/>
      <c r="C719" s="4"/>
      <c r="D719" s="4"/>
      <c r="E719" s="4"/>
      <c r="F719" s="4"/>
      <c r="G719" s="4"/>
    </row>
    <row r="720">
      <c r="A720" s="4"/>
      <c r="B720" s="4"/>
      <c r="C720" s="4"/>
      <c r="D720" s="4"/>
      <c r="E720" s="4"/>
      <c r="F720" s="4"/>
      <c r="G720" s="4"/>
    </row>
    <row r="721">
      <c r="A721" s="4"/>
      <c r="B721" s="4"/>
      <c r="C721" s="4"/>
      <c r="D721" s="4"/>
      <c r="E721" s="4"/>
      <c r="F721" s="4"/>
      <c r="G721" s="4"/>
    </row>
    <row r="722">
      <c r="A722" s="4"/>
      <c r="B722" s="4"/>
      <c r="C722" s="4"/>
      <c r="D722" s="4"/>
      <c r="E722" s="4"/>
      <c r="F722" s="4"/>
      <c r="G722" s="4"/>
    </row>
    <row r="723">
      <c r="A723" s="4"/>
      <c r="B723" s="4"/>
      <c r="C723" s="4"/>
      <c r="D723" s="4"/>
      <c r="E723" s="4"/>
      <c r="F723" s="4"/>
      <c r="G723" s="4"/>
    </row>
    <row r="724">
      <c r="A724" s="4"/>
      <c r="B724" s="4"/>
      <c r="C724" s="4"/>
      <c r="D724" s="4"/>
      <c r="E724" s="4"/>
      <c r="F724" s="4"/>
      <c r="G724" s="4"/>
    </row>
    <row r="725">
      <c r="A725" s="4"/>
      <c r="B725" s="4"/>
      <c r="C725" s="4"/>
      <c r="D725" s="4"/>
      <c r="E725" s="4"/>
      <c r="F725" s="4"/>
      <c r="G725" s="4"/>
    </row>
    <row r="726">
      <c r="A726" s="4"/>
      <c r="B726" s="4"/>
      <c r="C726" s="4"/>
      <c r="D726" s="4"/>
      <c r="E726" s="4"/>
      <c r="F726" s="4"/>
      <c r="G726" s="4"/>
    </row>
    <row r="727">
      <c r="A727" s="4"/>
      <c r="B727" s="4"/>
      <c r="C727" s="4"/>
      <c r="D727" s="4"/>
      <c r="E727" s="4"/>
      <c r="F727" s="4"/>
      <c r="G727" s="4"/>
    </row>
    <row r="728">
      <c r="A728" s="4"/>
      <c r="B728" s="4"/>
      <c r="C728" s="4"/>
      <c r="D728" s="4"/>
      <c r="E728" s="4"/>
      <c r="F728" s="4"/>
      <c r="G728" s="4"/>
    </row>
    <row r="729">
      <c r="A729" s="4"/>
      <c r="B729" s="4"/>
      <c r="C729" s="4"/>
      <c r="D729" s="4"/>
      <c r="E729" s="4"/>
      <c r="F729" s="4"/>
      <c r="G729" s="4"/>
    </row>
    <row r="730">
      <c r="A730" s="4"/>
      <c r="B730" s="4"/>
      <c r="C730" s="4"/>
      <c r="D730" s="4"/>
      <c r="E730" s="4"/>
      <c r="F730" s="4"/>
      <c r="G730" s="4"/>
    </row>
    <row r="731">
      <c r="A731" s="4"/>
      <c r="B731" s="4"/>
      <c r="C731" s="4"/>
      <c r="D731" s="4"/>
      <c r="E731" s="4"/>
      <c r="F731" s="4"/>
      <c r="G731" s="4"/>
    </row>
    <row r="732">
      <c r="A732" s="4"/>
      <c r="B732" s="4"/>
      <c r="C732" s="4"/>
      <c r="D732" s="4"/>
      <c r="E732" s="4"/>
      <c r="F732" s="4"/>
      <c r="G732" s="4"/>
    </row>
    <row r="733">
      <c r="A733" s="4"/>
      <c r="B733" s="4"/>
      <c r="C733" s="4"/>
      <c r="D733" s="4"/>
      <c r="E733" s="4"/>
      <c r="F733" s="4"/>
      <c r="G733" s="4"/>
    </row>
    <row r="734">
      <c r="A734" s="4"/>
      <c r="B734" s="4"/>
      <c r="C734" s="4"/>
      <c r="D734" s="4"/>
      <c r="E734" s="4"/>
      <c r="F734" s="4"/>
      <c r="G734" s="4"/>
    </row>
    <row r="735">
      <c r="A735" s="4"/>
      <c r="B735" s="4"/>
      <c r="C735" s="4"/>
      <c r="D735" s="4"/>
      <c r="E735" s="4"/>
      <c r="F735" s="4"/>
      <c r="G735" s="4"/>
    </row>
    <row r="736">
      <c r="A736" s="4"/>
      <c r="B736" s="4"/>
      <c r="C736" s="4"/>
      <c r="D736" s="4"/>
      <c r="E736" s="4"/>
      <c r="F736" s="4"/>
      <c r="G736" s="4"/>
    </row>
    <row r="737">
      <c r="A737" s="4"/>
      <c r="B737" s="4"/>
      <c r="C737" s="4"/>
      <c r="D737" s="4"/>
      <c r="E737" s="4"/>
      <c r="F737" s="4"/>
      <c r="G737" s="4"/>
    </row>
    <row r="738">
      <c r="A738" s="4"/>
      <c r="B738" s="4"/>
      <c r="C738" s="4"/>
      <c r="D738" s="4"/>
      <c r="E738" s="4"/>
      <c r="F738" s="4"/>
      <c r="G738" s="4"/>
    </row>
    <row r="739">
      <c r="A739" s="4"/>
      <c r="B739" s="4"/>
      <c r="C739" s="4"/>
      <c r="D739" s="4"/>
      <c r="E739" s="4"/>
      <c r="F739" s="4"/>
      <c r="G739" s="4"/>
    </row>
    <row r="740">
      <c r="A740" s="4"/>
      <c r="B740" s="4"/>
      <c r="C740" s="4"/>
      <c r="D740" s="4"/>
      <c r="E740" s="4"/>
      <c r="F740" s="4"/>
      <c r="G740" s="4"/>
    </row>
    <row r="741">
      <c r="A741" s="4"/>
      <c r="B741" s="4"/>
      <c r="C741" s="4"/>
      <c r="D741" s="4"/>
      <c r="E741" s="4"/>
      <c r="F741" s="4"/>
      <c r="G741" s="4"/>
    </row>
    <row r="742">
      <c r="A742" s="4"/>
      <c r="B742" s="4"/>
      <c r="C742" s="4"/>
      <c r="D742" s="4"/>
      <c r="E742" s="4"/>
      <c r="F742" s="4"/>
      <c r="G742" s="4"/>
    </row>
    <row r="743">
      <c r="A743" s="4"/>
      <c r="B743" s="4"/>
      <c r="C743" s="4"/>
      <c r="D743" s="4"/>
      <c r="E743" s="4"/>
      <c r="F743" s="4"/>
      <c r="G743" s="4"/>
    </row>
    <row r="744">
      <c r="A744" s="4"/>
      <c r="B744" s="4"/>
      <c r="C744" s="4"/>
      <c r="D744" s="4"/>
      <c r="E744" s="4"/>
      <c r="F744" s="4"/>
      <c r="G744" s="4"/>
    </row>
    <row r="745">
      <c r="A745" s="4"/>
      <c r="B745" s="4"/>
      <c r="C745" s="4"/>
      <c r="D745" s="4"/>
      <c r="E745" s="4"/>
      <c r="F745" s="4"/>
      <c r="G745" s="4"/>
    </row>
    <row r="746">
      <c r="A746" s="4"/>
      <c r="B746" s="4"/>
      <c r="C746" s="4"/>
      <c r="D746" s="4"/>
      <c r="E746" s="4"/>
      <c r="F746" s="4"/>
      <c r="G746" s="4"/>
    </row>
    <row r="747">
      <c r="A747" s="4"/>
      <c r="B747" s="4"/>
      <c r="C747" s="4"/>
      <c r="D747" s="4"/>
      <c r="E747" s="4"/>
      <c r="F747" s="4"/>
      <c r="G747" s="4"/>
    </row>
    <row r="748">
      <c r="A748" s="4"/>
      <c r="B748" s="4"/>
      <c r="C748" s="4"/>
      <c r="D748" s="4"/>
      <c r="E748" s="4"/>
      <c r="F748" s="4"/>
      <c r="G748" s="4"/>
    </row>
    <row r="749">
      <c r="A749" s="4"/>
      <c r="B749" s="4"/>
      <c r="C749" s="4"/>
      <c r="D749" s="4"/>
      <c r="E749" s="4"/>
      <c r="F749" s="4"/>
      <c r="G749" s="4"/>
    </row>
    <row r="750">
      <c r="A750" s="4"/>
      <c r="B750" s="4"/>
      <c r="C750" s="4"/>
      <c r="D750" s="4"/>
      <c r="E750" s="4"/>
      <c r="F750" s="4"/>
      <c r="G750" s="4"/>
    </row>
    <row r="751">
      <c r="A751" s="4"/>
      <c r="B751" s="4"/>
      <c r="C751" s="4"/>
      <c r="D751" s="4"/>
      <c r="E751" s="4"/>
      <c r="F751" s="4"/>
      <c r="G751" s="4"/>
    </row>
    <row r="752">
      <c r="A752" s="4"/>
      <c r="B752" s="4"/>
      <c r="C752" s="4"/>
      <c r="D752" s="4"/>
      <c r="E752" s="4"/>
      <c r="F752" s="4"/>
      <c r="G752" s="4"/>
    </row>
    <row r="753">
      <c r="A753" s="4"/>
      <c r="B753" s="4"/>
      <c r="C753" s="4"/>
      <c r="D753" s="4"/>
      <c r="E753" s="4"/>
      <c r="F753" s="4"/>
      <c r="G753" s="4"/>
    </row>
    <row r="754">
      <c r="A754" s="4"/>
      <c r="B754" s="4"/>
      <c r="C754" s="4"/>
      <c r="D754" s="4"/>
      <c r="E754" s="4"/>
      <c r="F754" s="4"/>
      <c r="G754" s="4"/>
    </row>
    <row r="755">
      <c r="A755" s="4"/>
      <c r="B755" s="4"/>
      <c r="C755" s="4"/>
      <c r="D755" s="4"/>
      <c r="E755" s="4"/>
      <c r="F755" s="4"/>
      <c r="G755" s="4"/>
    </row>
    <row r="756">
      <c r="A756" s="4"/>
      <c r="B756" s="4"/>
      <c r="C756" s="4"/>
      <c r="D756" s="4"/>
      <c r="E756" s="4"/>
      <c r="F756" s="4"/>
      <c r="G756" s="4"/>
    </row>
    <row r="757">
      <c r="A757" s="4"/>
      <c r="B757" s="4"/>
      <c r="C757" s="4"/>
      <c r="D757" s="4"/>
      <c r="E757" s="4"/>
      <c r="F757" s="4"/>
      <c r="G757" s="4"/>
    </row>
    <row r="758">
      <c r="A758" s="4"/>
      <c r="B758" s="4"/>
      <c r="C758" s="4"/>
      <c r="D758" s="4"/>
      <c r="E758" s="4"/>
      <c r="F758" s="4"/>
      <c r="G758" s="4"/>
    </row>
    <row r="759">
      <c r="A759" s="4"/>
      <c r="B759" s="4"/>
      <c r="C759" s="4"/>
      <c r="D759" s="4"/>
      <c r="E759" s="4"/>
      <c r="F759" s="4"/>
      <c r="G759" s="4"/>
    </row>
    <row r="760">
      <c r="A760" s="4"/>
      <c r="B760" s="4"/>
      <c r="C760" s="4"/>
      <c r="D760" s="4"/>
      <c r="E760" s="4"/>
      <c r="F760" s="4"/>
      <c r="G760" s="4"/>
    </row>
    <row r="761">
      <c r="A761" s="4"/>
      <c r="B761" s="4"/>
      <c r="C761" s="4"/>
      <c r="D761" s="4"/>
      <c r="E761" s="4"/>
      <c r="F761" s="4"/>
      <c r="G761" s="4"/>
    </row>
    <row r="762">
      <c r="A762" s="4"/>
      <c r="B762" s="4"/>
      <c r="C762" s="4"/>
      <c r="D762" s="4"/>
      <c r="E762" s="4"/>
      <c r="F762" s="4"/>
      <c r="G762" s="4"/>
    </row>
    <row r="763">
      <c r="A763" s="4"/>
      <c r="B763" s="4"/>
      <c r="C763" s="4"/>
      <c r="D763" s="4"/>
      <c r="E763" s="4"/>
      <c r="F763" s="4"/>
      <c r="G763" s="4"/>
    </row>
    <row r="764">
      <c r="A764" s="4"/>
      <c r="B764" s="4"/>
      <c r="C764" s="4"/>
      <c r="D764" s="4"/>
      <c r="E764" s="4"/>
      <c r="F764" s="4"/>
      <c r="G764" s="4"/>
    </row>
    <row r="765">
      <c r="A765" s="4"/>
      <c r="B765" s="4"/>
      <c r="C765" s="4"/>
      <c r="D765" s="4"/>
      <c r="E765" s="4"/>
      <c r="F765" s="4"/>
      <c r="G765" s="4"/>
    </row>
    <row r="766">
      <c r="A766" s="4"/>
      <c r="B766" s="4"/>
      <c r="C766" s="4"/>
      <c r="D766" s="4"/>
      <c r="E766" s="4"/>
      <c r="F766" s="4"/>
      <c r="G766" s="4"/>
    </row>
    <row r="767">
      <c r="A767" s="4"/>
      <c r="B767" s="4"/>
      <c r="C767" s="4"/>
      <c r="D767" s="4"/>
      <c r="E767" s="4"/>
      <c r="F767" s="4"/>
      <c r="G767" s="4"/>
    </row>
    <row r="768">
      <c r="A768" s="4"/>
      <c r="B768" s="4"/>
      <c r="C768" s="4"/>
      <c r="D768" s="4"/>
      <c r="E768" s="4"/>
      <c r="F768" s="4"/>
      <c r="G768" s="4"/>
    </row>
    <row r="769">
      <c r="A769" s="4"/>
      <c r="B769" s="4"/>
      <c r="C769" s="4"/>
      <c r="D769" s="4"/>
      <c r="E769" s="4"/>
      <c r="F769" s="4"/>
      <c r="G769" s="4"/>
    </row>
    <row r="770">
      <c r="A770" s="4"/>
      <c r="B770" s="4"/>
      <c r="C770" s="4"/>
      <c r="D770" s="4"/>
      <c r="E770" s="4"/>
      <c r="F770" s="4"/>
      <c r="G770" s="4"/>
    </row>
    <row r="771">
      <c r="A771" s="4"/>
      <c r="B771" s="4"/>
      <c r="C771" s="4"/>
      <c r="D771" s="4"/>
      <c r="E771" s="4"/>
      <c r="F771" s="4"/>
      <c r="G771" s="4"/>
    </row>
    <row r="772">
      <c r="A772" s="4"/>
      <c r="B772" s="4"/>
      <c r="C772" s="4"/>
      <c r="D772" s="4"/>
      <c r="E772" s="4"/>
      <c r="F772" s="4"/>
      <c r="G772" s="4"/>
    </row>
    <row r="773">
      <c r="A773" s="4"/>
      <c r="B773" s="4"/>
      <c r="C773" s="4"/>
      <c r="D773" s="4"/>
      <c r="E773" s="4"/>
      <c r="F773" s="4"/>
      <c r="G773" s="4"/>
    </row>
    <row r="774">
      <c r="A774" s="4"/>
      <c r="B774" s="4"/>
      <c r="C774" s="4"/>
      <c r="D774" s="4"/>
      <c r="E774" s="4"/>
      <c r="F774" s="4"/>
      <c r="G774" s="4"/>
    </row>
    <row r="775">
      <c r="A775" s="4"/>
      <c r="B775" s="4"/>
      <c r="C775" s="4"/>
      <c r="D775" s="4"/>
      <c r="E775" s="4"/>
      <c r="F775" s="4"/>
      <c r="G775" s="4"/>
    </row>
    <row r="776">
      <c r="A776" s="4"/>
      <c r="B776" s="4"/>
      <c r="C776" s="4"/>
      <c r="D776" s="4"/>
      <c r="E776" s="4"/>
      <c r="F776" s="4"/>
      <c r="G776" s="4"/>
    </row>
    <row r="777">
      <c r="A777" s="4"/>
      <c r="B777" s="4"/>
      <c r="C777" s="4"/>
      <c r="D777" s="4"/>
      <c r="E777" s="4"/>
      <c r="F777" s="4"/>
      <c r="G777" s="4"/>
    </row>
    <row r="778">
      <c r="A778" s="4"/>
      <c r="B778" s="4"/>
      <c r="C778" s="4"/>
      <c r="D778" s="4"/>
      <c r="E778" s="4"/>
      <c r="F778" s="4"/>
      <c r="G778" s="4"/>
    </row>
    <row r="779">
      <c r="A779" s="4"/>
      <c r="B779" s="4"/>
      <c r="C779" s="4"/>
      <c r="D779" s="4"/>
      <c r="E779" s="4"/>
      <c r="F779" s="4"/>
      <c r="G779" s="4"/>
    </row>
    <row r="780">
      <c r="A780" s="4"/>
      <c r="B780" s="4"/>
      <c r="C780" s="4"/>
      <c r="D780" s="4"/>
      <c r="E780" s="4"/>
      <c r="F780" s="4"/>
      <c r="G780" s="4"/>
    </row>
    <row r="781">
      <c r="A781" s="4"/>
      <c r="B781" s="4"/>
      <c r="C781" s="4"/>
      <c r="D781" s="4"/>
      <c r="E781" s="4"/>
      <c r="F781" s="4"/>
      <c r="G781" s="4"/>
    </row>
    <row r="782">
      <c r="A782" s="4"/>
      <c r="B782" s="4"/>
      <c r="C782" s="4"/>
      <c r="D782" s="4"/>
      <c r="E782" s="4"/>
      <c r="F782" s="4"/>
      <c r="G782" s="4"/>
    </row>
    <row r="783">
      <c r="A783" s="4"/>
      <c r="B783" s="4"/>
      <c r="C783" s="4"/>
      <c r="D783" s="4"/>
      <c r="E783" s="4"/>
      <c r="F783" s="4"/>
      <c r="G783" s="4"/>
    </row>
    <row r="784">
      <c r="A784" s="4"/>
      <c r="B784" s="4"/>
      <c r="C784" s="4"/>
      <c r="D784" s="4"/>
      <c r="E784" s="4"/>
      <c r="F784" s="4"/>
      <c r="G784" s="4"/>
    </row>
    <row r="785">
      <c r="A785" s="4"/>
      <c r="B785" s="4"/>
      <c r="C785" s="4"/>
      <c r="D785" s="4"/>
      <c r="E785" s="4"/>
      <c r="F785" s="4"/>
      <c r="G785" s="4"/>
    </row>
    <row r="786">
      <c r="A786" s="4"/>
      <c r="B786" s="4"/>
      <c r="C786" s="4"/>
      <c r="D786" s="4"/>
      <c r="E786" s="4"/>
      <c r="F786" s="4"/>
      <c r="G786" s="4"/>
    </row>
    <row r="787">
      <c r="A787" s="4"/>
      <c r="B787" s="4"/>
      <c r="C787" s="4"/>
      <c r="D787" s="4"/>
      <c r="E787" s="4"/>
      <c r="F787" s="4"/>
      <c r="G787" s="4"/>
    </row>
    <row r="788">
      <c r="A788" s="4"/>
      <c r="B788" s="4"/>
      <c r="C788" s="4"/>
      <c r="D788" s="4"/>
      <c r="E788" s="4"/>
      <c r="F788" s="4"/>
      <c r="G788" s="4"/>
    </row>
    <row r="789">
      <c r="A789" s="4"/>
      <c r="B789" s="4"/>
      <c r="C789" s="4"/>
      <c r="D789" s="4"/>
      <c r="E789" s="4"/>
      <c r="F789" s="4"/>
      <c r="G789" s="4"/>
    </row>
    <row r="790">
      <c r="A790" s="4"/>
      <c r="B790" s="4"/>
      <c r="C790" s="4"/>
      <c r="D790" s="4"/>
      <c r="E790" s="4"/>
      <c r="F790" s="4"/>
      <c r="G790" s="4"/>
    </row>
    <row r="791">
      <c r="A791" s="4"/>
      <c r="B791" s="4"/>
      <c r="C791" s="4"/>
      <c r="D791" s="4"/>
      <c r="E791" s="4"/>
      <c r="F791" s="4"/>
      <c r="G791" s="4"/>
    </row>
    <row r="792">
      <c r="A792" s="4"/>
      <c r="B792" s="4"/>
      <c r="C792" s="4"/>
      <c r="D792" s="4"/>
      <c r="E792" s="4"/>
      <c r="F792" s="4"/>
      <c r="G792" s="4"/>
    </row>
    <row r="793">
      <c r="A793" s="4"/>
      <c r="B793" s="4"/>
      <c r="C793" s="4"/>
      <c r="D793" s="4"/>
      <c r="E793" s="4"/>
      <c r="F793" s="4"/>
      <c r="G793" s="4"/>
    </row>
    <row r="794">
      <c r="A794" s="4"/>
      <c r="B794" s="4"/>
      <c r="C794" s="4"/>
      <c r="D794" s="4"/>
      <c r="E794" s="4"/>
      <c r="F794" s="4"/>
      <c r="G794" s="4"/>
    </row>
    <row r="795">
      <c r="A795" s="4"/>
      <c r="B795" s="4"/>
      <c r="C795" s="4"/>
      <c r="D795" s="4"/>
      <c r="E795" s="4"/>
      <c r="F795" s="4"/>
      <c r="G795" s="4"/>
    </row>
    <row r="796">
      <c r="A796" s="4"/>
      <c r="B796" s="4"/>
      <c r="C796" s="4"/>
      <c r="D796" s="4"/>
      <c r="E796" s="4"/>
      <c r="F796" s="4"/>
      <c r="G796" s="4"/>
    </row>
    <row r="797">
      <c r="A797" s="4"/>
      <c r="B797" s="4"/>
      <c r="C797" s="4"/>
      <c r="D797" s="4"/>
      <c r="E797" s="4"/>
      <c r="F797" s="4"/>
      <c r="G797" s="4"/>
    </row>
    <row r="798">
      <c r="A798" s="4"/>
      <c r="B798" s="4"/>
      <c r="C798" s="4"/>
      <c r="D798" s="4"/>
      <c r="E798" s="4"/>
      <c r="F798" s="4"/>
      <c r="G798" s="4"/>
    </row>
    <row r="799">
      <c r="A799" s="4"/>
      <c r="B799" s="4"/>
      <c r="C799" s="4"/>
      <c r="D799" s="4"/>
      <c r="E799" s="4"/>
      <c r="F799" s="4"/>
      <c r="G799" s="4"/>
    </row>
    <row r="800">
      <c r="A800" s="4"/>
      <c r="B800" s="4"/>
      <c r="C800" s="4"/>
      <c r="D800" s="4"/>
      <c r="E800" s="4"/>
      <c r="F800" s="4"/>
      <c r="G800" s="4"/>
    </row>
    <row r="801">
      <c r="A801" s="4"/>
      <c r="B801" s="4"/>
      <c r="C801" s="4"/>
      <c r="D801" s="4"/>
      <c r="E801" s="4"/>
      <c r="F801" s="4"/>
      <c r="G801" s="4"/>
    </row>
    <row r="802">
      <c r="A802" s="4"/>
      <c r="B802" s="4"/>
      <c r="C802" s="4"/>
      <c r="D802" s="4"/>
      <c r="E802" s="4"/>
      <c r="F802" s="4"/>
      <c r="G802" s="4"/>
    </row>
    <row r="803">
      <c r="A803" s="4"/>
      <c r="B803" s="4"/>
      <c r="C803" s="4"/>
      <c r="D803" s="4"/>
      <c r="E803" s="4"/>
      <c r="F803" s="4"/>
      <c r="G803" s="4"/>
    </row>
    <row r="804">
      <c r="A804" s="4"/>
      <c r="B804" s="4"/>
      <c r="C804" s="4"/>
      <c r="D804" s="4"/>
      <c r="E804" s="4"/>
      <c r="F804" s="4"/>
      <c r="G804" s="4"/>
    </row>
    <row r="805">
      <c r="A805" s="4"/>
      <c r="B805" s="4"/>
      <c r="C805" s="4"/>
      <c r="D805" s="4"/>
      <c r="E805" s="4"/>
      <c r="F805" s="4"/>
      <c r="G805" s="4"/>
    </row>
    <row r="806">
      <c r="A806" s="4"/>
      <c r="B806" s="4"/>
      <c r="C806" s="4"/>
      <c r="D806" s="4"/>
      <c r="E806" s="4"/>
      <c r="F806" s="4"/>
      <c r="G806" s="4"/>
    </row>
    <row r="807">
      <c r="A807" s="4"/>
      <c r="B807" s="4"/>
      <c r="C807" s="4"/>
      <c r="D807" s="4"/>
      <c r="E807" s="4"/>
      <c r="F807" s="4"/>
      <c r="G807" s="4"/>
    </row>
    <row r="808">
      <c r="A808" s="4"/>
      <c r="B808" s="4"/>
      <c r="C808" s="4"/>
      <c r="D808" s="4"/>
      <c r="E808" s="4"/>
      <c r="F808" s="4"/>
      <c r="G808" s="4"/>
    </row>
    <row r="809">
      <c r="A809" s="4"/>
      <c r="B809" s="4"/>
      <c r="C809" s="4"/>
      <c r="D809" s="4"/>
      <c r="E809" s="4"/>
      <c r="F809" s="4"/>
      <c r="G809" s="4"/>
    </row>
    <row r="810">
      <c r="A810" s="4"/>
      <c r="B810" s="4"/>
      <c r="C810" s="4"/>
      <c r="D810" s="4"/>
      <c r="E810" s="4"/>
      <c r="F810" s="4"/>
      <c r="G810" s="4"/>
    </row>
    <row r="811">
      <c r="A811" s="4"/>
      <c r="B811" s="4"/>
      <c r="C811" s="4"/>
      <c r="D811" s="4"/>
      <c r="E811" s="4"/>
      <c r="F811" s="4"/>
      <c r="G811" s="4"/>
    </row>
    <row r="812">
      <c r="A812" s="4"/>
      <c r="B812" s="4"/>
      <c r="C812" s="4"/>
      <c r="D812" s="4"/>
      <c r="E812" s="4"/>
      <c r="F812" s="4"/>
      <c r="G812" s="4"/>
    </row>
    <row r="813">
      <c r="A813" s="4"/>
      <c r="B813" s="4"/>
      <c r="C813" s="4"/>
      <c r="D813" s="4"/>
      <c r="E813" s="4"/>
      <c r="F813" s="4"/>
      <c r="G813" s="4"/>
    </row>
    <row r="814">
      <c r="A814" s="4"/>
      <c r="B814" s="4"/>
      <c r="C814" s="4"/>
      <c r="D814" s="4"/>
      <c r="E814" s="4"/>
      <c r="F814" s="4"/>
      <c r="G814" s="4"/>
    </row>
    <row r="815">
      <c r="A815" s="4"/>
      <c r="B815" s="4"/>
      <c r="C815" s="4"/>
      <c r="D815" s="4"/>
      <c r="E815" s="4"/>
      <c r="F815" s="4"/>
      <c r="G815" s="4"/>
    </row>
    <row r="816">
      <c r="A816" s="4"/>
      <c r="B816" s="4"/>
      <c r="C816" s="4"/>
      <c r="D816" s="4"/>
      <c r="E816" s="4"/>
      <c r="F816" s="4"/>
      <c r="G816" s="4"/>
    </row>
    <row r="817">
      <c r="A817" s="4"/>
      <c r="B817" s="4"/>
      <c r="C817" s="4"/>
      <c r="D817" s="4"/>
      <c r="E817" s="4"/>
      <c r="F817" s="4"/>
      <c r="G817" s="4"/>
    </row>
    <row r="818">
      <c r="A818" s="4"/>
      <c r="B818" s="4"/>
      <c r="C818" s="4"/>
      <c r="D818" s="4"/>
      <c r="E818" s="4"/>
      <c r="F818" s="4"/>
      <c r="G818" s="4"/>
    </row>
    <row r="819">
      <c r="A819" s="4"/>
      <c r="B819" s="4"/>
      <c r="C819" s="4"/>
      <c r="D819" s="4"/>
      <c r="E819" s="4"/>
      <c r="F819" s="4"/>
      <c r="G819" s="4"/>
    </row>
    <row r="820">
      <c r="A820" s="4"/>
      <c r="B820" s="4"/>
      <c r="C820" s="4"/>
      <c r="D820" s="4"/>
      <c r="E820" s="4"/>
      <c r="F820" s="4"/>
      <c r="G820" s="4"/>
    </row>
    <row r="821">
      <c r="A821" s="4"/>
      <c r="B821" s="4"/>
      <c r="C821" s="4"/>
      <c r="D821" s="4"/>
      <c r="E821" s="4"/>
      <c r="F821" s="4"/>
      <c r="G821" s="4"/>
    </row>
    <row r="822">
      <c r="A822" s="4"/>
      <c r="B822" s="4"/>
      <c r="C822" s="4"/>
      <c r="D822" s="4"/>
      <c r="E822" s="4"/>
      <c r="F822" s="4"/>
      <c r="G822" s="4"/>
    </row>
    <row r="823">
      <c r="A823" s="4"/>
      <c r="B823" s="4"/>
      <c r="C823" s="4"/>
      <c r="D823" s="4"/>
      <c r="E823" s="4"/>
      <c r="F823" s="4"/>
      <c r="G823" s="4"/>
    </row>
    <row r="824">
      <c r="A824" s="4"/>
      <c r="B824" s="4"/>
      <c r="C824" s="4"/>
      <c r="D824" s="4"/>
      <c r="E824" s="4"/>
      <c r="F824" s="4"/>
      <c r="G824" s="4"/>
    </row>
    <row r="825">
      <c r="A825" s="4"/>
      <c r="B825" s="4"/>
      <c r="C825" s="4"/>
      <c r="D825" s="4"/>
      <c r="E825" s="4"/>
      <c r="F825" s="4"/>
      <c r="G825" s="4"/>
    </row>
    <row r="826">
      <c r="A826" s="4"/>
      <c r="B826" s="4"/>
      <c r="C826" s="4"/>
      <c r="D826" s="4"/>
      <c r="E826" s="4"/>
      <c r="F826" s="4"/>
      <c r="G826" s="4"/>
    </row>
    <row r="827">
      <c r="A827" s="4"/>
      <c r="B827" s="4"/>
      <c r="C827" s="4"/>
      <c r="D827" s="4"/>
      <c r="E827" s="4"/>
      <c r="F827" s="4"/>
      <c r="G827" s="4"/>
    </row>
    <row r="828">
      <c r="A828" s="4"/>
      <c r="B828" s="4"/>
      <c r="C828" s="4"/>
      <c r="D828" s="4"/>
      <c r="E828" s="4"/>
      <c r="F828" s="4"/>
      <c r="G828" s="4"/>
    </row>
    <row r="829">
      <c r="A829" s="4"/>
      <c r="B829" s="4"/>
      <c r="C829" s="4"/>
      <c r="D829" s="4"/>
      <c r="E829" s="4"/>
      <c r="F829" s="4"/>
      <c r="G829" s="4"/>
    </row>
    <row r="830">
      <c r="A830" s="4"/>
      <c r="B830" s="4"/>
      <c r="C830" s="4"/>
      <c r="D830" s="4"/>
      <c r="E830" s="4"/>
      <c r="F830" s="4"/>
      <c r="G830" s="4"/>
    </row>
    <row r="831">
      <c r="A831" s="4"/>
      <c r="B831" s="4"/>
      <c r="C831" s="4"/>
      <c r="D831" s="4"/>
      <c r="E831" s="4"/>
      <c r="F831" s="4"/>
      <c r="G831" s="4"/>
    </row>
    <row r="832">
      <c r="A832" s="4"/>
      <c r="B832" s="4"/>
      <c r="C832" s="4"/>
      <c r="D832" s="4"/>
      <c r="E832" s="4"/>
      <c r="F832" s="4"/>
      <c r="G832" s="4"/>
    </row>
    <row r="833">
      <c r="A833" s="4"/>
      <c r="B833" s="4"/>
      <c r="C833" s="4"/>
      <c r="D833" s="4"/>
      <c r="E833" s="4"/>
      <c r="F833" s="4"/>
      <c r="G833" s="4"/>
    </row>
    <row r="834">
      <c r="A834" s="4"/>
      <c r="B834" s="4"/>
      <c r="C834" s="4"/>
      <c r="D834" s="4"/>
      <c r="E834" s="4"/>
      <c r="F834" s="4"/>
      <c r="G834" s="4"/>
    </row>
    <row r="835">
      <c r="A835" s="4"/>
      <c r="B835" s="4"/>
      <c r="C835" s="4"/>
      <c r="D835" s="4"/>
      <c r="E835" s="4"/>
      <c r="F835" s="4"/>
      <c r="G835" s="4"/>
    </row>
    <row r="836">
      <c r="A836" s="4"/>
      <c r="B836" s="4"/>
      <c r="C836" s="4"/>
      <c r="D836" s="4"/>
      <c r="E836" s="4"/>
      <c r="F836" s="4"/>
      <c r="G836" s="4"/>
    </row>
    <row r="837">
      <c r="A837" s="4"/>
      <c r="B837" s="4"/>
      <c r="C837" s="4"/>
      <c r="D837" s="4"/>
      <c r="E837" s="4"/>
      <c r="F837" s="4"/>
      <c r="G837" s="4"/>
    </row>
    <row r="838">
      <c r="A838" s="4"/>
      <c r="B838" s="4"/>
      <c r="C838" s="4"/>
      <c r="D838" s="4"/>
      <c r="E838" s="4"/>
      <c r="F838" s="4"/>
      <c r="G838" s="4"/>
    </row>
    <row r="839">
      <c r="A839" s="4"/>
      <c r="B839" s="4"/>
      <c r="C839" s="4"/>
      <c r="D839" s="4"/>
      <c r="E839" s="4"/>
      <c r="F839" s="4"/>
      <c r="G839" s="4"/>
    </row>
    <row r="840">
      <c r="A840" s="4"/>
      <c r="B840" s="4"/>
      <c r="C840" s="4"/>
      <c r="D840" s="4"/>
      <c r="E840" s="4"/>
      <c r="F840" s="4"/>
      <c r="G840" s="4"/>
    </row>
    <row r="841">
      <c r="A841" s="4"/>
      <c r="B841" s="4"/>
      <c r="C841" s="4"/>
      <c r="D841" s="4"/>
      <c r="E841" s="4"/>
      <c r="F841" s="4"/>
      <c r="G841" s="4"/>
    </row>
    <row r="842">
      <c r="A842" s="4"/>
      <c r="B842" s="4"/>
      <c r="C842" s="4"/>
      <c r="D842" s="4"/>
      <c r="E842" s="4"/>
      <c r="F842" s="4"/>
      <c r="G842" s="4"/>
    </row>
    <row r="843">
      <c r="A843" s="4"/>
      <c r="B843" s="4"/>
      <c r="C843" s="4"/>
      <c r="D843" s="4"/>
      <c r="E843" s="4"/>
      <c r="F843" s="4"/>
      <c r="G843" s="4"/>
    </row>
    <row r="844">
      <c r="A844" s="4"/>
      <c r="B844" s="4"/>
      <c r="C844" s="4"/>
      <c r="D844" s="4"/>
      <c r="E844" s="4"/>
      <c r="F844" s="4"/>
      <c r="G844" s="4"/>
    </row>
    <row r="845">
      <c r="A845" s="4"/>
      <c r="B845" s="4"/>
      <c r="C845" s="4"/>
      <c r="D845" s="4"/>
      <c r="E845" s="4"/>
      <c r="F845" s="4"/>
      <c r="G845" s="4"/>
    </row>
    <row r="846">
      <c r="A846" s="4"/>
      <c r="B846" s="4"/>
      <c r="C846" s="4"/>
      <c r="D846" s="4"/>
      <c r="E846" s="4"/>
      <c r="F846" s="4"/>
      <c r="G846" s="4"/>
    </row>
    <row r="847">
      <c r="A847" s="4"/>
      <c r="B847" s="4"/>
      <c r="C847" s="4"/>
      <c r="D847" s="4"/>
      <c r="E847" s="4"/>
      <c r="F847" s="4"/>
      <c r="G847" s="4"/>
    </row>
    <row r="848">
      <c r="A848" s="4"/>
      <c r="B848" s="4"/>
      <c r="C848" s="4"/>
      <c r="D848" s="4"/>
      <c r="E848" s="4"/>
      <c r="F848" s="4"/>
      <c r="G848" s="4"/>
    </row>
    <row r="849">
      <c r="A849" s="4"/>
      <c r="B849" s="4"/>
      <c r="C849" s="4"/>
      <c r="D849" s="4"/>
      <c r="E849" s="4"/>
      <c r="F849" s="4"/>
      <c r="G849" s="4"/>
    </row>
    <row r="850">
      <c r="A850" s="4"/>
      <c r="B850" s="4"/>
      <c r="C850" s="4"/>
      <c r="D850" s="4"/>
      <c r="E850" s="4"/>
      <c r="F850" s="4"/>
      <c r="G850" s="4"/>
    </row>
    <row r="851">
      <c r="A851" s="4"/>
      <c r="B851" s="4"/>
      <c r="C851" s="4"/>
      <c r="D851" s="4"/>
      <c r="E851" s="4"/>
      <c r="F851" s="4"/>
      <c r="G851" s="4"/>
    </row>
    <row r="852">
      <c r="A852" s="4"/>
      <c r="B852" s="4"/>
      <c r="C852" s="4"/>
      <c r="D852" s="4"/>
      <c r="E852" s="4"/>
      <c r="F852" s="4"/>
      <c r="G852" s="4"/>
    </row>
    <row r="853">
      <c r="A853" s="4"/>
      <c r="B853" s="4"/>
      <c r="C853" s="4"/>
      <c r="D853" s="4"/>
      <c r="E853" s="4"/>
      <c r="F853" s="4"/>
      <c r="G853" s="4"/>
    </row>
    <row r="854">
      <c r="A854" s="4"/>
      <c r="B854" s="4"/>
      <c r="C854" s="4"/>
      <c r="D854" s="4"/>
      <c r="E854" s="4"/>
      <c r="F854" s="4"/>
      <c r="G854" s="4"/>
    </row>
    <row r="855">
      <c r="A855" s="4"/>
      <c r="B855" s="4"/>
      <c r="C855" s="4"/>
      <c r="D855" s="4"/>
      <c r="E855" s="4"/>
      <c r="F855" s="4"/>
      <c r="G855" s="4"/>
    </row>
    <row r="856">
      <c r="A856" s="4"/>
      <c r="B856" s="4"/>
      <c r="C856" s="4"/>
      <c r="D856" s="4"/>
      <c r="E856" s="4"/>
      <c r="F856" s="4"/>
      <c r="G856" s="4"/>
    </row>
    <row r="857">
      <c r="A857" s="4"/>
      <c r="B857" s="4"/>
      <c r="C857" s="4"/>
      <c r="D857" s="4"/>
      <c r="E857" s="4"/>
      <c r="F857" s="4"/>
      <c r="G857" s="4"/>
    </row>
    <row r="858">
      <c r="A858" s="4"/>
      <c r="B858" s="4"/>
      <c r="C858" s="4"/>
      <c r="D858" s="4"/>
      <c r="E858" s="4"/>
      <c r="F858" s="4"/>
      <c r="G858" s="4"/>
    </row>
    <row r="859">
      <c r="A859" s="4"/>
      <c r="B859" s="4"/>
      <c r="C859" s="4"/>
      <c r="D859" s="4"/>
      <c r="E859" s="4"/>
      <c r="F859" s="4"/>
      <c r="G859" s="4"/>
    </row>
    <row r="860">
      <c r="A860" s="4"/>
      <c r="B860" s="4"/>
      <c r="C860" s="4"/>
      <c r="D860" s="4"/>
      <c r="E860" s="4"/>
      <c r="F860" s="4"/>
      <c r="G860" s="4"/>
    </row>
    <row r="861">
      <c r="A861" s="4"/>
      <c r="B861" s="4"/>
      <c r="C861" s="4"/>
      <c r="D861" s="4"/>
      <c r="E861" s="4"/>
      <c r="F861" s="4"/>
      <c r="G861" s="4"/>
    </row>
    <row r="862">
      <c r="A862" s="4"/>
      <c r="B862" s="4"/>
      <c r="C862" s="4"/>
      <c r="D862" s="4"/>
      <c r="E862" s="4"/>
      <c r="F862" s="4"/>
      <c r="G862" s="4"/>
    </row>
    <row r="863">
      <c r="A863" s="4"/>
      <c r="B863" s="4"/>
      <c r="C863" s="4"/>
      <c r="D863" s="4"/>
      <c r="E863" s="4"/>
      <c r="F863" s="4"/>
      <c r="G863" s="4"/>
    </row>
    <row r="864">
      <c r="A864" s="4"/>
      <c r="B864" s="4"/>
      <c r="C864" s="4"/>
      <c r="D864" s="4"/>
      <c r="E864" s="4"/>
      <c r="F864" s="4"/>
      <c r="G864" s="4"/>
    </row>
    <row r="865">
      <c r="A865" s="4"/>
      <c r="B865" s="4"/>
      <c r="C865" s="4"/>
      <c r="D865" s="4"/>
      <c r="E865" s="4"/>
      <c r="F865" s="4"/>
      <c r="G865" s="4"/>
    </row>
    <row r="866">
      <c r="A866" s="4"/>
      <c r="B866" s="4"/>
      <c r="C866" s="4"/>
      <c r="D866" s="4"/>
      <c r="E866" s="4"/>
      <c r="F866" s="4"/>
      <c r="G866" s="4"/>
    </row>
    <row r="867">
      <c r="A867" s="4"/>
      <c r="B867" s="4"/>
      <c r="C867" s="4"/>
      <c r="D867" s="4"/>
      <c r="E867" s="4"/>
      <c r="F867" s="4"/>
      <c r="G867" s="4"/>
    </row>
    <row r="868">
      <c r="A868" s="4"/>
      <c r="B868" s="4"/>
      <c r="C868" s="4"/>
      <c r="D868" s="4"/>
      <c r="E868" s="4"/>
      <c r="F868" s="4"/>
      <c r="G868" s="4"/>
    </row>
    <row r="869">
      <c r="A869" s="4"/>
      <c r="B869" s="4"/>
      <c r="C869" s="4"/>
      <c r="D869" s="4"/>
      <c r="E869" s="4"/>
      <c r="F869" s="4"/>
      <c r="G869" s="4"/>
    </row>
    <row r="870">
      <c r="A870" s="4"/>
      <c r="B870" s="4"/>
      <c r="C870" s="4"/>
      <c r="D870" s="4"/>
      <c r="E870" s="4"/>
      <c r="F870" s="4"/>
      <c r="G870" s="4"/>
    </row>
    <row r="871">
      <c r="A871" s="4"/>
      <c r="B871" s="4"/>
      <c r="C871" s="4"/>
      <c r="D871" s="4"/>
      <c r="E871" s="4"/>
      <c r="F871" s="4"/>
      <c r="G871" s="4"/>
    </row>
    <row r="872">
      <c r="A872" s="4"/>
      <c r="B872" s="4"/>
      <c r="C872" s="4"/>
      <c r="D872" s="4"/>
      <c r="E872" s="4"/>
      <c r="F872" s="4"/>
      <c r="G872" s="4"/>
    </row>
    <row r="873">
      <c r="A873" s="4"/>
      <c r="B873" s="4"/>
      <c r="C873" s="4"/>
      <c r="D873" s="4"/>
      <c r="E873" s="4"/>
      <c r="F873" s="4"/>
      <c r="G873" s="4"/>
    </row>
    <row r="874">
      <c r="A874" s="4"/>
      <c r="B874" s="4"/>
      <c r="C874" s="4"/>
      <c r="D874" s="4"/>
      <c r="E874" s="4"/>
      <c r="F874" s="4"/>
      <c r="G874" s="4"/>
    </row>
    <row r="875">
      <c r="A875" s="4"/>
      <c r="B875" s="4"/>
      <c r="C875" s="4"/>
      <c r="D875" s="4"/>
      <c r="E875" s="4"/>
      <c r="F875" s="4"/>
      <c r="G875" s="4"/>
    </row>
    <row r="876">
      <c r="A876" s="4"/>
      <c r="B876" s="4"/>
      <c r="C876" s="4"/>
      <c r="D876" s="4"/>
      <c r="E876" s="4"/>
      <c r="F876" s="4"/>
      <c r="G876" s="4"/>
    </row>
    <row r="877">
      <c r="A877" s="4"/>
      <c r="B877" s="4"/>
      <c r="C877" s="4"/>
      <c r="D877" s="4"/>
      <c r="E877" s="4"/>
      <c r="F877" s="4"/>
      <c r="G877" s="4"/>
    </row>
    <row r="878">
      <c r="A878" s="4"/>
      <c r="B878" s="4"/>
      <c r="C878" s="4"/>
      <c r="D878" s="4"/>
      <c r="E878" s="4"/>
      <c r="F878" s="4"/>
      <c r="G878" s="4"/>
    </row>
    <row r="879">
      <c r="A879" s="4"/>
      <c r="B879" s="4"/>
      <c r="C879" s="4"/>
      <c r="D879" s="4"/>
      <c r="E879" s="4"/>
      <c r="F879" s="4"/>
      <c r="G879" s="4"/>
    </row>
    <row r="880">
      <c r="A880" s="4"/>
      <c r="B880" s="4"/>
      <c r="C880" s="4"/>
      <c r="D880" s="4"/>
      <c r="E880" s="4"/>
      <c r="F880" s="4"/>
      <c r="G880" s="4"/>
    </row>
    <row r="881">
      <c r="A881" s="4"/>
      <c r="B881" s="4"/>
      <c r="C881" s="4"/>
      <c r="D881" s="4"/>
      <c r="E881" s="4"/>
      <c r="F881" s="4"/>
      <c r="G881" s="4"/>
    </row>
    <row r="882">
      <c r="A882" s="4"/>
      <c r="B882" s="4"/>
      <c r="C882" s="4"/>
      <c r="D882" s="4"/>
      <c r="E882" s="4"/>
      <c r="F882" s="4"/>
      <c r="G882" s="4"/>
    </row>
    <row r="883">
      <c r="A883" s="4"/>
      <c r="B883" s="4"/>
      <c r="C883" s="4"/>
      <c r="D883" s="4"/>
      <c r="E883" s="4"/>
      <c r="F883" s="4"/>
      <c r="G883" s="4"/>
    </row>
    <row r="884">
      <c r="A884" s="4"/>
      <c r="B884" s="4"/>
      <c r="C884" s="4"/>
      <c r="D884" s="4"/>
      <c r="E884" s="4"/>
      <c r="F884" s="4"/>
      <c r="G884" s="4"/>
    </row>
    <row r="885">
      <c r="A885" s="4"/>
      <c r="B885" s="4"/>
      <c r="C885" s="4"/>
      <c r="D885" s="4"/>
      <c r="E885" s="4"/>
      <c r="F885" s="4"/>
      <c r="G885" s="4"/>
    </row>
    <row r="886">
      <c r="A886" s="4"/>
      <c r="B886" s="4"/>
      <c r="C886" s="4"/>
      <c r="D886" s="4"/>
      <c r="E886" s="4"/>
      <c r="F886" s="4"/>
      <c r="G886" s="4"/>
    </row>
    <row r="887">
      <c r="A887" s="4"/>
      <c r="B887" s="4"/>
      <c r="C887" s="4"/>
      <c r="D887" s="4"/>
      <c r="E887" s="4"/>
      <c r="F887" s="4"/>
      <c r="G887" s="4"/>
    </row>
    <row r="888">
      <c r="A888" s="4"/>
      <c r="B888" s="4"/>
      <c r="C888" s="4"/>
      <c r="D888" s="4"/>
      <c r="E888" s="4"/>
      <c r="F888" s="4"/>
      <c r="G888" s="4"/>
    </row>
    <row r="889">
      <c r="A889" s="4"/>
      <c r="B889" s="4"/>
      <c r="C889" s="4"/>
      <c r="D889" s="4"/>
      <c r="E889" s="4"/>
      <c r="F889" s="4"/>
      <c r="G889" s="4"/>
    </row>
    <row r="890">
      <c r="A890" s="4"/>
      <c r="B890" s="4"/>
      <c r="C890" s="4"/>
      <c r="D890" s="4"/>
      <c r="E890" s="4"/>
      <c r="F890" s="4"/>
      <c r="G890" s="4"/>
    </row>
    <row r="891">
      <c r="A891" s="4"/>
      <c r="B891" s="4"/>
      <c r="C891" s="4"/>
      <c r="D891" s="4"/>
      <c r="E891" s="4"/>
      <c r="F891" s="4"/>
      <c r="G891" s="4"/>
    </row>
    <row r="892">
      <c r="A892" s="4"/>
      <c r="B892" s="4"/>
      <c r="C892" s="4"/>
      <c r="D892" s="4"/>
      <c r="E892" s="4"/>
      <c r="F892" s="4"/>
      <c r="G892" s="4"/>
    </row>
    <row r="893">
      <c r="A893" s="4"/>
      <c r="B893" s="4"/>
      <c r="C893" s="4"/>
      <c r="D893" s="4"/>
      <c r="E893" s="4"/>
      <c r="F893" s="4"/>
      <c r="G893" s="4"/>
    </row>
    <row r="894">
      <c r="A894" s="4"/>
      <c r="B894" s="4"/>
      <c r="C894" s="4"/>
      <c r="D894" s="4"/>
      <c r="E894" s="4"/>
      <c r="F894" s="4"/>
      <c r="G894" s="4"/>
    </row>
    <row r="895">
      <c r="A895" s="4"/>
      <c r="B895" s="4"/>
      <c r="C895" s="4"/>
      <c r="D895" s="4"/>
      <c r="E895" s="4"/>
      <c r="F895" s="4"/>
      <c r="G895" s="4"/>
    </row>
    <row r="896">
      <c r="A896" s="4"/>
      <c r="B896" s="4"/>
      <c r="C896" s="4"/>
      <c r="D896" s="4"/>
      <c r="E896" s="4"/>
      <c r="F896" s="4"/>
      <c r="G896" s="4"/>
    </row>
    <row r="897">
      <c r="A897" s="4"/>
      <c r="B897" s="4"/>
      <c r="C897" s="4"/>
      <c r="D897" s="4"/>
      <c r="E897" s="4"/>
      <c r="F897" s="4"/>
      <c r="G897" s="4"/>
    </row>
    <row r="898">
      <c r="A898" s="4"/>
      <c r="B898" s="4"/>
      <c r="C898" s="4"/>
      <c r="D898" s="4"/>
      <c r="E898" s="4"/>
      <c r="F898" s="4"/>
      <c r="G898" s="4"/>
    </row>
    <row r="899">
      <c r="A899" s="4"/>
      <c r="B899" s="4"/>
      <c r="C899" s="4"/>
      <c r="D899" s="4"/>
      <c r="E899" s="4"/>
      <c r="F899" s="4"/>
      <c r="G899" s="4"/>
    </row>
    <row r="900">
      <c r="A900" s="4"/>
      <c r="B900" s="4"/>
      <c r="C900" s="4"/>
      <c r="D900" s="4"/>
      <c r="E900" s="4"/>
      <c r="F900" s="4"/>
      <c r="G900" s="4"/>
    </row>
    <row r="901">
      <c r="A901" s="4"/>
      <c r="B901" s="4"/>
      <c r="C901" s="4"/>
      <c r="D901" s="4"/>
      <c r="E901" s="4"/>
      <c r="F901" s="4"/>
      <c r="G901" s="4"/>
    </row>
    <row r="902">
      <c r="A902" s="4"/>
      <c r="B902" s="4"/>
      <c r="C902" s="4"/>
      <c r="D902" s="4"/>
      <c r="E902" s="4"/>
      <c r="F902" s="4"/>
      <c r="G902" s="4"/>
    </row>
    <row r="903">
      <c r="A903" s="4"/>
      <c r="B903" s="4"/>
      <c r="C903" s="4"/>
      <c r="D903" s="4"/>
      <c r="E903" s="4"/>
      <c r="F903" s="4"/>
      <c r="G903" s="4"/>
    </row>
    <row r="904">
      <c r="A904" s="4"/>
      <c r="B904" s="4"/>
      <c r="C904" s="4"/>
      <c r="D904" s="4"/>
      <c r="E904" s="4"/>
      <c r="F904" s="4"/>
      <c r="G904" s="4"/>
    </row>
    <row r="905">
      <c r="A905" s="4"/>
      <c r="B905" s="4"/>
      <c r="C905" s="4"/>
      <c r="D905" s="4"/>
      <c r="E905" s="4"/>
      <c r="F905" s="4"/>
      <c r="G905" s="4"/>
    </row>
    <row r="906">
      <c r="A906" s="4"/>
      <c r="B906" s="4"/>
      <c r="C906" s="4"/>
      <c r="D906" s="4"/>
      <c r="E906" s="4"/>
      <c r="F906" s="4"/>
      <c r="G906" s="4"/>
    </row>
    <row r="907">
      <c r="A907" s="4"/>
      <c r="B907" s="4"/>
      <c r="C907" s="4"/>
      <c r="D907" s="4"/>
      <c r="E907" s="4"/>
      <c r="F907" s="4"/>
      <c r="G907" s="4"/>
    </row>
    <row r="908">
      <c r="A908" s="4"/>
      <c r="B908" s="4"/>
      <c r="C908" s="4"/>
      <c r="D908" s="4"/>
      <c r="E908" s="4"/>
      <c r="F908" s="4"/>
      <c r="G908" s="4"/>
    </row>
    <row r="909">
      <c r="A909" s="4"/>
      <c r="B909" s="4"/>
      <c r="C909" s="4"/>
      <c r="D909" s="4"/>
      <c r="E909" s="4"/>
      <c r="F909" s="4"/>
      <c r="G909" s="4"/>
    </row>
    <row r="910">
      <c r="A910" s="4"/>
      <c r="B910" s="4"/>
      <c r="C910" s="4"/>
      <c r="D910" s="4"/>
      <c r="E910" s="4"/>
      <c r="F910" s="4"/>
      <c r="G910" s="4"/>
    </row>
    <row r="911">
      <c r="A911" s="4"/>
      <c r="B911" s="4"/>
      <c r="C911" s="4"/>
      <c r="D911" s="4"/>
      <c r="E911" s="4"/>
      <c r="F911" s="4"/>
      <c r="G911" s="4"/>
    </row>
    <row r="912">
      <c r="A912" s="4"/>
      <c r="B912" s="4"/>
      <c r="C912" s="4"/>
      <c r="D912" s="4"/>
      <c r="E912" s="4"/>
      <c r="F912" s="4"/>
      <c r="G912" s="4"/>
    </row>
    <row r="913">
      <c r="A913" s="4"/>
      <c r="B913" s="4"/>
      <c r="C913" s="4"/>
      <c r="D913" s="4"/>
      <c r="E913" s="4"/>
      <c r="F913" s="4"/>
      <c r="G913" s="4"/>
    </row>
    <row r="914">
      <c r="A914" s="4"/>
      <c r="B914" s="4"/>
      <c r="C914" s="4"/>
      <c r="D914" s="4"/>
      <c r="E914" s="4"/>
      <c r="F914" s="4"/>
      <c r="G914" s="4"/>
    </row>
    <row r="915">
      <c r="A915" s="4"/>
      <c r="B915" s="4"/>
      <c r="C915" s="4"/>
      <c r="D915" s="4"/>
      <c r="E915" s="4"/>
      <c r="F915" s="4"/>
      <c r="G915" s="4"/>
    </row>
    <row r="916">
      <c r="A916" s="4"/>
      <c r="B916" s="4"/>
      <c r="C916" s="4"/>
      <c r="D916" s="4"/>
      <c r="E916" s="4"/>
      <c r="F916" s="4"/>
      <c r="G916" s="4"/>
    </row>
    <row r="917">
      <c r="A917" s="4"/>
      <c r="B917" s="4"/>
      <c r="C917" s="4"/>
      <c r="D917" s="4"/>
      <c r="E917" s="4"/>
      <c r="F917" s="4"/>
      <c r="G917" s="4"/>
    </row>
    <row r="918">
      <c r="A918" s="4"/>
      <c r="B918" s="4"/>
      <c r="C918" s="4"/>
      <c r="D918" s="4"/>
      <c r="E918" s="4"/>
      <c r="F918" s="4"/>
      <c r="G918" s="4"/>
    </row>
    <row r="919">
      <c r="A919" s="4"/>
      <c r="B919" s="4"/>
      <c r="C919" s="4"/>
      <c r="D919" s="4"/>
      <c r="E919" s="4"/>
      <c r="F919" s="4"/>
      <c r="G919" s="4"/>
    </row>
    <row r="920">
      <c r="A920" s="4"/>
      <c r="B920" s="4"/>
      <c r="C920" s="4"/>
      <c r="D920" s="4"/>
      <c r="E920" s="4"/>
      <c r="F920" s="4"/>
      <c r="G920" s="4"/>
    </row>
    <row r="921">
      <c r="A921" s="4"/>
      <c r="B921" s="4"/>
      <c r="C921" s="4"/>
      <c r="D921" s="4"/>
      <c r="E921" s="4"/>
      <c r="F921" s="4"/>
      <c r="G921" s="4"/>
    </row>
    <row r="922">
      <c r="A922" s="4"/>
      <c r="B922" s="4"/>
      <c r="C922" s="4"/>
      <c r="D922" s="4"/>
      <c r="E922" s="4"/>
      <c r="F922" s="4"/>
      <c r="G922" s="4"/>
    </row>
    <row r="923">
      <c r="A923" s="4"/>
      <c r="B923" s="4"/>
      <c r="C923" s="4"/>
      <c r="D923" s="4"/>
      <c r="E923" s="4"/>
      <c r="F923" s="4"/>
      <c r="G923" s="4"/>
    </row>
    <row r="924">
      <c r="A924" s="4"/>
      <c r="B924" s="4"/>
      <c r="C924" s="4"/>
      <c r="D924" s="4"/>
      <c r="E924" s="4"/>
      <c r="F924" s="4"/>
      <c r="G924" s="4"/>
    </row>
    <row r="925">
      <c r="A925" s="4"/>
      <c r="B925" s="4"/>
      <c r="C925" s="4"/>
      <c r="D925" s="4"/>
      <c r="E925" s="4"/>
      <c r="F925" s="4"/>
      <c r="G925" s="4"/>
    </row>
    <row r="926">
      <c r="A926" s="4"/>
      <c r="B926" s="4"/>
      <c r="C926" s="4"/>
      <c r="D926" s="4"/>
      <c r="E926" s="4"/>
      <c r="F926" s="4"/>
      <c r="G926" s="4"/>
    </row>
    <row r="927">
      <c r="A927" s="4"/>
      <c r="B927" s="4"/>
      <c r="C927" s="4"/>
      <c r="D927" s="4"/>
      <c r="E927" s="4"/>
      <c r="F927" s="4"/>
      <c r="G927" s="4"/>
    </row>
    <row r="928">
      <c r="A928" s="4"/>
      <c r="B928" s="4"/>
      <c r="C928" s="4"/>
      <c r="D928" s="4"/>
      <c r="E928" s="4"/>
      <c r="F928" s="4"/>
      <c r="G928" s="4"/>
    </row>
    <row r="929">
      <c r="A929" s="4"/>
      <c r="B929" s="4"/>
      <c r="C929" s="4"/>
      <c r="D929" s="4"/>
      <c r="E929" s="4"/>
      <c r="F929" s="4"/>
      <c r="G929" s="4"/>
    </row>
    <row r="930">
      <c r="A930" s="4"/>
      <c r="B930" s="4"/>
      <c r="C930" s="4"/>
      <c r="D930" s="4"/>
      <c r="E930" s="4"/>
      <c r="F930" s="4"/>
      <c r="G930" s="4"/>
    </row>
    <row r="931">
      <c r="A931" s="4"/>
      <c r="B931" s="4"/>
      <c r="C931" s="4"/>
      <c r="D931" s="4"/>
      <c r="E931" s="4"/>
      <c r="F931" s="4"/>
      <c r="G931" s="4"/>
    </row>
    <row r="932">
      <c r="A932" s="4"/>
      <c r="B932" s="4"/>
      <c r="C932" s="4"/>
      <c r="D932" s="4"/>
      <c r="E932" s="4"/>
      <c r="F932" s="4"/>
      <c r="G932" s="4"/>
    </row>
    <row r="933">
      <c r="A933" s="4"/>
      <c r="B933" s="4"/>
      <c r="C933" s="4"/>
      <c r="D933" s="4"/>
      <c r="E933" s="4"/>
      <c r="F933" s="4"/>
      <c r="G933" s="4"/>
    </row>
    <row r="934">
      <c r="A934" s="4"/>
      <c r="B934" s="4"/>
      <c r="C934" s="4"/>
      <c r="D934" s="4"/>
      <c r="E934" s="4"/>
      <c r="F934" s="4"/>
      <c r="G934" s="4"/>
    </row>
    <row r="935">
      <c r="A935" s="4"/>
      <c r="B935" s="4"/>
      <c r="C935" s="4"/>
      <c r="D935" s="4"/>
      <c r="E935" s="4"/>
      <c r="F935" s="4"/>
      <c r="G935" s="4"/>
    </row>
    <row r="936">
      <c r="A936" s="4"/>
      <c r="B936" s="4"/>
      <c r="C936" s="4"/>
      <c r="D936" s="4"/>
      <c r="E936" s="4"/>
      <c r="F936" s="4"/>
      <c r="G936" s="4"/>
    </row>
    <row r="937">
      <c r="A937" s="4"/>
      <c r="B937" s="4"/>
      <c r="C937" s="4"/>
      <c r="D937" s="4"/>
      <c r="E937" s="4"/>
      <c r="F937" s="4"/>
      <c r="G937" s="4"/>
    </row>
    <row r="938">
      <c r="A938" s="4"/>
      <c r="B938" s="4"/>
      <c r="C938" s="4"/>
      <c r="D938" s="4"/>
      <c r="E938" s="4"/>
      <c r="F938" s="4"/>
      <c r="G938" s="4"/>
    </row>
    <row r="939">
      <c r="A939" s="4"/>
      <c r="B939" s="4"/>
      <c r="C939" s="4"/>
      <c r="D939" s="4"/>
      <c r="E939" s="4"/>
      <c r="F939" s="4"/>
      <c r="G939" s="4"/>
    </row>
    <row r="940">
      <c r="A940" s="4"/>
      <c r="B940" s="4"/>
      <c r="C940" s="4"/>
      <c r="D940" s="4"/>
      <c r="E940" s="4"/>
      <c r="F940" s="4"/>
      <c r="G940" s="4"/>
    </row>
    <row r="941">
      <c r="A941" s="4"/>
      <c r="B941" s="4"/>
      <c r="C941" s="4"/>
      <c r="D941" s="4"/>
      <c r="E941" s="4"/>
      <c r="F941" s="4"/>
      <c r="G941" s="4"/>
    </row>
    <row r="942">
      <c r="A942" s="4"/>
      <c r="B942" s="4"/>
      <c r="C942" s="4"/>
      <c r="D942" s="4"/>
      <c r="E942" s="4"/>
      <c r="F942" s="4"/>
      <c r="G942" s="4"/>
    </row>
    <row r="943">
      <c r="A943" s="4"/>
      <c r="B943" s="4"/>
      <c r="C943" s="4"/>
      <c r="D943" s="4"/>
      <c r="E943" s="4"/>
      <c r="F943" s="4"/>
      <c r="G943" s="4"/>
    </row>
    <row r="944">
      <c r="A944" s="4"/>
      <c r="B944" s="4"/>
      <c r="C944" s="4"/>
      <c r="D944" s="4"/>
      <c r="E944" s="4"/>
      <c r="F944" s="4"/>
      <c r="G944" s="4"/>
    </row>
    <row r="945">
      <c r="A945" s="4"/>
      <c r="B945" s="4"/>
      <c r="C945" s="4"/>
      <c r="D945" s="4"/>
      <c r="E945" s="4"/>
      <c r="F945" s="4"/>
      <c r="G945" s="4"/>
    </row>
    <row r="946">
      <c r="A946" s="4"/>
      <c r="B946" s="4"/>
      <c r="C946" s="4"/>
      <c r="D946" s="4"/>
      <c r="E946" s="4"/>
      <c r="F946" s="4"/>
      <c r="G946" s="4"/>
    </row>
    <row r="947">
      <c r="A947" s="4"/>
      <c r="B947" s="4"/>
      <c r="C947" s="4"/>
      <c r="D947" s="4"/>
      <c r="E947" s="4"/>
      <c r="F947" s="4"/>
      <c r="G947" s="4"/>
    </row>
    <row r="948">
      <c r="A948" s="4"/>
      <c r="B948" s="4"/>
      <c r="C948" s="4"/>
      <c r="D948" s="4"/>
      <c r="E948" s="4"/>
      <c r="F948" s="4"/>
      <c r="G948" s="4"/>
    </row>
    <row r="949">
      <c r="A949" s="4"/>
      <c r="B949" s="4"/>
      <c r="C949" s="4"/>
      <c r="D949" s="4"/>
      <c r="E949" s="4"/>
      <c r="F949" s="4"/>
      <c r="G949" s="4"/>
    </row>
    <row r="950">
      <c r="A950" s="4"/>
      <c r="B950" s="4"/>
      <c r="C950" s="4"/>
      <c r="D950" s="4"/>
      <c r="E950" s="4"/>
      <c r="F950" s="4"/>
      <c r="G950" s="4"/>
    </row>
    <row r="951">
      <c r="A951" s="4"/>
      <c r="B951" s="4"/>
      <c r="C951" s="4"/>
      <c r="D951" s="4"/>
      <c r="E951" s="4"/>
      <c r="F951" s="4"/>
      <c r="G951" s="4"/>
    </row>
    <row r="952">
      <c r="A952" s="4"/>
      <c r="B952" s="4"/>
      <c r="C952" s="4"/>
      <c r="D952" s="4"/>
      <c r="E952" s="4"/>
      <c r="F952" s="4"/>
      <c r="G952" s="4"/>
    </row>
    <row r="953">
      <c r="A953" s="4"/>
      <c r="B953" s="4"/>
      <c r="C953" s="4"/>
      <c r="D953" s="4"/>
      <c r="E953" s="4"/>
      <c r="F953" s="4"/>
      <c r="G953" s="4"/>
    </row>
    <row r="954">
      <c r="A954" s="4"/>
      <c r="B954" s="4"/>
      <c r="C954" s="4"/>
      <c r="D954" s="4"/>
      <c r="E954" s="4"/>
      <c r="F954" s="4"/>
      <c r="G954" s="4"/>
    </row>
    <row r="955">
      <c r="A955" s="4"/>
      <c r="B955" s="4"/>
      <c r="C955" s="4"/>
      <c r="D955" s="4"/>
      <c r="E955" s="4"/>
      <c r="F955" s="4"/>
      <c r="G955" s="4"/>
    </row>
    <row r="956">
      <c r="A956" s="4"/>
      <c r="B956" s="4"/>
      <c r="C956" s="4"/>
      <c r="D956" s="4"/>
      <c r="E956" s="4"/>
      <c r="F956" s="4"/>
      <c r="G956" s="4"/>
    </row>
    <row r="957">
      <c r="A957" s="4"/>
      <c r="B957" s="4"/>
      <c r="C957" s="4"/>
      <c r="D957" s="4"/>
      <c r="E957" s="4"/>
      <c r="F957" s="4"/>
      <c r="G957" s="4"/>
    </row>
    <row r="958">
      <c r="A958" s="4"/>
      <c r="B958" s="4"/>
      <c r="C958" s="4"/>
      <c r="D958" s="4"/>
      <c r="E958" s="4"/>
      <c r="F958" s="4"/>
      <c r="G958" s="4"/>
    </row>
    <row r="959">
      <c r="A959" s="4"/>
      <c r="B959" s="4"/>
      <c r="C959" s="4"/>
      <c r="D959" s="4"/>
      <c r="E959" s="4"/>
      <c r="F959" s="4"/>
      <c r="G959" s="4"/>
    </row>
    <row r="960">
      <c r="A960" s="4"/>
      <c r="B960" s="4"/>
      <c r="C960" s="4"/>
      <c r="D960" s="4"/>
      <c r="E960" s="4"/>
      <c r="F960" s="4"/>
      <c r="G960" s="4"/>
    </row>
    <row r="961">
      <c r="A961" s="4"/>
      <c r="B961" s="4"/>
      <c r="C961" s="4"/>
      <c r="D961" s="4"/>
      <c r="E961" s="4"/>
      <c r="F961" s="4"/>
      <c r="G961" s="4"/>
    </row>
    <row r="962">
      <c r="A962" s="4"/>
      <c r="B962" s="4"/>
      <c r="C962" s="4"/>
      <c r="D962" s="4"/>
      <c r="E962" s="4"/>
      <c r="F962" s="4"/>
      <c r="G962" s="4"/>
    </row>
    <row r="963">
      <c r="A963" s="4"/>
      <c r="B963" s="4"/>
      <c r="C963" s="4"/>
      <c r="D963" s="4"/>
      <c r="E963" s="4"/>
      <c r="F963" s="4"/>
      <c r="G963" s="4"/>
    </row>
    <row r="964">
      <c r="A964" s="4"/>
      <c r="B964" s="4"/>
      <c r="C964" s="4"/>
      <c r="D964" s="4"/>
      <c r="E964" s="4"/>
      <c r="F964" s="4"/>
      <c r="G964" s="4"/>
    </row>
    <row r="965">
      <c r="A965" s="4"/>
      <c r="B965" s="4"/>
      <c r="C965" s="4"/>
      <c r="D965" s="4"/>
      <c r="E965" s="4"/>
      <c r="F965" s="4"/>
      <c r="G965" s="4"/>
    </row>
    <row r="966">
      <c r="A966" s="4"/>
      <c r="B966" s="4"/>
      <c r="C966" s="4"/>
      <c r="D966" s="4"/>
      <c r="E966" s="4"/>
      <c r="F966" s="4"/>
      <c r="G966" s="4"/>
    </row>
    <row r="967">
      <c r="A967" s="4"/>
      <c r="B967" s="4"/>
      <c r="C967" s="4"/>
      <c r="D967" s="4"/>
      <c r="E967" s="4"/>
      <c r="F967" s="4"/>
      <c r="G967" s="4"/>
    </row>
    <row r="968">
      <c r="A968" s="4"/>
      <c r="B968" s="4"/>
      <c r="C968" s="4"/>
      <c r="D968" s="4"/>
      <c r="E968" s="4"/>
      <c r="F968" s="4"/>
      <c r="G968" s="4"/>
    </row>
    <row r="969">
      <c r="A969" s="4"/>
      <c r="B969" s="4"/>
      <c r="C969" s="4"/>
      <c r="D969" s="4"/>
      <c r="E969" s="4"/>
      <c r="F969" s="4"/>
      <c r="G969" s="4"/>
    </row>
    <row r="970">
      <c r="A970" s="4"/>
      <c r="B970" s="4"/>
      <c r="C970" s="4"/>
      <c r="D970" s="4"/>
      <c r="E970" s="4"/>
      <c r="F970" s="4"/>
      <c r="G970" s="4"/>
    </row>
    <row r="971">
      <c r="A971" s="4"/>
      <c r="B971" s="4"/>
      <c r="C971" s="4"/>
      <c r="D971" s="4"/>
      <c r="E971" s="4"/>
      <c r="F971" s="4"/>
      <c r="G971" s="4"/>
    </row>
    <row r="972">
      <c r="A972" s="4"/>
      <c r="B972" s="4"/>
      <c r="C972" s="4"/>
      <c r="D972" s="4"/>
      <c r="E972" s="4"/>
      <c r="F972" s="4"/>
      <c r="G972" s="4"/>
    </row>
    <row r="973">
      <c r="A973" s="4"/>
      <c r="B973" s="4"/>
      <c r="C973" s="4"/>
      <c r="D973" s="4"/>
      <c r="E973" s="4"/>
      <c r="F973" s="4"/>
      <c r="G973" s="4"/>
    </row>
    <row r="974">
      <c r="A974" s="4"/>
      <c r="B974" s="4"/>
      <c r="C974" s="4"/>
      <c r="D974" s="4"/>
      <c r="E974" s="4"/>
      <c r="F974" s="4"/>
      <c r="G974" s="4"/>
    </row>
    <row r="975">
      <c r="A975" s="4"/>
      <c r="B975" s="4"/>
      <c r="C975" s="4"/>
      <c r="D975" s="4"/>
      <c r="E975" s="4"/>
      <c r="F975" s="4"/>
      <c r="G975" s="4"/>
    </row>
    <row r="976">
      <c r="A976" s="4"/>
      <c r="B976" s="4"/>
      <c r="C976" s="4"/>
      <c r="D976" s="4"/>
      <c r="E976" s="4"/>
      <c r="F976" s="4"/>
      <c r="G976" s="4"/>
    </row>
    <row r="977">
      <c r="A977" s="4"/>
      <c r="B977" s="4"/>
      <c r="C977" s="4"/>
      <c r="D977" s="4"/>
      <c r="E977" s="4"/>
      <c r="F977" s="4"/>
      <c r="G977" s="4"/>
    </row>
    <row r="978">
      <c r="A978" s="4"/>
      <c r="B978" s="4"/>
      <c r="C978" s="4"/>
      <c r="D978" s="4"/>
      <c r="E978" s="4"/>
      <c r="F978" s="4"/>
      <c r="G978" s="4"/>
    </row>
    <row r="979">
      <c r="A979" s="4"/>
      <c r="B979" s="4"/>
      <c r="C979" s="4"/>
      <c r="D979" s="4"/>
      <c r="E979" s="4"/>
      <c r="F979" s="4"/>
      <c r="G979" s="4"/>
    </row>
    <row r="980">
      <c r="A980" s="4"/>
      <c r="B980" s="4"/>
      <c r="C980" s="4"/>
      <c r="D980" s="4"/>
      <c r="E980" s="4"/>
      <c r="F980" s="4"/>
      <c r="G980" s="4"/>
    </row>
    <row r="981">
      <c r="A981" s="4"/>
      <c r="B981" s="4"/>
      <c r="C981" s="4"/>
      <c r="D981" s="4"/>
      <c r="E981" s="4"/>
      <c r="F981" s="4"/>
      <c r="G981" s="4"/>
    </row>
    <row r="982">
      <c r="A982" s="4"/>
      <c r="B982" s="4"/>
      <c r="C982" s="4"/>
      <c r="D982" s="4"/>
      <c r="E982" s="4"/>
      <c r="F982" s="4"/>
      <c r="G982" s="4"/>
    </row>
    <row r="983">
      <c r="A983" s="4"/>
      <c r="B983" s="4"/>
      <c r="C983" s="4"/>
      <c r="D983" s="4"/>
      <c r="E983" s="4"/>
      <c r="F983" s="4"/>
      <c r="G983" s="4"/>
    </row>
    <row r="984">
      <c r="A984" s="4"/>
      <c r="B984" s="4"/>
      <c r="C984" s="4"/>
      <c r="D984" s="4"/>
      <c r="E984" s="4"/>
      <c r="F984" s="4"/>
      <c r="G984" s="4"/>
    </row>
    <row r="985">
      <c r="A985" s="4"/>
      <c r="B985" s="4"/>
      <c r="C985" s="4"/>
      <c r="D985" s="4"/>
      <c r="E985" s="4"/>
      <c r="F985" s="4"/>
      <c r="G985" s="4"/>
    </row>
    <row r="986">
      <c r="A986" s="4"/>
      <c r="B986" s="4"/>
      <c r="C986" s="4"/>
      <c r="D986" s="4"/>
      <c r="E986" s="4"/>
      <c r="F986" s="4"/>
      <c r="G986" s="4"/>
    </row>
    <row r="987">
      <c r="A987" s="4"/>
      <c r="B987" s="4"/>
      <c r="C987" s="4"/>
      <c r="D987" s="4"/>
      <c r="E987" s="4"/>
      <c r="F987" s="4"/>
      <c r="G987" s="4"/>
    </row>
    <row r="988">
      <c r="A988" s="4"/>
      <c r="B988" s="4"/>
      <c r="C988" s="4"/>
      <c r="D988" s="4"/>
      <c r="E988" s="4"/>
      <c r="F988" s="4"/>
      <c r="G988" s="4"/>
    </row>
    <row r="989">
      <c r="A989" s="4"/>
      <c r="B989" s="4"/>
      <c r="C989" s="4"/>
      <c r="D989" s="4"/>
      <c r="E989" s="4"/>
      <c r="F989" s="4"/>
      <c r="G989" s="4"/>
    </row>
    <row r="990">
      <c r="A990" s="4"/>
      <c r="B990" s="4"/>
      <c r="C990" s="4"/>
      <c r="D990" s="4"/>
      <c r="E990" s="4"/>
      <c r="F990" s="4"/>
      <c r="G990" s="4"/>
    </row>
    <row r="991">
      <c r="A991" s="4"/>
      <c r="B991" s="4"/>
      <c r="C991" s="4"/>
      <c r="D991" s="4"/>
      <c r="E991" s="4"/>
      <c r="F991" s="4"/>
      <c r="G991" s="4"/>
    </row>
    <row r="992">
      <c r="A992" s="4"/>
      <c r="B992" s="4"/>
      <c r="C992" s="4"/>
      <c r="D992" s="4"/>
      <c r="E992" s="4"/>
      <c r="F992" s="4"/>
      <c r="G992" s="4"/>
    </row>
    <row r="993">
      <c r="A993" s="4"/>
      <c r="B993" s="4"/>
      <c r="C993" s="4"/>
      <c r="D993" s="4"/>
      <c r="E993" s="4"/>
      <c r="F993" s="4"/>
      <c r="G993" s="4"/>
    </row>
    <row r="994">
      <c r="A994" s="4"/>
      <c r="B994" s="4"/>
      <c r="C994" s="4"/>
      <c r="D994" s="4"/>
      <c r="E994" s="4"/>
      <c r="F994" s="4"/>
      <c r="G994" s="4"/>
    </row>
    <row r="995">
      <c r="A995" s="4"/>
      <c r="B995" s="4"/>
      <c r="C995" s="4"/>
      <c r="D995" s="4"/>
      <c r="E995" s="4"/>
      <c r="F995" s="4"/>
      <c r="G995" s="4"/>
    </row>
    <row r="996">
      <c r="A996" s="4"/>
      <c r="B996" s="4"/>
      <c r="C996" s="4"/>
      <c r="D996" s="4"/>
      <c r="E996" s="4"/>
      <c r="F996" s="4"/>
      <c r="G996" s="4"/>
    </row>
    <row r="997">
      <c r="A997" s="4"/>
      <c r="B997" s="4"/>
      <c r="C997" s="4"/>
      <c r="D997" s="4"/>
      <c r="E997" s="4"/>
      <c r="F997" s="4"/>
      <c r="G997" s="4"/>
    </row>
    <row r="998">
      <c r="A998" s="4"/>
      <c r="B998" s="4"/>
      <c r="C998" s="4"/>
      <c r="D998" s="4"/>
      <c r="E998" s="4"/>
      <c r="F998" s="4"/>
      <c r="G998" s="4"/>
    </row>
    <row r="999">
      <c r="A999" s="4"/>
      <c r="B999" s="4"/>
      <c r="C999" s="4"/>
      <c r="D999" s="4"/>
      <c r="E999" s="4"/>
      <c r="F999" s="4"/>
      <c r="G999" s="4"/>
    </row>
    <row r="1000">
      <c r="A1000" s="4"/>
      <c r="B1000" s="4"/>
      <c r="C1000" s="4"/>
      <c r="D1000" s="4"/>
      <c r="E1000" s="4"/>
      <c r="F1000" s="4"/>
      <c r="G1000" s="4"/>
    </row>
  </sheetData>
  <autoFilter ref="$A$2:$G$2"/>
  <mergeCells count="1">
    <mergeCell ref="A1:G1"/>
  </mergeCells>
  <printOptions/>
  <pageMargins bottom="1.0" footer="0.0" header="0.0" left="0.75" right="0.75" top="1.0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4.38"/>
    <col customWidth="1" min="2" max="2" width="28.0"/>
    <col customWidth="1" min="3" max="3" width="7.0"/>
    <col customWidth="1" min="4" max="5" width="15.75"/>
    <col customWidth="1" min="6" max="6" width="24.5"/>
    <col customWidth="1" min="7" max="7" width="30.63"/>
    <col customWidth="1" min="8" max="26" width="7.63"/>
  </cols>
  <sheetData>
    <row r="1" ht="27.75" customHeight="1">
      <c r="A1" s="69" t="s">
        <v>4867</v>
      </c>
      <c r="B1" s="2"/>
      <c r="C1" s="2"/>
      <c r="D1" s="2"/>
      <c r="E1" s="2"/>
      <c r="F1" s="2"/>
      <c r="G1" s="3"/>
    </row>
    <row r="2" ht="19.5" customHeight="1">
      <c r="A2" s="7" t="s">
        <v>3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4868</v>
      </c>
    </row>
    <row r="3" ht="15.75" customHeight="1">
      <c r="A3" s="14">
        <v>1.0</v>
      </c>
      <c r="B3" s="104" t="s">
        <v>368</v>
      </c>
      <c r="C3" s="104">
        <v>12.0</v>
      </c>
      <c r="D3" s="104">
        <v>1.5881615E7</v>
      </c>
      <c r="E3" s="104" t="s">
        <v>13</v>
      </c>
      <c r="F3" s="104" t="s">
        <v>330</v>
      </c>
      <c r="G3" s="104" t="s">
        <v>13</v>
      </c>
    </row>
    <row r="4" ht="15.75" customHeight="1">
      <c r="A4" s="14">
        <v>2.0</v>
      </c>
      <c r="B4" s="15" t="s">
        <v>369</v>
      </c>
      <c r="C4" s="15">
        <v>24.0</v>
      </c>
      <c r="D4" s="15">
        <v>2.2576068E7</v>
      </c>
      <c r="E4" s="15" t="s">
        <v>13</v>
      </c>
      <c r="F4" s="15" t="s">
        <v>330</v>
      </c>
      <c r="G4" s="15" t="s">
        <v>13</v>
      </c>
    </row>
    <row r="5" ht="15.75" customHeight="1">
      <c r="A5" s="14">
        <v>3.0</v>
      </c>
      <c r="B5" s="15" t="s">
        <v>370</v>
      </c>
      <c r="C5" s="15">
        <v>49.0</v>
      </c>
      <c r="D5" s="15">
        <v>1.3133322E7</v>
      </c>
      <c r="E5" s="15" t="s">
        <v>13</v>
      </c>
      <c r="F5" s="15" t="s">
        <v>330</v>
      </c>
      <c r="G5" s="15" t="s">
        <v>13</v>
      </c>
    </row>
    <row r="6" ht="15.75" customHeight="1">
      <c r="A6" s="14">
        <v>4.0</v>
      </c>
      <c r="B6" s="15" t="s">
        <v>371</v>
      </c>
      <c r="C6" s="15">
        <v>38.0</v>
      </c>
      <c r="D6" s="15">
        <v>186.322</v>
      </c>
      <c r="E6" s="15" t="s">
        <v>13</v>
      </c>
      <c r="F6" s="15" t="s">
        <v>13</v>
      </c>
      <c r="G6" s="15" t="s">
        <v>15</v>
      </c>
    </row>
    <row r="7" ht="15.75" customHeight="1">
      <c r="A7" s="14">
        <v>5.0</v>
      </c>
      <c r="B7" s="15" t="s">
        <v>372</v>
      </c>
      <c r="C7" s="15">
        <v>12.0</v>
      </c>
      <c r="D7" s="15">
        <v>3505049.0</v>
      </c>
      <c r="E7" s="15" t="s">
        <v>13</v>
      </c>
      <c r="F7" s="15" t="s">
        <v>330</v>
      </c>
      <c r="G7" s="15" t="s">
        <v>13</v>
      </c>
    </row>
    <row r="8" ht="15.75" customHeight="1">
      <c r="A8" s="14">
        <v>6.0</v>
      </c>
      <c r="B8" s="15" t="s">
        <v>373</v>
      </c>
      <c r="C8" s="15">
        <v>43.0</v>
      </c>
      <c r="D8" s="15">
        <v>179.657</v>
      </c>
      <c r="E8" s="15" t="s">
        <v>13</v>
      </c>
      <c r="F8" s="15" t="s">
        <v>13</v>
      </c>
      <c r="G8" s="15" t="s">
        <v>15</v>
      </c>
    </row>
    <row r="9" ht="15.75" customHeight="1">
      <c r="A9" s="14">
        <v>7.0</v>
      </c>
      <c r="B9" s="15" t="s">
        <v>374</v>
      </c>
      <c r="C9" s="15">
        <v>42.0</v>
      </c>
      <c r="D9" s="15">
        <v>1.7821615E7</v>
      </c>
      <c r="E9" s="15" t="s">
        <v>13</v>
      </c>
      <c r="F9" s="15" t="s">
        <v>375</v>
      </c>
      <c r="G9" s="15" t="s">
        <v>13</v>
      </c>
    </row>
    <row r="10" ht="15.75" customHeight="1">
      <c r="A10" s="14">
        <v>8.0</v>
      </c>
      <c r="B10" s="15" t="s">
        <v>376</v>
      </c>
      <c r="C10" s="15">
        <v>52.0</v>
      </c>
      <c r="D10" s="15" t="s">
        <v>377</v>
      </c>
      <c r="E10" s="15" t="s">
        <v>13</v>
      </c>
      <c r="F10" s="15" t="s">
        <v>13</v>
      </c>
      <c r="G10" s="15" t="s">
        <v>378</v>
      </c>
    </row>
    <row r="11" ht="15.75" customHeight="1">
      <c r="A11" s="14">
        <v>9.0</v>
      </c>
      <c r="B11" s="15" t="s">
        <v>379</v>
      </c>
      <c r="C11" s="15">
        <v>23.0</v>
      </c>
      <c r="D11" s="15">
        <v>3.1588884E7</v>
      </c>
      <c r="E11" s="15" t="s">
        <v>13</v>
      </c>
      <c r="F11" s="15" t="s">
        <v>330</v>
      </c>
      <c r="G11" s="15" t="s">
        <v>13</v>
      </c>
    </row>
    <row r="12" ht="15.75" customHeight="1">
      <c r="A12" s="14">
        <v>10.0</v>
      </c>
      <c r="B12" s="15" t="s">
        <v>380</v>
      </c>
      <c r="C12" s="15">
        <v>42.0</v>
      </c>
      <c r="D12" s="15" t="s">
        <v>381</v>
      </c>
      <c r="E12" s="15" t="s">
        <v>13</v>
      </c>
      <c r="F12" s="15" t="s">
        <v>13</v>
      </c>
      <c r="G12" s="15" t="s">
        <v>15</v>
      </c>
    </row>
    <row r="13" ht="15.75" customHeight="1">
      <c r="A13" s="14">
        <v>11.0</v>
      </c>
      <c r="B13" s="15" t="s">
        <v>382</v>
      </c>
      <c r="C13" s="15">
        <v>7.0</v>
      </c>
      <c r="D13" s="15" t="s">
        <v>14</v>
      </c>
      <c r="E13" s="15" t="s">
        <v>13</v>
      </c>
      <c r="F13" s="15" t="s">
        <v>13</v>
      </c>
      <c r="G13" s="15" t="s">
        <v>15</v>
      </c>
    </row>
    <row r="14" ht="15.75" customHeight="1">
      <c r="A14" s="14">
        <v>12.0</v>
      </c>
      <c r="B14" s="15" t="s">
        <v>383</v>
      </c>
      <c r="C14" s="15">
        <v>43.0</v>
      </c>
      <c r="D14" s="15" t="s">
        <v>384</v>
      </c>
      <c r="E14" s="15" t="s">
        <v>13</v>
      </c>
      <c r="F14" s="15" t="s">
        <v>13</v>
      </c>
      <c r="G14" s="15" t="s">
        <v>15</v>
      </c>
    </row>
    <row r="15" ht="15.75" customHeight="1">
      <c r="A15" s="14">
        <v>13.0</v>
      </c>
      <c r="B15" s="15" t="s">
        <v>385</v>
      </c>
      <c r="C15" s="15">
        <v>14.0</v>
      </c>
      <c r="D15" s="15">
        <v>2.7943786E7</v>
      </c>
      <c r="E15" s="15" t="s">
        <v>13</v>
      </c>
      <c r="F15" s="15" t="s">
        <v>330</v>
      </c>
      <c r="G15" s="15" t="s">
        <v>13</v>
      </c>
    </row>
    <row r="16" ht="15.75" customHeight="1">
      <c r="A16" s="14">
        <v>14.0</v>
      </c>
      <c r="B16" s="15" t="s">
        <v>386</v>
      </c>
      <c r="C16" s="15">
        <v>71.0</v>
      </c>
      <c r="D16" s="15">
        <v>5133290.0</v>
      </c>
      <c r="E16" s="15" t="s">
        <v>13</v>
      </c>
      <c r="F16" s="15" t="s">
        <v>343</v>
      </c>
      <c r="G16" s="15" t="s">
        <v>13</v>
      </c>
    </row>
    <row r="17" ht="15.75" customHeight="1">
      <c r="A17" s="14">
        <v>15.0</v>
      </c>
      <c r="B17" s="15" t="s">
        <v>387</v>
      </c>
      <c r="C17" s="15">
        <v>48.0</v>
      </c>
      <c r="D17" s="15">
        <v>1.4568432E7</v>
      </c>
      <c r="E17" s="15" t="s">
        <v>13</v>
      </c>
      <c r="F17" s="15" t="s">
        <v>330</v>
      </c>
      <c r="G17" s="15" t="s">
        <v>13</v>
      </c>
    </row>
    <row r="18" ht="15.75" customHeight="1">
      <c r="A18" s="14">
        <v>16.0</v>
      </c>
      <c r="B18" s="15" t="s">
        <v>388</v>
      </c>
      <c r="C18" s="15">
        <v>17.0</v>
      </c>
      <c r="D18" s="15" t="s">
        <v>389</v>
      </c>
      <c r="E18" s="15" t="s">
        <v>13</v>
      </c>
      <c r="F18" s="15" t="s">
        <v>13</v>
      </c>
      <c r="G18" s="15" t="s">
        <v>15</v>
      </c>
    </row>
    <row r="19" ht="15.75" customHeight="1">
      <c r="A19" s="14">
        <v>17.0</v>
      </c>
      <c r="B19" s="15" t="s">
        <v>390</v>
      </c>
      <c r="C19" s="15">
        <v>16.0</v>
      </c>
      <c r="D19" s="15">
        <v>3.3232686E7</v>
      </c>
      <c r="E19" s="15" t="s">
        <v>13</v>
      </c>
      <c r="F19" s="15" t="s">
        <v>391</v>
      </c>
      <c r="G19" s="15" t="s">
        <v>13</v>
      </c>
    </row>
    <row r="20" ht="15.75" customHeight="1">
      <c r="A20" s="14">
        <v>18.0</v>
      </c>
      <c r="B20" s="15" t="s">
        <v>392</v>
      </c>
      <c r="C20" s="15">
        <v>11.0</v>
      </c>
      <c r="D20" s="15" t="s">
        <v>393</v>
      </c>
      <c r="E20" s="15" t="s">
        <v>13</v>
      </c>
      <c r="F20" s="15" t="s">
        <v>13</v>
      </c>
      <c r="G20" s="15" t="s">
        <v>378</v>
      </c>
    </row>
    <row r="21" ht="15.75" customHeight="1">
      <c r="A21" s="14">
        <v>19.0</v>
      </c>
      <c r="B21" s="15" t="s">
        <v>394</v>
      </c>
      <c r="C21" s="15">
        <v>22.0</v>
      </c>
      <c r="D21" s="15">
        <v>8.090998E7</v>
      </c>
      <c r="E21" s="15" t="s">
        <v>13</v>
      </c>
      <c r="F21" s="15" t="s">
        <v>330</v>
      </c>
      <c r="G21" s="15" t="s">
        <v>13</v>
      </c>
    </row>
    <row r="22" ht="15.75" customHeight="1">
      <c r="A22" s="14">
        <v>20.0</v>
      </c>
      <c r="B22" s="15" t="s">
        <v>395</v>
      </c>
      <c r="C22" s="15">
        <v>56.0</v>
      </c>
      <c r="D22" s="15">
        <v>995.521</v>
      </c>
      <c r="E22" s="15" t="s">
        <v>13</v>
      </c>
      <c r="F22" s="15" t="s">
        <v>13</v>
      </c>
      <c r="G22" s="15" t="s">
        <v>15</v>
      </c>
    </row>
    <row r="23" ht="15.75" customHeight="1">
      <c r="A23" s="14">
        <v>21.0</v>
      </c>
      <c r="B23" s="15" t="s">
        <v>396</v>
      </c>
      <c r="C23" s="15">
        <v>20.0</v>
      </c>
      <c r="D23" s="15">
        <v>3.1191432E7</v>
      </c>
      <c r="E23" s="15" t="s">
        <v>13</v>
      </c>
      <c r="F23" s="15" t="s">
        <v>330</v>
      </c>
      <c r="G23" s="15" t="s">
        <v>13</v>
      </c>
    </row>
    <row r="24" ht="15.75" customHeight="1">
      <c r="A24" s="14">
        <v>22.0</v>
      </c>
      <c r="B24" s="15" t="s">
        <v>397</v>
      </c>
      <c r="C24" s="15">
        <v>56.0</v>
      </c>
      <c r="D24" s="15" t="s">
        <v>398</v>
      </c>
      <c r="E24" s="15" t="s">
        <v>13</v>
      </c>
      <c r="F24" s="15" t="s">
        <v>13</v>
      </c>
      <c r="G24" s="15" t="s">
        <v>15</v>
      </c>
    </row>
    <row r="25" ht="15.75" customHeight="1">
      <c r="A25" s="14">
        <v>23.0</v>
      </c>
      <c r="B25" s="15" t="s">
        <v>399</v>
      </c>
      <c r="C25" s="15">
        <v>24.0</v>
      </c>
      <c r="D25" s="15">
        <v>2.9572168E7</v>
      </c>
      <c r="E25" s="15" t="s">
        <v>13</v>
      </c>
      <c r="F25" s="15" t="s">
        <v>330</v>
      </c>
      <c r="G25" s="15" t="s">
        <v>13</v>
      </c>
    </row>
    <row r="26">
      <c r="A26" s="14">
        <v>24.0</v>
      </c>
      <c r="B26" s="15" t="s">
        <v>400</v>
      </c>
      <c r="C26" s="15">
        <v>25.0</v>
      </c>
      <c r="D26" s="15">
        <v>2.7761169E7</v>
      </c>
      <c r="E26" s="15" t="s">
        <v>13</v>
      </c>
      <c r="F26" s="15" t="s">
        <v>401</v>
      </c>
      <c r="G26" s="15" t="s">
        <v>13</v>
      </c>
    </row>
    <row r="27">
      <c r="A27" s="14">
        <v>25.0</v>
      </c>
      <c r="B27" s="15" t="s">
        <v>402</v>
      </c>
      <c r="C27" s="15">
        <v>33.0</v>
      </c>
      <c r="D27" s="15">
        <v>2.070341E7</v>
      </c>
      <c r="E27" s="15" t="s">
        <v>13</v>
      </c>
      <c r="F27" s="15" t="s">
        <v>330</v>
      </c>
      <c r="G27" s="15" t="s">
        <v>13</v>
      </c>
    </row>
    <row r="28">
      <c r="A28" s="14">
        <v>26.0</v>
      </c>
      <c r="B28" s="15" t="s">
        <v>403</v>
      </c>
      <c r="C28" s="15">
        <v>35.0</v>
      </c>
      <c r="D28" s="15">
        <v>6262497.0</v>
      </c>
      <c r="E28" s="15" t="s">
        <v>13</v>
      </c>
      <c r="F28" s="15" t="s">
        <v>330</v>
      </c>
      <c r="G28" s="15" t="s">
        <v>13</v>
      </c>
    </row>
    <row r="29">
      <c r="A29" s="14">
        <v>27.0</v>
      </c>
      <c r="B29" s="15" t="s">
        <v>404</v>
      </c>
      <c r="C29" s="15">
        <v>61.0</v>
      </c>
      <c r="D29" s="15">
        <v>2.5088412E7</v>
      </c>
      <c r="E29" s="15" t="s">
        <v>13</v>
      </c>
      <c r="F29" s="15" t="s">
        <v>405</v>
      </c>
      <c r="G29" s="15" t="s">
        <v>13</v>
      </c>
    </row>
    <row r="30">
      <c r="A30" s="14">
        <v>28.0</v>
      </c>
      <c r="B30" s="15" t="s">
        <v>406</v>
      </c>
      <c r="C30" s="15">
        <v>56.0</v>
      </c>
      <c r="D30" s="15" t="s">
        <v>407</v>
      </c>
      <c r="E30" s="15" t="s">
        <v>13</v>
      </c>
      <c r="F30" s="15" t="s">
        <v>13</v>
      </c>
      <c r="G30" s="15" t="s">
        <v>15</v>
      </c>
    </row>
    <row r="31">
      <c r="A31" s="14">
        <v>29.0</v>
      </c>
      <c r="B31" s="15" t="s">
        <v>408</v>
      </c>
      <c r="C31" s="15">
        <v>17.0</v>
      </c>
      <c r="D31" s="15" t="s">
        <v>409</v>
      </c>
      <c r="E31" s="15" t="s">
        <v>13</v>
      </c>
      <c r="F31" s="15" t="s">
        <v>13</v>
      </c>
      <c r="G31" s="15" t="s">
        <v>15</v>
      </c>
    </row>
    <row r="32">
      <c r="A32" s="14">
        <v>30.0</v>
      </c>
      <c r="B32" s="15" t="s">
        <v>410</v>
      </c>
      <c r="C32" s="15">
        <v>9.0</v>
      </c>
      <c r="D32" s="15" t="s">
        <v>14</v>
      </c>
      <c r="E32" s="15" t="s">
        <v>13</v>
      </c>
      <c r="F32" s="15" t="s">
        <v>13</v>
      </c>
      <c r="G32" s="15" t="s">
        <v>378</v>
      </c>
    </row>
    <row r="33">
      <c r="A33" s="14">
        <v>31.0</v>
      </c>
      <c r="B33" s="15" t="s">
        <v>411</v>
      </c>
      <c r="C33" s="15">
        <v>12.0</v>
      </c>
      <c r="D33" s="15">
        <v>3.6308151E7</v>
      </c>
      <c r="E33" s="15" t="s">
        <v>13</v>
      </c>
      <c r="F33" s="15" t="s">
        <v>330</v>
      </c>
      <c r="G33" s="15" t="s">
        <v>13</v>
      </c>
    </row>
    <row r="34">
      <c r="A34" s="14">
        <v>32.0</v>
      </c>
      <c r="B34" s="15" t="s">
        <v>412</v>
      </c>
      <c r="C34" s="15">
        <v>27.0</v>
      </c>
      <c r="D34" s="15">
        <v>2.6763304E7</v>
      </c>
      <c r="E34" s="15" t="s">
        <v>13</v>
      </c>
      <c r="F34" s="15" t="s">
        <v>330</v>
      </c>
      <c r="G34" s="15" t="s">
        <v>13</v>
      </c>
    </row>
    <row r="35">
      <c r="A35" s="14">
        <v>33.0</v>
      </c>
      <c r="B35" s="15" t="s">
        <v>413</v>
      </c>
      <c r="C35" s="15" t="s">
        <v>13</v>
      </c>
      <c r="D35" s="15" t="s">
        <v>414</v>
      </c>
      <c r="E35" s="15" t="s">
        <v>13</v>
      </c>
      <c r="F35" s="15" t="s">
        <v>13</v>
      </c>
      <c r="G35" s="15" t="s">
        <v>15</v>
      </c>
    </row>
    <row r="36">
      <c r="A36" s="14">
        <v>34.0</v>
      </c>
      <c r="B36" s="15" t="s">
        <v>415</v>
      </c>
      <c r="C36" s="15" t="s">
        <v>13</v>
      </c>
      <c r="D36" s="15" t="s">
        <v>416</v>
      </c>
      <c r="E36" s="15" t="s">
        <v>13</v>
      </c>
      <c r="F36" s="15" t="s">
        <v>13</v>
      </c>
      <c r="G36" s="15" t="s">
        <v>15</v>
      </c>
    </row>
    <row r="37">
      <c r="A37" s="14">
        <v>35.0</v>
      </c>
      <c r="B37" s="15" t="s">
        <v>417</v>
      </c>
      <c r="C37" s="15">
        <v>55.0</v>
      </c>
      <c r="D37" s="15" t="s">
        <v>418</v>
      </c>
      <c r="E37" s="15" t="s">
        <v>13</v>
      </c>
      <c r="F37" s="15" t="s">
        <v>13</v>
      </c>
      <c r="G37" s="15" t="s">
        <v>15</v>
      </c>
    </row>
    <row r="38">
      <c r="A38" s="14">
        <v>36.0</v>
      </c>
      <c r="B38" s="15" t="s">
        <v>419</v>
      </c>
      <c r="C38" s="15">
        <v>84.0</v>
      </c>
      <c r="D38" s="15">
        <v>1.430982E7</v>
      </c>
      <c r="E38" s="15" t="s">
        <v>13</v>
      </c>
      <c r="F38" s="15" t="s">
        <v>330</v>
      </c>
      <c r="G38" s="15" t="s">
        <v>13</v>
      </c>
    </row>
    <row r="39">
      <c r="A39" s="14">
        <v>37.0</v>
      </c>
      <c r="B39" s="15" t="s">
        <v>420</v>
      </c>
      <c r="C39" s="15">
        <v>53.0</v>
      </c>
      <c r="D39" s="15">
        <v>1.048198E7</v>
      </c>
      <c r="E39" s="15" t="s">
        <v>13</v>
      </c>
      <c r="F39" s="15" t="s">
        <v>330</v>
      </c>
      <c r="G39" s="15" t="s">
        <v>13</v>
      </c>
    </row>
    <row r="40">
      <c r="A40" s="14">
        <v>38.0</v>
      </c>
      <c r="B40" s="15" t="s">
        <v>421</v>
      </c>
      <c r="C40" s="15">
        <v>52.0</v>
      </c>
      <c r="D40" s="15">
        <v>1.1934645E7</v>
      </c>
      <c r="E40" s="15" t="s">
        <v>13</v>
      </c>
      <c r="F40" s="15" t="s">
        <v>330</v>
      </c>
      <c r="G40" s="15" t="s">
        <v>13</v>
      </c>
    </row>
    <row r="41">
      <c r="A41" s="14">
        <v>39.0</v>
      </c>
      <c r="B41" s="15" t="s">
        <v>422</v>
      </c>
      <c r="C41" s="15">
        <v>31.0</v>
      </c>
      <c r="D41" s="15" t="s">
        <v>14</v>
      </c>
      <c r="E41" s="15" t="s">
        <v>13</v>
      </c>
      <c r="F41" s="15" t="s">
        <v>13</v>
      </c>
      <c r="G41" s="15" t="s">
        <v>15</v>
      </c>
    </row>
    <row r="42">
      <c r="A42" s="4"/>
      <c r="B42" s="4"/>
      <c r="C42" s="4"/>
      <c r="D42" s="4"/>
      <c r="E42" s="4"/>
      <c r="F42" s="4"/>
      <c r="G42" s="4"/>
    </row>
    <row r="43">
      <c r="A43" s="4"/>
      <c r="B43" s="4"/>
      <c r="C43" s="4"/>
      <c r="D43" s="4"/>
      <c r="E43" s="4"/>
      <c r="F43" s="4"/>
      <c r="G43" s="4"/>
    </row>
    <row r="44">
      <c r="A44" s="4"/>
      <c r="B44" s="4"/>
      <c r="C44" s="4"/>
      <c r="D44" s="4"/>
      <c r="E44" s="4"/>
      <c r="F44" s="4"/>
      <c r="G44" s="4"/>
    </row>
    <row r="45">
      <c r="A45" s="4"/>
      <c r="B45" s="4"/>
      <c r="C45" s="4"/>
      <c r="D45" s="4"/>
      <c r="E45" s="4"/>
      <c r="F45" s="4"/>
      <c r="G45" s="4"/>
    </row>
    <row r="46">
      <c r="A46" s="4"/>
      <c r="B46" s="4"/>
      <c r="C46" s="4"/>
      <c r="D46" s="4"/>
      <c r="E46" s="4"/>
      <c r="F46" s="4"/>
      <c r="G46" s="4"/>
    </row>
    <row r="47">
      <c r="A47" s="4"/>
      <c r="B47" s="4"/>
      <c r="C47" s="4"/>
      <c r="D47" s="4"/>
      <c r="E47" s="4"/>
      <c r="F47" s="4"/>
      <c r="G47" s="4"/>
    </row>
    <row r="48">
      <c r="A48" s="4"/>
      <c r="B48" s="4"/>
      <c r="C48" s="4"/>
      <c r="D48" s="4"/>
      <c r="E48" s="4"/>
      <c r="F48" s="4"/>
      <c r="G48" s="4"/>
    </row>
    <row r="49">
      <c r="A49" s="4"/>
      <c r="B49" s="4"/>
      <c r="C49" s="4"/>
      <c r="D49" s="4"/>
      <c r="E49" s="4"/>
      <c r="F49" s="4"/>
      <c r="G49" s="4"/>
    </row>
    <row r="50">
      <c r="A50" s="4"/>
      <c r="B50" s="4"/>
      <c r="C50" s="4"/>
      <c r="D50" s="4"/>
      <c r="E50" s="4"/>
      <c r="F50" s="4"/>
      <c r="G50" s="4"/>
    </row>
    <row r="51">
      <c r="A51" s="4"/>
      <c r="B51" s="4"/>
      <c r="C51" s="4"/>
      <c r="D51" s="4"/>
      <c r="E51" s="4"/>
      <c r="F51" s="4"/>
      <c r="G51" s="4"/>
    </row>
    <row r="52">
      <c r="A52" s="4"/>
      <c r="B52" s="4"/>
      <c r="C52" s="4"/>
      <c r="D52" s="4"/>
      <c r="E52" s="4"/>
      <c r="F52" s="4"/>
      <c r="G52" s="4"/>
    </row>
    <row r="53">
      <c r="A53" s="4"/>
      <c r="B53" s="4"/>
      <c r="C53" s="4"/>
      <c r="D53" s="4"/>
      <c r="E53" s="4"/>
      <c r="F53" s="4"/>
      <c r="G53" s="4"/>
    </row>
    <row r="54">
      <c r="A54" s="4"/>
      <c r="B54" s="4"/>
      <c r="C54" s="4"/>
      <c r="D54" s="4"/>
      <c r="E54" s="4"/>
      <c r="F54" s="4"/>
      <c r="G54" s="4"/>
    </row>
    <row r="55">
      <c r="A55" s="4"/>
      <c r="B55" s="4"/>
      <c r="C55" s="4"/>
      <c r="D55" s="4"/>
      <c r="E55" s="4"/>
      <c r="F55" s="4"/>
      <c r="G55" s="4"/>
    </row>
    <row r="56">
      <c r="A56" s="4"/>
      <c r="B56" s="4"/>
      <c r="C56" s="4"/>
      <c r="D56" s="4"/>
      <c r="E56" s="4"/>
      <c r="F56" s="4"/>
      <c r="G56" s="4"/>
    </row>
    <row r="57">
      <c r="A57" s="4"/>
      <c r="B57" s="4"/>
      <c r="C57" s="4"/>
      <c r="D57" s="4"/>
      <c r="E57" s="4"/>
      <c r="F57" s="4"/>
      <c r="G57" s="4"/>
    </row>
    <row r="58">
      <c r="A58" s="4"/>
      <c r="B58" s="4"/>
      <c r="C58" s="4"/>
      <c r="D58" s="4"/>
      <c r="E58" s="4"/>
      <c r="F58" s="4"/>
      <c r="G58" s="4"/>
    </row>
    <row r="59">
      <c r="A59" s="4"/>
      <c r="B59" s="4"/>
      <c r="C59" s="4"/>
      <c r="D59" s="4"/>
      <c r="E59" s="4"/>
      <c r="F59" s="4"/>
      <c r="G59" s="4"/>
    </row>
    <row r="60">
      <c r="A60" s="4"/>
      <c r="B60" s="4"/>
      <c r="C60" s="4"/>
      <c r="D60" s="4"/>
      <c r="E60" s="4"/>
      <c r="F60" s="4"/>
      <c r="G60" s="4"/>
    </row>
    <row r="61">
      <c r="A61" s="4"/>
      <c r="B61" s="4"/>
      <c r="C61" s="4"/>
      <c r="D61" s="4"/>
      <c r="E61" s="4"/>
      <c r="F61" s="4"/>
      <c r="G61" s="4"/>
    </row>
    <row r="62">
      <c r="A62" s="4"/>
      <c r="B62" s="4"/>
      <c r="C62" s="4"/>
      <c r="D62" s="4"/>
      <c r="E62" s="4"/>
      <c r="F62" s="4"/>
      <c r="G62" s="4"/>
    </row>
    <row r="63">
      <c r="A63" s="4"/>
      <c r="B63" s="4"/>
      <c r="C63" s="4"/>
      <c r="D63" s="4"/>
      <c r="E63" s="4"/>
      <c r="F63" s="4"/>
      <c r="G63" s="4"/>
    </row>
    <row r="64">
      <c r="A64" s="4"/>
      <c r="B64" s="4"/>
      <c r="C64" s="4"/>
      <c r="D64" s="4"/>
      <c r="E64" s="4"/>
      <c r="F64" s="4"/>
      <c r="G64" s="4"/>
    </row>
    <row r="65">
      <c r="A65" s="4"/>
      <c r="B65" s="4"/>
      <c r="C65" s="4"/>
      <c r="D65" s="4"/>
      <c r="E65" s="4"/>
      <c r="F65" s="4"/>
      <c r="G65" s="4"/>
    </row>
    <row r="66">
      <c r="A66" s="4"/>
      <c r="B66" s="4"/>
      <c r="C66" s="4"/>
      <c r="D66" s="4"/>
      <c r="E66" s="4"/>
      <c r="F66" s="4"/>
      <c r="G66" s="4"/>
    </row>
    <row r="67">
      <c r="A67" s="4"/>
      <c r="B67" s="4"/>
      <c r="C67" s="4"/>
      <c r="D67" s="4"/>
      <c r="E67" s="4"/>
      <c r="F67" s="4"/>
      <c r="G67" s="4"/>
    </row>
    <row r="68">
      <c r="A68" s="4"/>
      <c r="B68" s="4"/>
      <c r="C68" s="4"/>
      <c r="D68" s="4"/>
      <c r="E68" s="4"/>
      <c r="F68" s="4"/>
      <c r="G68" s="4"/>
    </row>
    <row r="69">
      <c r="A69" s="4"/>
      <c r="B69" s="4"/>
      <c r="C69" s="4"/>
      <c r="D69" s="4"/>
      <c r="E69" s="4"/>
      <c r="F69" s="4"/>
      <c r="G69" s="4"/>
    </row>
    <row r="70">
      <c r="A70" s="4"/>
      <c r="B70" s="4"/>
      <c r="C70" s="4"/>
      <c r="D70" s="4"/>
      <c r="E70" s="4"/>
      <c r="F70" s="4"/>
      <c r="G70" s="4"/>
    </row>
    <row r="71">
      <c r="A71" s="4"/>
      <c r="B71" s="4"/>
      <c r="C71" s="4"/>
      <c r="D71" s="4"/>
      <c r="E71" s="4"/>
      <c r="F71" s="4"/>
      <c r="G71" s="4"/>
    </row>
    <row r="72">
      <c r="A72" s="4"/>
      <c r="B72" s="4"/>
      <c r="C72" s="4"/>
      <c r="D72" s="4"/>
      <c r="E72" s="4"/>
      <c r="F72" s="4"/>
      <c r="G72" s="4"/>
    </row>
    <row r="73">
      <c r="A73" s="4"/>
      <c r="B73" s="4"/>
      <c r="C73" s="4"/>
      <c r="D73" s="4"/>
      <c r="E73" s="4"/>
      <c r="F73" s="4"/>
      <c r="G73" s="4"/>
    </row>
    <row r="74">
      <c r="A74" s="4"/>
      <c r="B74" s="4"/>
      <c r="C74" s="4"/>
      <c r="D74" s="4"/>
      <c r="E74" s="4"/>
      <c r="F74" s="4"/>
      <c r="G74" s="4"/>
    </row>
    <row r="75">
      <c r="A75" s="4"/>
      <c r="B75" s="4"/>
      <c r="C75" s="4"/>
      <c r="D75" s="4"/>
      <c r="E75" s="4"/>
      <c r="F75" s="4"/>
      <c r="G75" s="4"/>
    </row>
    <row r="76">
      <c r="A76" s="4"/>
      <c r="B76" s="4"/>
      <c r="C76" s="4"/>
      <c r="D76" s="4"/>
      <c r="E76" s="4"/>
      <c r="F76" s="4"/>
      <c r="G76" s="4"/>
    </row>
    <row r="77">
      <c r="A77" s="4"/>
      <c r="B77" s="4"/>
      <c r="C77" s="4"/>
      <c r="D77" s="4"/>
      <c r="E77" s="4"/>
      <c r="F77" s="4"/>
      <c r="G77" s="4"/>
    </row>
    <row r="78">
      <c r="A78" s="4"/>
      <c r="B78" s="4"/>
      <c r="C78" s="4"/>
      <c r="D78" s="4"/>
      <c r="E78" s="4"/>
      <c r="F78" s="4"/>
      <c r="G78" s="4"/>
    </row>
    <row r="79">
      <c r="A79" s="4"/>
      <c r="B79" s="4"/>
      <c r="C79" s="4"/>
      <c r="D79" s="4"/>
      <c r="E79" s="4"/>
      <c r="F79" s="4"/>
      <c r="G79" s="4"/>
    </row>
    <row r="80">
      <c r="A80" s="4"/>
      <c r="B80" s="4"/>
      <c r="C80" s="4"/>
      <c r="D80" s="4"/>
      <c r="E80" s="4"/>
      <c r="F80" s="4"/>
      <c r="G80" s="4"/>
    </row>
    <row r="81">
      <c r="A81" s="4"/>
      <c r="B81" s="4"/>
      <c r="C81" s="4"/>
      <c r="D81" s="4"/>
      <c r="E81" s="4"/>
      <c r="F81" s="4"/>
      <c r="G81" s="4"/>
    </row>
    <row r="82">
      <c r="A82" s="4"/>
      <c r="B82" s="4"/>
      <c r="C82" s="4"/>
      <c r="D82" s="4"/>
      <c r="E82" s="4"/>
      <c r="F82" s="4"/>
      <c r="G82" s="4"/>
    </row>
    <row r="83">
      <c r="A83" s="4"/>
      <c r="B83" s="4"/>
      <c r="C83" s="4"/>
      <c r="D83" s="4"/>
      <c r="E83" s="4"/>
      <c r="F83" s="4"/>
      <c r="G83" s="4"/>
    </row>
    <row r="84">
      <c r="A84" s="4"/>
      <c r="B84" s="4"/>
      <c r="C84" s="4"/>
      <c r="D84" s="4"/>
      <c r="E84" s="4"/>
      <c r="F84" s="4"/>
      <c r="G84" s="4"/>
    </row>
    <row r="85">
      <c r="A85" s="4"/>
      <c r="B85" s="4"/>
      <c r="C85" s="4"/>
      <c r="D85" s="4"/>
      <c r="E85" s="4"/>
      <c r="F85" s="4"/>
      <c r="G85" s="4"/>
    </row>
    <row r="86">
      <c r="A86" s="4"/>
      <c r="B86" s="4"/>
      <c r="C86" s="4"/>
      <c r="D86" s="4"/>
      <c r="E86" s="4"/>
      <c r="F86" s="4"/>
      <c r="G86" s="4"/>
    </row>
    <row r="87">
      <c r="A87" s="4"/>
      <c r="B87" s="4"/>
      <c r="C87" s="4"/>
      <c r="D87" s="4"/>
      <c r="E87" s="4"/>
      <c r="F87" s="4"/>
      <c r="G87" s="4"/>
    </row>
    <row r="88">
      <c r="A88" s="4"/>
      <c r="B88" s="4"/>
      <c r="C88" s="4"/>
      <c r="D88" s="4"/>
      <c r="E88" s="4"/>
      <c r="F88" s="4"/>
      <c r="G88" s="4"/>
    </row>
    <row r="89">
      <c r="A89" s="4"/>
      <c r="B89" s="4"/>
      <c r="C89" s="4"/>
      <c r="D89" s="4"/>
      <c r="E89" s="4"/>
      <c r="F89" s="4"/>
      <c r="G89" s="4"/>
    </row>
    <row r="90">
      <c r="A90" s="4"/>
      <c r="B90" s="4"/>
      <c r="C90" s="4"/>
      <c r="D90" s="4"/>
      <c r="E90" s="4"/>
      <c r="F90" s="4"/>
      <c r="G90" s="4"/>
    </row>
    <row r="91">
      <c r="A91" s="4"/>
      <c r="B91" s="4"/>
      <c r="C91" s="4"/>
      <c r="D91" s="4"/>
      <c r="E91" s="4"/>
      <c r="F91" s="4"/>
      <c r="G91" s="4"/>
    </row>
    <row r="92">
      <c r="A92" s="4"/>
      <c r="B92" s="4"/>
      <c r="C92" s="4"/>
      <c r="D92" s="4"/>
      <c r="E92" s="4"/>
      <c r="F92" s="4"/>
      <c r="G92" s="4"/>
    </row>
    <row r="93">
      <c r="A93" s="4"/>
      <c r="B93" s="4"/>
      <c r="C93" s="4"/>
      <c r="D93" s="4"/>
      <c r="E93" s="4"/>
      <c r="F93" s="4"/>
      <c r="G93" s="4"/>
    </row>
    <row r="94">
      <c r="A94" s="4"/>
      <c r="B94" s="4"/>
      <c r="C94" s="4"/>
      <c r="D94" s="4"/>
      <c r="E94" s="4"/>
      <c r="F94" s="4"/>
      <c r="G94" s="4"/>
    </row>
    <row r="95">
      <c r="A95" s="4"/>
      <c r="B95" s="4"/>
      <c r="C95" s="4"/>
      <c r="D95" s="4"/>
      <c r="E95" s="4"/>
      <c r="F95" s="4"/>
      <c r="G95" s="4"/>
    </row>
    <row r="96">
      <c r="A96" s="4"/>
      <c r="B96" s="4"/>
      <c r="C96" s="4"/>
      <c r="D96" s="4"/>
      <c r="E96" s="4"/>
      <c r="F96" s="4"/>
      <c r="G96" s="4"/>
    </row>
    <row r="97">
      <c r="A97" s="4"/>
      <c r="B97" s="4"/>
      <c r="C97" s="4"/>
      <c r="D97" s="4"/>
      <c r="E97" s="4"/>
      <c r="F97" s="4"/>
      <c r="G97" s="4"/>
    </row>
    <row r="98">
      <c r="A98" s="4"/>
      <c r="B98" s="4"/>
      <c r="C98" s="4"/>
      <c r="D98" s="4"/>
      <c r="E98" s="4"/>
      <c r="F98" s="4"/>
      <c r="G98" s="4"/>
    </row>
    <row r="99">
      <c r="A99" s="4"/>
      <c r="B99" s="4"/>
      <c r="C99" s="4"/>
      <c r="D99" s="4"/>
      <c r="E99" s="4"/>
      <c r="F99" s="4"/>
      <c r="G99" s="4"/>
    </row>
    <row r="100">
      <c r="A100" s="4"/>
      <c r="B100" s="4"/>
      <c r="C100" s="4"/>
      <c r="D100" s="4"/>
      <c r="E100" s="4"/>
      <c r="F100" s="4"/>
      <c r="G100" s="4"/>
    </row>
    <row r="101">
      <c r="A101" s="4"/>
      <c r="B101" s="4"/>
      <c r="C101" s="4"/>
      <c r="D101" s="4"/>
      <c r="E101" s="4"/>
      <c r="F101" s="4"/>
      <c r="G101" s="4"/>
    </row>
    <row r="102">
      <c r="A102" s="4"/>
      <c r="B102" s="4"/>
      <c r="C102" s="4"/>
      <c r="D102" s="4"/>
      <c r="E102" s="4"/>
      <c r="F102" s="4"/>
      <c r="G102" s="4"/>
    </row>
    <row r="103">
      <c r="A103" s="4"/>
      <c r="B103" s="4"/>
      <c r="C103" s="4"/>
      <c r="D103" s="4"/>
      <c r="E103" s="4"/>
      <c r="F103" s="4"/>
      <c r="G103" s="4"/>
    </row>
    <row r="104">
      <c r="A104" s="4"/>
      <c r="B104" s="4"/>
      <c r="C104" s="4"/>
      <c r="D104" s="4"/>
      <c r="E104" s="4"/>
      <c r="F104" s="4"/>
      <c r="G104" s="4"/>
    </row>
    <row r="105">
      <c r="A105" s="4"/>
      <c r="B105" s="4"/>
      <c r="C105" s="4"/>
      <c r="D105" s="4"/>
      <c r="E105" s="4"/>
      <c r="F105" s="4"/>
      <c r="G105" s="4"/>
    </row>
    <row r="106">
      <c r="A106" s="4"/>
      <c r="B106" s="4"/>
      <c r="C106" s="4"/>
      <c r="D106" s="4"/>
      <c r="E106" s="4"/>
      <c r="F106" s="4"/>
      <c r="G106" s="4"/>
    </row>
    <row r="107">
      <c r="A107" s="4"/>
      <c r="B107" s="4"/>
      <c r="C107" s="4"/>
      <c r="D107" s="4"/>
      <c r="E107" s="4"/>
      <c r="F107" s="4"/>
      <c r="G107" s="4"/>
    </row>
    <row r="108">
      <c r="A108" s="4"/>
      <c r="B108" s="4"/>
      <c r="C108" s="4"/>
      <c r="D108" s="4"/>
      <c r="E108" s="4"/>
      <c r="F108" s="4"/>
      <c r="G108" s="4"/>
    </row>
    <row r="109">
      <c r="A109" s="4"/>
      <c r="B109" s="4"/>
      <c r="C109" s="4"/>
      <c r="D109" s="4"/>
      <c r="E109" s="4"/>
      <c r="F109" s="4"/>
      <c r="G109" s="4"/>
    </row>
    <row r="110">
      <c r="A110" s="4"/>
      <c r="B110" s="4"/>
      <c r="C110" s="4"/>
      <c r="D110" s="4"/>
      <c r="E110" s="4"/>
      <c r="F110" s="4"/>
      <c r="G110" s="4"/>
    </row>
    <row r="111">
      <c r="A111" s="4"/>
      <c r="B111" s="4"/>
      <c r="C111" s="4"/>
      <c r="D111" s="4"/>
      <c r="E111" s="4"/>
      <c r="F111" s="4"/>
      <c r="G111" s="4"/>
    </row>
    <row r="112">
      <c r="A112" s="4"/>
      <c r="B112" s="4"/>
      <c r="C112" s="4"/>
      <c r="D112" s="4"/>
      <c r="E112" s="4"/>
      <c r="F112" s="4"/>
      <c r="G112" s="4"/>
    </row>
    <row r="113">
      <c r="A113" s="4"/>
      <c r="B113" s="4"/>
      <c r="C113" s="4"/>
      <c r="D113" s="4"/>
      <c r="E113" s="4"/>
      <c r="F113" s="4"/>
      <c r="G113" s="4"/>
    </row>
    <row r="114">
      <c r="A114" s="4"/>
      <c r="B114" s="4"/>
      <c r="C114" s="4"/>
      <c r="D114" s="4"/>
      <c r="E114" s="4"/>
      <c r="F114" s="4"/>
      <c r="G114" s="4"/>
    </row>
    <row r="115">
      <c r="A115" s="4"/>
      <c r="B115" s="4"/>
      <c r="C115" s="4"/>
      <c r="D115" s="4"/>
      <c r="E115" s="4"/>
      <c r="F115" s="4"/>
      <c r="G115" s="4"/>
    </row>
    <row r="116">
      <c r="A116" s="4"/>
      <c r="B116" s="4"/>
      <c r="C116" s="4"/>
      <c r="D116" s="4"/>
      <c r="E116" s="4"/>
      <c r="F116" s="4"/>
      <c r="G116" s="4"/>
    </row>
    <row r="117">
      <c r="A117" s="4"/>
      <c r="B117" s="4"/>
      <c r="C117" s="4"/>
      <c r="D117" s="4"/>
      <c r="E117" s="4"/>
      <c r="F117" s="4"/>
      <c r="G117" s="4"/>
    </row>
    <row r="118">
      <c r="A118" s="4"/>
      <c r="B118" s="4"/>
      <c r="C118" s="4"/>
      <c r="D118" s="4"/>
      <c r="E118" s="4"/>
      <c r="F118" s="4"/>
      <c r="G118" s="4"/>
    </row>
    <row r="119">
      <c r="A119" s="4"/>
      <c r="B119" s="4"/>
      <c r="C119" s="4"/>
      <c r="D119" s="4"/>
      <c r="E119" s="4"/>
      <c r="F119" s="4"/>
      <c r="G119" s="4"/>
    </row>
    <row r="120">
      <c r="A120" s="4"/>
      <c r="B120" s="4"/>
      <c r="C120" s="4"/>
      <c r="D120" s="4"/>
      <c r="E120" s="4"/>
      <c r="F120" s="4"/>
      <c r="G120" s="4"/>
    </row>
    <row r="121">
      <c r="A121" s="4"/>
      <c r="B121" s="4"/>
      <c r="C121" s="4"/>
      <c r="D121" s="4"/>
      <c r="E121" s="4"/>
      <c r="F121" s="4"/>
      <c r="G121" s="4"/>
    </row>
    <row r="122">
      <c r="A122" s="4"/>
      <c r="B122" s="4"/>
      <c r="C122" s="4"/>
      <c r="D122" s="4"/>
      <c r="E122" s="4"/>
      <c r="F122" s="4"/>
      <c r="G122" s="4"/>
    </row>
    <row r="123">
      <c r="A123" s="4"/>
      <c r="B123" s="4"/>
      <c r="C123" s="4"/>
      <c r="D123" s="4"/>
      <c r="E123" s="4"/>
      <c r="F123" s="4"/>
      <c r="G123" s="4"/>
    </row>
    <row r="124">
      <c r="A124" s="4"/>
      <c r="B124" s="4"/>
      <c r="C124" s="4"/>
      <c r="D124" s="4"/>
      <c r="E124" s="4"/>
      <c r="F124" s="4"/>
      <c r="G124" s="4"/>
    </row>
    <row r="125">
      <c r="A125" s="4"/>
      <c r="B125" s="4"/>
      <c r="C125" s="4"/>
      <c r="D125" s="4"/>
      <c r="E125" s="4"/>
      <c r="F125" s="4"/>
      <c r="G125" s="4"/>
    </row>
    <row r="126">
      <c r="A126" s="4"/>
      <c r="B126" s="4"/>
      <c r="C126" s="4"/>
      <c r="D126" s="4"/>
      <c r="E126" s="4"/>
      <c r="F126" s="4"/>
      <c r="G126" s="4"/>
    </row>
    <row r="127">
      <c r="A127" s="4"/>
      <c r="B127" s="4"/>
      <c r="C127" s="4"/>
      <c r="D127" s="4"/>
      <c r="E127" s="4"/>
      <c r="F127" s="4"/>
      <c r="G127" s="4"/>
    </row>
    <row r="128">
      <c r="A128" s="4"/>
      <c r="B128" s="4"/>
      <c r="C128" s="4"/>
      <c r="D128" s="4"/>
      <c r="E128" s="4"/>
      <c r="F128" s="4"/>
      <c r="G128" s="4"/>
    </row>
    <row r="129">
      <c r="A129" s="4"/>
      <c r="B129" s="4"/>
      <c r="C129" s="4"/>
      <c r="D129" s="4"/>
      <c r="E129" s="4"/>
      <c r="F129" s="4"/>
      <c r="G129" s="4"/>
    </row>
    <row r="130">
      <c r="A130" s="4"/>
      <c r="B130" s="4"/>
      <c r="C130" s="4"/>
      <c r="D130" s="4"/>
      <c r="E130" s="4"/>
      <c r="F130" s="4"/>
      <c r="G130" s="4"/>
    </row>
    <row r="131">
      <c r="A131" s="4"/>
      <c r="B131" s="4"/>
      <c r="C131" s="4"/>
      <c r="D131" s="4"/>
      <c r="E131" s="4"/>
      <c r="F131" s="4"/>
      <c r="G131" s="4"/>
    </row>
    <row r="132">
      <c r="A132" s="4"/>
      <c r="B132" s="4"/>
      <c r="C132" s="4"/>
      <c r="D132" s="4"/>
      <c r="E132" s="4"/>
      <c r="F132" s="4"/>
      <c r="G132" s="4"/>
    </row>
    <row r="133">
      <c r="A133" s="4"/>
      <c r="B133" s="4"/>
      <c r="C133" s="4"/>
      <c r="D133" s="4"/>
      <c r="E133" s="4"/>
      <c r="F133" s="4"/>
      <c r="G133" s="4"/>
    </row>
    <row r="134">
      <c r="A134" s="4"/>
      <c r="B134" s="4"/>
      <c r="C134" s="4"/>
      <c r="D134" s="4"/>
      <c r="E134" s="4"/>
      <c r="F134" s="4"/>
      <c r="G134" s="4"/>
    </row>
    <row r="135">
      <c r="A135" s="4"/>
      <c r="B135" s="4"/>
      <c r="C135" s="4"/>
      <c r="D135" s="4"/>
      <c r="E135" s="4"/>
      <c r="F135" s="4"/>
      <c r="G135" s="4"/>
    </row>
    <row r="136">
      <c r="A136" s="4"/>
      <c r="B136" s="4"/>
      <c r="C136" s="4"/>
      <c r="D136" s="4"/>
      <c r="E136" s="4"/>
      <c r="F136" s="4"/>
      <c r="G136" s="4"/>
    </row>
    <row r="137">
      <c r="A137" s="4"/>
      <c r="B137" s="4"/>
      <c r="C137" s="4"/>
      <c r="D137" s="4"/>
      <c r="E137" s="4"/>
      <c r="F137" s="4"/>
      <c r="G137" s="4"/>
    </row>
    <row r="138">
      <c r="A138" s="4"/>
      <c r="B138" s="4"/>
      <c r="C138" s="4"/>
      <c r="D138" s="4"/>
      <c r="E138" s="4"/>
      <c r="F138" s="4"/>
      <c r="G138" s="4"/>
    </row>
    <row r="139">
      <c r="A139" s="4"/>
      <c r="B139" s="4"/>
      <c r="C139" s="4"/>
      <c r="D139" s="4"/>
      <c r="E139" s="4"/>
      <c r="F139" s="4"/>
      <c r="G139" s="4"/>
    </row>
    <row r="140">
      <c r="A140" s="4"/>
      <c r="B140" s="4"/>
      <c r="C140" s="4"/>
      <c r="D140" s="4"/>
      <c r="E140" s="4"/>
      <c r="F140" s="4"/>
      <c r="G140" s="4"/>
    </row>
    <row r="141">
      <c r="A141" s="4"/>
      <c r="B141" s="4"/>
      <c r="C141" s="4"/>
      <c r="D141" s="4"/>
      <c r="E141" s="4"/>
      <c r="F141" s="4"/>
      <c r="G141" s="4"/>
    </row>
    <row r="142">
      <c r="A142" s="4"/>
      <c r="B142" s="4"/>
      <c r="C142" s="4"/>
      <c r="D142" s="4"/>
      <c r="E142" s="4"/>
      <c r="F142" s="4"/>
      <c r="G142" s="4"/>
    </row>
    <row r="143">
      <c r="A143" s="4"/>
      <c r="B143" s="4"/>
      <c r="C143" s="4"/>
      <c r="D143" s="4"/>
      <c r="E143" s="4"/>
      <c r="F143" s="4"/>
      <c r="G143" s="4"/>
    </row>
    <row r="144">
      <c r="A144" s="4"/>
      <c r="B144" s="4"/>
      <c r="C144" s="4"/>
      <c r="D144" s="4"/>
      <c r="E144" s="4"/>
      <c r="F144" s="4"/>
      <c r="G144" s="4"/>
    </row>
    <row r="145">
      <c r="A145" s="4"/>
      <c r="B145" s="4"/>
      <c r="C145" s="4"/>
      <c r="D145" s="4"/>
      <c r="E145" s="4"/>
      <c r="F145" s="4"/>
      <c r="G145" s="4"/>
    </row>
    <row r="146">
      <c r="A146" s="4"/>
      <c r="B146" s="4"/>
      <c r="C146" s="4"/>
      <c r="D146" s="4"/>
      <c r="E146" s="4"/>
      <c r="F146" s="4"/>
      <c r="G146" s="4"/>
    </row>
    <row r="147">
      <c r="A147" s="4"/>
      <c r="B147" s="4"/>
      <c r="C147" s="4"/>
      <c r="D147" s="4"/>
      <c r="E147" s="4"/>
      <c r="F147" s="4"/>
      <c r="G147" s="4"/>
    </row>
    <row r="148">
      <c r="A148" s="4"/>
      <c r="B148" s="4"/>
      <c r="C148" s="4"/>
      <c r="D148" s="4"/>
      <c r="E148" s="4"/>
      <c r="F148" s="4"/>
      <c r="G148" s="4"/>
    </row>
    <row r="149">
      <c r="A149" s="4"/>
      <c r="B149" s="4"/>
      <c r="C149" s="4"/>
      <c r="D149" s="4"/>
      <c r="E149" s="4"/>
      <c r="F149" s="4"/>
      <c r="G149" s="4"/>
    </row>
    <row r="150">
      <c r="A150" s="4"/>
      <c r="B150" s="4"/>
      <c r="C150" s="4"/>
      <c r="D150" s="4"/>
      <c r="E150" s="4"/>
      <c r="F150" s="4"/>
      <c r="G150" s="4"/>
    </row>
    <row r="151">
      <c r="A151" s="4"/>
      <c r="B151" s="4"/>
      <c r="C151" s="4"/>
      <c r="D151" s="4"/>
      <c r="E151" s="4"/>
      <c r="F151" s="4"/>
      <c r="G151" s="4"/>
    </row>
    <row r="152">
      <c r="A152" s="4"/>
      <c r="B152" s="4"/>
      <c r="C152" s="4"/>
      <c r="D152" s="4"/>
      <c r="E152" s="4"/>
      <c r="F152" s="4"/>
      <c r="G152" s="4"/>
    </row>
    <row r="153">
      <c r="A153" s="4"/>
      <c r="B153" s="4"/>
      <c r="C153" s="4"/>
      <c r="D153" s="4"/>
      <c r="E153" s="4"/>
      <c r="F153" s="4"/>
      <c r="G153" s="4"/>
    </row>
    <row r="154">
      <c r="A154" s="4"/>
      <c r="B154" s="4"/>
      <c r="C154" s="4"/>
      <c r="D154" s="4"/>
      <c r="E154" s="4"/>
      <c r="F154" s="4"/>
      <c r="G154" s="4"/>
    </row>
    <row r="155">
      <c r="A155" s="4"/>
      <c r="B155" s="4"/>
      <c r="C155" s="4"/>
      <c r="D155" s="4"/>
      <c r="E155" s="4"/>
      <c r="F155" s="4"/>
      <c r="G155" s="4"/>
    </row>
    <row r="156">
      <c r="A156" s="4"/>
      <c r="B156" s="4"/>
      <c r="C156" s="4"/>
      <c r="D156" s="4"/>
      <c r="E156" s="4"/>
      <c r="F156" s="4"/>
      <c r="G156" s="4"/>
    </row>
    <row r="157">
      <c r="A157" s="4"/>
      <c r="B157" s="4"/>
      <c r="C157" s="4"/>
      <c r="D157" s="4"/>
      <c r="E157" s="4"/>
      <c r="F157" s="4"/>
      <c r="G157" s="4"/>
    </row>
    <row r="158">
      <c r="A158" s="4"/>
      <c r="B158" s="4"/>
      <c r="C158" s="4"/>
      <c r="D158" s="4"/>
      <c r="E158" s="4"/>
      <c r="F158" s="4"/>
      <c r="G158" s="4"/>
    </row>
    <row r="159">
      <c r="A159" s="4"/>
      <c r="B159" s="4"/>
      <c r="C159" s="4"/>
      <c r="D159" s="4"/>
      <c r="E159" s="4"/>
      <c r="F159" s="4"/>
      <c r="G159" s="4"/>
    </row>
    <row r="160">
      <c r="A160" s="4"/>
      <c r="B160" s="4"/>
      <c r="C160" s="4"/>
      <c r="D160" s="4"/>
      <c r="E160" s="4"/>
      <c r="F160" s="4"/>
      <c r="G160" s="4"/>
    </row>
    <row r="161">
      <c r="A161" s="4"/>
      <c r="B161" s="4"/>
      <c r="C161" s="4"/>
      <c r="D161" s="4"/>
      <c r="E161" s="4"/>
      <c r="F161" s="4"/>
      <c r="G161" s="4"/>
    </row>
    <row r="162">
      <c r="A162" s="4"/>
      <c r="B162" s="4"/>
      <c r="C162" s="4"/>
      <c r="D162" s="4"/>
      <c r="E162" s="4"/>
      <c r="F162" s="4"/>
      <c r="G162" s="4"/>
    </row>
    <row r="163">
      <c r="A163" s="4"/>
      <c r="B163" s="4"/>
      <c r="C163" s="4"/>
      <c r="D163" s="4"/>
      <c r="E163" s="4"/>
      <c r="F163" s="4"/>
      <c r="G163" s="4"/>
    </row>
    <row r="164">
      <c r="A164" s="4"/>
      <c r="B164" s="4"/>
      <c r="C164" s="4"/>
      <c r="D164" s="4"/>
      <c r="E164" s="4"/>
      <c r="F164" s="4"/>
      <c r="G164" s="4"/>
    </row>
    <row r="165">
      <c r="A165" s="4"/>
      <c r="B165" s="4"/>
      <c r="C165" s="4"/>
      <c r="D165" s="4"/>
      <c r="E165" s="4"/>
      <c r="F165" s="4"/>
      <c r="G165" s="4"/>
    </row>
    <row r="166">
      <c r="A166" s="4"/>
      <c r="B166" s="4"/>
      <c r="C166" s="4"/>
      <c r="D166" s="4"/>
      <c r="E166" s="4"/>
      <c r="F166" s="4"/>
      <c r="G166" s="4"/>
    </row>
    <row r="167">
      <c r="A167" s="4"/>
      <c r="B167" s="4"/>
      <c r="C167" s="4"/>
      <c r="D167" s="4"/>
      <c r="E167" s="4"/>
      <c r="F167" s="4"/>
      <c r="G167" s="4"/>
    </row>
    <row r="168">
      <c r="A168" s="4"/>
      <c r="B168" s="4"/>
      <c r="C168" s="4"/>
      <c r="D168" s="4"/>
      <c r="E168" s="4"/>
      <c r="F168" s="4"/>
      <c r="G168" s="4"/>
    </row>
    <row r="169">
      <c r="A169" s="4"/>
      <c r="B169" s="4"/>
      <c r="C169" s="4"/>
      <c r="D169" s="4"/>
      <c r="E169" s="4"/>
      <c r="F169" s="4"/>
      <c r="G169" s="4"/>
    </row>
    <row r="170">
      <c r="A170" s="4"/>
      <c r="B170" s="4"/>
      <c r="C170" s="4"/>
      <c r="D170" s="4"/>
      <c r="E170" s="4"/>
      <c r="F170" s="4"/>
      <c r="G170" s="4"/>
    </row>
    <row r="171">
      <c r="A171" s="4"/>
      <c r="B171" s="4"/>
      <c r="C171" s="4"/>
      <c r="D171" s="4"/>
      <c r="E171" s="4"/>
      <c r="F171" s="4"/>
      <c r="G171" s="4"/>
    </row>
    <row r="172">
      <c r="A172" s="4"/>
      <c r="B172" s="4"/>
      <c r="C172" s="4"/>
      <c r="D172" s="4"/>
      <c r="E172" s="4"/>
      <c r="F172" s="4"/>
      <c r="G172" s="4"/>
    </row>
    <row r="173">
      <c r="A173" s="4"/>
      <c r="B173" s="4"/>
      <c r="C173" s="4"/>
      <c r="D173" s="4"/>
      <c r="E173" s="4"/>
      <c r="F173" s="4"/>
      <c r="G173" s="4"/>
    </row>
    <row r="174">
      <c r="A174" s="4"/>
      <c r="B174" s="4"/>
      <c r="C174" s="4"/>
      <c r="D174" s="4"/>
      <c r="E174" s="4"/>
      <c r="F174" s="4"/>
      <c r="G174" s="4"/>
    </row>
    <row r="175">
      <c r="A175" s="4"/>
      <c r="B175" s="4"/>
      <c r="C175" s="4"/>
      <c r="D175" s="4"/>
      <c r="E175" s="4"/>
      <c r="F175" s="4"/>
      <c r="G175" s="4"/>
    </row>
    <row r="176">
      <c r="A176" s="4"/>
      <c r="B176" s="4"/>
      <c r="C176" s="4"/>
      <c r="D176" s="4"/>
      <c r="E176" s="4"/>
      <c r="F176" s="4"/>
      <c r="G176" s="4"/>
    </row>
    <row r="177">
      <c r="A177" s="4"/>
      <c r="B177" s="4"/>
      <c r="C177" s="4"/>
      <c r="D177" s="4"/>
      <c r="E177" s="4"/>
      <c r="F177" s="4"/>
      <c r="G177" s="4"/>
    </row>
    <row r="178">
      <c r="A178" s="4"/>
      <c r="B178" s="4"/>
      <c r="C178" s="4"/>
      <c r="D178" s="4"/>
      <c r="E178" s="4"/>
      <c r="F178" s="4"/>
      <c r="G178" s="4"/>
    </row>
    <row r="179">
      <c r="A179" s="4"/>
      <c r="B179" s="4"/>
      <c r="C179" s="4"/>
      <c r="D179" s="4"/>
      <c r="E179" s="4"/>
      <c r="F179" s="4"/>
      <c r="G179" s="4"/>
    </row>
    <row r="180">
      <c r="A180" s="4"/>
      <c r="B180" s="4"/>
      <c r="C180" s="4"/>
      <c r="D180" s="4"/>
      <c r="E180" s="4"/>
      <c r="F180" s="4"/>
      <c r="G180" s="4"/>
    </row>
    <row r="181">
      <c r="A181" s="4"/>
      <c r="B181" s="4"/>
      <c r="C181" s="4"/>
      <c r="D181" s="4"/>
      <c r="E181" s="4"/>
      <c r="F181" s="4"/>
      <c r="G181" s="4"/>
    </row>
    <row r="182">
      <c r="A182" s="4"/>
      <c r="B182" s="4"/>
      <c r="C182" s="4"/>
      <c r="D182" s="4"/>
      <c r="E182" s="4"/>
      <c r="F182" s="4"/>
      <c r="G182" s="4"/>
    </row>
    <row r="183">
      <c r="A183" s="4"/>
      <c r="B183" s="4"/>
      <c r="C183" s="4"/>
      <c r="D183" s="4"/>
      <c r="E183" s="4"/>
      <c r="F183" s="4"/>
      <c r="G183" s="4"/>
    </row>
    <row r="184">
      <c r="A184" s="4"/>
      <c r="B184" s="4"/>
      <c r="C184" s="4"/>
      <c r="D184" s="4"/>
      <c r="E184" s="4"/>
      <c r="F184" s="4"/>
      <c r="G184" s="4"/>
    </row>
    <row r="185">
      <c r="A185" s="4"/>
      <c r="B185" s="4"/>
      <c r="C185" s="4"/>
      <c r="D185" s="4"/>
      <c r="E185" s="4"/>
      <c r="F185" s="4"/>
      <c r="G185" s="4"/>
    </row>
    <row r="186">
      <c r="A186" s="4"/>
      <c r="B186" s="4"/>
      <c r="C186" s="4"/>
      <c r="D186" s="4"/>
      <c r="E186" s="4"/>
      <c r="F186" s="4"/>
      <c r="G186" s="4"/>
    </row>
    <row r="187">
      <c r="A187" s="4"/>
      <c r="B187" s="4"/>
      <c r="C187" s="4"/>
      <c r="D187" s="4"/>
      <c r="E187" s="4"/>
      <c r="F187" s="4"/>
      <c r="G187" s="4"/>
    </row>
    <row r="188">
      <c r="A188" s="4"/>
      <c r="B188" s="4"/>
      <c r="C188" s="4"/>
      <c r="D188" s="4"/>
      <c r="E188" s="4"/>
      <c r="F188" s="4"/>
      <c r="G188" s="4"/>
    </row>
    <row r="189">
      <c r="A189" s="4"/>
      <c r="B189" s="4"/>
      <c r="C189" s="4"/>
      <c r="D189" s="4"/>
      <c r="E189" s="4"/>
      <c r="F189" s="4"/>
      <c r="G189" s="4"/>
    </row>
    <row r="190">
      <c r="A190" s="4"/>
      <c r="B190" s="4"/>
      <c r="C190" s="4"/>
      <c r="D190" s="4"/>
      <c r="E190" s="4"/>
      <c r="F190" s="4"/>
      <c r="G190" s="4"/>
    </row>
    <row r="191">
      <c r="A191" s="4"/>
      <c r="B191" s="4"/>
      <c r="C191" s="4"/>
      <c r="D191" s="4"/>
      <c r="E191" s="4"/>
      <c r="F191" s="4"/>
      <c r="G191" s="4"/>
    </row>
    <row r="192">
      <c r="A192" s="4"/>
      <c r="B192" s="4"/>
      <c r="C192" s="4"/>
      <c r="D192" s="4"/>
      <c r="E192" s="4"/>
      <c r="F192" s="4"/>
      <c r="G192" s="4"/>
    </row>
    <row r="193">
      <c r="A193" s="4"/>
      <c r="B193" s="4"/>
      <c r="C193" s="4"/>
      <c r="D193" s="4"/>
      <c r="E193" s="4"/>
      <c r="F193" s="4"/>
      <c r="G193" s="4"/>
    </row>
    <row r="194">
      <c r="A194" s="4"/>
      <c r="B194" s="4"/>
      <c r="C194" s="4"/>
      <c r="D194" s="4"/>
      <c r="E194" s="4"/>
      <c r="F194" s="4"/>
      <c r="G194" s="4"/>
    </row>
    <row r="195">
      <c r="A195" s="4"/>
      <c r="B195" s="4"/>
      <c r="C195" s="4"/>
      <c r="D195" s="4"/>
      <c r="E195" s="4"/>
      <c r="F195" s="4"/>
      <c r="G195" s="4"/>
    </row>
    <row r="196">
      <c r="A196" s="4"/>
      <c r="B196" s="4"/>
      <c r="C196" s="4"/>
      <c r="D196" s="4"/>
      <c r="E196" s="4"/>
      <c r="F196" s="4"/>
      <c r="G196" s="4"/>
    </row>
    <row r="197">
      <c r="A197" s="4"/>
      <c r="B197" s="4"/>
      <c r="C197" s="4"/>
      <c r="D197" s="4"/>
      <c r="E197" s="4"/>
      <c r="F197" s="4"/>
      <c r="G197" s="4"/>
    </row>
    <row r="198">
      <c r="A198" s="4"/>
      <c r="B198" s="4"/>
      <c r="C198" s="4"/>
      <c r="D198" s="4"/>
      <c r="E198" s="4"/>
      <c r="F198" s="4"/>
      <c r="G198" s="4"/>
    </row>
    <row r="199">
      <c r="A199" s="4"/>
      <c r="B199" s="4"/>
      <c r="C199" s="4"/>
      <c r="D199" s="4"/>
      <c r="E199" s="4"/>
      <c r="F199" s="4"/>
      <c r="G199" s="4"/>
    </row>
    <row r="200">
      <c r="A200" s="4"/>
      <c r="B200" s="4"/>
      <c r="C200" s="4"/>
      <c r="D200" s="4"/>
      <c r="E200" s="4"/>
      <c r="F200" s="4"/>
      <c r="G200" s="4"/>
    </row>
    <row r="201">
      <c r="A201" s="4"/>
      <c r="B201" s="4"/>
      <c r="C201" s="4"/>
      <c r="D201" s="4"/>
      <c r="E201" s="4"/>
      <c r="F201" s="4"/>
      <c r="G201" s="4"/>
    </row>
    <row r="202">
      <c r="A202" s="4"/>
      <c r="B202" s="4"/>
      <c r="C202" s="4"/>
      <c r="D202" s="4"/>
      <c r="E202" s="4"/>
      <c r="F202" s="4"/>
      <c r="G202" s="4"/>
    </row>
    <row r="203">
      <c r="A203" s="4"/>
      <c r="B203" s="4"/>
      <c r="C203" s="4"/>
      <c r="D203" s="4"/>
      <c r="E203" s="4"/>
      <c r="F203" s="4"/>
      <c r="G203" s="4"/>
    </row>
    <row r="204">
      <c r="A204" s="4"/>
      <c r="B204" s="4"/>
      <c r="C204" s="4"/>
      <c r="D204" s="4"/>
      <c r="E204" s="4"/>
      <c r="F204" s="4"/>
      <c r="G204" s="4"/>
    </row>
    <row r="205">
      <c r="A205" s="4"/>
      <c r="B205" s="4"/>
      <c r="C205" s="4"/>
      <c r="D205" s="4"/>
      <c r="E205" s="4"/>
      <c r="F205" s="4"/>
      <c r="G205" s="4"/>
    </row>
    <row r="206">
      <c r="A206" s="4"/>
      <c r="B206" s="4"/>
      <c r="C206" s="4"/>
      <c r="D206" s="4"/>
      <c r="E206" s="4"/>
      <c r="F206" s="4"/>
      <c r="G206" s="4"/>
    </row>
    <row r="207">
      <c r="A207" s="4"/>
      <c r="B207" s="4"/>
      <c r="C207" s="4"/>
      <c r="D207" s="4"/>
      <c r="E207" s="4"/>
      <c r="F207" s="4"/>
      <c r="G207" s="4"/>
    </row>
    <row r="208">
      <c r="A208" s="4"/>
      <c r="B208" s="4"/>
      <c r="C208" s="4"/>
      <c r="D208" s="4"/>
      <c r="E208" s="4"/>
      <c r="F208" s="4"/>
      <c r="G208" s="4"/>
    </row>
    <row r="209">
      <c r="A209" s="4"/>
      <c r="B209" s="4"/>
      <c r="C209" s="4"/>
      <c r="D209" s="4"/>
      <c r="E209" s="4"/>
      <c r="F209" s="4"/>
      <c r="G209" s="4"/>
    </row>
    <row r="210">
      <c r="A210" s="4"/>
      <c r="B210" s="4"/>
      <c r="C210" s="4"/>
      <c r="D210" s="4"/>
      <c r="E210" s="4"/>
      <c r="F210" s="4"/>
      <c r="G210" s="4"/>
    </row>
    <row r="211">
      <c r="A211" s="4"/>
      <c r="B211" s="4"/>
      <c r="C211" s="4"/>
      <c r="D211" s="4"/>
      <c r="E211" s="4"/>
      <c r="F211" s="4"/>
      <c r="G211" s="4"/>
    </row>
    <row r="212">
      <c r="A212" s="4"/>
      <c r="B212" s="4"/>
      <c r="C212" s="4"/>
      <c r="D212" s="4"/>
      <c r="E212" s="4"/>
      <c r="F212" s="4"/>
      <c r="G212" s="4"/>
    </row>
    <row r="213">
      <c r="A213" s="4"/>
      <c r="B213" s="4"/>
      <c r="C213" s="4"/>
      <c r="D213" s="4"/>
      <c r="E213" s="4"/>
      <c r="F213" s="4"/>
      <c r="G213" s="4"/>
    </row>
    <row r="214">
      <c r="A214" s="4"/>
      <c r="B214" s="4"/>
      <c r="C214" s="4"/>
      <c r="D214" s="4"/>
      <c r="E214" s="4"/>
      <c r="F214" s="4"/>
      <c r="G214" s="4"/>
    </row>
    <row r="215">
      <c r="A215" s="4"/>
      <c r="B215" s="4"/>
      <c r="C215" s="4"/>
      <c r="D215" s="4"/>
      <c r="E215" s="4"/>
      <c r="F215" s="4"/>
      <c r="G215" s="4"/>
    </row>
    <row r="216">
      <c r="A216" s="4"/>
      <c r="B216" s="4"/>
      <c r="C216" s="4"/>
      <c r="D216" s="4"/>
      <c r="E216" s="4"/>
      <c r="F216" s="4"/>
      <c r="G216" s="4"/>
    </row>
    <row r="217">
      <c r="A217" s="4"/>
      <c r="B217" s="4"/>
      <c r="C217" s="4"/>
      <c r="D217" s="4"/>
      <c r="E217" s="4"/>
      <c r="F217" s="4"/>
      <c r="G217" s="4"/>
    </row>
    <row r="218">
      <c r="A218" s="4"/>
      <c r="B218" s="4"/>
      <c r="C218" s="4"/>
      <c r="D218" s="4"/>
      <c r="E218" s="4"/>
      <c r="F218" s="4"/>
      <c r="G218" s="4"/>
    </row>
    <row r="219">
      <c r="A219" s="4"/>
      <c r="B219" s="4"/>
      <c r="C219" s="4"/>
      <c r="D219" s="4"/>
      <c r="E219" s="4"/>
      <c r="F219" s="4"/>
      <c r="G219" s="4"/>
    </row>
    <row r="220">
      <c r="A220" s="4"/>
      <c r="B220" s="4"/>
      <c r="C220" s="4"/>
      <c r="D220" s="4"/>
      <c r="E220" s="4"/>
      <c r="F220" s="4"/>
      <c r="G220" s="4"/>
    </row>
    <row r="221">
      <c r="A221" s="4"/>
      <c r="B221" s="4"/>
      <c r="C221" s="4"/>
      <c r="D221" s="4"/>
      <c r="E221" s="4"/>
      <c r="F221" s="4"/>
      <c r="G221" s="4"/>
    </row>
    <row r="222">
      <c r="A222" s="4"/>
      <c r="B222" s="4"/>
      <c r="C222" s="4"/>
      <c r="D222" s="4"/>
      <c r="E222" s="4"/>
      <c r="F222" s="4"/>
      <c r="G222" s="4"/>
    </row>
    <row r="223">
      <c r="A223" s="4"/>
      <c r="B223" s="4"/>
      <c r="C223" s="4"/>
      <c r="D223" s="4"/>
      <c r="E223" s="4"/>
      <c r="F223" s="4"/>
      <c r="G223" s="4"/>
    </row>
    <row r="224">
      <c r="A224" s="4"/>
      <c r="B224" s="4"/>
      <c r="C224" s="4"/>
      <c r="D224" s="4"/>
      <c r="E224" s="4"/>
      <c r="F224" s="4"/>
      <c r="G224" s="4"/>
    </row>
    <row r="225">
      <c r="A225" s="4"/>
      <c r="B225" s="4"/>
      <c r="C225" s="4"/>
      <c r="D225" s="4"/>
      <c r="E225" s="4"/>
      <c r="F225" s="4"/>
      <c r="G225" s="4"/>
    </row>
    <row r="226">
      <c r="A226" s="4"/>
      <c r="B226" s="4"/>
      <c r="C226" s="4"/>
      <c r="D226" s="4"/>
      <c r="E226" s="4"/>
      <c r="F226" s="4"/>
      <c r="G226" s="4"/>
    </row>
    <row r="227">
      <c r="A227" s="4"/>
      <c r="B227" s="4"/>
      <c r="C227" s="4"/>
      <c r="D227" s="4"/>
      <c r="E227" s="4"/>
      <c r="F227" s="4"/>
      <c r="G227" s="4"/>
    </row>
    <row r="228">
      <c r="A228" s="4"/>
      <c r="B228" s="4"/>
      <c r="C228" s="4"/>
      <c r="D228" s="4"/>
      <c r="E228" s="4"/>
      <c r="F228" s="4"/>
      <c r="G228" s="4"/>
    </row>
    <row r="229">
      <c r="A229" s="4"/>
      <c r="B229" s="4"/>
      <c r="C229" s="4"/>
      <c r="D229" s="4"/>
      <c r="E229" s="4"/>
      <c r="F229" s="4"/>
      <c r="G229" s="4"/>
    </row>
    <row r="230">
      <c r="A230" s="4"/>
      <c r="B230" s="4"/>
      <c r="C230" s="4"/>
      <c r="D230" s="4"/>
      <c r="E230" s="4"/>
      <c r="F230" s="4"/>
      <c r="G230" s="4"/>
    </row>
    <row r="231">
      <c r="A231" s="4"/>
      <c r="B231" s="4"/>
      <c r="C231" s="4"/>
      <c r="D231" s="4"/>
      <c r="E231" s="4"/>
      <c r="F231" s="4"/>
      <c r="G231" s="4"/>
    </row>
    <row r="232">
      <c r="A232" s="4"/>
      <c r="B232" s="4"/>
      <c r="C232" s="4"/>
      <c r="D232" s="4"/>
      <c r="E232" s="4"/>
      <c r="F232" s="4"/>
      <c r="G232" s="4"/>
    </row>
    <row r="233">
      <c r="A233" s="4"/>
      <c r="B233" s="4"/>
      <c r="C233" s="4"/>
      <c r="D233" s="4"/>
      <c r="E233" s="4"/>
      <c r="F233" s="4"/>
      <c r="G233" s="4"/>
    </row>
    <row r="234">
      <c r="A234" s="4"/>
      <c r="B234" s="4"/>
      <c r="C234" s="4"/>
      <c r="D234" s="4"/>
      <c r="E234" s="4"/>
      <c r="F234" s="4"/>
      <c r="G234" s="4"/>
    </row>
    <row r="235">
      <c r="A235" s="4"/>
      <c r="B235" s="4"/>
      <c r="C235" s="4"/>
      <c r="D235" s="4"/>
      <c r="E235" s="4"/>
      <c r="F235" s="4"/>
      <c r="G235" s="4"/>
    </row>
    <row r="236">
      <c r="A236" s="4"/>
      <c r="B236" s="4"/>
      <c r="C236" s="4"/>
      <c r="D236" s="4"/>
      <c r="E236" s="4"/>
      <c r="F236" s="4"/>
      <c r="G236" s="4"/>
    </row>
    <row r="237">
      <c r="A237" s="4"/>
      <c r="B237" s="4"/>
      <c r="C237" s="4"/>
      <c r="D237" s="4"/>
      <c r="E237" s="4"/>
      <c r="F237" s="4"/>
      <c r="G237" s="4"/>
    </row>
    <row r="238">
      <c r="A238" s="4"/>
      <c r="B238" s="4"/>
      <c r="C238" s="4"/>
      <c r="D238" s="4"/>
      <c r="E238" s="4"/>
      <c r="F238" s="4"/>
      <c r="G238" s="4"/>
    </row>
    <row r="239">
      <c r="A239" s="4"/>
      <c r="B239" s="4"/>
      <c r="C239" s="4"/>
      <c r="D239" s="4"/>
      <c r="E239" s="4"/>
      <c r="F239" s="4"/>
      <c r="G239" s="4"/>
    </row>
    <row r="240">
      <c r="A240" s="4"/>
      <c r="B240" s="4"/>
      <c r="C240" s="4"/>
      <c r="D240" s="4"/>
      <c r="E240" s="4"/>
      <c r="F240" s="4"/>
      <c r="G240" s="4"/>
    </row>
    <row r="241">
      <c r="A241" s="4"/>
      <c r="B241" s="4"/>
      <c r="C241" s="4"/>
      <c r="D241" s="4"/>
      <c r="E241" s="4"/>
      <c r="F241" s="4"/>
      <c r="G241" s="4"/>
    </row>
    <row r="242">
      <c r="A242" s="4"/>
      <c r="B242" s="4"/>
      <c r="C242" s="4"/>
      <c r="D242" s="4"/>
      <c r="E242" s="4"/>
      <c r="F242" s="4"/>
      <c r="G242" s="4"/>
    </row>
    <row r="243">
      <c r="A243" s="4"/>
      <c r="B243" s="4"/>
      <c r="C243" s="4"/>
      <c r="D243" s="4"/>
      <c r="E243" s="4"/>
      <c r="F243" s="4"/>
      <c r="G243" s="4"/>
    </row>
    <row r="244">
      <c r="A244" s="4"/>
      <c r="B244" s="4"/>
      <c r="C244" s="4"/>
      <c r="D244" s="4"/>
      <c r="E244" s="4"/>
      <c r="F244" s="4"/>
      <c r="G244" s="4"/>
    </row>
    <row r="245">
      <c r="A245" s="4"/>
      <c r="B245" s="4"/>
      <c r="C245" s="4"/>
      <c r="D245" s="4"/>
      <c r="E245" s="4"/>
      <c r="F245" s="4"/>
      <c r="G245" s="4"/>
    </row>
    <row r="246">
      <c r="A246" s="4"/>
      <c r="B246" s="4"/>
      <c r="C246" s="4"/>
      <c r="D246" s="4"/>
      <c r="E246" s="4"/>
      <c r="F246" s="4"/>
      <c r="G246" s="4"/>
    </row>
    <row r="247">
      <c r="A247" s="4"/>
      <c r="B247" s="4"/>
      <c r="C247" s="4"/>
      <c r="D247" s="4"/>
      <c r="E247" s="4"/>
      <c r="F247" s="4"/>
      <c r="G247" s="4"/>
    </row>
    <row r="248">
      <c r="A248" s="4"/>
      <c r="B248" s="4"/>
      <c r="C248" s="4"/>
      <c r="D248" s="4"/>
      <c r="E248" s="4"/>
      <c r="F248" s="4"/>
      <c r="G248" s="4"/>
    </row>
    <row r="249">
      <c r="A249" s="4"/>
      <c r="B249" s="4"/>
      <c r="C249" s="4"/>
      <c r="D249" s="4"/>
      <c r="E249" s="4"/>
      <c r="F249" s="4"/>
      <c r="G249" s="4"/>
    </row>
    <row r="250">
      <c r="A250" s="4"/>
      <c r="B250" s="4"/>
      <c r="C250" s="4"/>
      <c r="D250" s="4"/>
      <c r="E250" s="4"/>
      <c r="F250" s="4"/>
      <c r="G250" s="4"/>
    </row>
    <row r="251">
      <c r="A251" s="4"/>
      <c r="B251" s="4"/>
      <c r="C251" s="4"/>
      <c r="D251" s="4"/>
      <c r="E251" s="4"/>
      <c r="F251" s="4"/>
      <c r="G251" s="4"/>
    </row>
    <row r="252">
      <c r="A252" s="4"/>
      <c r="B252" s="4"/>
      <c r="C252" s="4"/>
      <c r="D252" s="4"/>
      <c r="E252" s="4"/>
      <c r="F252" s="4"/>
      <c r="G252" s="4"/>
    </row>
    <row r="253">
      <c r="A253" s="4"/>
      <c r="B253" s="4"/>
      <c r="C253" s="4"/>
      <c r="D253" s="4"/>
      <c r="E253" s="4"/>
      <c r="F253" s="4"/>
      <c r="G253" s="4"/>
    </row>
    <row r="254">
      <c r="A254" s="4"/>
      <c r="B254" s="4"/>
      <c r="C254" s="4"/>
      <c r="D254" s="4"/>
      <c r="E254" s="4"/>
      <c r="F254" s="4"/>
      <c r="G254" s="4"/>
    </row>
    <row r="255">
      <c r="A255" s="4"/>
      <c r="B255" s="4"/>
      <c r="C255" s="4"/>
      <c r="D255" s="4"/>
      <c r="E255" s="4"/>
      <c r="F255" s="4"/>
      <c r="G255" s="4"/>
    </row>
    <row r="256">
      <c r="A256" s="4"/>
      <c r="B256" s="4"/>
      <c r="C256" s="4"/>
      <c r="D256" s="4"/>
      <c r="E256" s="4"/>
      <c r="F256" s="4"/>
      <c r="G256" s="4"/>
    </row>
    <row r="257">
      <c r="A257" s="4"/>
      <c r="B257" s="4"/>
      <c r="C257" s="4"/>
      <c r="D257" s="4"/>
      <c r="E257" s="4"/>
      <c r="F257" s="4"/>
      <c r="G257" s="4"/>
    </row>
    <row r="258">
      <c r="A258" s="4"/>
      <c r="B258" s="4"/>
      <c r="C258" s="4"/>
      <c r="D258" s="4"/>
      <c r="E258" s="4"/>
      <c r="F258" s="4"/>
      <c r="G258" s="4"/>
    </row>
    <row r="259">
      <c r="A259" s="4"/>
      <c r="B259" s="4"/>
      <c r="C259" s="4"/>
      <c r="D259" s="4"/>
      <c r="E259" s="4"/>
      <c r="F259" s="4"/>
      <c r="G259" s="4"/>
    </row>
    <row r="260">
      <c r="A260" s="4"/>
      <c r="B260" s="4"/>
      <c r="C260" s="4"/>
      <c r="D260" s="4"/>
      <c r="E260" s="4"/>
      <c r="F260" s="4"/>
      <c r="G260" s="4"/>
    </row>
    <row r="261">
      <c r="A261" s="4"/>
      <c r="B261" s="4"/>
      <c r="C261" s="4"/>
      <c r="D261" s="4"/>
      <c r="E261" s="4"/>
      <c r="F261" s="4"/>
      <c r="G261" s="4"/>
    </row>
    <row r="262">
      <c r="A262" s="4"/>
      <c r="B262" s="4"/>
      <c r="C262" s="4"/>
      <c r="D262" s="4"/>
      <c r="E262" s="4"/>
      <c r="F262" s="4"/>
      <c r="G262" s="4"/>
    </row>
    <row r="263">
      <c r="A263" s="4"/>
      <c r="B263" s="4"/>
      <c r="C263" s="4"/>
      <c r="D263" s="4"/>
      <c r="E263" s="4"/>
      <c r="F263" s="4"/>
      <c r="G263" s="4"/>
    </row>
    <row r="264">
      <c r="A264" s="4"/>
      <c r="B264" s="4"/>
      <c r="C264" s="4"/>
      <c r="D264" s="4"/>
      <c r="E264" s="4"/>
      <c r="F264" s="4"/>
      <c r="G264" s="4"/>
    </row>
    <row r="265">
      <c r="A265" s="4"/>
      <c r="B265" s="4"/>
      <c r="C265" s="4"/>
      <c r="D265" s="4"/>
      <c r="E265" s="4"/>
      <c r="F265" s="4"/>
      <c r="G265" s="4"/>
    </row>
    <row r="266">
      <c r="A266" s="4"/>
      <c r="B266" s="4"/>
      <c r="C266" s="4"/>
      <c r="D266" s="4"/>
      <c r="E266" s="4"/>
      <c r="F266" s="4"/>
      <c r="G266" s="4"/>
    </row>
    <row r="267">
      <c r="A267" s="4"/>
      <c r="B267" s="4"/>
      <c r="C267" s="4"/>
      <c r="D267" s="4"/>
      <c r="E267" s="4"/>
      <c r="F267" s="4"/>
      <c r="G267" s="4"/>
    </row>
    <row r="268">
      <c r="A268" s="4"/>
      <c r="B268" s="4"/>
      <c r="C268" s="4"/>
      <c r="D268" s="4"/>
      <c r="E268" s="4"/>
      <c r="F268" s="4"/>
      <c r="G268" s="4"/>
    </row>
    <row r="269">
      <c r="A269" s="4"/>
      <c r="B269" s="4"/>
      <c r="C269" s="4"/>
      <c r="D269" s="4"/>
      <c r="E269" s="4"/>
      <c r="F269" s="4"/>
      <c r="G269" s="4"/>
    </row>
    <row r="270">
      <c r="A270" s="4"/>
      <c r="B270" s="4"/>
      <c r="C270" s="4"/>
      <c r="D270" s="4"/>
      <c r="E270" s="4"/>
      <c r="F270" s="4"/>
      <c r="G270" s="4"/>
    </row>
    <row r="271">
      <c r="A271" s="4"/>
      <c r="B271" s="4"/>
      <c r="C271" s="4"/>
      <c r="D271" s="4"/>
      <c r="E271" s="4"/>
      <c r="F271" s="4"/>
      <c r="G271" s="4"/>
    </row>
    <row r="272">
      <c r="A272" s="4"/>
      <c r="B272" s="4"/>
      <c r="C272" s="4"/>
      <c r="D272" s="4"/>
      <c r="E272" s="4"/>
      <c r="F272" s="4"/>
      <c r="G272" s="4"/>
    </row>
    <row r="273">
      <c r="A273" s="4"/>
      <c r="B273" s="4"/>
      <c r="C273" s="4"/>
      <c r="D273" s="4"/>
      <c r="E273" s="4"/>
      <c r="F273" s="4"/>
      <c r="G273" s="4"/>
    </row>
    <row r="274">
      <c r="A274" s="4"/>
      <c r="B274" s="4"/>
      <c r="C274" s="4"/>
      <c r="D274" s="4"/>
      <c r="E274" s="4"/>
      <c r="F274" s="4"/>
      <c r="G274" s="4"/>
    </row>
    <row r="275">
      <c r="A275" s="4"/>
      <c r="B275" s="4"/>
      <c r="C275" s="4"/>
      <c r="D275" s="4"/>
      <c r="E275" s="4"/>
      <c r="F275" s="4"/>
      <c r="G275" s="4"/>
    </row>
    <row r="276">
      <c r="A276" s="4"/>
      <c r="B276" s="4"/>
      <c r="C276" s="4"/>
      <c r="D276" s="4"/>
      <c r="E276" s="4"/>
      <c r="F276" s="4"/>
      <c r="G276" s="4"/>
    </row>
    <row r="277">
      <c r="A277" s="4"/>
      <c r="B277" s="4"/>
      <c r="C277" s="4"/>
      <c r="D277" s="4"/>
      <c r="E277" s="4"/>
      <c r="F277" s="4"/>
      <c r="G277" s="4"/>
    </row>
    <row r="278">
      <c r="A278" s="4"/>
      <c r="B278" s="4"/>
      <c r="C278" s="4"/>
      <c r="D278" s="4"/>
      <c r="E278" s="4"/>
      <c r="F278" s="4"/>
      <c r="G278" s="4"/>
    </row>
    <row r="279">
      <c r="A279" s="4"/>
      <c r="B279" s="4"/>
      <c r="C279" s="4"/>
      <c r="D279" s="4"/>
      <c r="E279" s="4"/>
      <c r="F279" s="4"/>
      <c r="G279" s="4"/>
    </row>
    <row r="280">
      <c r="A280" s="4"/>
      <c r="B280" s="4"/>
      <c r="C280" s="4"/>
      <c r="D280" s="4"/>
      <c r="E280" s="4"/>
      <c r="F280" s="4"/>
      <c r="G280" s="4"/>
    </row>
    <row r="281">
      <c r="A281" s="4"/>
      <c r="B281" s="4"/>
      <c r="C281" s="4"/>
      <c r="D281" s="4"/>
      <c r="E281" s="4"/>
      <c r="F281" s="4"/>
      <c r="G281" s="4"/>
    </row>
    <row r="282">
      <c r="A282" s="4"/>
      <c r="B282" s="4"/>
      <c r="C282" s="4"/>
      <c r="D282" s="4"/>
      <c r="E282" s="4"/>
      <c r="F282" s="4"/>
      <c r="G282" s="4"/>
    </row>
    <row r="283">
      <c r="A283" s="4"/>
      <c r="B283" s="4"/>
      <c r="C283" s="4"/>
      <c r="D283" s="4"/>
      <c r="E283" s="4"/>
      <c r="F283" s="4"/>
      <c r="G283" s="4"/>
    </row>
    <row r="284">
      <c r="A284" s="4"/>
      <c r="B284" s="4"/>
      <c r="C284" s="4"/>
      <c r="D284" s="4"/>
      <c r="E284" s="4"/>
      <c r="F284" s="4"/>
      <c r="G284" s="4"/>
    </row>
    <row r="285">
      <c r="A285" s="4"/>
      <c r="B285" s="4"/>
      <c r="C285" s="4"/>
      <c r="D285" s="4"/>
      <c r="E285" s="4"/>
      <c r="F285" s="4"/>
      <c r="G285" s="4"/>
    </row>
    <row r="286">
      <c r="A286" s="4"/>
      <c r="B286" s="4"/>
      <c r="C286" s="4"/>
      <c r="D286" s="4"/>
      <c r="E286" s="4"/>
      <c r="F286" s="4"/>
      <c r="G286" s="4"/>
    </row>
    <row r="287">
      <c r="A287" s="4"/>
      <c r="B287" s="4"/>
      <c r="C287" s="4"/>
      <c r="D287" s="4"/>
      <c r="E287" s="4"/>
      <c r="F287" s="4"/>
      <c r="G287" s="4"/>
    </row>
    <row r="288">
      <c r="A288" s="4"/>
      <c r="B288" s="4"/>
      <c r="C288" s="4"/>
      <c r="D288" s="4"/>
      <c r="E288" s="4"/>
      <c r="F288" s="4"/>
      <c r="G288" s="4"/>
    </row>
    <row r="289">
      <c r="A289" s="4"/>
      <c r="B289" s="4"/>
      <c r="C289" s="4"/>
      <c r="D289" s="4"/>
      <c r="E289" s="4"/>
      <c r="F289" s="4"/>
      <c r="G289" s="4"/>
    </row>
    <row r="290">
      <c r="A290" s="4"/>
      <c r="B290" s="4"/>
      <c r="C290" s="4"/>
      <c r="D290" s="4"/>
      <c r="E290" s="4"/>
      <c r="F290" s="4"/>
      <c r="G290" s="4"/>
    </row>
    <row r="291">
      <c r="A291" s="4"/>
      <c r="B291" s="4"/>
      <c r="C291" s="4"/>
      <c r="D291" s="4"/>
      <c r="E291" s="4"/>
      <c r="F291" s="4"/>
      <c r="G291" s="4"/>
    </row>
    <row r="292">
      <c r="A292" s="4"/>
      <c r="B292" s="4"/>
      <c r="C292" s="4"/>
      <c r="D292" s="4"/>
      <c r="E292" s="4"/>
      <c r="F292" s="4"/>
      <c r="G292" s="4"/>
    </row>
    <row r="293">
      <c r="A293" s="4"/>
      <c r="B293" s="4"/>
      <c r="C293" s="4"/>
      <c r="D293" s="4"/>
      <c r="E293" s="4"/>
      <c r="F293" s="4"/>
      <c r="G293" s="4"/>
    </row>
    <row r="294">
      <c r="A294" s="4"/>
      <c r="B294" s="4"/>
      <c r="C294" s="4"/>
      <c r="D294" s="4"/>
      <c r="E294" s="4"/>
      <c r="F294" s="4"/>
      <c r="G294" s="4"/>
    </row>
    <row r="295">
      <c r="A295" s="4"/>
      <c r="B295" s="4"/>
      <c r="C295" s="4"/>
      <c r="D295" s="4"/>
      <c r="E295" s="4"/>
      <c r="F295" s="4"/>
      <c r="G295" s="4"/>
    </row>
    <row r="296">
      <c r="A296" s="4"/>
      <c r="B296" s="4"/>
      <c r="C296" s="4"/>
      <c r="D296" s="4"/>
      <c r="E296" s="4"/>
      <c r="F296" s="4"/>
      <c r="G296" s="4"/>
    </row>
    <row r="297">
      <c r="A297" s="4"/>
      <c r="B297" s="4"/>
      <c r="C297" s="4"/>
      <c r="D297" s="4"/>
      <c r="E297" s="4"/>
      <c r="F297" s="4"/>
      <c r="G297" s="4"/>
    </row>
    <row r="298">
      <c r="A298" s="4"/>
      <c r="B298" s="4"/>
      <c r="C298" s="4"/>
      <c r="D298" s="4"/>
      <c r="E298" s="4"/>
      <c r="F298" s="4"/>
      <c r="G298" s="4"/>
    </row>
    <row r="299">
      <c r="A299" s="4"/>
      <c r="B299" s="4"/>
      <c r="C299" s="4"/>
      <c r="D299" s="4"/>
      <c r="E299" s="4"/>
      <c r="F299" s="4"/>
      <c r="G299" s="4"/>
    </row>
    <row r="300">
      <c r="A300" s="4"/>
      <c r="B300" s="4"/>
      <c r="C300" s="4"/>
      <c r="D300" s="4"/>
      <c r="E300" s="4"/>
      <c r="F300" s="4"/>
      <c r="G300" s="4"/>
    </row>
    <row r="301">
      <c r="A301" s="4"/>
      <c r="B301" s="4"/>
      <c r="C301" s="4"/>
      <c r="D301" s="4"/>
      <c r="E301" s="4"/>
      <c r="F301" s="4"/>
      <c r="G301" s="4"/>
    </row>
    <row r="302">
      <c r="A302" s="4"/>
      <c r="B302" s="4"/>
      <c r="C302" s="4"/>
      <c r="D302" s="4"/>
      <c r="E302" s="4"/>
      <c r="F302" s="4"/>
      <c r="G302" s="4"/>
    </row>
    <row r="303">
      <c r="A303" s="4"/>
      <c r="B303" s="4"/>
      <c r="C303" s="4"/>
      <c r="D303" s="4"/>
      <c r="E303" s="4"/>
      <c r="F303" s="4"/>
      <c r="G303" s="4"/>
    </row>
    <row r="304">
      <c r="A304" s="4"/>
      <c r="B304" s="4"/>
      <c r="C304" s="4"/>
      <c r="D304" s="4"/>
      <c r="E304" s="4"/>
      <c r="F304" s="4"/>
      <c r="G304" s="4"/>
    </row>
    <row r="305">
      <c r="A305" s="4"/>
      <c r="B305" s="4"/>
      <c r="C305" s="4"/>
      <c r="D305" s="4"/>
      <c r="E305" s="4"/>
      <c r="F305" s="4"/>
      <c r="G305" s="4"/>
    </row>
    <row r="306">
      <c r="A306" s="4"/>
      <c r="B306" s="4"/>
      <c r="C306" s="4"/>
      <c r="D306" s="4"/>
      <c r="E306" s="4"/>
      <c r="F306" s="4"/>
      <c r="G306" s="4"/>
    </row>
    <row r="307">
      <c r="A307" s="4"/>
      <c r="B307" s="4"/>
      <c r="C307" s="4"/>
      <c r="D307" s="4"/>
      <c r="E307" s="4"/>
      <c r="F307" s="4"/>
      <c r="G307" s="4"/>
    </row>
    <row r="308">
      <c r="A308" s="4"/>
      <c r="B308" s="4"/>
      <c r="C308" s="4"/>
      <c r="D308" s="4"/>
      <c r="E308" s="4"/>
      <c r="F308" s="4"/>
      <c r="G308" s="4"/>
    </row>
    <row r="309">
      <c r="A309" s="4"/>
      <c r="B309" s="4"/>
      <c r="C309" s="4"/>
      <c r="D309" s="4"/>
      <c r="E309" s="4"/>
      <c r="F309" s="4"/>
      <c r="G309" s="4"/>
    </row>
    <row r="310">
      <c r="A310" s="4"/>
      <c r="B310" s="4"/>
      <c r="C310" s="4"/>
      <c r="D310" s="4"/>
      <c r="E310" s="4"/>
      <c r="F310" s="4"/>
      <c r="G310" s="4"/>
    </row>
    <row r="311">
      <c r="A311" s="4"/>
      <c r="B311" s="4"/>
      <c r="C311" s="4"/>
      <c r="D311" s="4"/>
      <c r="E311" s="4"/>
      <c r="F311" s="4"/>
      <c r="G311" s="4"/>
    </row>
    <row r="312">
      <c r="A312" s="4"/>
      <c r="B312" s="4"/>
      <c r="C312" s="4"/>
      <c r="D312" s="4"/>
      <c r="E312" s="4"/>
      <c r="F312" s="4"/>
      <c r="G312" s="4"/>
    </row>
    <row r="313">
      <c r="A313" s="4"/>
      <c r="B313" s="4"/>
      <c r="C313" s="4"/>
      <c r="D313" s="4"/>
      <c r="E313" s="4"/>
      <c r="F313" s="4"/>
      <c r="G313" s="4"/>
    </row>
    <row r="314">
      <c r="A314" s="4"/>
      <c r="B314" s="4"/>
      <c r="C314" s="4"/>
      <c r="D314" s="4"/>
      <c r="E314" s="4"/>
      <c r="F314" s="4"/>
      <c r="G314" s="4"/>
    </row>
    <row r="315">
      <c r="A315" s="4"/>
      <c r="B315" s="4"/>
      <c r="C315" s="4"/>
      <c r="D315" s="4"/>
      <c r="E315" s="4"/>
      <c r="F315" s="4"/>
      <c r="G315" s="4"/>
    </row>
    <row r="316">
      <c r="A316" s="4"/>
      <c r="B316" s="4"/>
      <c r="C316" s="4"/>
      <c r="D316" s="4"/>
      <c r="E316" s="4"/>
      <c r="F316" s="4"/>
      <c r="G316" s="4"/>
    </row>
    <row r="317">
      <c r="A317" s="4"/>
      <c r="B317" s="4"/>
      <c r="C317" s="4"/>
      <c r="D317" s="4"/>
      <c r="E317" s="4"/>
      <c r="F317" s="4"/>
      <c r="G317" s="4"/>
    </row>
    <row r="318">
      <c r="A318" s="4"/>
      <c r="B318" s="4"/>
      <c r="C318" s="4"/>
      <c r="D318" s="4"/>
      <c r="E318" s="4"/>
      <c r="F318" s="4"/>
      <c r="G318" s="4"/>
    </row>
    <row r="319">
      <c r="A319" s="4"/>
      <c r="B319" s="4"/>
      <c r="C319" s="4"/>
      <c r="D319" s="4"/>
      <c r="E319" s="4"/>
      <c r="F319" s="4"/>
      <c r="G319" s="4"/>
    </row>
    <row r="320">
      <c r="A320" s="4"/>
      <c r="B320" s="4"/>
      <c r="C320" s="4"/>
      <c r="D320" s="4"/>
      <c r="E320" s="4"/>
      <c r="F320" s="4"/>
      <c r="G320" s="4"/>
    </row>
    <row r="321">
      <c r="A321" s="4"/>
      <c r="B321" s="4"/>
      <c r="C321" s="4"/>
      <c r="D321" s="4"/>
      <c r="E321" s="4"/>
      <c r="F321" s="4"/>
      <c r="G321" s="4"/>
    </row>
    <row r="322">
      <c r="A322" s="4"/>
      <c r="B322" s="4"/>
      <c r="C322" s="4"/>
      <c r="D322" s="4"/>
      <c r="E322" s="4"/>
      <c r="F322" s="4"/>
      <c r="G322" s="4"/>
    </row>
    <row r="323">
      <c r="A323" s="4"/>
      <c r="B323" s="4"/>
      <c r="C323" s="4"/>
      <c r="D323" s="4"/>
      <c r="E323" s="4"/>
      <c r="F323" s="4"/>
      <c r="G323" s="4"/>
    </row>
    <row r="324">
      <c r="A324" s="4"/>
      <c r="B324" s="4"/>
      <c r="C324" s="4"/>
      <c r="D324" s="4"/>
      <c r="E324" s="4"/>
      <c r="F324" s="4"/>
      <c r="G324" s="4"/>
    </row>
    <row r="325">
      <c r="A325" s="4"/>
      <c r="B325" s="4"/>
      <c r="C325" s="4"/>
      <c r="D325" s="4"/>
      <c r="E325" s="4"/>
      <c r="F325" s="4"/>
      <c r="G325" s="4"/>
    </row>
    <row r="326">
      <c r="A326" s="4"/>
      <c r="B326" s="4"/>
      <c r="C326" s="4"/>
      <c r="D326" s="4"/>
      <c r="E326" s="4"/>
      <c r="F326" s="4"/>
      <c r="G326" s="4"/>
    </row>
    <row r="327">
      <c r="A327" s="4"/>
      <c r="B327" s="4"/>
      <c r="C327" s="4"/>
      <c r="D327" s="4"/>
      <c r="E327" s="4"/>
      <c r="F327" s="4"/>
      <c r="G327" s="4"/>
    </row>
    <row r="328">
      <c r="A328" s="4"/>
      <c r="B328" s="4"/>
      <c r="C328" s="4"/>
      <c r="D328" s="4"/>
      <c r="E328" s="4"/>
      <c r="F328" s="4"/>
      <c r="G328" s="4"/>
    </row>
    <row r="329">
      <c r="A329" s="4"/>
      <c r="B329" s="4"/>
      <c r="C329" s="4"/>
      <c r="D329" s="4"/>
      <c r="E329" s="4"/>
      <c r="F329" s="4"/>
      <c r="G329" s="4"/>
    </row>
    <row r="330">
      <c r="A330" s="4"/>
      <c r="B330" s="4"/>
      <c r="C330" s="4"/>
      <c r="D330" s="4"/>
      <c r="E330" s="4"/>
      <c r="F330" s="4"/>
      <c r="G330" s="4"/>
    </row>
    <row r="331">
      <c r="A331" s="4"/>
      <c r="B331" s="4"/>
      <c r="C331" s="4"/>
      <c r="D331" s="4"/>
      <c r="E331" s="4"/>
      <c r="F331" s="4"/>
      <c r="G331" s="4"/>
    </row>
    <row r="332">
      <c r="A332" s="4"/>
      <c r="B332" s="4"/>
      <c r="C332" s="4"/>
      <c r="D332" s="4"/>
      <c r="E332" s="4"/>
      <c r="F332" s="4"/>
      <c r="G332" s="4"/>
    </row>
    <row r="333">
      <c r="A333" s="4"/>
      <c r="B333" s="4"/>
      <c r="C333" s="4"/>
      <c r="D333" s="4"/>
      <c r="E333" s="4"/>
      <c r="F333" s="4"/>
      <c r="G333" s="4"/>
    </row>
    <row r="334">
      <c r="A334" s="4"/>
      <c r="B334" s="4"/>
      <c r="C334" s="4"/>
      <c r="D334" s="4"/>
      <c r="E334" s="4"/>
      <c r="F334" s="4"/>
      <c r="G334" s="4"/>
    </row>
    <row r="335">
      <c r="A335" s="4"/>
      <c r="B335" s="4"/>
      <c r="C335" s="4"/>
      <c r="D335" s="4"/>
      <c r="E335" s="4"/>
      <c r="F335" s="4"/>
      <c r="G335" s="4"/>
    </row>
    <row r="336">
      <c r="A336" s="4"/>
      <c r="B336" s="4"/>
      <c r="C336" s="4"/>
      <c r="D336" s="4"/>
      <c r="E336" s="4"/>
      <c r="F336" s="4"/>
      <c r="G336" s="4"/>
    </row>
    <row r="337">
      <c r="A337" s="4"/>
      <c r="B337" s="4"/>
      <c r="C337" s="4"/>
      <c r="D337" s="4"/>
      <c r="E337" s="4"/>
      <c r="F337" s="4"/>
      <c r="G337" s="4"/>
    </row>
    <row r="338">
      <c r="A338" s="4"/>
      <c r="B338" s="4"/>
      <c r="C338" s="4"/>
      <c r="D338" s="4"/>
      <c r="E338" s="4"/>
      <c r="F338" s="4"/>
      <c r="G338" s="4"/>
    </row>
    <row r="339">
      <c r="A339" s="4"/>
      <c r="B339" s="4"/>
      <c r="C339" s="4"/>
      <c r="D339" s="4"/>
      <c r="E339" s="4"/>
      <c r="F339" s="4"/>
      <c r="G339" s="4"/>
    </row>
    <row r="340">
      <c r="A340" s="4"/>
      <c r="B340" s="4"/>
      <c r="C340" s="4"/>
      <c r="D340" s="4"/>
      <c r="E340" s="4"/>
      <c r="F340" s="4"/>
      <c r="G340" s="4"/>
    </row>
    <row r="341">
      <c r="A341" s="4"/>
      <c r="B341" s="4"/>
      <c r="C341" s="4"/>
      <c r="D341" s="4"/>
      <c r="E341" s="4"/>
      <c r="F341" s="4"/>
      <c r="G341" s="4"/>
    </row>
    <row r="342">
      <c r="A342" s="4"/>
      <c r="B342" s="4"/>
      <c r="C342" s="4"/>
      <c r="D342" s="4"/>
      <c r="E342" s="4"/>
      <c r="F342" s="4"/>
      <c r="G342" s="4"/>
    </row>
    <row r="343">
      <c r="A343" s="4"/>
      <c r="B343" s="4"/>
      <c r="C343" s="4"/>
      <c r="D343" s="4"/>
      <c r="E343" s="4"/>
      <c r="F343" s="4"/>
      <c r="G343" s="4"/>
    </row>
    <row r="344">
      <c r="A344" s="4"/>
      <c r="B344" s="4"/>
      <c r="C344" s="4"/>
      <c r="D344" s="4"/>
      <c r="E344" s="4"/>
      <c r="F344" s="4"/>
      <c r="G344" s="4"/>
    </row>
    <row r="345">
      <c r="A345" s="4"/>
      <c r="B345" s="4"/>
      <c r="C345" s="4"/>
      <c r="D345" s="4"/>
      <c r="E345" s="4"/>
      <c r="F345" s="4"/>
      <c r="G345" s="4"/>
    </row>
    <row r="346">
      <c r="A346" s="4"/>
      <c r="B346" s="4"/>
      <c r="C346" s="4"/>
      <c r="D346" s="4"/>
      <c r="E346" s="4"/>
      <c r="F346" s="4"/>
      <c r="G346" s="4"/>
    </row>
    <row r="347">
      <c r="A347" s="4"/>
      <c r="B347" s="4"/>
      <c r="C347" s="4"/>
      <c r="D347" s="4"/>
      <c r="E347" s="4"/>
      <c r="F347" s="4"/>
      <c r="G347" s="4"/>
    </row>
    <row r="348">
      <c r="A348" s="4"/>
      <c r="B348" s="4"/>
      <c r="C348" s="4"/>
      <c r="D348" s="4"/>
      <c r="E348" s="4"/>
      <c r="F348" s="4"/>
      <c r="G348" s="4"/>
    </row>
    <row r="349">
      <c r="A349" s="4"/>
      <c r="B349" s="4"/>
      <c r="C349" s="4"/>
      <c r="D349" s="4"/>
      <c r="E349" s="4"/>
      <c r="F349" s="4"/>
      <c r="G349" s="4"/>
    </row>
    <row r="350">
      <c r="A350" s="4"/>
      <c r="B350" s="4"/>
      <c r="C350" s="4"/>
      <c r="D350" s="4"/>
      <c r="E350" s="4"/>
      <c r="F350" s="4"/>
      <c r="G350" s="4"/>
    </row>
    <row r="351">
      <c r="A351" s="4"/>
      <c r="B351" s="4"/>
      <c r="C351" s="4"/>
      <c r="D351" s="4"/>
      <c r="E351" s="4"/>
      <c r="F351" s="4"/>
      <c r="G351" s="4"/>
    </row>
    <row r="352">
      <c r="A352" s="4"/>
      <c r="B352" s="4"/>
      <c r="C352" s="4"/>
      <c r="D352" s="4"/>
      <c r="E352" s="4"/>
      <c r="F352" s="4"/>
      <c r="G352" s="4"/>
    </row>
    <row r="353">
      <c r="A353" s="4"/>
      <c r="B353" s="4"/>
      <c r="C353" s="4"/>
      <c r="D353" s="4"/>
      <c r="E353" s="4"/>
      <c r="F353" s="4"/>
      <c r="G353" s="4"/>
    </row>
    <row r="354">
      <c r="A354" s="4"/>
      <c r="B354" s="4"/>
      <c r="C354" s="4"/>
      <c r="D354" s="4"/>
      <c r="E354" s="4"/>
      <c r="F354" s="4"/>
      <c r="G354" s="4"/>
    </row>
    <row r="355">
      <c r="A355" s="4"/>
      <c r="B355" s="4"/>
      <c r="C355" s="4"/>
      <c r="D355" s="4"/>
      <c r="E355" s="4"/>
      <c r="F355" s="4"/>
      <c r="G355" s="4"/>
    </row>
    <row r="356">
      <c r="A356" s="4"/>
      <c r="B356" s="4"/>
      <c r="C356" s="4"/>
      <c r="D356" s="4"/>
      <c r="E356" s="4"/>
      <c r="F356" s="4"/>
      <c r="G356" s="4"/>
    </row>
    <row r="357">
      <c r="A357" s="4"/>
      <c r="B357" s="4"/>
      <c r="C357" s="4"/>
      <c r="D357" s="4"/>
      <c r="E357" s="4"/>
      <c r="F357" s="4"/>
      <c r="G357" s="4"/>
    </row>
    <row r="358">
      <c r="A358" s="4"/>
      <c r="B358" s="4"/>
      <c r="C358" s="4"/>
      <c r="D358" s="4"/>
      <c r="E358" s="4"/>
      <c r="F358" s="4"/>
      <c r="G358" s="4"/>
    </row>
    <row r="359">
      <c r="A359" s="4"/>
      <c r="B359" s="4"/>
      <c r="C359" s="4"/>
      <c r="D359" s="4"/>
      <c r="E359" s="4"/>
      <c r="F359" s="4"/>
      <c r="G359" s="4"/>
    </row>
    <row r="360">
      <c r="A360" s="4"/>
      <c r="B360" s="4"/>
      <c r="C360" s="4"/>
      <c r="D360" s="4"/>
      <c r="E360" s="4"/>
      <c r="F360" s="4"/>
      <c r="G360" s="4"/>
    </row>
    <row r="361">
      <c r="A361" s="4"/>
      <c r="B361" s="4"/>
      <c r="C361" s="4"/>
      <c r="D361" s="4"/>
      <c r="E361" s="4"/>
      <c r="F361" s="4"/>
      <c r="G361" s="4"/>
    </row>
    <row r="362">
      <c r="A362" s="4"/>
      <c r="B362" s="4"/>
      <c r="C362" s="4"/>
      <c r="D362" s="4"/>
      <c r="E362" s="4"/>
      <c r="F362" s="4"/>
      <c r="G362" s="4"/>
    </row>
    <row r="363">
      <c r="A363" s="4"/>
      <c r="B363" s="4"/>
      <c r="C363" s="4"/>
      <c r="D363" s="4"/>
      <c r="E363" s="4"/>
      <c r="F363" s="4"/>
      <c r="G363" s="4"/>
    </row>
    <row r="364">
      <c r="A364" s="4"/>
      <c r="B364" s="4"/>
      <c r="C364" s="4"/>
      <c r="D364" s="4"/>
      <c r="E364" s="4"/>
      <c r="F364" s="4"/>
      <c r="G364" s="4"/>
    </row>
    <row r="365">
      <c r="A365" s="4"/>
      <c r="B365" s="4"/>
      <c r="C365" s="4"/>
      <c r="D365" s="4"/>
      <c r="E365" s="4"/>
      <c r="F365" s="4"/>
      <c r="G365" s="4"/>
    </row>
    <row r="366">
      <c r="A366" s="4"/>
      <c r="B366" s="4"/>
      <c r="C366" s="4"/>
      <c r="D366" s="4"/>
      <c r="E366" s="4"/>
      <c r="F366" s="4"/>
      <c r="G366" s="4"/>
    </row>
    <row r="367">
      <c r="A367" s="4"/>
      <c r="B367" s="4"/>
      <c r="C367" s="4"/>
      <c r="D367" s="4"/>
      <c r="E367" s="4"/>
      <c r="F367" s="4"/>
      <c r="G367" s="4"/>
    </row>
    <row r="368">
      <c r="A368" s="4"/>
      <c r="B368" s="4"/>
      <c r="C368" s="4"/>
      <c r="D368" s="4"/>
      <c r="E368" s="4"/>
      <c r="F368" s="4"/>
      <c r="G368" s="4"/>
    </row>
    <row r="369">
      <c r="A369" s="4"/>
      <c r="B369" s="4"/>
      <c r="C369" s="4"/>
      <c r="D369" s="4"/>
      <c r="E369" s="4"/>
      <c r="F369" s="4"/>
      <c r="G369" s="4"/>
    </row>
    <row r="370">
      <c r="A370" s="4"/>
      <c r="B370" s="4"/>
      <c r="C370" s="4"/>
      <c r="D370" s="4"/>
      <c r="E370" s="4"/>
      <c r="F370" s="4"/>
      <c r="G370" s="4"/>
    </row>
    <row r="371">
      <c r="A371" s="4"/>
      <c r="B371" s="4"/>
      <c r="C371" s="4"/>
      <c r="D371" s="4"/>
      <c r="E371" s="4"/>
      <c r="F371" s="4"/>
      <c r="G371" s="4"/>
    </row>
    <row r="372">
      <c r="A372" s="4"/>
      <c r="B372" s="4"/>
      <c r="C372" s="4"/>
      <c r="D372" s="4"/>
      <c r="E372" s="4"/>
      <c r="F372" s="4"/>
      <c r="G372" s="4"/>
    </row>
    <row r="373">
      <c r="A373" s="4"/>
      <c r="B373" s="4"/>
      <c r="C373" s="4"/>
      <c r="D373" s="4"/>
      <c r="E373" s="4"/>
      <c r="F373" s="4"/>
      <c r="G373" s="4"/>
    </row>
    <row r="374">
      <c r="A374" s="4"/>
      <c r="B374" s="4"/>
      <c r="C374" s="4"/>
      <c r="D374" s="4"/>
      <c r="E374" s="4"/>
      <c r="F374" s="4"/>
      <c r="G374" s="4"/>
    </row>
    <row r="375">
      <c r="A375" s="4"/>
      <c r="B375" s="4"/>
      <c r="C375" s="4"/>
      <c r="D375" s="4"/>
      <c r="E375" s="4"/>
      <c r="F375" s="4"/>
      <c r="G375" s="4"/>
    </row>
    <row r="376">
      <c r="A376" s="4"/>
      <c r="B376" s="4"/>
      <c r="C376" s="4"/>
      <c r="D376" s="4"/>
      <c r="E376" s="4"/>
      <c r="F376" s="4"/>
      <c r="G376" s="4"/>
    </row>
    <row r="377">
      <c r="A377" s="4"/>
      <c r="B377" s="4"/>
      <c r="C377" s="4"/>
      <c r="D377" s="4"/>
      <c r="E377" s="4"/>
      <c r="F377" s="4"/>
      <c r="G377" s="4"/>
    </row>
    <row r="378">
      <c r="A378" s="4"/>
      <c r="B378" s="4"/>
      <c r="C378" s="4"/>
      <c r="D378" s="4"/>
      <c r="E378" s="4"/>
      <c r="F378" s="4"/>
      <c r="G378" s="4"/>
    </row>
    <row r="379">
      <c r="A379" s="4"/>
      <c r="B379" s="4"/>
      <c r="C379" s="4"/>
      <c r="D379" s="4"/>
      <c r="E379" s="4"/>
      <c r="F379" s="4"/>
      <c r="G379" s="4"/>
    </row>
    <row r="380">
      <c r="A380" s="4"/>
      <c r="B380" s="4"/>
      <c r="C380" s="4"/>
      <c r="D380" s="4"/>
      <c r="E380" s="4"/>
      <c r="F380" s="4"/>
      <c r="G380" s="4"/>
    </row>
    <row r="381">
      <c r="A381" s="4"/>
      <c r="B381" s="4"/>
      <c r="C381" s="4"/>
      <c r="D381" s="4"/>
      <c r="E381" s="4"/>
      <c r="F381" s="4"/>
      <c r="G381" s="4"/>
    </row>
    <row r="382">
      <c r="A382" s="4"/>
      <c r="B382" s="4"/>
      <c r="C382" s="4"/>
      <c r="D382" s="4"/>
      <c r="E382" s="4"/>
      <c r="F382" s="4"/>
      <c r="G382" s="4"/>
    </row>
    <row r="383">
      <c r="A383" s="4"/>
      <c r="B383" s="4"/>
      <c r="C383" s="4"/>
      <c r="D383" s="4"/>
      <c r="E383" s="4"/>
      <c r="F383" s="4"/>
      <c r="G383" s="4"/>
    </row>
    <row r="384">
      <c r="A384" s="4"/>
      <c r="B384" s="4"/>
      <c r="C384" s="4"/>
      <c r="D384" s="4"/>
      <c r="E384" s="4"/>
      <c r="F384" s="4"/>
      <c r="G384" s="4"/>
    </row>
    <row r="385">
      <c r="A385" s="4"/>
      <c r="B385" s="4"/>
      <c r="C385" s="4"/>
      <c r="D385" s="4"/>
      <c r="E385" s="4"/>
      <c r="F385" s="4"/>
      <c r="G385" s="4"/>
    </row>
    <row r="386">
      <c r="A386" s="4"/>
      <c r="B386" s="4"/>
      <c r="C386" s="4"/>
      <c r="D386" s="4"/>
      <c r="E386" s="4"/>
      <c r="F386" s="4"/>
      <c r="G386" s="4"/>
    </row>
    <row r="387">
      <c r="A387" s="4"/>
      <c r="B387" s="4"/>
      <c r="C387" s="4"/>
      <c r="D387" s="4"/>
      <c r="E387" s="4"/>
      <c r="F387" s="4"/>
      <c r="G387" s="4"/>
    </row>
    <row r="388">
      <c r="A388" s="4"/>
      <c r="B388" s="4"/>
      <c r="C388" s="4"/>
      <c r="D388" s="4"/>
      <c r="E388" s="4"/>
      <c r="F388" s="4"/>
      <c r="G388" s="4"/>
    </row>
    <row r="389">
      <c r="A389" s="4"/>
      <c r="B389" s="4"/>
      <c r="C389" s="4"/>
      <c r="D389" s="4"/>
      <c r="E389" s="4"/>
      <c r="F389" s="4"/>
      <c r="G389" s="4"/>
    </row>
    <row r="390">
      <c r="A390" s="4"/>
      <c r="B390" s="4"/>
      <c r="C390" s="4"/>
      <c r="D390" s="4"/>
      <c r="E390" s="4"/>
      <c r="F390" s="4"/>
      <c r="G390" s="4"/>
    </row>
    <row r="391">
      <c r="A391" s="4"/>
      <c r="B391" s="4"/>
      <c r="C391" s="4"/>
      <c r="D391" s="4"/>
      <c r="E391" s="4"/>
      <c r="F391" s="4"/>
      <c r="G391" s="4"/>
    </row>
    <row r="392">
      <c r="A392" s="4"/>
      <c r="B392" s="4"/>
      <c r="C392" s="4"/>
      <c r="D392" s="4"/>
      <c r="E392" s="4"/>
      <c r="F392" s="4"/>
      <c r="G392" s="4"/>
    </row>
    <row r="393">
      <c r="A393" s="4"/>
      <c r="B393" s="4"/>
      <c r="C393" s="4"/>
      <c r="D393" s="4"/>
      <c r="E393" s="4"/>
      <c r="F393" s="4"/>
      <c r="G393" s="4"/>
    </row>
    <row r="394">
      <c r="A394" s="4"/>
      <c r="B394" s="4"/>
      <c r="C394" s="4"/>
      <c r="D394" s="4"/>
      <c r="E394" s="4"/>
      <c r="F394" s="4"/>
      <c r="G394" s="4"/>
    </row>
    <row r="395">
      <c r="A395" s="4"/>
      <c r="B395" s="4"/>
      <c r="C395" s="4"/>
      <c r="D395" s="4"/>
      <c r="E395" s="4"/>
      <c r="F395" s="4"/>
      <c r="G395" s="4"/>
    </row>
    <row r="396">
      <c r="A396" s="4"/>
      <c r="B396" s="4"/>
      <c r="C396" s="4"/>
      <c r="D396" s="4"/>
      <c r="E396" s="4"/>
      <c r="F396" s="4"/>
      <c r="G396" s="4"/>
    </row>
    <row r="397">
      <c r="A397" s="4"/>
      <c r="B397" s="4"/>
      <c r="C397" s="4"/>
      <c r="D397" s="4"/>
      <c r="E397" s="4"/>
      <c r="F397" s="4"/>
      <c r="G397" s="4"/>
    </row>
    <row r="398">
      <c r="A398" s="4"/>
      <c r="B398" s="4"/>
      <c r="C398" s="4"/>
      <c r="D398" s="4"/>
      <c r="E398" s="4"/>
      <c r="F398" s="4"/>
      <c r="G398" s="4"/>
    </row>
    <row r="399">
      <c r="A399" s="4"/>
      <c r="B399" s="4"/>
      <c r="C399" s="4"/>
      <c r="D399" s="4"/>
      <c r="E399" s="4"/>
      <c r="F399" s="4"/>
      <c r="G399" s="4"/>
    </row>
    <row r="400">
      <c r="A400" s="4"/>
      <c r="B400" s="4"/>
      <c r="C400" s="4"/>
      <c r="D400" s="4"/>
      <c r="E400" s="4"/>
      <c r="F400" s="4"/>
      <c r="G400" s="4"/>
    </row>
    <row r="401">
      <c r="A401" s="4"/>
      <c r="B401" s="4"/>
      <c r="C401" s="4"/>
      <c r="D401" s="4"/>
      <c r="E401" s="4"/>
      <c r="F401" s="4"/>
      <c r="G401" s="4"/>
    </row>
    <row r="402">
      <c r="A402" s="4"/>
      <c r="B402" s="4"/>
      <c r="C402" s="4"/>
      <c r="D402" s="4"/>
      <c r="E402" s="4"/>
      <c r="F402" s="4"/>
      <c r="G402" s="4"/>
    </row>
    <row r="403">
      <c r="A403" s="4"/>
      <c r="B403" s="4"/>
      <c r="C403" s="4"/>
      <c r="D403" s="4"/>
      <c r="E403" s="4"/>
      <c r="F403" s="4"/>
      <c r="G403" s="4"/>
    </row>
    <row r="404">
      <c r="A404" s="4"/>
      <c r="B404" s="4"/>
      <c r="C404" s="4"/>
      <c r="D404" s="4"/>
      <c r="E404" s="4"/>
      <c r="F404" s="4"/>
      <c r="G404" s="4"/>
    </row>
    <row r="405">
      <c r="A405" s="4"/>
      <c r="B405" s="4"/>
      <c r="C405" s="4"/>
      <c r="D405" s="4"/>
      <c r="E405" s="4"/>
      <c r="F405" s="4"/>
      <c r="G405" s="4"/>
    </row>
    <row r="406">
      <c r="A406" s="4"/>
      <c r="B406" s="4"/>
      <c r="C406" s="4"/>
      <c r="D406" s="4"/>
      <c r="E406" s="4"/>
      <c r="F406" s="4"/>
      <c r="G406" s="4"/>
    </row>
    <row r="407">
      <c r="A407" s="4"/>
      <c r="B407" s="4"/>
      <c r="C407" s="4"/>
      <c r="D407" s="4"/>
      <c r="E407" s="4"/>
      <c r="F407" s="4"/>
      <c r="G407" s="4"/>
    </row>
    <row r="408">
      <c r="A408" s="4"/>
      <c r="B408" s="4"/>
      <c r="C408" s="4"/>
      <c r="D408" s="4"/>
      <c r="E408" s="4"/>
      <c r="F408" s="4"/>
      <c r="G408" s="4"/>
    </row>
    <row r="409">
      <c r="A409" s="4"/>
      <c r="B409" s="4"/>
      <c r="C409" s="4"/>
      <c r="D409" s="4"/>
      <c r="E409" s="4"/>
      <c r="F409" s="4"/>
      <c r="G409" s="4"/>
    </row>
    <row r="410">
      <c r="A410" s="4"/>
      <c r="B410" s="4"/>
      <c r="C410" s="4"/>
      <c r="D410" s="4"/>
      <c r="E410" s="4"/>
      <c r="F410" s="4"/>
      <c r="G410" s="4"/>
    </row>
    <row r="411">
      <c r="A411" s="4"/>
      <c r="B411" s="4"/>
      <c r="C411" s="4"/>
      <c r="D411" s="4"/>
      <c r="E411" s="4"/>
      <c r="F411" s="4"/>
      <c r="G411" s="4"/>
    </row>
    <row r="412">
      <c r="A412" s="4"/>
      <c r="B412" s="4"/>
      <c r="C412" s="4"/>
      <c r="D412" s="4"/>
      <c r="E412" s="4"/>
      <c r="F412" s="4"/>
      <c r="G412" s="4"/>
    </row>
    <row r="413">
      <c r="A413" s="4"/>
      <c r="B413" s="4"/>
      <c r="C413" s="4"/>
      <c r="D413" s="4"/>
      <c r="E413" s="4"/>
      <c r="F413" s="4"/>
      <c r="G413" s="4"/>
    </row>
    <row r="414">
      <c r="A414" s="4"/>
      <c r="B414" s="4"/>
      <c r="C414" s="4"/>
      <c r="D414" s="4"/>
      <c r="E414" s="4"/>
      <c r="F414" s="4"/>
      <c r="G414" s="4"/>
    </row>
    <row r="415">
      <c r="A415" s="4"/>
      <c r="B415" s="4"/>
      <c r="C415" s="4"/>
      <c r="D415" s="4"/>
      <c r="E415" s="4"/>
      <c r="F415" s="4"/>
      <c r="G415" s="4"/>
    </row>
    <row r="416">
      <c r="A416" s="4"/>
      <c r="B416" s="4"/>
      <c r="C416" s="4"/>
      <c r="D416" s="4"/>
      <c r="E416" s="4"/>
      <c r="F416" s="4"/>
      <c r="G416" s="4"/>
    </row>
    <row r="417">
      <c r="A417" s="4"/>
      <c r="B417" s="4"/>
      <c r="C417" s="4"/>
      <c r="D417" s="4"/>
      <c r="E417" s="4"/>
      <c r="F417" s="4"/>
      <c r="G417" s="4"/>
    </row>
    <row r="418">
      <c r="A418" s="4"/>
      <c r="B418" s="4"/>
      <c r="C418" s="4"/>
      <c r="D418" s="4"/>
      <c r="E418" s="4"/>
      <c r="F418" s="4"/>
      <c r="G418" s="4"/>
    </row>
    <row r="419">
      <c r="A419" s="4"/>
      <c r="B419" s="4"/>
      <c r="C419" s="4"/>
      <c r="D419" s="4"/>
      <c r="E419" s="4"/>
      <c r="F419" s="4"/>
      <c r="G419" s="4"/>
    </row>
    <row r="420">
      <c r="A420" s="4"/>
      <c r="B420" s="4"/>
      <c r="C420" s="4"/>
      <c r="D420" s="4"/>
      <c r="E420" s="4"/>
      <c r="F420" s="4"/>
      <c r="G420" s="4"/>
    </row>
    <row r="421">
      <c r="A421" s="4"/>
      <c r="B421" s="4"/>
      <c r="C421" s="4"/>
      <c r="D421" s="4"/>
      <c r="E421" s="4"/>
      <c r="F421" s="4"/>
      <c r="G421" s="4"/>
    </row>
    <row r="422">
      <c r="A422" s="4"/>
      <c r="B422" s="4"/>
      <c r="C422" s="4"/>
      <c r="D422" s="4"/>
      <c r="E422" s="4"/>
      <c r="F422" s="4"/>
      <c r="G422" s="4"/>
    </row>
    <row r="423">
      <c r="A423" s="4"/>
      <c r="B423" s="4"/>
      <c r="C423" s="4"/>
      <c r="D423" s="4"/>
      <c r="E423" s="4"/>
      <c r="F423" s="4"/>
      <c r="G423" s="4"/>
    </row>
    <row r="424">
      <c r="A424" s="4"/>
      <c r="B424" s="4"/>
      <c r="C424" s="4"/>
      <c r="D424" s="4"/>
      <c r="E424" s="4"/>
      <c r="F424" s="4"/>
      <c r="G424" s="4"/>
    </row>
    <row r="425">
      <c r="A425" s="4"/>
      <c r="B425" s="4"/>
      <c r="C425" s="4"/>
      <c r="D425" s="4"/>
      <c r="E425" s="4"/>
      <c r="F425" s="4"/>
      <c r="G425" s="4"/>
    </row>
    <row r="426">
      <c r="A426" s="4"/>
      <c r="B426" s="4"/>
      <c r="C426" s="4"/>
      <c r="D426" s="4"/>
      <c r="E426" s="4"/>
      <c r="F426" s="4"/>
      <c r="G426" s="4"/>
    </row>
    <row r="427">
      <c r="A427" s="4"/>
      <c r="B427" s="4"/>
      <c r="C427" s="4"/>
      <c r="D427" s="4"/>
      <c r="E427" s="4"/>
      <c r="F427" s="4"/>
      <c r="G427" s="4"/>
    </row>
    <row r="428">
      <c r="A428" s="4"/>
      <c r="B428" s="4"/>
      <c r="C428" s="4"/>
      <c r="D428" s="4"/>
      <c r="E428" s="4"/>
      <c r="F428" s="4"/>
      <c r="G428" s="4"/>
    </row>
    <row r="429">
      <c r="A429" s="4"/>
      <c r="B429" s="4"/>
      <c r="C429" s="4"/>
      <c r="D429" s="4"/>
      <c r="E429" s="4"/>
      <c r="F429" s="4"/>
      <c r="G429" s="4"/>
    </row>
    <row r="430">
      <c r="A430" s="4"/>
      <c r="B430" s="4"/>
      <c r="C430" s="4"/>
      <c r="D430" s="4"/>
      <c r="E430" s="4"/>
      <c r="F430" s="4"/>
      <c r="G430" s="4"/>
    </row>
    <row r="431">
      <c r="A431" s="4"/>
      <c r="B431" s="4"/>
      <c r="C431" s="4"/>
      <c r="D431" s="4"/>
      <c r="E431" s="4"/>
      <c r="F431" s="4"/>
      <c r="G431" s="4"/>
    </row>
    <row r="432">
      <c r="A432" s="4"/>
      <c r="B432" s="4"/>
      <c r="C432" s="4"/>
      <c r="D432" s="4"/>
      <c r="E432" s="4"/>
      <c r="F432" s="4"/>
      <c r="G432" s="4"/>
    </row>
    <row r="433">
      <c r="A433" s="4"/>
      <c r="B433" s="4"/>
      <c r="C433" s="4"/>
      <c r="D433" s="4"/>
      <c r="E433" s="4"/>
      <c r="F433" s="4"/>
      <c r="G433" s="4"/>
    </row>
    <row r="434">
      <c r="A434" s="4"/>
      <c r="B434" s="4"/>
      <c r="C434" s="4"/>
      <c r="D434" s="4"/>
      <c r="E434" s="4"/>
      <c r="F434" s="4"/>
      <c r="G434" s="4"/>
    </row>
    <row r="435">
      <c r="A435" s="4"/>
      <c r="B435" s="4"/>
      <c r="C435" s="4"/>
      <c r="D435" s="4"/>
      <c r="E435" s="4"/>
      <c r="F435" s="4"/>
      <c r="G435" s="4"/>
    </row>
    <row r="436">
      <c r="A436" s="4"/>
      <c r="B436" s="4"/>
      <c r="C436" s="4"/>
      <c r="D436" s="4"/>
      <c r="E436" s="4"/>
      <c r="F436" s="4"/>
      <c r="G436" s="4"/>
    </row>
    <row r="437">
      <c r="A437" s="4"/>
      <c r="B437" s="4"/>
      <c r="C437" s="4"/>
      <c r="D437" s="4"/>
      <c r="E437" s="4"/>
      <c r="F437" s="4"/>
      <c r="G437" s="4"/>
    </row>
    <row r="438">
      <c r="A438" s="4"/>
      <c r="B438" s="4"/>
      <c r="C438" s="4"/>
      <c r="D438" s="4"/>
      <c r="E438" s="4"/>
      <c r="F438" s="4"/>
      <c r="G438" s="4"/>
    </row>
    <row r="439">
      <c r="A439" s="4"/>
      <c r="B439" s="4"/>
      <c r="C439" s="4"/>
      <c r="D439" s="4"/>
      <c r="E439" s="4"/>
      <c r="F439" s="4"/>
      <c r="G439" s="4"/>
    </row>
    <row r="440">
      <c r="A440" s="4"/>
      <c r="B440" s="4"/>
      <c r="C440" s="4"/>
      <c r="D440" s="4"/>
      <c r="E440" s="4"/>
      <c r="F440" s="4"/>
      <c r="G440" s="4"/>
    </row>
    <row r="441">
      <c r="A441" s="4"/>
      <c r="B441" s="4"/>
      <c r="C441" s="4"/>
      <c r="D441" s="4"/>
      <c r="E441" s="4"/>
      <c r="F441" s="4"/>
      <c r="G441" s="4"/>
    </row>
    <row r="442">
      <c r="A442" s="4"/>
      <c r="B442" s="4"/>
      <c r="C442" s="4"/>
      <c r="D442" s="4"/>
      <c r="E442" s="4"/>
      <c r="F442" s="4"/>
      <c r="G442" s="4"/>
    </row>
    <row r="443">
      <c r="A443" s="4"/>
      <c r="B443" s="4"/>
      <c r="C443" s="4"/>
      <c r="D443" s="4"/>
      <c r="E443" s="4"/>
      <c r="F443" s="4"/>
      <c r="G443" s="4"/>
    </row>
    <row r="444">
      <c r="A444" s="4"/>
      <c r="B444" s="4"/>
      <c r="C444" s="4"/>
      <c r="D444" s="4"/>
      <c r="E444" s="4"/>
      <c r="F444" s="4"/>
      <c r="G444" s="4"/>
    </row>
    <row r="445">
      <c r="A445" s="4"/>
      <c r="B445" s="4"/>
      <c r="C445" s="4"/>
      <c r="D445" s="4"/>
      <c r="E445" s="4"/>
      <c r="F445" s="4"/>
      <c r="G445" s="4"/>
    </row>
    <row r="446">
      <c r="A446" s="4"/>
      <c r="B446" s="4"/>
      <c r="C446" s="4"/>
      <c r="D446" s="4"/>
      <c r="E446" s="4"/>
      <c r="F446" s="4"/>
      <c r="G446" s="4"/>
    </row>
    <row r="447">
      <c r="A447" s="4"/>
      <c r="B447" s="4"/>
      <c r="C447" s="4"/>
      <c r="D447" s="4"/>
      <c r="E447" s="4"/>
      <c r="F447" s="4"/>
      <c r="G447" s="4"/>
    </row>
    <row r="448">
      <c r="A448" s="4"/>
      <c r="B448" s="4"/>
      <c r="C448" s="4"/>
      <c r="D448" s="4"/>
      <c r="E448" s="4"/>
      <c r="F448" s="4"/>
      <c r="G448" s="4"/>
    </row>
    <row r="449">
      <c r="A449" s="4"/>
      <c r="B449" s="4"/>
      <c r="C449" s="4"/>
      <c r="D449" s="4"/>
      <c r="E449" s="4"/>
      <c r="F449" s="4"/>
      <c r="G449" s="4"/>
    </row>
    <row r="450">
      <c r="A450" s="4"/>
      <c r="B450" s="4"/>
      <c r="C450" s="4"/>
      <c r="D450" s="4"/>
      <c r="E450" s="4"/>
      <c r="F450" s="4"/>
      <c r="G450" s="4"/>
    </row>
    <row r="451">
      <c r="A451" s="4"/>
      <c r="B451" s="4"/>
      <c r="C451" s="4"/>
      <c r="D451" s="4"/>
      <c r="E451" s="4"/>
      <c r="F451" s="4"/>
      <c r="G451" s="4"/>
    </row>
    <row r="452">
      <c r="A452" s="4"/>
      <c r="B452" s="4"/>
      <c r="C452" s="4"/>
      <c r="D452" s="4"/>
      <c r="E452" s="4"/>
      <c r="F452" s="4"/>
      <c r="G452" s="4"/>
    </row>
    <row r="453">
      <c r="A453" s="4"/>
      <c r="B453" s="4"/>
      <c r="C453" s="4"/>
      <c r="D453" s="4"/>
      <c r="E453" s="4"/>
      <c r="F453" s="4"/>
      <c r="G453" s="4"/>
    </row>
    <row r="454">
      <c r="A454" s="4"/>
      <c r="B454" s="4"/>
      <c r="C454" s="4"/>
      <c r="D454" s="4"/>
      <c r="E454" s="4"/>
      <c r="F454" s="4"/>
      <c r="G454" s="4"/>
    </row>
    <row r="455">
      <c r="A455" s="4"/>
      <c r="B455" s="4"/>
      <c r="C455" s="4"/>
      <c r="D455" s="4"/>
      <c r="E455" s="4"/>
      <c r="F455" s="4"/>
      <c r="G455" s="4"/>
    </row>
    <row r="456">
      <c r="A456" s="4"/>
      <c r="B456" s="4"/>
      <c r="C456" s="4"/>
      <c r="D456" s="4"/>
      <c r="E456" s="4"/>
      <c r="F456" s="4"/>
      <c r="G456" s="4"/>
    </row>
    <row r="457">
      <c r="A457" s="4"/>
      <c r="B457" s="4"/>
      <c r="C457" s="4"/>
      <c r="D457" s="4"/>
      <c r="E457" s="4"/>
      <c r="F457" s="4"/>
      <c r="G457" s="4"/>
    </row>
    <row r="458">
      <c r="A458" s="4"/>
      <c r="B458" s="4"/>
      <c r="C458" s="4"/>
      <c r="D458" s="4"/>
      <c r="E458" s="4"/>
      <c r="F458" s="4"/>
      <c r="G458" s="4"/>
    </row>
    <row r="459">
      <c r="A459" s="4"/>
      <c r="B459" s="4"/>
      <c r="C459" s="4"/>
      <c r="D459" s="4"/>
      <c r="E459" s="4"/>
      <c r="F459" s="4"/>
      <c r="G459" s="4"/>
    </row>
    <row r="460">
      <c r="A460" s="4"/>
      <c r="B460" s="4"/>
      <c r="C460" s="4"/>
      <c r="D460" s="4"/>
      <c r="E460" s="4"/>
      <c r="F460" s="4"/>
      <c r="G460" s="4"/>
    </row>
    <row r="461">
      <c r="A461" s="4"/>
      <c r="B461" s="4"/>
      <c r="C461" s="4"/>
      <c r="D461" s="4"/>
      <c r="E461" s="4"/>
      <c r="F461" s="4"/>
      <c r="G461" s="4"/>
    </row>
    <row r="462">
      <c r="A462" s="4"/>
      <c r="B462" s="4"/>
      <c r="C462" s="4"/>
      <c r="D462" s="4"/>
      <c r="E462" s="4"/>
      <c r="F462" s="4"/>
      <c r="G462" s="4"/>
    </row>
    <row r="463">
      <c r="A463" s="4"/>
      <c r="B463" s="4"/>
      <c r="C463" s="4"/>
      <c r="D463" s="4"/>
      <c r="E463" s="4"/>
      <c r="F463" s="4"/>
      <c r="G463" s="4"/>
    </row>
    <row r="464">
      <c r="A464" s="4"/>
      <c r="B464" s="4"/>
      <c r="C464" s="4"/>
      <c r="D464" s="4"/>
      <c r="E464" s="4"/>
      <c r="F464" s="4"/>
      <c r="G464" s="4"/>
    </row>
    <row r="465">
      <c r="A465" s="4"/>
      <c r="B465" s="4"/>
      <c r="C465" s="4"/>
      <c r="D465" s="4"/>
      <c r="E465" s="4"/>
      <c r="F465" s="4"/>
      <c r="G465" s="4"/>
    </row>
    <row r="466">
      <c r="A466" s="4"/>
      <c r="B466" s="4"/>
      <c r="C466" s="4"/>
      <c r="D466" s="4"/>
      <c r="E466" s="4"/>
      <c r="F466" s="4"/>
      <c r="G466" s="4"/>
    </row>
    <row r="467">
      <c r="A467" s="4"/>
      <c r="B467" s="4"/>
      <c r="C467" s="4"/>
      <c r="D467" s="4"/>
      <c r="E467" s="4"/>
      <c r="F467" s="4"/>
      <c r="G467" s="4"/>
    </row>
    <row r="468">
      <c r="A468" s="4"/>
      <c r="B468" s="4"/>
      <c r="C468" s="4"/>
      <c r="D468" s="4"/>
      <c r="E468" s="4"/>
      <c r="F468" s="4"/>
      <c r="G468" s="4"/>
    </row>
    <row r="469">
      <c r="A469" s="4"/>
      <c r="B469" s="4"/>
      <c r="C469" s="4"/>
      <c r="D469" s="4"/>
      <c r="E469" s="4"/>
      <c r="F469" s="4"/>
      <c r="G469" s="4"/>
    </row>
    <row r="470">
      <c r="A470" s="4"/>
      <c r="B470" s="4"/>
      <c r="C470" s="4"/>
      <c r="D470" s="4"/>
      <c r="E470" s="4"/>
      <c r="F470" s="4"/>
      <c r="G470" s="4"/>
    </row>
    <row r="471">
      <c r="A471" s="4"/>
      <c r="B471" s="4"/>
      <c r="C471" s="4"/>
      <c r="D471" s="4"/>
      <c r="E471" s="4"/>
      <c r="F471" s="4"/>
      <c r="G471" s="4"/>
    </row>
    <row r="472">
      <c r="A472" s="4"/>
      <c r="B472" s="4"/>
      <c r="C472" s="4"/>
      <c r="D472" s="4"/>
      <c r="E472" s="4"/>
      <c r="F472" s="4"/>
      <c r="G472" s="4"/>
    </row>
    <row r="473">
      <c r="A473" s="4"/>
      <c r="B473" s="4"/>
      <c r="C473" s="4"/>
      <c r="D473" s="4"/>
      <c r="E473" s="4"/>
      <c r="F473" s="4"/>
      <c r="G473" s="4"/>
    </row>
    <row r="474">
      <c r="A474" s="4"/>
      <c r="B474" s="4"/>
      <c r="C474" s="4"/>
      <c r="D474" s="4"/>
      <c r="E474" s="4"/>
      <c r="F474" s="4"/>
      <c r="G474" s="4"/>
    </row>
    <row r="475">
      <c r="A475" s="4"/>
      <c r="B475" s="4"/>
      <c r="C475" s="4"/>
      <c r="D475" s="4"/>
      <c r="E475" s="4"/>
      <c r="F475" s="4"/>
      <c r="G475" s="4"/>
    </row>
    <row r="476">
      <c r="A476" s="4"/>
      <c r="B476" s="4"/>
      <c r="C476" s="4"/>
      <c r="D476" s="4"/>
      <c r="E476" s="4"/>
      <c r="F476" s="4"/>
      <c r="G476" s="4"/>
    </row>
    <row r="477">
      <c r="A477" s="4"/>
      <c r="B477" s="4"/>
      <c r="C477" s="4"/>
      <c r="D477" s="4"/>
      <c r="E477" s="4"/>
      <c r="F477" s="4"/>
      <c r="G477" s="4"/>
    </row>
    <row r="478">
      <c r="A478" s="4"/>
      <c r="B478" s="4"/>
      <c r="C478" s="4"/>
      <c r="D478" s="4"/>
      <c r="E478" s="4"/>
      <c r="F478" s="4"/>
      <c r="G478" s="4"/>
    </row>
    <row r="479">
      <c r="A479" s="4"/>
      <c r="B479" s="4"/>
      <c r="C479" s="4"/>
      <c r="D479" s="4"/>
      <c r="E479" s="4"/>
      <c r="F479" s="4"/>
      <c r="G479" s="4"/>
    </row>
    <row r="480">
      <c r="A480" s="4"/>
      <c r="B480" s="4"/>
      <c r="C480" s="4"/>
      <c r="D480" s="4"/>
      <c r="E480" s="4"/>
      <c r="F480" s="4"/>
      <c r="G480" s="4"/>
    </row>
    <row r="481">
      <c r="A481" s="4"/>
      <c r="B481" s="4"/>
      <c r="C481" s="4"/>
      <c r="D481" s="4"/>
      <c r="E481" s="4"/>
      <c r="F481" s="4"/>
      <c r="G481" s="4"/>
    </row>
    <row r="482">
      <c r="A482" s="4"/>
      <c r="B482" s="4"/>
      <c r="C482" s="4"/>
      <c r="D482" s="4"/>
      <c r="E482" s="4"/>
      <c r="F482" s="4"/>
      <c r="G482" s="4"/>
    </row>
    <row r="483">
      <c r="A483" s="4"/>
      <c r="B483" s="4"/>
      <c r="C483" s="4"/>
      <c r="D483" s="4"/>
      <c r="E483" s="4"/>
      <c r="F483" s="4"/>
      <c r="G483" s="4"/>
    </row>
    <row r="484">
      <c r="A484" s="4"/>
      <c r="B484" s="4"/>
      <c r="C484" s="4"/>
      <c r="D484" s="4"/>
      <c r="E484" s="4"/>
      <c r="F484" s="4"/>
      <c r="G484" s="4"/>
    </row>
    <row r="485">
      <c r="A485" s="4"/>
      <c r="B485" s="4"/>
      <c r="C485" s="4"/>
      <c r="D485" s="4"/>
      <c r="E485" s="4"/>
      <c r="F485" s="4"/>
      <c r="G485" s="4"/>
    </row>
    <row r="486">
      <c r="A486" s="4"/>
      <c r="B486" s="4"/>
      <c r="C486" s="4"/>
      <c r="D486" s="4"/>
      <c r="E486" s="4"/>
      <c r="F486" s="4"/>
      <c r="G486" s="4"/>
    </row>
    <row r="487">
      <c r="A487" s="4"/>
      <c r="B487" s="4"/>
      <c r="C487" s="4"/>
      <c r="D487" s="4"/>
      <c r="E487" s="4"/>
      <c r="F487" s="4"/>
      <c r="G487" s="4"/>
    </row>
    <row r="488">
      <c r="A488" s="4"/>
      <c r="B488" s="4"/>
      <c r="C488" s="4"/>
      <c r="D488" s="4"/>
      <c r="E488" s="4"/>
      <c r="F488" s="4"/>
      <c r="G488" s="4"/>
    </row>
    <row r="489">
      <c r="A489" s="4"/>
      <c r="B489" s="4"/>
      <c r="C489" s="4"/>
      <c r="D489" s="4"/>
      <c r="E489" s="4"/>
      <c r="F489" s="4"/>
      <c r="G489" s="4"/>
    </row>
    <row r="490">
      <c r="A490" s="4"/>
      <c r="B490" s="4"/>
      <c r="C490" s="4"/>
      <c r="D490" s="4"/>
      <c r="E490" s="4"/>
      <c r="F490" s="4"/>
      <c r="G490" s="4"/>
    </row>
    <row r="491">
      <c r="A491" s="4"/>
      <c r="B491" s="4"/>
      <c r="C491" s="4"/>
      <c r="D491" s="4"/>
      <c r="E491" s="4"/>
      <c r="F491" s="4"/>
      <c r="G491" s="4"/>
    </row>
    <row r="492">
      <c r="A492" s="4"/>
      <c r="B492" s="4"/>
      <c r="C492" s="4"/>
      <c r="D492" s="4"/>
      <c r="E492" s="4"/>
      <c r="F492" s="4"/>
      <c r="G492" s="4"/>
    </row>
    <row r="493">
      <c r="A493" s="4"/>
      <c r="B493" s="4"/>
      <c r="C493" s="4"/>
      <c r="D493" s="4"/>
      <c r="E493" s="4"/>
      <c r="F493" s="4"/>
      <c r="G493" s="4"/>
    </row>
    <row r="494">
      <c r="A494" s="4"/>
      <c r="B494" s="4"/>
      <c r="C494" s="4"/>
      <c r="D494" s="4"/>
      <c r="E494" s="4"/>
      <c r="F494" s="4"/>
      <c r="G494" s="4"/>
    </row>
    <row r="495">
      <c r="A495" s="4"/>
      <c r="B495" s="4"/>
      <c r="C495" s="4"/>
      <c r="D495" s="4"/>
      <c r="E495" s="4"/>
      <c r="F495" s="4"/>
      <c r="G495" s="4"/>
    </row>
    <row r="496">
      <c r="A496" s="4"/>
      <c r="B496" s="4"/>
      <c r="C496" s="4"/>
      <c r="D496" s="4"/>
      <c r="E496" s="4"/>
      <c r="F496" s="4"/>
      <c r="G496" s="4"/>
    </row>
    <row r="497">
      <c r="A497" s="4"/>
      <c r="B497" s="4"/>
      <c r="C497" s="4"/>
      <c r="D497" s="4"/>
      <c r="E497" s="4"/>
      <c r="F497" s="4"/>
      <c r="G497" s="4"/>
    </row>
    <row r="498">
      <c r="A498" s="4"/>
      <c r="B498" s="4"/>
      <c r="C498" s="4"/>
      <c r="D498" s="4"/>
      <c r="E498" s="4"/>
      <c r="F498" s="4"/>
      <c r="G498" s="4"/>
    </row>
    <row r="499">
      <c r="A499" s="4"/>
      <c r="B499" s="4"/>
      <c r="C499" s="4"/>
      <c r="D499" s="4"/>
      <c r="E499" s="4"/>
      <c r="F499" s="4"/>
      <c r="G499" s="4"/>
    </row>
    <row r="500">
      <c r="A500" s="4"/>
      <c r="B500" s="4"/>
      <c r="C500" s="4"/>
      <c r="D500" s="4"/>
      <c r="E500" s="4"/>
      <c r="F500" s="4"/>
      <c r="G500" s="4"/>
    </row>
    <row r="501">
      <c r="A501" s="4"/>
      <c r="B501" s="4"/>
      <c r="C501" s="4"/>
      <c r="D501" s="4"/>
      <c r="E501" s="4"/>
      <c r="F501" s="4"/>
      <c r="G501" s="4"/>
    </row>
    <row r="502">
      <c r="A502" s="4"/>
      <c r="B502" s="4"/>
      <c r="C502" s="4"/>
      <c r="D502" s="4"/>
      <c r="E502" s="4"/>
      <c r="F502" s="4"/>
      <c r="G502" s="4"/>
    </row>
    <row r="503">
      <c r="A503" s="4"/>
      <c r="B503" s="4"/>
      <c r="C503" s="4"/>
      <c r="D503" s="4"/>
      <c r="E503" s="4"/>
      <c r="F503" s="4"/>
      <c r="G503" s="4"/>
    </row>
    <row r="504">
      <c r="A504" s="4"/>
      <c r="B504" s="4"/>
      <c r="C504" s="4"/>
      <c r="D504" s="4"/>
      <c r="E504" s="4"/>
      <c r="F504" s="4"/>
      <c r="G504" s="4"/>
    </row>
    <row r="505">
      <c r="A505" s="4"/>
      <c r="B505" s="4"/>
      <c r="C505" s="4"/>
      <c r="D505" s="4"/>
      <c r="E505" s="4"/>
      <c r="F505" s="4"/>
      <c r="G505" s="4"/>
    </row>
    <row r="506">
      <c r="A506" s="4"/>
      <c r="B506" s="4"/>
      <c r="C506" s="4"/>
      <c r="D506" s="4"/>
      <c r="E506" s="4"/>
      <c r="F506" s="4"/>
      <c r="G506" s="4"/>
    </row>
    <row r="507">
      <c r="A507" s="4"/>
      <c r="B507" s="4"/>
      <c r="C507" s="4"/>
      <c r="D507" s="4"/>
      <c r="E507" s="4"/>
      <c r="F507" s="4"/>
      <c r="G507" s="4"/>
    </row>
    <row r="508">
      <c r="A508" s="4"/>
      <c r="B508" s="4"/>
      <c r="C508" s="4"/>
      <c r="D508" s="4"/>
      <c r="E508" s="4"/>
      <c r="F508" s="4"/>
      <c r="G508" s="4"/>
    </row>
    <row r="509">
      <c r="A509" s="4"/>
      <c r="B509" s="4"/>
      <c r="C509" s="4"/>
      <c r="D509" s="4"/>
      <c r="E509" s="4"/>
      <c r="F509" s="4"/>
      <c r="G509" s="4"/>
    </row>
    <row r="510">
      <c r="A510" s="4"/>
      <c r="B510" s="4"/>
      <c r="C510" s="4"/>
      <c r="D510" s="4"/>
      <c r="E510" s="4"/>
      <c r="F510" s="4"/>
      <c r="G510" s="4"/>
    </row>
    <row r="511">
      <c r="A511" s="4"/>
      <c r="B511" s="4"/>
      <c r="C511" s="4"/>
      <c r="D511" s="4"/>
      <c r="E511" s="4"/>
      <c r="F511" s="4"/>
      <c r="G511" s="4"/>
    </row>
    <row r="512">
      <c r="A512" s="4"/>
      <c r="B512" s="4"/>
      <c r="C512" s="4"/>
      <c r="D512" s="4"/>
      <c r="E512" s="4"/>
      <c r="F512" s="4"/>
      <c r="G512" s="4"/>
    </row>
    <row r="513">
      <c r="A513" s="4"/>
      <c r="B513" s="4"/>
      <c r="C513" s="4"/>
      <c r="D513" s="4"/>
      <c r="E513" s="4"/>
      <c r="F513" s="4"/>
      <c r="G513" s="4"/>
    </row>
    <row r="514">
      <c r="A514" s="4"/>
      <c r="B514" s="4"/>
      <c r="C514" s="4"/>
      <c r="D514" s="4"/>
      <c r="E514" s="4"/>
      <c r="F514" s="4"/>
      <c r="G514" s="4"/>
    </row>
    <row r="515">
      <c r="A515" s="4"/>
      <c r="B515" s="4"/>
      <c r="C515" s="4"/>
      <c r="D515" s="4"/>
      <c r="E515" s="4"/>
      <c r="F515" s="4"/>
      <c r="G515" s="4"/>
    </row>
    <row r="516">
      <c r="A516" s="4"/>
      <c r="B516" s="4"/>
      <c r="C516" s="4"/>
      <c r="D516" s="4"/>
      <c r="E516" s="4"/>
      <c r="F516" s="4"/>
      <c r="G516" s="4"/>
    </row>
    <row r="517">
      <c r="A517" s="4"/>
      <c r="B517" s="4"/>
      <c r="C517" s="4"/>
      <c r="D517" s="4"/>
      <c r="E517" s="4"/>
      <c r="F517" s="4"/>
      <c r="G517" s="4"/>
    </row>
    <row r="518">
      <c r="A518" s="4"/>
      <c r="B518" s="4"/>
      <c r="C518" s="4"/>
      <c r="D518" s="4"/>
      <c r="E518" s="4"/>
      <c r="F518" s="4"/>
      <c r="G518" s="4"/>
    </row>
    <row r="519">
      <c r="A519" s="4"/>
      <c r="B519" s="4"/>
      <c r="C519" s="4"/>
      <c r="D519" s="4"/>
      <c r="E519" s="4"/>
      <c r="F519" s="4"/>
      <c r="G519" s="4"/>
    </row>
    <row r="520">
      <c r="A520" s="4"/>
      <c r="B520" s="4"/>
      <c r="C520" s="4"/>
      <c r="D520" s="4"/>
      <c r="E520" s="4"/>
      <c r="F520" s="4"/>
      <c r="G520" s="4"/>
    </row>
    <row r="521">
      <c r="A521" s="4"/>
      <c r="B521" s="4"/>
      <c r="C521" s="4"/>
      <c r="D521" s="4"/>
      <c r="E521" s="4"/>
      <c r="F521" s="4"/>
      <c r="G521" s="4"/>
    </row>
    <row r="522">
      <c r="A522" s="4"/>
      <c r="B522" s="4"/>
      <c r="C522" s="4"/>
      <c r="D522" s="4"/>
      <c r="E522" s="4"/>
      <c r="F522" s="4"/>
      <c r="G522" s="4"/>
    </row>
    <row r="523">
      <c r="A523" s="4"/>
      <c r="B523" s="4"/>
      <c r="C523" s="4"/>
      <c r="D523" s="4"/>
      <c r="E523" s="4"/>
      <c r="F523" s="4"/>
      <c r="G523" s="4"/>
    </row>
    <row r="524">
      <c r="A524" s="4"/>
      <c r="B524" s="4"/>
      <c r="C524" s="4"/>
      <c r="D524" s="4"/>
      <c r="E524" s="4"/>
      <c r="F524" s="4"/>
      <c r="G524" s="4"/>
    </row>
    <row r="525">
      <c r="A525" s="4"/>
      <c r="B525" s="4"/>
      <c r="C525" s="4"/>
      <c r="D525" s="4"/>
      <c r="E525" s="4"/>
      <c r="F525" s="4"/>
      <c r="G525" s="4"/>
    </row>
    <row r="526">
      <c r="A526" s="4"/>
      <c r="B526" s="4"/>
      <c r="C526" s="4"/>
      <c r="D526" s="4"/>
      <c r="E526" s="4"/>
      <c r="F526" s="4"/>
      <c r="G526" s="4"/>
    </row>
    <row r="527">
      <c r="A527" s="4"/>
      <c r="B527" s="4"/>
      <c r="C527" s="4"/>
      <c r="D527" s="4"/>
      <c r="E527" s="4"/>
      <c r="F527" s="4"/>
      <c r="G527" s="4"/>
    </row>
    <row r="528">
      <c r="A528" s="4"/>
      <c r="B528" s="4"/>
      <c r="C528" s="4"/>
      <c r="D528" s="4"/>
      <c r="E528" s="4"/>
      <c r="F528" s="4"/>
      <c r="G528" s="4"/>
    </row>
    <row r="529">
      <c r="A529" s="4"/>
      <c r="B529" s="4"/>
      <c r="C529" s="4"/>
      <c r="D529" s="4"/>
      <c r="E529" s="4"/>
      <c r="F529" s="4"/>
      <c r="G529" s="4"/>
    </row>
    <row r="530">
      <c r="A530" s="4"/>
      <c r="B530" s="4"/>
      <c r="C530" s="4"/>
      <c r="D530" s="4"/>
      <c r="E530" s="4"/>
      <c r="F530" s="4"/>
      <c r="G530" s="4"/>
    </row>
    <row r="531">
      <c r="A531" s="4"/>
      <c r="B531" s="4"/>
      <c r="C531" s="4"/>
      <c r="D531" s="4"/>
      <c r="E531" s="4"/>
      <c r="F531" s="4"/>
      <c r="G531" s="4"/>
    </row>
    <row r="532">
      <c r="A532" s="4"/>
      <c r="B532" s="4"/>
      <c r="C532" s="4"/>
      <c r="D532" s="4"/>
      <c r="E532" s="4"/>
      <c r="F532" s="4"/>
      <c r="G532" s="4"/>
    </row>
    <row r="533">
      <c r="A533" s="4"/>
      <c r="B533" s="4"/>
      <c r="C533" s="4"/>
      <c r="D533" s="4"/>
      <c r="E533" s="4"/>
      <c r="F533" s="4"/>
      <c r="G533" s="4"/>
    </row>
    <row r="534">
      <c r="A534" s="4"/>
      <c r="B534" s="4"/>
      <c r="C534" s="4"/>
      <c r="D534" s="4"/>
      <c r="E534" s="4"/>
      <c r="F534" s="4"/>
      <c r="G534" s="4"/>
    </row>
    <row r="535">
      <c r="A535" s="4"/>
      <c r="B535" s="4"/>
      <c r="C535" s="4"/>
      <c r="D535" s="4"/>
      <c r="E535" s="4"/>
      <c r="F535" s="4"/>
      <c r="G535" s="4"/>
    </row>
    <row r="536">
      <c r="A536" s="4"/>
      <c r="B536" s="4"/>
      <c r="C536" s="4"/>
      <c r="D536" s="4"/>
      <c r="E536" s="4"/>
      <c r="F536" s="4"/>
      <c r="G536" s="4"/>
    </row>
    <row r="537">
      <c r="A537" s="4"/>
      <c r="B537" s="4"/>
      <c r="C537" s="4"/>
      <c r="D537" s="4"/>
      <c r="E537" s="4"/>
      <c r="F537" s="4"/>
      <c r="G537" s="4"/>
    </row>
    <row r="538">
      <c r="A538" s="4"/>
      <c r="B538" s="4"/>
      <c r="C538" s="4"/>
      <c r="D538" s="4"/>
      <c r="E538" s="4"/>
      <c r="F538" s="4"/>
      <c r="G538" s="4"/>
    </row>
    <row r="539">
      <c r="A539" s="4"/>
      <c r="B539" s="4"/>
      <c r="C539" s="4"/>
      <c r="D539" s="4"/>
      <c r="E539" s="4"/>
      <c r="F539" s="4"/>
      <c r="G539" s="4"/>
    </row>
    <row r="540">
      <c r="A540" s="4"/>
      <c r="B540" s="4"/>
      <c r="C540" s="4"/>
      <c r="D540" s="4"/>
      <c r="E540" s="4"/>
      <c r="F540" s="4"/>
      <c r="G540" s="4"/>
    </row>
    <row r="541">
      <c r="A541" s="4"/>
      <c r="B541" s="4"/>
      <c r="C541" s="4"/>
      <c r="D541" s="4"/>
      <c r="E541" s="4"/>
      <c r="F541" s="4"/>
      <c r="G541" s="4"/>
    </row>
    <row r="542">
      <c r="A542" s="4"/>
      <c r="B542" s="4"/>
      <c r="C542" s="4"/>
      <c r="D542" s="4"/>
      <c r="E542" s="4"/>
      <c r="F542" s="4"/>
      <c r="G542" s="4"/>
    </row>
    <row r="543">
      <c r="A543" s="4"/>
      <c r="B543" s="4"/>
      <c r="C543" s="4"/>
      <c r="D543" s="4"/>
      <c r="E543" s="4"/>
      <c r="F543" s="4"/>
      <c r="G543" s="4"/>
    </row>
    <row r="544">
      <c r="A544" s="4"/>
      <c r="B544" s="4"/>
      <c r="C544" s="4"/>
      <c r="D544" s="4"/>
      <c r="E544" s="4"/>
      <c r="F544" s="4"/>
      <c r="G544" s="4"/>
    </row>
    <row r="545">
      <c r="A545" s="4"/>
      <c r="B545" s="4"/>
      <c r="C545" s="4"/>
      <c r="D545" s="4"/>
      <c r="E545" s="4"/>
      <c r="F545" s="4"/>
      <c r="G545" s="4"/>
    </row>
    <row r="546">
      <c r="A546" s="4"/>
      <c r="B546" s="4"/>
      <c r="C546" s="4"/>
      <c r="D546" s="4"/>
      <c r="E546" s="4"/>
      <c r="F546" s="4"/>
      <c r="G546" s="4"/>
    </row>
    <row r="547">
      <c r="A547" s="4"/>
      <c r="B547" s="4"/>
      <c r="C547" s="4"/>
      <c r="D547" s="4"/>
      <c r="E547" s="4"/>
      <c r="F547" s="4"/>
      <c r="G547" s="4"/>
    </row>
    <row r="548">
      <c r="A548" s="4"/>
      <c r="B548" s="4"/>
      <c r="C548" s="4"/>
      <c r="D548" s="4"/>
      <c r="E548" s="4"/>
      <c r="F548" s="4"/>
      <c r="G548" s="4"/>
    </row>
    <row r="549">
      <c r="A549" s="4"/>
      <c r="B549" s="4"/>
      <c r="C549" s="4"/>
      <c r="D549" s="4"/>
      <c r="E549" s="4"/>
      <c r="F549" s="4"/>
      <c r="G549" s="4"/>
    </row>
    <row r="550">
      <c r="A550" s="4"/>
      <c r="B550" s="4"/>
      <c r="C550" s="4"/>
      <c r="D550" s="4"/>
      <c r="E550" s="4"/>
      <c r="F550" s="4"/>
      <c r="G550" s="4"/>
    </row>
    <row r="551">
      <c r="A551" s="4"/>
      <c r="B551" s="4"/>
      <c r="C551" s="4"/>
      <c r="D551" s="4"/>
      <c r="E551" s="4"/>
      <c r="F551" s="4"/>
      <c r="G551" s="4"/>
    </row>
    <row r="552">
      <c r="A552" s="4"/>
      <c r="B552" s="4"/>
      <c r="C552" s="4"/>
      <c r="D552" s="4"/>
      <c r="E552" s="4"/>
      <c r="F552" s="4"/>
      <c r="G552" s="4"/>
    </row>
    <row r="553">
      <c r="A553" s="4"/>
      <c r="B553" s="4"/>
      <c r="C553" s="4"/>
      <c r="D553" s="4"/>
      <c r="E553" s="4"/>
      <c r="F553" s="4"/>
      <c r="G553" s="4"/>
    </row>
    <row r="554">
      <c r="A554" s="4"/>
      <c r="B554" s="4"/>
      <c r="C554" s="4"/>
      <c r="D554" s="4"/>
      <c r="E554" s="4"/>
      <c r="F554" s="4"/>
      <c r="G554" s="4"/>
    </row>
    <row r="555">
      <c r="A555" s="4"/>
      <c r="B555" s="4"/>
      <c r="C555" s="4"/>
      <c r="D555" s="4"/>
      <c r="E555" s="4"/>
      <c r="F555" s="4"/>
      <c r="G555" s="4"/>
    </row>
    <row r="556">
      <c r="A556" s="4"/>
      <c r="B556" s="4"/>
      <c r="C556" s="4"/>
      <c r="D556" s="4"/>
      <c r="E556" s="4"/>
      <c r="F556" s="4"/>
      <c r="G556" s="4"/>
    </row>
    <row r="557">
      <c r="A557" s="4"/>
      <c r="B557" s="4"/>
      <c r="C557" s="4"/>
      <c r="D557" s="4"/>
      <c r="E557" s="4"/>
      <c r="F557" s="4"/>
      <c r="G557" s="4"/>
    </row>
    <row r="558">
      <c r="A558" s="4"/>
      <c r="B558" s="4"/>
      <c r="C558" s="4"/>
      <c r="D558" s="4"/>
      <c r="E558" s="4"/>
      <c r="F558" s="4"/>
      <c r="G558" s="4"/>
    </row>
    <row r="559">
      <c r="A559" s="4"/>
      <c r="B559" s="4"/>
      <c r="C559" s="4"/>
      <c r="D559" s="4"/>
      <c r="E559" s="4"/>
      <c r="F559" s="4"/>
      <c r="G559" s="4"/>
    </row>
    <row r="560">
      <c r="A560" s="4"/>
      <c r="B560" s="4"/>
      <c r="C560" s="4"/>
      <c r="D560" s="4"/>
      <c r="E560" s="4"/>
      <c r="F560" s="4"/>
      <c r="G560" s="4"/>
    </row>
    <row r="561">
      <c r="A561" s="4"/>
      <c r="B561" s="4"/>
      <c r="C561" s="4"/>
      <c r="D561" s="4"/>
      <c r="E561" s="4"/>
      <c r="F561" s="4"/>
      <c r="G561" s="4"/>
    </row>
    <row r="562">
      <c r="A562" s="4"/>
      <c r="B562" s="4"/>
      <c r="C562" s="4"/>
      <c r="D562" s="4"/>
      <c r="E562" s="4"/>
      <c r="F562" s="4"/>
      <c r="G562" s="4"/>
    </row>
    <row r="563">
      <c r="A563" s="4"/>
      <c r="B563" s="4"/>
      <c r="C563" s="4"/>
      <c r="D563" s="4"/>
      <c r="E563" s="4"/>
      <c r="F563" s="4"/>
      <c r="G563" s="4"/>
    </row>
    <row r="564">
      <c r="A564" s="4"/>
      <c r="B564" s="4"/>
      <c r="C564" s="4"/>
      <c r="D564" s="4"/>
      <c r="E564" s="4"/>
      <c r="F564" s="4"/>
      <c r="G564" s="4"/>
    </row>
    <row r="565">
      <c r="A565" s="4"/>
      <c r="B565" s="4"/>
      <c r="C565" s="4"/>
      <c r="D565" s="4"/>
      <c r="E565" s="4"/>
      <c r="F565" s="4"/>
      <c r="G565" s="4"/>
    </row>
    <row r="566">
      <c r="A566" s="4"/>
      <c r="B566" s="4"/>
      <c r="C566" s="4"/>
      <c r="D566" s="4"/>
      <c r="E566" s="4"/>
      <c r="F566" s="4"/>
      <c r="G566" s="4"/>
    </row>
    <row r="567">
      <c r="A567" s="4"/>
      <c r="B567" s="4"/>
      <c r="C567" s="4"/>
      <c r="D567" s="4"/>
      <c r="E567" s="4"/>
      <c r="F567" s="4"/>
      <c r="G567" s="4"/>
    </row>
    <row r="568">
      <c r="A568" s="4"/>
      <c r="B568" s="4"/>
      <c r="C568" s="4"/>
      <c r="D568" s="4"/>
      <c r="E568" s="4"/>
      <c r="F568" s="4"/>
      <c r="G568" s="4"/>
    </row>
    <row r="569">
      <c r="A569" s="4"/>
      <c r="B569" s="4"/>
      <c r="C569" s="4"/>
      <c r="D569" s="4"/>
      <c r="E569" s="4"/>
      <c r="F569" s="4"/>
      <c r="G569" s="4"/>
    </row>
    <row r="570">
      <c r="A570" s="4"/>
      <c r="B570" s="4"/>
      <c r="C570" s="4"/>
      <c r="D570" s="4"/>
      <c r="E570" s="4"/>
      <c r="F570" s="4"/>
      <c r="G570" s="4"/>
    </row>
    <row r="571">
      <c r="A571" s="4"/>
      <c r="B571" s="4"/>
      <c r="C571" s="4"/>
      <c r="D571" s="4"/>
      <c r="E571" s="4"/>
      <c r="F571" s="4"/>
      <c r="G571" s="4"/>
    </row>
    <row r="572">
      <c r="A572" s="4"/>
      <c r="B572" s="4"/>
      <c r="C572" s="4"/>
      <c r="D572" s="4"/>
      <c r="E572" s="4"/>
      <c r="F572" s="4"/>
      <c r="G572" s="4"/>
    </row>
    <row r="573">
      <c r="A573" s="4"/>
      <c r="B573" s="4"/>
      <c r="C573" s="4"/>
      <c r="D573" s="4"/>
      <c r="E573" s="4"/>
      <c r="F573" s="4"/>
      <c r="G573" s="4"/>
    </row>
    <row r="574">
      <c r="A574" s="4"/>
      <c r="B574" s="4"/>
      <c r="C574" s="4"/>
      <c r="D574" s="4"/>
      <c r="E574" s="4"/>
      <c r="F574" s="4"/>
      <c r="G574" s="4"/>
    </row>
    <row r="575">
      <c r="A575" s="4"/>
      <c r="B575" s="4"/>
      <c r="C575" s="4"/>
      <c r="D575" s="4"/>
      <c r="E575" s="4"/>
      <c r="F575" s="4"/>
      <c r="G575" s="4"/>
    </row>
    <row r="576">
      <c r="A576" s="4"/>
      <c r="B576" s="4"/>
      <c r="C576" s="4"/>
      <c r="D576" s="4"/>
      <c r="E576" s="4"/>
      <c r="F576" s="4"/>
      <c r="G576" s="4"/>
    </row>
    <row r="577">
      <c r="A577" s="4"/>
      <c r="B577" s="4"/>
      <c r="C577" s="4"/>
      <c r="D577" s="4"/>
      <c r="E577" s="4"/>
      <c r="F577" s="4"/>
      <c r="G577" s="4"/>
    </row>
    <row r="578">
      <c r="A578" s="4"/>
      <c r="B578" s="4"/>
      <c r="C578" s="4"/>
      <c r="D578" s="4"/>
      <c r="E578" s="4"/>
      <c r="F578" s="4"/>
      <c r="G578" s="4"/>
    </row>
    <row r="579">
      <c r="A579" s="4"/>
      <c r="B579" s="4"/>
      <c r="C579" s="4"/>
      <c r="D579" s="4"/>
      <c r="E579" s="4"/>
      <c r="F579" s="4"/>
      <c r="G579" s="4"/>
    </row>
    <row r="580">
      <c r="A580" s="4"/>
      <c r="B580" s="4"/>
      <c r="C580" s="4"/>
      <c r="D580" s="4"/>
      <c r="E580" s="4"/>
      <c r="F580" s="4"/>
      <c r="G580" s="4"/>
    </row>
    <row r="581">
      <c r="A581" s="4"/>
      <c r="B581" s="4"/>
      <c r="C581" s="4"/>
      <c r="D581" s="4"/>
      <c r="E581" s="4"/>
      <c r="F581" s="4"/>
      <c r="G581" s="4"/>
    </row>
    <row r="582">
      <c r="A582" s="4"/>
      <c r="B582" s="4"/>
      <c r="C582" s="4"/>
      <c r="D582" s="4"/>
      <c r="E582" s="4"/>
      <c r="F582" s="4"/>
      <c r="G582" s="4"/>
    </row>
    <row r="583">
      <c r="A583" s="4"/>
      <c r="B583" s="4"/>
      <c r="C583" s="4"/>
      <c r="D583" s="4"/>
      <c r="E583" s="4"/>
      <c r="F583" s="4"/>
      <c r="G583" s="4"/>
    </row>
    <row r="584">
      <c r="A584" s="4"/>
      <c r="B584" s="4"/>
      <c r="C584" s="4"/>
      <c r="D584" s="4"/>
      <c r="E584" s="4"/>
      <c r="F584" s="4"/>
      <c r="G584" s="4"/>
    </row>
    <row r="585">
      <c r="A585" s="4"/>
      <c r="B585" s="4"/>
      <c r="C585" s="4"/>
      <c r="D585" s="4"/>
      <c r="E585" s="4"/>
      <c r="F585" s="4"/>
      <c r="G585" s="4"/>
    </row>
    <row r="586">
      <c r="A586" s="4"/>
      <c r="B586" s="4"/>
      <c r="C586" s="4"/>
      <c r="D586" s="4"/>
      <c r="E586" s="4"/>
      <c r="F586" s="4"/>
      <c r="G586" s="4"/>
    </row>
    <row r="587">
      <c r="A587" s="4"/>
      <c r="B587" s="4"/>
      <c r="C587" s="4"/>
      <c r="D587" s="4"/>
      <c r="E587" s="4"/>
      <c r="F587" s="4"/>
      <c r="G587" s="4"/>
    </row>
    <row r="588">
      <c r="A588" s="4"/>
      <c r="B588" s="4"/>
      <c r="C588" s="4"/>
      <c r="D588" s="4"/>
      <c r="E588" s="4"/>
      <c r="F588" s="4"/>
      <c r="G588" s="4"/>
    </row>
    <row r="589">
      <c r="A589" s="4"/>
      <c r="B589" s="4"/>
      <c r="C589" s="4"/>
      <c r="D589" s="4"/>
      <c r="E589" s="4"/>
      <c r="F589" s="4"/>
      <c r="G589" s="4"/>
    </row>
    <row r="590">
      <c r="A590" s="4"/>
      <c r="B590" s="4"/>
      <c r="C590" s="4"/>
      <c r="D590" s="4"/>
      <c r="E590" s="4"/>
      <c r="F590" s="4"/>
      <c r="G590" s="4"/>
    </row>
    <row r="591">
      <c r="A591" s="4"/>
      <c r="B591" s="4"/>
      <c r="C591" s="4"/>
      <c r="D591" s="4"/>
      <c r="E591" s="4"/>
      <c r="F591" s="4"/>
      <c r="G591" s="4"/>
    </row>
    <row r="592">
      <c r="A592" s="4"/>
      <c r="B592" s="4"/>
      <c r="C592" s="4"/>
      <c r="D592" s="4"/>
      <c r="E592" s="4"/>
      <c r="F592" s="4"/>
      <c r="G592" s="4"/>
    </row>
    <row r="593">
      <c r="A593" s="4"/>
      <c r="B593" s="4"/>
      <c r="C593" s="4"/>
      <c r="D593" s="4"/>
      <c r="E593" s="4"/>
      <c r="F593" s="4"/>
      <c r="G593" s="4"/>
    </row>
    <row r="594">
      <c r="A594" s="4"/>
      <c r="B594" s="4"/>
      <c r="C594" s="4"/>
      <c r="D594" s="4"/>
      <c r="E594" s="4"/>
      <c r="F594" s="4"/>
      <c r="G594" s="4"/>
    </row>
    <row r="595">
      <c r="A595" s="4"/>
      <c r="B595" s="4"/>
      <c r="C595" s="4"/>
      <c r="D595" s="4"/>
      <c r="E595" s="4"/>
      <c r="F595" s="4"/>
      <c r="G595" s="4"/>
    </row>
    <row r="596">
      <c r="A596" s="4"/>
      <c r="B596" s="4"/>
      <c r="C596" s="4"/>
      <c r="D596" s="4"/>
      <c r="E596" s="4"/>
      <c r="F596" s="4"/>
      <c r="G596" s="4"/>
    </row>
    <row r="597">
      <c r="A597" s="4"/>
      <c r="B597" s="4"/>
      <c r="C597" s="4"/>
      <c r="D597" s="4"/>
      <c r="E597" s="4"/>
      <c r="F597" s="4"/>
      <c r="G597" s="4"/>
    </row>
    <row r="598">
      <c r="A598" s="4"/>
      <c r="B598" s="4"/>
      <c r="C598" s="4"/>
      <c r="D598" s="4"/>
      <c r="E598" s="4"/>
      <c r="F598" s="4"/>
      <c r="G598" s="4"/>
    </row>
    <row r="599">
      <c r="A599" s="4"/>
      <c r="B599" s="4"/>
      <c r="C599" s="4"/>
      <c r="D599" s="4"/>
      <c r="E599" s="4"/>
      <c r="F599" s="4"/>
      <c r="G599" s="4"/>
    </row>
    <row r="600">
      <c r="A600" s="4"/>
      <c r="B600" s="4"/>
      <c r="C600" s="4"/>
      <c r="D600" s="4"/>
      <c r="E600" s="4"/>
      <c r="F600" s="4"/>
      <c r="G600" s="4"/>
    </row>
    <row r="601">
      <c r="A601" s="4"/>
      <c r="B601" s="4"/>
      <c r="C601" s="4"/>
      <c r="D601" s="4"/>
      <c r="E601" s="4"/>
      <c r="F601" s="4"/>
      <c r="G601" s="4"/>
    </row>
    <row r="602">
      <c r="A602" s="4"/>
      <c r="B602" s="4"/>
      <c r="C602" s="4"/>
      <c r="D602" s="4"/>
      <c r="E602" s="4"/>
      <c r="F602" s="4"/>
      <c r="G602" s="4"/>
    </row>
    <row r="603">
      <c r="A603" s="4"/>
      <c r="B603" s="4"/>
      <c r="C603" s="4"/>
      <c r="D603" s="4"/>
      <c r="E603" s="4"/>
      <c r="F603" s="4"/>
      <c r="G603" s="4"/>
    </row>
    <row r="604">
      <c r="A604" s="4"/>
      <c r="B604" s="4"/>
      <c r="C604" s="4"/>
      <c r="D604" s="4"/>
      <c r="E604" s="4"/>
      <c r="F604" s="4"/>
      <c r="G604" s="4"/>
    </row>
    <row r="605">
      <c r="A605" s="4"/>
      <c r="B605" s="4"/>
      <c r="C605" s="4"/>
      <c r="D605" s="4"/>
      <c r="E605" s="4"/>
      <c r="F605" s="4"/>
      <c r="G605" s="4"/>
    </row>
    <row r="606">
      <c r="A606" s="4"/>
      <c r="B606" s="4"/>
      <c r="C606" s="4"/>
      <c r="D606" s="4"/>
      <c r="E606" s="4"/>
      <c r="F606" s="4"/>
      <c r="G606" s="4"/>
    </row>
    <row r="607">
      <c r="A607" s="4"/>
      <c r="B607" s="4"/>
      <c r="C607" s="4"/>
      <c r="D607" s="4"/>
      <c r="E607" s="4"/>
      <c r="F607" s="4"/>
      <c r="G607" s="4"/>
    </row>
    <row r="608">
      <c r="A608" s="4"/>
      <c r="B608" s="4"/>
      <c r="C608" s="4"/>
      <c r="D608" s="4"/>
      <c r="E608" s="4"/>
      <c r="F608" s="4"/>
      <c r="G608" s="4"/>
    </row>
    <row r="609">
      <c r="A609" s="4"/>
      <c r="B609" s="4"/>
      <c r="C609" s="4"/>
      <c r="D609" s="4"/>
      <c r="E609" s="4"/>
      <c r="F609" s="4"/>
      <c r="G609" s="4"/>
    </row>
    <row r="610">
      <c r="A610" s="4"/>
      <c r="B610" s="4"/>
      <c r="C610" s="4"/>
      <c r="D610" s="4"/>
      <c r="E610" s="4"/>
      <c r="F610" s="4"/>
      <c r="G610" s="4"/>
    </row>
    <row r="611">
      <c r="A611" s="4"/>
      <c r="B611" s="4"/>
      <c r="C611" s="4"/>
      <c r="D611" s="4"/>
      <c r="E611" s="4"/>
      <c r="F611" s="4"/>
      <c r="G611" s="4"/>
    </row>
    <row r="612">
      <c r="A612" s="4"/>
      <c r="B612" s="4"/>
      <c r="C612" s="4"/>
      <c r="D612" s="4"/>
      <c r="E612" s="4"/>
      <c r="F612" s="4"/>
      <c r="G612" s="4"/>
    </row>
    <row r="613">
      <c r="A613" s="4"/>
      <c r="B613" s="4"/>
      <c r="C613" s="4"/>
      <c r="D613" s="4"/>
      <c r="E613" s="4"/>
      <c r="F613" s="4"/>
      <c r="G613" s="4"/>
    </row>
    <row r="614">
      <c r="A614" s="4"/>
      <c r="B614" s="4"/>
      <c r="C614" s="4"/>
      <c r="D614" s="4"/>
      <c r="E614" s="4"/>
      <c r="F614" s="4"/>
      <c r="G614" s="4"/>
    </row>
    <row r="615">
      <c r="A615" s="4"/>
      <c r="B615" s="4"/>
      <c r="C615" s="4"/>
      <c r="D615" s="4"/>
      <c r="E615" s="4"/>
      <c r="F615" s="4"/>
      <c r="G615" s="4"/>
    </row>
    <row r="616">
      <c r="A616" s="4"/>
      <c r="B616" s="4"/>
      <c r="C616" s="4"/>
      <c r="D616" s="4"/>
      <c r="E616" s="4"/>
      <c r="F616" s="4"/>
      <c r="G616" s="4"/>
    </row>
    <row r="617">
      <c r="A617" s="4"/>
      <c r="B617" s="4"/>
      <c r="C617" s="4"/>
      <c r="D617" s="4"/>
      <c r="E617" s="4"/>
      <c r="F617" s="4"/>
      <c r="G617" s="4"/>
    </row>
    <row r="618">
      <c r="A618" s="4"/>
      <c r="B618" s="4"/>
      <c r="C618" s="4"/>
      <c r="D618" s="4"/>
      <c r="E618" s="4"/>
      <c r="F618" s="4"/>
      <c r="G618" s="4"/>
    </row>
    <row r="619">
      <c r="A619" s="4"/>
      <c r="B619" s="4"/>
      <c r="C619" s="4"/>
      <c r="D619" s="4"/>
      <c r="E619" s="4"/>
      <c r="F619" s="4"/>
      <c r="G619" s="4"/>
    </row>
    <row r="620">
      <c r="A620" s="4"/>
      <c r="B620" s="4"/>
      <c r="C620" s="4"/>
      <c r="D620" s="4"/>
      <c r="E620" s="4"/>
      <c r="F620" s="4"/>
      <c r="G620" s="4"/>
    </row>
    <row r="621">
      <c r="A621" s="4"/>
      <c r="B621" s="4"/>
      <c r="C621" s="4"/>
      <c r="D621" s="4"/>
      <c r="E621" s="4"/>
      <c r="F621" s="4"/>
      <c r="G621" s="4"/>
    </row>
    <row r="622">
      <c r="A622" s="4"/>
      <c r="B622" s="4"/>
      <c r="C622" s="4"/>
      <c r="D622" s="4"/>
      <c r="E622" s="4"/>
      <c r="F622" s="4"/>
      <c r="G622" s="4"/>
    </row>
    <row r="623">
      <c r="A623" s="4"/>
      <c r="B623" s="4"/>
      <c r="C623" s="4"/>
      <c r="D623" s="4"/>
      <c r="E623" s="4"/>
      <c r="F623" s="4"/>
      <c r="G623" s="4"/>
    </row>
    <row r="624">
      <c r="A624" s="4"/>
      <c r="B624" s="4"/>
      <c r="C624" s="4"/>
      <c r="D624" s="4"/>
      <c r="E624" s="4"/>
      <c r="F624" s="4"/>
      <c r="G624" s="4"/>
    </row>
    <row r="625">
      <c r="A625" s="4"/>
      <c r="B625" s="4"/>
      <c r="C625" s="4"/>
      <c r="D625" s="4"/>
      <c r="E625" s="4"/>
      <c r="F625" s="4"/>
      <c r="G625" s="4"/>
    </row>
    <row r="626">
      <c r="A626" s="4"/>
      <c r="B626" s="4"/>
      <c r="C626" s="4"/>
      <c r="D626" s="4"/>
      <c r="E626" s="4"/>
      <c r="F626" s="4"/>
      <c r="G626" s="4"/>
    </row>
    <row r="627">
      <c r="A627" s="4"/>
      <c r="B627" s="4"/>
      <c r="C627" s="4"/>
      <c r="D627" s="4"/>
      <c r="E627" s="4"/>
      <c r="F627" s="4"/>
      <c r="G627" s="4"/>
    </row>
    <row r="628">
      <c r="A628" s="4"/>
      <c r="B628" s="4"/>
      <c r="C628" s="4"/>
      <c r="D628" s="4"/>
      <c r="E628" s="4"/>
      <c r="F628" s="4"/>
      <c r="G628" s="4"/>
    </row>
    <row r="629">
      <c r="A629" s="4"/>
      <c r="B629" s="4"/>
      <c r="C629" s="4"/>
      <c r="D629" s="4"/>
      <c r="E629" s="4"/>
      <c r="F629" s="4"/>
      <c r="G629" s="4"/>
    </row>
    <row r="630">
      <c r="A630" s="4"/>
      <c r="B630" s="4"/>
      <c r="C630" s="4"/>
      <c r="D630" s="4"/>
      <c r="E630" s="4"/>
      <c r="F630" s="4"/>
      <c r="G630" s="4"/>
    </row>
    <row r="631">
      <c r="A631" s="4"/>
      <c r="B631" s="4"/>
      <c r="C631" s="4"/>
      <c r="D631" s="4"/>
      <c r="E631" s="4"/>
      <c r="F631" s="4"/>
      <c r="G631" s="4"/>
    </row>
    <row r="632">
      <c r="A632" s="4"/>
      <c r="B632" s="4"/>
      <c r="C632" s="4"/>
      <c r="D632" s="4"/>
      <c r="E632" s="4"/>
      <c r="F632" s="4"/>
      <c r="G632" s="4"/>
    </row>
    <row r="633">
      <c r="A633" s="4"/>
      <c r="B633" s="4"/>
      <c r="C633" s="4"/>
      <c r="D633" s="4"/>
      <c r="E633" s="4"/>
      <c r="F633" s="4"/>
      <c r="G633" s="4"/>
    </row>
    <row r="634">
      <c r="A634" s="4"/>
      <c r="B634" s="4"/>
      <c r="C634" s="4"/>
      <c r="D634" s="4"/>
      <c r="E634" s="4"/>
      <c r="F634" s="4"/>
      <c r="G634" s="4"/>
    </row>
    <row r="635">
      <c r="A635" s="4"/>
      <c r="B635" s="4"/>
      <c r="C635" s="4"/>
      <c r="D635" s="4"/>
      <c r="E635" s="4"/>
      <c r="F635" s="4"/>
      <c r="G635" s="4"/>
    </row>
    <row r="636">
      <c r="A636" s="4"/>
      <c r="B636" s="4"/>
      <c r="C636" s="4"/>
      <c r="D636" s="4"/>
      <c r="E636" s="4"/>
      <c r="F636" s="4"/>
      <c r="G636" s="4"/>
    </row>
    <row r="637">
      <c r="A637" s="4"/>
      <c r="B637" s="4"/>
      <c r="C637" s="4"/>
      <c r="D637" s="4"/>
      <c r="E637" s="4"/>
      <c r="F637" s="4"/>
      <c r="G637" s="4"/>
    </row>
    <row r="638">
      <c r="A638" s="4"/>
      <c r="B638" s="4"/>
      <c r="C638" s="4"/>
      <c r="D638" s="4"/>
      <c r="E638" s="4"/>
      <c r="F638" s="4"/>
      <c r="G638" s="4"/>
    </row>
    <row r="639">
      <c r="A639" s="4"/>
      <c r="B639" s="4"/>
      <c r="C639" s="4"/>
      <c r="D639" s="4"/>
      <c r="E639" s="4"/>
      <c r="F639" s="4"/>
      <c r="G639" s="4"/>
    </row>
    <row r="640">
      <c r="A640" s="4"/>
      <c r="B640" s="4"/>
      <c r="C640" s="4"/>
      <c r="D640" s="4"/>
      <c r="E640" s="4"/>
      <c r="F640" s="4"/>
      <c r="G640" s="4"/>
    </row>
    <row r="641">
      <c r="A641" s="4"/>
      <c r="B641" s="4"/>
      <c r="C641" s="4"/>
      <c r="D641" s="4"/>
      <c r="E641" s="4"/>
      <c r="F641" s="4"/>
      <c r="G641" s="4"/>
    </row>
    <row r="642">
      <c r="A642" s="4"/>
      <c r="B642" s="4"/>
      <c r="C642" s="4"/>
      <c r="D642" s="4"/>
      <c r="E642" s="4"/>
      <c r="F642" s="4"/>
      <c r="G642" s="4"/>
    </row>
    <row r="643">
      <c r="A643" s="4"/>
      <c r="B643" s="4"/>
      <c r="C643" s="4"/>
      <c r="D643" s="4"/>
      <c r="E643" s="4"/>
      <c r="F643" s="4"/>
      <c r="G643" s="4"/>
    </row>
    <row r="644">
      <c r="A644" s="4"/>
      <c r="B644" s="4"/>
      <c r="C644" s="4"/>
      <c r="D644" s="4"/>
      <c r="E644" s="4"/>
      <c r="F644" s="4"/>
      <c r="G644" s="4"/>
    </row>
    <row r="645">
      <c r="A645" s="4"/>
      <c r="B645" s="4"/>
      <c r="C645" s="4"/>
      <c r="D645" s="4"/>
      <c r="E645" s="4"/>
      <c r="F645" s="4"/>
      <c r="G645" s="4"/>
    </row>
    <row r="646">
      <c r="A646" s="4"/>
      <c r="B646" s="4"/>
      <c r="C646" s="4"/>
      <c r="D646" s="4"/>
      <c r="E646" s="4"/>
      <c r="F646" s="4"/>
      <c r="G646" s="4"/>
    </row>
    <row r="647">
      <c r="A647" s="4"/>
      <c r="B647" s="4"/>
      <c r="C647" s="4"/>
      <c r="D647" s="4"/>
      <c r="E647" s="4"/>
      <c r="F647" s="4"/>
      <c r="G647" s="4"/>
    </row>
    <row r="648">
      <c r="A648" s="4"/>
      <c r="B648" s="4"/>
      <c r="C648" s="4"/>
      <c r="D648" s="4"/>
      <c r="E648" s="4"/>
      <c r="F648" s="4"/>
      <c r="G648" s="4"/>
    </row>
    <row r="649">
      <c r="A649" s="4"/>
      <c r="B649" s="4"/>
      <c r="C649" s="4"/>
      <c r="D649" s="4"/>
      <c r="E649" s="4"/>
      <c r="F649" s="4"/>
      <c r="G649" s="4"/>
    </row>
    <row r="650">
      <c r="A650" s="4"/>
      <c r="B650" s="4"/>
      <c r="C650" s="4"/>
      <c r="D650" s="4"/>
      <c r="E650" s="4"/>
      <c r="F650" s="4"/>
      <c r="G650" s="4"/>
    </row>
    <row r="651">
      <c r="A651" s="4"/>
      <c r="B651" s="4"/>
      <c r="C651" s="4"/>
      <c r="D651" s="4"/>
      <c r="E651" s="4"/>
      <c r="F651" s="4"/>
      <c r="G651" s="4"/>
    </row>
    <row r="652">
      <c r="A652" s="4"/>
      <c r="B652" s="4"/>
      <c r="C652" s="4"/>
      <c r="D652" s="4"/>
      <c r="E652" s="4"/>
      <c r="F652" s="4"/>
      <c r="G652" s="4"/>
    </row>
    <row r="653">
      <c r="A653" s="4"/>
      <c r="B653" s="4"/>
      <c r="C653" s="4"/>
      <c r="D653" s="4"/>
      <c r="E653" s="4"/>
      <c r="F653" s="4"/>
      <c r="G653" s="4"/>
    </row>
    <row r="654">
      <c r="A654" s="4"/>
      <c r="B654" s="4"/>
      <c r="C654" s="4"/>
      <c r="D654" s="4"/>
      <c r="E654" s="4"/>
      <c r="F654" s="4"/>
      <c r="G654" s="4"/>
    </row>
    <row r="655">
      <c r="A655" s="4"/>
      <c r="B655" s="4"/>
      <c r="C655" s="4"/>
      <c r="D655" s="4"/>
      <c r="E655" s="4"/>
      <c r="F655" s="4"/>
      <c r="G655" s="4"/>
    </row>
    <row r="656">
      <c r="A656" s="4"/>
      <c r="B656" s="4"/>
      <c r="C656" s="4"/>
      <c r="D656" s="4"/>
      <c r="E656" s="4"/>
      <c r="F656" s="4"/>
      <c r="G656" s="4"/>
    </row>
    <row r="657">
      <c r="A657" s="4"/>
      <c r="B657" s="4"/>
      <c r="C657" s="4"/>
      <c r="D657" s="4"/>
      <c r="E657" s="4"/>
      <c r="F657" s="4"/>
      <c r="G657" s="4"/>
    </row>
    <row r="658">
      <c r="A658" s="4"/>
      <c r="B658" s="4"/>
      <c r="C658" s="4"/>
      <c r="D658" s="4"/>
      <c r="E658" s="4"/>
      <c r="F658" s="4"/>
      <c r="G658" s="4"/>
    </row>
    <row r="659">
      <c r="A659" s="4"/>
      <c r="B659" s="4"/>
      <c r="C659" s="4"/>
      <c r="D659" s="4"/>
      <c r="E659" s="4"/>
      <c r="F659" s="4"/>
      <c r="G659" s="4"/>
    </row>
    <row r="660">
      <c r="A660" s="4"/>
      <c r="B660" s="4"/>
      <c r="C660" s="4"/>
      <c r="D660" s="4"/>
      <c r="E660" s="4"/>
      <c r="F660" s="4"/>
      <c r="G660" s="4"/>
    </row>
    <row r="661">
      <c r="A661" s="4"/>
      <c r="B661" s="4"/>
      <c r="C661" s="4"/>
      <c r="D661" s="4"/>
      <c r="E661" s="4"/>
      <c r="F661" s="4"/>
      <c r="G661" s="4"/>
    </row>
    <row r="662">
      <c r="A662" s="4"/>
      <c r="B662" s="4"/>
      <c r="C662" s="4"/>
      <c r="D662" s="4"/>
      <c r="E662" s="4"/>
      <c r="F662" s="4"/>
      <c r="G662" s="4"/>
    </row>
    <row r="663">
      <c r="A663" s="4"/>
      <c r="B663" s="4"/>
      <c r="C663" s="4"/>
      <c r="D663" s="4"/>
      <c r="E663" s="4"/>
      <c r="F663" s="4"/>
      <c r="G663" s="4"/>
    </row>
    <row r="664">
      <c r="A664" s="4"/>
      <c r="B664" s="4"/>
      <c r="C664" s="4"/>
      <c r="D664" s="4"/>
      <c r="E664" s="4"/>
      <c r="F664" s="4"/>
      <c r="G664" s="4"/>
    </row>
    <row r="665">
      <c r="A665" s="4"/>
      <c r="B665" s="4"/>
      <c r="C665" s="4"/>
      <c r="D665" s="4"/>
      <c r="E665" s="4"/>
      <c r="F665" s="4"/>
      <c r="G665" s="4"/>
    </row>
    <row r="666">
      <c r="A666" s="4"/>
      <c r="B666" s="4"/>
      <c r="C666" s="4"/>
      <c r="D666" s="4"/>
      <c r="E666" s="4"/>
      <c r="F666" s="4"/>
      <c r="G666" s="4"/>
    </row>
    <row r="667">
      <c r="A667" s="4"/>
      <c r="B667" s="4"/>
      <c r="C667" s="4"/>
      <c r="D667" s="4"/>
      <c r="E667" s="4"/>
      <c r="F667" s="4"/>
      <c r="G667" s="4"/>
    </row>
    <row r="668">
      <c r="A668" s="4"/>
      <c r="B668" s="4"/>
      <c r="C668" s="4"/>
      <c r="D668" s="4"/>
      <c r="E668" s="4"/>
      <c r="F668" s="4"/>
      <c r="G668" s="4"/>
    </row>
    <row r="669">
      <c r="A669" s="4"/>
      <c r="B669" s="4"/>
      <c r="C669" s="4"/>
      <c r="D669" s="4"/>
      <c r="E669" s="4"/>
      <c r="F669" s="4"/>
      <c r="G669" s="4"/>
    </row>
    <row r="670">
      <c r="A670" s="4"/>
      <c r="B670" s="4"/>
      <c r="C670" s="4"/>
      <c r="D670" s="4"/>
      <c r="E670" s="4"/>
      <c r="F670" s="4"/>
      <c r="G670" s="4"/>
    </row>
    <row r="671">
      <c r="A671" s="4"/>
      <c r="B671" s="4"/>
      <c r="C671" s="4"/>
      <c r="D671" s="4"/>
      <c r="E671" s="4"/>
      <c r="F671" s="4"/>
      <c r="G671" s="4"/>
    </row>
    <row r="672">
      <c r="A672" s="4"/>
      <c r="B672" s="4"/>
      <c r="C672" s="4"/>
      <c r="D672" s="4"/>
      <c r="E672" s="4"/>
      <c r="F672" s="4"/>
      <c r="G672" s="4"/>
    </row>
    <row r="673">
      <c r="A673" s="4"/>
      <c r="B673" s="4"/>
      <c r="C673" s="4"/>
      <c r="D673" s="4"/>
      <c r="E673" s="4"/>
      <c r="F673" s="4"/>
      <c r="G673" s="4"/>
    </row>
    <row r="674">
      <c r="A674" s="4"/>
      <c r="B674" s="4"/>
      <c r="C674" s="4"/>
      <c r="D674" s="4"/>
      <c r="E674" s="4"/>
      <c r="F674" s="4"/>
      <c r="G674" s="4"/>
    </row>
    <row r="675">
      <c r="A675" s="4"/>
      <c r="B675" s="4"/>
      <c r="C675" s="4"/>
      <c r="D675" s="4"/>
      <c r="E675" s="4"/>
      <c r="F675" s="4"/>
      <c r="G675" s="4"/>
    </row>
    <row r="676">
      <c r="A676" s="4"/>
      <c r="B676" s="4"/>
      <c r="C676" s="4"/>
      <c r="D676" s="4"/>
      <c r="E676" s="4"/>
      <c r="F676" s="4"/>
      <c r="G676" s="4"/>
    </row>
    <row r="677">
      <c r="A677" s="4"/>
      <c r="B677" s="4"/>
      <c r="C677" s="4"/>
      <c r="D677" s="4"/>
      <c r="E677" s="4"/>
      <c r="F677" s="4"/>
      <c r="G677" s="4"/>
    </row>
    <row r="678">
      <c r="A678" s="4"/>
      <c r="B678" s="4"/>
      <c r="C678" s="4"/>
      <c r="D678" s="4"/>
      <c r="E678" s="4"/>
      <c r="F678" s="4"/>
      <c r="G678" s="4"/>
    </row>
    <row r="679">
      <c r="A679" s="4"/>
      <c r="B679" s="4"/>
      <c r="C679" s="4"/>
      <c r="D679" s="4"/>
      <c r="E679" s="4"/>
      <c r="F679" s="4"/>
      <c r="G679" s="4"/>
    </row>
    <row r="680">
      <c r="A680" s="4"/>
      <c r="B680" s="4"/>
      <c r="C680" s="4"/>
      <c r="D680" s="4"/>
      <c r="E680" s="4"/>
      <c r="F680" s="4"/>
      <c r="G680" s="4"/>
    </row>
    <row r="681">
      <c r="A681" s="4"/>
      <c r="B681" s="4"/>
      <c r="C681" s="4"/>
      <c r="D681" s="4"/>
      <c r="E681" s="4"/>
      <c r="F681" s="4"/>
      <c r="G681" s="4"/>
    </row>
    <row r="682">
      <c r="A682" s="4"/>
      <c r="B682" s="4"/>
      <c r="C682" s="4"/>
      <c r="D682" s="4"/>
      <c r="E682" s="4"/>
      <c r="F682" s="4"/>
      <c r="G682" s="4"/>
    </row>
    <row r="683">
      <c r="A683" s="4"/>
      <c r="B683" s="4"/>
      <c r="C683" s="4"/>
      <c r="D683" s="4"/>
      <c r="E683" s="4"/>
      <c r="F683" s="4"/>
      <c r="G683" s="4"/>
    </row>
    <row r="684">
      <c r="A684" s="4"/>
      <c r="B684" s="4"/>
      <c r="C684" s="4"/>
      <c r="D684" s="4"/>
      <c r="E684" s="4"/>
      <c r="F684" s="4"/>
      <c r="G684" s="4"/>
    </row>
    <row r="685">
      <c r="A685" s="4"/>
      <c r="B685" s="4"/>
      <c r="C685" s="4"/>
      <c r="D685" s="4"/>
      <c r="E685" s="4"/>
      <c r="F685" s="4"/>
      <c r="G685" s="4"/>
    </row>
    <row r="686">
      <c r="A686" s="4"/>
      <c r="B686" s="4"/>
      <c r="C686" s="4"/>
      <c r="D686" s="4"/>
      <c r="E686" s="4"/>
      <c r="F686" s="4"/>
      <c r="G686" s="4"/>
    </row>
    <row r="687">
      <c r="A687" s="4"/>
      <c r="B687" s="4"/>
      <c r="C687" s="4"/>
      <c r="D687" s="4"/>
      <c r="E687" s="4"/>
      <c r="F687" s="4"/>
      <c r="G687" s="4"/>
    </row>
    <row r="688">
      <c r="A688" s="4"/>
      <c r="B688" s="4"/>
      <c r="C688" s="4"/>
      <c r="D688" s="4"/>
      <c r="E688" s="4"/>
      <c r="F688" s="4"/>
      <c r="G688" s="4"/>
    </row>
    <row r="689">
      <c r="A689" s="4"/>
      <c r="B689" s="4"/>
      <c r="C689" s="4"/>
      <c r="D689" s="4"/>
      <c r="E689" s="4"/>
      <c r="F689" s="4"/>
      <c r="G689" s="4"/>
    </row>
    <row r="690">
      <c r="A690" s="4"/>
      <c r="B690" s="4"/>
      <c r="C690" s="4"/>
      <c r="D690" s="4"/>
      <c r="E690" s="4"/>
      <c r="F690" s="4"/>
      <c r="G690" s="4"/>
    </row>
    <row r="691">
      <c r="A691" s="4"/>
      <c r="B691" s="4"/>
      <c r="C691" s="4"/>
      <c r="D691" s="4"/>
      <c r="E691" s="4"/>
      <c r="F691" s="4"/>
      <c r="G691" s="4"/>
    </row>
    <row r="692">
      <c r="A692" s="4"/>
      <c r="B692" s="4"/>
      <c r="C692" s="4"/>
      <c r="D692" s="4"/>
      <c r="E692" s="4"/>
      <c r="F692" s="4"/>
      <c r="G692" s="4"/>
    </row>
    <row r="693">
      <c r="A693" s="4"/>
      <c r="B693" s="4"/>
      <c r="C693" s="4"/>
      <c r="D693" s="4"/>
      <c r="E693" s="4"/>
      <c r="F693" s="4"/>
      <c r="G693" s="4"/>
    </row>
    <row r="694">
      <c r="A694" s="4"/>
      <c r="B694" s="4"/>
      <c r="C694" s="4"/>
      <c r="D694" s="4"/>
      <c r="E694" s="4"/>
      <c r="F694" s="4"/>
      <c r="G694" s="4"/>
    </row>
    <row r="695">
      <c r="A695" s="4"/>
      <c r="B695" s="4"/>
      <c r="C695" s="4"/>
      <c r="D695" s="4"/>
      <c r="E695" s="4"/>
      <c r="F695" s="4"/>
      <c r="G695" s="4"/>
    </row>
    <row r="696">
      <c r="A696" s="4"/>
      <c r="B696" s="4"/>
      <c r="C696" s="4"/>
      <c r="D696" s="4"/>
      <c r="E696" s="4"/>
      <c r="F696" s="4"/>
      <c r="G696" s="4"/>
    </row>
    <row r="697">
      <c r="A697" s="4"/>
      <c r="B697" s="4"/>
      <c r="C697" s="4"/>
      <c r="D697" s="4"/>
      <c r="E697" s="4"/>
      <c r="F697" s="4"/>
      <c r="G697" s="4"/>
    </row>
    <row r="698">
      <c r="A698" s="4"/>
      <c r="B698" s="4"/>
      <c r="C698" s="4"/>
      <c r="D698" s="4"/>
      <c r="E698" s="4"/>
      <c r="F698" s="4"/>
      <c r="G698" s="4"/>
    </row>
    <row r="699">
      <c r="A699" s="4"/>
      <c r="B699" s="4"/>
      <c r="C699" s="4"/>
      <c r="D699" s="4"/>
      <c r="E699" s="4"/>
      <c r="F699" s="4"/>
      <c r="G699" s="4"/>
    </row>
    <row r="700">
      <c r="A700" s="4"/>
      <c r="B700" s="4"/>
      <c r="C700" s="4"/>
      <c r="D700" s="4"/>
      <c r="E700" s="4"/>
      <c r="F700" s="4"/>
      <c r="G700" s="4"/>
    </row>
    <row r="701">
      <c r="A701" s="4"/>
      <c r="B701" s="4"/>
      <c r="C701" s="4"/>
      <c r="D701" s="4"/>
      <c r="E701" s="4"/>
      <c r="F701" s="4"/>
      <c r="G701" s="4"/>
    </row>
    <row r="702">
      <c r="A702" s="4"/>
      <c r="B702" s="4"/>
      <c r="C702" s="4"/>
      <c r="D702" s="4"/>
      <c r="E702" s="4"/>
      <c r="F702" s="4"/>
      <c r="G702" s="4"/>
    </row>
    <row r="703">
      <c r="A703" s="4"/>
      <c r="B703" s="4"/>
      <c r="C703" s="4"/>
      <c r="D703" s="4"/>
      <c r="E703" s="4"/>
      <c r="F703" s="4"/>
      <c r="G703" s="4"/>
    </row>
    <row r="704">
      <c r="A704" s="4"/>
      <c r="B704" s="4"/>
      <c r="C704" s="4"/>
      <c r="D704" s="4"/>
      <c r="E704" s="4"/>
      <c r="F704" s="4"/>
      <c r="G704" s="4"/>
    </row>
    <row r="705">
      <c r="A705" s="4"/>
      <c r="B705" s="4"/>
      <c r="C705" s="4"/>
      <c r="D705" s="4"/>
      <c r="E705" s="4"/>
      <c r="F705" s="4"/>
      <c r="G705" s="4"/>
    </row>
    <row r="706">
      <c r="A706" s="4"/>
      <c r="B706" s="4"/>
      <c r="C706" s="4"/>
      <c r="D706" s="4"/>
      <c r="E706" s="4"/>
      <c r="F706" s="4"/>
      <c r="G706" s="4"/>
    </row>
    <row r="707">
      <c r="A707" s="4"/>
      <c r="B707" s="4"/>
      <c r="C707" s="4"/>
      <c r="D707" s="4"/>
      <c r="E707" s="4"/>
      <c r="F707" s="4"/>
      <c r="G707" s="4"/>
    </row>
    <row r="708">
      <c r="A708" s="4"/>
      <c r="B708" s="4"/>
      <c r="C708" s="4"/>
      <c r="D708" s="4"/>
      <c r="E708" s="4"/>
      <c r="F708" s="4"/>
      <c r="G708" s="4"/>
    </row>
    <row r="709">
      <c r="A709" s="4"/>
      <c r="B709" s="4"/>
      <c r="C709" s="4"/>
      <c r="D709" s="4"/>
      <c r="E709" s="4"/>
      <c r="F709" s="4"/>
      <c r="G709" s="4"/>
    </row>
    <row r="710">
      <c r="A710" s="4"/>
      <c r="B710" s="4"/>
      <c r="C710" s="4"/>
      <c r="D710" s="4"/>
      <c r="E710" s="4"/>
      <c r="F710" s="4"/>
      <c r="G710" s="4"/>
    </row>
    <row r="711">
      <c r="A711" s="4"/>
      <c r="B711" s="4"/>
      <c r="C711" s="4"/>
      <c r="D711" s="4"/>
      <c r="E711" s="4"/>
      <c r="F711" s="4"/>
      <c r="G711" s="4"/>
    </row>
    <row r="712">
      <c r="A712" s="4"/>
      <c r="B712" s="4"/>
      <c r="C712" s="4"/>
      <c r="D712" s="4"/>
      <c r="E712" s="4"/>
      <c r="F712" s="4"/>
      <c r="G712" s="4"/>
    </row>
    <row r="713">
      <c r="A713" s="4"/>
      <c r="B713" s="4"/>
      <c r="C713" s="4"/>
      <c r="D713" s="4"/>
      <c r="E713" s="4"/>
      <c r="F713" s="4"/>
      <c r="G713" s="4"/>
    </row>
    <row r="714">
      <c r="A714" s="4"/>
      <c r="B714" s="4"/>
      <c r="C714" s="4"/>
      <c r="D714" s="4"/>
      <c r="E714" s="4"/>
      <c r="F714" s="4"/>
      <c r="G714" s="4"/>
    </row>
    <row r="715">
      <c r="A715" s="4"/>
      <c r="B715" s="4"/>
      <c r="C715" s="4"/>
      <c r="D715" s="4"/>
      <c r="E715" s="4"/>
      <c r="F715" s="4"/>
      <c r="G715" s="4"/>
    </row>
    <row r="716">
      <c r="A716" s="4"/>
      <c r="B716" s="4"/>
      <c r="C716" s="4"/>
      <c r="D716" s="4"/>
      <c r="E716" s="4"/>
      <c r="F716" s="4"/>
      <c r="G716" s="4"/>
    </row>
    <row r="717">
      <c r="A717" s="4"/>
      <c r="B717" s="4"/>
      <c r="C717" s="4"/>
      <c r="D717" s="4"/>
      <c r="E717" s="4"/>
      <c r="F717" s="4"/>
      <c r="G717" s="4"/>
    </row>
    <row r="718">
      <c r="A718" s="4"/>
      <c r="B718" s="4"/>
      <c r="C718" s="4"/>
      <c r="D718" s="4"/>
      <c r="E718" s="4"/>
      <c r="F718" s="4"/>
      <c r="G718" s="4"/>
    </row>
    <row r="719">
      <c r="A719" s="4"/>
      <c r="B719" s="4"/>
      <c r="C719" s="4"/>
      <c r="D719" s="4"/>
      <c r="E719" s="4"/>
      <c r="F719" s="4"/>
      <c r="G719" s="4"/>
    </row>
    <row r="720">
      <c r="A720" s="4"/>
      <c r="B720" s="4"/>
      <c r="C720" s="4"/>
      <c r="D720" s="4"/>
      <c r="E720" s="4"/>
      <c r="F720" s="4"/>
      <c r="G720" s="4"/>
    </row>
    <row r="721">
      <c r="A721" s="4"/>
      <c r="B721" s="4"/>
      <c r="C721" s="4"/>
      <c r="D721" s="4"/>
      <c r="E721" s="4"/>
      <c r="F721" s="4"/>
      <c r="G721" s="4"/>
    </row>
    <row r="722">
      <c r="A722" s="4"/>
      <c r="B722" s="4"/>
      <c r="C722" s="4"/>
      <c r="D722" s="4"/>
      <c r="E722" s="4"/>
      <c r="F722" s="4"/>
      <c r="G722" s="4"/>
    </row>
    <row r="723">
      <c r="A723" s="4"/>
      <c r="B723" s="4"/>
      <c r="C723" s="4"/>
      <c r="D723" s="4"/>
      <c r="E723" s="4"/>
      <c r="F723" s="4"/>
      <c r="G723" s="4"/>
    </row>
    <row r="724">
      <c r="A724" s="4"/>
      <c r="B724" s="4"/>
      <c r="C724" s="4"/>
      <c r="D724" s="4"/>
      <c r="E724" s="4"/>
      <c r="F724" s="4"/>
      <c r="G724" s="4"/>
    </row>
    <row r="725">
      <c r="A725" s="4"/>
      <c r="B725" s="4"/>
      <c r="C725" s="4"/>
      <c r="D725" s="4"/>
      <c r="E725" s="4"/>
      <c r="F725" s="4"/>
      <c r="G725" s="4"/>
    </row>
    <row r="726">
      <c r="A726" s="4"/>
      <c r="B726" s="4"/>
      <c r="C726" s="4"/>
      <c r="D726" s="4"/>
      <c r="E726" s="4"/>
      <c r="F726" s="4"/>
      <c r="G726" s="4"/>
    </row>
    <row r="727">
      <c r="A727" s="4"/>
      <c r="B727" s="4"/>
      <c r="C727" s="4"/>
      <c r="D727" s="4"/>
      <c r="E727" s="4"/>
      <c r="F727" s="4"/>
      <c r="G727" s="4"/>
    </row>
    <row r="728">
      <c r="A728" s="4"/>
      <c r="B728" s="4"/>
      <c r="C728" s="4"/>
      <c r="D728" s="4"/>
      <c r="E728" s="4"/>
      <c r="F728" s="4"/>
      <c r="G728" s="4"/>
    </row>
    <row r="729">
      <c r="A729" s="4"/>
      <c r="B729" s="4"/>
      <c r="C729" s="4"/>
      <c r="D729" s="4"/>
      <c r="E729" s="4"/>
      <c r="F729" s="4"/>
      <c r="G729" s="4"/>
    </row>
    <row r="730">
      <c r="A730" s="4"/>
      <c r="B730" s="4"/>
      <c r="C730" s="4"/>
      <c r="D730" s="4"/>
      <c r="E730" s="4"/>
      <c r="F730" s="4"/>
      <c r="G730" s="4"/>
    </row>
    <row r="731">
      <c r="A731" s="4"/>
      <c r="B731" s="4"/>
      <c r="C731" s="4"/>
      <c r="D731" s="4"/>
      <c r="E731" s="4"/>
      <c r="F731" s="4"/>
      <c r="G731" s="4"/>
    </row>
    <row r="732">
      <c r="A732" s="4"/>
      <c r="B732" s="4"/>
      <c r="C732" s="4"/>
      <c r="D732" s="4"/>
      <c r="E732" s="4"/>
      <c r="F732" s="4"/>
      <c r="G732" s="4"/>
    </row>
    <row r="733">
      <c r="A733" s="4"/>
      <c r="B733" s="4"/>
      <c r="C733" s="4"/>
      <c r="D733" s="4"/>
      <c r="E733" s="4"/>
      <c r="F733" s="4"/>
      <c r="G733" s="4"/>
    </row>
    <row r="734">
      <c r="A734" s="4"/>
      <c r="B734" s="4"/>
      <c r="C734" s="4"/>
      <c r="D734" s="4"/>
      <c r="E734" s="4"/>
      <c r="F734" s="4"/>
      <c r="G734" s="4"/>
    </row>
    <row r="735">
      <c r="A735" s="4"/>
      <c r="B735" s="4"/>
      <c r="C735" s="4"/>
      <c r="D735" s="4"/>
      <c r="E735" s="4"/>
      <c r="F735" s="4"/>
      <c r="G735" s="4"/>
    </row>
    <row r="736">
      <c r="A736" s="4"/>
      <c r="B736" s="4"/>
      <c r="C736" s="4"/>
      <c r="D736" s="4"/>
      <c r="E736" s="4"/>
      <c r="F736" s="4"/>
      <c r="G736" s="4"/>
    </row>
    <row r="737">
      <c r="A737" s="4"/>
      <c r="B737" s="4"/>
      <c r="C737" s="4"/>
      <c r="D737" s="4"/>
      <c r="E737" s="4"/>
      <c r="F737" s="4"/>
      <c r="G737" s="4"/>
    </row>
    <row r="738">
      <c r="A738" s="4"/>
      <c r="B738" s="4"/>
      <c r="C738" s="4"/>
      <c r="D738" s="4"/>
      <c r="E738" s="4"/>
      <c r="F738" s="4"/>
      <c r="G738" s="4"/>
    </row>
    <row r="739">
      <c r="A739" s="4"/>
      <c r="B739" s="4"/>
      <c r="C739" s="4"/>
      <c r="D739" s="4"/>
      <c r="E739" s="4"/>
      <c r="F739" s="4"/>
      <c r="G739" s="4"/>
    </row>
    <row r="740">
      <c r="A740" s="4"/>
      <c r="B740" s="4"/>
      <c r="C740" s="4"/>
      <c r="D740" s="4"/>
      <c r="E740" s="4"/>
      <c r="F740" s="4"/>
      <c r="G740" s="4"/>
    </row>
    <row r="741">
      <c r="A741" s="4"/>
      <c r="B741" s="4"/>
      <c r="C741" s="4"/>
      <c r="D741" s="4"/>
      <c r="E741" s="4"/>
      <c r="F741" s="4"/>
      <c r="G741" s="4"/>
    </row>
    <row r="742">
      <c r="A742" s="4"/>
      <c r="B742" s="4"/>
      <c r="C742" s="4"/>
      <c r="D742" s="4"/>
      <c r="E742" s="4"/>
      <c r="F742" s="4"/>
      <c r="G742" s="4"/>
    </row>
    <row r="743">
      <c r="A743" s="4"/>
      <c r="B743" s="4"/>
      <c r="C743" s="4"/>
      <c r="D743" s="4"/>
      <c r="E743" s="4"/>
      <c r="F743" s="4"/>
      <c r="G743" s="4"/>
    </row>
    <row r="744">
      <c r="A744" s="4"/>
      <c r="B744" s="4"/>
      <c r="C744" s="4"/>
      <c r="D744" s="4"/>
      <c r="E744" s="4"/>
      <c r="F744" s="4"/>
      <c r="G744" s="4"/>
    </row>
    <row r="745">
      <c r="A745" s="4"/>
      <c r="B745" s="4"/>
      <c r="C745" s="4"/>
      <c r="D745" s="4"/>
      <c r="E745" s="4"/>
      <c r="F745" s="4"/>
      <c r="G745" s="4"/>
    </row>
    <row r="746">
      <c r="A746" s="4"/>
      <c r="B746" s="4"/>
      <c r="C746" s="4"/>
      <c r="D746" s="4"/>
      <c r="E746" s="4"/>
      <c r="F746" s="4"/>
      <c r="G746" s="4"/>
    </row>
    <row r="747">
      <c r="A747" s="4"/>
      <c r="B747" s="4"/>
      <c r="C747" s="4"/>
      <c r="D747" s="4"/>
      <c r="E747" s="4"/>
      <c r="F747" s="4"/>
      <c r="G747" s="4"/>
    </row>
    <row r="748">
      <c r="A748" s="4"/>
      <c r="B748" s="4"/>
      <c r="C748" s="4"/>
      <c r="D748" s="4"/>
      <c r="E748" s="4"/>
      <c r="F748" s="4"/>
      <c r="G748" s="4"/>
    </row>
    <row r="749">
      <c r="A749" s="4"/>
      <c r="B749" s="4"/>
      <c r="C749" s="4"/>
      <c r="D749" s="4"/>
      <c r="E749" s="4"/>
      <c r="F749" s="4"/>
      <c r="G749" s="4"/>
    </row>
    <row r="750">
      <c r="A750" s="4"/>
      <c r="B750" s="4"/>
      <c r="C750" s="4"/>
      <c r="D750" s="4"/>
      <c r="E750" s="4"/>
      <c r="F750" s="4"/>
      <c r="G750" s="4"/>
    </row>
    <row r="751">
      <c r="A751" s="4"/>
      <c r="B751" s="4"/>
      <c r="C751" s="4"/>
      <c r="D751" s="4"/>
      <c r="E751" s="4"/>
      <c r="F751" s="4"/>
      <c r="G751" s="4"/>
    </row>
    <row r="752">
      <c r="A752" s="4"/>
      <c r="B752" s="4"/>
      <c r="C752" s="4"/>
      <c r="D752" s="4"/>
      <c r="E752" s="4"/>
      <c r="F752" s="4"/>
      <c r="G752" s="4"/>
    </row>
    <row r="753">
      <c r="A753" s="4"/>
      <c r="B753" s="4"/>
      <c r="C753" s="4"/>
      <c r="D753" s="4"/>
      <c r="E753" s="4"/>
      <c r="F753" s="4"/>
      <c r="G753" s="4"/>
    </row>
    <row r="754">
      <c r="A754" s="4"/>
      <c r="B754" s="4"/>
      <c r="C754" s="4"/>
      <c r="D754" s="4"/>
      <c r="E754" s="4"/>
      <c r="F754" s="4"/>
      <c r="G754" s="4"/>
    </row>
    <row r="755">
      <c r="A755" s="4"/>
      <c r="B755" s="4"/>
      <c r="C755" s="4"/>
      <c r="D755" s="4"/>
      <c r="E755" s="4"/>
      <c r="F755" s="4"/>
      <c r="G755" s="4"/>
    </row>
    <row r="756">
      <c r="A756" s="4"/>
      <c r="B756" s="4"/>
      <c r="C756" s="4"/>
      <c r="D756" s="4"/>
      <c r="E756" s="4"/>
      <c r="F756" s="4"/>
      <c r="G756" s="4"/>
    </row>
    <row r="757">
      <c r="A757" s="4"/>
      <c r="B757" s="4"/>
      <c r="C757" s="4"/>
      <c r="D757" s="4"/>
      <c r="E757" s="4"/>
      <c r="F757" s="4"/>
      <c r="G757" s="4"/>
    </row>
    <row r="758">
      <c r="A758" s="4"/>
      <c r="B758" s="4"/>
      <c r="C758" s="4"/>
      <c r="D758" s="4"/>
      <c r="E758" s="4"/>
      <c r="F758" s="4"/>
      <c r="G758" s="4"/>
    </row>
    <row r="759">
      <c r="A759" s="4"/>
      <c r="B759" s="4"/>
      <c r="C759" s="4"/>
      <c r="D759" s="4"/>
      <c r="E759" s="4"/>
      <c r="F759" s="4"/>
      <c r="G759" s="4"/>
    </row>
    <row r="760">
      <c r="A760" s="4"/>
      <c r="B760" s="4"/>
      <c r="C760" s="4"/>
      <c r="D760" s="4"/>
      <c r="E760" s="4"/>
      <c r="F760" s="4"/>
      <c r="G760" s="4"/>
    </row>
    <row r="761">
      <c r="A761" s="4"/>
      <c r="B761" s="4"/>
      <c r="C761" s="4"/>
      <c r="D761" s="4"/>
      <c r="E761" s="4"/>
      <c r="F761" s="4"/>
      <c r="G761" s="4"/>
    </row>
    <row r="762">
      <c r="A762" s="4"/>
      <c r="B762" s="4"/>
      <c r="C762" s="4"/>
      <c r="D762" s="4"/>
      <c r="E762" s="4"/>
      <c r="F762" s="4"/>
      <c r="G762" s="4"/>
    </row>
    <row r="763">
      <c r="A763" s="4"/>
      <c r="B763" s="4"/>
      <c r="C763" s="4"/>
      <c r="D763" s="4"/>
      <c r="E763" s="4"/>
      <c r="F763" s="4"/>
      <c r="G763" s="4"/>
    </row>
    <row r="764">
      <c r="A764" s="4"/>
      <c r="B764" s="4"/>
      <c r="C764" s="4"/>
      <c r="D764" s="4"/>
      <c r="E764" s="4"/>
      <c r="F764" s="4"/>
      <c r="G764" s="4"/>
    </row>
    <row r="765">
      <c r="A765" s="4"/>
      <c r="B765" s="4"/>
      <c r="C765" s="4"/>
      <c r="D765" s="4"/>
      <c r="E765" s="4"/>
      <c r="F765" s="4"/>
      <c r="G765" s="4"/>
    </row>
    <row r="766">
      <c r="A766" s="4"/>
      <c r="B766" s="4"/>
      <c r="C766" s="4"/>
      <c r="D766" s="4"/>
      <c r="E766" s="4"/>
      <c r="F766" s="4"/>
      <c r="G766" s="4"/>
    </row>
    <row r="767">
      <c r="A767" s="4"/>
      <c r="B767" s="4"/>
      <c r="C767" s="4"/>
      <c r="D767" s="4"/>
      <c r="E767" s="4"/>
      <c r="F767" s="4"/>
      <c r="G767" s="4"/>
    </row>
    <row r="768">
      <c r="A768" s="4"/>
      <c r="B768" s="4"/>
      <c r="C768" s="4"/>
      <c r="D768" s="4"/>
      <c r="E768" s="4"/>
      <c r="F768" s="4"/>
      <c r="G768" s="4"/>
    </row>
    <row r="769">
      <c r="A769" s="4"/>
      <c r="B769" s="4"/>
      <c r="C769" s="4"/>
      <c r="D769" s="4"/>
      <c r="E769" s="4"/>
      <c r="F769" s="4"/>
      <c r="G769" s="4"/>
    </row>
    <row r="770">
      <c r="A770" s="4"/>
      <c r="B770" s="4"/>
      <c r="C770" s="4"/>
      <c r="D770" s="4"/>
      <c r="E770" s="4"/>
      <c r="F770" s="4"/>
      <c r="G770" s="4"/>
    </row>
    <row r="771">
      <c r="A771" s="4"/>
      <c r="B771" s="4"/>
      <c r="C771" s="4"/>
      <c r="D771" s="4"/>
      <c r="E771" s="4"/>
      <c r="F771" s="4"/>
      <c r="G771" s="4"/>
    </row>
    <row r="772">
      <c r="A772" s="4"/>
      <c r="B772" s="4"/>
      <c r="C772" s="4"/>
      <c r="D772" s="4"/>
      <c r="E772" s="4"/>
      <c r="F772" s="4"/>
      <c r="G772" s="4"/>
    </row>
    <row r="773">
      <c r="A773" s="4"/>
      <c r="B773" s="4"/>
      <c r="C773" s="4"/>
      <c r="D773" s="4"/>
      <c r="E773" s="4"/>
      <c r="F773" s="4"/>
      <c r="G773" s="4"/>
    </row>
    <row r="774">
      <c r="A774" s="4"/>
      <c r="B774" s="4"/>
      <c r="C774" s="4"/>
      <c r="D774" s="4"/>
      <c r="E774" s="4"/>
      <c r="F774" s="4"/>
      <c r="G774" s="4"/>
    </row>
    <row r="775">
      <c r="A775" s="4"/>
      <c r="B775" s="4"/>
      <c r="C775" s="4"/>
      <c r="D775" s="4"/>
      <c r="E775" s="4"/>
      <c r="F775" s="4"/>
      <c r="G775" s="4"/>
    </row>
    <row r="776">
      <c r="A776" s="4"/>
      <c r="B776" s="4"/>
      <c r="C776" s="4"/>
      <c r="D776" s="4"/>
      <c r="E776" s="4"/>
      <c r="F776" s="4"/>
      <c r="G776" s="4"/>
    </row>
    <row r="777">
      <c r="A777" s="4"/>
      <c r="B777" s="4"/>
      <c r="C777" s="4"/>
      <c r="D777" s="4"/>
      <c r="E777" s="4"/>
      <c r="F777" s="4"/>
      <c r="G777" s="4"/>
    </row>
    <row r="778">
      <c r="A778" s="4"/>
      <c r="B778" s="4"/>
      <c r="C778" s="4"/>
      <c r="D778" s="4"/>
      <c r="E778" s="4"/>
      <c r="F778" s="4"/>
      <c r="G778" s="4"/>
    </row>
    <row r="779">
      <c r="A779" s="4"/>
      <c r="B779" s="4"/>
      <c r="C779" s="4"/>
      <c r="D779" s="4"/>
      <c r="E779" s="4"/>
      <c r="F779" s="4"/>
      <c r="G779" s="4"/>
    </row>
    <row r="780">
      <c r="A780" s="4"/>
      <c r="B780" s="4"/>
      <c r="C780" s="4"/>
      <c r="D780" s="4"/>
      <c r="E780" s="4"/>
      <c r="F780" s="4"/>
      <c r="G780" s="4"/>
    </row>
    <row r="781">
      <c r="A781" s="4"/>
      <c r="B781" s="4"/>
      <c r="C781" s="4"/>
      <c r="D781" s="4"/>
      <c r="E781" s="4"/>
      <c r="F781" s="4"/>
      <c r="G781" s="4"/>
    </row>
    <row r="782">
      <c r="A782" s="4"/>
      <c r="B782" s="4"/>
      <c r="C782" s="4"/>
      <c r="D782" s="4"/>
      <c r="E782" s="4"/>
      <c r="F782" s="4"/>
      <c r="G782" s="4"/>
    </row>
    <row r="783">
      <c r="A783" s="4"/>
      <c r="B783" s="4"/>
      <c r="C783" s="4"/>
      <c r="D783" s="4"/>
      <c r="E783" s="4"/>
      <c r="F783" s="4"/>
      <c r="G783" s="4"/>
    </row>
    <row r="784">
      <c r="A784" s="4"/>
      <c r="B784" s="4"/>
      <c r="C784" s="4"/>
      <c r="D784" s="4"/>
      <c r="E784" s="4"/>
      <c r="F784" s="4"/>
      <c r="G784" s="4"/>
    </row>
    <row r="785">
      <c r="A785" s="4"/>
      <c r="B785" s="4"/>
      <c r="C785" s="4"/>
      <c r="D785" s="4"/>
      <c r="E785" s="4"/>
      <c r="F785" s="4"/>
      <c r="G785" s="4"/>
    </row>
    <row r="786">
      <c r="A786" s="4"/>
      <c r="B786" s="4"/>
      <c r="C786" s="4"/>
      <c r="D786" s="4"/>
      <c r="E786" s="4"/>
      <c r="F786" s="4"/>
      <c r="G786" s="4"/>
    </row>
    <row r="787">
      <c r="A787" s="4"/>
      <c r="B787" s="4"/>
      <c r="C787" s="4"/>
      <c r="D787" s="4"/>
      <c r="E787" s="4"/>
      <c r="F787" s="4"/>
      <c r="G787" s="4"/>
    </row>
    <row r="788">
      <c r="A788" s="4"/>
      <c r="B788" s="4"/>
      <c r="C788" s="4"/>
      <c r="D788" s="4"/>
      <c r="E788" s="4"/>
      <c r="F788" s="4"/>
      <c r="G788" s="4"/>
    </row>
    <row r="789">
      <c r="A789" s="4"/>
      <c r="B789" s="4"/>
      <c r="C789" s="4"/>
      <c r="D789" s="4"/>
      <c r="E789" s="4"/>
      <c r="F789" s="4"/>
      <c r="G789" s="4"/>
    </row>
    <row r="790">
      <c r="A790" s="4"/>
      <c r="B790" s="4"/>
      <c r="C790" s="4"/>
      <c r="D790" s="4"/>
      <c r="E790" s="4"/>
      <c r="F790" s="4"/>
      <c r="G790" s="4"/>
    </row>
    <row r="791">
      <c r="A791" s="4"/>
      <c r="B791" s="4"/>
      <c r="C791" s="4"/>
      <c r="D791" s="4"/>
      <c r="E791" s="4"/>
      <c r="F791" s="4"/>
      <c r="G791" s="4"/>
    </row>
    <row r="792">
      <c r="A792" s="4"/>
      <c r="B792" s="4"/>
      <c r="C792" s="4"/>
      <c r="D792" s="4"/>
      <c r="E792" s="4"/>
      <c r="F792" s="4"/>
      <c r="G792" s="4"/>
    </row>
    <row r="793">
      <c r="A793" s="4"/>
      <c r="B793" s="4"/>
      <c r="C793" s="4"/>
      <c r="D793" s="4"/>
      <c r="E793" s="4"/>
      <c r="F793" s="4"/>
      <c r="G793" s="4"/>
    </row>
    <row r="794">
      <c r="A794" s="4"/>
      <c r="B794" s="4"/>
      <c r="C794" s="4"/>
      <c r="D794" s="4"/>
      <c r="E794" s="4"/>
      <c r="F794" s="4"/>
      <c r="G794" s="4"/>
    </row>
    <row r="795">
      <c r="A795" s="4"/>
      <c r="B795" s="4"/>
      <c r="C795" s="4"/>
      <c r="D795" s="4"/>
      <c r="E795" s="4"/>
      <c r="F795" s="4"/>
      <c r="G795" s="4"/>
    </row>
    <row r="796">
      <c r="A796" s="4"/>
      <c r="B796" s="4"/>
      <c r="C796" s="4"/>
      <c r="D796" s="4"/>
      <c r="E796" s="4"/>
      <c r="F796" s="4"/>
      <c r="G796" s="4"/>
    </row>
    <row r="797">
      <c r="A797" s="4"/>
      <c r="B797" s="4"/>
      <c r="C797" s="4"/>
      <c r="D797" s="4"/>
      <c r="E797" s="4"/>
      <c r="F797" s="4"/>
      <c r="G797" s="4"/>
    </row>
    <row r="798">
      <c r="A798" s="4"/>
      <c r="B798" s="4"/>
      <c r="C798" s="4"/>
      <c r="D798" s="4"/>
      <c r="E798" s="4"/>
      <c r="F798" s="4"/>
      <c r="G798" s="4"/>
    </row>
    <row r="799">
      <c r="A799" s="4"/>
      <c r="B799" s="4"/>
      <c r="C799" s="4"/>
      <c r="D799" s="4"/>
      <c r="E799" s="4"/>
      <c r="F799" s="4"/>
      <c r="G799" s="4"/>
    </row>
    <row r="800">
      <c r="A800" s="4"/>
      <c r="B800" s="4"/>
      <c r="C800" s="4"/>
      <c r="D800" s="4"/>
      <c r="E800" s="4"/>
      <c r="F800" s="4"/>
      <c r="G800" s="4"/>
    </row>
    <row r="801">
      <c r="A801" s="4"/>
      <c r="B801" s="4"/>
      <c r="C801" s="4"/>
      <c r="D801" s="4"/>
      <c r="E801" s="4"/>
      <c r="F801" s="4"/>
      <c r="G801" s="4"/>
    </row>
    <row r="802">
      <c r="A802" s="4"/>
      <c r="B802" s="4"/>
      <c r="C802" s="4"/>
      <c r="D802" s="4"/>
      <c r="E802" s="4"/>
      <c r="F802" s="4"/>
      <c r="G802" s="4"/>
    </row>
    <row r="803">
      <c r="A803" s="4"/>
      <c r="B803" s="4"/>
      <c r="C803" s="4"/>
      <c r="D803" s="4"/>
      <c r="E803" s="4"/>
      <c r="F803" s="4"/>
      <c r="G803" s="4"/>
    </row>
    <row r="804">
      <c r="A804" s="4"/>
      <c r="B804" s="4"/>
      <c r="C804" s="4"/>
      <c r="D804" s="4"/>
      <c r="E804" s="4"/>
      <c r="F804" s="4"/>
      <c r="G804" s="4"/>
    </row>
    <row r="805">
      <c r="A805" s="4"/>
      <c r="B805" s="4"/>
      <c r="C805" s="4"/>
      <c r="D805" s="4"/>
      <c r="E805" s="4"/>
      <c r="F805" s="4"/>
      <c r="G805" s="4"/>
    </row>
    <row r="806">
      <c r="A806" s="4"/>
      <c r="B806" s="4"/>
      <c r="C806" s="4"/>
      <c r="D806" s="4"/>
      <c r="E806" s="4"/>
      <c r="F806" s="4"/>
      <c r="G806" s="4"/>
    </row>
    <row r="807">
      <c r="A807" s="4"/>
      <c r="B807" s="4"/>
      <c r="C807" s="4"/>
      <c r="D807" s="4"/>
      <c r="E807" s="4"/>
      <c r="F807" s="4"/>
      <c r="G807" s="4"/>
    </row>
    <row r="808">
      <c r="A808" s="4"/>
      <c r="B808" s="4"/>
      <c r="C808" s="4"/>
      <c r="D808" s="4"/>
      <c r="E808" s="4"/>
      <c r="F808" s="4"/>
      <c r="G808" s="4"/>
    </row>
    <row r="809">
      <c r="A809" s="4"/>
      <c r="B809" s="4"/>
      <c r="C809" s="4"/>
      <c r="D809" s="4"/>
      <c r="E809" s="4"/>
      <c r="F809" s="4"/>
      <c r="G809" s="4"/>
    </row>
    <row r="810">
      <c r="A810" s="4"/>
      <c r="B810" s="4"/>
      <c r="C810" s="4"/>
      <c r="D810" s="4"/>
      <c r="E810" s="4"/>
      <c r="F810" s="4"/>
      <c r="G810" s="4"/>
    </row>
    <row r="811">
      <c r="A811" s="4"/>
      <c r="B811" s="4"/>
      <c r="C811" s="4"/>
      <c r="D811" s="4"/>
      <c r="E811" s="4"/>
      <c r="F811" s="4"/>
      <c r="G811" s="4"/>
    </row>
    <row r="812">
      <c r="A812" s="4"/>
      <c r="B812" s="4"/>
      <c r="C812" s="4"/>
      <c r="D812" s="4"/>
      <c r="E812" s="4"/>
      <c r="F812" s="4"/>
      <c r="G812" s="4"/>
    </row>
    <row r="813">
      <c r="A813" s="4"/>
      <c r="B813" s="4"/>
      <c r="C813" s="4"/>
      <c r="D813" s="4"/>
      <c r="E813" s="4"/>
      <c r="F813" s="4"/>
      <c r="G813" s="4"/>
    </row>
    <row r="814">
      <c r="A814" s="4"/>
      <c r="B814" s="4"/>
      <c r="C814" s="4"/>
      <c r="D814" s="4"/>
      <c r="E814" s="4"/>
      <c r="F814" s="4"/>
      <c r="G814" s="4"/>
    </row>
    <row r="815">
      <c r="A815" s="4"/>
      <c r="B815" s="4"/>
      <c r="C815" s="4"/>
      <c r="D815" s="4"/>
      <c r="E815" s="4"/>
      <c r="F815" s="4"/>
      <c r="G815" s="4"/>
    </row>
    <row r="816">
      <c r="A816" s="4"/>
      <c r="B816" s="4"/>
      <c r="C816" s="4"/>
      <c r="D816" s="4"/>
      <c r="E816" s="4"/>
      <c r="F816" s="4"/>
      <c r="G816" s="4"/>
    </row>
    <row r="817">
      <c r="A817" s="4"/>
      <c r="B817" s="4"/>
      <c r="C817" s="4"/>
      <c r="D817" s="4"/>
      <c r="E817" s="4"/>
      <c r="F817" s="4"/>
      <c r="G817" s="4"/>
    </row>
    <row r="818">
      <c r="A818" s="4"/>
      <c r="B818" s="4"/>
      <c r="C818" s="4"/>
      <c r="D818" s="4"/>
      <c r="E818" s="4"/>
      <c r="F818" s="4"/>
      <c r="G818" s="4"/>
    </row>
    <row r="819">
      <c r="A819" s="4"/>
      <c r="B819" s="4"/>
      <c r="C819" s="4"/>
      <c r="D819" s="4"/>
      <c r="E819" s="4"/>
      <c r="F819" s="4"/>
      <c r="G819" s="4"/>
    </row>
    <row r="820">
      <c r="A820" s="4"/>
      <c r="B820" s="4"/>
      <c r="C820" s="4"/>
      <c r="D820" s="4"/>
      <c r="E820" s="4"/>
      <c r="F820" s="4"/>
      <c r="G820" s="4"/>
    </row>
    <row r="821">
      <c r="A821" s="4"/>
      <c r="B821" s="4"/>
      <c r="C821" s="4"/>
      <c r="D821" s="4"/>
      <c r="E821" s="4"/>
      <c r="F821" s="4"/>
      <c r="G821" s="4"/>
    </row>
    <row r="822">
      <c r="A822" s="4"/>
      <c r="B822" s="4"/>
      <c r="C822" s="4"/>
      <c r="D822" s="4"/>
      <c r="E822" s="4"/>
      <c r="F822" s="4"/>
      <c r="G822" s="4"/>
    </row>
    <row r="823">
      <c r="A823" s="4"/>
      <c r="B823" s="4"/>
      <c r="C823" s="4"/>
      <c r="D823" s="4"/>
      <c r="E823" s="4"/>
      <c r="F823" s="4"/>
      <c r="G823" s="4"/>
    </row>
    <row r="824">
      <c r="A824" s="4"/>
      <c r="B824" s="4"/>
      <c r="C824" s="4"/>
      <c r="D824" s="4"/>
      <c r="E824" s="4"/>
      <c r="F824" s="4"/>
      <c r="G824" s="4"/>
    </row>
    <row r="825">
      <c r="A825" s="4"/>
      <c r="B825" s="4"/>
      <c r="C825" s="4"/>
      <c r="D825" s="4"/>
      <c r="E825" s="4"/>
      <c r="F825" s="4"/>
      <c r="G825" s="4"/>
    </row>
    <row r="826">
      <c r="A826" s="4"/>
      <c r="B826" s="4"/>
      <c r="C826" s="4"/>
      <c r="D826" s="4"/>
      <c r="E826" s="4"/>
      <c r="F826" s="4"/>
      <c r="G826" s="4"/>
    </row>
    <row r="827">
      <c r="A827" s="4"/>
      <c r="B827" s="4"/>
      <c r="C827" s="4"/>
      <c r="D827" s="4"/>
      <c r="E827" s="4"/>
      <c r="F827" s="4"/>
      <c r="G827" s="4"/>
    </row>
    <row r="828">
      <c r="A828" s="4"/>
      <c r="B828" s="4"/>
      <c r="C828" s="4"/>
      <c r="D828" s="4"/>
      <c r="E828" s="4"/>
      <c r="F828" s="4"/>
      <c r="G828" s="4"/>
    </row>
    <row r="829">
      <c r="A829" s="4"/>
      <c r="B829" s="4"/>
      <c r="C829" s="4"/>
      <c r="D829" s="4"/>
      <c r="E829" s="4"/>
      <c r="F829" s="4"/>
      <c r="G829" s="4"/>
    </row>
    <row r="830">
      <c r="A830" s="4"/>
      <c r="B830" s="4"/>
      <c r="C830" s="4"/>
      <c r="D830" s="4"/>
      <c r="E830" s="4"/>
      <c r="F830" s="4"/>
      <c r="G830" s="4"/>
    </row>
    <row r="831">
      <c r="A831" s="4"/>
      <c r="B831" s="4"/>
      <c r="C831" s="4"/>
      <c r="D831" s="4"/>
      <c r="E831" s="4"/>
      <c r="F831" s="4"/>
      <c r="G831" s="4"/>
    </row>
    <row r="832">
      <c r="A832" s="4"/>
      <c r="B832" s="4"/>
      <c r="C832" s="4"/>
      <c r="D832" s="4"/>
      <c r="E832" s="4"/>
      <c r="F832" s="4"/>
      <c r="G832" s="4"/>
    </row>
    <row r="833">
      <c r="A833" s="4"/>
      <c r="B833" s="4"/>
      <c r="C833" s="4"/>
      <c r="D833" s="4"/>
      <c r="E833" s="4"/>
      <c r="F833" s="4"/>
      <c r="G833" s="4"/>
    </row>
    <row r="834">
      <c r="A834" s="4"/>
      <c r="B834" s="4"/>
      <c r="C834" s="4"/>
      <c r="D834" s="4"/>
      <c r="E834" s="4"/>
      <c r="F834" s="4"/>
      <c r="G834" s="4"/>
    </row>
    <row r="835">
      <c r="A835" s="4"/>
      <c r="B835" s="4"/>
      <c r="C835" s="4"/>
      <c r="D835" s="4"/>
      <c r="E835" s="4"/>
      <c r="F835" s="4"/>
      <c r="G835" s="4"/>
    </row>
    <row r="836">
      <c r="A836" s="4"/>
      <c r="B836" s="4"/>
      <c r="C836" s="4"/>
      <c r="D836" s="4"/>
      <c r="E836" s="4"/>
      <c r="F836" s="4"/>
      <c r="G836" s="4"/>
    </row>
    <row r="837">
      <c r="A837" s="4"/>
      <c r="B837" s="4"/>
      <c r="C837" s="4"/>
      <c r="D837" s="4"/>
      <c r="E837" s="4"/>
      <c r="F837" s="4"/>
      <c r="G837" s="4"/>
    </row>
    <row r="838">
      <c r="A838" s="4"/>
      <c r="B838" s="4"/>
      <c r="C838" s="4"/>
      <c r="D838" s="4"/>
      <c r="E838" s="4"/>
      <c r="F838" s="4"/>
      <c r="G838" s="4"/>
    </row>
    <row r="839">
      <c r="A839" s="4"/>
      <c r="B839" s="4"/>
      <c r="C839" s="4"/>
      <c r="D839" s="4"/>
      <c r="E839" s="4"/>
      <c r="F839" s="4"/>
      <c r="G839" s="4"/>
    </row>
    <row r="840">
      <c r="A840" s="4"/>
      <c r="B840" s="4"/>
      <c r="C840" s="4"/>
      <c r="D840" s="4"/>
      <c r="E840" s="4"/>
      <c r="F840" s="4"/>
      <c r="G840" s="4"/>
    </row>
    <row r="841">
      <c r="A841" s="4"/>
      <c r="B841" s="4"/>
      <c r="C841" s="4"/>
      <c r="D841" s="4"/>
      <c r="E841" s="4"/>
      <c r="F841" s="4"/>
      <c r="G841" s="4"/>
    </row>
    <row r="842">
      <c r="A842" s="4"/>
      <c r="B842" s="4"/>
      <c r="C842" s="4"/>
      <c r="D842" s="4"/>
      <c r="E842" s="4"/>
      <c r="F842" s="4"/>
      <c r="G842" s="4"/>
    </row>
    <row r="843">
      <c r="A843" s="4"/>
      <c r="B843" s="4"/>
      <c r="C843" s="4"/>
      <c r="D843" s="4"/>
      <c r="E843" s="4"/>
      <c r="F843" s="4"/>
      <c r="G843" s="4"/>
    </row>
    <row r="844">
      <c r="A844" s="4"/>
      <c r="B844" s="4"/>
      <c r="C844" s="4"/>
      <c r="D844" s="4"/>
      <c r="E844" s="4"/>
      <c r="F844" s="4"/>
      <c r="G844" s="4"/>
    </row>
    <row r="845">
      <c r="A845" s="4"/>
      <c r="B845" s="4"/>
      <c r="C845" s="4"/>
      <c r="D845" s="4"/>
      <c r="E845" s="4"/>
      <c r="F845" s="4"/>
      <c r="G845" s="4"/>
    </row>
    <row r="846">
      <c r="A846" s="4"/>
      <c r="B846" s="4"/>
      <c r="C846" s="4"/>
      <c r="D846" s="4"/>
      <c r="E846" s="4"/>
      <c r="F846" s="4"/>
      <c r="G846" s="4"/>
    </row>
    <row r="847">
      <c r="A847" s="4"/>
      <c r="B847" s="4"/>
      <c r="C847" s="4"/>
      <c r="D847" s="4"/>
      <c r="E847" s="4"/>
      <c r="F847" s="4"/>
      <c r="G847" s="4"/>
    </row>
    <row r="848">
      <c r="A848" s="4"/>
      <c r="B848" s="4"/>
      <c r="C848" s="4"/>
      <c r="D848" s="4"/>
      <c r="E848" s="4"/>
      <c r="F848" s="4"/>
      <c r="G848" s="4"/>
    </row>
    <row r="849">
      <c r="A849" s="4"/>
      <c r="B849" s="4"/>
      <c r="C849" s="4"/>
      <c r="D849" s="4"/>
      <c r="E849" s="4"/>
      <c r="F849" s="4"/>
      <c r="G849" s="4"/>
    </row>
    <row r="850">
      <c r="A850" s="4"/>
      <c r="B850" s="4"/>
      <c r="C850" s="4"/>
      <c r="D850" s="4"/>
      <c r="E850" s="4"/>
      <c r="F850" s="4"/>
      <c r="G850" s="4"/>
    </row>
    <row r="851">
      <c r="A851" s="4"/>
      <c r="B851" s="4"/>
      <c r="C851" s="4"/>
      <c r="D851" s="4"/>
      <c r="E851" s="4"/>
      <c r="F851" s="4"/>
      <c r="G851" s="4"/>
    </row>
    <row r="852">
      <c r="A852" s="4"/>
      <c r="B852" s="4"/>
      <c r="C852" s="4"/>
      <c r="D852" s="4"/>
      <c r="E852" s="4"/>
      <c r="F852" s="4"/>
      <c r="G852" s="4"/>
    </row>
    <row r="853">
      <c r="A853" s="4"/>
      <c r="B853" s="4"/>
      <c r="C853" s="4"/>
      <c r="D853" s="4"/>
      <c r="E853" s="4"/>
      <c r="F853" s="4"/>
      <c r="G853" s="4"/>
    </row>
    <row r="854">
      <c r="A854" s="4"/>
      <c r="B854" s="4"/>
      <c r="C854" s="4"/>
      <c r="D854" s="4"/>
      <c r="E854" s="4"/>
      <c r="F854" s="4"/>
      <c r="G854" s="4"/>
    </row>
    <row r="855">
      <c r="A855" s="4"/>
      <c r="B855" s="4"/>
      <c r="C855" s="4"/>
      <c r="D855" s="4"/>
      <c r="E855" s="4"/>
      <c r="F855" s="4"/>
      <c r="G855" s="4"/>
    </row>
    <row r="856">
      <c r="A856" s="4"/>
      <c r="B856" s="4"/>
      <c r="C856" s="4"/>
      <c r="D856" s="4"/>
      <c r="E856" s="4"/>
      <c r="F856" s="4"/>
      <c r="G856" s="4"/>
    </row>
    <row r="857">
      <c r="A857" s="4"/>
      <c r="B857" s="4"/>
      <c r="C857" s="4"/>
      <c r="D857" s="4"/>
      <c r="E857" s="4"/>
      <c r="F857" s="4"/>
      <c r="G857" s="4"/>
    </row>
    <row r="858">
      <c r="A858" s="4"/>
      <c r="B858" s="4"/>
      <c r="C858" s="4"/>
      <c r="D858" s="4"/>
      <c r="E858" s="4"/>
      <c r="F858" s="4"/>
      <c r="G858" s="4"/>
    </row>
    <row r="859">
      <c r="A859" s="4"/>
      <c r="B859" s="4"/>
      <c r="C859" s="4"/>
      <c r="D859" s="4"/>
      <c r="E859" s="4"/>
      <c r="F859" s="4"/>
      <c r="G859" s="4"/>
    </row>
    <row r="860">
      <c r="A860" s="4"/>
      <c r="B860" s="4"/>
      <c r="C860" s="4"/>
      <c r="D860" s="4"/>
      <c r="E860" s="4"/>
      <c r="F860" s="4"/>
      <c r="G860" s="4"/>
    </row>
    <row r="861">
      <c r="A861" s="4"/>
      <c r="B861" s="4"/>
      <c r="C861" s="4"/>
      <c r="D861" s="4"/>
      <c r="E861" s="4"/>
      <c r="F861" s="4"/>
      <c r="G861" s="4"/>
    </row>
    <row r="862">
      <c r="A862" s="4"/>
      <c r="B862" s="4"/>
      <c r="C862" s="4"/>
      <c r="D862" s="4"/>
      <c r="E862" s="4"/>
      <c r="F862" s="4"/>
      <c r="G862" s="4"/>
    </row>
    <row r="863">
      <c r="A863" s="4"/>
      <c r="B863" s="4"/>
      <c r="C863" s="4"/>
      <c r="D863" s="4"/>
      <c r="E863" s="4"/>
      <c r="F863" s="4"/>
      <c r="G863" s="4"/>
    </row>
    <row r="864">
      <c r="A864" s="4"/>
      <c r="B864" s="4"/>
      <c r="C864" s="4"/>
      <c r="D864" s="4"/>
      <c r="E864" s="4"/>
      <c r="F864" s="4"/>
      <c r="G864" s="4"/>
    </row>
    <row r="865">
      <c r="A865" s="4"/>
      <c r="B865" s="4"/>
      <c r="C865" s="4"/>
      <c r="D865" s="4"/>
      <c r="E865" s="4"/>
      <c r="F865" s="4"/>
      <c r="G865" s="4"/>
    </row>
    <row r="866">
      <c r="A866" s="4"/>
      <c r="B866" s="4"/>
      <c r="C866" s="4"/>
      <c r="D866" s="4"/>
      <c r="E866" s="4"/>
      <c r="F866" s="4"/>
      <c r="G866" s="4"/>
    </row>
    <row r="867">
      <c r="A867" s="4"/>
      <c r="B867" s="4"/>
      <c r="C867" s="4"/>
      <c r="D867" s="4"/>
      <c r="E867" s="4"/>
      <c r="F867" s="4"/>
      <c r="G867" s="4"/>
    </row>
    <row r="868">
      <c r="A868" s="4"/>
      <c r="B868" s="4"/>
      <c r="C868" s="4"/>
      <c r="D868" s="4"/>
      <c r="E868" s="4"/>
      <c r="F868" s="4"/>
      <c r="G868" s="4"/>
    </row>
    <row r="869">
      <c r="A869" s="4"/>
      <c r="B869" s="4"/>
      <c r="C869" s="4"/>
      <c r="D869" s="4"/>
      <c r="E869" s="4"/>
      <c r="F869" s="4"/>
      <c r="G869" s="4"/>
    </row>
    <row r="870">
      <c r="A870" s="4"/>
      <c r="B870" s="4"/>
      <c r="C870" s="4"/>
      <c r="D870" s="4"/>
      <c r="E870" s="4"/>
      <c r="F870" s="4"/>
      <c r="G870" s="4"/>
    </row>
    <row r="871">
      <c r="A871" s="4"/>
      <c r="B871" s="4"/>
      <c r="C871" s="4"/>
      <c r="D871" s="4"/>
      <c r="E871" s="4"/>
      <c r="F871" s="4"/>
      <c r="G871" s="4"/>
    </row>
    <row r="872">
      <c r="A872" s="4"/>
      <c r="B872" s="4"/>
      <c r="C872" s="4"/>
      <c r="D872" s="4"/>
      <c r="E872" s="4"/>
      <c r="F872" s="4"/>
      <c r="G872" s="4"/>
    </row>
    <row r="873">
      <c r="A873" s="4"/>
      <c r="B873" s="4"/>
      <c r="C873" s="4"/>
      <c r="D873" s="4"/>
      <c r="E873" s="4"/>
      <c r="F873" s="4"/>
      <c r="G873" s="4"/>
    </row>
    <row r="874">
      <c r="A874" s="4"/>
      <c r="B874" s="4"/>
      <c r="C874" s="4"/>
      <c r="D874" s="4"/>
      <c r="E874" s="4"/>
      <c r="F874" s="4"/>
      <c r="G874" s="4"/>
    </row>
    <row r="875">
      <c r="A875" s="4"/>
      <c r="B875" s="4"/>
      <c r="C875" s="4"/>
      <c r="D875" s="4"/>
      <c r="E875" s="4"/>
      <c r="F875" s="4"/>
      <c r="G875" s="4"/>
    </row>
    <row r="876">
      <c r="A876" s="4"/>
      <c r="B876" s="4"/>
      <c r="C876" s="4"/>
      <c r="D876" s="4"/>
      <c r="E876" s="4"/>
      <c r="F876" s="4"/>
      <c r="G876" s="4"/>
    </row>
    <row r="877">
      <c r="A877" s="4"/>
      <c r="B877" s="4"/>
      <c r="C877" s="4"/>
      <c r="D877" s="4"/>
      <c r="E877" s="4"/>
      <c r="F877" s="4"/>
      <c r="G877" s="4"/>
    </row>
    <row r="878">
      <c r="A878" s="4"/>
      <c r="B878" s="4"/>
      <c r="C878" s="4"/>
      <c r="D878" s="4"/>
      <c r="E878" s="4"/>
      <c r="F878" s="4"/>
      <c r="G878" s="4"/>
    </row>
    <row r="879">
      <c r="A879" s="4"/>
      <c r="B879" s="4"/>
      <c r="C879" s="4"/>
      <c r="D879" s="4"/>
      <c r="E879" s="4"/>
      <c r="F879" s="4"/>
      <c r="G879" s="4"/>
    </row>
    <row r="880">
      <c r="A880" s="4"/>
      <c r="B880" s="4"/>
      <c r="C880" s="4"/>
      <c r="D880" s="4"/>
      <c r="E880" s="4"/>
      <c r="F880" s="4"/>
      <c r="G880" s="4"/>
    </row>
    <row r="881">
      <c r="A881" s="4"/>
      <c r="B881" s="4"/>
      <c r="C881" s="4"/>
      <c r="D881" s="4"/>
      <c r="E881" s="4"/>
      <c r="F881" s="4"/>
      <c r="G881" s="4"/>
    </row>
    <row r="882">
      <c r="A882" s="4"/>
      <c r="B882" s="4"/>
      <c r="C882" s="4"/>
      <c r="D882" s="4"/>
      <c r="E882" s="4"/>
      <c r="F882" s="4"/>
      <c r="G882" s="4"/>
    </row>
    <row r="883">
      <c r="A883" s="4"/>
      <c r="B883" s="4"/>
      <c r="C883" s="4"/>
      <c r="D883" s="4"/>
      <c r="E883" s="4"/>
      <c r="F883" s="4"/>
      <c r="G883" s="4"/>
    </row>
    <row r="884">
      <c r="A884" s="4"/>
      <c r="B884" s="4"/>
      <c r="C884" s="4"/>
      <c r="D884" s="4"/>
      <c r="E884" s="4"/>
      <c r="F884" s="4"/>
      <c r="G884" s="4"/>
    </row>
    <row r="885">
      <c r="A885" s="4"/>
      <c r="B885" s="4"/>
      <c r="C885" s="4"/>
      <c r="D885" s="4"/>
      <c r="E885" s="4"/>
      <c r="F885" s="4"/>
      <c r="G885" s="4"/>
    </row>
    <row r="886">
      <c r="A886" s="4"/>
      <c r="B886" s="4"/>
      <c r="C886" s="4"/>
      <c r="D886" s="4"/>
      <c r="E886" s="4"/>
      <c r="F886" s="4"/>
      <c r="G886" s="4"/>
    </row>
    <row r="887">
      <c r="A887" s="4"/>
      <c r="B887" s="4"/>
      <c r="C887" s="4"/>
      <c r="D887" s="4"/>
      <c r="E887" s="4"/>
      <c r="F887" s="4"/>
      <c r="G887" s="4"/>
    </row>
    <row r="888">
      <c r="A888" s="4"/>
      <c r="B888" s="4"/>
      <c r="C888" s="4"/>
      <c r="D888" s="4"/>
      <c r="E888" s="4"/>
      <c r="F888" s="4"/>
      <c r="G888" s="4"/>
    </row>
    <row r="889">
      <c r="A889" s="4"/>
      <c r="B889" s="4"/>
      <c r="C889" s="4"/>
      <c r="D889" s="4"/>
      <c r="E889" s="4"/>
      <c r="F889" s="4"/>
      <c r="G889" s="4"/>
    </row>
    <row r="890">
      <c r="A890" s="4"/>
      <c r="B890" s="4"/>
      <c r="C890" s="4"/>
      <c r="D890" s="4"/>
      <c r="E890" s="4"/>
      <c r="F890" s="4"/>
      <c r="G890" s="4"/>
    </row>
    <row r="891">
      <c r="A891" s="4"/>
      <c r="B891" s="4"/>
      <c r="C891" s="4"/>
      <c r="D891" s="4"/>
      <c r="E891" s="4"/>
      <c r="F891" s="4"/>
      <c r="G891" s="4"/>
    </row>
    <row r="892">
      <c r="A892" s="4"/>
      <c r="B892" s="4"/>
      <c r="C892" s="4"/>
      <c r="D892" s="4"/>
      <c r="E892" s="4"/>
      <c r="F892" s="4"/>
      <c r="G892" s="4"/>
    </row>
    <row r="893">
      <c r="A893" s="4"/>
      <c r="B893" s="4"/>
      <c r="C893" s="4"/>
      <c r="D893" s="4"/>
      <c r="E893" s="4"/>
      <c r="F893" s="4"/>
      <c r="G893" s="4"/>
    </row>
    <row r="894">
      <c r="A894" s="4"/>
      <c r="B894" s="4"/>
      <c r="C894" s="4"/>
      <c r="D894" s="4"/>
      <c r="E894" s="4"/>
      <c r="F894" s="4"/>
      <c r="G894" s="4"/>
    </row>
    <row r="895">
      <c r="A895" s="4"/>
      <c r="B895" s="4"/>
      <c r="C895" s="4"/>
      <c r="D895" s="4"/>
      <c r="E895" s="4"/>
      <c r="F895" s="4"/>
      <c r="G895" s="4"/>
    </row>
    <row r="896">
      <c r="A896" s="4"/>
      <c r="B896" s="4"/>
      <c r="C896" s="4"/>
      <c r="D896" s="4"/>
      <c r="E896" s="4"/>
      <c r="F896" s="4"/>
      <c r="G896" s="4"/>
    </row>
    <row r="897">
      <c r="A897" s="4"/>
      <c r="B897" s="4"/>
      <c r="C897" s="4"/>
      <c r="D897" s="4"/>
      <c r="E897" s="4"/>
      <c r="F897" s="4"/>
      <c r="G897" s="4"/>
    </row>
    <row r="898">
      <c r="A898" s="4"/>
      <c r="B898" s="4"/>
      <c r="C898" s="4"/>
      <c r="D898" s="4"/>
      <c r="E898" s="4"/>
      <c r="F898" s="4"/>
      <c r="G898" s="4"/>
    </row>
    <row r="899">
      <c r="A899" s="4"/>
      <c r="B899" s="4"/>
      <c r="C899" s="4"/>
      <c r="D899" s="4"/>
      <c r="E899" s="4"/>
      <c r="F899" s="4"/>
      <c r="G899" s="4"/>
    </row>
    <row r="900">
      <c r="A900" s="4"/>
      <c r="B900" s="4"/>
      <c r="C900" s="4"/>
      <c r="D900" s="4"/>
      <c r="E900" s="4"/>
      <c r="F900" s="4"/>
      <c r="G900" s="4"/>
    </row>
    <row r="901">
      <c r="A901" s="4"/>
      <c r="B901" s="4"/>
      <c r="C901" s="4"/>
      <c r="D901" s="4"/>
      <c r="E901" s="4"/>
      <c r="F901" s="4"/>
      <c r="G901" s="4"/>
    </row>
    <row r="902">
      <c r="A902" s="4"/>
      <c r="B902" s="4"/>
      <c r="C902" s="4"/>
      <c r="D902" s="4"/>
      <c r="E902" s="4"/>
      <c r="F902" s="4"/>
      <c r="G902" s="4"/>
    </row>
    <row r="903">
      <c r="A903" s="4"/>
      <c r="B903" s="4"/>
      <c r="C903" s="4"/>
      <c r="D903" s="4"/>
      <c r="E903" s="4"/>
      <c r="F903" s="4"/>
      <c r="G903" s="4"/>
    </row>
    <row r="904">
      <c r="A904" s="4"/>
      <c r="B904" s="4"/>
      <c r="C904" s="4"/>
      <c r="D904" s="4"/>
      <c r="E904" s="4"/>
      <c r="F904" s="4"/>
      <c r="G904" s="4"/>
    </row>
    <row r="905">
      <c r="A905" s="4"/>
      <c r="B905" s="4"/>
      <c r="C905" s="4"/>
      <c r="D905" s="4"/>
      <c r="E905" s="4"/>
      <c r="F905" s="4"/>
      <c r="G905" s="4"/>
    </row>
    <row r="906">
      <c r="A906" s="4"/>
      <c r="B906" s="4"/>
      <c r="C906" s="4"/>
      <c r="D906" s="4"/>
      <c r="E906" s="4"/>
      <c r="F906" s="4"/>
      <c r="G906" s="4"/>
    </row>
    <row r="907">
      <c r="A907" s="4"/>
      <c r="B907" s="4"/>
      <c r="C907" s="4"/>
      <c r="D907" s="4"/>
      <c r="E907" s="4"/>
      <c r="F907" s="4"/>
      <c r="G907" s="4"/>
    </row>
    <row r="908">
      <c r="A908" s="4"/>
      <c r="B908" s="4"/>
      <c r="C908" s="4"/>
      <c r="D908" s="4"/>
      <c r="E908" s="4"/>
      <c r="F908" s="4"/>
      <c r="G908" s="4"/>
    </row>
    <row r="909">
      <c r="A909" s="4"/>
      <c r="B909" s="4"/>
      <c r="C909" s="4"/>
      <c r="D909" s="4"/>
      <c r="E909" s="4"/>
      <c r="F909" s="4"/>
      <c r="G909" s="4"/>
    </row>
    <row r="910">
      <c r="A910" s="4"/>
      <c r="B910" s="4"/>
      <c r="C910" s="4"/>
      <c r="D910" s="4"/>
      <c r="E910" s="4"/>
      <c r="F910" s="4"/>
      <c r="G910" s="4"/>
    </row>
    <row r="911">
      <c r="A911" s="4"/>
      <c r="B911" s="4"/>
      <c r="C911" s="4"/>
      <c r="D911" s="4"/>
      <c r="E911" s="4"/>
      <c r="F911" s="4"/>
      <c r="G911" s="4"/>
    </row>
    <row r="912">
      <c r="A912" s="4"/>
      <c r="B912" s="4"/>
      <c r="C912" s="4"/>
      <c r="D912" s="4"/>
      <c r="E912" s="4"/>
      <c r="F912" s="4"/>
      <c r="G912" s="4"/>
    </row>
    <row r="913">
      <c r="A913" s="4"/>
      <c r="B913" s="4"/>
      <c r="C913" s="4"/>
      <c r="D913" s="4"/>
      <c r="E913" s="4"/>
      <c r="F913" s="4"/>
      <c r="G913" s="4"/>
    </row>
    <row r="914">
      <c r="A914" s="4"/>
      <c r="B914" s="4"/>
      <c r="C914" s="4"/>
      <c r="D914" s="4"/>
      <c r="E914" s="4"/>
      <c r="F914" s="4"/>
      <c r="G914" s="4"/>
    </row>
    <row r="915">
      <c r="A915" s="4"/>
      <c r="B915" s="4"/>
      <c r="C915" s="4"/>
      <c r="D915" s="4"/>
      <c r="E915" s="4"/>
      <c r="F915" s="4"/>
      <c r="G915" s="4"/>
    </row>
    <row r="916">
      <c r="A916" s="4"/>
      <c r="B916" s="4"/>
      <c r="C916" s="4"/>
      <c r="D916" s="4"/>
      <c r="E916" s="4"/>
      <c r="F916" s="4"/>
      <c r="G916" s="4"/>
    </row>
    <row r="917">
      <c r="A917" s="4"/>
      <c r="B917" s="4"/>
      <c r="C917" s="4"/>
      <c r="D917" s="4"/>
      <c r="E917" s="4"/>
      <c r="F917" s="4"/>
      <c r="G917" s="4"/>
    </row>
    <row r="918">
      <c r="A918" s="4"/>
      <c r="B918" s="4"/>
      <c r="C918" s="4"/>
      <c r="D918" s="4"/>
      <c r="E918" s="4"/>
      <c r="F918" s="4"/>
      <c r="G918" s="4"/>
    </row>
    <row r="919">
      <c r="A919" s="4"/>
      <c r="B919" s="4"/>
      <c r="C919" s="4"/>
      <c r="D919" s="4"/>
      <c r="E919" s="4"/>
      <c r="F919" s="4"/>
      <c r="G919" s="4"/>
    </row>
    <row r="920">
      <c r="A920" s="4"/>
      <c r="B920" s="4"/>
      <c r="C920" s="4"/>
      <c r="D920" s="4"/>
      <c r="E920" s="4"/>
      <c r="F920" s="4"/>
      <c r="G920" s="4"/>
    </row>
    <row r="921">
      <c r="A921" s="4"/>
      <c r="B921" s="4"/>
      <c r="C921" s="4"/>
      <c r="D921" s="4"/>
      <c r="E921" s="4"/>
      <c r="F921" s="4"/>
      <c r="G921" s="4"/>
    </row>
    <row r="922">
      <c r="A922" s="4"/>
      <c r="B922" s="4"/>
      <c r="C922" s="4"/>
      <c r="D922" s="4"/>
      <c r="E922" s="4"/>
      <c r="F922" s="4"/>
      <c r="G922" s="4"/>
    </row>
    <row r="923">
      <c r="A923" s="4"/>
      <c r="B923" s="4"/>
      <c r="C923" s="4"/>
      <c r="D923" s="4"/>
      <c r="E923" s="4"/>
      <c r="F923" s="4"/>
      <c r="G923" s="4"/>
    </row>
    <row r="924">
      <c r="A924" s="4"/>
      <c r="B924" s="4"/>
      <c r="C924" s="4"/>
      <c r="D924" s="4"/>
      <c r="E924" s="4"/>
      <c r="F924" s="4"/>
      <c r="G924" s="4"/>
    </row>
    <row r="925">
      <c r="A925" s="4"/>
      <c r="B925" s="4"/>
      <c r="C925" s="4"/>
      <c r="D925" s="4"/>
      <c r="E925" s="4"/>
      <c r="F925" s="4"/>
      <c r="G925" s="4"/>
    </row>
    <row r="926">
      <c r="A926" s="4"/>
      <c r="B926" s="4"/>
      <c r="C926" s="4"/>
      <c r="D926" s="4"/>
      <c r="E926" s="4"/>
      <c r="F926" s="4"/>
      <c r="G926" s="4"/>
    </row>
    <row r="927">
      <c r="A927" s="4"/>
      <c r="B927" s="4"/>
      <c r="C927" s="4"/>
      <c r="D927" s="4"/>
      <c r="E927" s="4"/>
      <c r="F927" s="4"/>
      <c r="G927" s="4"/>
    </row>
    <row r="928">
      <c r="A928" s="4"/>
      <c r="B928" s="4"/>
      <c r="C928" s="4"/>
      <c r="D928" s="4"/>
      <c r="E928" s="4"/>
      <c r="F928" s="4"/>
      <c r="G928" s="4"/>
    </row>
    <row r="929">
      <c r="A929" s="4"/>
      <c r="B929" s="4"/>
      <c r="C929" s="4"/>
      <c r="D929" s="4"/>
      <c r="E929" s="4"/>
      <c r="F929" s="4"/>
      <c r="G929" s="4"/>
    </row>
    <row r="930">
      <c r="A930" s="4"/>
      <c r="B930" s="4"/>
      <c r="C930" s="4"/>
      <c r="D930" s="4"/>
      <c r="E930" s="4"/>
      <c r="F930" s="4"/>
      <c r="G930" s="4"/>
    </row>
    <row r="931">
      <c r="A931" s="4"/>
      <c r="B931" s="4"/>
      <c r="C931" s="4"/>
      <c r="D931" s="4"/>
      <c r="E931" s="4"/>
      <c r="F931" s="4"/>
      <c r="G931" s="4"/>
    </row>
    <row r="932">
      <c r="A932" s="4"/>
      <c r="B932" s="4"/>
      <c r="C932" s="4"/>
      <c r="D932" s="4"/>
      <c r="E932" s="4"/>
      <c r="F932" s="4"/>
      <c r="G932" s="4"/>
    </row>
    <row r="933">
      <c r="A933" s="4"/>
      <c r="B933" s="4"/>
      <c r="C933" s="4"/>
      <c r="D933" s="4"/>
      <c r="E933" s="4"/>
      <c r="F933" s="4"/>
      <c r="G933" s="4"/>
    </row>
    <row r="934">
      <c r="A934" s="4"/>
      <c r="B934" s="4"/>
      <c r="C934" s="4"/>
      <c r="D934" s="4"/>
      <c r="E934" s="4"/>
      <c r="F934" s="4"/>
      <c r="G934" s="4"/>
    </row>
    <row r="935">
      <c r="A935" s="4"/>
      <c r="B935" s="4"/>
      <c r="C935" s="4"/>
      <c r="D935" s="4"/>
      <c r="E935" s="4"/>
      <c r="F935" s="4"/>
      <c r="G935" s="4"/>
    </row>
    <row r="936">
      <c r="A936" s="4"/>
      <c r="B936" s="4"/>
      <c r="C936" s="4"/>
      <c r="D936" s="4"/>
      <c r="E936" s="4"/>
      <c r="F936" s="4"/>
      <c r="G936" s="4"/>
    </row>
    <row r="937">
      <c r="A937" s="4"/>
      <c r="B937" s="4"/>
      <c r="C937" s="4"/>
      <c r="D937" s="4"/>
      <c r="E937" s="4"/>
      <c r="F937" s="4"/>
      <c r="G937" s="4"/>
    </row>
    <row r="938">
      <c r="A938" s="4"/>
      <c r="B938" s="4"/>
      <c r="C938" s="4"/>
      <c r="D938" s="4"/>
      <c r="E938" s="4"/>
      <c r="F938" s="4"/>
      <c r="G938" s="4"/>
    </row>
    <row r="939">
      <c r="A939" s="4"/>
      <c r="B939" s="4"/>
      <c r="C939" s="4"/>
      <c r="D939" s="4"/>
      <c r="E939" s="4"/>
      <c r="F939" s="4"/>
      <c r="G939" s="4"/>
    </row>
    <row r="940">
      <c r="A940" s="4"/>
      <c r="B940" s="4"/>
      <c r="C940" s="4"/>
      <c r="D940" s="4"/>
      <c r="E940" s="4"/>
      <c r="F940" s="4"/>
      <c r="G940" s="4"/>
    </row>
    <row r="941">
      <c r="A941" s="4"/>
      <c r="B941" s="4"/>
      <c r="C941" s="4"/>
      <c r="D941" s="4"/>
      <c r="E941" s="4"/>
      <c r="F941" s="4"/>
      <c r="G941" s="4"/>
    </row>
    <row r="942">
      <c r="A942" s="4"/>
      <c r="B942" s="4"/>
      <c r="C942" s="4"/>
      <c r="D942" s="4"/>
      <c r="E942" s="4"/>
      <c r="F942" s="4"/>
      <c r="G942" s="4"/>
    </row>
    <row r="943">
      <c r="A943" s="4"/>
      <c r="B943" s="4"/>
      <c r="C943" s="4"/>
      <c r="D943" s="4"/>
      <c r="E943" s="4"/>
      <c r="F943" s="4"/>
      <c r="G943" s="4"/>
    </row>
    <row r="944">
      <c r="A944" s="4"/>
      <c r="B944" s="4"/>
      <c r="C944" s="4"/>
      <c r="D944" s="4"/>
      <c r="E944" s="4"/>
      <c r="F944" s="4"/>
      <c r="G944" s="4"/>
    </row>
    <row r="945">
      <c r="A945" s="4"/>
      <c r="B945" s="4"/>
      <c r="C945" s="4"/>
      <c r="D945" s="4"/>
      <c r="E945" s="4"/>
      <c r="F945" s="4"/>
      <c r="G945" s="4"/>
    </row>
    <row r="946">
      <c r="A946" s="4"/>
      <c r="B946" s="4"/>
      <c r="C946" s="4"/>
      <c r="D946" s="4"/>
      <c r="E946" s="4"/>
      <c r="F946" s="4"/>
      <c r="G946" s="4"/>
    </row>
    <row r="947">
      <c r="A947" s="4"/>
      <c r="B947" s="4"/>
      <c r="C947" s="4"/>
      <c r="D947" s="4"/>
      <c r="E947" s="4"/>
      <c r="F947" s="4"/>
      <c r="G947" s="4"/>
    </row>
    <row r="948">
      <c r="A948" s="4"/>
      <c r="B948" s="4"/>
      <c r="C948" s="4"/>
      <c r="D948" s="4"/>
      <c r="E948" s="4"/>
      <c r="F948" s="4"/>
      <c r="G948" s="4"/>
    </row>
    <row r="949">
      <c r="A949" s="4"/>
      <c r="B949" s="4"/>
      <c r="C949" s="4"/>
      <c r="D949" s="4"/>
      <c r="E949" s="4"/>
      <c r="F949" s="4"/>
      <c r="G949" s="4"/>
    </row>
    <row r="950">
      <c r="A950" s="4"/>
      <c r="B950" s="4"/>
      <c r="C950" s="4"/>
      <c r="D950" s="4"/>
      <c r="E950" s="4"/>
      <c r="F950" s="4"/>
      <c r="G950" s="4"/>
    </row>
    <row r="951">
      <c r="A951" s="4"/>
      <c r="B951" s="4"/>
      <c r="C951" s="4"/>
      <c r="D951" s="4"/>
      <c r="E951" s="4"/>
      <c r="F951" s="4"/>
      <c r="G951" s="4"/>
    </row>
    <row r="952">
      <c r="A952" s="4"/>
      <c r="B952" s="4"/>
      <c r="C952" s="4"/>
      <c r="D952" s="4"/>
      <c r="E952" s="4"/>
      <c r="F952" s="4"/>
      <c r="G952" s="4"/>
    </row>
    <row r="953">
      <c r="A953" s="4"/>
      <c r="B953" s="4"/>
      <c r="C953" s="4"/>
      <c r="D953" s="4"/>
      <c r="E953" s="4"/>
      <c r="F953" s="4"/>
      <c r="G953" s="4"/>
    </row>
    <row r="954">
      <c r="A954" s="4"/>
      <c r="B954" s="4"/>
      <c r="C954" s="4"/>
      <c r="D954" s="4"/>
      <c r="E954" s="4"/>
      <c r="F954" s="4"/>
      <c r="G954" s="4"/>
    </row>
    <row r="955">
      <c r="A955" s="4"/>
      <c r="B955" s="4"/>
      <c r="C955" s="4"/>
      <c r="D955" s="4"/>
      <c r="E955" s="4"/>
      <c r="F955" s="4"/>
      <c r="G955" s="4"/>
    </row>
    <row r="956">
      <c r="A956" s="4"/>
      <c r="B956" s="4"/>
      <c r="C956" s="4"/>
      <c r="D956" s="4"/>
      <c r="E956" s="4"/>
      <c r="F956" s="4"/>
      <c r="G956" s="4"/>
    </row>
    <row r="957">
      <c r="A957" s="4"/>
      <c r="B957" s="4"/>
      <c r="C957" s="4"/>
      <c r="D957" s="4"/>
      <c r="E957" s="4"/>
      <c r="F957" s="4"/>
      <c r="G957" s="4"/>
    </row>
    <row r="958">
      <c r="A958" s="4"/>
      <c r="B958" s="4"/>
      <c r="C958" s="4"/>
      <c r="D958" s="4"/>
      <c r="E958" s="4"/>
      <c r="F958" s="4"/>
      <c r="G958" s="4"/>
    </row>
    <row r="959">
      <c r="A959" s="4"/>
      <c r="B959" s="4"/>
      <c r="C959" s="4"/>
      <c r="D959" s="4"/>
      <c r="E959" s="4"/>
      <c r="F959" s="4"/>
      <c r="G959" s="4"/>
    </row>
    <row r="960">
      <c r="A960" s="4"/>
      <c r="B960" s="4"/>
      <c r="C960" s="4"/>
      <c r="D960" s="4"/>
      <c r="E960" s="4"/>
      <c r="F960" s="4"/>
      <c r="G960" s="4"/>
    </row>
    <row r="961">
      <c r="A961" s="4"/>
      <c r="B961" s="4"/>
      <c r="C961" s="4"/>
      <c r="D961" s="4"/>
      <c r="E961" s="4"/>
      <c r="F961" s="4"/>
      <c r="G961" s="4"/>
    </row>
    <row r="962">
      <c r="A962" s="4"/>
      <c r="B962" s="4"/>
      <c r="C962" s="4"/>
      <c r="D962" s="4"/>
      <c r="E962" s="4"/>
      <c r="F962" s="4"/>
      <c r="G962" s="4"/>
    </row>
    <row r="963">
      <c r="A963" s="4"/>
      <c r="B963" s="4"/>
      <c r="C963" s="4"/>
      <c r="D963" s="4"/>
      <c r="E963" s="4"/>
      <c r="F963" s="4"/>
      <c r="G963" s="4"/>
    </row>
    <row r="964">
      <c r="A964" s="4"/>
      <c r="B964" s="4"/>
      <c r="C964" s="4"/>
      <c r="D964" s="4"/>
      <c r="E964" s="4"/>
      <c r="F964" s="4"/>
      <c r="G964" s="4"/>
    </row>
    <row r="965">
      <c r="A965" s="4"/>
      <c r="B965" s="4"/>
      <c r="C965" s="4"/>
      <c r="D965" s="4"/>
      <c r="E965" s="4"/>
      <c r="F965" s="4"/>
      <c r="G965" s="4"/>
    </row>
    <row r="966">
      <c r="A966" s="4"/>
      <c r="B966" s="4"/>
      <c r="C966" s="4"/>
      <c r="D966" s="4"/>
      <c r="E966" s="4"/>
      <c r="F966" s="4"/>
      <c r="G966" s="4"/>
    </row>
    <row r="967">
      <c r="A967" s="4"/>
      <c r="B967" s="4"/>
      <c r="C967" s="4"/>
      <c r="D967" s="4"/>
      <c r="E967" s="4"/>
      <c r="F967" s="4"/>
      <c r="G967" s="4"/>
    </row>
    <row r="968">
      <c r="A968" s="4"/>
      <c r="B968" s="4"/>
      <c r="C968" s="4"/>
      <c r="D968" s="4"/>
      <c r="E968" s="4"/>
      <c r="F968" s="4"/>
      <c r="G968" s="4"/>
    </row>
    <row r="969">
      <c r="A969" s="4"/>
      <c r="B969" s="4"/>
      <c r="C969" s="4"/>
      <c r="D969" s="4"/>
      <c r="E969" s="4"/>
      <c r="F969" s="4"/>
      <c r="G969" s="4"/>
    </row>
    <row r="970">
      <c r="A970" s="4"/>
      <c r="B970" s="4"/>
      <c r="C970" s="4"/>
      <c r="D970" s="4"/>
      <c r="E970" s="4"/>
      <c r="F970" s="4"/>
      <c r="G970" s="4"/>
    </row>
    <row r="971">
      <c r="A971" s="4"/>
      <c r="B971" s="4"/>
      <c r="C971" s="4"/>
      <c r="D971" s="4"/>
      <c r="E971" s="4"/>
      <c r="F971" s="4"/>
      <c r="G971" s="4"/>
    </row>
    <row r="972">
      <c r="A972" s="4"/>
      <c r="B972" s="4"/>
      <c r="C972" s="4"/>
      <c r="D972" s="4"/>
      <c r="E972" s="4"/>
      <c r="F972" s="4"/>
      <c r="G972" s="4"/>
    </row>
    <row r="973">
      <c r="A973" s="4"/>
      <c r="B973" s="4"/>
      <c r="C973" s="4"/>
      <c r="D973" s="4"/>
      <c r="E973" s="4"/>
      <c r="F973" s="4"/>
      <c r="G973" s="4"/>
    </row>
    <row r="974">
      <c r="A974" s="4"/>
      <c r="B974" s="4"/>
      <c r="C974" s="4"/>
      <c r="D974" s="4"/>
      <c r="E974" s="4"/>
      <c r="F974" s="4"/>
      <c r="G974" s="4"/>
    </row>
    <row r="975">
      <c r="A975" s="4"/>
      <c r="B975" s="4"/>
      <c r="C975" s="4"/>
      <c r="D975" s="4"/>
      <c r="E975" s="4"/>
      <c r="F975" s="4"/>
      <c r="G975" s="4"/>
    </row>
    <row r="976">
      <c r="A976" s="4"/>
      <c r="B976" s="4"/>
      <c r="C976" s="4"/>
      <c r="D976" s="4"/>
      <c r="E976" s="4"/>
      <c r="F976" s="4"/>
      <c r="G976" s="4"/>
    </row>
    <row r="977">
      <c r="A977" s="4"/>
      <c r="B977" s="4"/>
      <c r="C977" s="4"/>
      <c r="D977" s="4"/>
      <c r="E977" s="4"/>
      <c r="F977" s="4"/>
      <c r="G977" s="4"/>
    </row>
    <row r="978">
      <c r="A978" s="4"/>
      <c r="B978" s="4"/>
      <c r="C978" s="4"/>
      <c r="D978" s="4"/>
      <c r="E978" s="4"/>
      <c r="F978" s="4"/>
      <c r="G978" s="4"/>
    </row>
    <row r="979">
      <c r="A979" s="4"/>
      <c r="B979" s="4"/>
      <c r="C979" s="4"/>
      <c r="D979" s="4"/>
      <c r="E979" s="4"/>
      <c r="F979" s="4"/>
      <c r="G979" s="4"/>
    </row>
    <row r="980">
      <c r="A980" s="4"/>
      <c r="B980" s="4"/>
      <c r="C980" s="4"/>
      <c r="D980" s="4"/>
      <c r="E980" s="4"/>
      <c r="F980" s="4"/>
      <c r="G980" s="4"/>
    </row>
    <row r="981">
      <c r="A981" s="4"/>
      <c r="B981" s="4"/>
      <c r="C981" s="4"/>
      <c r="D981" s="4"/>
      <c r="E981" s="4"/>
      <c r="F981" s="4"/>
      <c r="G981" s="4"/>
    </row>
    <row r="982">
      <c r="A982" s="4"/>
      <c r="B982" s="4"/>
      <c r="C982" s="4"/>
      <c r="D982" s="4"/>
      <c r="E982" s="4"/>
      <c r="F982" s="4"/>
      <c r="G982" s="4"/>
    </row>
    <row r="983">
      <c r="A983" s="4"/>
      <c r="B983" s="4"/>
      <c r="C983" s="4"/>
      <c r="D983" s="4"/>
      <c r="E983" s="4"/>
      <c r="F983" s="4"/>
      <c r="G983" s="4"/>
    </row>
    <row r="984">
      <c r="A984" s="4"/>
      <c r="B984" s="4"/>
      <c r="C984" s="4"/>
      <c r="D984" s="4"/>
      <c r="E984" s="4"/>
      <c r="F984" s="4"/>
      <c r="G984" s="4"/>
    </row>
    <row r="985">
      <c r="A985" s="4"/>
      <c r="B985" s="4"/>
      <c r="C985" s="4"/>
      <c r="D985" s="4"/>
      <c r="E985" s="4"/>
      <c r="F985" s="4"/>
      <c r="G985" s="4"/>
    </row>
    <row r="986">
      <c r="A986" s="4"/>
      <c r="B986" s="4"/>
      <c r="C986" s="4"/>
      <c r="D986" s="4"/>
      <c r="E986" s="4"/>
      <c r="F986" s="4"/>
      <c r="G986" s="4"/>
    </row>
    <row r="987">
      <c r="A987" s="4"/>
      <c r="B987" s="4"/>
      <c r="C987" s="4"/>
      <c r="D987" s="4"/>
      <c r="E987" s="4"/>
      <c r="F987" s="4"/>
      <c r="G987" s="4"/>
    </row>
    <row r="988">
      <c r="A988" s="4"/>
      <c r="B988" s="4"/>
      <c r="C988" s="4"/>
      <c r="D988" s="4"/>
      <c r="E988" s="4"/>
      <c r="F988" s="4"/>
      <c r="G988" s="4"/>
    </row>
    <row r="989">
      <c r="A989" s="4"/>
      <c r="B989" s="4"/>
      <c r="C989" s="4"/>
      <c r="D989" s="4"/>
      <c r="E989" s="4"/>
      <c r="F989" s="4"/>
      <c r="G989" s="4"/>
    </row>
    <row r="990">
      <c r="A990" s="4"/>
      <c r="B990" s="4"/>
      <c r="C990" s="4"/>
      <c r="D990" s="4"/>
      <c r="E990" s="4"/>
      <c r="F990" s="4"/>
      <c r="G990" s="4"/>
    </row>
    <row r="991">
      <c r="A991" s="4"/>
      <c r="B991" s="4"/>
      <c r="C991" s="4"/>
      <c r="D991" s="4"/>
      <c r="E991" s="4"/>
      <c r="F991" s="4"/>
      <c r="G991" s="4"/>
    </row>
    <row r="992">
      <c r="A992" s="4"/>
      <c r="B992" s="4"/>
      <c r="C992" s="4"/>
      <c r="D992" s="4"/>
      <c r="E992" s="4"/>
      <c r="F992" s="4"/>
      <c r="G992" s="4"/>
    </row>
    <row r="993">
      <c r="A993" s="4"/>
      <c r="B993" s="4"/>
      <c r="C993" s="4"/>
      <c r="D993" s="4"/>
      <c r="E993" s="4"/>
      <c r="F993" s="4"/>
      <c r="G993" s="4"/>
    </row>
    <row r="994">
      <c r="A994" s="4"/>
      <c r="B994" s="4"/>
      <c r="C994" s="4"/>
      <c r="D994" s="4"/>
      <c r="E994" s="4"/>
      <c r="F994" s="4"/>
      <c r="G994" s="4"/>
    </row>
    <row r="995">
      <c r="A995" s="4"/>
      <c r="B995" s="4"/>
      <c r="C995" s="4"/>
      <c r="D995" s="4"/>
      <c r="E995" s="4"/>
      <c r="F995" s="4"/>
      <c r="G995" s="4"/>
    </row>
    <row r="996">
      <c r="A996" s="4"/>
      <c r="B996" s="4"/>
      <c r="C996" s="4"/>
      <c r="D996" s="4"/>
      <c r="E996" s="4"/>
      <c r="F996" s="4"/>
      <c r="G996" s="4"/>
    </row>
    <row r="997">
      <c r="A997" s="4"/>
      <c r="B997" s="4"/>
      <c r="C997" s="4"/>
      <c r="D997" s="4"/>
      <c r="E997" s="4"/>
      <c r="F997" s="4"/>
      <c r="G997" s="4"/>
    </row>
    <row r="998">
      <c r="A998" s="4"/>
      <c r="B998" s="4"/>
      <c r="C998" s="4"/>
      <c r="D998" s="4"/>
      <c r="E998" s="4"/>
      <c r="F998" s="4"/>
      <c r="G998" s="4"/>
    </row>
    <row r="999">
      <c r="A999" s="4"/>
      <c r="B999" s="4"/>
      <c r="C999" s="4"/>
      <c r="D999" s="4"/>
      <c r="E999" s="4"/>
      <c r="F999" s="4"/>
      <c r="G999" s="4"/>
    </row>
    <row r="1000">
      <c r="A1000" s="4"/>
      <c r="B1000" s="4"/>
      <c r="C1000" s="4"/>
      <c r="D1000" s="4"/>
      <c r="E1000" s="4"/>
      <c r="F1000" s="4"/>
      <c r="G1000" s="4"/>
    </row>
  </sheetData>
  <autoFilter ref="$A$2:$G$2"/>
  <mergeCells count="1">
    <mergeCell ref="A1:G1"/>
  </mergeCells>
  <printOptions/>
  <pageMargins bottom="1.0" footer="0.0" header="0.0" left="0.75" right="0.75" top="1.0"/>
  <pageSetup paperSize="9"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37.25"/>
  </cols>
  <sheetData>
    <row r="1">
      <c r="A1" s="65" t="s">
        <v>4869</v>
      </c>
    </row>
    <row r="2">
      <c r="A2" s="50" t="s">
        <v>3417</v>
      </c>
      <c r="B2" s="50" t="s">
        <v>3418</v>
      </c>
      <c r="C2" s="50" t="s">
        <v>3419</v>
      </c>
      <c r="D2" s="50" t="s">
        <v>4015</v>
      </c>
      <c r="E2" s="50" t="s">
        <v>4870</v>
      </c>
      <c r="F2" s="50" t="s">
        <v>4871</v>
      </c>
    </row>
    <row r="3">
      <c r="A3" s="67">
        <v>1.0</v>
      </c>
      <c r="B3" s="60" t="s">
        <v>4872</v>
      </c>
      <c r="C3" s="61"/>
      <c r="D3" s="61"/>
      <c r="E3" s="61"/>
      <c r="F3" s="60" t="s">
        <v>4873</v>
      </c>
      <c r="G3" s="51" t="s">
        <v>4874</v>
      </c>
    </row>
    <row r="4">
      <c r="A4" s="67">
        <v>2.0</v>
      </c>
      <c r="B4" s="60" t="s">
        <v>4875</v>
      </c>
      <c r="C4" s="61"/>
      <c r="D4" s="61"/>
      <c r="E4" s="61"/>
      <c r="F4" s="60" t="s">
        <v>4873</v>
      </c>
      <c r="G4" s="51" t="s">
        <v>4874</v>
      </c>
    </row>
    <row r="5">
      <c r="A5" s="67">
        <v>3.0</v>
      </c>
      <c r="B5" s="60" t="s">
        <v>4876</v>
      </c>
      <c r="C5" s="61"/>
      <c r="D5" s="60">
        <v>2.0289079E7</v>
      </c>
      <c r="E5" s="61"/>
      <c r="F5" s="60" t="s">
        <v>4873</v>
      </c>
      <c r="G5" s="51" t="s">
        <v>4874</v>
      </c>
    </row>
    <row r="6">
      <c r="A6" s="67">
        <v>4.0</v>
      </c>
      <c r="B6" s="60" t="s">
        <v>4877</v>
      </c>
      <c r="C6" s="61"/>
      <c r="D6" s="61"/>
      <c r="E6" s="61"/>
      <c r="F6" s="60" t="s">
        <v>4873</v>
      </c>
      <c r="G6" s="51" t="s">
        <v>4874</v>
      </c>
    </row>
    <row r="7">
      <c r="A7" s="67">
        <v>5.0</v>
      </c>
      <c r="B7" s="60" t="s">
        <v>4878</v>
      </c>
      <c r="C7" s="61"/>
      <c r="D7" s="60">
        <v>3.0939329E7</v>
      </c>
      <c r="E7" s="61"/>
      <c r="F7" s="60" t="s">
        <v>4873</v>
      </c>
      <c r="G7" s="51" t="s">
        <v>4874</v>
      </c>
    </row>
    <row r="8">
      <c r="A8" s="67">
        <v>6.0</v>
      </c>
      <c r="B8" s="60" t="s">
        <v>4879</v>
      </c>
      <c r="C8" s="61"/>
      <c r="D8" s="60">
        <v>5521210.0</v>
      </c>
      <c r="E8" s="61"/>
      <c r="F8" s="60" t="s">
        <v>4873</v>
      </c>
      <c r="G8" s="51" t="s">
        <v>4874</v>
      </c>
    </row>
    <row r="9">
      <c r="A9" s="67">
        <v>7.0</v>
      </c>
      <c r="B9" s="60" t="s">
        <v>4880</v>
      </c>
      <c r="C9" s="61"/>
      <c r="D9" s="61"/>
      <c r="E9" s="61"/>
      <c r="F9" s="60" t="s">
        <v>4873</v>
      </c>
      <c r="G9" s="51" t="s">
        <v>4874</v>
      </c>
    </row>
    <row r="10">
      <c r="A10" s="67">
        <v>8.0</v>
      </c>
      <c r="B10" s="60" t="s">
        <v>4881</v>
      </c>
      <c r="C10" s="60" t="s">
        <v>3524</v>
      </c>
      <c r="D10" s="61"/>
      <c r="E10" s="61"/>
      <c r="F10" s="60" t="s">
        <v>4873</v>
      </c>
      <c r="G10" s="51" t="s">
        <v>4874</v>
      </c>
    </row>
    <row r="11">
      <c r="A11" s="67">
        <v>9.0</v>
      </c>
      <c r="B11" s="60" t="s">
        <v>4881</v>
      </c>
      <c r="C11" s="61"/>
      <c r="D11" s="61"/>
      <c r="E11" s="61"/>
      <c r="F11" s="60" t="s">
        <v>4873</v>
      </c>
      <c r="G11" s="51" t="s">
        <v>4874</v>
      </c>
    </row>
    <row r="12">
      <c r="A12" s="67">
        <v>10.0</v>
      </c>
      <c r="B12" s="60" t="s">
        <v>4882</v>
      </c>
      <c r="C12" s="61"/>
      <c r="D12" s="60">
        <v>6927171.0</v>
      </c>
      <c r="E12" s="61"/>
      <c r="F12" s="60" t="s">
        <v>4873</v>
      </c>
      <c r="G12" s="51" t="s">
        <v>4874</v>
      </c>
    </row>
    <row r="13">
      <c r="A13" s="67">
        <v>11.0</v>
      </c>
      <c r="B13" s="60" t="s">
        <v>4883</v>
      </c>
      <c r="C13" s="61"/>
      <c r="D13" s="60">
        <v>1.1055173E7</v>
      </c>
      <c r="E13" s="61"/>
      <c r="F13" s="60" t="s">
        <v>4873</v>
      </c>
      <c r="G13" s="51" t="s">
        <v>4874</v>
      </c>
    </row>
    <row r="14">
      <c r="A14" s="67">
        <v>12.0</v>
      </c>
      <c r="B14" s="60" t="s">
        <v>4884</v>
      </c>
      <c r="C14" s="60" t="s">
        <v>4636</v>
      </c>
      <c r="D14" s="61"/>
      <c r="E14" s="61"/>
      <c r="F14" s="60" t="s">
        <v>4873</v>
      </c>
      <c r="G14" s="51" t="s">
        <v>4874</v>
      </c>
    </row>
    <row r="15">
      <c r="A15" s="67">
        <v>13.0</v>
      </c>
      <c r="B15" s="60" t="s">
        <v>4884</v>
      </c>
      <c r="C15" s="61"/>
      <c r="D15" s="61"/>
      <c r="E15" s="61"/>
      <c r="F15" s="60" t="s">
        <v>4873</v>
      </c>
      <c r="G15" s="51" t="s">
        <v>4874</v>
      </c>
    </row>
    <row r="16">
      <c r="A16" s="67">
        <v>14.0</v>
      </c>
      <c r="B16" s="60" t="s">
        <v>4885</v>
      </c>
      <c r="C16" s="61"/>
      <c r="D16" s="61"/>
      <c r="E16" s="61"/>
      <c r="F16" s="60" t="s">
        <v>4873</v>
      </c>
      <c r="G16" s="51" t="s">
        <v>4874</v>
      </c>
    </row>
    <row r="17">
      <c r="A17" s="67">
        <v>15.0</v>
      </c>
      <c r="B17" s="60" t="s">
        <v>4886</v>
      </c>
      <c r="C17" s="61"/>
      <c r="D17" s="60">
        <v>6325140.0</v>
      </c>
      <c r="E17" s="61"/>
      <c r="F17" s="60" t="s">
        <v>4873</v>
      </c>
      <c r="G17" s="51" t="s">
        <v>4874</v>
      </c>
    </row>
    <row r="18">
      <c r="A18" s="67">
        <v>16.0</v>
      </c>
      <c r="B18" s="60" t="s">
        <v>4886</v>
      </c>
      <c r="C18" s="61"/>
      <c r="D18" s="61"/>
      <c r="E18" s="61"/>
      <c r="F18" s="60" t="s">
        <v>4873</v>
      </c>
      <c r="G18" s="51" t="s">
        <v>4874</v>
      </c>
    </row>
    <row r="19">
      <c r="A19" s="67">
        <v>17.0</v>
      </c>
      <c r="B19" s="60" t="s">
        <v>4887</v>
      </c>
      <c r="C19" s="61"/>
      <c r="D19" s="60">
        <v>2.2550086E7</v>
      </c>
      <c r="E19" s="61"/>
      <c r="F19" s="60" t="s">
        <v>4873</v>
      </c>
      <c r="G19" s="51" t="s">
        <v>4874</v>
      </c>
    </row>
    <row r="20">
      <c r="A20" s="67">
        <v>18.0</v>
      </c>
      <c r="B20" s="60" t="s">
        <v>4887</v>
      </c>
      <c r="C20" s="61"/>
      <c r="D20" s="61"/>
      <c r="E20" s="61"/>
      <c r="F20" s="60" t="s">
        <v>4873</v>
      </c>
      <c r="G20" s="51" t="s">
        <v>4874</v>
      </c>
    </row>
    <row r="21">
      <c r="A21" s="67">
        <v>19.0</v>
      </c>
      <c r="B21" s="60" t="s">
        <v>4888</v>
      </c>
      <c r="C21" s="61"/>
      <c r="D21" s="61"/>
      <c r="E21" s="61"/>
      <c r="F21" s="60" t="s">
        <v>4873</v>
      </c>
      <c r="G21" s="51" t="s">
        <v>4874</v>
      </c>
    </row>
    <row r="22">
      <c r="A22" s="67">
        <v>20.0</v>
      </c>
      <c r="B22" s="60" t="s">
        <v>4889</v>
      </c>
      <c r="C22" s="61"/>
      <c r="D22" s="60">
        <v>9098772.0</v>
      </c>
      <c r="E22" s="61"/>
      <c r="F22" s="60" t="s">
        <v>4873</v>
      </c>
      <c r="G22" s="51" t="s">
        <v>4874</v>
      </c>
    </row>
    <row r="23">
      <c r="A23" s="67">
        <v>21.0</v>
      </c>
      <c r="B23" s="60" t="s">
        <v>4890</v>
      </c>
      <c r="C23" s="61"/>
      <c r="D23" s="61"/>
      <c r="E23" s="61"/>
      <c r="F23" s="60" t="s">
        <v>4873</v>
      </c>
      <c r="G23" s="51" t="s">
        <v>4874</v>
      </c>
    </row>
    <row r="24">
      <c r="A24" s="67">
        <v>22.0</v>
      </c>
      <c r="B24" s="60" t="s">
        <v>4891</v>
      </c>
      <c r="C24" s="61"/>
      <c r="D24" s="61"/>
      <c r="E24" s="61"/>
      <c r="F24" s="60" t="s">
        <v>4873</v>
      </c>
      <c r="G24" s="51" t="s">
        <v>4874</v>
      </c>
    </row>
    <row r="25">
      <c r="A25" s="67">
        <v>23.0</v>
      </c>
      <c r="B25" s="60" t="s">
        <v>4892</v>
      </c>
      <c r="C25" s="61"/>
      <c r="D25" s="60">
        <v>1.6312925E7</v>
      </c>
      <c r="E25" s="61"/>
      <c r="F25" s="60" t="s">
        <v>4873</v>
      </c>
      <c r="G25" s="51" t="s">
        <v>4874</v>
      </c>
    </row>
    <row r="26">
      <c r="A26" s="67">
        <v>24.0</v>
      </c>
      <c r="B26" s="60" t="s">
        <v>4893</v>
      </c>
      <c r="C26" s="61"/>
      <c r="D26" s="61"/>
      <c r="E26" s="61"/>
      <c r="F26" s="60" t="s">
        <v>4873</v>
      </c>
      <c r="G26" s="51" t="s">
        <v>4874</v>
      </c>
    </row>
    <row r="27">
      <c r="A27" s="67">
        <v>25.0</v>
      </c>
      <c r="B27" s="60" t="s">
        <v>4894</v>
      </c>
      <c r="C27" s="61"/>
      <c r="D27" s="61"/>
      <c r="E27" s="61"/>
      <c r="F27" s="60" t="s">
        <v>4873</v>
      </c>
      <c r="G27" s="51" t="s">
        <v>4874</v>
      </c>
    </row>
    <row r="28">
      <c r="A28" s="67">
        <v>26.0</v>
      </c>
      <c r="B28" s="60" t="s">
        <v>4895</v>
      </c>
      <c r="C28" s="61"/>
      <c r="D28" s="60">
        <v>1.5164293E7</v>
      </c>
      <c r="E28" s="61"/>
      <c r="F28" s="60" t="s">
        <v>4873</v>
      </c>
      <c r="G28" s="51" t="s">
        <v>4874</v>
      </c>
    </row>
    <row r="29">
      <c r="A29" s="67">
        <v>27.0</v>
      </c>
      <c r="B29" s="60" t="s">
        <v>4896</v>
      </c>
      <c r="C29" s="61"/>
      <c r="D29" s="60">
        <v>1.5164243E7</v>
      </c>
      <c r="E29" s="61"/>
      <c r="F29" s="60" t="s">
        <v>4873</v>
      </c>
      <c r="G29" s="51" t="s">
        <v>4874</v>
      </c>
    </row>
    <row r="30">
      <c r="A30" s="67">
        <v>28.0</v>
      </c>
      <c r="B30" s="60" t="s">
        <v>4897</v>
      </c>
      <c r="C30" s="61"/>
      <c r="D30" s="60">
        <v>1.972124E7</v>
      </c>
      <c r="E30" s="61"/>
      <c r="F30" s="60" t="s">
        <v>4873</v>
      </c>
      <c r="G30" s="51" t="s">
        <v>4874</v>
      </c>
    </row>
    <row r="31">
      <c r="A31" s="67">
        <v>29.0</v>
      </c>
      <c r="B31" s="60" t="s">
        <v>4898</v>
      </c>
      <c r="C31" s="61"/>
      <c r="D31" s="60">
        <v>3.29192E7</v>
      </c>
      <c r="E31" s="61"/>
      <c r="F31" s="60" t="s">
        <v>4873</v>
      </c>
      <c r="G31" s="51" t="s">
        <v>4874</v>
      </c>
    </row>
    <row r="32">
      <c r="A32" s="67">
        <v>30.0</v>
      </c>
      <c r="B32" s="60" t="s">
        <v>4899</v>
      </c>
      <c r="C32" s="61"/>
      <c r="D32" s="60">
        <v>3.29197E7</v>
      </c>
      <c r="E32" s="61"/>
      <c r="F32" s="60" t="s">
        <v>4873</v>
      </c>
      <c r="G32" s="51" t="s">
        <v>4874</v>
      </c>
    </row>
    <row r="33">
      <c r="A33" s="67">
        <v>31.0</v>
      </c>
      <c r="B33" s="60" t="s">
        <v>4900</v>
      </c>
      <c r="C33" s="61"/>
      <c r="D33" s="60">
        <v>3.0527436E7</v>
      </c>
      <c r="E33" s="61"/>
      <c r="F33" s="60" t="s">
        <v>4873</v>
      </c>
      <c r="G33" s="51" t="s">
        <v>4874</v>
      </c>
    </row>
    <row r="34">
      <c r="A34" s="67">
        <v>32.0</v>
      </c>
      <c r="B34" s="60" t="s">
        <v>4901</v>
      </c>
      <c r="C34" s="61"/>
      <c r="D34" s="61"/>
      <c r="E34" s="61"/>
      <c r="F34" s="60" t="s">
        <v>4873</v>
      </c>
      <c r="G34" s="51" t="s">
        <v>4874</v>
      </c>
    </row>
    <row r="35">
      <c r="A35" s="67">
        <v>33.0</v>
      </c>
      <c r="B35" s="60" t="s">
        <v>4902</v>
      </c>
      <c r="C35" s="61"/>
      <c r="D35" s="60">
        <v>2.0303407E7</v>
      </c>
      <c r="E35" s="61"/>
      <c r="F35" s="60" t="s">
        <v>4873</v>
      </c>
      <c r="G35" s="51" t="s">
        <v>4874</v>
      </c>
    </row>
    <row r="36">
      <c r="A36" s="67">
        <v>34.0</v>
      </c>
      <c r="B36" s="60" t="s">
        <v>4903</v>
      </c>
      <c r="C36" s="61"/>
      <c r="D36" s="61"/>
      <c r="E36" s="61"/>
      <c r="F36" s="60" t="s">
        <v>4873</v>
      </c>
      <c r="G36" s="51" t="s">
        <v>4874</v>
      </c>
    </row>
    <row r="37">
      <c r="A37" s="67">
        <v>35.0</v>
      </c>
      <c r="B37" s="60" t="s">
        <v>4903</v>
      </c>
      <c r="C37" s="60" t="s">
        <v>3716</v>
      </c>
      <c r="D37" s="61"/>
      <c r="E37" s="61"/>
      <c r="F37" s="60" t="s">
        <v>4873</v>
      </c>
      <c r="G37" s="51" t="s">
        <v>4874</v>
      </c>
    </row>
    <row r="38">
      <c r="A38" s="67">
        <v>36.0</v>
      </c>
      <c r="B38" s="60" t="s">
        <v>4904</v>
      </c>
      <c r="C38" s="60" t="s">
        <v>4636</v>
      </c>
      <c r="D38" s="61"/>
      <c r="E38" s="61"/>
      <c r="F38" s="60" t="s">
        <v>4873</v>
      </c>
      <c r="G38" s="51" t="s">
        <v>4874</v>
      </c>
    </row>
    <row r="39">
      <c r="A39" s="67">
        <v>37.0</v>
      </c>
      <c r="B39" s="60" t="s">
        <v>4905</v>
      </c>
      <c r="C39" s="61"/>
      <c r="D39" s="61"/>
      <c r="E39" s="60" t="s">
        <v>2894</v>
      </c>
      <c r="F39" s="60" t="s">
        <v>4873</v>
      </c>
      <c r="G39" s="51" t="s">
        <v>4874</v>
      </c>
    </row>
    <row r="40">
      <c r="A40" s="67">
        <v>38.0</v>
      </c>
      <c r="B40" s="60" t="s">
        <v>4906</v>
      </c>
      <c r="C40" s="61"/>
      <c r="D40" s="60">
        <v>2.5867267E7</v>
      </c>
      <c r="E40" s="61"/>
      <c r="F40" s="60" t="s">
        <v>4873</v>
      </c>
      <c r="G40" s="51" t="s">
        <v>4874</v>
      </c>
    </row>
    <row r="41">
      <c r="A41" s="67">
        <v>39.0</v>
      </c>
      <c r="B41" s="60" t="s">
        <v>4906</v>
      </c>
      <c r="C41" s="61"/>
      <c r="D41" s="61"/>
      <c r="E41" s="61"/>
      <c r="F41" s="60" t="s">
        <v>4873</v>
      </c>
      <c r="G41" s="51" t="s">
        <v>4874</v>
      </c>
    </row>
    <row r="42">
      <c r="A42" s="67">
        <v>40.0</v>
      </c>
      <c r="B42" s="60" t="s">
        <v>4907</v>
      </c>
      <c r="C42" s="61"/>
      <c r="D42" s="60">
        <v>2.5867267E7</v>
      </c>
      <c r="E42" s="61"/>
      <c r="F42" s="60" t="s">
        <v>4873</v>
      </c>
      <c r="G42" s="51" t="s">
        <v>4874</v>
      </c>
    </row>
    <row r="43">
      <c r="A43" s="67">
        <v>41.0</v>
      </c>
      <c r="B43" s="60" t="s">
        <v>4908</v>
      </c>
      <c r="C43" s="61"/>
      <c r="D43" s="61"/>
      <c r="E43" s="61"/>
      <c r="F43" s="60" t="s">
        <v>4873</v>
      </c>
      <c r="G43" s="51" t="s">
        <v>4874</v>
      </c>
    </row>
    <row r="44">
      <c r="A44" s="67">
        <v>42.0</v>
      </c>
      <c r="B44" s="60" t="s">
        <v>4909</v>
      </c>
      <c r="C44" s="61"/>
      <c r="D44" s="61"/>
      <c r="E44" s="61"/>
      <c r="F44" s="60" t="s">
        <v>4873</v>
      </c>
      <c r="G44" s="51" t="s">
        <v>4874</v>
      </c>
    </row>
    <row r="45">
      <c r="A45" s="67">
        <v>43.0</v>
      </c>
      <c r="B45" s="60" t="s">
        <v>4910</v>
      </c>
      <c r="C45" s="61"/>
      <c r="D45" s="60">
        <v>3.654205E7</v>
      </c>
      <c r="E45" s="61"/>
      <c r="F45" s="60" t="s">
        <v>4873</v>
      </c>
      <c r="G45" s="51" t="s">
        <v>4874</v>
      </c>
    </row>
    <row r="46">
      <c r="A46" s="67">
        <v>44.0</v>
      </c>
      <c r="B46" s="60" t="s">
        <v>4911</v>
      </c>
      <c r="C46" s="61"/>
      <c r="D46" s="61"/>
      <c r="E46" s="61"/>
      <c r="F46" s="60" t="s">
        <v>4873</v>
      </c>
      <c r="G46" s="51" t="s">
        <v>4874</v>
      </c>
    </row>
    <row r="47">
      <c r="A47" s="67">
        <v>45.0</v>
      </c>
      <c r="B47" s="60" t="s">
        <v>4912</v>
      </c>
      <c r="C47" s="60" t="s">
        <v>3443</v>
      </c>
      <c r="D47" s="61"/>
      <c r="E47" s="61"/>
      <c r="F47" s="60" t="s">
        <v>4873</v>
      </c>
      <c r="G47" s="51" t="s">
        <v>4874</v>
      </c>
    </row>
    <row r="48">
      <c r="A48" s="67">
        <v>46.0</v>
      </c>
      <c r="B48" s="60" t="s">
        <v>4912</v>
      </c>
      <c r="C48" s="61"/>
      <c r="D48" s="61"/>
      <c r="E48" s="61"/>
      <c r="F48" s="60" t="s">
        <v>4873</v>
      </c>
      <c r="G48" s="51" t="s">
        <v>4874</v>
      </c>
    </row>
    <row r="49">
      <c r="A49" s="67">
        <v>47.0</v>
      </c>
      <c r="B49" s="60" t="s">
        <v>4913</v>
      </c>
      <c r="C49" s="61"/>
      <c r="D49" s="61"/>
      <c r="E49" s="61"/>
      <c r="F49" s="60" t="s">
        <v>4873</v>
      </c>
      <c r="G49" s="51" t="s">
        <v>4874</v>
      </c>
    </row>
    <row r="50">
      <c r="A50" s="67">
        <v>48.0</v>
      </c>
      <c r="B50" s="60" t="s">
        <v>4914</v>
      </c>
      <c r="C50" s="61"/>
      <c r="D50" s="61"/>
      <c r="E50" s="61"/>
      <c r="F50" s="60" t="s">
        <v>4873</v>
      </c>
      <c r="G50" s="51" t="s">
        <v>4874</v>
      </c>
    </row>
    <row r="51">
      <c r="A51" s="67">
        <v>49.0</v>
      </c>
      <c r="B51" s="60" t="s">
        <v>4915</v>
      </c>
      <c r="C51" s="61"/>
      <c r="D51" s="60">
        <v>3.1178311E7</v>
      </c>
      <c r="E51" s="61"/>
      <c r="F51" s="60" t="s">
        <v>4873</v>
      </c>
      <c r="G51" s="51" t="s">
        <v>4874</v>
      </c>
    </row>
    <row r="52">
      <c r="A52" s="67">
        <v>50.0</v>
      </c>
      <c r="B52" s="60" t="s">
        <v>4916</v>
      </c>
      <c r="C52" s="61"/>
      <c r="D52" s="60">
        <v>1.3069223E7</v>
      </c>
      <c r="E52" s="61"/>
      <c r="F52" s="60" t="s">
        <v>4873</v>
      </c>
      <c r="G52" s="51" t="s">
        <v>4874</v>
      </c>
    </row>
    <row r="53">
      <c r="A53" s="67">
        <v>51.0</v>
      </c>
      <c r="B53" s="60" t="s">
        <v>4917</v>
      </c>
      <c r="C53" s="61"/>
      <c r="D53" s="61"/>
      <c r="E53" s="61"/>
      <c r="F53" s="60" t="s">
        <v>4873</v>
      </c>
      <c r="G53" s="51" t="s">
        <v>4874</v>
      </c>
    </row>
    <row r="54">
      <c r="A54" s="67">
        <v>52.0</v>
      </c>
      <c r="B54" s="60" t="s">
        <v>4918</v>
      </c>
      <c r="C54" s="61"/>
      <c r="D54" s="61"/>
      <c r="E54" s="61"/>
      <c r="F54" s="60" t="s">
        <v>4873</v>
      </c>
      <c r="G54" s="51" t="s">
        <v>4874</v>
      </c>
    </row>
    <row r="55">
      <c r="A55" s="67">
        <v>53.0</v>
      </c>
      <c r="B55" s="60" t="s">
        <v>4919</v>
      </c>
      <c r="C55" s="61"/>
      <c r="D55" s="61"/>
      <c r="E55" s="61"/>
      <c r="F55" s="60" t="s">
        <v>4873</v>
      </c>
      <c r="G55" s="51" t="s">
        <v>4874</v>
      </c>
    </row>
    <row r="56">
      <c r="A56" s="67">
        <v>54.0</v>
      </c>
      <c r="B56" s="60" t="s">
        <v>4920</v>
      </c>
      <c r="C56" s="61"/>
      <c r="D56" s="60">
        <v>3154118.0</v>
      </c>
      <c r="E56" s="61"/>
      <c r="F56" s="60" t="s">
        <v>4873</v>
      </c>
      <c r="G56" s="51" t="s">
        <v>4874</v>
      </c>
    </row>
    <row r="57">
      <c r="A57" s="67">
        <v>55.0</v>
      </c>
      <c r="B57" s="60" t="s">
        <v>4921</v>
      </c>
      <c r="C57" s="61"/>
      <c r="D57" s="61"/>
      <c r="E57" s="61"/>
      <c r="F57" s="60" t="s">
        <v>4873</v>
      </c>
      <c r="G57" s="51" t="s">
        <v>4874</v>
      </c>
    </row>
    <row r="58">
      <c r="A58" s="67">
        <v>56.0</v>
      </c>
      <c r="B58" s="60" t="s">
        <v>4922</v>
      </c>
      <c r="C58" s="61"/>
      <c r="D58" s="61"/>
      <c r="E58" s="61"/>
      <c r="F58" s="60" t="s">
        <v>4873</v>
      </c>
      <c r="G58" s="51" t="s">
        <v>4874</v>
      </c>
    </row>
    <row r="59">
      <c r="A59" s="67">
        <v>57.0</v>
      </c>
      <c r="B59" s="60" t="s">
        <v>4923</v>
      </c>
      <c r="C59" s="61"/>
      <c r="D59" s="60">
        <v>3.1428812E7</v>
      </c>
      <c r="E59" s="61"/>
      <c r="F59" s="60" t="s">
        <v>4873</v>
      </c>
      <c r="G59" s="51" t="s">
        <v>4874</v>
      </c>
    </row>
    <row r="60">
      <c r="A60" s="67">
        <v>58.0</v>
      </c>
      <c r="B60" s="60" t="s">
        <v>4924</v>
      </c>
      <c r="C60" s="61"/>
      <c r="D60" s="61"/>
      <c r="E60" s="61"/>
      <c r="F60" s="60" t="s">
        <v>4873</v>
      </c>
      <c r="G60" s="51" t="s">
        <v>4874</v>
      </c>
    </row>
    <row r="61">
      <c r="A61" s="67">
        <v>59.0</v>
      </c>
      <c r="B61" s="60" t="s">
        <v>4925</v>
      </c>
      <c r="C61" s="61"/>
      <c r="D61" s="61"/>
      <c r="E61" s="61"/>
      <c r="F61" s="60" t="s">
        <v>4873</v>
      </c>
      <c r="G61" s="51" t="s">
        <v>4874</v>
      </c>
    </row>
    <row r="62">
      <c r="A62" s="67">
        <v>60.0</v>
      </c>
      <c r="B62" s="60" t="s">
        <v>4926</v>
      </c>
      <c r="C62" s="61"/>
      <c r="D62" s="60">
        <v>3.1428812E7</v>
      </c>
      <c r="E62" s="61"/>
      <c r="F62" s="60" t="s">
        <v>4873</v>
      </c>
      <c r="G62" s="51" t="s">
        <v>4874</v>
      </c>
    </row>
    <row r="63">
      <c r="A63" s="67">
        <v>61.0</v>
      </c>
      <c r="B63" s="60" t="s">
        <v>4927</v>
      </c>
      <c r="C63" s="61"/>
      <c r="D63" s="61"/>
      <c r="E63" s="61"/>
      <c r="F63" s="60" t="s">
        <v>4873</v>
      </c>
      <c r="G63" s="51" t="s">
        <v>4874</v>
      </c>
    </row>
    <row r="64">
      <c r="A64" s="67">
        <v>62.0</v>
      </c>
      <c r="B64" s="60" t="s">
        <v>4928</v>
      </c>
      <c r="C64" s="61"/>
      <c r="D64" s="60">
        <v>1.3853724E7</v>
      </c>
      <c r="E64" s="61"/>
      <c r="F64" s="60" t="s">
        <v>4873</v>
      </c>
      <c r="G64" s="51" t="s">
        <v>4874</v>
      </c>
    </row>
    <row r="65">
      <c r="A65" s="67">
        <v>63.0</v>
      </c>
      <c r="B65" s="60" t="s">
        <v>4929</v>
      </c>
      <c r="C65" s="61"/>
      <c r="D65" s="61"/>
      <c r="E65" s="61"/>
      <c r="F65" s="60" t="s">
        <v>4873</v>
      </c>
      <c r="G65" s="51" t="s">
        <v>4874</v>
      </c>
    </row>
    <row r="66">
      <c r="A66" s="67">
        <v>64.0</v>
      </c>
      <c r="B66" s="60" t="s">
        <v>4929</v>
      </c>
      <c r="C66" s="61"/>
      <c r="D66" s="60">
        <v>3154118.0</v>
      </c>
      <c r="E66" s="61"/>
      <c r="F66" s="60" t="s">
        <v>4873</v>
      </c>
      <c r="G66" s="51" t="s">
        <v>4874</v>
      </c>
    </row>
    <row r="67">
      <c r="A67" s="67">
        <v>65.0</v>
      </c>
      <c r="B67" s="60" t="s">
        <v>4930</v>
      </c>
      <c r="C67" s="61"/>
      <c r="D67" s="60">
        <v>1710348.0</v>
      </c>
      <c r="E67" s="61"/>
      <c r="F67" s="60" t="s">
        <v>4873</v>
      </c>
      <c r="G67" s="51" t="s">
        <v>4874</v>
      </c>
    </row>
    <row r="68">
      <c r="A68" s="67">
        <v>66.0</v>
      </c>
      <c r="B68" s="60" t="s">
        <v>4931</v>
      </c>
      <c r="C68" s="61"/>
      <c r="D68" s="60">
        <v>1.7710348E7</v>
      </c>
      <c r="E68" s="61"/>
      <c r="F68" s="60" t="s">
        <v>4873</v>
      </c>
      <c r="G68" s="51" t="s">
        <v>4874</v>
      </c>
    </row>
    <row r="69">
      <c r="A69" s="67">
        <v>67.0</v>
      </c>
      <c r="B69" s="60" t="s">
        <v>4932</v>
      </c>
      <c r="C69" s="61"/>
      <c r="D69" s="61"/>
      <c r="E69" s="61"/>
      <c r="F69" s="60" t="s">
        <v>4873</v>
      </c>
      <c r="G69" s="51" t="s">
        <v>4874</v>
      </c>
    </row>
    <row r="70">
      <c r="A70" s="67">
        <v>68.0</v>
      </c>
      <c r="B70" s="60" t="s">
        <v>4933</v>
      </c>
      <c r="C70" s="61"/>
      <c r="D70" s="60">
        <v>6086919.0</v>
      </c>
      <c r="E70" s="61"/>
      <c r="F70" s="60" t="s">
        <v>4873</v>
      </c>
      <c r="G70" s="51" t="s">
        <v>4874</v>
      </c>
    </row>
    <row r="71">
      <c r="A71" s="67">
        <v>69.0</v>
      </c>
      <c r="B71" s="60" t="s">
        <v>4934</v>
      </c>
      <c r="C71" s="61"/>
      <c r="D71" s="61"/>
      <c r="E71" s="61"/>
      <c r="F71" s="60" t="s">
        <v>4873</v>
      </c>
      <c r="G71" s="51" t="s">
        <v>4874</v>
      </c>
    </row>
    <row r="72">
      <c r="A72" s="67">
        <v>70.0</v>
      </c>
      <c r="B72" s="60" t="s">
        <v>4935</v>
      </c>
      <c r="C72" s="61"/>
      <c r="D72" s="60">
        <v>1.8709145E7</v>
      </c>
      <c r="E72" s="61"/>
      <c r="F72" s="60" t="s">
        <v>4873</v>
      </c>
      <c r="G72" s="51" t="s">
        <v>4874</v>
      </c>
    </row>
    <row r="73">
      <c r="A73" s="67">
        <v>71.0</v>
      </c>
      <c r="B73" s="60" t="s">
        <v>4936</v>
      </c>
      <c r="C73" s="61"/>
      <c r="D73" s="60">
        <v>1.3483204E7</v>
      </c>
      <c r="E73" s="61"/>
      <c r="F73" s="60" t="s">
        <v>4873</v>
      </c>
      <c r="G73" s="51" t="s">
        <v>4874</v>
      </c>
    </row>
    <row r="74">
      <c r="A74" s="67">
        <v>72.0</v>
      </c>
      <c r="B74" s="60" t="s">
        <v>4937</v>
      </c>
      <c r="C74" s="61"/>
      <c r="D74" s="60">
        <v>2641506.0</v>
      </c>
      <c r="E74" s="61"/>
      <c r="F74" s="60" t="s">
        <v>4873</v>
      </c>
      <c r="G74" s="51" t="s">
        <v>4874</v>
      </c>
    </row>
    <row r="75">
      <c r="A75" s="67">
        <v>73.0</v>
      </c>
      <c r="B75" s="60" t="s">
        <v>4938</v>
      </c>
      <c r="C75" s="61"/>
      <c r="D75" s="60">
        <v>2.64155E7</v>
      </c>
      <c r="E75" s="61"/>
      <c r="F75" s="60" t="s">
        <v>4873</v>
      </c>
      <c r="G75" s="51" t="s">
        <v>4874</v>
      </c>
    </row>
    <row r="76">
      <c r="A76" s="67">
        <v>74.0</v>
      </c>
      <c r="B76" s="60" t="s">
        <v>4939</v>
      </c>
      <c r="C76" s="61"/>
      <c r="D76" s="60">
        <v>1.5164293E7</v>
      </c>
      <c r="E76" s="61"/>
      <c r="F76" s="60" t="s">
        <v>4873</v>
      </c>
      <c r="G76" s="51" t="s">
        <v>4874</v>
      </c>
    </row>
    <row r="77">
      <c r="A77" s="67">
        <v>75.0</v>
      </c>
      <c r="B77" s="60" t="s">
        <v>4940</v>
      </c>
      <c r="C77" s="61"/>
      <c r="D77" s="60">
        <v>2987711.0</v>
      </c>
      <c r="E77" s="61"/>
      <c r="F77" s="60" t="s">
        <v>4873</v>
      </c>
      <c r="G77" s="51" t="s">
        <v>4874</v>
      </c>
    </row>
    <row r="78">
      <c r="A78" s="67">
        <v>76.0</v>
      </c>
      <c r="B78" s="60" t="s">
        <v>4941</v>
      </c>
      <c r="C78" s="61"/>
      <c r="D78" s="60">
        <v>2.2022191E7</v>
      </c>
      <c r="E78" s="61"/>
      <c r="F78" s="60" t="s">
        <v>4873</v>
      </c>
      <c r="G78" s="51" t="s">
        <v>4874</v>
      </c>
    </row>
    <row r="79">
      <c r="A79" s="67">
        <v>77.0</v>
      </c>
      <c r="B79" s="60" t="s">
        <v>4942</v>
      </c>
      <c r="C79" s="61"/>
      <c r="D79" s="61"/>
      <c r="E79" s="61"/>
      <c r="F79" s="60" t="s">
        <v>4873</v>
      </c>
      <c r="G79" s="51" t="s">
        <v>4874</v>
      </c>
    </row>
    <row r="80">
      <c r="A80" s="67">
        <v>78.0</v>
      </c>
      <c r="B80" s="60" t="s">
        <v>4943</v>
      </c>
      <c r="C80" s="61"/>
      <c r="D80" s="60">
        <v>1.9606465E7</v>
      </c>
      <c r="E80" s="61"/>
      <c r="F80" s="60" t="s">
        <v>4873</v>
      </c>
      <c r="G80" s="51" t="s">
        <v>4874</v>
      </c>
    </row>
    <row r="81">
      <c r="A81" s="67">
        <v>79.0</v>
      </c>
      <c r="B81" s="60" t="s">
        <v>4944</v>
      </c>
      <c r="C81" s="61"/>
      <c r="D81" s="61"/>
      <c r="E81" s="61"/>
      <c r="F81" s="60" t="s">
        <v>4873</v>
      </c>
      <c r="G81" s="51" t="s">
        <v>4874</v>
      </c>
    </row>
    <row r="82">
      <c r="A82" s="67">
        <v>80.0</v>
      </c>
      <c r="B82" s="60" t="s">
        <v>4945</v>
      </c>
      <c r="C82" s="61"/>
      <c r="D82" s="60">
        <v>3.1178311E7</v>
      </c>
      <c r="E82" s="61"/>
      <c r="F82" s="60" t="s">
        <v>4873</v>
      </c>
      <c r="G82" s="51" t="s">
        <v>4874</v>
      </c>
    </row>
    <row r="83">
      <c r="A83" s="67">
        <v>81.0</v>
      </c>
      <c r="B83" s="60" t="s">
        <v>4946</v>
      </c>
      <c r="C83" s="61"/>
      <c r="D83" s="60">
        <v>2.9536127E7</v>
      </c>
      <c r="E83" s="61"/>
      <c r="F83" s="60" t="s">
        <v>4873</v>
      </c>
      <c r="G83" s="51" t="s">
        <v>4874</v>
      </c>
    </row>
    <row r="84">
      <c r="A84" s="67">
        <v>82.0</v>
      </c>
      <c r="B84" s="60" t="s">
        <v>4947</v>
      </c>
      <c r="C84" s="61"/>
      <c r="D84" s="60">
        <v>1.9721253E7</v>
      </c>
      <c r="E84" s="61"/>
      <c r="F84" s="60" t="s">
        <v>4873</v>
      </c>
      <c r="G84" s="51" t="s">
        <v>4874</v>
      </c>
    </row>
    <row r="85">
      <c r="A85" s="67">
        <v>83.0</v>
      </c>
      <c r="B85" s="60" t="s">
        <v>4948</v>
      </c>
      <c r="C85" s="61"/>
      <c r="D85" s="61"/>
      <c r="E85" s="61"/>
      <c r="F85" s="60" t="s">
        <v>4873</v>
      </c>
      <c r="G85" s="51" t="s">
        <v>4874</v>
      </c>
    </row>
    <row r="86">
      <c r="A86" s="67">
        <v>84.0</v>
      </c>
      <c r="B86" s="60" t="s">
        <v>4949</v>
      </c>
      <c r="C86" s="61"/>
      <c r="D86" s="61"/>
      <c r="E86" s="61"/>
      <c r="F86" s="60" t="s">
        <v>4873</v>
      </c>
      <c r="G86" s="51" t="s">
        <v>4874</v>
      </c>
    </row>
    <row r="87">
      <c r="A87" s="67">
        <v>85.0</v>
      </c>
      <c r="B87" s="60" t="s">
        <v>4950</v>
      </c>
      <c r="C87" s="61"/>
      <c r="D87" s="60">
        <v>3.0186534E7</v>
      </c>
      <c r="E87" s="61"/>
      <c r="F87" s="60" t="s">
        <v>4873</v>
      </c>
      <c r="G87" s="51" t="s">
        <v>4874</v>
      </c>
    </row>
    <row r="88">
      <c r="A88" s="67">
        <v>86.0</v>
      </c>
      <c r="B88" s="60" t="s">
        <v>4951</v>
      </c>
      <c r="C88" s="61"/>
      <c r="D88" s="60">
        <v>3.0186534E7</v>
      </c>
      <c r="E88" s="61"/>
      <c r="F88" s="60" t="s">
        <v>4873</v>
      </c>
      <c r="G88" s="51" t="s">
        <v>4874</v>
      </c>
    </row>
    <row r="89">
      <c r="A89" s="67">
        <v>87.0</v>
      </c>
      <c r="B89" s="60" t="s">
        <v>4952</v>
      </c>
      <c r="C89" s="61"/>
      <c r="D89" s="60">
        <v>2.7915258E7</v>
      </c>
      <c r="E89" s="61"/>
      <c r="F89" s="60" t="s">
        <v>4873</v>
      </c>
      <c r="G89" s="51" t="s">
        <v>4874</v>
      </c>
    </row>
    <row r="90">
      <c r="A90" s="67">
        <v>88.0</v>
      </c>
      <c r="B90" s="60" t="s">
        <v>4953</v>
      </c>
      <c r="C90" s="61"/>
      <c r="D90" s="60">
        <v>3.4063891E7</v>
      </c>
      <c r="E90" s="61"/>
      <c r="F90" s="60" t="s">
        <v>4873</v>
      </c>
      <c r="G90" s="51" t="s">
        <v>4874</v>
      </c>
    </row>
    <row r="91">
      <c r="A91" s="67">
        <v>89.0</v>
      </c>
      <c r="B91" s="60" t="s">
        <v>4954</v>
      </c>
      <c r="C91" s="61"/>
      <c r="D91" s="60">
        <v>2.632737E7</v>
      </c>
      <c r="E91" s="61"/>
      <c r="F91" s="60" t="s">
        <v>4873</v>
      </c>
      <c r="G91" s="51" t="s">
        <v>4874</v>
      </c>
    </row>
    <row r="92">
      <c r="A92" s="67">
        <v>90.0</v>
      </c>
      <c r="B92" s="60" t="s">
        <v>4955</v>
      </c>
      <c r="C92" s="61"/>
      <c r="D92" s="60">
        <v>2.632736E7</v>
      </c>
      <c r="E92" s="61"/>
      <c r="F92" s="60" t="s">
        <v>4873</v>
      </c>
      <c r="G92" s="51" t="s">
        <v>4874</v>
      </c>
    </row>
    <row r="93">
      <c r="A93" s="67">
        <v>91.0</v>
      </c>
      <c r="B93" s="60" t="s">
        <v>4956</v>
      </c>
      <c r="C93" s="61"/>
      <c r="D93" s="60">
        <v>1.5285857E7</v>
      </c>
      <c r="E93" s="61"/>
      <c r="F93" s="60" t="s">
        <v>4873</v>
      </c>
      <c r="G93" s="51" t="s">
        <v>4874</v>
      </c>
    </row>
    <row r="94">
      <c r="A94" s="67">
        <v>92.0</v>
      </c>
      <c r="B94" s="60" t="s">
        <v>4957</v>
      </c>
      <c r="C94" s="61"/>
      <c r="D94" s="60">
        <v>799128.0</v>
      </c>
      <c r="E94" s="61"/>
      <c r="F94" s="60" t="s">
        <v>4873</v>
      </c>
      <c r="G94" s="51" t="s">
        <v>4874</v>
      </c>
    </row>
    <row r="95">
      <c r="A95" s="67">
        <v>93.0</v>
      </c>
      <c r="B95" s="60" t="s">
        <v>4957</v>
      </c>
      <c r="C95" s="61"/>
      <c r="D95" s="61"/>
      <c r="E95" s="61"/>
      <c r="F95" s="60" t="s">
        <v>4873</v>
      </c>
      <c r="G95" s="51" t="s">
        <v>4874</v>
      </c>
    </row>
    <row r="96">
      <c r="A96" s="67">
        <v>94.0</v>
      </c>
      <c r="B96" s="60" t="s">
        <v>4958</v>
      </c>
      <c r="C96" s="61"/>
      <c r="D96" s="61"/>
      <c r="E96" s="61"/>
      <c r="F96" s="60" t="s">
        <v>4873</v>
      </c>
      <c r="G96" s="51" t="s">
        <v>4874</v>
      </c>
    </row>
    <row r="97">
      <c r="A97" s="67">
        <v>95.0</v>
      </c>
      <c r="B97" s="60" t="s">
        <v>4959</v>
      </c>
      <c r="C97" s="61"/>
      <c r="D97" s="61"/>
      <c r="E97" s="61"/>
      <c r="F97" s="60" t="s">
        <v>4873</v>
      </c>
      <c r="G97" s="51" t="s">
        <v>4874</v>
      </c>
    </row>
    <row r="98">
      <c r="A98" s="67">
        <v>96.0</v>
      </c>
      <c r="B98" s="60" t="s">
        <v>4960</v>
      </c>
      <c r="C98" s="61"/>
      <c r="D98" s="60">
        <v>4817701.0</v>
      </c>
      <c r="E98" s="61"/>
      <c r="F98" s="60" t="s">
        <v>4873</v>
      </c>
      <c r="G98" s="51" t="s">
        <v>4874</v>
      </c>
    </row>
    <row r="99">
      <c r="A99" s="67">
        <v>97.0</v>
      </c>
      <c r="B99" s="60" t="s">
        <v>4960</v>
      </c>
      <c r="C99" s="61"/>
      <c r="D99" s="61"/>
      <c r="E99" s="61"/>
      <c r="F99" s="60" t="s">
        <v>4873</v>
      </c>
      <c r="G99" s="51" t="s">
        <v>4874</v>
      </c>
    </row>
    <row r="100">
      <c r="A100" s="67">
        <v>98.0</v>
      </c>
      <c r="B100" s="60" t="s">
        <v>4961</v>
      </c>
      <c r="C100" s="61"/>
      <c r="D100" s="60">
        <v>1.2485868E7</v>
      </c>
      <c r="E100" s="61"/>
      <c r="F100" s="60" t="s">
        <v>4873</v>
      </c>
      <c r="G100" s="51" t="s">
        <v>4874</v>
      </c>
    </row>
    <row r="101">
      <c r="A101" s="67">
        <v>99.0</v>
      </c>
      <c r="B101" s="60" t="s">
        <v>4961</v>
      </c>
      <c r="C101" s="61"/>
      <c r="D101" s="61"/>
      <c r="E101" s="61"/>
      <c r="F101" s="60" t="s">
        <v>4873</v>
      </c>
      <c r="G101" s="51" t="s">
        <v>4874</v>
      </c>
    </row>
    <row r="102">
      <c r="A102" s="67">
        <v>100.0</v>
      </c>
      <c r="B102" s="60" t="s">
        <v>4962</v>
      </c>
      <c r="C102" s="61"/>
      <c r="D102" s="60">
        <v>1.0815359E7</v>
      </c>
      <c r="E102" s="61"/>
      <c r="F102" s="60" t="s">
        <v>4873</v>
      </c>
      <c r="G102" s="51" t="s">
        <v>4874</v>
      </c>
    </row>
    <row r="103">
      <c r="A103" s="67">
        <v>101.0</v>
      </c>
      <c r="B103" s="60" t="s">
        <v>4963</v>
      </c>
      <c r="C103" s="61"/>
      <c r="D103" s="61"/>
      <c r="E103" s="61"/>
      <c r="F103" s="60" t="s">
        <v>4873</v>
      </c>
      <c r="G103" s="51" t="s">
        <v>4874</v>
      </c>
    </row>
    <row r="104">
      <c r="A104" s="67">
        <v>102.0</v>
      </c>
      <c r="B104" s="60" t="s">
        <v>4964</v>
      </c>
      <c r="C104" s="61"/>
      <c r="D104" s="60">
        <v>1.719003E7</v>
      </c>
      <c r="E104" s="61"/>
      <c r="F104" s="60" t="s">
        <v>4873</v>
      </c>
      <c r="G104" s="51" t="s">
        <v>4874</v>
      </c>
    </row>
    <row r="105">
      <c r="A105" s="67">
        <v>103.0</v>
      </c>
      <c r="B105" s="60" t="s">
        <v>4965</v>
      </c>
      <c r="C105" s="61"/>
      <c r="D105" s="60">
        <v>6207465.0</v>
      </c>
      <c r="E105" s="61"/>
      <c r="F105" s="60" t="s">
        <v>4873</v>
      </c>
      <c r="G105" s="51" t="s">
        <v>4874</v>
      </c>
    </row>
    <row r="106">
      <c r="A106" s="67">
        <v>104.0</v>
      </c>
      <c r="B106" s="60" t="s">
        <v>4966</v>
      </c>
      <c r="C106" s="61"/>
      <c r="D106" s="60">
        <v>1.8817136E7</v>
      </c>
      <c r="E106" s="61"/>
      <c r="F106" s="60" t="s">
        <v>4873</v>
      </c>
      <c r="G106" s="51" t="s">
        <v>4874</v>
      </c>
    </row>
    <row r="107">
      <c r="A107" s="67">
        <v>105.0</v>
      </c>
      <c r="B107" s="60" t="s">
        <v>4966</v>
      </c>
      <c r="C107" s="61"/>
      <c r="D107" s="61"/>
      <c r="E107" s="61"/>
      <c r="F107" s="60" t="s">
        <v>4873</v>
      </c>
      <c r="G107" s="51" t="s">
        <v>4874</v>
      </c>
    </row>
    <row r="108">
      <c r="A108" s="67">
        <v>106.0</v>
      </c>
      <c r="B108" s="60" t="s">
        <v>4967</v>
      </c>
      <c r="C108" s="61"/>
      <c r="D108" s="61"/>
      <c r="E108" s="61"/>
      <c r="F108" s="60" t="s">
        <v>4873</v>
      </c>
      <c r="G108" s="51" t="s">
        <v>4874</v>
      </c>
    </row>
    <row r="109">
      <c r="A109" s="67">
        <v>107.0</v>
      </c>
      <c r="B109" s="60" t="s">
        <v>4968</v>
      </c>
      <c r="C109" s="61"/>
      <c r="D109" s="61"/>
      <c r="E109" s="61"/>
      <c r="F109" s="60" t="s">
        <v>4873</v>
      </c>
      <c r="G109" s="51" t="s">
        <v>4874</v>
      </c>
    </row>
    <row r="110">
      <c r="A110" s="67">
        <v>108.0</v>
      </c>
      <c r="B110" s="60" t="s">
        <v>4969</v>
      </c>
      <c r="C110" s="61"/>
      <c r="D110" s="60">
        <v>1.7587273E7</v>
      </c>
      <c r="E110" s="61"/>
      <c r="F110" s="60" t="s">
        <v>4873</v>
      </c>
      <c r="G110" s="51" t="s">
        <v>4874</v>
      </c>
    </row>
    <row r="111">
      <c r="A111" s="67">
        <v>109.0</v>
      </c>
      <c r="B111" s="60" t="s">
        <v>4970</v>
      </c>
      <c r="C111" s="61"/>
      <c r="D111" s="60">
        <v>2.6838425E7</v>
      </c>
      <c r="E111" s="61"/>
      <c r="F111" s="60" t="s">
        <v>4873</v>
      </c>
      <c r="G111" s="51" t="s">
        <v>4874</v>
      </c>
    </row>
    <row r="112">
      <c r="A112" s="67">
        <v>110.0</v>
      </c>
      <c r="B112" s="60" t="s">
        <v>4971</v>
      </c>
      <c r="C112" s="61"/>
      <c r="D112" s="61"/>
      <c r="E112" s="61"/>
      <c r="F112" s="60" t="s">
        <v>4873</v>
      </c>
      <c r="G112" s="51" t="s">
        <v>4874</v>
      </c>
    </row>
    <row r="113">
      <c r="A113" s="67">
        <v>111.0</v>
      </c>
      <c r="B113" s="60" t="s">
        <v>4972</v>
      </c>
      <c r="C113" s="61"/>
      <c r="D113" s="61"/>
      <c r="E113" s="61"/>
      <c r="F113" s="60" t="s">
        <v>4873</v>
      </c>
      <c r="G113" s="51" t="s">
        <v>4874</v>
      </c>
    </row>
    <row r="114">
      <c r="A114" s="67">
        <v>112.0</v>
      </c>
      <c r="B114" s="60" t="s">
        <v>4973</v>
      </c>
      <c r="C114" s="61"/>
      <c r="D114" s="60">
        <v>1.8465401E7</v>
      </c>
      <c r="E114" s="61"/>
      <c r="F114" s="60" t="s">
        <v>4873</v>
      </c>
      <c r="G114" s="51" t="s">
        <v>4874</v>
      </c>
    </row>
    <row r="115">
      <c r="A115" s="67">
        <v>113.0</v>
      </c>
      <c r="B115" s="60" t="s">
        <v>4974</v>
      </c>
      <c r="C115" s="61"/>
      <c r="D115" s="60">
        <v>1.5826899E7</v>
      </c>
      <c r="E115" s="61"/>
      <c r="F115" s="60" t="s">
        <v>4873</v>
      </c>
      <c r="G115" s="51" t="s">
        <v>4874</v>
      </c>
    </row>
    <row r="116">
      <c r="A116" s="67">
        <v>114.0</v>
      </c>
      <c r="B116" s="60" t="s">
        <v>4975</v>
      </c>
      <c r="C116" s="61"/>
      <c r="D116" s="61"/>
      <c r="E116" s="61"/>
      <c r="F116" s="60" t="s">
        <v>4873</v>
      </c>
      <c r="G116" s="51" t="s">
        <v>4874</v>
      </c>
    </row>
    <row r="117">
      <c r="A117" s="67">
        <v>115.0</v>
      </c>
      <c r="B117" s="60" t="s">
        <v>4976</v>
      </c>
      <c r="C117" s="61"/>
      <c r="D117" s="60">
        <v>3.7143398E7</v>
      </c>
      <c r="E117" s="61"/>
      <c r="F117" s="60" t="s">
        <v>4873</v>
      </c>
      <c r="G117" s="51" t="s">
        <v>4874</v>
      </c>
    </row>
    <row r="118">
      <c r="A118" s="67">
        <v>116.0</v>
      </c>
      <c r="B118" s="60" t="s">
        <v>4977</v>
      </c>
      <c r="C118" s="61"/>
      <c r="D118" s="60">
        <v>2.0558133E7</v>
      </c>
      <c r="E118" s="61"/>
      <c r="F118" s="60" t="s">
        <v>4873</v>
      </c>
      <c r="G118" s="51" t="s">
        <v>4874</v>
      </c>
    </row>
    <row r="119">
      <c r="A119" s="67">
        <v>117.0</v>
      </c>
      <c r="B119" s="60" t="s">
        <v>4978</v>
      </c>
      <c r="C119" s="61"/>
      <c r="D119" s="61"/>
      <c r="E119" s="61"/>
      <c r="F119" s="60" t="s">
        <v>4873</v>
      </c>
      <c r="G119" s="51" t="s">
        <v>4874</v>
      </c>
    </row>
    <row r="120">
      <c r="A120" s="67">
        <v>118.0</v>
      </c>
      <c r="B120" s="60" t="s">
        <v>4979</v>
      </c>
      <c r="C120" s="61"/>
      <c r="D120" s="60">
        <v>2.0303112E7</v>
      </c>
      <c r="E120" s="61"/>
      <c r="F120" s="60" t="s">
        <v>4873</v>
      </c>
      <c r="G120" s="51" t="s">
        <v>4874</v>
      </c>
    </row>
    <row r="121">
      <c r="A121" s="67">
        <v>119.0</v>
      </c>
      <c r="B121" s="60" t="s">
        <v>4980</v>
      </c>
      <c r="C121" s="61"/>
      <c r="D121" s="60">
        <v>6931566.0</v>
      </c>
      <c r="E121" s="61"/>
      <c r="F121" s="60" t="s">
        <v>4873</v>
      </c>
      <c r="G121" s="51" t="s">
        <v>4874</v>
      </c>
    </row>
    <row r="122">
      <c r="A122" s="67">
        <v>120.0</v>
      </c>
      <c r="B122" s="60" t="s">
        <v>4981</v>
      </c>
      <c r="C122" s="61"/>
      <c r="D122" s="60">
        <v>6124045.0</v>
      </c>
      <c r="E122" s="61"/>
      <c r="F122" s="60" t="s">
        <v>4873</v>
      </c>
      <c r="G122" s="51" t="s">
        <v>4874</v>
      </c>
    </row>
    <row r="123">
      <c r="A123" s="67">
        <v>121.0</v>
      </c>
      <c r="B123" s="60" t="s">
        <v>4982</v>
      </c>
      <c r="C123" s="61"/>
      <c r="D123" s="61"/>
      <c r="E123" s="61"/>
      <c r="F123" s="60" t="s">
        <v>4873</v>
      </c>
      <c r="G123" s="51" t="s">
        <v>4874</v>
      </c>
    </row>
    <row r="124">
      <c r="A124" s="67">
        <v>122.0</v>
      </c>
      <c r="B124" s="60" t="s">
        <v>4983</v>
      </c>
      <c r="C124" s="61"/>
      <c r="D124" s="61"/>
      <c r="E124" s="61"/>
      <c r="F124" s="60" t="s">
        <v>4873</v>
      </c>
      <c r="G124" s="51" t="s">
        <v>4874</v>
      </c>
    </row>
    <row r="125">
      <c r="A125" s="67">
        <v>123.0</v>
      </c>
      <c r="B125" s="60" t="s">
        <v>4984</v>
      </c>
      <c r="C125" s="61"/>
      <c r="D125" s="60">
        <v>3.117846E7</v>
      </c>
      <c r="E125" s="61"/>
      <c r="F125" s="60" t="s">
        <v>4873</v>
      </c>
      <c r="G125" s="51" t="s">
        <v>4874</v>
      </c>
    </row>
    <row r="126">
      <c r="A126" s="67">
        <v>124.0</v>
      </c>
      <c r="B126" s="60" t="s">
        <v>4985</v>
      </c>
      <c r="C126" s="61"/>
      <c r="D126" s="61"/>
      <c r="E126" s="61"/>
      <c r="F126" s="60" t="s">
        <v>4873</v>
      </c>
      <c r="G126" s="51" t="s">
        <v>4874</v>
      </c>
    </row>
    <row r="127">
      <c r="A127" s="67">
        <v>125.0</v>
      </c>
      <c r="B127" s="60" t="s">
        <v>4986</v>
      </c>
      <c r="C127" s="61"/>
      <c r="D127" s="61"/>
      <c r="E127" s="61"/>
      <c r="F127" s="60" t="s">
        <v>4873</v>
      </c>
      <c r="G127" s="51" t="s">
        <v>4874</v>
      </c>
    </row>
    <row r="128">
      <c r="A128" s="67">
        <v>126.0</v>
      </c>
      <c r="B128" s="60" t="s">
        <v>4987</v>
      </c>
      <c r="C128" s="61"/>
      <c r="D128" s="60">
        <v>1.1640976E7</v>
      </c>
      <c r="E128" s="61"/>
      <c r="F128" s="60" t="s">
        <v>4873</v>
      </c>
      <c r="G128" s="51" t="s">
        <v>4874</v>
      </c>
    </row>
    <row r="129">
      <c r="A129" s="67">
        <v>127.0</v>
      </c>
      <c r="B129" s="60" t="s">
        <v>4987</v>
      </c>
      <c r="C129" s="61"/>
      <c r="D129" s="61"/>
      <c r="E129" s="61"/>
      <c r="F129" s="60" t="s">
        <v>4873</v>
      </c>
      <c r="G129" s="51" t="s">
        <v>4874</v>
      </c>
    </row>
    <row r="130">
      <c r="A130" s="67">
        <v>128.0</v>
      </c>
      <c r="B130" s="60" t="s">
        <v>4988</v>
      </c>
      <c r="C130" s="61"/>
      <c r="D130" s="61"/>
      <c r="E130" s="61"/>
      <c r="F130" s="60" t="s">
        <v>4873</v>
      </c>
      <c r="G130" s="51" t="s">
        <v>4874</v>
      </c>
    </row>
    <row r="131">
      <c r="A131" s="67">
        <v>129.0</v>
      </c>
      <c r="B131" s="60" t="s">
        <v>4989</v>
      </c>
      <c r="C131" s="61"/>
      <c r="D131" s="61"/>
      <c r="E131" s="61"/>
      <c r="F131" s="60" t="s">
        <v>4873</v>
      </c>
      <c r="G131" s="51" t="s">
        <v>4874</v>
      </c>
    </row>
    <row r="132">
      <c r="A132" s="67">
        <v>130.0</v>
      </c>
      <c r="B132" s="60" t="s">
        <v>4990</v>
      </c>
      <c r="C132" s="61"/>
      <c r="D132" s="60">
        <v>1.8404003E7</v>
      </c>
      <c r="E132" s="61"/>
      <c r="F132" s="60" t="s">
        <v>4873</v>
      </c>
      <c r="G132" s="51" t="s">
        <v>4874</v>
      </c>
    </row>
    <row r="133">
      <c r="A133" s="67">
        <v>131.0</v>
      </c>
      <c r="B133" s="60" t="s">
        <v>4990</v>
      </c>
      <c r="C133" s="61"/>
      <c r="D133" s="61"/>
      <c r="E133" s="61"/>
      <c r="F133" s="60" t="s">
        <v>4873</v>
      </c>
      <c r="G133" s="51" t="s">
        <v>4874</v>
      </c>
    </row>
    <row r="134">
      <c r="A134" s="67">
        <v>132.0</v>
      </c>
      <c r="B134" s="60" t="s">
        <v>4991</v>
      </c>
      <c r="C134" s="61"/>
      <c r="D134" s="60">
        <v>4110985.0</v>
      </c>
      <c r="E134" s="61"/>
      <c r="F134" s="60" t="s">
        <v>4873</v>
      </c>
      <c r="G134" s="51" t="s">
        <v>4874</v>
      </c>
    </row>
    <row r="135">
      <c r="A135" s="67">
        <v>133.0</v>
      </c>
      <c r="B135" s="60" t="s">
        <v>4991</v>
      </c>
      <c r="C135" s="61"/>
      <c r="D135" s="61"/>
      <c r="E135" s="61"/>
      <c r="F135" s="60" t="s">
        <v>4873</v>
      </c>
      <c r="G135" s="51" t="s">
        <v>4874</v>
      </c>
    </row>
    <row r="136">
      <c r="A136" s="67">
        <v>134.0</v>
      </c>
      <c r="B136" s="60" t="s">
        <v>4992</v>
      </c>
      <c r="C136" s="61"/>
      <c r="D136" s="60">
        <v>8.4555057E7</v>
      </c>
      <c r="E136" s="61"/>
      <c r="F136" s="60" t="s">
        <v>4873</v>
      </c>
      <c r="G136" s="51" t="s">
        <v>4874</v>
      </c>
    </row>
    <row r="137">
      <c r="A137" s="67">
        <v>135.0</v>
      </c>
      <c r="B137" s="60" t="s">
        <v>4993</v>
      </c>
      <c r="C137" s="61"/>
      <c r="D137" s="61"/>
      <c r="E137" s="61"/>
      <c r="F137" s="60" t="s">
        <v>4873</v>
      </c>
      <c r="G137" s="51" t="s">
        <v>4874</v>
      </c>
    </row>
    <row r="138">
      <c r="A138" s="67">
        <v>136.0</v>
      </c>
      <c r="B138" s="60" t="s">
        <v>4994</v>
      </c>
      <c r="C138" s="61"/>
      <c r="D138" s="61"/>
      <c r="E138" s="61"/>
      <c r="F138" s="60" t="s">
        <v>4873</v>
      </c>
      <c r="G138" s="51" t="s">
        <v>4874</v>
      </c>
    </row>
    <row r="139">
      <c r="A139" s="67">
        <v>137.0</v>
      </c>
      <c r="B139" s="60" t="s">
        <v>4995</v>
      </c>
      <c r="C139" s="61"/>
      <c r="D139" s="61"/>
      <c r="E139" s="61"/>
      <c r="F139" s="60" t="s">
        <v>4873</v>
      </c>
      <c r="G139" s="51" t="s">
        <v>4874</v>
      </c>
    </row>
    <row r="140">
      <c r="A140" s="67">
        <v>138.0</v>
      </c>
      <c r="B140" s="60" t="s">
        <v>4996</v>
      </c>
      <c r="C140" s="61"/>
      <c r="D140" s="60">
        <v>3.0699885E7</v>
      </c>
      <c r="E140" s="61"/>
      <c r="F140" s="60" t="s">
        <v>4873</v>
      </c>
      <c r="G140" s="51" t="s">
        <v>4874</v>
      </c>
    </row>
    <row r="141">
      <c r="A141" s="67">
        <v>139.0</v>
      </c>
      <c r="B141" s="60" t="s">
        <v>4997</v>
      </c>
      <c r="C141" s="61"/>
      <c r="D141" s="61"/>
      <c r="E141" s="61"/>
      <c r="F141" s="60" t="s">
        <v>4873</v>
      </c>
      <c r="G141" s="51" t="s">
        <v>4874</v>
      </c>
    </row>
    <row r="142">
      <c r="A142" s="67">
        <v>140.0</v>
      </c>
      <c r="B142" s="60" t="s">
        <v>4998</v>
      </c>
      <c r="C142" s="61"/>
      <c r="D142" s="61"/>
      <c r="E142" s="61"/>
      <c r="F142" s="60" t="s">
        <v>4873</v>
      </c>
      <c r="G142" s="51" t="s">
        <v>4874</v>
      </c>
    </row>
    <row r="143">
      <c r="A143" s="67">
        <v>141.0</v>
      </c>
      <c r="B143" s="60" t="s">
        <v>4999</v>
      </c>
      <c r="C143" s="61"/>
      <c r="D143" s="60">
        <v>2.2862728E7</v>
      </c>
      <c r="E143" s="61"/>
      <c r="F143" s="60" t="s">
        <v>4873</v>
      </c>
      <c r="G143" s="51" t="s">
        <v>4874</v>
      </c>
    </row>
    <row r="144">
      <c r="A144" s="67">
        <v>142.0</v>
      </c>
      <c r="B144" s="60" t="s">
        <v>5000</v>
      </c>
      <c r="C144" s="61"/>
      <c r="D144" s="60">
        <v>1.5550954E7</v>
      </c>
      <c r="E144" s="61"/>
      <c r="F144" s="60" t="s">
        <v>4873</v>
      </c>
      <c r="G144" s="51" t="s">
        <v>4874</v>
      </c>
    </row>
    <row r="145">
      <c r="A145" s="67">
        <v>143.0</v>
      </c>
      <c r="B145" s="60" t="s">
        <v>5001</v>
      </c>
      <c r="C145" s="61"/>
      <c r="D145" s="61"/>
      <c r="E145" s="61"/>
      <c r="F145" s="60" t="s">
        <v>4873</v>
      </c>
      <c r="G145" s="51" t="s">
        <v>4874</v>
      </c>
    </row>
    <row r="146">
      <c r="A146" s="67">
        <v>144.0</v>
      </c>
      <c r="B146" s="60" t="s">
        <v>5002</v>
      </c>
      <c r="C146" s="61"/>
      <c r="D146" s="61"/>
      <c r="E146" s="61"/>
      <c r="F146" s="60" t="s">
        <v>4873</v>
      </c>
      <c r="G146" s="51" t="s">
        <v>4874</v>
      </c>
    </row>
    <row r="147">
      <c r="A147" s="67">
        <v>145.0</v>
      </c>
      <c r="B147" s="60" t="s">
        <v>5003</v>
      </c>
      <c r="C147" s="61"/>
      <c r="D147" s="60">
        <v>3.1777653E7</v>
      </c>
      <c r="E147" s="61"/>
      <c r="F147" s="60" t="s">
        <v>4873</v>
      </c>
      <c r="G147" s="51" t="s">
        <v>4874</v>
      </c>
    </row>
    <row r="148">
      <c r="A148" s="67">
        <v>146.0</v>
      </c>
      <c r="B148" s="60" t="s">
        <v>5004</v>
      </c>
      <c r="C148" s="61"/>
      <c r="D148" s="61"/>
      <c r="E148" s="61"/>
      <c r="F148" s="60" t="s">
        <v>4873</v>
      </c>
      <c r="G148" s="51" t="s">
        <v>4874</v>
      </c>
    </row>
    <row r="149">
      <c r="A149" s="67">
        <v>147.0</v>
      </c>
      <c r="B149" s="60" t="s">
        <v>5005</v>
      </c>
      <c r="C149" s="61"/>
      <c r="D149" s="61"/>
      <c r="E149" s="61"/>
      <c r="F149" s="60" t="s">
        <v>4873</v>
      </c>
      <c r="G149" s="51" t="s">
        <v>4874</v>
      </c>
    </row>
    <row r="150">
      <c r="A150" s="67">
        <v>148.0</v>
      </c>
      <c r="B150" s="60" t="s">
        <v>5006</v>
      </c>
      <c r="C150" s="61"/>
      <c r="D150" s="61"/>
      <c r="E150" s="61"/>
      <c r="F150" s="60" t="s">
        <v>4873</v>
      </c>
      <c r="G150" s="51" t="s">
        <v>4874</v>
      </c>
    </row>
    <row r="151">
      <c r="A151" s="67">
        <v>149.0</v>
      </c>
      <c r="B151" s="60" t="s">
        <v>5007</v>
      </c>
      <c r="C151" s="61"/>
      <c r="D151" s="60">
        <v>2.2480906E7</v>
      </c>
      <c r="E151" s="61"/>
      <c r="F151" s="60" t="s">
        <v>4873</v>
      </c>
      <c r="G151" s="51" t="s">
        <v>4874</v>
      </c>
    </row>
    <row r="152">
      <c r="A152" s="67">
        <v>150.0</v>
      </c>
      <c r="B152" s="60" t="s">
        <v>5007</v>
      </c>
      <c r="C152" s="61"/>
      <c r="D152" s="61"/>
      <c r="E152" s="61"/>
      <c r="F152" s="60" t="s">
        <v>4873</v>
      </c>
      <c r="G152" s="51" t="s">
        <v>4874</v>
      </c>
    </row>
    <row r="153">
      <c r="A153" s="67">
        <v>151.0</v>
      </c>
      <c r="B153" s="60" t="s">
        <v>5008</v>
      </c>
      <c r="C153" s="61"/>
      <c r="D153" s="60">
        <v>5005566.0</v>
      </c>
      <c r="E153" s="61"/>
      <c r="F153" s="60" t="s">
        <v>4873</v>
      </c>
      <c r="G153" s="51" t="s">
        <v>4874</v>
      </c>
    </row>
    <row r="154">
      <c r="A154" s="67">
        <v>152.0</v>
      </c>
      <c r="B154" s="60" t="s">
        <v>5009</v>
      </c>
      <c r="C154" s="61"/>
      <c r="D154" s="60">
        <v>2087329.0</v>
      </c>
      <c r="E154" s="61"/>
      <c r="F154" s="60" t="s">
        <v>4873</v>
      </c>
      <c r="G154" s="51" t="s">
        <v>4874</v>
      </c>
    </row>
    <row r="155">
      <c r="A155" s="67">
        <v>153.0</v>
      </c>
      <c r="B155" s="60" t="s">
        <v>5010</v>
      </c>
      <c r="C155" s="61"/>
      <c r="D155" s="61"/>
      <c r="E155" s="61"/>
      <c r="F155" s="60" t="s">
        <v>4873</v>
      </c>
      <c r="G155" s="51" t="s">
        <v>4874</v>
      </c>
    </row>
    <row r="156">
      <c r="A156" s="67">
        <v>154.0</v>
      </c>
      <c r="B156" s="60" t="s">
        <v>5011</v>
      </c>
      <c r="C156" s="61"/>
      <c r="D156" s="61"/>
      <c r="E156" s="61"/>
      <c r="F156" s="60" t="s">
        <v>4873</v>
      </c>
      <c r="G156" s="51" t="s">
        <v>4874</v>
      </c>
    </row>
    <row r="157">
      <c r="A157" s="67">
        <v>155.0</v>
      </c>
      <c r="B157" s="60" t="s">
        <v>5012</v>
      </c>
      <c r="C157" s="61"/>
      <c r="D157" s="60">
        <v>2.6045569E7</v>
      </c>
      <c r="E157" s="61"/>
      <c r="F157" s="60" t="s">
        <v>4873</v>
      </c>
      <c r="G157" s="51" t="s">
        <v>4874</v>
      </c>
    </row>
    <row r="158">
      <c r="A158" s="67">
        <v>156.0</v>
      </c>
      <c r="B158" s="60" t="s">
        <v>5013</v>
      </c>
      <c r="C158" s="61"/>
      <c r="D158" s="60">
        <v>6086109.0</v>
      </c>
      <c r="E158" s="61"/>
      <c r="F158" s="60" t="s">
        <v>4873</v>
      </c>
      <c r="G158" s="51" t="s">
        <v>4874</v>
      </c>
    </row>
    <row r="159">
      <c r="A159" s="67">
        <v>157.0</v>
      </c>
      <c r="B159" s="60" t="s">
        <v>5013</v>
      </c>
      <c r="C159" s="61"/>
      <c r="D159" s="61"/>
      <c r="E159" s="61"/>
      <c r="F159" s="60" t="s">
        <v>4873</v>
      </c>
      <c r="G159" s="51" t="s">
        <v>4874</v>
      </c>
    </row>
    <row r="160">
      <c r="A160" s="67">
        <v>158.0</v>
      </c>
      <c r="B160" s="60" t="s">
        <v>5014</v>
      </c>
      <c r="C160" s="61"/>
      <c r="D160" s="61"/>
      <c r="E160" s="61"/>
      <c r="F160" s="60" t="s">
        <v>4873</v>
      </c>
      <c r="G160" s="51" t="s">
        <v>4874</v>
      </c>
    </row>
    <row r="161">
      <c r="A161" s="67">
        <v>159.0</v>
      </c>
      <c r="B161" s="60" t="s">
        <v>5015</v>
      </c>
      <c r="C161" s="61"/>
      <c r="D161" s="61"/>
      <c r="E161" s="61"/>
      <c r="F161" s="60" t="s">
        <v>4873</v>
      </c>
      <c r="G161" s="51" t="s">
        <v>4874</v>
      </c>
    </row>
    <row r="162">
      <c r="A162" s="67">
        <v>160.0</v>
      </c>
      <c r="B162" s="60" t="s">
        <v>5016</v>
      </c>
      <c r="C162" s="61"/>
      <c r="D162" s="60">
        <v>6349850.0</v>
      </c>
      <c r="E162" s="61"/>
      <c r="F162" s="60" t="s">
        <v>4873</v>
      </c>
      <c r="G162" s="51" t="s">
        <v>4874</v>
      </c>
    </row>
    <row r="163">
      <c r="A163" s="67">
        <v>161.0</v>
      </c>
      <c r="B163" s="60" t="s">
        <v>5017</v>
      </c>
      <c r="C163" s="61"/>
      <c r="D163" s="60">
        <v>5604699.0</v>
      </c>
      <c r="E163" s="61"/>
      <c r="F163" s="60" t="s">
        <v>4873</v>
      </c>
      <c r="G163" s="51" t="s">
        <v>4874</v>
      </c>
    </row>
    <row r="164">
      <c r="A164" s="67">
        <v>162.0</v>
      </c>
      <c r="B164" s="60" t="s">
        <v>5018</v>
      </c>
      <c r="C164" s="61"/>
      <c r="D164" s="61"/>
      <c r="E164" s="61"/>
      <c r="F164" s="60" t="s">
        <v>4873</v>
      </c>
      <c r="G164" s="51" t="s">
        <v>4874</v>
      </c>
    </row>
    <row r="165">
      <c r="A165" s="67">
        <v>163.0</v>
      </c>
      <c r="B165" s="60" t="s">
        <v>5019</v>
      </c>
      <c r="C165" s="61"/>
      <c r="D165" s="60">
        <v>3.2446991E7</v>
      </c>
      <c r="E165" s="61"/>
      <c r="F165" s="60" t="s">
        <v>4873</v>
      </c>
      <c r="G165" s="51" t="s">
        <v>4874</v>
      </c>
    </row>
    <row r="166">
      <c r="A166" s="67">
        <v>164.0</v>
      </c>
      <c r="B166" s="60" t="s">
        <v>5020</v>
      </c>
      <c r="C166" s="61"/>
      <c r="D166" s="61"/>
      <c r="E166" s="61"/>
      <c r="F166" s="60" t="s">
        <v>4873</v>
      </c>
      <c r="G166" s="51" t="s">
        <v>4874</v>
      </c>
    </row>
    <row r="167">
      <c r="A167" s="67">
        <v>165.0</v>
      </c>
      <c r="B167" s="60" t="s">
        <v>5021</v>
      </c>
      <c r="C167" s="61"/>
      <c r="D167" s="60">
        <v>5645025.0</v>
      </c>
      <c r="E167" s="61"/>
      <c r="F167" s="60" t="s">
        <v>4873</v>
      </c>
      <c r="G167" s="51" t="s">
        <v>4874</v>
      </c>
    </row>
    <row r="168">
      <c r="A168" s="67">
        <v>166.0</v>
      </c>
      <c r="B168" s="60" t="s">
        <v>5022</v>
      </c>
      <c r="C168" s="61"/>
      <c r="D168" s="60">
        <v>2.1015899E7</v>
      </c>
      <c r="E168" s="61"/>
      <c r="F168" s="60" t="s">
        <v>4873</v>
      </c>
      <c r="G168" s="51" t="s">
        <v>4874</v>
      </c>
    </row>
    <row r="169">
      <c r="A169" s="67">
        <v>167.0</v>
      </c>
      <c r="B169" s="60" t="s">
        <v>5023</v>
      </c>
      <c r="C169" s="61"/>
      <c r="D169" s="61"/>
      <c r="E169" s="61"/>
      <c r="F169" s="60" t="s">
        <v>4873</v>
      </c>
      <c r="G169" s="51" t="s">
        <v>4874</v>
      </c>
    </row>
    <row r="170">
      <c r="A170" s="67">
        <v>168.0</v>
      </c>
      <c r="B170" s="60" t="s">
        <v>5024</v>
      </c>
      <c r="C170" s="61"/>
      <c r="D170" s="61"/>
      <c r="E170" s="61"/>
      <c r="F170" s="60" t="s">
        <v>4873</v>
      </c>
      <c r="G170" s="51" t="s">
        <v>4874</v>
      </c>
    </row>
    <row r="171">
      <c r="A171" s="67">
        <v>169.0</v>
      </c>
      <c r="B171" s="60" t="s">
        <v>5024</v>
      </c>
      <c r="C171" s="61"/>
      <c r="D171" s="61"/>
      <c r="E171" s="61"/>
      <c r="F171" s="60" t="s">
        <v>4873</v>
      </c>
      <c r="G171" s="51" t="s">
        <v>4874</v>
      </c>
    </row>
    <row r="172">
      <c r="A172" s="67">
        <v>170.0</v>
      </c>
      <c r="B172" s="60" t="s">
        <v>5024</v>
      </c>
      <c r="C172" s="61"/>
      <c r="D172" s="61"/>
      <c r="E172" s="61"/>
      <c r="F172" s="60" t="s">
        <v>4873</v>
      </c>
      <c r="G172" s="51" t="s">
        <v>4874</v>
      </c>
    </row>
    <row r="173">
      <c r="A173" s="67">
        <v>171.0</v>
      </c>
      <c r="B173" s="60" t="s">
        <v>5024</v>
      </c>
      <c r="C173" s="61"/>
      <c r="D173" s="61"/>
      <c r="E173" s="61"/>
      <c r="F173" s="60" t="s">
        <v>4873</v>
      </c>
      <c r="G173" s="51" t="s">
        <v>4874</v>
      </c>
    </row>
    <row r="174">
      <c r="A174" s="67">
        <v>172.0</v>
      </c>
      <c r="B174" s="60" t="s">
        <v>5025</v>
      </c>
      <c r="C174" s="61"/>
      <c r="D174" s="61"/>
      <c r="E174" s="61"/>
      <c r="F174" s="60" t="s">
        <v>4873</v>
      </c>
      <c r="G174" s="51" t="s">
        <v>4874</v>
      </c>
    </row>
    <row r="175">
      <c r="A175" s="67">
        <v>173.0</v>
      </c>
      <c r="B175" s="60" t="s">
        <v>5026</v>
      </c>
      <c r="C175" s="61"/>
      <c r="D175" s="61"/>
      <c r="E175" s="61"/>
      <c r="F175" s="60" t="s">
        <v>4873</v>
      </c>
      <c r="G175" s="51" t="s">
        <v>4874</v>
      </c>
    </row>
    <row r="176">
      <c r="A176" s="67">
        <v>174.0</v>
      </c>
      <c r="B176" s="60" t="s">
        <v>5027</v>
      </c>
      <c r="C176" s="61"/>
      <c r="D176" s="61"/>
      <c r="E176" s="61"/>
      <c r="F176" s="60" t="s">
        <v>4873</v>
      </c>
      <c r="G176" s="51" t="s">
        <v>4874</v>
      </c>
    </row>
    <row r="177">
      <c r="A177" s="67">
        <v>175.0</v>
      </c>
      <c r="B177" s="60" t="s">
        <v>5028</v>
      </c>
      <c r="C177" s="61"/>
      <c r="D177" s="60">
        <v>2.2026527E7</v>
      </c>
      <c r="E177" s="61"/>
      <c r="F177" s="60" t="s">
        <v>4873</v>
      </c>
      <c r="G177" s="51" t="s">
        <v>4874</v>
      </c>
    </row>
    <row r="178">
      <c r="A178" s="67">
        <v>176.0</v>
      </c>
      <c r="B178" s="60" t="s">
        <v>5029</v>
      </c>
      <c r="C178" s="61"/>
      <c r="D178" s="60">
        <v>5235870.0</v>
      </c>
      <c r="E178" s="61"/>
      <c r="F178" s="60" t="s">
        <v>4873</v>
      </c>
      <c r="G178" s="51" t="s">
        <v>4874</v>
      </c>
    </row>
    <row r="179">
      <c r="A179" s="67">
        <v>177.0</v>
      </c>
      <c r="B179" s="60" t="s">
        <v>5030</v>
      </c>
      <c r="C179" s="61"/>
      <c r="D179" s="60">
        <v>1.371621E7</v>
      </c>
      <c r="E179" s="61"/>
      <c r="F179" s="60" t="s">
        <v>4873</v>
      </c>
      <c r="G179" s="51" t="s">
        <v>4874</v>
      </c>
    </row>
    <row r="180">
      <c r="A180" s="67">
        <v>178.0</v>
      </c>
      <c r="B180" s="60" t="s">
        <v>5031</v>
      </c>
      <c r="C180" s="61"/>
      <c r="D180" s="60">
        <v>1.0482646E7</v>
      </c>
      <c r="E180" s="61"/>
      <c r="F180" s="60" t="s">
        <v>4873</v>
      </c>
      <c r="G180" s="51" t="s">
        <v>4874</v>
      </c>
    </row>
    <row r="181">
      <c r="A181" s="67">
        <v>179.0</v>
      </c>
      <c r="B181" s="60" t="s">
        <v>5032</v>
      </c>
      <c r="C181" s="61"/>
      <c r="D181" s="60">
        <v>1.1563403E7</v>
      </c>
      <c r="E181" s="61"/>
      <c r="F181" s="60" t="s">
        <v>4873</v>
      </c>
      <c r="G181" s="51" t="s">
        <v>4874</v>
      </c>
    </row>
    <row r="182">
      <c r="A182" s="67">
        <v>180.0</v>
      </c>
      <c r="B182" s="60" t="s">
        <v>5033</v>
      </c>
      <c r="C182" s="61"/>
      <c r="D182" s="61"/>
      <c r="E182" s="61"/>
      <c r="F182" s="60" t="s">
        <v>4873</v>
      </c>
      <c r="G182" s="51" t="s">
        <v>4874</v>
      </c>
    </row>
    <row r="183">
      <c r="A183" s="67">
        <v>181.0</v>
      </c>
      <c r="B183" s="60" t="s">
        <v>5034</v>
      </c>
      <c r="C183" s="61"/>
      <c r="D183" s="61"/>
      <c r="E183" s="61"/>
      <c r="F183" s="60" t="s">
        <v>4873</v>
      </c>
      <c r="G183" s="51" t="s">
        <v>4874</v>
      </c>
    </row>
    <row r="184">
      <c r="A184" s="67">
        <v>182.0</v>
      </c>
      <c r="B184" s="60" t="s">
        <v>5035</v>
      </c>
      <c r="C184" s="61"/>
      <c r="D184" s="60">
        <v>1.2950267E7</v>
      </c>
      <c r="E184" s="61"/>
      <c r="F184" s="60" t="s">
        <v>4873</v>
      </c>
      <c r="G184" s="51" t="s">
        <v>4874</v>
      </c>
    </row>
    <row r="185">
      <c r="A185" s="67">
        <v>183.0</v>
      </c>
      <c r="B185" s="60" t="s">
        <v>5035</v>
      </c>
      <c r="C185" s="61"/>
      <c r="D185" s="61"/>
      <c r="E185" s="61"/>
      <c r="F185" s="60" t="s">
        <v>4873</v>
      </c>
      <c r="G185" s="51" t="s">
        <v>4874</v>
      </c>
    </row>
    <row r="186">
      <c r="A186" s="67">
        <v>184.0</v>
      </c>
      <c r="B186" s="60" t="s">
        <v>5036</v>
      </c>
      <c r="C186" s="61"/>
      <c r="D186" s="60">
        <v>2765012.0</v>
      </c>
      <c r="E186" s="61"/>
      <c r="F186" s="60" t="s">
        <v>4873</v>
      </c>
      <c r="G186" s="51" t="s">
        <v>4874</v>
      </c>
    </row>
    <row r="187">
      <c r="A187" s="67">
        <v>185.0</v>
      </c>
      <c r="B187" s="60" t="s">
        <v>5037</v>
      </c>
      <c r="C187" s="61"/>
      <c r="D187" s="61"/>
      <c r="E187" s="61"/>
      <c r="F187" s="60" t="s">
        <v>4873</v>
      </c>
      <c r="G187" s="51" t="s">
        <v>4874</v>
      </c>
    </row>
    <row r="188">
      <c r="A188" s="67">
        <v>186.0</v>
      </c>
      <c r="B188" s="60" t="s">
        <v>5038</v>
      </c>
      <c r="C188" s="61"/>
      <c r="D188" s="61"/>
      <c r="E188" s="61"/>
      <c r="F188" s="60" t="s">
        <v>4873</v>
      </c>
      <c r="G188" s="51" t="s">
        <v>4874</v>
      </c>
    </row>
    <row r="189">
      <c r="A189" s="67">
        <v>187.0</v>
      </c>
      <c r="B189" s="60" t="s">
        <v>5039</v>
      </c>
      <c r="C189" s="61"/>
      <c r="D189" s="60">
        <v>2.3527437E7</v>
      </c>
      <c r="E189" s="61"/>
      <c r="F189" s="60" t="s">
        <v>4873</v>
      </c>
      <c r="G189" s="51" t="s">
        <v>4874</v>
      </c>
    </row>
    <row r="190">
      <c r="A190" s="67">
        <v>188.0</v>
      </c>
      <c r="B190" s="60" t="s">
        <v>5040</v>
      </c>
      <c r="C190" s="61"/>
      <c r="D190" s="61"/>
      <c r="E190" s="61"/>
      <c r="F190" s="60" t="s">
        <v>4873</v>
      </c>
      <c r="G190" s="51" t="s">
        <v>4874</v>
      </c>
    </row>
    <row r="191">
      <c r="A191" s="67">
        <v>189.0</v>
      </c>
      <c r="B191" s="60" t="s">
        <v>5041</v>
      </c>
      <c r="C191" s="61"/>
      <c r="D191" s="61"/>
      <c r="E191" s="61"/>
      <c r="F191" s="60" t="s">
        <v>4873</v>
      </c>
      <c r="G191" s="51" t="s">
        <v>4874</v>
      </c>
    </row>
    <row r="192">
      <c r="A192" s="67">
        <v>190.0</v>
      </c>
      <c r="B192" s="60" t="s">
        <v>5042</v>
      </c>
      <c r="C192" s="61"/>
      <c r="D192" s="61"/>
      <c r="E192" s="61"/>
      <c r="F192" s="60" t="s">
        <v>4873</v>
      </c>
      <c r="G192" s="51" t="s">
        <v>4874</v>
      </c>
    </row>
    <row r="193">
      <c r="A193" s="105">
        <v>191.0</v>
      </c>
      <c r="B193" s="106" t="s">
        <v>5043</v>
      </c>
      <c r="C193" s="107"/>
      <c r="D193" s="107"/>
      <c r="E193" s="107"/>
      <c r="F193" s="106" t="s">
        <v>2754</v>
      </c>
      <c r="G193" s="51" t="s">
        <v>4874</v>
      </c>
    </row>
    <row r="194">
      <c r="A194" s="105">
        <v>192.0</v>
      </c>
      <c r="B194" s="106" t="s">
        <v>5044</v>
      </c>
      <c r="C194" s="107"/>
      <c r="D194" s="107"/>
      <c r="E194" s="107"/>
      <c r="F194" s="106" t="s">
        <v>2754</v>
      </c>
      <c r="G194" s="51" t="s">
        <v>4874</v>
      </c>
    </row>
    <row r="195">
      <c r="A195" s="105">
        <v>193.0</v>
      </c>
      <c r="B195" s="106" t="s">
        <v>5045</v>
      </c>
      <c r="C195" s="107"/>
      <c r="D195" s="106">
        <v>3.1383685E7</v>
      </c>
      <c r="E195" s="107"/>
      <c r="F195" s="106" t="s">
        <v>2754</v>
      </c>
      <c r="G195" s="51" t="s">
        <v>4874</v>
      </c>
    </row>
    <row r="196">
      <c r="A196" s="105">
        <v>194.0</v>
      </c>
      <c r="B196" s="106" t="s">
        <v>5046</v>
      </c>
      <c r="C196" s="106" t="s">
        <v>5047</v>
      </c>
      <c r="D196" s="107"/>
      <c r="E196" s="107"/>
      <c r="F196" s="106" t="s">
        <v>2754</v>
      </c>
      <c r="G196" s="51" t="s">
        <v>4874</v>
      </c>
    </row>
    <row r="197">
      <c r="A197" s="105">
        <v>195.0</v>
      </c>
      <c r="B197" s="106" t="s">
        <v>5048</v>
      </c>
      <c r="C197" s="106" t="s">
        <v>5049</v>
      </c>
      <c r="D197" s="107"/>
      <c r="E197" s="107"/>
      <c r="F197" s="106" t="s">
        <v>2754</v>
      </c>
      <c r="G197" s="51" t="s">
        <v>4874</v>
      </c>
    </row>
    <row r="198">
      <c r="A198" s="105">
        <v>196.0</v>
      </c>
      <c r="B198" s="106" t="s">
        <v>5050</v>
      </c>
      <c r="C198" s="107"/>
      <c r="D198" s="107"/>
      <c r="E198" s="107"/>
      <c r="F198" s="106" t="s">
        <v>2754</v>
      </c>
      <c r="G198" s="51" t="s">
        <v>4874</v>
      </c>
    </row>
  </sheetData>
  <mergeCells count="1">
    <mergeCell ref="A1:F1"/>
  </mergeCell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4.38"/>
    <col customWidth="1" min="2" max="2" width="28.0"/>
    <col customWidth="1" min="3" max="3" width="23.13"/>
    <col customWidth="1" min="4" max="4" width="15.75"/>
    <col customWidth="1" min="5" max="5" width="12.0"/>
    <col customWidth="1" min="6" max="6" width="21.88"/>
    <col customWidth="1" min="7" max="7" width="26.25"/>
    <col customWidth="1" min="8" max="26" width="7.63"/>
  </cols>
  <sheetData>
    <row r="1" ht="27.75" customHeight="1">
      <c r="A1" s="69" t="s">
        <v>5051</v>
      </c>
      <c r="B1" s="2"/>
      <c r="C1" s="2"/>
      <c r="D1" s="2"/>
      <c r="E1" s="2"/>
      <c r="F1" s="2"/>
      <c r="G1" s="3"/>
    </row>
    <row r="2" ht="19.5" customHeight="1">
      <c r="A2" s="7" t="s">
        <v>3</v>
      </c>
      <c r="B2" s="8" t="s">
        <v>5</v>
      </c>
      <c r="C2" s="8" t="s">
        <v>6</v>
      </c>
      <c r="D2" s="8" t="s">
        <v>7</v>
      </c>
      <c r="E2" s="8" t="s">
        <v>5052</v>
      </c>
      <c r="F2" s="8" t="s">
        <v>5053</v>
      </c>
      <c r="G2" s="8" t="s">
        <v>10</v>
      </c>
    </row>
    <row r="3" ht="15.75" customHeight="1">
      <c r="A3" s="32">
        <v>1.0</v>
      </c>
      <c r="B3" s="108" t="s">
        <v>2668</v>
      </c>
      <c r="C3" s="108" t="s">
        <v>13</v>
      </c>
      <c r="D3" s="108" t="s">
        <v>13</v>
      </c>
      <c r="E3" s="108" t="s">
        <v>13</v>
      </c>
      <c r="F3" s="108" t="s">
        <v>13</v>
      </c>
      <c r="G3" s="108" t="s">
        <v>2669</v>
      </c>
    </row>
    <row r="4" ht="15.75" customHeight="1">
      <c r="A4" s="32">
        <v>2.0</v>
      </c>
      <c r="B4" s="33" t="s">
        <v>2670</v>
      </c>
      <c r="C4" s="33">
        <v>14.0</v>
      </c>
      <c r="D4" s="33">
        <v>3.3916334E7</v>
      </c>
      <c r="E4" s="33" t="s">
        <v>13</v>
      </c>
      <c r="F4" s="33" t="s">
        <v>330</v>
      </c>
      <c r="G4" s="33" t="s">
        <v>2671</v>
      </c>
    </row>
    <row r="5" ht="15.75" customHeight="1">
      <c r="A5" s="32">
        <v>3.0</v>
      </c>
      <c r="B5" s="33" t="s">
        <v>2672</v>
      </c>
      <c r="C5" s="33" t="s">
        <v>13</v>
      </c>
      <c r="D5" s="33">
        <v>2.275134E7</v>
      </c>
      <c r="E5" s="33" t="s">
        <v>13</v>
      </c>
      <c r="F5" s="33" t="s">
        <v>13</v>
      </c>
      <c r="G5" s="33" t="s">
        <v>13</v>
      </c>
    </row>
    <row r="6" ht="15.75" customHeight="1">
      <c r="A6" s="32">
        <v>4.0</v>
      </c>
      <c r="B6" s="33" t="s">
        <v>2673</v>
      </c>
      <c r="C6" s="33" t="s">
        <v>13</v>
      </c>
      <c r="D6" s="33" t="s">
        <v>13</v>
      </c>
      <c r="E6" s="33" t="s">
        <v>13</v>
      </c>
      <c r="F6" s="33" t="s">
        <v>13</v>
      </c>
      <c r="G6" s="33" t="s">
        <v>13</v>
      </c>
    </row>
    <row r="7" ht="15.75" customHeight="1">
      <c r="A7" s="32">
        <v>5.0</v>
      </c>
      <c r="B7" s="33" t="s">
        <v>2674</v>
      </c>
      <c r="C7" s="33">
        <v>39.0</v>
      </c>
      <c r="D7" s="33">
        <v>1.8215359E7</v>
      </c>
      <c r="E7" s="33" t="s">
        <v>13</v>
      </c>
      <c r="F7" s="33" t="s">
        <v>330</v>
      </c>
      <c r="G7" s="33" t="s">
        <v>2671</v>
      </c>
    </row>
    <row r="8" ht="15.75" customHeight="1">
      <c r="A8" s="32">
        <v>6.0</v>
      </c>
      <c r="B8" s="33" t="s">
        <v>2675</v>
      </c>
      <c r="C8" s="33" t="s">
        <v>13</v>
      </c>
      <c r="D8" s="33" t="s">
        <v>13</v>
      </c>
      <c r="E8" s="33" t="s">
        <v>13</v>
      </c>
      <c r="F8" s="33" t="s">
        <v>2676</v>
      </c>
      <c r="G8" s="33" t="s">
        <v>13</v>
      </c>
    </row>
    <row r="9" ht="15.75" customHeight="1">
      <c r="A9" s="32">
        <v>7.0</v>
      </c>
      <c r="B9" s="33" t="s">
        <v>2677</v>
      </c>
      <c r="C9" s="33" t="s">
        <v>13</v>
      </c>
      <c r="D9" s="33">
        <v>1.400789E7</v>
      </c>
      <c r="E9" s="33" t="s">
        <v>13</v>
      </c>
      <c r="F9" s="33" t="s">
        <v>2678</v>
      </c>
      <c r="G9" s="33" t="s">
        <v>13</v>
      </c>
    </row>
    <row r="10" ht="15.75" customHeight="1">
      <c r="A10" s="32">
        <v>8.0</v>
      </c>
      <c r="B10" s="33" t="s">
        <v>2679</v>
      </c>
      <c r="C10" s="33" t="s">
        <v>13</v>
      </c>
      <c r="D10" s="33">
        <v>1.1546371E7</v>
      </c>
      <c r="E10" s="33" t="s">
        <v>13</v>
      </c>
      <c r="F10" s="33" t="s">
        <v>13</v>
      </c>
      <c r="G10" s="33" t="s">
        <v>13</v>
      </c>
    </row>
    <row r="11" ht="15.75" customHeight="1">
      <c r="A11" s="32">
        <v>9.0</v>
      </c>
      <c r="B11" s="33" t="s">
        <v>2680</v>
      </c>
      <c r="C11" s="33" t="s">
        <v>13</v>
      </c>
      <c r="D11" s="33">
        <v>1.8309145E7</v>
      </c>
      <c r="E11" s="33" t="s">
        <v>13</v>
      </c>
      <c r="F11" s="33" t="s">
        <v>2681</v>
      </c>
      <c r="G11" s="33" t="s">
        <v>425</v>
      </c>
    </row>
    <row r="12" ht="15.75" customHeight="1">
      <c r="A12" s="32">
        <v>10.0</v>
      </c>
      <c r="B12" s="33" t="s">
        <v>2682</v>
      </c>
      <c r="C12" s="33" t="s">
        <v>13</v>
      </c>
      <c r="D12" s="33">
        <v>3.4063891E7</v>
      </c>
      <c r="E12" s="33" t="s">
        <v>13</v>
      </c>
      <c r="F12" s="33" t="s">
        <v>13</v>
      </c>
      <c r="G12" s="33" t="s">
        <v>13</v>
      </c>
    </row>
    <row r="13" ht="15.75" customHeight="1">
      <c r="A13" s="32">
        <v>11.0</v>
      </c>
      <c r="B13" s="33" t="s">
        <v>2683</v>
      </c>
      <c r="C13" s="33" t="s">
        <v>13</v>
      </c>
      <c r="D13" s="33" t="s">
        <v>13</v>
      </c>
      <c r="E13" s="33" t="s">
        <v>13</v>
      </c>
      <c r="F13" s="33" t="s">
        <v>13</v>
      </c>
      <c r="G13" s="33" t="s">
        <v>13</v>
      </c>
    </row>
    <row r="14" ht="15.75" customHeight="1">
      <c r="A14" s="32">
        <v>12.0</v>
      </c>
      <c r="B14" s="33" t="s">
        <v>2684</v>
      </c>
      <c r="C14" s="33" t="s">
        <v>13</v>
      </c>
      <c r="D14" s="33" t="s">
        <v>13</v>
      </c>
      <c r="E14" s="33" t="s">
        <v>13</v>
      </c>
      <c r="F14" s="33" t="s">
        <v>13</v>
      </c>
      <c r="G14" s="33" t="s">
        <v>13</v>
      </c>
    </row>
    <row r="15" ht="15.75" customHeight="1">
      <c r="A15" s="32">
        <v>13.0</v>
      </c>
      <c r="B15" s="33" t="s">
        <v>2685</v>
      </c>
      <c r="C15" s="33" t="s">
        <v>13</v>
      </c>
      <c r="D15" s="33">
        <v>1.3853724E7</v>
      </c>
      <c r="E15" s="33" t="s">
        <v>13</v>
      </c>
      <c r="F15" s="33" t="s">
        <v>13</v>
      </c>
      <c r="G15" s="33" t="s">
        <v>13</v>
      </c>
    </row>
    <row r="16" ht="15.75" customHeight="1">
      <c r="A16" s="32">
        <v>14.0</v>
      </c>
      <c r="B16" s="33" t="s">
        <v>2686</v>
      </c>
      <c r="C16" s="33" t="s">
        <v>13</v>
      </c>
      <c r="D16" s="33" t="s">
        <v>13</v>
      </c>
      <c r="E16" s="33" t="s">
        <v>13</v>
      </c>
      <c r="F16" s="33" t="s">
        <v>2681</v>
      </c>
      <c r="G16" s="33" t="s">
        <v>13</v>
      </c>
    </row>
    <row r="17" ht="15.75" customHeight="1">
      <c r="A17" s="32">
        <v>15.0</v>
      </c>
      <c r="B17" s="33" t="s">
        <v>2687</v>
      </c>
      <c r="C17" s="33" t="s">
        <v>13</v>
      </c>
      <c r="D17" s="33">
        <v>646450.0</v>
      </c>
      <c r="E17" s="33" t="s">
        <v>13</v>
      </c>
      <c r="F17" s="33" t="s">
        <v>2681</v>
      </c>
      <c r="G17" s="33" t="s">
        <v>2688</v>
      </c>
    </row>
    <row r="18" ht="15.75" customHeight="1">
      <c r="A18" s="32">
        <v>16.0</v>
      </c>
      <c r="B18" s="33" t="s">
        <v>2689</v>
      </c>
      <c r="C18" s="33" t="s">
        <v>13</v>
      </c>
      <c r="D18" s="33" t="s">
        <v>13</v>
      </c>
      <c r="E18" s="33" t="s">
        <v>13</v>
      </c>
      <c r="F18" s="33" t="s">
        <v>13</v>
      </c>
      <c r="G18" s="33" t="s">
        <v>13</v>
      </c>
    </row>
    <row r="19" ht="15.75" customHeight="1">
      <c r="A19" s="32">
        <v>17.0</v>
      </c>
      <c r="B19" s="33" t="s">
        <v>2690</v>
      </c>
      <c r="C19" s="33" t="s">
        <v>13</v>
      </c>
      <c r="D19" s="33">
        <v>1.5164118E7</v>
      </c>
      <c r="E19" s="33" t="s">
        <v>13</v>
      </c>
      <c r="F19" s="33" t="s">
        <v>2681</v>
      </c>
      <c r="G19" s="33" t="s">
        <v>13</v>
      </c>
    </row>
    <row r="20" ht="15.75" customHeight="1">
      <c r="A20" s="32">
        <v>18.0</v>
      </c>
      <c r="B20" s="33" t="s">
        <v>2691</v>
      </c>
      <c r="C20" s="33" t="s">
        <v>13</v>
      </c>
      <c r="D20" s="33" t="s">
        <v>13</v>
      </c>
      <c r="E20" s="33" t="s">
        <v>13</v>
      </c>
      <c r="F20" s="33" t="s">
        <v>13</v>
      </c>
      <c r="G20" s="33" t="s">
        <v>13</v>
      </c>
    </row>
    <row r="21" ht="15.75" customHeight="1">
      <c r="A21" s="32">
        <v>19.0</v>
      </c>
      <c r="B21" s="33" t="s">
        <v>2692</v>
      </c>
      <c r="C21" s="33">
        <v>18.0</v>
      </c>
      <c r="D21" s="33">
        <v>2.7127733E7</v>
      </c>
      <c r="E21" s="33" t="s">
        <v>13</v>
      </c>
      <c r="F21" s="33" t="s">
        <v>330</v>
      </c>
      <c r="G21" s="33" t="s">
        <v>2693</v>
      </c>
    </row>
    <row r="22" ht="15.75" customHeight="1">
      <c r="A22" s="32">
        <v>20.0</v>
      </c>
      <c r="B22" s="33" t="s">
        <v>2694</v>
      </c>
      <c r="C22" s="33" t="s">
        <v>13</v>
      </c>
      <c r="D22" s="33">
        <v>6349850.0</v>
      </c>
      <c r="E22" s="33" t="s">
        <v>13</v>
      </c>
      <c r="F22" s="33" t="s">
        <v>13</v>
      </c>
      <c r="G22" s="33" t="s">
        <v>13</v>
      </c>
    </row>
    <row r="23" ht="15.75" customHeight="1">
      <c r="A23" s="32">
        <v>21.0</v>
      </c>
      <c r="B23" s="33" t="s">
        <v>2695</v>
      </c>
      <c r="C23" s="33" t="s">
        <v>13</v>
      </c>
      <c r="D23" s="33" t="s">
        <v>13</v>
      </c>
      <c r="E23" s="33" t="s">
        <v>13</v>
      </c>
      <c r="F23" s="33" t="s">
        <v>13</v>
      </c>
      <c r="G23" s="33" t="s">
        <v>13</v>
      </c>
    </row>
    <row r="24" ht="15.75" customHeight="1">
      <c r="A24" s="32">
        <v>22.0</v>
      </c>
      <c r="B24" s="33" t="s">
        <v>2696</v>
      </c>
      <c r="C24" s="33" t="s">
        <v>13</v>
      </c>
      <c r="D24" s="33">
        <v>3.117846E7</v>
      </c>
      <c r="E24" s="33" t="s">
        <v>13</v>
      </c>
      <c r="F24" s="33" t="s">
        <v>13</v>
      </c>
      <c r="G24" s="33" t="s">
        <v>13</v>
      </c>
    </row>
    <row r="25" ht="15.75" customHeight="1">
      <c r="A25" s="32">
        <v>23.0</v>
      </c>
      <c r="B25" s="33" t="s">
        <v>2697</v>
      </c>
      <c r="C25" s="33" t="s">
        <v>13</v>
      </c>
      <c r="D25" s="33" t="s">
        <v>13</v>
      </c>
      <c r="E25" s="33" t="s">
        <v>13</v>
      </c>
      <c r="F25" s="33" t="s">
        <v>13</v>
      </c>
      <c r="G25" s="33" t="s">
        <v>13</v>
      </c>
    </row>
    <row r="26" ht="15.75" customHeight="1">
      <c r="A26" s="32">
        <v>24.0</v>
      </c>
      <c r="B26" s="33" t="s">
        <v>2698</v>
      </c>
      <c r="C26" s="33" t="s">
        <v>13</v>
      </c>
      <c r="D26" s="33" t="s">
        <v>13</v>
      </c>
      <c r="E26" s="33" t="s">
        <v>13</v>
      </c>
      <c r="F26" s="33" t="s">
        <v>2681</v>
      </c>
      <c r="G26" s="33" t="s">
        <v>13</v>
      </c>
    </row>
    <row r="27" ht="15.75" customHeight="1">
      <c r="A27" s="32">
        <v>25.0</v>
      </c>
      <c r="B27" s="33" t="s">
        <v>2699</v>
      </c>
      <c r="C27" s="33">
        <v>22.0</v>
      </c>
      <c r="D27" s="33">
        <v>3.0041612E7</v>
      </c>
      <c r="E27" s="33" t="s">
        <v>13</v>
      </c>
      <c r="F27" s="33" t="s">
        <v>330</v>
      </c>
      <c r="G27" s="33" t="s">
        <v>2671</v>
      </c>
    </row>
    <row r="28" ht="15.75" customHeight="1">
      <c r="A28" s="32">
        <v>26.0</v>
      </c>
      <c r="B28" s="33" t="s">
        <v>2700</v>
      </c>
      <c r="C28" s="33">
        <v>54.0</v>
      </c>
      <c r="D28" s="33">
        <v>1.0582063E7</v>
      </c>
      <c r="E28" s="33" t="s">
        <v>13</v>
      </c>
      <c r="F28" s="33" t="s">
        <v>330</v>
      </c>
      <c r="G28" s="33" t="s">
        <v>2671</v>
      </c>
    </row>
    <row r="29" ht="15.75" customHeight="1">
      <c r="A29" s="32">
        <v>27.0</v>
      </c>
      <c r="B29" s="33" t="s">
        <v>1779</v>
      </c>
      <c r="C29" s="33" t="s">
        <v>13</v>
      </c>
      <c r="D29" s="33" t="s">
        <v>13</v>
      </c>
      <c r="E29" s="33" t="s">
        <v>13</v>
      </c>
      <c r="F29" s="33" t="s">
        <v>13</v>
      </c>
      <c r="G29" s="33" t="s">
        <v>13</v>
      </c>
    </row>
    <row r="30" ht="15.75" customHeight="1">
      <c r="A30" s="32">
        <v>28.0</v>
      </c>
      <c r="B30" s="33" t="s">
        <v>2701</v>
      </c>
      <c r="C30" s="33" t="s">
        <v>13</v>
      </c>
      <c r="D30" s="33">
        <v>3.0939329E7</v>
      </c>
      <c r="E30" s="33" t="s">
        <v>13</v>
      </c>
      <c r="F30" s="33" t="s">
        <v>13</v>
      </c>
      <c r="G30" s="33" t="s">
        <v>13</v>
      </c>
    </row>
    <row r="31" ht="15.75" customHeight="1">
      <c r="A31" s="32">
        <v>29.0</v>
      </c>
      <c r="B31" s="33" t="s">
        <v>2702</v>
      </c>
      <c r="C31" s="33" t="s">
        <v>13</v>
      </c>
      <c r="D31" s="33" t="s">
        <v>13</v>
      </c>
      <c r="E31" s="33" t="s">
        <v>13</v>
      </c>
      <c r="F31" s="33" t="s">
        <v>13</v>
      </c>
      <c r="G31" s="33" t="s">
        <v>2555</v>
      </c>
    </row>
    <row r="32" ht="15.75" customHeight="1">
      <c r="A32" s="32">
        <v>30.0</v>
      </c>
      <c r="B32" s="33" t="s">
        <v>2703</v>
      </c>
      <c r="C32" s="33" t="s">
        <v>13</v>
      </c>
      <c r="D32" s="33" t="s">
        <v>14</v>
      </c>
      <c r="E32" s="33" t="s">
        <v>13</v>
      </c>
      <c r="F32" s="33" t="s">
        <v>13</v>
      </c>
      <c r="G32" s="33" t="s">
        <v>15</v>
      </c>
    </row>
    <row r="33" ht="15.75" customHeight="1">
      <c r="A33" s="32">
        <v>31.0</v>
      </c>
      <c r="B33" s="33" t="s">
        <v>2704</v>
      </c>
      <c r="C33" s="33" t="s">
        <v>13</v>
      </c>
      <c r="D33" s="33">
        <v>9098772.0</v>
      </c>
      <c r="E33" s="33" t="s">
        <v>13</v>
      </c>
      <c r="F33" s="33" t="s">
        <v>13</v>
      </c>
      <c r="G33" s="33" t="s">
        <v>13</v>
      </c>
    </row>
    <row r="34" ht="15.75" customHeight="1">
      <c r="A34" s="32">
        <v>32.0</v>
      </c>
      <c r="B34" s="33" t="s">
        <v>502</v>
      </c>
      <c r="C34" s="33">
        <v>26.0</v>
      </c>
      <c r="D34" s="33" t="s">
        <v>13</v>
      </c>
      <c r="E34" s="33" t="s">
        <v>13</v>
      </c>
      <c r="F34" s="33" t="s">
        <v>330</v>
      </c>
      <c r="G34" s="33" t="s">
        <v>2671</v>
      </c>
    </row>
    <row r="35" ht="15.75" customHeight="1">
      <c r="A35" s="32">
        <v>33.0</v>
      </c>
      <c r="B35" s="33" t="s">
        <v>2705</v>
      </c>
      <c r="C35" s="33" t="s">
        <v>13</v>
      </c>
      <c r="D35" s="33">
        <v>2.632737E7</v>
      </c>
      <c r="E35" s="33" t="s">
        <v>13</v>
      </c>
      <c r="F35" s="33" t="s">
        <v>13</v>
      </c>
      <c r="G35" s="33" t="s">
        <v>13</v>
      </c>
    </row>
    <row r="36" ht="15.75" customHeight="1">
      <c r="A36" s="32">
        <v>34.0</v>
      </c>
      <c r="B36" s="33" t="s">
        <v>2706</v>
      </c>
      <c r="C36" s="33" t="s">
        <v>13</v>
      </c>
      <c r="D36" s="33">
        <v>2.632736E7</v>
      </c>
      <c r="E36" s="33" t="s">
        <v>13</v>
      </c>
      <c r="F36" s="33" t="s">
        <v>2681</v>
      </c>
      <c r="G36" s="33" t="s">
        <v>13</v>
      </c>
    </row>
    <row r="37" ht="15.75" customHeight="1">
      <c r="A37" s="32">
        <v>35.0</v>
      </c>
      <c r="B37" s="33" t="s">
        <v>2706</v>
      </c>
      <c r="C37" s="33" t="s">
        <v>13</v>
      </c>
      <c r="D37" s="33">
        <v>2.632736E8</v>
      </c>
      <c r="E37" s="33" t="s">
        <v>13</v>
      </c>
      <c r="F37" s="33" t="s">
        <v>13</v>
      </c>
      <c r="G37" s="33" t="s">
        <v>13</v>
      </c>
    </row>
    <row r="38" ht="15.75" customHeight="1">
      <c r="A38" s="32">
        <v>36.0</v>
      </c>
      <c r="B38" s="33" t="s">
        <v>2707</v>
      </c>
      <c r="C38" s="33" t="s">
        <v>13</v>
      </c>
      <c r="D38" s="33">
        <v>2087329.0</v>
      </c>
      <c r="E38" s="33" t="s">
        <v>13</v>
      </c>
      <c r="F38" s="33" t="s">
        <v>13</v>
      </c>
      <c r="G38" s="33" t="s">
        <v>13</v>
      </c>
    </row>
    <row r="39" ht="15.75" customHeight="1">
      <c r="A39" s="32">
        <v>37.0</v>
      </c>
      <c r="B39" s="33" t="s">
        <v>2708</v>
      </c>
      <c r="C39" s="33" t="s">
        <v>13</v>
      </c>
      <c r="D39" s="33">
        <v>2.2862728E7</v>
      </c>
      <c r="E39" s="33" t="s">
        <v>13</v>
      </c>
      <c r="F39" s="33" t="s">
        <v>13</v>
      </c>
      <c r="G39" s="33" t="s">
        <v>13</v>
      </c>
    </row>
    <row r="40" ht="15.75" customHeight="1">
      <c r="A40" s="32">
        <v>38.0</v>
      </c>
      <c r="B40" s="33" t="s">
        <v>2709</v>
      </c>
      <c r="C40" s="33" t="s">
        <v>13</v>
      </c>
      <c r="D40" s="33">
        <v>2.2490906E7</v>
      </c>
      <c r="E40" s="33" t="s">
        <v>13</v>
      </c>
      <c r="F40" s="33" t="s">
        <v>13</v>
      </c>
      <c r="G40" s="33" t="s">
        <v>13</v>
      </c>
    </row>
    <row r="41" ht="15.75" customHeight="1">
      <c r="A41" s="32">
        <v>39.0</v>
      </c>
      <c r="B41" s="33" t="s">
        <v>2710</v>
      </c>
      <c r="C41" s="33" t="s">
        <v>13</v>
      </c>
      <c r="D41" s="33" t="s">
        <v>13</v>
      </c>
      <c r="E41" s="33" t="s">
        <v>13</v>
      </c>
      <c r="F41" s="33" t="s">
        <v>13</v>
      </c>
      <c r="G41" s="33" t="s">
        <v>13</v>
      </c>
    </row>
    <row r="42" ht="15.75" customHeight="1">
      <c r="A42" s="32">
        <v>40.0</v>
      </c>
      <c r="B42" s="33" t="s">
        <v>2711</v>
      </c>
      <c r="C42" s="33">
        <v>29.0</v>
      </c>
      <c r="D42" s="33">
        <v>2.6327685E7</v>
      </c>
      <c r="E42" s="33" t="s">
        <v>13</v>
      </c>
      <c r="F42" s="33" t="s">
        <v>330</v>
      </c>
      <c r="G42" s="33" t="s">
        <v>2671</v>
      </c>
    </row>
    <row r="43" ht="15.75" customHeight="1">
      <c r="A43" s="32">
        <v>41.0</v>
      </c>
      <c r="B43" s="33" t="s">
        <v>2712</v>
      </c>
      <c r="C43" s="33">
        <v>14.0</v>
      </c>
      <c r="D43" s="33">
        <v>3.6337677E7</v>
      </c>
      <c r="E43" s="33" t="s">
        <v>13</v>
      </c>
      <c r="F43" s="33" t="s">
        <v>330</v>
      </c>
      <c r="G43" s="33" t="s">
        <v>2671</v>
      </c>
    </row>
    <row r="44" ht="15.75" customHeight="1">
      <c r="A44" s="32">
        <v>42.0</v>
      </c>
      <c r="B44" s="33" t="s">
        <v>2713</v>
      </c>
      <c r="C44" s="33" t="s">
        <v>13</v>
      </c>
      <c r="D44" s="33" t="s">
        <v>13</v>
      </c>
      <c r="E44" s="33" t="s">
        <v>13</v>
      </c>
      <c r="F44" s="33" t="s">
        <v>13</v>
      </c>
      <c r="G44" s="33" t="s">
        <v>13</v>
      </c>
    </row>
    <row r="45" ht="15.75" customHeight="1">
      <c r="A45" s="32">
        <v>43.0</v>
      </c>
      <c r="B45" s="33" t="s">
        <v>2714</v>
      </c>
      <c r="C45" s="33" t="s">
        <v>13</v>
      </c>
      <c r="D45" s="33">
        <v>1.5826899E7</v>
      </c>
      <c r="E45" s="33" t="s">
        <v>13</v>
      </c>
      <c r="F45" s="33" t="s">
        <v>13</v>
      </c>
      <c r="G45" s="33" t="s">
        <v>13</v>
      </c>
    </row>
    <row r="46" ht="15.75" customHeight="1">
      <c r="A46" s="32">
        <v>44.0</v>
      </c>
      <c r="B46" s="33" t="s">
        <v>2715</v>
      </c>
      <c r="C46" s="33" t="s">
        <v>13</v>
      </c>
      <c r="D46" s="33" t="s">
        <v>13</v>
      </c>
      <c r="E46" s="33" t="s">
        <v>13</v>
      </c>
      <c r="F46" s="33" t="s">
        <v>13</v>
      </c>
      <c r="G46" s="33" t="s">
        <v>13</v>
      </c>
    </row>
    <row r="47" ht="15.75" customHeight="1">
      <c r="A47" s="32">
        <v>45.0</v>
      </c>
      <c r="B47" s="33" t="s">
        <v>2716</v>
      </c>
      <c r="C47" s="33" t="s">
        <v>13</v>
      </c>
      <c r="D47" s="33" t="s">
        <v>13</v>
      </c>
      <c r="E47" s="33" t="s">
        <v>13</v>
      </c>
      <c r="F47" s="33" t="s">
        <v>13</v>
      </c>
      <c r="G47" s="33" t="s">
        <v>13</v>
      </c>
    </row>
    <row r="48" ht="15.75" customHeight="1">
      <c r="A48" s="32">
        <v>46.0</v>
      </c>
      <c r="B48" s="33" t="s">
        <v>559</v>
      </c>
      <c r="C48" s="33">
        <v>5.0</v>
      </c>
      <c r="D48" s="33">
        <v>1.1631045E7</v>
      </c>
      <c r="E48" s="33" t="s">
        <v>13</v>
      </c>
      <c r="F48" s="33" t="s">
        <v>330</v>
      </c>
      <c r="G48" s="33" t="s">
        <v>2671</v>
      </c>
    </row>
    <row r="49" ht="15.75" customHeight="1">
      <c r="A49" s="32">
        <v>47.0</v>
      </c>
      <c r="B49" s="33" t="s">
        <v>563</v>
      </c>
      <c r="C49" s="33">
        <v>62.0</v>
      </c>
      <c r="D49" s="33">
        <v>9696241.0</v>
      </c>
      <c r="E49" s="33" t="s">
        <v>13</v>
      </c>
      <c r="F49" s="33" t="s">
        <v>330</v>
      </c>
      <c r="G49" s="33" t="s">
        <v>2671</v>
      </c>
    </row>
    <row r="50" ht="15.75" customHeight="1">
      <c r="A50" s="32">
        <v>48.0</v>
      </c>
      <c r="B50" s="33" t="s">
        <v>2717</v>
      </c>
      <c r="C50" s="33">
        <v>91.0</v>
      </c>
      <c r="D50" s="33">
        <v>1582202.0</v>
      </c>
      <c r="E50" s="33" t="s">
        <v>13</v>
      </c>
      <c r="F50" s="33" t="s">
        <v>330</v>
      </c>
      <c r="G50" s="33" t="s">
        <v>2671</v>
      </c>
    </row>
    <row r="51" ht="15.75" customHeight="1">
      <c r="A51" s="32">
        <v>49.0</v>
      </c>
      <c r="B51" s="33" t="s">
        <v>2718</v>
      </c>
      <c r="C51" s="33" t="s">
        <v>13</v>
      </c>
      <c r="D51" s="33" t="s">
        <v>13</v>
      </c>
      <c r="E51" s="33" t="s">
        <v>13</v>
      </c>
      <c r="F51" s="33" t="s">
        <v>2681</v>
      </c>
      <c r="G51" s="33" t="s">
        <v>13</v>
      </c>
    </row>
    <row r="52" ht="15.75" customHeight="1">
      <c r="A52" s="32">
        <v>50.0</v>
      </c>
      <c r="B52" s="33" t="s">
        <v>2719</v>
      </c>
      <c r="C52" s="33" t="s">
        <v>13</v>
      </c>
      <c r="D52" s="33" t="s">
        <v>13</v>
      </c>
      <c r="E52" s="33" t="s">
        <v>13</v>
      </c>
      <c r="F52" s="33" t="s">
        <v>13</v>
      </c>
      <c r="G52" s="33" t="s">
        <v>13</v>
      </c>
    </row>
    <row r="53" ht="15.75" customHeight="1">
      <c r="A53" s="32">
        <v>51.0</v>
      </c>
      <c r="B53" s="33" t="s">
        <v>2720</v>
      </c>
      <c r="C53" s="33">
        <v>33.0</v>
      </c>
      <c r="D53" s="33">
        <v>2.0558903E7</v>
      </c>
      <c r="E53" s="33" t="s">
        <v>13</v>
      </c>
      <c r="F53" s="33" t="s">
        <v>2721</v>
      </c>
      <c r="G53" s="33" t="s">
        <v>2722</v>
      </c>
    </row>
    <row r="54" ht="15.75" customHeight="1">
      <c r="A54" s="32">
        <v>52.0</v>
      </c>
      <c r="B54" s="33" t="s">
        <v>2723</v>
      </c>
      <c r="C54" s="33" t="s">
        <v>13</v>
      </c>
      <c r="D54" s="33" t="s">
        <v>13</v>
      </c>
      <c r="E54" s="33" t="s">
        <v>13</v>
      </c>
      <c r="F54" s="33" t="s">
        <v>2724</v>
      </c>
      <c r="G54" s="33" t="s">
        <v>13</v>
      </c>
    </row>
    <row r="55" ht="15.75" customHeight="1">
      <c r="A55" s="32">
        <v>53.0</v>
      </c>
      <c r="B55" s="33" t="s">
        <v>2725</v>
      </c>
      <c r="C55" s="33" t="s">
        <v>13</v>
      </c>
      <c r="D55" s="33">
        <v>2.5867267E8</v>
      </c>
      <c r="E55" s="33" t="s">
        <v>13</v>
      </c>
      <c r="F55" s="33" t="s">
        <v>13</v>
      </c>
      <c r="G55" s="33" t="s">
        <v>13</v>
      </c>
    </row>
    <row r="56" ht="15.75" customHeight="1">
      <c r="A56" s="32">
        <v>54.0</v>
      </c>
      <c r="B56" s="33" t="s">
        <v>2726</v>
      </c>
      <c r="C56" s="33" t="s">
        <v>13</v>
      </c>
      <c r="D56" s="33" t="s">
        <v>13</v>
      </c>
      <c r="E56" s="33" t="s">
        <v>13</v>
      </c>
      <c r="F56" s="33" t="s">
        <v>13</v>
      </c>
      <c r="G56" s="33" t="s">
        <v>13</v>
      </c>
    </row>
    <row r="57" ht="15.75" customHeight="1">
      <c r="A57" s="32">
        <v>55.0</v>
      </c>
      <c r="B57" s="33" t="s">
        <v>2727</v>
      </c>
      <c r="C57" s="33" t="s">
        <v>13</v>
      </c>
      <c r="D57" s="33" t="s">
        <v>13</v>
      </c>
      <c r="E57" s="33" t="s">
        <v>13</v>
      </c>
      <c r="F57" s="33" t="s">
        <v>13</v>
      </c>
      <c r="G57" s="33" t="s">
        <v>13</v>
      </c>
    </row>
    <row r="58" ht="15.75" customHeight="1">
      <c r="A58" s="32">
        <v>56.0</v>
      </c>
      <c r="B58" s="33" t="s">
        <v>2728</v>
      </c>
      <c r="C58" s="33" t="s">
        <v>13</v>
      </c>
      <c r="D58" s="33" t="s">
        <v>13</v>
      </c>
      <c r="E58" s="33" t="s">
        <v>13</v>
      </c>
      <c r="F58" s="33" t="s">
        <v>13</v>
      </c>
      <c r="G58" s="33" t="s">
        <v>13</v>
      </c>
    </row>
    <row r="59" ht="15.75" customHeight="1">
      <c r="A59" s="32">
        <v>57.0</v>
      </c>
      <c r="B59" s="33" t="s">
        <v>2728</v>
      </c>
      <c r="C59" s="33" t="s">
        <v>13</v>
      </c>
      <c r="D59" s="33" t="s">
        <v>13</v>
      </c>
      <c r="E59" s="33" t="s">
        <v>13</v>
      </c>
      <c r="F59" s="33" t="s">
        <v>2681</v>
      </c>
      <c r="G59" s="33" t="s">
        <v>13</v>
      </c>
    </row>
    <row r="60" ht="15.75" customHeight="1">
      <c r="A60" s="32">
        <v>58.0</v>
      </c>
      <c r="B60" s="33" t="s">
        <v>2729</v>
      </c>
      <c r="C60" s="33" t="s">
        <v>13</v>
      </c>
      <c r="D60" s="33">
        <v>3.2191309E7</v>
      </c>
      <c r="E60" s="33" t="s">
        <v>13</v>
      </c>
      <c r="F60" s="33" t="s">
        <v>2681</v>
      </c>
      <c r="G60" s="33" t="s">
        <v>13</v>
      </c>
    </row>
    <row r="61" ht="15.75" customHeight="1">
      <c r="A61" s="32">
        <v>59.0</v>
      </c>
      <c r="B61" s="33" t="s">
        <v>2730</v>
      </c>
      <c r="C61" s="33" t="s">
        <v>13</v>
      </c>
      <c r="D61" s="33">
        <v>2.2550084E7</v>
      </c>
      <c r="E61" s="33" t="s">
        <v>13</v>
      </c>
      <c r="F61" s="33" t="s">
        <v>2681</v>
      </c>
      <c r="G61" s="33" t="s">
        <v>13</v>
      </c>
    </row>
    <row r="62" ht="15.75" customHeight="1">
      <c r="A62" s="32">
        <v>60.0</v>
      </c>
      <c r="B62" s="33" t="s">
        <v>2731</v>
      </c>
      <c r="C62" s="33" t="s">
        <v>13</v>
      </c>
      <c r="D62" s="33">
        <v>6325140.0</v>
      </c>
      <c r="E62" s="33" t="s">
        <v>13</v>
      </c>
      <c r="F62" s="33" t="s">
        <v>13</v>
      </c>
      <c r="G62" s="33" t="s">
        <v>13</v>
      </c>
    </row>
    <row r="63" ht="15.75" customHeight="1">
      <c r="A63" s="32">
        <v>61.0</v>
      </c>
      <c r="B63" s="33" t="s">
        <v>2732</v>
      </c>
      <c r="C63" s="33" t="s">
        <v>13</v>
      </c>
      <c r="D63" s="33">
        <v>2.6059358E7</v>
      </c>
      <c r="E63" s="33" t="s">
        <v>13</v>
      </c>
      <c r="F63" s="33" t="s">
        <v>2681</v>
      </c>
      <c r="G63" s="33" t="s">
        <v>13</v>
      </c>
    </row>
    <row r="64" ht="15.75" customHeight="1">
      <c r="A64" s="32">
        <v>62.0</v>
      </c>
      <c r="B64" s="33" t="s">
        <v>2733</v>
      </c>
      <c r="C64" s="33" t="s">
        <v>13</v>
      </c>
      <c r="D64" s="33">
        <v>1.0213915E7</v>
      </c>
      <c r="E64" s="33" t="s">
        <v>13</v>
      </c>
      <c r="F64" s="33" t="s">
        <v>2734</v>
      </c>
      <c r="G64" s="33" t="s">
        <v>2735</v>
      </c>
    </row>
    <row r="65" ht="15.75" customHeight="1">
      <c r="A65" s="32">
        <v>63.0</v>
      </c>
      <c r="B65" s="33" t="s">
        <v>2736</v>
      </c>
      <c r="C65" s="33" t="s">
        <v>13</v>
      </c>
      <c r="D65" s="33" t="s">
        <v>13</v>
      </c>
      <c r="E65" s="33" t="s">
        <v>13</v>
      </c>
      <c r="F65" s="33" t="s">
        <v>13</v>
      </c>
      <c r="G65" s="33" t="s">
        <v>2688</v>
      </c>
    </row>
    <row r="66" ht="15.75" customHeight="1">
      <c r="A66" s="32">
        <v>64.0</v>
      </c>
      <c r="B66" s="33" t="s">
        <v>2737</v>
      </c>
      <c r="C66" s="33" t="s">
        <v>13</v>
      </c>
      <c r="D66" s="33">
        <v>1.7710318E7</v>
      </c>
      <c r="E66" s="33" t="s">
        <v>13</v>
      </c>
      <c r="F66" s="33" t="s">
        <v>2681</v>
      </c>
      <c r="G66" s="33" t="s">
        <v>13</v>
      </c>
    </row>
    <row r="67" ht="15.75" customHeight="1">
      <c r="A67" s="32">
        <v>65.0</v>
      </c>
      <c r="B67" s="33" t="s">
        <v>2738</v>
      </c>
      <c r="C67" s="33" t="s">
        <v>13</v>
      </c>
      <c r="D67" s="33">
        <v>2.659082E7</v>
      </c>
      <c r="E67" s="33" t="s">
        <v>13</v>
      </c>
      <c r="F67" s="33" t="s">
        <v>2739</v>
      </c>
      <c r="G67" s="33" t="s">
        <v>13</v>
      </c>
    </row>
    <row r="68" ht="15.75" customHeight="1">
      <c r="A68" s="32">
        <v>66.0</v>
      </c>
      <c r="B68" s="33" t="s">
        <v>2738</v>
      </c>
      <c r="C68" s="33" t="s">
        <v>13</v>
      </c>
      <c r="D68" s="33">
        <v>2.659082E7</v>
      </c>
      <c r="E68" s="33" t="s">
        <v>13</v>
      </c>
      <c r="F68" s="33" t="s">
        <v>2740</v>
      </c>
      <c r="G68" s="33" t="s">
        <v>13</v>
      </c>
    </row>
    <row r="69" ht="15.75" customHeight="1">
      <c r="A69" s="32">
        <v>67.0</v>
      </c>
      <c r="B69" s="33" t="s">
        <v>2741</v>
      </c>
      <c r="C69" s="33" t="s">
        <v>13</v>
      </c>
      <c r="D69" s="33">
        <v>1.8709145E7</v>
      </c>
      <c r="E69" s="33" t="s">
        <v>13</v>
      </c>
      <c r="F69" s="33" t="s">
        <v>13</v>
      </c>
      <c r="G69" s="33" t="s">
        <v>13</v>
      </c>
    </row>
    <row r="70" ht="15.75" customHeight="1">
      <c r="A70" s="32">
        <v>68.0</v>
      </c>
      <c r="B70" s="33" t="s">
        <v>2742</v>
      </c>
      <c r="C70" s="33" t="s">
        <v>1731</v>
      </c>
      <c r="D70" s="33">
        <v>1.8709145E8</v>
      </c>
      <c r="E70" s="33" t="s">
        <v>13</v>
      </c>
      <c r="F70" s="33" t="s">
        <v>330</v>
      </c>
      <c r="G70" s="33" t="s">
        <v>1731</v>
      </c>
    </row>
    <row r="71" ht="15.75" customHeight="1">
      <c r="A71" s="32">
        <v>69.0</v>
      </c>
      <c r="B71" s="33" t="s">
        <v>2743</v>
      </c>
      <c r="C71" s="33">
        <v>88.0</v>
      </c>
      <c r="D71" s="33">
        <v>1.4464454E7</v>
      </c>
      <c r="E71" s="33" t="s">
        <v>13</v>
      </c>
      <c r="F71" s="33" t="s">
        <v>330</v>
      </c>
      <c r="G71" s="33" t="s">
        <v>2671</v>
      </c>
    </row>
    <row r="72" ht="15.75" customHeight="1">
      <c r="A72" s="32">
        <v>70.0</v>
      </c>
      <c r="B72" s="33" t="s">
        <v>1886</v>
      </c>
      <c r="C72" s="33" t="s">
        <v>13</v>
      </c>
      <c r="D72" s="33" t="s">
        <v>13</v>
      </c>
      <c r="E72" s="33" t="s">
        <v>13</v>
      </c>
      <c r="F72" s="33" t="s">
        <v>13</v>
      </c>
      <c r="G72" s="33" t="s">
        <v>13</v>
      </c>
    </row>
    <row r="73" ht="15.75" customHeight="1">
      <c r="A73" s="32">
        <v>71.0</v>
      </c>
      <c r="B73" s="33" t="s">
        <v>2744</v>
      </c>
      <c r="C73" s="33">
        <v>41.0</v>
      </c>
      <c r="D73" s="33">
        <v>1.9445341E7</v>
      </c>
      <c r="E73" s="33" t="s">
        <v>13</v>
      </c>
      <c r="F73" s="33" t="s">
        <v>330</v>
      </c>
      <c r="G73" s="33" t="s">
        <v>2671</v>
      </c>
    </row>
    <row r="74" ht="15.75" customHeight="1">
      <c r="A74" s="32">
        <v>72.0</v>
      </c>
      <c r="B74" s="33" t="s">
        <v>2745</v>
      </c>
      <c r="C74" s="33" t="s">
        <v>13</v>
      </c>
      <c r="D74" s="33">
        <v>3.1777653E7</v>
      </c>
      <c r="E74" s="33" t="s">
        <v>13</v>
      </c>
      <c r="F74" s="33" t="s">
        <v>13</v>
      </c>
      <c r="G74" s="33" t="s">
        <v>13</v>
      </c>
    </row>
    <row r="75" ht="15.75" customHeight="1">
      <c r="A75" s="32">
        <v>73.0</v>
      </c>
      <c r="B75" s="33" t="s">
        <v>2746</v>
      </c>
      <c r="C75" s="33" t="s">
        <v>13</v>
      </c>
      <c r="D75" s="33" t="s">
        <v>14</v>
      </c>
      <c r="E75" s="33" t="s">
        <v>13</v>
      </c>
      <c r="F75" s="33" t="s">
        <v>13</v>
      </c>
      <c r="G75" s="33" t="s">
        <v>15</v>
      </c>
    </row>
    <row r="76" ht="15.75" customHeight="1">
      <c r="A76" s="32">
        <v>74.0</v>
      </c>
      <c r="B76" s="33" t="s">
        <v>2747</v>
      </c>
      <c r="C76" s="33" t="s">
        <v>13</v>
      </c>
      <c r="D76" s="33" t="s">
        <v>14</v>
      </c>
      <c r="E76" s="33" t="s">
        <v>13</v>
      </c>
      <c r="F76" s="33" t="s">
        <v>13</v>
      </c>
      <c r="G76" s="33" t="s">
        <v>15</v>
      </c>
    </row>
    <row r="77" ht="15.75" customHeight="1">
      <c r="A77" s="32">
        <v>75.0</v>
      </c>
      <c r="B77" s="33" t="s">
        <v>2748</v>
      </c>
      <c r="C77" s="33" t="s">
        <v>13</v>
      </c>
      <c r="D77" s="33" t="s">
        <v>13</v>
      </c>
      <c r="E77" s="33" t="s">
        <v>13</v>
      </c>
      <c r="F77" s="33" t="s">
        <v>13</v>
      </c>
      <c r="G77" s="33" t="s">
        <v>13</v>
      </c>
    </row>
    <row r="78" ht="15.75" customHeight="1">
      <c r="A78" s="32">
        <v>76.0</v>
      </c>
      <c r="B78" s="33" t="s">
        <v>2749</v>
      </c>
      <c r="C78" s="33">
        <v>94.0</v>
      </c>
      <c r="D78" s="33" t="s">
        <v>13</v>
      </c>
      <c r="E78" s="33" t="s">
        <v>13</v>
      </c>
      <c r="F78" s="33" t="s">
        <v>13</v>
      </c>
      <c r="G78" s="33" t="s">
        <v>2669</v>
      </c>
    </row>
    <row r="79" ht="15.75" customHeight="1">
      <c r="A79" s="32">
        <v>77.0</v>
      </c>
      <c r="B79" s="33" t="s">
        <v>2750</v>
      </c>
      <c r="C79" s="33" t="s">
        <v>13</v>
      </c>
      <c r="D79" s="33">
        <v>2.5867263E7</v>
      </c>
      <c r="E79" s="33" t="s">
        <v>13</v>
      </c>
      <c r="F79" s="33" t="s">
        <v>2734</v>
      </c>
      <c r="G79" s="33" t="s">
        <v>13</v>
      </c>
    </row>
    <row r="80" ht="15.75" customHeight="1">
      <c r="A80" s="32">
        <v>78.0</v>
      </c>
      <c r="B80" s="33" t="s">
        <v>587</v>
      </c>
      <c r="C80" s="33">
        <v>23.0</v>
      </c>
      <c r="D80" s="33" t="s">
        <v>13</v>
      </c>
      <c r="E80" s="33" t="s">
        <v>13</v>
      </c>
      <c r="F80" s="33" t="s">
        <v>2751</v>
      </c>
      <c r="G80" s="33" t="s">
        <v>2671</v>
      </c>
    </row>
    <row r="81" ht="15.75" customHeight="1">
      <c r="A81" s="32">
        <v>79.0</v>
      </c>
      <c r="B81" s="33" t="s">
        <v>2752</v>
      </c>
      <c r="C81" s="33">
        <v>34.0</v>
      </c>
      <c r="D81" s="33" t="s">
        <v>13</v>
      </c>
      <c r="E81" s="33" t="s">
        <v>13</v>
      </c>
      <c r="F81" s="33" t="s">
        <v>330</v>
      </c>
      <c r="G81" s="33" t="s">
        <v>2671</v>
      </c>
    </row>
    <row r="82" ht="15.75" customHeight="1">
      <c r="A82" s="32">
        <v>80.0</v>
      </c>
      <c r="B82" s="33" t="s">
        <v>2753</v>
      </c>
      <c r="C82" s="33" t="s">
        <v>13</v>
      </c>
      <c r="D82" s="33">
        <v>2.2516346E7</v>
      </c>
      <c r="E82" s="33" t="s">
        <v>13</v>
      </c>
      <c r="F82" s="33" t="s">
        <v>2681</v>
      </c>
      <c r="G82" s="33" t="s">
        <v>2754</v>
      </c>
    </row>
    <row r="83" ht="15.75" customHeight="1">
      <c r="A83" s="32">
        <v>81.0</v>
      </c>
      <c r="B83" s="33" t="s">
        <v>2755</v>
      </c>
      <c r="C83" s="33" t="s">
        <v>13</v>
      </c>
      <c r="D83" s="33">
        <v>1.2150067E7</v>
      </c>
      <c r="E83" s="33" t="s">
        <v>13</v>
      </c>
      <c r="F83" s="33" t="s">
        <v>13</v>
      </c>
      <c r="G83" s="33" t="s">
        <v>13</v>
      </c>
    </row>
    <row r="84" ht="15.75" customHeight="1">
      <c r="A84" s="32">
        <v>82.0</v>
      </c>
      <c r="B84" s="33" t="s">
        <v>2756</v>
      </c>
      <c r="C84" s="33" t="s">
        <v>13</v>
      </c>
      <c r="D84" s="33">
        <v>1.9721253E7</v>
      </c>
      <c r="E84" s="33" t="s">
        <v>13</v>
      </c>
      <c r="F84" s="33" t="s">
        <v>13</v>
      </c>
      <c r="G84" s="33" t="s">
        <v>13</v>
      </c>
    </row>
    <row r="85" ht="15.75" customHeight="1">
      <c r="A85" s="32">
        <v>83.0</v>
      </c>
      <c r="B85" s="33" t="s">
        <v>2757</v>
      </c>
      <c r="C85" s="33" t="s">
        <v>13</v>
      </c>
      <c r="D85" s="33">
        <v>3.1541118E7</v>
      </c>
      <c r="E85" s="33" t="s">
        <v>13</v>
      </c>
      <c r="F85" s="33" t="s">
        <v>2681</v>
      </c>
      <c r="G85" s="33" t="s">
        <v>13</v>
      </c>
    </row>
    <row r="86" ht="15.75" customHeight="1">
      <c r="A86" s="32">
        <v>84.0</v>
      </c>
      <c r="B86" s="33" t="s">
        <v>2758</v>
      </c>
      <c r="C86" s="33" t="s">
        <v>13</v>
      </c>
      <c r="D86" s="33">
        <v>3.7143398E7</v>
      </c>
      <c r="E86" s="33" t="s">
        <v>13</v>
      </c>
      <c r="F86" s="33" t="s">
        <v>13</v>
      </c>
      <c r="G86" s="33" t="s">
        <v>13</v>
      </c>
    </row>
    <row r="87" ht="15.75" customHeight="1">
      <c r="A87" s="32">
        <v>85.0</v>
      </c>
      <c r="B87" s="33" t="s">
        <v>2759</v>
      </c>
      <c r="C87" s="33" t="s">
        <v>13</v>
      </c>
      <c r="D87" s="33">
        <v>1.719003E7</v>
      </c>
      <c r="E87" s="33" t="s">
        <v>13</v>
      </c>
      <c r="F87" s="33" t="s">
        <v>13</v>
      </c>
      <c r="G87" s="33" t="s">
        <v>13</v>
      </c>
    </row>
    <row r="88" ht="15.75" customHeight="1">
      <c r="A88" s="32">
        <v>86.0</v>
      </c>
      <c r="B88" s="33" t="s">
        <v>2760</v>
      </c>
      <c r="C88" s="33">
        <v>70.0</v>
      </c>
      <c r="D88" s="33" t="s">
        <v>13</v>
      </c>
      <c r="E88" s="33" t="s">
        <v>13</v>
      </c>
      <c r="F88" s="33" t="s">
        <v>13</v>
      </c>
      <c r="G88" s="33" t="s">
        <v>2761</v>
      </c>
    </row>
    <row r="89" ht="15.75" customHeight="1">
      <c r="A89" s="32">
        <v>87.0</v>
      </c>
      <c r="B89" s="33" t="s">
        <v>2762</v>
      </c>
      <c r="C89" s="33">
        <v>31.0</v>
      </c>
      <c r="D89" s="33">
        <v>2.1622464E7</v>
      </c>
      <c r="E89" s="33" t="s">
        <v>13</v>
      </c>
      <c r="F89" s="33" t="s">
        <v>330</v>
      </c>
      <c r="G89" s="33" t="s">
        <v>2763</v>
      </c>
    </row>
    <row r="90" ht="15.75" customHeight="1">
      <c r="A90" s="32">
        <v>88.0</v>
      </c>
      <c r="B90" s="33" t="s">
        <v>2764</v>
      </c>
      <c r="C90" s="33" t="s">
        <v>13</v>
      </c>
      <c r="D90" s="33">
        <v>1.0815359E7</v>
      </c>
      <c r="E90" s="33" t="s">
        <v>13</v>
      </c>
      <c r="F90" s="33" t="s">
        <v>13</v>
      </c>
      <c r="G90" s="33" t="s">
        <v>13</v>
      </c>
    </row>
    <row r="91" ht="15.75" customHeight="1">
      <c r="A91" s="32">
        <v>89.0</v>
      </c>
      <c r="B91" s="33" t="s">
        <v>2765</v>
      </c>
      <c r="C91" s="33" t="s">
        <v>13</v>
      </c>
      <c r="D91" s="33" t="s">
        <v>13</v>
      </c>
      <c r="E91" s="33" t="s">
        <v>13</v>
      </c>
      <c r="F91" s="33" t="s">
        <v>13</v>
      </c>
      <c r="G91" s="33" t="s">
        <v>2669</v>
      </c>
    </row>
    <row r="92" ht="15.75" customHeight="1">
      <c r="A92" s="32">
        <v>90.0</v>
      </c>
      <c r="B92" s="33" t="s">
        <v>2766</v>
      </c>
      <c r="C92" s="33" t="s">
        <v>13</v>
      </c>
      <c r="D92" s="33">
        <v>1.7587273E7</v>
      </c>
      <c r="E92" s="33" t="s">
        <v>13</v>
      </c>
      <c r="F92" s="33" t="s">
        <v>13</v>
      </c>
      <c r="G92" s="33" t="s">
        <v>13</v>
      </c>
    </row>
    <row r="93" ht="15.75" customHeight="1">
      <c r="A93" s="32">
        <v>91.0</v>
      </c>
      <c r="B93" s="33" t="s">
        <v>2767</v>
      </c>
      <c r="C93" s="33" t="s">
        <v>13</v>
      </c>
      <c r="D93" s="33">
        <v>2.7915258E7</v>
      </c>
      <c r="E93" s="33" t="s">
        <v>13</v>
      </c>
      <c r="F93" s="33" t="s">
        <v>13</v>
      </c>
      <c r="G93" s="33" t="s">
        <v>13</v>
      </c>
    </row>
    <row r="94" ht="15.75" customHeight="1">
      <c r="A94" s="32">
        <v>92.0</v>
      </c>
      <c r="B94" s="33" t="s">
        <v>2768</v>
      </c>
      <c r="C94" s="33" t="s">
        <v>13</v>
      </c>
      <c r="D94" s="33" t="s">
        <v>13</v>
      </c>
      <c r="E94" s="33" t="s">
        <v>13</v>
      </c>
      <c r="F94" s="33" t="s">
        <v>2769</v>
      </c>
      <c r="G94" s="33" t="s">
        <v>13</v>
      </c>
    </row>
    <row r="95" ht="15.75" customHeight="1">
      <c r="A95" s="32">
        <v>93.0</v>
      </c>
      <c r="B95" s="33" t="s">
        <v>2770</v>
      </c>
      <c r="C95" s="33" t="s">
        <v>13</v>
      </c>
      <c r="D95" s="33">
        <v>1.3483204E7</v>
      </c>
      <c r="E95" s="33" t="s">
        <v>13</v>
      </c>
      <c r="F95" s="33" t="s">
        <v>13</v>
      </c>
      <c r="G95" s="33" t="s">
        <v>13</v>
      </c>
    </row>
    <row r="96" ht="15.75" customHeight="1">
      <c r="A96" s="32">
        <v>94.0</v>
      </c>
      <c r="B96" s="33" t="s">
        <v>2771</v>
      </c>
      <c r="C96" s="33" t="s">
        <v>13</v>
      </c>
      <c r="D96" s="33">
        <v>1.371621E7</v>
      </c>
      <c r="E96" s="33" t="s">
        <v>13</v>
      </c>
      <c r="F96" s="33" t="s">
        <v>13</v>
      </c>
      <c r="G96" s="33" t="s">
        <v>13</v>
      </c>
    </row>
    <row r="97" ht="15.75" customHeight="1">
      <c r="A97" s="32">
        <v>95.0</v>
      </c>
      <c r="B97" s="33" t="s">
        <v>2772</v>
      </c>
      <c r="C97" s="33" t="s">
        <v>13</v>
      </c>
      <c r="D97" s="33" t="s">
        <v>13</v>
      </c>
      <c r="E97" s="33" t="s">
        <v>13</v>
      </c>
      <c r="F97" s="33" t="s">
        <v>13</v>
      </c>
      <c r="G97" s="33" t="s">
        <v>13</v>
      </c>
    </row>
    <row r="98" ht="15.75" customHeight="1">
      <c r="A98" s="32">
        <v>96.0</v>
      </c>
      <c r="B98" s="33" t="s">
        <v>2773</v>
      </c>
      <c r="C98" s="33">
        <v>23.0</v>
      </c>
      <c r="D98" s="33">
        <v>3.0314231E7</v>
      </c>
      <c r="E98" s="33" t="s">
        <v>13</v>
      </c>
      <c r="F98" s="33" t="s">
        <v>330</v>
      </c>
      <c r="G98" s="33" t="s">
        <v>2671</v>
      </c>
    </row>
    <row r="99" ht="15.75" customHeight="1">
      <c r="A99" s="32">
        <v>97.0</v>
      </c>
      <c r="B99" s="33" t="s">
        <v>2774</v>
      </c>
      <c r="C99" s="33" t="s">
        <v>13</v>
      </c>
      <c r="D99" s="33" t="s">
        <v>13</v>
      </c>
      <c r="E99" s="33" t="s">
        <v>13</v>
      </c>
      <c r="F99" s="33" t="s">
        <v>13</v>
      </c>
      <c r="G99" s="33" t="s">
        <v>13</v>
      </c>
    </row>
    <row r="100" ht="15.75" customHeight="1">
      <c r="A100" s="32">
        <v>98.0</v>
      </c>
      <c r="B100" s="33" t="s">
        <v>2774</v>
      </c>
      <c r="C100" s="33" t="s">
        <v>13</v>
      </c>
      <c r="D100" s="33" t="s">
        <v>13</v>
      </c>
      <c r="E100" s="33" t="s">
        <v>13</v>
      </c>
      <c r="F100" s="33" t="s">
        <v>13</v>
      </c>
      <c r="G100" s="33" t="s">
        <v>13</v>
      </c>
    </row>
    <row r="101" ht="15.75" customHeight="1">
      <c r="A101" s="32">
        <v>99.0</v>
      </c>
      <c r="B101" s="33" t="s">
        <v>1959</v>
      </c>
      <c r="C101" s="33" t="s">
        <v>13</v>
      </c>
      <c r="D101" s="33" t="s">
        <v>13</v>
      </c>
      <c r="E101" s="33" t="s">
        <v>13</v>
      </c>
      <c r="F101" s="33" t="s">
        <v>13</v>
      </c>
      <c r="G101" s="33" t="s">
        <v>13</v>
      </c>
    </row>
    <row r="102" ht="15.75" customHeight="1">
      <c r="A102" s="32">
        <v>100.0</v>
      </c>
      <c r="B102" s="33" t="s">
        <v>1959</v>
      </c>
      <c r="C102" s="33" t="s">
        <v>13</v>
      </c>
      <c r="D102" s="33">
        <v>3.3140119E7</v>
      </c>
      <c r="E102" s="33" t="s">
        <v>13</v>
      </c>
      <c r="F102" s="33" t="s">
        <v>13</v>
      </c>
      <c r="G102" s="33" t="s">
        <v>13</v>
      </c>
    </row>
    <row r="103" ht="15.75" customHeight="1">
      <c r="A103" s="32">
        <v>101.0</v>
      </c>
      <c r="B103" s="33" t="s">
        <v>2775</v>
      </c>
      <c r="C103" s="33" t="s">
        <v>13</v>
      </c>
      <c r="D103" s="33" t="s">
        <v>13</v>
      </c>
      <c r="E103" s="33" t="s">
        <v>13</v>
      </c>
      <c r="F103" s="33" t="s">
        <v>2681</v>
      </c>
      <c r="G103" s="33" t="s">
        <v>13</v>
      </c>
    </row>
    <row r="104" ht="15.75" customHeight="1">
      <c r="A104" s="32">
        <v>102.0</v>
      </c>
      <c r="B104" s="33" t="s">
        <v>2776</v>
      </c>
      <c r="C104" s="33" t="s">
        <v>13</v>
      </c>
      <c r="D104" s="33" t="s">
        <v>13</v>
      </c>
      <c r="E104" s="33" t="s">
        <v>13</v>
      </c>
      <c r="F104" s="33" t="s">
        <v>13</v>
      </c>
      <c r="G104" s="33" t="s">
        <v>13</v>
      </c>
    </row>
    <row r="105" ht="15.75" customHeight="1">
      <c r="A105" s="32">
        <v>103.0</v>
      </c>
      <c r="B105" s="33" t="s">
        <v>2776</v>
      </c>
      <c r="C105" s="33" t="s">
        <v>13</v>
      </c>
      <c r="D105" s="33" t="s">
        <v>13</v>
      </c>
      <c r="E105" s="33" t="s">
        <v>13</v>
      </c>
      <c r="F105" s="33" t="s">
        <v>2681</v>
      </c>
      <c r="G105" s="33" t="s">
        <v>13</v>
      </c>
    </row>
    <row r="106" ht="15.75" customHeight="1">
      <c r="A106" s="32">
        <v>104.0</v>
      </c>
      <c r="B106" s="33" t="s">
        <v>637</v>
      </c>
      <c r="C106" s="33">
        <v>34.0</v>
      </c>
      <c r="D106" s="33">
        <v>1.0801488E7</v>
      </c>
      <c r="E106" s="33" t="s">
        <v>13</v>
      </c>
      <c r="F106" s="33" t="s">
        <v>330</v>
      </c>
      <c r="G106" s="33" t="s">
        <v>2671</v>
      </c>
    </row>
    <row r="107" ht="15.75" customHeight="1">
      <c r="A107" s="32">
        <v>105.0</v>
      </c>
      <c r="B107" s="33" t="s">
        <v>2777</v>
      </c>
      <c r="C107" s="33" t="s">
        <v>13</v>
      </c>
      <c r="D107" s="33">
        <v>2.1395683E7</v>
      </c>
      <c r="E107" s="33" t="s">
        <v>13</v>
      </c>
      <c r="F107" s="33" t="s">
        <v>2681</v>
      </c>
      <c r="G107" s="33" t="s">
        <v>13</v>
      </c>
    </row>
    <row r="108" ht="15.75" customHeight="1">
      <c r="A108" s="32">
        <v>106.0</v>
      </c>
      <c r="B108" s="33" t="s">
        <v>2778</v>
      </c>
      <c r="C108" s="33">
        <v>22.0</v>
      </c>
      <c r="D108" s="33" t="s">
        <v>13</v>
      </c>
      <c r="E108" s="33" t="s">
        <v>13</v>
      </c>
      <c r="F108" s="33" t="s">
        <v>13</v>
      </c>
      <c r="G108" s="33" t="s">
        <v>2779</v>
      </c>
    </row>
    <row r="109" ht="15.75" customHeight="1">
      <c r="A109" s="32">
        <v>107.0</v>
      </c>
      <c r="B109" s="33" t="s">
        <v>2780</v>
      </c>
      <c r="C109" s="33" t="s">
        <v>13</v>
      </c>
      <c r="D109" s="33">
        <v>3.0527436E7</v>
      </c>
      <c r="E109" s="33" t="s">
        <v>13</v>
      </c>
      <c r="F109" s="33" t="s">
        <v>13</v>
      </c>
      <c r="G109" s="33" t="s">
        <v>13</v>
      </c>
    </row>
    <row r="110" ht="15.75" customHeight="1">
      <c r="A110" s="32">
        <v>108.0</v>
      </c>
      <c r="B110" s="33" t="s">
        <v>2781</v>
      </c>
      <c r="C110" s="33" t="s">
        <v>13</v>
      </c>
      <c r="D110" s="33" t="s">
        <v>13</v>
      </c>
      <c r="E110" s="33" t="s">
        <v>13</v>
      </c>
      <c r="F110" s="33" t="s">
        <v>2681</v>
      </c>
      <c r="G110" s="33" t="s">
        <v>13</v>
      </c>
    </row>
    <row r="111" ht="15.75" customHeight="1">
      <c r="A111" s="32">
        <v>109.0</v>
      </c>
      <c r="B111" s="33" t="s">
        <v>2782</v>
      </c>
      <c r="C111" s="33" t="s">
        <v>13</v>
      </c>
      <c r="D111" s="33" t="s">
        <v>13</v>
      </c>
      <c r="E111" s="33" t="s">
        <v>13</v>
      </c>
      <c r="F111" s="33" t="s">
        <v>13</v>
      </c>
      <c r="G111" s="33" t="s">
        <v>13</v>
      </c>
    </row>
    <row r="112" ht="15.75" customHeight="1">
      <c r="A112" s="32">
        <v>110.0</v>
      </c>
      <c r="B112" s="33" t="s">
        <v>2783</v>
      </c>
      <c r="C112" s="33" t="s">
        <v>13</v>
      </c>
      <c r="D112" s="33" t="s">
        <v>14</v>
      </c>
      <c r="E112" s="33" t="s">
        <v>13</v>
      </c>
      <c r="F112" s="33" t="s">
        <v>13</v>
      </c>
      <c r="G112" s="33" t="s">
        <v>15</v>
      </c>
    </row>
    <row r="113" ht="15.75" customHeight="1">
      <c r="A113" s="32">
        <v>111.0</v>
      </c>
      <c r="B113" s="33" t="s">
        <v>2784</v>
      </c>
      <c r="C113" s="33" t="s">
        <v>13</v>
      </c>
      <c r="D113" s="33">
        <v>3.29197E8</v>
      </c>
      <c r="E113" s="33" t="s">
        <v>13</v>
      </c>
      <c r="F113" s="33" t="s">
        <v>13</v>
      </c>
      <c r="G113" s="33" t="s">
        <v>13</v>
      </c>
    </row>
    <row r="114" ht="15.75" customHeight="1">
      <c r="A114" s="32">
        <v>112.0</v>
      </c>
      <c r="B114" s="33" t="s">
        <v>2785</v>
      </c>
      <c r="C114" s="33" t="s">
        <v>13</v>
      </c>
      <c r="D114" s="33">
        <v>3.29197E7</v>
      </c>
      <c r="E114" s="33" t="s">
        <v>13</v>
      </c>
      <c r="F114" s="33" t="s">
        <v>2681</v>
      </c>
      <c r="G114" s="33" t="s">
        <v>13</v>
      </c>
    </row>
    <row r="115" ht="15.75" customHeight="1">
      <c r="A115" s="32">
        <v>113.0</v>
      </c>
      <c r="B115" s="33" t="s">
        <v>2785</v>
      </c>
      <c r="C115" s="33" t="s">
        <v>13</v>
      </c>
      <c r="D115" s="33" t="s">
        <v>13</v>
      </c>
      <c r="E115" s="33" t="s">
        <v>13</v>
      </c>
      <c r="F115" s="33" t="s">
        <v>13</v>
      </c>
      <c r="G115" s="33" t="s">
        <v>13</v>
      </c>
    </row>
    <row r="116" ht="15.75" customHeight="1">
      <c r="A116" s="32">
        <v>114.0</v>
      </c>
      <c r="B116" s="33" t="s">
        <v>2786</v>
      </c>
      <c r="C116" s="33" t="s">
        <v>13</v>
      </c>
      <c r="D116" s="33">
        <v>3.1178311E7</v>
      </c>
      <c r="E116" s="33" t="s">
        <v>13</v>
      </c>
      <c r="F116" s="33" t="s">
        <v>13</v>
      </c>
      <c r="G116" s="33" t="s">
        <v>13</v>
      </c>
    </row>
    <row r="117" ht="15.75" customHeight="1">
      <c r="A117" s="32">
        <v>115.0</v>
      </c>
      <c r="B117" s="33" t="s">
        <v>399</v>
      </c>
      <c r="C117" s="33" t="s">
        <v>13</v>
      </c>
      <c r="D117" s="33" t="s">
        <v>13</v>
      </c>
      <c r="E117" s="33" t="s">
        <v>13</v>
      </c>
      <c r="F117" s="33" t="s">
        <v>13</v>
      </c>
      <c r="G117" s="33" t="s">
        <v>13</v>
      </c>
    </row>
    <row r="118" ht="15.75" customHeight="1">
      <c r="A118" s="32">
        <v>116.0</v>
      </c>
      <c r="B118" s="33" t="s">
        <v>2787</v>
      </c>
      <c r="C118" s="33" t="s">
        <v>13</v>
      </c>
      <c r="D118" s="33" t="s">
        <v>13</v>
      </c>
      <c r="E118" s="33" t="s">
        <v>13</v>
      </c>
      <c r="F118" s="33" t="s">
        <v>13</v>
      </c>
      <c r="G118" s="33" t="s">
        <v>2669</v>
      </c>
    </row>
    <row r="119" ht="15.75" customHeight="1">
      <c r="A119" s="32">
        <v>117.0</v>
      </c>
      <c r="B119" s="33" t="s">
        <v>2788</v>
      </c>
      <c r="C119" s="33" t="s">
        <v>13</v>
      </c>
      <c r="D119" s="33">
        <v>3.1426812E7</v>
      </c>
      <c r="E119" s="33" t="s">
        <v>13</v>
      </c>
      <c r="F119" s="33" t="s">
        <v>2681</v>
      </c>
      <c r="G119" s="33" t="s">
        <v>13</v>
      </c>
    </row>
    <row r="120" ht="15.75" customHeight="1">
      <c r="A120" s="32">
        <v>118.0</v>
      </c>
      <c r="B120" s="33" t="s">
        <v>2789</v>
      </c>
      <c r="C120" s="33" t="s">
        <v>13</v>
      </c>
      <c r="D120" s="33" t="s">
        <v>13</v>
      </c>
      <c r="E120" s="33" t="s">
        <v>13</v>
      </c>
      <c r="F120" s="33" t="s">
        <v>13</v>
      </c>
      <c r="G120" s="33" t="s">
        <v>13</v>
      </c>
    </row>
    <row r="121" ht="15.75" customHeight="1">
      <c r="A121" s="32">
        <v>119.0</v>
      </c>
      <c r="B121" s="33" t="s">
        <v>92</v>
      </c>
      <c r="C121" s="33" t="s">
        <v>13</v>
      </c>
      <c r="D121" s="33">
        <v>1.0482646E7</v>
      </c>
      <c r="E121" s="33" t="s">
        <v>13</v>
      </c>
      <c r="F121" s="33" t="s">
        <v>13</v>
      </c>
      <c r="G121" s="33" t="s">
        <v>13</v>
      </c>
    </row>
    <row r="122" ht="15.75" customHeight="1">
      <c r="A122" s="32">
        <v>120.0</v>
      </c>
      <c r="B122" s="33" t="s">
        <v>2790</v>
      </c>
      <c r="C122" s="33" t="s">
        <v>13</v>
      </c>
      <c r="D122" s="33" t="s">
        <v>13</v>
      </c>
      <c r="E122" s="33" t="s">
        <v>13</v>
      </c>
      <c r="F122" s="33" t="s">
        <v>13</v>
      </c>
      <c r="G122" s="33" t="s">
        <v>13</v>
      </c>
    </row>
    <row r="123" ht="15.75" customHeight="1">
      <c r="A123" s="32">
        <v>121.0</v>
      </c>
      <c r="B123" s="33" t="s">
        <v>2790</v>
      </c>
      <c r="C123" s="33" t="s">
        <v>13</v>
      </c>
      <c r="D123" s="33">
        <v>1.2950267E7</v>
      </c>
      <c r="E123" s="33" t="s">
        <v>13</v>
      </c>
      <c r="F123" s="33" t="s">
        <v>13</v>
      </c>
      <c r="G123" s="33" t="s">
        <v>13</v>
      </c>
    </row>
    <row r="124" ht="15.75" customHeight="1">
      <c r="A124" s="32">
        <v>122.0</v>
      </c>
      <c r="B124" s="33" t="s">
        <v>2791</v>
      </c>
      <c r="C124" s="33" t="s">
        <v>13</v>
      </c>
      <c r="D124" s="33" t="s">
        <v>13</v>
      </c>
      <c r="E124" s="33" t="s">
        <v>13</v>
      </c>
      <c r="F124" s="33" t="s">
        <v>13</v>
      </c>
      <c r="G124" s="33" t="s">
        <v>13</v>
      </c>
    </row>
    <row r="125" ht="15.75" customHeight="1">
      <c r="A125" s="32">
        <v>123.0</v>
      </c>
      <c r="B125" s="33" t="s">
        <v>649</v>
      </c>
      <c r="C125" s="33">
        <v>61.0</v>
      </c>
      <c r="D125" s="33" t="s">
        <v>13</v>
      </c>
      <c r="E125" s="33" t="s">
        <v>13</v>
      </c>
      <c r="F125" s="33" t="s">
        <v>330</v>
      </c>
      <c r="G125" s="33" t="s">
        <v>2671</v>
      </c>
    </row>
    <row r="126" ht="15.75" customHeight="1">
      <c r="A126" s="32">
        <v>124.0</v>
      </c>
      <c r="B126" s="33" t="s">
        <v>2792</v>
      </c>
      <c r="C126" s="33" t="s">
        <v>13</v>
      </c>
      <c r="D126" s="33">
        <v>3.0527436E8</v>
      </c>
      <c r="E126" s="33" t="s">
        <v>13</v>
      </c>
      <c r="F126" s="33" t="s">
        <v>13</v>
      </c>
      <c r="G126" s="33" t="s">
        <v>13</v>
      </c>
    </row>
    <row r="127" ht="15.75" customHeight="1">
      <c r="A127" s="32">
        <v>125.0</v>
      </c>
      <c r="B127" s="33" t="s">
        <v>2793</v>
      </c>
      <c r="C127" s="33" t="s">
        <v>13</v>
      </c>
      <c r="D127" s="33">
        <v>3.0523436E7</v>
      </c>
      <c r="E127" s="33" t="s">
        <v>13</v>
      </c>
      <c r="F127" s="33" t="s">
        <v>13</v>
      </c>
      <c r="G127" s="33" t="s">
        <v>13</v>
      </c>
    </row>
    <row r="128" ht="15.75" customHeight="1">
      <c r="A128" s="32">
        <v>126.0</v>
      </c>
      <c r="B128" s="33" t="s">
        <v>2794</v>
      </c>
      <c r="C128" s="33" t="s">
        <v>13</v>
      </c>
      <c r="D128" s="33" t="s">
        <v>13</v>
      </c>
      <c r="E128" s="33" t="s">
        <v>13</v>
      </c>
      <c r="F128" s="33" t="s">
        <v>13</v>
      </c>
      <c r="G128" s="33" t="s">
        <v>13</v>
      </c>
    </row>
    <row r="129" ht="15.75" customHeight="1">
      <c r="A129" s="32">
        <v>127.0</v>
      </c>
      <c r="B129" s="33" t="s">
        <v>2795</v>
      </c>
      <c r="C129" s="33" t="s">
        <v>13</v>
      </c>
      <c r="D129" s="33" t="s">
        <v>13</v>
      </c>
      <c r="E129" s="33" t="s">
        <v>13</v>
      </c>
      <c r="F129" s="33" t="s">
        <v>13</v>
      </c>
      <c r="G129" s="33" t="s">
        <v>13</v>
      </c>
    </row>
    <row r="130" ht="15.75" customHeight="1">
      <c r="A130" s="32">
        <v>128.0</v>
      </c>
      <c r="B130" s="33" t="s">
        <v>2796</v>
      </c>
      <c r="C130" s="33" t="s">
        <v>13</v>
      </c>
      <c r="D130" s="33" t="s">
        <v>13</v>
      </c>
      <c r="E130" s="33" t="s">
        <v>13</v>
      </c>
      <c r="F130" s="33" t="s">
        <v>13</v>
      </c>
      <c r="G130" s="33" t="s">
        <v>13</v>
      </c>
    </row>
    <row r="131" ht="15.75" customHeight="1">
      <c r="A131" s="32">
        <v>129.0</v>
      </c>
      <c r="B131" s="33" t="s">
        <v>2797</v>
      </c>
      <c r="C131" s="33" t="s">
        <v>13</v>
      </c>
      <c r="D131" s="33" t="s">
        <v>13</v>
      </c>
      <c r="E131" s="33" t="s">
        <v>13</v>
      </c>
      <c r="F131" s="33" t="s">
        <v>2681</v>
      </c>
      <c r="G131" s="33" t="s">
        <v>13</v>
      </c>
    </row>
    <row r="132" ht="15.75" customHeight="1">
      <c r="A132" s="32">
        <v>130.0</v>
      </c>
      <c r="B132" s="33" t="s">
        <v>2797</v>
      </c>
      <c r="C132" s="33" t="s">
        <v>13</v>
      </c>
      <c r="D132" s="33" t="s">
        <v>13</v>
      </c>
      <c r="E132" s="33" t="s">
        <v>13</v>
      </c>
      <c r="F132" s="33" t="s">
        <v>13</v>
      </c>
      <c r="G132" s="33" t="s">
        <v>13</v>
      </c>
    </row>
    <row r="133" ht="15.75" customHeight="1">
      <c r="A133" s="32">
        <v>131.0</v>
      </c>
      <c r="B133" s="33" t="s">
        <v>2798</v>
      </c>
      <c r="C133" s="33" t="s">
        <v>13</v>
      </c>
      <c r="D133" s="33" t="s">
        <v>13</v>
      </c>
      <c r="E133" s="33" t="s">
        <v>13</v>
      </c>
      <c r="F133" s="33" t="s">
        <v>13</v>
      </c>
      <c r="G133" s="33" t="s">
        <v>13</v>
      </c>
    </row>
    <row r="134" ht="15.75" customHeight="1">
      <c r="A134" s="32">
        <v>132.0</v>
      </c>
      <c r="B134" s="33" t="s">
        <v>2799</v>
      </c>
      <c r="C134" s="33" t="s">
        <v>13</v>
      </c>
      <c r="D134" s="33">
        <v>3.1383685E7</v>
      </c>
      <c r="E134" s="33" t="s">
        <v>13</v>
      </c>
      <c r="F134" s="33" t="s">
        <v>2681</v>
      </c>
      <c r="G134" s="33" t="s">
        <v>13</v>
      </c>
    </row>
    <row r="135" ht="15.75" customHeight="1">
      <c r="A135" s="32">
        <v>133.0</v>
      </c>
      <c r="B135" s="33" t="s">
        <v>2799</v>
      </c>
      <c r="C135" s="33" t="s">
        <v>1731</v>
      </c>
      <c r="D135" s="33">
        <v>3.1383685E8</v>
      </c>
      <c r="E135" s="33" t="s">
        <v>13</v>
      </c>
      <c r="F135" s="33" t="s">
        <v>330</v>
      </c>
      <c r="G135" s="33" t="s">
        <v>1731</v>
      </c>
    </row>
    <row r="136" ht="15.75" customHeight="1">
      <c r="A136" s="32">
        <v>134.0</v>
      </c>
      <c r="B136" s="33" t="s">
        <v>2800</v>
      </c>
      <c r="C136" s="33" t="s">
        <v>13</v>
      </c>
      <c r="D136" s="33" t="s">
        <v>13</v>
      </c>
      <c r="E136" s="33" t="s">
        <v>13</v>
      </c>
      <c r="F136" s="33" t="s">
        <v>13</v>
      </c>
      <c r="G136" s="33" t="s">
        <v>13</v>
      </c>
    </row>
    <row r="137" ht="15.75" customHeight="1">
      <c r="A137" s="32">
        <v>135.0</v>
      </c>
      <c r="B137" s="33" t="s">
        <v>2801</v>
      </c>
      <c r="C137" s="33" t="s">
        <v>13</v>
      </c>
      <c r="D137" s="33">
        <v>1.1563403E7</v>
      </c>
      <c r="E137" s="33" t="s">
        <v>13</v>
      </c>
      <c r="F137" s="33" t="s">
        <v>13</v>
      </c>
      <c r="G137" s="33" t="s">
        <v>13</v>
      </c>
    </row>
    <row r="138" ht="15.75" customHeight="1">
      <c r="A138" s="32">
        <v>136.0</v>
      </c>
      <c r="B138" s="33" t="s">
        <v>2802</v>
      </c>
      <c r="C138" s="33">
        <v>26.0</v>
      </c>
      <c r="D138" s="33">
        <v>2.7439695E7</v>
      </c>
      <c r="E138" s="33" t="s">
        <v>13</v>
      </c>
      <c r="F138" s="33" t="s">
        <v>330</v>
      </c>
      <c r="G138" s="33" t="s">
        <v>2671</v>
      </c>
    </row>
    <row r="139" ht="15.75" customHeight="1">
      <c r="A139" s="32">
        <v>137.0</v>
      </c>
      <c r="B139" s="33" t="s">
        <v>2803</v>
      </c>
      <c r="C139" s="33" t="s">
        <v>13</v>
      </c>
      <c r="D139" s="33">
        <v>2765012.0</v>
      </c>
      <c r="E139" s="33" t="s">
        <v>13</v>
      </c>
      <c r="F139" s="33" t="s">
        <v>13</v>
      </c>
      <c r="G139" s="33" t="s">
        <v>13</v>
      </c>
    </row>
    <row r="140">
      <c r="A140" s="32">
        <v>138.0</v>
      </c>
      <c r="B140" s="33" t="s">
        <v>2804</v>
      </c>
      <c r="C140" s="33" t="s">
        <v>13</v>
      </c>
      <c r="D140" s="33" t="s">
        <v>13</v>
      </c>
      <c r="E140" s="33" t="s">
        <v>13</v>
      </c>
      <c r="F140" s="33" t="s">
        <v>13</v>
      </c>
      <c r="G140" s="33" t="s">
        <v>13</v>
      </c>
    </row>
    <row r="141">
      <c r="A141" s="32">
        <v>139.0</v>
      </c>
      <c r="B141" s="33" t="s">
        <v>2804</v>
      </c>
      <c r="C141" s="33" t="s">
        <v>13</v>
      </c>
      <c r="D141" s="33">
        <v>1.7710344E8</v>
      </c>
      <c r="E141" s="33" t="s">
        <v>13</v>
      </c>
      <c r="F141" s="33" t="s">
        <v>13</v>
      </c>
      <c r="G141" s="33" t="s">
        <v>13</v>
      </c>
    </row>
    <row r="142">
      <c r="A142" s="32">
        <v>140.0</v>
      </c>
      <c r="B142" s="33" t="s">
        <v>2805</v>
      </c>
      <c r="C142" s="33" t="s">
        <v>13</v>
      </c>
      <c r="D142" s="33">
        <v>5235870.0</v>
      </c>
      <c r="E142" s="33" t="s">
        <v>13</v>
      </c>
      <c r="F142" s="33" t="s">
        <v>13</v>
      </c>
      <c r="G142" s="33" t="s">
        <v>13</v>
      </c>
    </row>
    <row r="143">
      <c r="A143" s="32">
        <v>141.0</v>
      </c>
      <c r="B143" s="33" t="s">
        <v>678</v>
      </c>
      <c r="C143" s="33">
        <v>44.0</v>
      </c>
      <c r="D143" s="33">
        <v>1.5448399E7</v>
      </c>
      <c r="E143" s="33" t="s">
        <v>13</v>
      </c>
      <c r="F143" s="33" t="s">
        <v>330</v>
      </c>
      <c r="G143" s="33" t="s">
        <v>2671</v>
      </c>
    </row>
    <row r="144">
      <c r="A144" s="32">
        <v>142.0</v>
      </c>
      <c r="B144" s="33" t="s">
        <v>2806</v>
      </c>
      <c r="C144" s="33" t="s">
        <v>13</v>
      </c>
      <c r="D144" s="33">
        <v>3.1428812E7</v>
      </c>
      <c r="E144" s="33" t="s">
        <v>13</v>
      </c>
      <c r="F144" s="33" t="s">
        <v>2681</v>
      </c>
      <c r="G144" s="33" t="s">
        <v>13</v>
      </c>
    </row>
    <row r="145">
      <c r="A145" s="32">
        <v>143.0</v>
      </c>
      <c r="B145" s="33" t="s">
        <v>2807</v>
      </c>
      <c r="C145" s="33" t="s">
        <v>13</v>
      </c>
      <c r="D145" s="33">
        <v>2.0289079E7</v>
      </c>
      <c r="E145" s="33" t="s">
        <v>13</v>
      </c>
      <c r="F145" s="33" t="s">
        <v>13</v>
      </c>
      <c r="G145" s="33" t="s">
        <v>13</v>
      </c>
    </row>
    <row r="146">
      <c r="A146" s="109">
        <v>144.0</v>
      </c>
      <c r="B146" s="33" t="s">
        <v>2808</v>
      </c>
      <c r="C146" s="33" t="s">
        <v>13</v>
      </c>
      <c r="D146" s="33" t="s">
        <v>13</v>
      </c>
      <c r="E146" s="33" t="s">
        <v>13</v>
      </c>
      <c r="F146" s="33" t="s">
        <v>2809</v>
      </c>
      <c r="G146" s="33" t="s">
        <v>13</v>
      </c>
    </row>
    <row r="147">
      <c r="A147" s="32">
        <v>145.0</v>
      </c>
      <c r="B147" s="33" t="s">
        <v>2810</v>
      </c>
      <c r="C147" s="33" t="s">
        <v>13</v>
      </c>
      <c r="D147" s="33">
        <v>4817701.0</v>
      </c>
      <c r="E147" s="33" t="s">
        <v>13</v>
      </c>
      <c r="F147" s="33" t="s">
        <v>13</v>
      </c>
      <c r="G147" s="33" t="s">
        <v>13</v>
      </c>
    </row>
    <row r="148">
      <c r="A148" s="32">
        <v>146.0</v>
      </c>
      <c r="B148" s="33" t="s">
        <v>2811</v>
      </c>
      <c r="C148" s="33" t="s">
        <v>13</v>
      </c>
      <c r="D148" s="33" t="s">
        <v>13</v>
      </c>
      <c r="E148" s="33" t="s">
        <v>13</v>
      </c>
      <c r="F148" s="33" t="s">
        <v>13</v>
      </c>
      <c r="G148" s="33" t="s">
        <v>13</v>
      </c>
    </row>
    <row r="149">
      <c r="A149" s="32">
        <v>147.0</v>
      </c>
      <c r="B149" s="33" t="s">
        <v>2812</v>
      </c>
      <c r="C149" s="33" t="s">
        <v>13</v>
      </c>
      <c r="D149" s="33" t="s">
        <v>13</v>
      </c>
      <c r="E149" s="33" t="s">
        <v>13</v>
      </c>
      <c r="F149" s="33" t="s">
        <v>13</v>
      </c>
      <c r="G149" s="33" t="s">
        <v>13</v>
      </c>
    </row>
    <row r="150">
      <c r="A150" s="32">
        <v>148.0</v>
      </c>
      <c r="B150" s="33" t="s">
        <v>2813</v>
      </c>
      <c r="C150" s="33">
        <v>55.0</v>
      </c>
      <c r="D150" s="33" t="s">
        <v>13</v>
      </c>
      <c r="E150" s="33" t="s">
        <v>13</v>
      </c>
      <c r="F150" s="33" t="s">
        <v>2814</v>
      </c>
      <c r="G150" s="33" t="s">
        <v>2671</v>
      </c>
    </row>
    <row r="151">
      <c r="A151" s="32">
        <v>149.0</v>
      </c>
      <c r="B151" s="33" t="s">
        <v>2815</v>
      </c>
      <c r="C151" s="33" t="s">
        <v>13</v>
      </c>
      <c r="D151" s="33">
        <v>3.0186534E7</v>
      </c>
      <c r="E151" s="33" t="s">
        <v>13</v>
      </c>
      <c r="F151" s="33" t="s">
        <v>13</v>
      </c>
      <c r="G151" s="33" t="s">
        <v>13</v>
      </c>
    </row>
    <row r="152">
      <c r="A152" s="32">
        <v>150.0</v>
      </c>
      <c r="B152" s="33" t="s">
        <v>2816</v>
      </c>
      <c r="C152" s="33" t="s">
        <v>13</v>
      </c>
      <c r="D152" s="33" t="s">
        <v>13</v>
      </c>
      <c r="E152" s="33" t="s">
        <v>13</v>
      </c>
      <c r="F152" s="33" t="s">
        <v>13</v>
      </c>
      <c r="G152" s="33" t="s">
        <v>13</v>
      </c>
    </row>
    <row r="153">
      <c r="A153" s="32">
        <v>151.0</v>
      </c>
      <c r="B153" s="33" t="s">
        <v>2817</v>
      </c>
      <c r="C153" s="33" t="s">
        <v>13</v>
      </c>
      <c r="D153" s="33">
        <v>1.1055173E7</v>
      </c>
      <c r="E153" s="33" t="s">
        <v>13</v>
      </c>
      <c r="F153" s="33" t="s">
        <v>2681</v>
      </c>
      <c r="G153" s="33" t="s">
        <v>425</v>
      </c>
    </row>
    <row r="154">
      <c r="A154" s="32">
        <v>152.0</v>
      </c>
      <c r="B154" s="33" t="s">
        <v>2818</v>
      </c>
      <c r="C154" s="33">
        <v>39.0</v>
      </c>
      <c r="D154" s="33">
        <v>2.0007393E7</v>
      </c>
      <c r="E154" s="33" t="s">
        <v>13</v>
      </c>
      <c r="F154" s="33" t="s">
        <v>330</v>
      </c>
      <c r="G154" s="33" t="s">
        <v>2671</v>
      </c>
    </row>
    <row r="155">
      <c r="A155" s="32">
        <v>153.0</v>
      </c>
      <c r="B155" s="33" t="s">
        <v>2819</v>
      </c>
      <c r="C155" s="33" t="s">
        <v>13</v>
      </c>
      <c r="D155" s="33">
        <v>2.0558133E7</v>
      </c>
      <c r="E155" s="33" t="s">
        <v>13</v>
      </c>
      <c r="F155" s="33" t="s">
        <v>13</v>
      </c>
      <c r="G155" s="33" t="s">
        <v>13</v>
      </c>
    </row>
    <row r="156">
      <c r="A156" s="32">
        <v>154.0</v>
      </c>
      <c r="B156" s="33" t="s">
        <v>2820</v>
      </c>
      <c r="C156" s="33" t="s">
        <v>13</v>
      </c>
      <c r="D156" s="33">
        <v>1.2346891E7</v>
      </c>
      <c r="E156" s="33" t="s">
        <v>13</v>
      </c>
      <c r="F156" s="33" t="s">
        <v>2821</v>
      </c>
      <c r="G156" s="33" t="s">
        <v>13</v>
      </c>
    </row>
    <row r="157">
      <c r="A157" s="32">
        <v>155.0</v>
      </c>
      <c r="B157" s="33" t="s">
        <v>2822</v>
      </c>
      <c r="C157" s="33" t="s">
        <v>13</v>
      </c>
      <c r="D157" s="33">
        <v>1.2500467E7</v>
      </c>
      <c r="E157" s="33" t="s">
        <v>13</v>
      </c>
      <c r="F157" s="33" t="s">
        <v>2821</v>
      </c>
      <c r="G157" s="33" t="s">
        <v>13</v>
      </c>
    </row>
    <row r="158">
      <c r="A158" s="32">
        <v>156.0</v>
      </c>
      <c r="B158" s="33" t="s">
        <v>2823</v>
      </c>
      <c r="C158" s="33" t="s">
        <v>13</v>
      </c>
      <c r="D158" s="33" t="s">
        <v>13</v>
      </c>
      <c r="E158" s="33" t="s">
        <v>13</v>
      </c>
      <c r="F158" s="33" t="s">
        <v>2734</v>
      </c>
      <c r="G158" s="33" t="s">
        <v>13</v>
      </c>
    </row>
    <row r="159">
      <c r="A159" s="32">
        <v>157.0</v>
      </c>
      <c r="B159" s="33" t="s">
        <v>2824</v>
      </c>
      <c r="C159" s="33" t="s">
        <v>13</v>
      </c>
      <c r="D159" s="33">
        <v>1.1640596E7</v>
      </c>
      <c r="E159" s="33" t="s">
        <v>13</v>
      </c>
      <c r="F159" s="33" t="s">
        <v>2681</v>
      </c>
      <c r="G159" s="33" t="s">
        <v>13</v>
      </c>
    </row>
    <row r="160">
      <c r="A160" s="32">
        <v>158.0</v>
      </c>
      <c r="B160" s="33" t="s">
        <v>2825</v>
      </c>
      <c r="C160" s="33" t="s">
        <v>13</v>
      </c>
      <c r="D160" s="33" t="s">
        <v>13</v>
      </c>
      <c r="E160" s="33" t="s">
        <v>13</v>
      </c>
      <c r="F160" s="33" t="s">
        <v>13</v>
      </c>
      <c r="G160" s="33" t="s">
        <v>13</v>
      </c>
    </row>
    <row r="161">
      <c r="A161" s="32">
        <v>159.0</v>
      </c>
      <c r="B161" s="33" t="s">
        <v>2826</v>
      </c>
      <c r="C161" s="33" t="s">
        <v>13</v>
      </c>
      <c r="D161" s="33">
        <v>1.5967267E7</v>
      </c>
      <c r="E161" s="33" t="s">
        <v>13</v>
      </c>
      <c r="F161" s="33" t="s">
        <v>2681</v>
      </c>
      <c r="G161" s="33" t="s">
        <v>13</v>
      </c>
    </row>
    <row r="162">
      <c r="A162" s="32">
        <v>160.0</v>
      </c>
      <c r="B162" s="33" t="s">
        <v>2827</v>
      </c>
      <c r="C162" s="33" t="s">
        <v>13</v>
      </c>
      <c r="D162" s="33">
        <v>6086109.0</v>
      </c>
      <c r="E162" s="33" t="s">
        <v>13</v>
      </c>
      <c r="F162" s="33" t="s">
        <v>2828</v>
      </c>
      <c r="G162" s="33" t="s">
        <v>13</v>
      </c>
    </row>
    <row r="163">
      <c r="A163" s="32">
        <v>161.0</v>
      </c>
      <c r="B163" s="33" t="s">
        <v>2829</v>
      </c>
      <c r="C163" s="33" t="s">
        <v>13</v>
      </c>
      <c r="D163" s="33">
        <v>1.2485868E7</v>
      </c>
      <c r="E163" s="33" t="s">
        <v>13</v>
      </c>
      <c r="F163" s="33" t="s">
        <v>2681</v>
      </c>
      <c r="G163" s="33" t="s">
        <v>13</v>
      </c>
    </row>
    <row r="164">
      <c r="A164" s="32">
        <v>162.0</v>
      </c>
      <c r="B164" s="33" t="s">
        <v>2830</v>
      </c>
      <c r="C164" s="33" t="s">
        <v>13</v>
      </c>
      <c r="D164" s="33" t="s">
        <v>13</v>
      </c>
      <c r="E164" s="33" t="s">
        <v>13</v>
      </c>
      <c r="F164" s="33" t="s">
        <v>13</v>
      </c>
      <c r="G164" s="33" t="s">
        <v>13</v>
      </c>
    </row>
    <row r="165">
      <c r="A165" s="32">
        <v>163.0</v>
      </c>
      <c r="B165" s="33" t="s">
        <v>2831</v>
      </c>
      <c r="C165" s="33" t="s">
        <v>13</v>
      </c>
      <c r="D165" s="33">
        <v>2987711.0</v>
      </c>
      <c r="E165" s="33" t="s">
        <v>13</v>
      </c>
      <c r="F165" s="33" t="s">
        <v>13</v>
      </c>
      <c r="G165" s="33" t="s">
        <v>13</v>
      </c>
    </row>
    <row r="166">
      <c r="A166" s="32">
        <v>164.0</v>
      </c>
      <c r="B166" s="33" t="s">
        <v>2832</v>
      </c>
      <c r="C166" s="33" t="s">
        <v>13</v>
      </c>
      <c r="D166" s="33" t="s">
        <v>13</v>
      </c>
      <c r="E166" s="33" t="s">
        <v>13</v>
      </c>
      <c r="F166" s="33" t="s">
        <v>13</v>
      </c>
      <c r="G166" s="33" t="s">
        <v>13</v>
      </c>
    </row>
    <row r="167">
      <c r="A167" s="32">
        <v>165.0</v>
      </c>
      <c r="B167" s="33" t="s">
        <v>2833</v>
      </c>
      <c r="C167" s="33" t="s">
        <v>13</v>
      </c>
      <c r="D167" s="33">
        <v>1.9606465E7</v>
      </c>
      <c r="E167" s="33" t="s">
        <v>13</v>
      </c>
      <c r="F167" s="33" t="s">
        <v>13</v>
      </c>
      <c r="G167" s="33" t="s">
        <v>13</v>
      </c>
    </row>
    <row r="168">
      <c r="A168" s="32">
        <v>166.0</v>
      </c>
      <c r="B168" s="33" t="s">
        <v>2065</v>
      </c>
      <c r="C168" s="33" t="s">
        <v>13</v>
      </c>
      <c r="D168" s="33" t="s">
        <v>13</v>
      </c>
      <c r="E168" s="33" t="s">
        <v>13</v>
      </c>
      <c r="F168" s="33" t="s">
        <v>13</v>
      </c>
      <c r="G168" s="33" t="s">
        <v>13</v>
      </c>
    </row>
    <row r="169">
      <c r="A169" s="32">
        <v>167.0</v>
      </c>
      <c r="B169" s="33" t="s">
        <v>2834</v>
      </c>
      <c r="C169" s="33" t="s">
        <v>13</v>
      </c>
      <c r="D169" s="33" t="s">
        <v>13</v>
      </c>
      <c r="E169" s="33" t="s">
        <v>13</v>
      </c>
      <c r="F169" s="33" t="s">
        <v>13</v>
      </c>
      <c r="G169" s="33" t="s">
        <v>13</v>
      </c>
    </row>
    <row r="170">
      <c r="A170" s="32">
        <v>168.0</v>
      </c>
      <c r="B170" s="33" t="s">
        <v>2835</v>
      </c>
      <c r="C170" s="33" t="s">
        <v>13</v>
      </c>
      <c r="D170" s="33" t="s">
        <v>13</v>
      </c>
      <c r="E170" s="33" t="s">
        <v>13</v>
      </c>
      <c r="F170" s="33" t="s">
        <v>2681</v>
      </c>
      <c r="G170" s="33" t="s">
        <v>13</v>
      </c>
    </row>
    <row r="171">
      <c r="A171" s="32">
        <v>169.0</v>
      </c>
      <c r="B171" s="33" t="s">
        <v>2835</v>
      </c>
      <c r="C171" s="33" t="s">
        <v>13</v>
      </c>
      <c r="D171" s="33" t="s">
        <v>13</v>
      </c>
      <c r="E171" s="33" t="s">
        <v>13</v>
      </c>
      <c r="F171" s="33" t="s">
        <v>13</v>
      </c>
      <c r="G171" s="33" t="s">
        <v>13</v>
      </c>
    </row>
    <row r="172">
      <c r="A172" s="32">
        <v>170.0</v>
      </c>
      <c r="B172" s="33" t="s">
        <v>2836</v>
      </c>
      <c r="C172" s="33" t="s">
        <v>13</v>
      </c>
      <c r="D172" s="33" t="s">
        <v>13</v>
      </c>
      <c r="E172" s="33" t="s">
        <v>13</v>
      </c>
      <c r="F172" s="33" t="s">
        <v>13</v>
      </c>
      <c r="G172" s="33" t="s">
        <v>13</v>
      </c>
    </row>
    <row r="173">
      <c r="A173" s="32">
        <v>171.0</v>
      </c>
      <c r="B173" s="33" t="s">
        <v>2837</v>
      </c>
      <c r="C173" s="33" t="s">
        <v>13</v>
      </c>
      <c r="D173" s="33" t="s">
        <v>13</v>
      </c>
      <c r="E173" s="33" t="s">
        <v>13</v>
      </c>
      <c r="F173" s="33" t="s">
        <v>13</v>
      </c>
      <c r="G173" s="33" t="s">
        <v>13</v>
      </c>
    </row>
    <row r="174">
      <c r="A174" s="32">
        <v>172.0</v>
      </c>
      <c r="B174" s="33" t="s">
        <v>2838</v>
      </c>
      <c r="C174" s="33" t="s">
        <v>13</v>
      </c>
      <c r="D174" s="33">
        <v>1.5164293E7</v>
      </c>
      <c r="E174" s="33" t="s">
        <v>13</v>
      </c>
      <c r="F174" s="33" t="s">
        <v>2681</v>
      </c>
      <c r="G174" s="33" t="s">
        <v>13</v>
      </c>
    </row>
    <row r="175">
      <c r="A175" s="32">
        <v>173.0</v>
      </c>
      <c r="B175" s="33" t="s">
        <v>2839</v>
      </c>
      <c r="C175" s="33" t="s">
        <v>13</v>
      </c>
      <c r="D175" s="33" t="s">
        <v>13</v>
      </c>
      <c r="E175" s="33" t="s">
        <v>13</v>
      </c>
      <c r="F175" s="33" t="s">
        <v>2840</v>
      </c>
      <c r="G175" s="33" t="s">
        <v>13</v>
      </c>
    </row>
    <row r="176">
      <c r="A176" s="32">
        <v>174.0</v>
      </c>
      <c r="B176" s="33" t="s">
        <v>2841</v>
      </c>
      <c r="C176" s="33" t="s">
        <v>13</v>
      </c>
      <c r="D176" s="33">
        <v>2.7026323E7</v>
      </c>
      <c r="E176" s="33" t="s">
        <v>13</v>
      </c>
      <c r="F176" s="33" t="s">
        <v>2681</v>
      </c>
      <c r="G176" s="33" t="s">
        <v>13</v>
      </c>
    </row>
    <row r="177">
      <c r="A177" s="32">
        <v>175.0</v>
      </c>
      <c r="B177" s="33" t="s">
        <v>2842</v>
      </c>
      <c r="C177" s="33" t="s">
        <v>13</v>
      </c>
      <c r="D177" s="33" t="s">
        <v>13</v>
      </c>
      <c r="E177" s="33" t="s">
        <v>13</v>
      </c>
      <c r="F177" s="33" t="s">
        <v>2681</v>
      </c>
      <c r="G177" s="33" t="s">
        <v>13</v>
      </c>
    </row>
    <row r="178">
      <c r="A178" s="32">
        <v>176.0</v>
      </c>
      <c r="B178" s="33" t="s">
        <v>2843</v>
      </c>
      <c r="C178" s="33">
        <v>17.0</v>
      </c>
      <c r="D178" s="33">
        <v>3.4064183E7</v>
      </c>
      <c r="E178" s="33" t="s">
        <v>13</v>
      </c>
      <c r="F178" s="33" t="s">
        <v>330</v>
      </c>
      <c r="G178" s="33" t="s">
        <v>2671</v>
      </c>
    </row>
    <row r="179">
      <c r="A179" s="32">
        <v>177.0</v>
      </c>
      <c r="B179" s="33" t="s">
        <v>2844</v>
      </c>
      <c r="C179" s="33" t="s">
        <v>13</v>
      </c>
      <c r="D179" s="33" t="s">
        <v>13</v>
      </c>
      <c r="E179" s="33" t="s">
        <v>13</v>
      </c>
      <c r="F179" s="33" t="s">
        <v>13</v>
      </c>
      <c r="G179" s="33" t="s">
        <v>13</v>
      </c>
    </row>
    <row r="180">
      <c r="A180" s="32">
        <v>178.0</v>
      </c>
      <c r="B180" s="33" t="s">
        <v>2845</v>
      </c>
      <c r="C180" s="33">
        <v>24.0</v>
      </c>
      <c r="D180" s="33">
        <v>2.8304997E7</v>
      </c>
      <c r="E180" s="33" t="s">
        <v>13</v>
      </c>
      <c r="F180" s="33" t="s">
        <v>330</v>
      </c>
      <c r="G180" s="33" t="s">
        <v>2671</v>
      </c>
    </row>
    <row r="181">
      <c r="A181" s="32">
        <v>179.0</v>
      </c>
      <c r="B181" s="33" t="s">
        <v>2846</v>
      </c>
      <c r="C181" s="33" t="s">
        <v>13</v>
      </c>
      <c r="D181" s="33" t="s">
        <v>13</v>
      </c>
      <c r="E181" s="33" t="s">
        <v>13</v>
      </c>
      <c r="F181" s="33" t="s">
        <v>13</v>
      </c>
      <c r="G181" s="33" t="s">
        <v>13</v>
      </c>
    </row>
    <row r="182">
      <c r="A182" s="32">
        <v>180.0</v>
      </c>
      <c r="B182" s="33" t="s">
        <v>2847</v>
      </c>
      <c r="C182" s="33" t="s">
        <v>13</v>
      </c>
      <c r="D182" s="33">
        <v>1.6312925E8</v>
      </c>
      <c r="E182" s="33" t="s">
        <v>13</v>
      </c>
      <c r="F182" s="33" t="s">
        <v>13</v>
      </c>
      <c r="G182" s="33" t="s">
        <v>13</v>
      </c>
    </row>
    <row r="183">
      <c r="A183" s="32">
        <v>181.0</v>
      </c>
      <c r="B183" s="33" t="s">
        <v>2848</v>
      </c>
      <c r="C183" s="33" t="s">
        <v>13</v>
      </c>
      <c r="D183" s="33" t="s">
        <v>13</v>
      </c>
      <c r="E183" s="33" t="s">
        <v>13</v>
      </c>
      <c r="F183" s="33" t="s">
        <v>13</v>
      </c>
      <c r="G183" s="33" t="s">
        <v>13</v>
      </c>
    </row>
    <row r="184">
      <c r="A184" s="32">
        <v>182.0</v>
      </c>
      <c r="B184" s="33" t="s">
        <v>751</v>
      </c>
      <c r="C184" s="33">
        <v>20.0</v>
      </c>
      <c r="D184" s="33">
        <v>3.2271433E7</v>
      </c>
      <c r="E184" s="33" t="s">
        <v>13</v>
      </c>
      <c r="F184" s="33" t="s">
        <v>330</v>
      </c>
      <c r="G184" s="33" t="s">
        <v>2671</v>
      </c>
    </row>
    <row r="185">
      <c r="A185" s="32">
        <v>183.0</v>
      </c>
      <c r="B185" s="33" t="s">
        <v>2849</v>
      </c>
      <c r="C185" s="33" t="s">
        <v>13</v>
      </c>
      <c r="D185" s="33">
        <v>1.972124E7</v>
      </c>
      <c r="E185" s="33" t="s">
        <v>13</v>
      </c>
      <c r="F185" s="33" t="s">
        <v>13</v>
      </c>
      <c r="G185" s="33" t="s">
        <v>13</v>
      </c>
    </row>
    <row r="186">
      <c r="A186" s="32">
        <v>184.0</v>
      </c>
      <c r="B186" s="33" t="s">
        <v>2850</v>
      </c>
      <c r="C186" s="33" t="s">
        <v>13</v>
      </c>
      <c r="D186" s="33" t="s">
        <v>13</v>
      </c>
      <c r="E186" s="33" t="s">
        <v>13</v>
      </c>
      <c r="F186" s="33" t="s">
        <v>13</v>
      </c>
      <c r="G186" s="33" t="s">
        <v>13</v>
      </c>
    </row>
    <row r="187">
      <c r="A187" s="32">
        <v>185.0</v>
      </c>
      <c r="B187" s="33" t="s">
        <v>2851</v>
      </c>
      <c r="C187" s="33" t="s">
        <v>13</v>
      </c>
      <c r="D187" s="33" t="s">
        <v>13</v>
      </c>
      <c r="E187" s="33" t="s">
        <v>13</v>
      </c>
      <c r="F187" s="33" t="s">
        <v>13</v>
      </c>
      <c r="G187" s="33" t="s">
        <v>2852</v>
      </c>
    </row>
    <row r="188">
      <c r="A188" s="32">
        <v>186.0</v>
      </c>
      <c r="B188" s="33" t="s">
        <v>2853</v>
      </c>
      <c r="C188" s="33" t="s">
        <v>13</v>
      </c>
      <c r="D188" s="33">
        <v>6927171.0</v>
      </c>
      <c r="E188" s="33" t="s">
        <v>13</v>
      </c>
      <c r="F188" s="33" t="s">
        <v>13</v>
      </c>
      <c r="G188" s="33" t="s">
        <v>13</v>
      </c>
    </row>
    <row r="189">
      <c r="A189" s="32">
        <v>187.0</v>
      </c>
      <c r="B189" s="33" t="s">
        <v>2854</v>
      </c>
      <c r="C189" s="33" t="s">
        <v>13</v>
      </c>
      <c r="D189" s="33" t="s">
        <v>13</v>
      </c>
      <c r="E189" s="33" t="s">
        <v>13</v>
      </c>
      <c r="F189" s="33" t="s">
        <v>13</v>
      </c>
      <c r="G189" s="33" t="s">
        <v>2669</v>
      </c>
    </row>
    <row r="190">
      <c r="A190" s="32">
        <v>188.0</v>
      </c>
      <c r="B190" s="33" t="s">
        <v>2855</v>
      </c>
      <c r="C190" s="33" t="s">
        <v>13</v>
      </c>
      <c r="D190" s="33" t="s">
        <v>2856</v>
      </c>
      <c r="E190" s="33" t="s">
        <v>13</v>
      </c>
      <c r="F190" s="33" t="s">
        <v>13</v>
      </c>
      <c r="G190" s="33" t="s">
        <v>15</v>
      </c>
    </row>
    <row r="191">
      <c r="A191" s="32">
        <v>189.0</v>
      </c>
      <c r="B191" s="33" t="s">
        <v>2857</v>
      </c>
      <c r="C191" s="33" t="s">
        <v>13</v>
      </c>
      <c r="D191" s="33">
        <v>2.64155E7</v>
      </c>
      <c r="E191" s="33" t="s">
        <v>13</v>
      </c>
      <c r="F191" s="33" t="s">
        <v>13</v>
      </c>
      <c r="G191" s="33" t="s">
        <v>13</v>
      </c>
    </row>
    <row r="192">
      <c r="A192" s="32">
        <v>190.0</v>
      </c>
      <c r="B192" s="33" t="s">
        <v>2858</v>
      </c>
      <c r="C192" s="33">
        <v>55.0</v>
      </c>
      <c r="D192" s="33">
        <v>1.7934645E7</v>
      </c>
      <c r="E192" s="33" t="s">
        <v>13</v>
      </c>
      <c r="F192" s="33" t="s">
        <v>330</v>
      </c>
      <c r="G192" s="33" t="s">
        <v>2671</v>
      </c>
    </row>
    <row r="193">
      <c r="A193" s="32">
        <v>191.0</v>
      </c>
      <c r="B193" s="33" t="s">
        <v>2859</v>
      </c>
      <c r="C193" s="33" t="s">
        <v>1731</v>
      </c>
      <c r="D193" s="33">
        <v>1.3069223E8</v>
      </c>
      <c r="E193" s="33" t="s">
        <v>13</v>
      </c>
      <c r="F193" s="33" t="s">
        <v>2861</v>
      </c>
      <c r="G193" s="33" t="s">
        <v>1731</v>
      </c>
    </row>
    <row r="194">
      <c r="A194" s="32">
        <v>192.0</v>
      </c>
      <c r="B194" s="33" t="s">
        <v>2859</v>
      </c>
      <c r="C194" s="33" t="s">
        <v>13</v>
      </c>
      <c r="D194" s="33">
        <v>1.3069223E7</v>
      </c>
      <c r="E194" s="33" t="s">
        <v>13</v>
      </c>
      <c r="F194" s="33" t="s">
        <v>2860</v>
      </c>
      <c r="G194" s="33" t="s">
        <v>13</v>
      </c>
    </row>
    <row r="195">
      <c r="A195" s="32">
        <v>193.0</v>
      </c>
      <c r="B195" s="33" t="s">
        <v>2862</v>
      </c>
      <c r="C195" s="33" t="s">
        <v>13</v>
      </c>
      <c r="D195" s="33" t="s">
        <v>13</v>
      </c>
      <c r="E195" s="33" t="s">
        <v>13</v>
      </c>
      <c r="F195" s="33" t="s">
        <v>13</v>
      </c>
      <c r="G195" s="33" t="s">
        <v>13</v>
      </c>
    </row>
    <row r="196">
      <c r="A196" s="32">
        <v>194.0</v>
      </c>
      <c r="B196" s="33" t="s">
        <v>2863</v>
      </c>
      <c r="C196" s="33">
        <v>48.0</v>
      </c>
      <c r="D196" s="33">
        <v>1.4589306E7</v>
      </c>
      <c r="E196" s="33" t="s">
        <v>13</v>
      </c>
      <c r="F196" s="33" t="s">
        <v>330</v>
      </c>
      <c r="G196" s="33" t="s">
        <v>2671</v>
      </c>
    </row>
    <row r="197">
      <c r="A197" s="32">
        <v>195.0</v>
      </c>
      <c r="B197" s="33" t="s">
        <v>2864</v>
      </c>
      <c r="C197" s="33" t="s">
        <v>13</v>
      </c>
      <c r="D197" s="33">
        <v>1.8465401E7</v>
      </c>
      <c r="E197" s="33" t="s">
        <v>13</v>
      </c>
      <c r="F197" s="33" t="s">
        <v>13</v>
      </c>
      <c r="G197" s="33" t="s">
        <v>13</v>
      </c>
    </row>
    <row r="198">
      <c r="A198" s="32">
        <v>196.0</v>
      </c>
      <c r="B198" s="33" t="s">
        <v>2865</v>
      </c>
      <c r="C198" s="33" t="s">
        <v>13</v>
      </c>
      <c r="D198" s="33">
        <v>1.8406003E7</v>
      </c>
      <c r="E198" s="33" t="s">
        <v>13</v>
      </c>
      <c r="F198" s="33" t="s">
        <v>2681</v>
      </c>
      <c r="G198" s="33" t="s">
        <v>13</v>
      </c>
    </row>
    <row r="199">
      <c r="A199" s="32">
        <v>197.0</v>
      </c>
      <c r="B199" s="33" t="s">
        <v>2866</v>
      </c>
      <c r="C199" s="33" t="s">
        <v>13</v>
      </c>
      <c r="D199" s="33" t="s">
        <v>13</v>
      </c>
      <c r="E199" s="33" t="s">
        <v>13</v>
      </c>
      <c r="F199" s="33" t="s">
        <v>13</v>
      </c>
      <c r="G199" s="33" t="s">
        <v>13</v>
      </c>
    </row>
    <row r="200">
      <c r="A200" s="32">
        <v>198.0</v>
      </c>
      <c r="B200" s="33" t="s">
        <v>2866</v>
      </c>
      <c r="C200" s="33" t="s">
        <v>13</v>
      </c>
      <c r="D200" s="33">
        <v>2.2480906E7</v>
      </c>
      <c r="E200" s="33" t="s">
        <v>13</v>
      </c>
      <c r="F200" s="33" t="s">
        <v>13</v>
      </c>
      <c r="G200" s="33" t="s">
        <v>13</v>
      </c>
    </row>
    <row r="201">
      <c r="A201" s="32">
        <v>199.0</v>
      </c>
      <c r="B201" s="33" t="s">
        <v>2867</v>
      </c>
      <c r="C201" s="33" t="s">
        <v>13</v>
      </c>
      <c r="D201" s="33">
        <v>1.5164243E7</v>
      </c>
      <c r="E201" s="33" t="s">
        <v>13</v>
      </c>
      <c r="F201" s="33" t="s">
        <v>13</v>
      </c>
      <c r="G201" s="33" t="s">
        <v>13</v>
      </c>
    </row>
    <row r="202">
      <c r="A202" s="32">
        <v>200.0</v>
      </c>
      <c r="B202" s="33" t="s">
        <v>2868</v>
      </c>
      <c r="C202" s="33" t="s">
        <v>13</v>
      </c>
      <c r="D202" s="33" t="s">
        <v>13</v>
      </c>
      <c r="E202" s="33" t="s">
        <v>13</v>
      </c>
      <c r="F202" s="33" t="s">
        <v>13</v>
      </c>
      <c r="G202" s="33" t="s">
        <v>13</v>
      </c>
    </row>
    <row r="203">
      <c r="A203" s="32">
        <v>201.0</v>
      </c>
      <c r="B203" s="33" t="s">
        <v>2869</v>
      </c>
      <c r="C203" s="33" t="s">
        <v>13</v>
      </c>
      <c r="D203" s="33">
        <v>2.1015899E7</v>
      </c>
      <c r="E203" s="33" t="s">
        <v>13</v>
      </c>
      <c r="F203" s="33" t="s">
        <v>13</v>
      </c>
      <c r="G203" s="33" t="s">
        <v>13</v>
      </c>
    </row>
    <row r="204">
      <c r="A204" s="32">
        <v>202.0</v>
      </c>
      <c r="B204" s="33" t="s">
        <v>2870</v>
      </c>
      <c r="C204" s="33" t="s">
        <v>13</v>
      </c>
      <c r="D204" s="33" t="s">
        <v>13</v>
      </c>
      <c r="E204" s="33" t="s">
        <v>13</v>
      </c>
      <c r="F204" s="33" t="s">
        <v>2681</v>
      </c>
      <c r="G204" s="33" t="s">
        <v>13</v>
      </c>
    </row>
    <row r="205">
      <c r="A205" s="32">
        <v>203.0</v>
      </c>
      <c r="B205" s="33" t="s">
        <v>2871</v>
      </c>
      <c r="C205" s="33" t="s">
        <v>13</v>
      </c>
      <c r="D205" s="33" t="s">
        <v>13</v>
      </c>
      <c r="E205" s="33" t="s">
        <v>13</v>
      </c>
      <c r="F205" s="33" t="s">
        <v>13</v>
      </c>
      <c r="G205" s="33" t="s">
        <v>13</v>
      </c>
    </row>
    <row r="206">
      <c r="A206" s="32">
        <v>204.0</v>
      </c>
      <c r="B206" s="33" t="s">
        <v>2872</v>
      </c>
      <c r="C206" s="33" t="s">
        <v>13</v>
      </c>
      <c r="D206" s="33" t="s">
        <v>13</v>
      </c>
      <c r="E206" s="33" t="s">
        <v>13</v>
      </c>
      <c r="F206" s="33" t="s">
        <v>13</v>
      </c>
      <c r="G206" s="33" t="s">
        <v>13</v>
      </c>
    </row>
    <row r="207">
      <c r="A207" s="32">
        <v>205.0</v>
      </c>
      <c r="B207" s="33" t="s">
        <v>2873</v>
      </c>
      <c r="C207" s="33" t="s">
        <v>13</v>
      </c>
      <c r="D207" s="33">
        <v>2.2480306E7</v>
      </c>
      <c r="E207" s="33" t="s">
        <v>13</v>
      </c>
      <c r="F207" s="33" t="s">
        <v>2681</v>
      </c>
      <c r="G207" s="33" t="s">
        <v>13</v>
      </c>
    </row>
    <row r="208">
      <c r="A208" s="32">
        <v>206.0</v>
      </c>
      <c r="B208" s="33" t="s">
        <v>2874</v>
      </c>
      <c r="C208" s="33" t="s">
        <v>13</v>
      </c>
      <c r="D208" s="33">
        <v>1.5550954E7</v>
      </c>
      <c r="E208" s="33" t="s">
        <v>13</v>
      </c>
      <c r="F208" s="33" t="s">
        <v>2681</v>
      </c>
      <c r="G208" s="33" t="s">
        <v>13</v>
      </c>
    </row>
    <row r="209">
      <c r="A209" s="32">
        <v>207.0</v>
      </c>
      <c r="B209" s="33" t="s">
        <v>2875</v>
      </c>
      <c r="C209" s="33" t="s">
        <v>13</v>
      </c>
      <c r="D209" s="33">
        <v>8.4555057E7</v>
      </c>
      <c r="E209" s="33" t="s">
        <v>13</v>
      </c>
      <c r="F209" s="33" t="s">
        <v>13</v>
      </c>
      <c r="G209" s="33" t="s">
        <v>13</v>
      </c>
    </row>
    <row r="210">
      <c r="A210" s="32">
        <v>208.0</v>
      </c>
      <c r="B210" s="33" t="s">
        <v>2876</v>
      </c>
      <c r="C210" s="33" t="s">
        <v>13</v>
      </c>
      <c r="D210" s="33">
        <v>2.2750136E7</v>
      </c>
      <c r="E210" s="33" t="s">
        <v>13</v>
      </c>
      <c r="F210" s="33" t="s">
        <v>13</v>
      </c>
      <c r="G210" s="33" t="s">
        <v>13</v>
      </c>
    </row>
    <row r="211">
      <c r="A211" s="32">
        <v>209.0</v>
      </c>
      <c r="B211" s="33" t="s">
        <v>2877</v>
      </c>
      <c r="C211" s="33" t="s">
        <v>13</v>
      </c>
      <c r="D211" s="33" t="s">
        <v>13</v>
      </c>
      <c r="E211" s="33" t="s">
        <v>13</v>
      </c>
      <c r="F211" s="33" t="s">
        <v>13</v>
      </c>
      <c r="G211" s="33" t="s">
        <v>13</v>
      </c>
    </row>
    <row r="212">
      <c r="A212" s="32">
        <v>210.0</v>
      </c>
      <c r="B212" s="33" t="s">
        <v>2878</v>
      </c>
      <c r="C212" s="33" t="s">
        <v>13</v>
      </c>
      <c r="D212" s="33">
        <v>2.3527437E7</v>
      </c>
      <c r="E212" s="33" t="s">
        <v>13</v>
      </c>
      <c r="F212" s="33" t="s">
        <v>13</v>
      </c>
      <c r="G212" s="33" t="s">
        <v>13</v>
      </c>
    </row>
    <row r="213">
      <c r="A213" s="32">
        <v>211.0</v>
      </c>
      <c r="B213" s="33" t="s">
        <v>2879</v>
      </c>
      <c r="C213" s="33" t="s">
        <v>13</v>
      </c>
      <c r="D213" s="33" t="s">
        <v>13</v>
      </c>
      <c r="E213" s="33" t="s">
        <v>13</v>
      </c>
      <c r="F213" s="33" t="s">
        <v>13</v>
      </c>
      <c r="G213" s="33" t="s">
        <v>13</v>
      </c>
    </row>
    <row r="214">
      <c r="A214" s="32">
        <v>212.0</v>
      </c>
      <c r="B214" s="33" t="s">
        <v>793</v>
      </c>
      <c r="C214" s="33">
        <v>42.0</v>
      </c>
      <c r="D214" s="33" t="s">
        <v>13</v>
      </c>
      <c r="E214" s="33" t="s">
        <v>13</v>
      </c>
      <c r="F214" s="33" t="s">
        <v>13</v>
      </c>
      <c r="G214" s="33" t="s">
        <v>2671</v>
      </c>
    </row>
    <row r="215">
      <c r="A215" s="32">
        <v>213.0</v>
      </c>
      <c r="B215" s="33" t="s">
        <v>803</v>
      </c>
      <c r="C215" s="33">
        <v>42.0</v>
      </c>
      <c r="D215" s="33">
        <v>1.8141519E7</v>
      </c>
      <c r="E215" s="33" t="s">
        <v>13</v>
      </c>
      <c r="F215" s="33" t="s">
        <v>330</v>
      </c>
      <c r="G215" s="33" t="s">
        <v>2671</v>
      </c>
    </row>
    <row r="216">
      <c r="A216" s="32">
        <v>214.0</v>
      </c>
      <c r="B216" s="33" t="s">
        <v>2880</v>
      </c>
      <c r="C216" s="33" t="s">
        <v>13</v>
      </c>
      <c r="D216" s="33" t="s">
        <v>13</v>
      </c>
      <c r="E216" s="33" t="s">
        <v>13</v>
      </c>
      <c r="F216" s="33" t="s">
        <v>13</v>
      </c>
      <c r="G216" s="33" t="s">
        <v>13</v>
      </c>
    </row>
    <row r="217">
      <c r="A217" s="32">
        <v>215.0</v>
      </c>
      <c r="B217" s="33" t="s">
        <v>2880</v>
      </c>
      <c r="C217" s="33" t="s">
        <v>13</v>
      </c>
      <c r="D217" s="33" t="s">
        <v>13</v>
      </c>
      <c r="E217" s="33" t="s">
        <v>13</v>
      </c>
      <c r="F217" s="33" t="s">
        <v>2681</v>
      </c>
      <c r="G217" s="33" t="s">
        <v>13</v>
      </c>
    </row>
    <row r="218">
      <c r="A218" s="32">
        <v>216.0</v>
      </c>
      <c r="B218" s="33" t="s">
        <v>2881</v>
      </c>
      <c r="C218" s="33">
        <v>4.0</v>
      </c>
      <c r="D218" s="33" t="s">
        <v>13</v>
      </c>
      <c r="E218" s="33" t="s">
        <v>13</v>
      </c>
      <c r="F218" s="33" t="s">
        <v>13</v>
      </c>
      <c r="G218" s="33" t="s">
        <v>13</v>
      </c>
    </row>
    <row r="219">
      <c r="A219" s="32">
        <v>217.0</v>
      </c>
      <c r="B219" s="33" t="s">
        <v>2882</v>
      </c>
      <c r="C219" s="33" t="s">
        <v>13</v>
      </c>
      <c r="D219" s="33">
        <v>1.5285857E7</v>
      </c>
      <c r="E219" s="33" t="s">
        <v>13</v>
      </c>
      <c r="F219" s="33" t="s">
        <v>13</v>
      </c>
      <c r="G219" s="33" t="s">
        <v>13</v>
      </c>
    </row>
    <row r="220">
      <c r="A220" s="32">
        <v>218.0</v>
      </c>
      <c r="B220" s="33" t="s">
        <v>2883</v>
      </c>
      <c r="C220" s="33" t="s">
        <v>13</v>
      </c>
      <c r="D220" s="33" t="s">
        <v>13</v>
      </c>
      <c r="E220" s="33" t="s">
        <v>13</v>
      </c>
      <c r="F220" s="33" t="s">
        <v>13</v>
      </c>
      <c r="G220" s="33" t="s">
        <v>13</v>
      </c>
    </row>
    <row r="221">
      <c r="A221" s="32">
        <v>219.0</v>
      </c>
      <c r="B221" s="33" t="s">
        <v>2884</v>
      </c>
      <c r="C221" s="33" t="s">
        <v>13</v>
      </c>
      <c r="D221" s="33">
        <v>1.8817136E8</v>
      </c>
      <c r="E221" s="33" t="s">
        <v>13</v>
      </c>
      <c r="F221" s="33" t="s">
        <v>13</v>
      </c>
      <c r="G221" s="33" t="s">
        <v>13</v>
      </c>
    </row>
    <row r="222">
      <c r="A222" s="32">
        <v>220.0</v>
      </c>
      <c r="B222" s="33" t="s">
        <v>2884</v>
      </c>
      <c r="C222" s="33" t="s">
        <v>13</v>
      </c>
      <c r="D222" s="33" t="s">
        <v>13</v>
      </c>
      <c r="E222" s="33" t="s">
        <v>13</v>
      </c>
      <c r="F222" s="33" t="s">
        <v>13</v>
      </c>
      <c r="G222" s="33" t="s">
        <v>13</v>
      </c>
    </row>
    <row r="223">
      <c r="A223" s="32">
        <v>221.0</v>
      </c>
      <c r="B223" s="33" t="s">
        <v>2885</v>
      </c>
      <c r="C223" s="33" t="s">
        <v>13</v>
      </c>
      <c r="D223" s="33" t="s">
        <v>13</v>
      </c>
      <c r="E223" s="33" t="s">
        <v>13</v>
      </c>
      <c r="F223" s="33" t="s">
        <v>13</v>
      </c>
      <c r="G223" s="33" t="s">
        <v>13</v>
      </c>
    </row>
    <row r="224">
      <c r="A224" s="32">
        <v>222.0</v>
      </c>
      <c r="B224" s="33" t="s">
        <v>2886</v>
      </c>
      <c r="C224" s="33" t="s">
        <v>1731</v>
      </c>
      <c r="D224" s="33">
        <v>1.5550954E8</v>
      </c>
      <c r="E224" s="33" t="s">
        <v>13</v>
      </c>
      <c r="F224" s="33" t="s">
        <v>330</v>
      </c>
      <c r="G224" s="33" t="s">
        <v>1731</v>
      </c>
    </row>
    <row r="225">
      <c r="A225" s="32">
        <v>223.0</v>
      </c>
      <c r="B225" s="33" t="s">
        <v>2887</v>
      </c>
      <c r="C225" s="33" t="s">
        <v>13</v>
      </c>
      <c r="D225" s="33" t="s">
        <v>13</v>
      </c>
      <c r="E225" s="33" t="s">
        <v>13</v>
      </c>
      <c r="F225" s="33" t="s">
        <v>13</v>
      </c>
      <c r="G225" s="33" t="s">
        <v>2669</v>
      </c>
    </row>
    <row r="226">
      <c r="A226" s="32">
        <v>224.0</v>
      </c>
      <c r="B226" s="33" t="s">
        <v>2888</v>
      </c>
      <c r="C226" s="33" t="s">
        <v>13</v>
      </c>
      <c r="D226" s="33" t="s">
        <v>13</v>
      </c>
      <c r="E226" s="33" t="s">
        <v>13</v>
      </c>
      <c r="F226" s="33" t="s">
        <v>13</v>
      </c>
      <c r="G226" s="33" t="s">
        <v>2669</v>
      </c>
    </row>
    <row r="227">
      <c r="A227" s="32">
        <v>225.0</v>
      </c>
      <c r="B227" s="33" t="s">
        <v>2889</v>
      </c>
      <c r="C227" s="33" t="s">
        <v>13</v>
      </c>
      <c r="D227" s="33">
        <v>2.9536123E7</v>
      </c>
      <c r="E227" s="33" t="s">
        <v>13</v>
      </c>
      <c r="F227" s="33" t="s">
        <v>2681</v>
      </c>
      <c r="G227" s="33" t="s">
        <v>13</v>
      </c>
    </row>
    <row r="228">
      <c r="A228" s="32">
        <v>226.0</v>
      </c>
      <c r="B228" s="33" t="s">
        <v>2889</v>
      </c>
      <c r="C228" s="33" t="s">
        <v>13</v>
      </c>
      <c r="D228" s="33" t="s">
        <v>13</v>
      </c>
      <c r="E228" s="33" t="s">
        <v>13</v>
      </c>
      <c r="F228" s="33" t="s">
        <v>13</v>
      </c>
      <c r="G228" s="33" t="s">
        <v>13</v>
      </c>
    </row>
    <row r="229">
      <c r="A229" s="32">
        <v>227.0</v>
      </c>
      <c r="B229" s="33" t="s">
        <v>2889</v>
      </c>
      <c r="C229" s="33" t="s">
        <v>13</v>
      </c>
      <c r="D229" s="33">
        <v>2.9536127E8</v>
      </c>
      <c r="E229" s="33" t="s">
        <v>13</v>
      </c>
      <c r="F229" s="33" t="s">
        <v>13</v>
      </c>
      <c r="G229" s="33" t="s">
        <v>13</v>
      </c>
    </row>
    <row r="230">
      <c r="A230" s="32">
        <v>228.0</v>
      </c>
      <c r="B230" s="33" t="s">
        <v>2890</v>
      </c>
      <c r="C230" s="33" t="s">
        <v>13</v>
      </c>
      <c r="D230" s="33" t="s">
        <v>13</v>
      </c>
      <c r="E230" s="33" t="s">
        <v>13</v>
      </c>
      <c r="F230" s="33" t="s">
        <v>13</v>
      </c>
      <c r="G230" s="33" t="s">
        <v>2891</v>
      </c>
    </row>
    <row r="231">
      <c r="A231" s="32">
        <v>229.0</v>
      </c>
      <c r="B231" s="33" t="s">
        <v>2892</v>
      </c>
      <c r="C231" s="33" t="s">
        <v>13</v>
      </c>
      <c r="D231" s="33">
        <v>2.6045569E7</v>
      </c>
      <c r="E231" s="33" t="s">
        <v>13</v>
      </c>
      <c r="F231" s="33" t="s">
        <v>13</v>
      </c>
      <c r="G231" s="33" t="s">
        <v>13</v>
      </c>
    </row>
    <row r="232">
      <c r="A232" s="32">
        <v>230.0</v>
      </c>
      <c r="B232" s="33" t="s">
        <v>2254</v>
      </c>
      <c r="C232" s="33" t="s">
        <v>13</v>
      </c>
      <c r="D232" s="33" t="s">
        <v>13</v>
      </c>
      <c r="E232" s="33" t="s">
        <v>13</v>
      </c>
      <c r="F232" s="33" t="s">
        <v>13</v>
      </c>
      <c r="G232" s="33" t="s">
        <v>13</v>
      </c>
    </row>
    <row r="233">
      <c r="A233" s="32">
        <v>231.0</v>
      </c>
      <c r="B233" s="33" t="s">
        <v>2893</v>
      </c>
      <c r="C233" s="33" t="s">
        <v>13</v>
      </c>
      <c r="D233" s="33" t="s">
        <v>13</v>
      </c>
      <c r="E233" s="33" t="s">
        <v>13</v>
      </c>
      <c r="F233" s="33" t="s">
        <v>13</v>
      </c>
      <c r="G233" s="33" t="s">
        <v>2894</v>
      </c>
    </row>
    <row r="234">
      <c r="A234" s="32">
        <v>232.0</v>
      </c>
      <c r="B234" s="33" t="s">
        <v>2893</v>
      </c>
      <c r="C234" s="33" t="s">
        <v>13</v>
      </c>
      <c r="D234" s="33" t="s">
        <v>13</v>
      </c>
      <c r="E234" s="33" t="s">
        <v>13</v>
      </c>
      <c r="F234" s="33" t="s">
        <v>13</v>
      </c>
      <c r="G234" s="33" t="s">
        <v>13</v>
      </c>
    </row>
    <row r="235">
      <c r="A235" s="32">
        <v>233.0</v>
      </c>
      <c r="B235" s="33" t="s">
        <v>2895</v>
      </c>
      <c r="C235" s="33" t="s">
        <v>13</v>
      </c>
      <c r="D235" s="33" t="s">
        <v>13</v>
      </c>
      <c r="E235" s="33" t="s">
        <v>13</v>
      </c>
      <c r="F235" s="33" t="s">
        <v>13</v>
      </c>
      <c r="G235" s="33" t="s">
        <v>13</v>
      </c>
    </row>
    <row r="236">
      <c r="A236" s="32">
        <v>234.0</v>
      </c>
      <c r="B236" s="33" t="s">
        <v>2896</v>
      </c>
      <c r="C236" s="33" t="s">
        <v>13</v>
      </c>
      <c r="D236" s="33" t="s">
        <v>13</v>
      </c>
      <c r="E236" s="33" t="s">
        <v>13</v>
      </c>
      <c r="F236" s="33" t="s">
        <v>13</v>
      </c>
      <c r="G236" s="33" t="s">
        <v>13</v>
      </c>
    </row>
    <row r="237">
      <c r="A237" s="32">
        <v>235.0</v>
      </c>
      <c r="B237" s="33" t="s">
        <v>2897</v>
      </c>
      <c r="C237" s="33">
        <v>32.0</v>
      </c>
      <c r="D237" s="33">
        <v>2.5176001E7</v>
      </c>
      <c r="E237" s="33" t="s">
        <v>13</v>
      </c>
      <c r="F237" s="33" t="s">
        <v>330</v>
      </c>
      <c r="G237" s="33" t="s">
        <v>2671</v>
      </c>
    </row>
    <row r="238">
      <c r="A238" s="32">
        <v>236.0</v>
      </c>
      <c r="B238" s="33" t="s">
        <v>2898</v>
      </c>
      <c r="C238" s="33" t="s">
        <v>13</v>
      </c>
      <c r="D238" s="33" t="s">
        <v>13</v>
      </c>
      <c r="E238" s="33" t="s">
        <v>13</v>
      </c>
      <c r="F238" s="33" t="s">
        <v>13</v>
      </c>
      <c r="G238" s="33" t="s">
        <v>13</v>
      </c>
    </row>
    <row r="239">
      <c r="A239" s="32">
        <v>237.0</v>
      </c>
      <c r="B239" s="33" t="s">
        <v>2899</v>
      </c>
      <c r="C239" s="33" t="s">
        <v>13</v>
      </c>
      <c r="D239" s="33">
        <v>1.2094993E7</v>
      </c>
      <c r="E239" s="33" t="s">
        <v>13</v>
      </c>
      <c r="F239" s="33" t="s">
        <v>2681</v>
      </c>
      <c r="G239" s="33" t="s">
        <v>13</v>
      </c>
    </row>
    <row r="240">
      <c r="A240" s="32">
        <v>238.0</v>
      </c>
      <c r="B240" s="33" t="s">
        <v>2900</v>
      </c>
      <c r="C240" s="33" t="s">
        <v>13</v>
      </c>
      <c r="D240" s="33" t="s">
        <v>13</v>
      </c>
      <c r="E240" s="33" t="s">
        <v>13</v>
      </c>
      <c r="F240" s="33" t="s">
        <v>13</v>
      </c>
      <c r="G240" s="33" t="s">
        <v>13</v>
      </c>
    </row>
    <row r="241">
      <c r="A241" s="32">
        <v>239.0</v>
      </c>
      <c r="B241" s="33" t="s">
        <v>2900</v>
      </c>
      <c r="C241" s="33" t="s">
        <v>13</v>
      </c>
      <c r="D241" s="33" t="s">
        <v>13</v>
      </c>
      <c r="E241" s="33" t="s">
        <v>13</v>
      </c>
      <c r="F241" s="33" t="s">
        <v>2681</v>
      </c>
      <c r="G241" s="33" t="s">
        <v>2901</v>
      </c>
    </row>
    <row r="242">
      <c r="A242" s="32">
        <v>240.0</v>
      </c>
      <c r="B242" s="33" t="s">
        <v>2902</v>
      </c>
      <c r="C242" s="33" t="s">
        <v>13</v>
      </c>
      <c r="D242" s="33" t="s">
        <v>13</v>
      </c>
      <c r="E242" s="33" t="s">
        <v>13</v>
      </c>
      <c r="F242" s="33" t="s">
        <v>13</v>
      </c>
      <c r="G242" s="33" t="s">
        <v>13</v>
      </c>
    </row>
    <row r="243">
      <c r="A243" s="32">
        <v>241.0</v>
      </c>
      <c r="B243" s="33" t="s">
        <v>2903</v>
      </c>
      <c r="C243" s="33">
        <v>47.0</v>
      </c>
      <c r="D243" s="33">
        <v>1.3357989E7</v>
      </c>
      <c r="E243" s="33" t="s">
        <v>13</v>
      </c>
      <c r="F243" s="33" t="s">
        <v>330</v>
      </c>
      <c r="G243" s="33" t="s">
        <v>2671</v>
      </c>
    </row>
    <row r="244">
      <c r="A244" s="32">
        <v>242.0</v>
      </c>
      <c r="B244" s="33" t="s">
        <v>2904</v>
      </c>
      <c r="C244" s="33">
        <v>16.0</v>
      </c>
      <c r="D244" s="33">
        <v>3.328594E7</v>
      </c>
      <c r="E244" s="33" t="s">
        <v>13</v>
      </c>
      <c r="F244" s="33" t="s">
        <v>330</v>
      </c>
      <c r="G244" s="33" t="s">
        <v>2671</v>
      </c>
    </row>
    <row r="245">
      <c r="A245" s="32">
        <v>243.0</v>
      </c>
      <c r="B245" s="33" t="s">
        <v>2905</v>
      </c>
      <c r="C245" s="33">
        <v>7.0</v>
      </c>
      <c r="D245" s="33">
        <v>2.4208194E7</v>
      </c>
      <c r="E245" s="33" t="s">
        <v>13</v>
      </c>
      <c r="F245" s="33" t="s">
        <v>330</v>
      </c>
      <c r="G245" s="33" t="s">
        <v>2671</v>
      </c>
    </row>
    <row r="246">
      <c r="A246" s="32">
        <v>244.0</v>
      </c>
      <c r="B246" s="33" t="s">
        <v>2906</v>
      </c>
      <c r="C246" s="33" t="s">
        <v>13</v>
      </c>
      <c r="D246" s="33" t="s">
        <v>13</v>
      </c>
      <c r="E246" s="33" t="s">
        <v>13</v>
      </c>
      <c r="F246" s="33" t="s">
        <v>2681</v>
      </c>
      <c r="G246" s="33" t="s">
        <v>13</v>
      </c>
    </row>
    <row r="247">
      <c r="A247" s="32">
        <v>245.0</v>
      </c>
      <c r="B247" s="33" t="s">
        <v>2907</v>
      </c>
      <c r="C247" s="33" t="s">
        <v>13</v>
      </c>
      <c r="D247" s="33">
        <v>3.654205E7</v>
      </c>
      <c r="E247" s="33" t="s">
        <v>13</v>
      </c>
      <c r="F247" s="33" t="s">
        <v>13</v>
      </c>
      <c r="G247" s="33" t="s">
        <v>13</v>
      </c>
    </row>
    <row r="248">
      <c r="A248" s="32">
        <v>246.0</v>
      </c>
      <c r="B248" s="33" t="s">
        <v>2908</v>
      </c>
      <c r="C248" s="33">
        <v>21.0</v>
      </c>
      <c r="D248" s="33">
        <v>2.1204553E7</v>
      </c>
      <c r="E248" s="33" t="s">
        <v>13</v>
      </c>
      <c r="F248" s="33" t="s">
        <v>330</v>
      </c>
      <c r="G248" s="33" t="s">
        <v>2671</v>
      </c>
    </row>
    <row r="249">
      <c r="A249" s="32">
        <v>247.0</v>
      </c>
      <c r="B249" s="33" t="s">
        <v>2909</v>
      </c>
      <c r="C249" s="33">
        <v>28.0</v>
      </c>
      <c r="D249" s="33">
        <v>2.5969769E7</v>
      </c>
      <c r="E249" s="33" t="s">
        <v>13</v>
      </c>
      <c r="F249" s="33" t="s">
        <v>330</v>
      </c>
      <c r="G249" s="33" t="s">
        <v>2671</v>
      </c>
    </row>
    <row r="250">
      <c r="A250" s="32">
        <v>248.0</v>
      </c>
      <c r="B250" s="33" t="s">
        <v>2910</v>
      </c>
      <c r="C250" s="33" t="s">
        <v>13</v>
      </c>
      <c r="D250" s="33" t="s">
        <v>13</v>
      </c>
      <c r="E250" s="33" t="s">
        <v>13</v>
      </c>
      <c r="F250" s="33" t="s">
        <v>13</v>
      </c>
      <c r="G250" s="33" t="s">
        <v>13</v>
      </c>
    </row>
    <row r="251">
      <c r="A251" s="32">
        <v>249.0</v>
      </c>
      <c r="B251" s="33" t="s">
        <v>2911</v>
      </c>
      <c r="C251" s="33" t="s">
        <v>13</v>
      </c>
      <c r="D251" s="33">
        <v>6124045.0</v>
      </c>
      <c r="E251" s="33" t="s">
        <v>13</v>
      </c>
      <c r="F251" s="33" t="s">
        <v>13</v>
      </c>
      <c r="G251" s="33" t="s">
        <v>13</v>
      </c>
    </row>
    <row r="252">
      <c r="A252" s="32">
        <v>250.0</v>
      </c>
      <c r="B252" s="33" t="s">
        <v>2912</v>
      </c>
      <c r="C252" s="33">
        <v>82.0</v>
      </c>
      <c r="D252" s="33">
        <v>5607377.0</v>
      </c>
      <c r="E252" s="33" t="s">
        <v>13</v>
      </c>
      <c r="F252" s="33" t="s">
        <v>330</v>
      </c>
      <c r="G252" s="33" t="s">
        <v>2671</v>
      </c>
    </row>
    <row r="253">
      <c r="A253" s="32">
        <v>251.0</v>
      </c>
      <c r="B253" s="33" t="s">
        <v>2913</v>
      </c>
      <c r="C253" s="33" t="s">
        <v>13</v>
      </c>
      <c r="D253" s="33" t="s">
        <v>13</v>
      </c>
      <c r="E253" s="33" t="s">
        <v>13</v>
      </c>
      <c r="F253" s="33" t="s">
        <v>13</v>
      </c>
      <c r="G253" s="33" t="s">
        <v>13</v>
      </c>
    </row>
    <row r="254">
      <c r="A254" s="32">
        <v>252.0</v>
      </c>
      <c r="B254" s="33" t="s">
        <v>2914</v>
      </c>
      <c r="C254" s="33" t="s">
        <v>13</v>
      </c>
      <c r="D254" s="33">
        <v>5521210.0</v>
      </c>
      <c r="E254" s="33" t="s">
        <v>13</v>
      </c>
      <c r="F254" s="33" t="s">
        <v>13</v>
      </c>
      <c r="G254" s="33" t="s">
        <v>13</v>
      </c>
    </row>
    <row r="255">
      <c r="A255" s="32">
        <v>253.0</v>
      </c>
      <c r="B255" s="33" t="s">
        <v>2915</v>
      </c>
      <c r="C255" s="33" t="s">
        <v>13</v>
      </c>
      <c r="D255" s="33">
        <v>2.0303407E7</v>
      </c>
      <c r="E255" s="33" t="s">
        <v>13</v>
      </c>
      <c r="F255" s="33" t="s">
        <v>13</v>
      </c>
      <c r="G255" s="33" t="s">
        <v>13</v>
      </c>
    </row>
    <row r="256">
      <c r="A256" s="32">
        <v>254.0</v>
      </c>
      <c r="B256" s="33" t="s">
        <v>2916</v>
      </c>
      <c r="C256" s="33" t="s">
        <v>13</v>
      </c>
      <c r="D256" s="33">
        <v>5005566.0</v>
      </c>
      <c r="E256" s="33" t="s">
        <v>13</v>
      </c>
      <c r="F256" s="33" t="s">
        <v>13</v>
      </c>
      <c r="G256" s="33" t="s">
        <v>13</v>
      </c>
    </row>
    <row r="257">
      <c r="A257" s="32">
        <v>255.0</v>
      </c>
      <c r="B257" s="33" t="s">
        <v>2917</v>
      </c>
      <c r="C257" s="33" t="s">
        <v>13</v>
      </c>
      <c r="D257" s="33" t="s">
        <v>13</v>
      </c>
      <c r="E257" s="33" t="s">
        <v>13</v>
      </c>
      <c r="F257" s="33" t="s">
        <v>13</v>
      </c>
      <c r="G257" s="33" t="s">
        <v>13</v>
      </c>
    </row>
    <row r="258">
      <c r="A258" s="32">
        <v>256.0</v>
      </c>
      <c r="B258" s="33" t="s">
        <v>2918</v>
      </c>
      <c r="C258" s="33" t="s">
        <v>13</v>
      </c>
      <c r="D258" s="33">
        <v>2.2022191E7</v>
      </c>
      <c r="E258" s="33" t="s">
        <v>13</v>
      </c>
      <c r="F258" s="33" t="s">
        <v>13</v>
      </c>
      <c r="G258" s="33" t="s">
        <v>13</v>
      </c>
    </row>
    <row r="259">
      <c r="A259" s="32">
        <v>257.0</v>
      </c>
      <c r="B259" s="33" t="s">
        <v>2919</v>
      </c>
      <c r="C259" s="33" t="s">
        <v>13</v>
      </c>
      <c r="D259" s="33">
        <v>2.6838425E7</v>
      </c>
      <c r="E259" s="33" t="s">
        <v>13</v>
      </c>
      <c r="F259" s="33" t="s">
        <v>13</v>
      </c>
      <c r="G259" s="33" t="s">
        <v>13</v>
      </c>
    </row>
    <row r="260">
      <c r="A260" s="32">
        <v>258.0</v>
      </c>
      <c r="B260" s="33" t="s">
        <v>898</v>
      </c>
      <c r="C260" s="33">
        <v>62.0</v>
      </c>
      <c r="D260" s="33">
        <v>1.1057636E7</v>
      </c>
      <c r="E260" s="33" t="s">
        <v>13</v>
      </c>
      <c r="F260" s="33" t="s">
        <v>330</v>
      </c>
      <c r="G260" s="33" t="s">
        <v>2671</v>
      </c>
    </row>
    <row r="261">
      <c r="A261" s="32">
        <v>259.0</v>
      </c>
      <c r="B261" s="33" t="s">
        <v>2920</v>
      </c>
      <c r="C261" s="33" t="s">
        <v>13</v>
      </c>
      <c r="D261" s="33" t="s">
        <v>13</v>
      </c>
      <c r="E261" s="33" t="s">
        <v>13</v>
      </c>
      <c r="F261" s="33" t="s">
        <v>13</v>
      </c>
      <c r="G261" s="33" t="s">
        <v>13</v>
      </c>
    </row>
    <row r="262">
      <c r="A262" s="32">
        <v>260.0</v>
      </c>
      <c r="B262" s="33" t="s">
        <v>2921</v>
      </c>
      <c r="C262" s="33" t="s">
        <v>13</v>
      </c>
      <c r="D262" s="33">
        <v>6931566.0</v>
      </c>
      <c r="E262" s="33" t="s">
        <v>13</v>
      </c>
      <c r="F262" s="33" t="s">
        <v>13</v>
      </c>
      <c r="G262" s="33" t="s">
        <v>13</v>
      </c>
    </row>
    <row r="263">
      <c r="A263" s="32">
        <v>261.0</v>
      </c>
      <c r="B263" s="33" t="s">
        <v>2922</v>
      </c>
      <c r="C263" s="33" t="s">
        <v>13</v>
      </c>
      <c r="D263" s="33">
        <v>4110985.0</v>
      </c>
      <c r="E263" s="33" t="s">
        <v>13</v>
      </c>
      <c r="F263" s="33" t="s">
        <v>13</v>
      </c>
      <c r="G263" s="33" t="s">
        <v>13</v>
      </c>
    </row>
    <row r="264">
      <c r="A264" s="32">
        <v>262.0</v>
      </c>
      <c r="B264" s="33" t="s">
        <v>2923</v>
      </c>
      <c r="C264" s="33" t="s">
        <v>13</v>
      </c>
      <c r="D264" s="33" t="s">
        <v>13</v>
      </c>
      <c r="E264" s="33" t="s">
        <v>13</v>
      </c>
      <c r="F264" s="33" t="s">
        <v>13</v>
      </c>
      <c r="G264" s="33" t="s">
        <v>13</v>
      </c>
    </row>
    <row r="265">
      <c r="A265" s="32">
        <v>263.0</v>
      </c>
      <c r="B265" s="33" t="s">
        <v>2924</v>
      </c>
      <c r="C265" s="33" t="s">
        <v>13</v>
      </c>
      <c r="D265" s="33">
        <v>2641506.0</v>
      </c>
      <c r="E265" s="33" t="s">
        <v>13</v>
      </c>
      <c r="F265" s="33" t="s">
        <v>13</v>
      </c>
      <c r="G265" s="33" t="s">
        <v>13</v>
      </c>
    </row>
    <row r="266">
      <c r="A266" s="32">
        <v>264.0</v>
      </c>
      <c r="B266" s="33" t="s">
        <v>2925</v>
      </c>
      <c r="C266" s="33" t="s">
        <v>13</v>
      </c>
      <c r="D266" s="33" t="s">
        <v>13</v>
      </c>
      <c r="E266" s="33" t="s">
        <v>13</v>
      </c>
      <c r="F266" s="33" t="s">
        <v>13</v>
      </c>
      <c r="G266" s="33" t="s">
        <v>13</v>
      </c>
    </row>
    <row r="267">
      <c r="A267" s="32">
        <v>265.0</v>
      </c>
      <c r="B267" s="33" t="s">
        <v>2926</v>
      </c>
      <c r="C267" s="33" t="s">
        <v>13</v>
      </c>
      <c r="D267" s="33">
        <v>2.0523436E7</v>
      </c>
      <c r="E267" s="33" t="s">
        <v>13</v>
      </c>
      <c r="F267" s="33" t="s">
        <v>2681</v>
      </c>
      <c r="G267" s="33" t="s">
        <v>13</v>
      </c>
    </row>
    <row r="268">
      <c r="A268" s="32">
        <v>266.0</v>
      </c>
      <c r="B268" s="33" t="s">
        <v>926</v>
      </c>
      <c r="C268" s="33">
        <v>2.0</v>
      </c>
      <c r="D268" s="33">
        <v>3.7441738E7</v>
      </c>
      <c r="E268" s="33" t="s">
        <v>13</v>
      </c>
      <c r="F268" s="33" t="s">
        <v>330</v>
      </c>
      <c r="G268" s="33" t="s">
        <v>2671</v>
      </c>
    </row>
    <row r="269">
      <c r="A269" s="32">
        <v>267.0</v>
      </c>
      <c r="B269" s="33" t="s">
        <v>2927</v>
      </c>
      <c r="C269" s="33" t="s">
        <v>13</v>
      </c>
      <c r="D269" s="33" t="s">
        <v>13</v>
      </c>
      <c r="E269" s="33" t="s">
        <v>13</v>
      </c>
      <c r="F269" s="33" t="s">
        <v>13</v>
      </c>
      <c r="G269" s="33" t="s">
        <v>2555</v>
      </c>
    </row>
    <row r="270">
      <c r="A270" s="32">
        <v>268.0</v>
      </c>
      <c r="B270" s="33" t="s">
        <v>2928</v>
      </c>
      <c r="C270" s="33" t="s">
        <v>13</v>
      </c>
      <c r="D270" s="33">
        <v>5604699.0</v>
      </c>
      <c r="E270" s="33" t="s">
        <v>13</v>
      </c>
      <c r="F270" s="33" t="s">
        <v>13</v>
      </c>
      <c r="G270" s="33" t="s">
        <v>13</v>
      </c>
    </row>
    <row r="271">
      <c r="A271" s="32">
        <v>269.0</v>
      </c>
      <c r="B271" s="33" t="s">
        <v>2929</v>
      </c>
      <c r="C271" s="33" t="s">
        <v>13</v>
      </c>
      <c r="D271" s="33" t="s">
        <v>13</v>
      </c>
      <c r="E271" s="33" t="s">
        <v>13</v>
      </c>
      <c r="F271" s="33" t="s">
        <v>13</v>
      </c>
      <c r="G271" s="33" t="s">
        <v>13</v>
      </c>
    </row>
    <row r="272">
      <c r="A272" s="32">
        <v>270.0</v>
      </c>
      <c r="B272" s="33" t="s">
        <v>2930</v>
      </c>
      <c r="C272" s="33" t="s">
        <v>13</v>
      </c>
      <c r="D272" s="33" t="s">
        <v>14</v>
      </c>
      <c r="E272" s="33" t="s">
        <v>13</v>
      </c>
      <c r="F272" s="33" t="s">
        <v>13</v>
      </c>
      <c r="G272" s="33" t="s">
        <v>15</v>
      </c>
    </row>
    <row r="273">
      <c r="A273" s="32">
        <v>271.0</v>
      </c>
      <c r="B273" s="33" t="s">
        <v>2931</v>
      </c>
      <c r="C273" s="33" t="s">
        <v>13</v>
      </c>
      <c r="D273" s="33" t="s">
        <v>13</v>
      </c>
      <c r="E273" s="33" t="s">
        <v>13</v>
      </c>
      <c r="F273" s="33" t="s">
        <v>13</v>
      </c>
      <c r="G273" s="33" t="s">
        <v>13</v>
      </c>
    </row>
    <row r="274">
      <c r="A274" s="32">
        <v>272.0</v>
      </c>
      <c r="B274" s="33" t="s">
        <v>2380</v>
      </c>
      <c r="C274" s="33" t="s">
        <v>13</v>
      </c>
      <c r="D274" s="33" t="s">
        <v>13</v>
      </c>
      <c r="E274" s="33" t="s">
        <v>13</v>
      </c>
      <c r="F274" s="33" t="s">
        <v>13</v>
      </c>
      <c r="G274" s="33" t="s">
        <v>13</v>
      </c>
    </row>
    <row r="275">
      <c r="A275" s="32">
        <v>273.0</v>
      </c>
      <c r="B275" s="33" t="s">
        <v>2380</v>
      </c>
      <c r="C275" s="33" t="s">
        <v>13</v>
      </c>
      <c r="D275" s="33">
        <v>2.2026527E8</v>
      </c>
      <c r="E275" s="33" t="s">
        <v>13</v>
      </c>
      <c r="F275" s="33" t="s">
        <v>13</v>
      </c>
      <c r="G275" s="33" t="s">
        <v>13</v>
      </c>
    </row>
    <row r="276">
      <c r="A276" s="32">
        <v>274.0</v>
      </c>
      <c r="B276" s="33" t="s">
        <v>2932</v>
      </c>
      <c r="C276" s="33" t="s">
        <v>13</v>
      </c>
      <c r="D276" s="33" t="s">
        <v>13</v>
      </c>
      <c r="E276" s="33" t="s">
        <v>13</v>
      </c>
      <c r="F276" s="33" t="s">
        <v>13</v>
      </c>
      <c r="G276" s="33" t="s">
        <v>2669</v>
      </c>
    </row>
    <row r="277">
      <c r="A277" s="32">
        <v>275.0</v>
      </c>
      <c r="B277" s="33" t="s">
        <v>2933</v>
      </c>
      <c r="C277" s="33" t="s">
        <v>13</v>
      </c>
      <c r="D277" s="33" t="s">
        <v>13</v>
      </c>
      <c r="E277" s="33" t="s">
        <v>13</v>
      </c>
      <c r="F277" s="33" t="s">
        <v>13</v>
      </c>
      <c r="G277" s="33" t="s">
        <v>13</v>
      </c>
    </row>
    <row r="278">
      <c r="A278" s="32">
        <v>276.0</v>
      </c>
      <c r="B278" s="33" t="s">
        <v>2933</v>
      </c>
      <c r="C278" s="33" t="s">
        <v>13</v>
      </c>
      <c r="D278" s="33">
        <v>2.2550086E7</v>
      </c>
      <c r="E278" s="33" t="s">
        <v>13</v>
      </c>
      <c r="F278" s="33" t="s">
        <v>2681</v>
      </c>
      <c r="G278" s="33" t="s">
        <v>13</v>
      </c>
    </row>
    <row r="279">
      <c r="A279" s="32">
        <v>277.0</v>
      </c>
      <c r="B279" s="33" t="s">
        <v>2934</v>
      </c>
      <c r="C279" s="33" t="s">
        <v>1731</v>
      </c>
      <c r="D279" s="33">
        <v>2.2550086E8</v>
      </c>
      <c r="E279" s="33" t="s">
        <v>13</v>
      </c>
      <c r="F279" s="33" t="s">
        <v>330</v>
      </c>
      <c r="G279" s="33" t="s">
        <v>1731</v>
      </c>
    </row>
    <row r="280">
      <c r="A280" s="32">
        <v>278.0</v>
      </c>
      <c r="B280" s="33" t="s">
        <v>2935</v>
      </c>
      <c r="C280" s="33">
        <v>18.0</v>
      </c>
      <c r="D280" s="33">
        <v>3.233404E7</v>
      </c>
      <c r="E280" s="33" t="s">
        <v>13</v>
      </c>
      <c r="F280" s="33" t="s">
        <v>2936</v>
      </c>
      <c r="G280" s="33" t="s">
        <v>2671</v>
      </c>
    </row>
    <row r="281">
      <c r="A281" s="32">
        <v>279.0</v>
      </c>
      <c r="B281" s="33" t="s">
        <v>945</v>
      </c>
      <c r="C281" s="33">
        <v>18.0</v>
      </c>
      <c r="D281" s="33">
        <v>3.233409E7</v>
      </c>
      <c r="E281" s="33" t="s">
        <v>13</v>
      </c>
      <c r="F281" s="33" t="s">
        <v>330</v>
      </c>
      <c r="G281" s="33" t="s">
        <v>2671</v>
      </c>
    </row>
    <row r="282">
      <c r="A282" s="32">
        <v>280.0</v>
      </c>
      <c r="B282" s="33" t="s">
        <v>2937</v>
      </c>
      <c r="C282" s="33">
        <v>14.0</v>
      </c>
      <c r="D282" s="33">
        <v>1.6705956E7</v>
      </c>
      <c r="E282" s="33" t="s">
        <v>13</v>
      </c>
      <c r="F282" s="33" t="s">
        <v>2681</v>
      </c>
      <c r="G282" s="33" t="s">
        <v>13</v>
      </c>
    </row>
    <row r="283">
      <c r="A283" s="32">
        <v>281.0</v>
      </c>
      <c r="B283" s="33" t="s">
        <v>2937</v>
      </c>
      <c r="C283" s="33" t="s">
        <v>13</v>
      </c>
      <c r="D283" s="33" t="s">
        <v>13</v>
      </c>
      <c r="E283" s="33" t="s">
        <v>13</v>
      </c>
      <c r="F283" s="33" t="s">
        <v>13</v>
      </c>
      <c r="G283" s="33" t="s">
        <v>13</v>
      </c>
    </row>
    <row r="284">
      <c r="A284" s="32">
        <v>282.0</v>
      </c>
      <c r="B284" s="33" t="s">
        <v>2938</v>
      </c>
      <c r="C284" s="33" t="s">
        <v>1731</v>
      </c>
      <c r="D284" s="33">
        <v>1.6705956E8</v>
      </c>
      <c r="E284" s="33" t="s">
        <v>13</v>
      </c>
      <c r="F284" s="33" t="s">
        <v>330</v>
      </c>
      <c r="G284" s="33" t="s">
        <v>1731</v>
      </c>
    </row>
    <row r="285">
      <c r="A285" s="38">
        <v>283.0</v>
      </c>
      <c r="B285" s="38" t="s">
        <v>2939</v>
      </c>
      <c r="C285" s="38" t="s">
        <v>13</v>
      </c>
      <c r="D285" s="38">
        <v>2.0303112E7</v>
      </c>
      <c r="E285" s="38" t="s">
        <v>13</v>
      </c>
      <c r="F285" s="38" t="s">
        <v>13</v>
      </c>
      <c r="G285" s="38" t="s">
        <v>13</v>
      </c>
    </row>
    <row r="286">
      <c r="A286" s="38">
        <v>284.0</v>
      </c>
      <c r="B286" s="38" t="s">
        <v>2940</v>
      </c>
      <c r="C286" s="38" t="s">
        <v>13</v>
      </c>
      <c r="D286" s="38">
        <v>6207465.0</v>
      </c>
      <c r="E286" s="38" t="s">
        <v>13</v>
      </c>
      <c r="F286" s="38" t="s">
        <v>13</v>
      </c>
      <c r="G286" s="38" t="s">
        <v>13</v>
      </c>
    </row>
    <row r="287">
      <c r="A287" s="38">
        <v>285.0</v>
      </c>
      <c r="B287" s="38" t="s">
        <v>2941</v>
      </c>
      <c r="C287" s="38" t="s">
        <v>13</v>
      </c>
      <c r="D287" s="38" t="s">
        <v>13</v>
      </c>
      <c r="E287" s="38" t="s">
        <v>13</v>
      </c>
      <c r="F287" s="38" t="s">
        <v>13</v>
      </c>
      <c r="G287" s="38" t="s">
        <v>13</v>
      </c>
    </row>
    <row r="288">
      <c r="A288" s="38">
        <v>286.0</v>
      </c>
      <c r="B288" s="38" t="s">
        <v>2942</v>
      </c>
      <c r="C288" s="38" t="s">
        <v>13</v>
      </c>
      <c r="D288" s="38">
        <v>2.6373503E7</v>
      </c>
      <c r="E288" s="38" t="s">
        <v>13</v>
      </c>
      <c r="F288" s="38" t="s">
        <v>2734</v>
      </c>
      <c r="G288" s="38" t="s">
        <v>13</v>
      </c>
    </row>
    <row r="289">
      <c r="A289" s="38">
        <v>287.0</v>
      </c>
      <c r="B289" s="38" t="s">
        <v>2943</v>
      </c>
      <c r="C289" s="38" t="s">
        <v>13</v>
      </c>
      <c r="D289" s="38" t="s">
        <v>13</v>
      </c>
      <c r="E289" s="38" t="s">
        <v>13</v>
      </c>
      <c r="F289" s="38" t="s">
        <v>13</v>
      </c>
      <c r="G289" s="38" t="s">
        <v>13</v>
      </c>
    </row>
    <row r="290">
      <c r="A290" s="38">
        <v>288.0</v>
      </c>
      <c r="B290" s="38" t="s">
        <v>2944</v>
      </c>
      <c r="C290" s="38" t="s">
        <v>13</v>
      </c>
      <c r="D290" s="38" t="s">
        <v>13</v>
      </c>
      <c r="E290" s="38" t="s">
        <v>13</v>
      </c>
      <c r="F290" s="38" t="s">
        <v>13</v>
      </c>
      <c r="G290" s="38" t="s">
        <v>13</v>
      </c>
    </row>
    <row r="291">
      <c r="A291" s="38">
        <v>289.0</v>
      </c>
      <c r="B291" s="38" t="s">
        <v>2944</v>
      </c>
      <c r="C291" s="38" t="s">
        <v>13</v>
      </c>
      <c r="D291" s="38">
        <v>799128.0</v>
      </c>
      <c r="E291" s="38" t="s">
        <v>13</v>
      </c>
      <c r="F291" s="38" t="s">
        <v>13</v>
      </c>
      <c r="G291" s="38" t="s">
        <v>13</v>
      </c>
    </row>
    <row r="292">
      <c r="A292" s="38">
        <v>290.0</v>
      </c>
      <c r="B292" s="38" t="s">
        <v>2945</v>
      </c>
      <c r="C292" s="38" t="s">
        <v>13</v>
      </c>
      <c r="D292" s="38" t="s">
        <v>13</v>
      </c>
      <c r="E292" s="38" t="s">
        <v>13</v>
      </c>
      <c r="F292" s="38" t="s">
        <v>13</v>
      </c>
      <c r="G292" s="38" t="s">
        <v>13</v>
      </c>
    </row>
    <row r="293">
      <c r="A293" s="38">
        <v>291.0</v>
      </c>
      <c r="B293" s="38" t="s">
        <v>2946</v>
      </c>
      <c r="C293" s="38" t="s">
        <v>13</v>
      </c>
      <c r="D293" s="38">
        <v>5645025.0</v>
      </c>
      <c r="E293" s="38" t="s">
        <v>13</v>
      </c>
      <c r="F293" s="38" t="s">
        <v>13</v>
      </c>
      <c r="G293" s="38" t="s">
        <v>13</v>
      </c>
    </row>
    <row r="294">
      <c r="A294" s="38">
        <v>292.0</v>
      </c>
      <c r="B294" s="38" t="s">
        <v>2947</v>
      </c>
      <c r="C294" s="38" t="s">
        <v>13</v>
      </c>
      <c r="D294" s="38">
        <v>1.4953283E7</v>
      </c>
      <c r="E294" s="38" t="s">
        <v>13</v>
      </c>
      <c r="F294" s="38" t="s">
        <v>2681</v>
      </c>
      <c r="G294" s="38" t="s">
        <v>13</v>
      </c>
    </row>
    <row r="295">
      <c r="A295" s="38">
        <v>293.0</v>
      </c>
      <c r="B295" s="38" t="s">
        <v>2948</v>
      </c>
      <c r="C295" s="38" t="s">
        <v>13</v>
      </c>
      <c r="D295" s="38" t="s">
        <v>13</v>
      </c>
      <c r="E295" s="38" t="s">
        <v>13</v>
      </c>
      <c r="F295" s="38" t="s">
        <v>13</v>
      </c>
      <c r="G295" s="38" t="s">
        <v>2688</v>
      </c>
    </row>
    <row r="296">
      <c r="A296" s="38">
        <v>293.0</v>
      </c>
      <c r="B296" s="84" t="s">
        <v>5054</v>
      </c>
      <c r="C296" s="86"/>
      <c r="D296" s="85">
        <v>3.1383685E7</v>
      </c>
      <c r="E296" s="86"/>
      <c r="F296" s="86"/>
      <c r="G296" s="110"/>
    </row>
    <row r="297">
      <c r="A297" s="38">
        <v>293.0</v>
      </c>
      <c r="B297" s="87" t="s">
        <v>5055</v>
      </c>
      <c r="C297" s="111"/>
      <c r="D297" s="88">
        <v>1.5550954E7</v>
      </c>
      <c r="E297" s="111"/>
      <c r="F297" s="111"/>
      <c r="G297" s="112"/>
      <c r="H297" s="113"/>
    </row>
    <row r="298">
      <c r="A298" s="38">
        <v>293.0</v>
      </c>
      <c r="B298" s="84" t="s">
        <v>4935</v>
      </c>
      <c r="C298" s="114"/>
      <c r="D298" s="85">
        <v>1.8709145E7</v>
      </c>
      <c r="E298" s="114"/>
      <c r="F298" s="86"/>
      <c r="G298" s="110"/>
    </row>
    <row r="299">
      <c r="A299" s="38">
        <v>293.0</v>
      </c>
      <c r="B299" s="87" t="s">
        <v>5056</v>
      </c>
      <c r="C299" s="111"/>
      <c r="D299" s="88">
        <v>1.3069223E7</v>
      </c>
      <c r="E299" s="111"/>
      <c r="F299" s="89"/>
      <c r="G299" s="112"/>
    </row>
    <row r="300">
      <c r="A300" s="38">
        <v>293.0</v>
      </c>
      <c r="B300" s="84" t="s">
        <v>4946</v>
      </c>
      <c r="C300" s="114"/>
      <c r="D300" s="85">
        <v>2.9536127E7</v>
      </c>
      <c r="E300" s="114"/>
      <c r="F300" s="86"/>
      <c r="G300" s="110"/>
    </row>
    <row r="301">
      <c r="A301" s="38">
        <v>293.0</v>
      </c>
      <c r="B301" s="87" t="s">
        <v>5057</v>
      </c>
      <c r="C301" s="111"/>
      <c r="D301" s="88">
        <v>1.1055173E7</v>
      </c>
      <c r="E301" s="111"/>
      <c r="F301" s="89"/>
      <c r="G301" s="112"/>
    </row>
    <row r="302">
      <c r="A302" s="38">
        <v>293.0</v>
      </c>
      <c r="B302" s="84" t="s">
        <v>5058</v>
      </c>
      <c r="C302" s="114"/>
      <c r="D302" s="86"/>
      <c r="E302" s="114"/>
      <c r="F302" s="86"/>
      <c r="G302" s="110"/>
    </row>
    <row r="303">
      <c r="A303" s="38">
        <v>293.0</v>
      </c>
      <c r="B303" s="87" t="s">
        <v>5059</v>
      </c>
      <c r="C303" s="111"/>
      <c r="D303" s="88">
        <v>3.0527436E7</v>
      </c>
      <c r="E303" s="111"/>
      <c r="F303" s="89"/>
      <c r="G303" s="112"/>
    </row>
    <row r="304">
      <c r="A304" s="38">
        <v>293.0</v>
      </c>
      <c r="B304" s="84" t="s">
        <v>4932</v>
      </c>
      <c r="C304" s="114"/>
      <c r="D304" s="85">
        <v>1.7710348E7</v>
      </c>
      <c r="E304" s="86"/>
      <c r="F304" s="86"/>
      <c r="G304" s="110"/>
    </row>
    <row r="305">
      <c r="A305" s="38">
        <v>293.0</v>
      </c>
      <c r="B305" s="87" t="s">
        <v>4927</v>
      </c>
      <c r="C305" s="111"/>
      <c r="D305" s="88">
        <v>3.1428812E7</v>
      </c>
      <c r="E305" s="111"/>
      <c r="F305" s="89"/>
      <c r="G305" s="112"/>
    </row>
    <row r="306">
      <c r="A306" s="38">
        <v>293.0</v>
      </c>
      <c r="B306" s="84" t="s">
        <v>5060</v>
      </c>
      <c r="C306" s="114"/>
      <c r="D306" s="86"/>
      <c r="E306" s="114"/>
      <c r="F306" s="86"/>
      <c r="G306" s="110"/>
    </row>
    <row r="307">
      <c r="A307" s="38">
        <v>293.0</v>
      </c>
      <c r="B307" s="87" t="s">
        <v>5061</v>
      </c>
      <c r="C307" s="111"/>
      <c r="D307" s="88">
        <v>2.2026527E7</v>
      </c>
      <c r="E307" s="111"/>
      <c r="F307" s="89"/>
      <c r="G307" s="112"/>
    </row>
    <row r="308">
      <c r="A308" s="38">
        <v>293.0</v>
      </c>
      <c r="B308" s="84" t="s">
        <v>4954</v>
      </c>
      <c r="C308" s="114"/>
      <c r="D308" s="85">
        <v>2.632736E7</v>
      </c>
      <c r="E308" s="86"/>
      <c r="F308" s="86"/>
      <c r="G308" s="110"/>
    </row>
    <row r="309">
      <c r="A309" s="38">
        <v>293.0</v>
      </c>
      <c r="B309" s="87" t="s">
        <v>5062</v>
      </c>
      <c r="C309" s="111"/>
      <c r="D309" s="88">
        <v>1.5164293E7</v>
      </c>
      <c r="E309" s="111"/>
      <c r="F309" s="89"/>
      <c r="G309" s="112"/>
    </row>
    <row r="310">
      <c r="A310" s="38">
        <v>293.0</v>
      </c>
      <c r="B310" s="84" t="s">
        <v>4898</v>
      </c>
      <c r="C310" s="114"/>
      <c r="D310" s="85">
        <v>3.29197E7</v>
      </c>
      <c r="E310" s="114"/>
      <c r="F310" s="86"/>
      <c r="G310" s="110"/>
    </row>
    <row r="311">
      <c r="A311" s="38">
        <v>293.0</v>
      </c>
      <c r="B311" s="87" t="s">
        <v>4887</v>
      </c>
      <c r="C311" s="111"/>
      <c r="D311" s="88">
        <v>2.2550086E7</v>
      </c>
      <c r="E311" s="111"/>
      <c r="F311" s="89"/>
      <c r="G311" s="112"/>
    </row>
    <row r="312">
      <c r="A312" s="38">
        <v>293.0</v>
      </c>
      <c r="B312" s="84" t="s">
        <v>5063</v>
      </c>
      <c r="C312" s="114"/>
      <c r="D312" s="85">
        <v>1.8817136E7</v>
      </c>
      <c r="E312" s="114"/>
      <c r="F312" s="86"/>
      <c r="G312" s="110"/>
    </row>
    <row r="313">
      <c r="A313" s="38">
        <v>293.0</v>
      </c>
      <c r="B313" s="87" t="s">
        <v>5064</v>
      </c>
      <c r="C313" s="111"/>
      <c r="D313" s="88">
        <v>2.5867267E7</v>
      </c>
      <c r="E313" s="111"/>
      <c r="F313" s="89"/>
      <c r="G313" s="112"/>
    </row>
    <row r="314">
      <c r="A314" s="38">
        <v>293.0</v>
      </c>
      <c r="B314" s="84" t="s">
        <v>5065</v>
      </c>
      <c r="C314" s="114"/>
      <c r="D314" s="85">
        <v>1.6312925E7</v>
      </c>
      <c r="E314" s="114"/>
      <c r="F314" s="86"/>
      <c r="G314" s="110"/>
    </row>
    <row r="315">
      <c r="A315" s="38">
        <v>293.0</v>
      </c>
      <c r="B315" s="87" t="s">
        <v>5066</v>
      </c>
      <c r="C315" s="111"/>
      <c r="D315" s="89"/>
      <c r="E315" s="111"/>
      <c r="F315" s="89"/>
      <c r="G315" s="112"/>
    </row>
    <row r="316">
      <c r="A316" s="38">
        <v>293.0</v>
      </c>
      <c r="B316" s="84" t="s">
        <v>5067</v>
      </c>
      <c r="C316" s="114"/>
      <c r="D316" s="86"/>
      <c r="E316" s="114"/>
      <c r="F316" s="86"/>
      <c r="G316" s="110"/>
    </row>
    <row r="317">
      <c r="A317" s="38">
        <v>293.0</v>
      </c>
      <c r="B317" s="87" t="s">
        <v>4968</v>
      </c>
      <c r="C317" s="111"/>
      <c r="D317" s="89"/>
      <c r="E317" s="89"/>
      <c r="F317" s="89"/>
      <c r="G317" s="112"/>
    </row>
    <row r="318">
      <c r="A318" s="38">
        <v>293.0</v>
      </c>
      <c r="B318" s="84" t="s">
        <v>5024</v>
      </c>
      <c r="C318" s="114"/>
      <c r="D318" s="86"/>
      <c r="E318" s="86"/>
      <c r="F318" s="86"/>
      <c r="G318" s="110"/>
    </row>
    <row r="319">
      <c r="A319" s="38">
        <v>293.0</v>
      </c>
      <c r="B319" s="87" t="s">
        <v>5068</v>
      </c>
      <c r="C319" s="88">
        <v>17.0</v>
      </c>
      <c r="D319" s="89"/>
      <c r="E319" s="89"/>
      <c r="F319" s="89"/>
      <c r="G319" s="87" t="s">
        <v>5069</v>
      </c>
    </row>
    <row r="320">
      <c r="A320" s="38">
        <v>293.0</v>
      </c>
      <c r="B320" s="84" t="s">
        <v>5070</v>
      </c>
      <c r="C320" s="114"/>
      <c r="D320" s="86"/>
      <c r="E320" s="86"/>
      <c r="F320" s="86"/>
      <c r="G320" s="110"/>
    </row>
    <row r="321">
      <c r="A321" s="38">
        <v>293.0</v>
      </c>
      <c r="B321" s="87" t="s">
        <v>5034</v>
      </c>
      <c r="C321" s="111"/>
      <c r="D321" s="111"/>
      <c r="E321" s="89"/>
      <c r="F321" s="111"/>
      <c r="G321" s="112"/>
    </row>
    <row r="322">
      <c r="A322" s="38">
        <v>293.0</v>
      </c>
      <c r="B322" s="84" t="s">
        <v>4942</v>
      </c>
      <c r="C322" s="114"/>
      <c r="D322" s="86"/>
      <c r="E322" s="86"/>
      <c r="F322" s="86"/>
      <c r="G322" s="110"/>
    </row>
    <row r="323">
      <c r="A323" s="38">
        <v>293.0</v>
      </c>
      <c r="B323" s="87" t="s">
        <v>5071</v>
      </c>
      <c r="C323" s="111"/>
      <c r="D323" s="88">
        <v>3.117846E7</v>
      </c>
      <c r="E323" s="89"/>
      <c r="F323" s="89"/>
      <c r="G323" s="87" t="s">
        <v>5072</v>
      </c>
    </row>
    <row r="324">
      <c r="A324" s="38">
        <v>293.0</v>
      </c>
      <c r="B324" s="84" t="s">
        <v>5073</v>
      </c>
      <c r="C324" s="114"/>
      <c r="D324" s="86"/>
      <c r="E324" s="86"/>
      <c r="F324" s="86"/>
      <c r="G324" s="110"/>
    </row>
    <row r="325">
      <c r="A325" s="38">
        <v>293.0</v>
      </c>
      <c r="B325" s="87" t="s">
        <v>5074</v>
      </c>
      <c r="C325" s="111"/>
      <c r="D325" s="89"/>
      <c r="E325" s="111"/>
      <c r="F325" s="111"/>
      <c r="G325" s="112"/>
    </row>
    <row r="326">
      <c r="A326" s="38">
        <v>293.0</v>
      </c>
      <c r="B326" s="84" t="s">
        <v>5075</v>
      </c>
      <c r="C326" s="114"/>
      <c r="D326" s="86"/>
      <c r="E326" s="86"/>
      <c r="F326" s="86"/>
      <c r="G326" s="84" t="s">
        <v>5076</v>
      </c>
    </row>
    <row r="327">
      <c r="A327" s="38">
        <v>293.0</v>
      </c>
      <c r="B327" s="87" t="s">
        <v>4990</v>
      </c>
      <c r="C327" s="111"/>
      <c r="D327" s="89"/>
      <c r="E327" s="89"/>
      <c r="F327" s="89"/>
      <c r="G327" s="87" t="s">
        <v>5076</v>
      </c>
    </row>
    <row r="328">
      <c r="A328" s="38">
        <v>293.0</v>
      </c>
      <c r="B328" s="84" t="s">
        <v>4971</v>
      </c>
      <c r="C328" s="114"/>
      <c r="D328" s="86"/>
      <c r="E328" s="86"/>
      <c r="F328" s="114"/>
      <c r="G328" s="84" t="s">
        <v>5076</v>
      </c>
    </row>
    <row r="329">
      <c r="A329" s="38">
        <v>293.0</v>
      </c>
      <c r="B329" s="87" t="s">
        <v>5077</v>
      </c>
      <c r="C329" s="111"/>
      <c r="D329" s="89"/>
      <c r="E329" s="89"/>
      <c r="F329" s="111"/>
      <c r="G329" s="87" t="s">
        <v>5076</v>
      </c>
    </row>
    <row r="330">
      <c r="A330" s="38">
        <v>293.0</v>
      </c>
      <c r="B330" s="84" t="s">
        <v>5078</v>
      </c>
      <c r="C330" s="114"/>
      <c r="D330" s="86"/>
      <c r="E330" s="86"/>
      <c r="F330" s="114"/>
      <c r="G330" s="84" t="s">
        <v>5076</v>
      </c>
    </row>
    <row r="331">
      <c r="A331" s="38">
        <v>293.0</v>
      </c>
      <c r="B331" s="87" t="s">
        <v>5079</v>
      </c>
      <c r="C331" s="111"/>
      <c r="D331" s="89"/>
      <c r="E331" s="89"/>
      <c r="F331" s="111"/>
      <c r="G331" s="87" t="s">
        <v>5076</v>
      </c>
    </row>
    <row r="332">
      <c r="A332" s="38">
        <v>293.0</v>
      </c>
      <c r="B332" s="84" t="s">
        <v>5080</v>
      </c>
      <c r="C332" s="114"/>
      <c r="D332" s="86"/>
      <c r="E332" s="86"/>
      <c r="F332" s="114"/>
      <c r="G332" s="84" t="s">
        <v>5076</v>
      </c>
    </row>
    <row r="333">
      <c r="A333" s="38">
        <v>293.0</v>
      </c>
      <c r="B333" s="87" t="s">
        <v>5081</v>
      </c>
      <c r="C333" s="111"/>
      <c r="D333" s="89"/>
      <c r="E333" s="89"/>
      <c r="F333" s="111"/>
      <c r="G333" s="87" t="s">
        <v>5076</v>
      </c>
    </row>
    <row r="334">
      <c r="A334" s="38">
        <v>293.0</v>
      </c>
      <c r="B334" s="84" t="s">
        <v>4958</v>
      </c>
      <c r="C334" s="114"/>
      <c r="D334" s="86"/>
      <c r="E334" s="86"/>
      <c r="F334" s="114"/>
      <c r="G334" s="84" t="s">
        <v>5076</v>
      </c>
    </row>
    <row r="335">
      <c r="A335" s="38">
        <v>293.0</v>
      </c>
      <c r="B335" s="87" t="s">
        <v>5082</v>
      </c>
      <c r="C335" s="111"/>
      <c r="D335" s="89"/>
      <c r="E335" s="89"/>
      <c r="F335" s="111"/>
      <c r="G335" s="87" t="s">
        <v>5076</v>
      </c>
    </row>
    <row r="336">
      <c r="A336" s="38">
        <v>293.0</v>
      </c>
      <c r="B336" s="84" t="s">
        <v>5011</v>
      </c>
      <c r="C336" s="114"/>
      <c r="D336" s="86"/>
      <c r="E336" s="86"/>
      <c r="F336" s="114"/>
      <c r="G336" s="84" t="s">
        <v>5076</v>
      </c>
    </row>
    <row r="337">
      <c r="A337" s="38">
        <v>293.0</v>
      </c>
      <c r="B337" s="87" t="s">
        <v>5083</v>
      </c>
      <c r="C337" s="111"/>
      <c r="D337" s="89"/>
      <c r="E337" s="89"/>
      <c r="F337" s="111"/>
      <c r="G337" s="87" t="s">
        <v>5076</v>
      </c>
    </row>
    <row r="338">
      <c r="A338" s="38">
        <v>293.0</v>
      </c>
      <c r="B338" s="84" t="s">
        <v>5037</v>
      </c>
      <c r="C338" s="114"/>
      <c r="D338" s="86"/>
      <c r="E338" s="86"/>
      <c r="F338" s="114"/>
      <c r="G338" s="84" t="s">
        <v>5076</v>
      </c>
    </row>
    <row r="339">
      <c r="A339" s="38">
        <v>293.0</v>
      </c>
      <c r="B339" s="87" t="s">
        <v>5004</v>
      </c>
      <c r="C339" s="111"/>
      <c r="D339" s="89"/>
      <c r="E339" s="89"/>
      <c r="F339" s="111"/>
      <c r="G339" s="87" t="s">
        <v>5076</v>
      </c>
    </row>
    <row r="340">
      <c r="A340" s="38">
        <v>293.0</v>
      </c>
      <c r="B340" s="84" t="s">
        <v>4894</v>
      </c>
      <c r="C340" s="114"/>
      <c r="D340" s="86"/>
      <c r="E340" s="86"/>
      <c r="F340" s="114"/>
      <c r="G340" s="84" t="s">
        <v>5076</v>
      </c>
    </row>
    <row r="341">
      <c r="A341" s="38">
        <v>293.0</v>
      </c>
      <c r="B341" s="87" t="s">
        <v>4961</v>
      </c>
      <c r="C341" s="111"/>
      <c r="D341" s="89"/>
      <c r="E341" s="89"/>
      <c r="F341" s="111"/>
      <c r="G341" s="87" t="s">
        <v>5076</v>
      </c>
    </row>
    <row r="342">
      <c r="A342" s="38">
        <v>293.0</v>
      </c>
      <c r="B342" s="84" t="s">
        <v>5084</v>
      </c>
      <c r="C342" s="114"/>
      <c r="D342" s="86"/>
      <c r="E342" s="86"/>
      <c r="F342" s="114"/>
      <c r="G342" s="84" t="s">
        <v>5076</v>
      </c>
    </row>
    <row r="343">
      <c r="A343" s="38">
        <v>293.0</v>
      </c>
      <c r="B343" s="87" t="s">
        <v>4987</v>
      </c>
      <c r="C343" s="111"/>
      <c r="D343" s="89"/>
      <c r="E343" s="89"/>
      <c r="F343" s="111"/>
      <c r="G343" s="87" t="s">
        <v>5076</v>
      </c>
    </row>
    <row r="344">
      <c r="A344" s="38">
        <v>293.0</v>
      </c>
      <c r="B344" s="84" t="s">
        <v>5040</v>
      </c>
      <c r="C344" s="114"/>
      <c r="D344" s="86"/>
      <c r="E344" s="86"/>
      <c r="F344" s="114"/>
      <c r="G344" s="84" t="s">
        <v>5076</v>
      </c>
    </row>
    <row r="345">
      <c r="A345" s="38">
        <v>293.0</v>
      </c>
      <c r="B345" s="87" t="s">
        <v>5085</v>
      </c>
      <c r="C345" s="111"/>
      <c r="D345" s="89"/>
      <c r="E345" s="89"/>
      <c r="F345" s="111"/>
      <c r="G345" s="87" t="s">
        <v>5076</v>
      </c>
    </row>
    <row r="346">
      <c r="A346" s="38">
        <v>293.0</v>
      </c>
      <c r="B346" s="84" t="s">
        <v>5033</v>
      </c>
      <c r="C346" s="114"/>
      <c r="D346" s="86"/>
      <c r="E346" s="86"/>
      <c r="F346" s="114"/>
      <c r="G346" s="84" t="s">
        <v>5076</v>
      </c>
    </row>
    <row r="347">
      <c r="A347" s="38">
        <v>293.0</v>
      </c>
      <c r="B347" s="87" t="s">
        <v>5086</v>
      </c>
      <c r="C347" s="111"/>
      <c r="D347" s="89"/>
      <c r="E347" s="89"/>
      <c r="F347" s="111"/>
      <c r="G347" s="87" t="s">
        <v>5076</v>
      </c>
    </row>
    <row r="348">
      <c r="A348" s="38">
        <v>293.0</v>
      </c>
      <c r="B348" s="84" t="s">
        <v>5087</v>
      </c>
      <c r="C348" s="114"/>
      <c r="D348" s="86"/>
      <c r="E348" s="86"/>
      <c r="F348" s="114"/>
      <c r="G348" s="84" t="s">
        <v>5076</v>
      </c>
    </row>
    <row r="349">
      <c r="A349" s="38">
        <v>293.0</v>
      </c>
      <c r="B349" s="87" t="s">
        <v>5088</v>
      </c>
      <c r="C349" s="111"/>
      <c r="D349" s="89"/>
      <c r="E349" s="89"/>
      <c r="F349" s="111"/>
      <c r="G349" s="87" t="s">
        <v>5076</v>
      </c>
    </row>
    <row r="350">
      <c r="A350" s="38">
        <v>293.0</v>
      </c>
      <c r="B350" s="84" t="s">
        <v>5089</v>
      </c>
      <c r="C350" s="85">
        <v>9.0</v>
      </c>
      <c r="D350" s="86"/>
      <c r="E350" s="86"/>
      <c r="F350" s="114"/>
      <c r="G350" s="84" t="s">
        <v>5090</v>
      </c>
    </row>
    <row r="351">
      <c r="A351" s="38">
        <v>293.0</v>
      </c>
      <c r="B351" s="87" t="s">
        <v>4877</v>
      </c>
      <c r="C351" s="111"/>
      <c r="D351" s="89"/>
      <c r="E351" s="89"/>
      <c r="F351" s="111"/>
      <c r="G351" s="87" t="s">
        <v>5076</v>
      </c>
    </row>
    <row r="352">
      <c r="A352" s="38">
        <v>293.0</v>
      </c>
      <c r="B352" s="84" t="s">
        <v>5091</v>
      </c>
      <c r="C352" s="114"/>
      <c r="D352" s="114"/>
      <c r="E352" s="86"/>
      <c r="F352" s="114"/>
      <c r="G352" s="84" t="s">
        <v>5076</v>
      </c>
    </row>
    <row r="353">
      <c r="A353" s="38">
        <v>293.0</v>
      </c>
      <c r="B353" s="87" t="s">
        <v>4925</v>
      </c>
      <c r="C353" s="111"/>
      <c r="D353" s="89"/>
      <c r="E353" s="89"/>
      <c r="F353" s="111"/>
      <c r="G353" s="87" t="s">
        <v>5076</v>
      </c>
    </row>
    <row r="354">
      <c r="A354" s="38">
        <v>293.0</v>
      </c>
      <c r="B354" s="84" t="s">
        <v>4998</v>
      </c>
      <c r="C354" s="114"/>
      <c r="D354" s="86"/>
      <c r="E354" s="86"/>
      <c r="F354" s="114"/>
      <c r="G354" s="84" t="s">
        <v>5076</v>
      </c>
    </row>
    <row r="355">
      <c r="A355" s="38">
        <v>293.0</v>
      </c>
      <c r="B355" s="87" t="s">
        <v>5092</v>
      </c>
      <c r="C355" s="111"/>
      <c r="D355" s="89"/>
      <c r="E355" s="89"/>
      <c r="F355" s="111"/>
      <c r="G355" s="87" t="s">
        <v>5076</v>
      </c>
    </row>
    <row r="356">
      <c r="A356" s="85"/>
      <c r="B356" s="85"/>
      <c r="C356" s="84"/>
      <c r="D356" s="86"/>
      <c r="E356" s="86"/>
      <c r="F356" s="84"/>
      <c r="G356" s="4"/>
    </row>
    <row r="357">
      <c r="A357" s="85"/>
      <c r="B357" s="85"/>
      <c r="C357" s="84"/>
      <c r="D357" s="86"/>
      <c r="E357" s="86"/>
      <c r="F357" s="84"/>
      <c r="G357" s="4"/>
    </row>
    <row r="358">
      <c r="A358" s="4"/>
      <c r="B358" s="4"/>
      <c r="C358" s="4"/>
      <c r="D358" s="4"/>
      <c r="E358" s="4"/>
      <c r="F358" s="4"/>
      <c r="G358" s="4"/>
    </row>
    <row r="359">
      <c r="A359" s="4"/>
      <c r="B359" s="4"/>
      <c r="C359" s="4"/>
      <c r="D359" s="4"/>
      <c r="E359" s="4"/>
      <c r="F359" s="4"/>
      <c r="G359" s="4"/>
    </row>
    <row r="360">
      <c r="A360" s="4"/>
      <c r="B360" s="4"/>
      <c r="C360" s="4"/>
      <c r="D360" s="4"/>
      <c r="E360" s="4"/>
      <c r="F360" s="4"/>
      <c r="G360" s="4"/>
    </row>
    <row r="361">
      <c r="A361" s="4"/>
      <c r="B361" s="4"/>
      <c r="C361" s="4"/>
      <c r="D361" s="4"/>
      <c r="E361" s="4"/>
      <c r="F361" s="4"/>
      <c r="G361" s="4"/>
    </row>
    <row r="362">
      <c r="A362" s="4"/>
      <c r="B362" s="4"/>
      <c r="C362" s="4"/>
      <c r="D362" s="4"/>
      <c r="E362" s="4"/>
      <c r="F362" s="4"/>
      <c r="G362" s="4"/>
    </row>
    <row r="363">
      <c r="A363" s="4"/>
      <c r="B363" s="4"/>
      <c r="C363" s="4"/>
      <c r="D363" s="4"/>
      <c r="E363" s="4"/>
      <c r="F363" s="4"/>
      <c r="G363" s="4"/>
    </row>
    <row r="364">
      <c r="A364" s="4"/>
      <c r="B364" s="4"/>
      <c r="C364" s="4"/>
      <c r="D364" s="4"/>
      <c r="E364" s="4"/>
      <c r="F364" s="4"/>
      <c r="G364" s="4"/>
    </row>
    <row r="365">
      <c r="A365" s="4"/>
      <c r="B365" s="4"/>
      <c r="C365" s="4"/>
      <c r="D365" s="4"/>
      <c r="E365" s="4"/>
      <c r="F365" s="4"/>
      <c r="G365" s="4"/>
    </row>
    <row r="366">
      <c r="A366" s="4"/>
      <c r="B366" s="4"/>
      <c r="C366" s="4"/>
      <c r="D366" s="4"/>
      <c r="E366" s="4"/>
      <c r="F366" s="4"/>
      <c r="G366" s="4"/>
    </row>
    <row r="367">
      <c r="A367" s="4"/>
      <c r="B367" s="4"/>
      <c r="C367" s="4"/>
      <c r="D367" s="4"/>
      <c r="E367" s="4"/>
      <c r="F367" s="4"/>
      <c r="G367" s="4"/>
    </row>
    <row r="368">
      <c r="A368" s="4"/>
      <c r="B368" s="4"/>
      <c r="C368" s="4"/>
      <c r="D368" s="4"/>
      <c r="E368" s="4"/>
      <c r="F368" s="4"/>
      <c r="G368" s="4"/>
    </row>
    <row r="369">
      <c r="A369" s="4"/>
      <c r="B369" s="4"/>
      <c r="C369" s="4"/>
      <c r="D369" s="4"/>
      <c r="E369" s="4"/>
      <c r="F369" s="4"/>
      <c r="G369" s="4"/>
    </row>
    <row r="370">
      <c r="A370" s="4"/>
      <c r="B370" s="4"/>
      <c r="C370" s="4"/>
      <c r="D370" s="4"/>
      <c r="E370" s="4"/>
      <c r="F370" s="4"/>
      <c r="G370" s="4"/>
    </row>
    <row r="371">
      <c r="A371" s="4"/>
      <c r="B371" s="4"/>
      <c r="C371" s="4"/>
      <c r="D371" s="4"/>
      <c r="E371" s="4"/>
      <c r="F371" s="4"/>
      <c r="G371" s="4"/>
    </row>
    <row r="372">
      <c r="A372" s="4"/>
      <c r="B372" s="4"/>
      <c r="C372" s="4"/>
      <c r="D372" s="4"/>
      <c r="E372" s="4"/>
      <c r="F372" s="4"/>
      <c r="G372" s="4"/>
    </row>
    <row r="373">
      <c r="A373" s="4"/>
      <c r="B373" s="4"/>
      <c r="C373" s="4"/>
      <c r="D373" s="4"/>
      <c r="E373" s="4"/>
      <c r="F373" s="4"/>
      <c r="G373" s="4"/>
    </row>
    <row r="374">
      <c r="A374" s="4"/>
      <c r="B374" s="4"/>
      <c r="C374" s="4"/>
      <c r="D374" s="4"/>
      <c r="E374" s="4"/>
      <c r="F374" s="4"/>
      <c r="G374" s="4"/>
    </row>
    <row r="375">
      <c r="A375" s="4"/>
      <c r="B375" s="4"/>
      <c r="C375" s="4"/>
      <c r="D375" s="4"/>
      <c r="E375" s="4"/>
      <c r="F375" s="4"/>
      <c r="G375" s="4"/>
    </row>
    <row r="376">
      <c r="A376" s="4"/>
      <c r="B376" s="4"/>
      <c r="C376" s="4"/>
      <c r="D376" s="4"/>
      <c r="E376" s="4"/>
      <c r="F376" s="4"/>
      <c r="G376" s="4"/>
    </row>
    <row r="377">
      <c r="A377" s="4"/>
      <c r="B377" s="4"/>
      <c r="C377" s="4"/>
      <c r="D377" s="4"/>
      <c r="E377" s="4"/>
      <c r="F377" s="4"/>
      <c r="G377" s="4"/>
    </row>
    <row r="378">
      <c r="A378" s="4"/>
      <c r="B378" s="4"/>
      <c r="C378" s="4"/>
      <c r="D378" s="4"/>
      <c r="E378" s="4"/>
      <c r="F378" s="4"/>
      <c r="G378" s="4"/>
    </row>
    <row r="379">
      <c r="A379" s="4"/>
      <c r="B379" s="4"/>
      <c r="C379" s="4"/>
      <c r="D379" s="4"/>
      <c r="E379" s="4"/>
      <c r="F379" s="4"/>
      <c r="G379" s="4"/>
    </row>
    <row r="380">
      <c r="A380" s="4"/>
      <c r="B380" s="4"/>
      <c r="C380" s="4"/>
      <c r="D380" s="4"/>
      <c r="E380" s="4"/>
      <c r="F380" s="4"/>
      <c r="G380" s="4"/>
    </row>
    <row r="381">
      <c r="A381" s="4"/>
      <c r="B381" s="4"/>
      <c r="C381" s="4"/>
      <c r="D381" s="4"/>
      <c r="E381" s="4"/>
      <c r="F381" s="4"/>
      <c r="G381" s="4"/>
    </row>
    <row r="382">
      <c r="A382" s="4"/>
      <c r="B382" s="4"/>
      <c r="C382" s="4"/>
      <c r="D382" s="4"/>
      <c r="E382" s="4"/>
      <c r="F382" s="4"/>
      <c r="G382" s="4"/>
    </row>
    <row r="383">
      <c r="A383" s="4"/>
      <c r="B383" s="4"/>
      <c r="C383" s="4"/>
      <c r="D383" s="4"/>
      <c r="E383" s="4"/>
      <c r="F383" s="4"/>
      <c r="G383" s="4"/>
    </row>
    <row r="384">
      <c r="A384" s="4"/>
      <c r="B384" s="4"/>
      <c r="C384" s="4"/>
      <c r="D384" s="4"/>
      <c r="E384" s="4"/>
      <c r="F384" s="4"/>
      <c r="G384" s="4"/>
    </row>
    <row r="385">
      <c r="A385" s="4"/>
      <c r="B385" s="4"/>
      <c r="C385" s="4"/>
      <c r="D385" s="4"/>
      <c r="E385" s="4"/>
      <c r="F385" s="4"/>
      <c r="G385" s="4"/>
    </row>
    <row r="386">
      <c r="A386" s="4"/>
      <c r="B386" s="4"/>
      <c r="C386" s="4"/>
      <c r="D386" s="4"/>
      <c r="E386" s="4"/>
      <c r="F386" s="4"/>
      <c r="G386" s="4"/>
    </row>
    <row r="387">
      <c r="A387" s="4"/>
      <c r="B387" s="4"/>
      <c r="C387" s="4"/>
      <c r="D387" s="4"/>
      <c r="E387" s="4"/>
      <c r="F387" s="4"/>
      <c r="G387" s="4"/>
    </row>
    <row r="388">
      <c r="A388" s="4"/>
      <c r="B388" s="4"/>
      <c r="C388" s="4"/>
      <c r="D388" s="4"/>
      <c r="E388" s="4"/>
      <c r="F388" s="4"/>
      <c r="G388" s="4"/>
    </row>
    <row r="389">
      <c r="A389" s="4"/>
      <c r="B389" s="4"/>
      <c r="C389" s="4"/>
      <c r="D389" s="4"/>
      <c r="E389" s="4"/>
      <c r="F389" s="4"/>
      <c r="G389" s="4"/>
    </row>
    <row r="390">
      <c r="A390" s="4"/>
      <c r="B390" s="4"/>
      <c r="C390" s="4"/>
      <c r="D390" s="4"/>
      <c r="E390" s="4"/>
      <c r="F390" s="4"/>
      <c r="G390" s="4"/>
    </row>
    <row r="391">
      <c r="A391" s="4"/>
      <c r="B391" s="4"/>
      <c r="C391" s="4"/>
      <c r="D391" s="4"/>
      <c r="E391" s="4"/>
      <c r="F391" s="4"/>
      <c r="G391" s="4"/>
    </row>
    <row r="392">
      <c r="A392" s="4"/>
      <c r="B392" s="4"/>
      <c r="C392" s="4"/>
      <c r="D392" s="4"/>
      <c r="E392" s="4"/>
      <c r="F392" s="4"/>
      <c r="G392" s="4"/>
    </row>
    <row r="393">
      <c r="A393" s="4"/>
      <c r="B393" s="4"/>
      <c r="C393" s="4"/>
      <c r="D393" s="4"/>
      <c r="E393" s="4"/>
      <c r="F393" s="4"/>
      <c r="G393" s="4"/>
    </row>
    <row r="394">
      <c r="A394" s="4"/>
      <c r="B394" s="4"/>
      <c r="C394" s="4"/>
      <c r="D394" s="4"/>
      <c r="E394" s="4"/>
      <c r="F394" s="4"/>
      <c r="G394" s="4"/>
    </row>
    <row r="395">
      <c r="A395" s="4"/>
      <c r="B395" s="4"/>
      <c r="C395" s="4"/>
      <c r="D395" s="4"/>
      <c r="E395" s="4"/>
      <c r="F395" s="4"/>
      <c r="G395" s="4"/>
    </row>
    <row r="396">
      <c r="A396" s="4"/>
      <c r="B396" s="4"/>
      <c r="C396" s="4"/>
      <c r="D396" s="4"/>
      <c r="E396" s="4"/>
      <c r="F396" s="4"/>
      <c r="G396" s="4"/>
    </row>
    <row r="397">
      <c r="A397" s="4"/>
      <c r="B397" s="4"/>
      <c r="C397" s="4"/>
      <c r="D397" s="4"/>
      <c r="E397" s="4"/>
      <c r="F397" s="4"/>
      <c r="G397" s="4"/>
    </row>
    <row r="398">
      <c r="A398" s="4"/>
      <c r="B398" s="4"/>
      <c r="C398" s="4"/>
      <c r="D398" s="4"/>
      <c r="E398" s="4"/>
      <c r="F398" s="4"/>
      <c r="G398" s="4"/>
    </row>
    <row r="399">
      <c r="A399" s="4"/>
      <c r="B399" s="4"/>
      <c r="C399" s="4"/>
      <c r="D399" s="4"/>
      <c r="E399" s="4"/>
      <c r="F399" s="4"/>
      <c r="G399" s="4"/>
    </row>
    <row r="400">
      <c r="A400" s="4"/>
      <c r="B400" s="4"/>
      <c r="C400" s="4"/>
      <c r="D400" s="4"/>
      <c r="E400" s="4"/>
      <c r="F400" s="4"/>
      <c r="G400" s="4"/>
    </row>
    <row r="401">
      <c r="A401" s="4"/>
      <c r="B401" s="4"/>
      <c r="C401" s="4"/>
      <c r="D401" s="4"/>
      <c r="E401" s="4"/>
      <c r="F401" s="4"/>
      <c r="G401" s="4"/>
    </row>
    <row r="402">
      <c r="A402" s="4"/>
      <c r="B402" s="4"/>
      <c r="C402" s="4"/>
      <c r="D402" s="4"/>
      <c r="E402" s="4"/>
      <c r="F402" s="4"/>
      <c r="G402" s="4"/>
    </row>
    <row r="403">
      <c r="A403" s="4"/>
      <c r="B403" s="4"/>
      <c r="C403" s="4"/>
      <c r="D403" s="4"/>
      <c r="E403" s="4"/>
      <c r="F403" s="4"/>
      <c r="G403" s="4"/>
    </row>
    <row r="404">
      <c r="A404" s="4"/>
      <c r="B404" s="4"/>
      <c r="C404" s="4"/>
      <c r="D404" s="4"/>
      <c r="E404" s="4"/>
      <c r="F404" s="4"/>
      <c r="G404" s="4"/>
    </row>
    <row r="405">
      <c r="A405" s="4"/>
      <c r="B405" s="4"/>
      <c r="C405" s="4"/>
      <c r="D405" s="4"/>
      <c r="E405" s="4"/>
      <c r="F405" s="4"/>
      <c r="G405" s="4"/>
    </row>
    <row r="406">
      <c r="A406" s="4"/>
      <c r="B406" s="4"/>
      <c r="C406" s="4"/>
      <c r="D406" s="4"/>
      <c r="E406" s="4"/>
      <c r="F406" s="4"/>
      <c r="G406" s="4"/>
    </row>
    <row r="407">
      <c r="A407" s="4"/>
      <c r="B407" s="4"/>
      <c r="C407" s="4"/>
      <c r="D407" s="4"/>
      <c r="E407" s="4"/>
      <c r="F407" s="4"/>
      <c r="G407" s="4"/>
    </row>
    <row r="408">
      <c r="A408" s="4"/>
      <c r="B408" s="4"/>
      <c r="C408" s="4"/>
      <c r="D408" s="4"/>
      <c r="E408" s="4"/>
      <c r="F408" s="4"/>
      <c r="G408" s="4"/>
    </row>
    <row r="409">
      <c r="A409" s="4"/>
      <c r="B409" s="4"/>
      <c r="C409" s="4"/>
      <c r="D409" s="4"/>
      <c r="E409" s="4"/>
      <c r="F409" s="4"/>
      <c r="G409" s="4"/>
    </row>
    <row r="410">
      <c r="A410" s="4"/>
      <c r="B410" s="4"/>
      <c r="C410" s="4"/>
      <c r="D410" s="4"/>
      <c r="E410" s="4"/>
      <c r="F410" s="4"/>
      <c r="G410" s="4"/>
    </row>
    <row r="411">
      <c r="A411" s="4"/>
      <c r="B411" s="4"/>
      <c r="C411" s="4"/>
      <c r="D411" s="4"/>
      <c r="E411" s="4"/>
      <c r="F411" s="4"/>
      <c r="G411" s="4"/>
    </row>
    <row r="412">
      <c r="A412" s="4"/>
      <c r="B412" s="4"/>
      <c r="C412" s="4"/>
      <c r="D412" s="4"/>
      <c r="E412" s="4"/>
      <c r="F412" s="4"/>
      <c r="G412" s="4"/>
    </row>
    <row r="413">
      <c r="A413" s="4"/>
      <c r="B413" s="4"/>
      <c r="C413" s="4"/>
      <c r="D413" s="4"/>
      <c r="E413" s="4"/>
      <c r="F413" s="4"/>
      <c r="G413" s="4"/>
    </row>
    <row r="414">
      <c r="A414" s="4"/>
      <c r="B414" s="4"/>
      <c r="C414" s="4"/>
      <c r="D414" s="4"/>
      <c r="E414" s="4"/>
      <c r="F414" s="4"/>
      <c r="G414" s="4"/>
    </row>
    <row r="415">
      <c r="A415" s="4"/>
      <c r="B415" s="4"/>
      <c r="C415" s="4"/>
      <c r="D415" s="4"/>
      <c r="E415" s="4"/>
      <c r="F415" s="4"/>
      <c r="G415" s="4"/>
    </row>
    <row r="416">
      <c r="A416" s="4"/>
      <c r="B416" s="4"/>
      <c r="C416" s="4"/>
      <c r="D416" s="4"/>
      <c r="E416" s="4"/>
      <c r="F416" s="4"/>
      <c r="G416" s="4"/>
    </row>
    <row r="417">
      <c r="A417" s="4"/>
      <c r="B417" s="4"/>
      <c r="C417" s="4"/>
      <c r="D417" s="4"/>
      <c r="E417" s="4"/>
      <c r="F417" s="4"/>
      <c r="G417" s="4"/>
    </row>
    <row r="418">
      <c r="A418" s="4"/>
      <c r="B418" s="4"/>
      <c r="C418" s="4"/>
      <c r="D418" s="4"/>
      <c r="E418" s="4"/>
      <c r="F418" s="4"/>
      <c r="G418" s="4"/>
    </row>
    <row r="419">
      <c r="A419" s="4"/>
      <c r="B419" s="4"/>
      <c r="C419" s="4"/>
      <c r="D419" s="4"/>
      <c r="E419" s="4"/>
      <c r="F419" s="4"/>
      <c r="G419" s="4"/>
    </row>
    <row r="420">
      <c r="A420" s="4"/>
      <c r="B420" s="4"/>
      <c r="C420" s="4"/>
      <c r="D420" s="4"/>
      <c r="E420" s="4"/>
      <c r="F420" s="4"/>
      <c r="G420" s="4"/>
    </row>
    <row r="421">
      <c r="A421" s="4"/>
      <c r="B421" s="4"/>
      <c r="C421" s="4"/>
      <c r="D421" s="4"/>
      <c r="E421" s="4"/>
      <c r="F421" s="4"/>
      <c r="G421" s="4"/>
    </row>
    <row r="422">
      <c r="A422" s="4"/>
      <c r="B422" s="4"/>
      <c r="C422" s="4"/>
      <c r="D422" s="4"/>
      <c r="E422" s="4"/>
      <c r="F422" s="4"/>
      <c r="G422" s="4"/>
    </row>
    <row r="423">
      <c r="A423" s="4"/>
      <c r="B423" s="4"/>
      <c r="C423" s="4"/>
      <c r="D423" s="4"/>
      <c r="E423" s="4"/>
      <c r="F423" s="4"/>
      <c r="G423" s="4"/>
    </row>
    <row r="424">
      <c r="A424" s="4"/>
      <c r="B424" s="4"/>
      <c r="C424" s="4"/>
      <c r="D424" s="4"/>
      <c r="E424" s="4"/>
      <c r="F424" s="4"/>
      <c r="G424" s="4"/>
    </row>
    <row r="425">
      <c r="A425" s="4"/>
      <c r="B425" s="4"/>
      <c r="C425" s="4"/>
      <c r="D425" s="4"/>
      <c r="E425" s="4"/>
      <c r="F425" s="4"/>
      <c r="G425" s="4"/>
    </row>
    <row r="426">
      <c r="A426" s="4"/>
      <c r="B426" s="4"/>
      <c r="C426" s="4"/>
      <c r="D426" s="4"/>
      <c r="E426" s="4"/>
      <c r="F426" s="4"/>
      <c r="G426" s="4"/>
    </row>
    <row r="427">
      <c r="A427" s="4"/>
      <c r="B427" s="4"/>
      <c r="C427" s="4"/>
      <c r="D427" s="4"/>
      <c r="E427" s="4"/>
      <c r="F427" s="4"/>
      <c r="G427" s="4"/>
    </row>
    <row r="428">
      <c r="A428" s="4"/>
      <c r="B428" s="4"/>
      <c r="C428" s="4"/>
      <c r="D428" s="4"/>
      <c r="E428" s="4"/>
      <c r="F428" s="4"/>
      <c r="G428" s="4"/>
    </row>
    <row r="429">
      <c r="A429" s="4"/>
      <c r="B429" s="4"/>
      <c r="C429" s="4"/>
      <c r="D429" s="4"/>
      <c r="E429" s="4"/>
      <c r="F429" s="4"/>
      <c r="G429" s="4"/>
    </row>
    <row r="430">
      <c r="A430" s="4"/>
      <c r="B430" s="4"/>
      <c r="C430" s="4"/>
      <c r="D430" s="4"/>
      <c r="E430" s="4"/>
      <c r="F430" s="4"/>
      <c r="G430" s="4"/>
    </row>
    <row r="431">
      <c r="A431" s="4"/>
      <c r="B431" s="4"/>
      <c r="C431" s="4"/>
      <c r="D431" s="4"/>
      <c r="E431" s="4"/>
      <c r="F431" s="4"/>
      <c r="G431" s="4"/>
    </row>
    <row r="432">
      <c r="A432" s="4"/>
      <c r="B432" s="4"/>
      <c r="C432" s="4"/>
      <c r="D432" s="4"/>
      <c r="E432" s="4"/>
      <c r="F432" s="4"/>
      <c r="G432" s="4"/>
    </row>
    <row r="433">
      <c r="A433" s="4"/>
      <c r="B433" s="4"/>
      <c r="C433" s="4"/>
      <c r="D433" s="4"/>
      <c r="E433" s="4"/>
      <c r="F433" s="4"/>
      <c r="G433" s="4"/>
    </row>
    <row r="434">
      <c r="A434" s="4"/>
      <c r="B434" s="4"/>
      <c r="C434" s="4"/>
      <c r="D434" s="4"/>
      <c r="E434" s="4"/>
      <c r="F434" s="4"/>
      <c r="G434" s="4"/>
    </row>
    <row r="435">
      <c r="A435" s="4"/>
      <c r="B435" s="4"/>
      <c r="C435" s="4"/>
      <c r="D435" s="4"/>
      <c r="E435" s="4"/>
      <c r="F435" s="4"/>
      <c r="G435" s="4"/>
    </row>
    <row r="436">
      <c r="A436" s="4"/>
      <c r="B436" s="4"/>
      <c r="C436" s="4"/>
      <c r="D436" s="4"/>
      <c r="E436" s="4"/>
      <c r="F436" s="4"/>
      <c r="G436" s="4"/>
    </row>
    <row r="437">
      <c r="A437" s="4"/>
      <c r="B437" s="4"/>
      <c r="C437" s="4"/>
      <c r="D437" s="4"/>
      <c r="E437" s="4"/>
      <c r="F437" s="4"/>
      <c r="G437" s="4"/>
    </row>
    <row r="438">
      <c r="A438" s="4"/>
      <c r="B438" s="4"/>
      <c r="C438" s="4"/>
      <c r="D438" s="4"/>
      <c r="E438" s="4"/>
      <c r="F438" s="4"/>
      <c r="G438" s="4"/>
    </row>
    <row r="439">
      <c r="A439" s="4"/>
      <c r="B439" s="4"/>
      <c r="C439" s="4"/>
      <c r="D439" s="4"/>
      <c r="E439" s="4"/>
      <c r="F439" s="4"/>
      <c r="G439" s="4"/>
    </row>
    <row r="440">
      <c r="A440" s="4"/>
      <c r="B440" s="4"/>
      <c r="C440" s="4"/>
      <c r="D440" s="4"/>
      <c r="E440" s="4"/>
      <c r="F440" s="4"/>
      <c r="G440" s="4"/>
    </row>
    <row r="441">
      <c r="A441" s="4"/>
      <c r="B441" s="4"/>
      <c r="C441" s="4"/>
      <c r="D441" s="4"/>
      <c r="E441" s="4"/>
      <c r="F441" s="4"/>
      <c r="G441" s="4"/>
    </row>
    <row r="442">
      <c r="A442" s="4"/>
      <c r="B442" s="4"/>
      <c r="C442" s="4"/>
      <c r="D442" s="4"/>
      <c r="E442" s="4"/>
      <c r="F442" s="4"/>
      <c r="G442" s="4"/>
    </row>
    <row r="443">
      <c r="A443" s="4"/>
      <c r="B443" s="4"/>
      <c r="C443" s="4"/>
      <c r="D443" s="4"/>
      <c r="E443" s="4"/>
      <c r="F443" s="4"/>
      <c r="G443" s="4"/>
    </row>
    <row r="444">
      <c r="A444" s="4"/>
      <c r="B444" s="4"/>
      <c r="C444" s="4"/>
      <c r="D444" s="4"/>
      <c r="E444" s="4"/>
      <c r="F444" s="4"/>
      <c r="G444" s="4"/>
    </row>
    <row r="445">
      <c r="A445" s="4"/>
      <c r="B445" s="4"/>
      <c r="C445" s="4"/>
      <c r="D445" s="4"/>
      <c r="E445" s="4"/>
      <c r="F445" s="4"/>
      <c r="G445" s="4"/>
    </row>
    <row r="446">
      <c r="A446" s="4"/>
      <c r="B446" s="4"/>
      <c r="C446" s="4"/>
      <c r="D446" s="4"/>
      <c r="E446" s="4"/>
      <c r="F446" s="4"/>
      <c r="G446" s="4"/>
    </row>
    <row r="447">
      <c r="A447" s="4"/>
      <c r="B447" s="4"/>
      <c r="C447" s="4"/>
      <c r="D447" s="4"/>
      <c r="E447" s="4"/>
      <c r="F447" s="4"/>
      <c r="G447" s="4"/>
    </row>
    <row r="448">
      <c r="A448" s="4"/>
      <c r="B448" s="4"/>
      <c r="C448" s="4"/>
      <c r="D448" s="4"/>
      <c r="E448" s="4"/>
      <c r="F448" s="4"/>
      <c r="G448" s="4"/>
    </row>
    <row r="449">
      <c r="A449" s="4"/>
      <c r="B449" s="4"/>
      <c r="C449" s="4"/>
      <c r="D449" s="4"/>
      <c r="E449" s="4"/>
      <c r="F449" s="4"/>
      <c r="G449" s="4"/>
    </row>
    <row r="450">
      <c r="A450" s="4"/>
      <c r="B450" s="4"/>
      <c r="C450" s="4"/>
      <c r="D450" s="4"/>
      <c r="E450" s="4"/>
      <c r="F450" s="4"/>
      <c r="G450" s="4"/>
    </row>
    <row r="451">
      <c r="A451" s="4"/>
      <c r="B451" s="4"/>
      <c r="C451" s="4"/>
      <c r="D451" s="4"/>
      <c r="E451" s="4"/>
      <c r="F451" s="4"/>
      <c r="G451" s="4"/>
    </row>
    <row r="452">
      <c r="A452" s="4"/>
      <c r="B452" s="4"/>
      <c r="C452" s="4"/>
      <c r="D452" s="4"/>
      <c r="E452" s="4"/>
      <c r="F452" s="4"/>
      <c r="G452" s="4"/>
    </row>
    <row r="453">
      <c r="A453" s="4"/>
      <c r="B453" s="4"/>
      <c r="C453" s="4"/>
      <c r="D453" s="4"/>
      <c r="E453" s="4"/>
      <c r="F453" s="4"/>
      <c r="G453" s="4"/>
    </row>
    <row r="454">
      <c r="A454" s="4"/>
      <c r="B454" s="4"/>
      <c r="C454" s="4"/>
      <c r="D454" s="4"/>
      <c r="E454" s="4"/>
      <c r="F454" s="4"/>
      <c r="G454" s="4"/>
    </row>
    <row r="455">
      <c r="A455" s="4"/>
      <c r="B455" s="4"/>
      <c r="C455" s="4"/>
      <c r="D455" s="4"/>
      <c r="E455" s="4"/>
      <c r="F455" s="4"/>
      <c r="G455" s="4"/>
    </row>
    <row r="456">
      <c r="A456" s="4"/>
      <c r="B456" s="4"/>
      <c r="C456" s="4"/>
      <c r="D456" s="4"/>
      <c r="E456" s="4"/>
      <c r="F456" s="4"/>
      <c r="G456" s="4"/>
    </row>
    <row r="457">
      <c r="A457" s="4"/>
      <c r="B457" s="4"/>
      <c r="C457" s="4"/>
      <c r="D457" s="4"/>
      <c r="E457" s="4"/>
      <c r="F457" s="4"/>
      <c r="G457" s="4"/>
    </row>
    <row r="458">
      <c r="A458" s="4"/>
      <c r="B458" s="4"/>
      <c r="C458" s="4"/>
      <c r="D458" s="4"/>
      <c r="E458" s="4"/>
      <c r="F458" s="4"/>
      <c r="G458" s="4"/>
    </row>
    <row r="459">
      <c r="A459" s="4"/>
      <c r="B459" s="4"/>
      <c r="C459" s="4"/>
      <c r="D459" s="4"/>
      <c r="E459" s="4"/>
      <c r="F459" s="4"/>
      <c r="G459" s="4"/>
    </row>
    <row r="460">
      <c r="A460" s="4"/>
      <c r="B460" s="4"/>
      <c r="C460" s="4"/>
      <c r="D460" s="4"/>
      <c r="E460" s="4"/>
      <c r="F460" s="4"/>
      <c r="G460" s="4"/>
    </row>
    <row r="461">
      <c r="A461" s="4"/>
      <c r="B461" s="4"/>
      <c r="C461" s="4"/>
      <c r="D461" s="4"/>
      <c r="E461" s="4"/>
      <c r="F461" s="4"/>
      <c r="G461" s="4"/>
    </row>
    <row r="462">
      <c r="A462" s="4"/>
      <c r="B462" s="4"/>
      <c r="C462" s="4"/>
      <c r="D462" s="4"/>
      <c r="E462" s="4"/>
      <c r="F462" s="4"/>
      <c r="G462" s="4"/>
    </row>
    <row r="463">
      <c r="A463" s="4"/>
      <c r="B463" s="4"/>
      <c r="C463" s="4"/>
      <c r="D463" s="4"/>
      <c r="E463" s="4"/>
      <c r="F463" s="4"/>
      <c r="G463" s="4"/>
    </row>
    <row r="464">
      <c r="A464" s="4"/>
      <c r="B464" s="4"/>
      <c r="C464" s="4"/>
      <c r="D464" s="4"/>
      <c r="E464" s="4"/>
      <c r="F464" s="4"/>
      <c r="G464" s="4"/>
    </row>
    <row r="465">
      <c r="A465" s="4"/>
      <c r="B465" s="4"/>
      <c r="C465" s="4"/>
      <c r="D465" s="4"/>
      <c r="E465" s="4"/>
      <c r="F465" s="4"/>
      <c r="G465" s="4"/>
    </row>
    <row r="466">
      <c r="A466" s="4"/>
      <c r="B466" s="4"/>
      <c r="C466" s="4"/>
      <c r="D466" s="4"/>
      <c r="E466" s="4"/>
      <c r="F466" s="4"/>
      <c r="G466" s="4"/>
    </row>
    <row r="467">
      <c r="A467" s="4"/>
      <c r="B467" s="4"/>
      <c r="C467" s="4"/>
      <c r="D467" s="4"/>
      <c r="E467" s="4"/>
      <c r="F467" s="4"/>
      <c r="G467" s="4"/>
    </row>
    <row r="468">
      <c r="A468" s="4"/>
      <c r="B468" s="4"/>
      <c r="C468" s="4"/>
      <c r="D468" s="4"/>
      <c r="E468" s="4"/>
      <c r="F468" s="4"/>
      <c r="G468" s="4"/>
    </row>
    <row r="469">
      <c r="A469" s="4"/>
      <c r="B469" s="4"/>
      <c r="C469" s="4"/>
      <c r="D469" s="4"/>
      <c r="E469" s="4"/>
      <c r="F469" s="4"/>
      <c r="G469" s="4"/>
    </row>
    <row r="470">
      <c r="A470" s="4"/>
      <c r="B470" s="4"/>
      <c r="C470" s="4"/>
      <c r="D470" s="4"/>
      <c r="E470" s="4"/>
      <c r="F470" s="4"/>
      <c r="G470" s="4"/>
    </row>
    <row r="471">
      <c r="A471" s="4"/>
      <c r="B471" s="4"/>
      <c r="C471" s="4"/>
      <c r="D471" s="4"/>
      <c r="E471" s="4"/>
      <c r="F471" s="4"/>
      <c r="G471" s="4"/>
    </row>
    <row r="472">
      <c r="A472" s="4"/>
      <c r="B472" s="4"/>
      <c r="C472" s="4"/>
      <c r="D472" s="4"/>
      <c r="E472" s="4"/>
      <c r="F472" s="4"/>
      <c r="G472" s="4"/>
    </row>
    <row r="473">
      <c r="A473" s="4"/>
      <c r="B473" s="4"/>
      <c r="C473" s="4"/>
      <c r="D473" s="4"/>
      <c r="E473" s="4"/>
      <c r="F473" s="4"/>
      <c r="G473" s="4"/>
    </row>
    <row r="474">
      <c r="A474" s="4"/>
      <c r="B474" s="4"/>
      <c r="C474" s="4"/>
      <c r="D474" s="4"/>
      <c r="E474" s="4"/>
      <c r="F474" s="4"/>
      <c r="G474" s="4"/>
    </row>
    <row r="475">
      <c r="A475" s="4"/>
      <c r="B475" s="4"/>
      <c r="C475" s="4"/>
      <c r="D475" s="4"/>
      <c r="E475" s="4"/>
      <c r="F475" s="4"/>
      <c r="G475" s="4"/>
    </row>
    <row r="476">
      <c r="A476" s="4"/>
      <c r="B476" s="4"/>
      <c r="C476" s="4"/>
      <c r="D476" s="4"/>
      <c r="E476" s="4"/>
      <c r="F476" s="4"/>
      <c r="G476" s="4"/>
    </row>
    <row r="477">
      <c r="A477" s="4"/>
      <c r="B477" s="4"/>
      <c r="C477" s="4"/>
      <c r="D477" s="4"/>
      <c r="E477" s="4"/>
      <c r="F477" s="4"/>
      <c r="G477" s="4"/>
    </row>
    <row r="478">
      <c r="A478" s="4"/>
      <c r="B478" s="4"/>
      <c r="C478" s="4"/>
      <c r="D478" s="4"/>
      <c r="E478" s="4"/>
      <c r="F478" s="4"/>
      <c r="G478" s="4"/>
    </row>
    <row r="479">
      <c r="A479" s="4"/>
      <c r="B479" s="4"/>
      <c r="C479" s="4"/>
      <c r="D479" s="4"/>
      <c r="E479" s="4"/>
      <c r="F479" s="4"/>
      <c r="G479" s="4"/>
    </row>
    <row r="480">
      <c r="A480" s="4"/>
      <c r="B480" s="4"/>
      <c r="C480" s="4"/>
      <c r="D480" s="4"/>
      <c r="E480" s="4"/>
      <c r="F480" s="4"/>
      <c r="G480" s="4"/>
    </row>
    <row r="481">
      <c r="A481" s="4"/>
      <c r="B481" s="4"/>
      <c r="C481" s="4"/>
      <c r="D481" s="4"/>
      <c r="E481" s="4"/>
      <c r="F481" s="4"/>
      <c r="G481" s="4"/>
    </row>
    <row r="482">
      <c r="A482" s="4"/>
      <c r="B482" s="4"/>
      <c r="C482" s="4"/>
      <c r="D482" s="4"/>
      <c r="E482" s="4"/>
      <c r="F482" s="4"/>
      <c r="G482" s="4"/>
    </row>
    <row r="483">
      <c r="A483" s="4"/>
      <c r="B483" s="4"/>
      <c r="C483" s="4"/>
      <c r="D483" s="4"/>
      <c r="E483" s="4"/>
      <c r="F483" s="4"/>
      <c r="G483" s="4"/>
    </row>
    <row r="484">
      <c r="A484" s="4"/>
      <c r="B484" s="4"/>
      <c r="C484" s="4"/>
      <c r="D484" s="4"/>
      <c r="E484" s="4"/>
      <c r="F484" s="4"/>
      <c r="G484" s="4"/>
    </row>
    <row r="485">
      <c r="A485" s="4"/>
      <c r="B485" s="4"/>
      <c r="C485" s="4"/>
      <c r="D485" s="4"/>
      <c r="E485" s="4"/>
      <c r="F485" s="4"/>
      <c r="G485" s="4"/>
    </row>
    <row r="486">
      <c r="A486" s="4"/>
      <c r="B486" s="4"/>
      <c r="C486" s="4"/>
      <c r="D486" s="4"/>
      <c r="E486" s="4"/>
      <c r="F486" s="4"/>
      <c r="G486" s="4"/>
    </row>
    <row r="487">
      <c r="A487" s="4"/>
      <c r="B487" s="4"/>
      <c r="C487" s="4"/>
      <c r="D487" s="4"/>
      <c r="E487" s="4"/>
      <c r="F487" s="4"/>
      <c r="G487" s="4"/>
    </row>
    <row r="488">
      <c r="A488" s="4"/>
      <c r="B488" s="4"/>
      <c r="C488" s="4"/>
      <c r="D488" s="4"/>
      <c r="E488" s="4"/>
      <c r="F488" s="4"/>
      <c r="G488" s="4"/>
    </row>
    <row r="489">
      <c r="A489" s="4"/>
      <c r="B489" s="4"/>
      <c r="C489" s="4"/>
      <c r="D489" s="4"/>
      <c r="E489" s="4"/>
      <c r="F489" s="4"/>
      <c r="G489" s="4"/>
    </row>
    <row r="490">
      <c r="A490" s="4"/>
      <c r="B490" s="4"/>
      <c r="C490" s="4"/>
      <c r="D490" s="4"/>
      <c r="E490" s="4"/>
      <c r="F490" s="4"/>
      <c r="G490" s="4"/>
    </row>
    <row r="491">
      <c r="A491" s="4"/>
      <c r="B491" s="4"/>
      <c r="C491" s="4"/>
      <c r="D491" s="4"/>
      <c r="E491" s="4"/>
      <c r="F491" s="4"/>
      <c r="G491" s="4"/>
    </row>
    <row r="492">
      <c r="A492" s="4"/>
      <c r="B492" s="4"/>
      <c r="C492" s="4"/>
      <c r="D492" s="4"/>
      <c r="E492" s="4"/>
      <c r="F492" s="4"/>
      <c r="G492" s="4"/>
    </row>
    <row r="493">
      <c r="A493" s="4"/>
      <c r="B493" s="4"/>
      <c r="C493" s="4"/>
      <c r="D493" s="4"/>
      <c r="E493" s="4"/>
      <c r="F493" s="4"/>
      <c r="G493" s="4"/>
    </row>
    <row r="494">
      <c r="A494" s="4"/>
      <c r="B494" s="4"/>
      <c r="C494" s="4"/>
      <c r="D494" s="4"/>
      <c r="E494" s="4"/>
      <c r="F494" s="4"/>
      <c r="G494" s="4"/>
    </row>
    <row r="495">
      <c r="A495" s="4"/>
      <c r="B495" s="4"/>
      <c r="C495" s="4"/>
      <c r="D495" s="4"/>
      <c r="E495" s="4"/>
      <c r="F495" s="4"/>
      <c r="G495" s="4"/>
    </row>
    <row r="496">
      <c r="A496" s="4"/>
      <c r="B496" s="4"/>
      <c r="C496" s="4"/>
      <c r="D496" s="4"/>
      <c r="E496" s="4"/>
      <c r="F496" s="4"/>
      <c r="G496" s="4"/>
    </row>
    <row r="497">
      <c r="A497" s="4"/>
      <c r="B497" s="4"/>
      <c r="C497" s="4"/>
      <c r="D497" s="4"/>
      <c r="E497" s="4"/>
      <c r="F497" s="4"/>
      <c r="G497" s="4"/>
    </row>
    <row r="498">
      <c r="A498" s="4"/>
      <c r="B498" s="4"/>
      <c r="C498" s="4"/>
      <c r="D498" s="4"/>
      <c r="E498" s="4"/>
      <c r="F498" s="4"/>
      <c r="G498" s="4"/>
    </row>
    <row r="499">
      <c r="A499" s="4"/>
      <c r="B499" s="4"/>
      <c r="C499" s="4"/>
      <c r="D499" s="4"/>
      <c r="E499" s="4"/>
      <c r="F499" s="4"/>
      <c r="G499" s="4"/>
    </row>
    <row r="500">
      <c r="A500" s="4"/>
      <c r="B500" s="4"/>
      <c r="C500" s="4"/>
      <c r="D500" s="4"/>
      <c r="E500" s="4"/>
      <c r="F500" s="4"/>
      <c r="G500" s="4"/>
    </row>
    <row r="501">
      <c r="A501" s="4"/>
      <c r="B501" s="4"/>
      <c r="C501" s="4"/>
      <c r="D501" s="4"/>
      <c r="E501" s="4"/>
      <c r="F501" s="4"/>
      <c r="G501" s="4"/>
    </row>
    <row r="502">
      <c r="A502" s="4"/>
      <c r="B502" s="4"/>
      <c r="C502" s="4"/>
      <c r="D502" s="4"/>
      <c r="E502" s="4"/>
      <c r="F502" s="4"/>
      <c r="G502" s="4"/>
    </row>
    <row r="503">
      <c r="A503" s="4"/>
      <c r="B503" s="4"/>
      <c r="C503" s="4"/>
      <c r="D503" s="4"/>
      <c r="E503" s="4"/>
      <c r="F503" s="4"/>
      <c r="G503" s="4"/>
    </row>
    <row r="504">
      <c r="A504" s="4"/>
      <c r="B504" s="4"/>
      <c r="C504" s="4"/>
      <c r="D504" s="4"/>
      <c r="E504" s="4"/>
      <c r="F504" s="4"/>
      <c r="G504" s="4"/>
    </row>
    <row r="505">
      <c r="A505" s="4"/>
      <c r="B505" s="4"/>
      <c r="C505" s="4"/>
      <c r="D505" s="4"/>
      <c r="E505" s="4"/>
      <c r="F505" s="4"/>
      <c r="G505" s="4"/>
    </row>
    <row r="506">
      <c r="A506" s="4"/>
      <c r="B506" s="4"/>
      <c r="C506" s="4"/>
      <c r="D506" s="4"/>
      <c r="E506" s="4"/>
      <c r="F506" s="4"/>
      <c r="G506" s="4"/>
    </row>
    <row r="507">
      <c r="A507" s="4"/>
      <c r="B507" s="4"/>
      <c r="C507" s="4"/>
      <c r="D507" s="4"/>
      <c r="E507" s="4"/>
      <c r="F507" s="4"/>
      <c r="G507" s="4"/>
    </row>
    <row r="508">
      <c r="A508" s="4"/>
      <c r="B508" s="4"/>
      <c r="C508" s="4"/>
      <c r="D508" s="4"/>
      <c r="E508" s="4"/>
      <c r="F508" s="4"/>
      <c r="G508" s="4"/>
    </row>
    <row r="509">
      <c r="A509" s="4"/>
      <c r="B509" s="4"/>
      <c r="C509" s="4"/>
      <c r="D509" s="4"/>
      <c r="E509" s="4"/>
      <c r="F509" s="4"/>
      <c r="G509" s="4"/>
    </row>
    <row r="510">
      <c r="A510" s="4"/>
      <c r="B510" s="4"/>
      <c r="C510" s="4"/>
      <c r="D510" s="4"/>
      <c r="E510" s="4"/>
      <c r="F510" s="4"/>
      <c r="G510" s="4"/>
    </row>
    <row r="511">
      <c r="A511" s="4"/>
      <c r="B511" s="4"/>
      <c r="C511" s="4"/>
      <c r="D511" s="4"/>
      <c r="E511" s="4"/>
      <c r="F511" s="4"/>
      <c r="G511" s="4"/>
    </row>
    <row r="512">
      <c r="A512" s="4"/>
      <c r="B512" s="4"/>
      <c r="C512" s="4"/>
      <c r="D512" s="4"/>
      <c r="E512" s="4"/>
      <c r="F512" s="4"/>
      <c r="G512" s="4"/>
    </row>
    <row r="513">
      <c r="A513" s="4"/>
      <c r="B513" s="4"/>
      <c r="C513" s="4"/>
      <c r="D513" s="4"/>
      <c r="E513" s="4"/>
      <c r="F513" s="4"/>
      <c r="G513" s="4"/>
    </row>
    <row r="514">
      <c r="A514" s="4"/>
      <c r="B514" s="4"/>
      <c r="C514" s="4"/>
      <c r="D514" s="4"/>
      <c r="E514" s="4"/>
      <c r="F514" s="4"/>
      <c r="G514" s="4"/>
    </row>
    <row r="515">
      <c r="A515" s="4"/>
      <c r="B515" s="4"/>
      <c r="C515" s="4"/>
      <c r="D515" s="4"/>
      <c r="E515" s="4"/>
      <c r="F515" s="4"/>
      <c r="G515" s="4"/>
    </row>
    <row r="516">
      <c r="A516" s="4"/>
      <c r="B516" s="4"/>
      <c r="C516" s="4"/>
      <c r="D516" s="4"/>
      <c r="E516" s="4"/>
      <c r="F516" s="4"/>
      <c r="G516" s="4"/>
    </row>
    <row r="517">
      <c r="A517" s="4"/>
      <c r="B517" s="4"/>
      <c r="C517" s="4"/>
      <c r="D517" s="4"/>
      <c r="E517" s="4"/>
      <c r="F517" s="4"/>
      <c r="G517" s="4"/>
    </row>
    <row r="518">
      <c r="A518" s="4"/>
      <c r="B518" s="4"/>
      <c r="C518" s="4"/>
      <c r="D518" s="4"/>
      <c r="E518" s="4"/>
      <c r="F518" s="4"/>
      <c r="G518" s="4"/>
    </row>
    <row r="519">
      <c r="A519" s="4"/>
      <c r="B519" s="4"/>
      <c r="C519" s="4"/>
      <c r="D519" s="4"/>
      <c r="E519" s="4"/>
      <c r="F519" s="4"/>
      <c r="G519" s="4"/>
    </row>
    <row r="520">
      <c r="A520" s="4"/>
      <c r="B520" s="4"/>
      <c r="C520" s="4"/>
      <c r="D520" s="4"/>
      <c r="E520" s="4"/>
      <c r="F520" s="4"/>
      <c r="G520" s="4"/>
    </row>
    <row r="521">
      <c r="A521" s="4"/>
      <c r="B521" s="4"/>
      <c r="C521" s="4"/>
      <c r="D521" s="4"/>
      <c r="E521" s="4"/>
      <c r="F521" s="4"/>
      <c r="G521" s="4"/>
    </row>
    <row r="522">
      <c r="A522" s="4"/>
      <c r="B522" s="4"/>
      <c r="C522" s="4"/>
      <c r="D522" s="4"/>
      <c r="E522" s="4"/>
      <c r="F522" s="4"/>
      <c r="G522" s="4"/>
    </row>
    <row r="523">
      <c r="A523" s="4"/>
      <c r="B523" s="4"/>
      <c r="C523" s="4"/>
      <c r="D523" s="4"/>
      <c r="E523" s="4"/>
      <c r="F523" s="4"/>
      <c r="G523" s="4"/>
    </row>
    <row r="524">
      <c r="A524" s="4"/>
      <c r="B524" s="4"/>
      <c r="C524" s="4"/>
      <c r="D524" s="4"/>
      <c r="E524" s="4"/>
      <c r="F524" s="4"/>
      <c r="G524" s="4"/>
    </row>
    <row r="525">
      <c r="A525" s="4"/>
      <c r="B525" s="4"/>
      <c r="C525" s="4"/>
      <c r="D525" s="4"/>
      <c r="E525" s="4"/>
      <c r="F525" s="4"/>
      <c r="G525" s="4"/>
    </row>
    <row r="526">
      <c r="A526" s="4"/>
      <c r="B526" s="4"/>
      <c r="C526" s="4"/>
      <c r="D526" s="4"/>
      <c r="E526" s="4"/>
      <c r="F526" s="4"/>
      <c r="G526" s="4"/>
    </row>
    <row r="527">
      <c r="A527" s="4"/>
      <c r="B527" s="4"/>
      <c r="C527" s="4"/>
      <c r="D527" s="4"/>
      <c r="E527" s="4"/>
      <c r="F527" s="4"/>
      <c r="G527" s="4"/>
    </row>
    <row r="528">
      <c r="A528" s="4"/>
      <c r="B528" s="4"/>
      <c r="C528" s="4"/>
      <c r="D528" s="4"/>
      <c r="E528" s="4"/>
      <c r="F528" s="4"/>
      <c r="G528" s="4"/>
    </row>
    <row r="529">
      <c r="A529" s="4"/>
      <c r="B529" s="4"/>
      <c r="C529" s="4"/>
      <c r="D529" s="4"/>
      <c r="E529" s="4"/>
      <c r="F529" s="4"/>
      <c r="G529" s="4"/>
    </row>
    <row r="530">
      <c r="A530" s="4"/>
      <c r="B530" s="4"/>
      <c r="C530" s="4"/>
      <c r="D530" s="4"/>
      <c r="E530" s="4"/>
      <c r="F530" s="4"/>
      <c r="G530" s="4"/>
    </row>
    <row r="531">
      <c r="A531" s="4"/>
      <c r="B531" s="4"/>
      <c r="C531" s="4"/>
      <c r="D531" s="4"/>
      <c r="E531" s="4"/>
      <c r="F531" s="4"/>
      <c r="G531" s="4"/>
    </row>
    <row r="532">
      <c r="A532" s="4"/>
      <c r="B532" s="4"/>
      <c r="C532" s="4"/>
      <c r="D532" s="4"/>
      <c r="E532" s="4"/>
      <c r="F532" s="4"/>
      <c r="G532" s="4"/>
    </row>
    <row r="533">
      <c r="A533" s="4"/>
      <c r="B533" s="4"/>
      <c r="C533" s="4"/>
      <c r="D533" s="4"/>
      <c r="E533" s="4"/>
      <c r="F533" s="4"/>
      <c r="G533" s="4"/>
    </row>
    <row r="534">
      <c r="A534" s="4"/>
      <c r="B534" s="4"/>
      <c r="C534" s="4"/>
      <c r="D534" s="4"/>
      <c r="E534" s="4"/>
      <c r="F534" s="4"/>
      <c r="G534" s="4"/>
    </row>
    <row r="535">
      <c r="A535" s="4"/>
      <c r="B535" s="4"/>
      <c r="C535" s="4"/>
      <c r="D535" s="4"/>
      <c r="E535" s="4"/>
      <c r="F535" s="4"/>
      <c r="G535" s="4"/>
    </row>
    <row r="536">
      <c r="A536" s="4"/>
      <c r="B536" s="4"/>
      <c r="C536" s="4"/>
      <c r="D536" s="4"/>
      <c r="E536" s="4"/>
      <c r="F536" s="4"/>
      <c r="G536" s="4"/>
    </row>
    <row r="537">
      <c r="A537" s="4"/>
      <c r="B537" s="4"/>
      <c r="C537" s="4"/>
      <c r="D537" s="4"/>
      <c r="E537" s="4"/>
      <c r="F537" s="4"/>
      <c r="G537" s="4"/>
    </row>
    <row r="538">
      <c r="A538" s="4"/>
      <c r="B538" s="4"/>
      <c r="C538" s="4"/>
      <c r="D538" s="4"/>
      <c r="E538" s="4"/>
      <c r="F538" s="4"/>
      <c r="G538" s="4"/>
    </row>
    <row r="539">
      <c r="A539" s="4"/>
      <c r="B539" s="4"/>
      <c r="C539" s="4"/>
      <c r="D539" s="4"/>
      <c r="E539" s="4"/>
      <c r="F539" s="4"/>
      <c r="G539" s="4"/>
    </row>
    <row r="540">
      <c r="A540" s="4"/>
      <c r="B540" s="4"/>
      <c r="C540" s="4"/>
      <c r="D540" s="4"/>
      <c r="E540" s="4"/>
      <c r="F540" s="4"/>
      <c r="G540" s="4"/>
    </row>
    <row r="541">
      <c r="A541" s="4"/>
      <c r="B541" s="4"/>
      <c r="C541" s="4"/>
      <c r="D541" s="4"/>
      <c r="E541" s="4"/>
      <c r="F541" s="4"/>
      <c r="G541" s="4"/>
    </row>
    <row r="542">
      <c r="A542" s="4"/>
      <c r="B542" s="4"/>
      <c r="C542" s="4"/>
      <c r="D542" s="4"/>
      <c r="E542" s="4"/>
      <c r="F542" s="4"/>
      <c r="G542" s="4"/>
    </row>
    <row r="543">
      <c r="A543" s="4"/>
      <c r="B543" s="4"/>
      <c r="C543" s="4"/>
      <c r="D543" s="4"/>
      <c r="E543" s="4"/>
      <c r="F543" s="4"/>
      <c r="G543" s="4"/>
    </row>
    <row r="544">
      <c r="A544" s="4"/>
      <c r="B544" s="4"/>
      <c r="C544" s="4"/>
      <c r="D544" s="4"/>
      <c r="E544" s="4"/>
      <c r="F544" s="4"/>
      <c r="G544" s="4"/>
    </row>
    <row r="545">
      <c r="A545" s="4"/>
      <c r="B545" s="4"/>
      <c r="C545" s="4"/>
      <c r="D545" s="4"/>
      <c r="E545" s="4"/>
      <c r="F545" s="4"/>
      <c r="G545" s="4"/>
    </row>
    <row r="546">
      <c r="A546" s="4"/>
      <c r="B546" s="4"/>
      <c r="C546" s="4"/>
      <c r="D546" s="4"/>
      <c r="E546" s="4"/>
      <c r="F546" s="4"/>
      <c r="G546" s="4"/>
    </row>
    <row r="547">
      <c r="A547" s="4"/>
      <c r="B547" s="4"/>
      <c r="C547" s="4"/>
      <c r="D547" s="4"/>
      <c r="E547" s="4"/>
      <c r="F547" s="4"/>
      <c r="G547" s="4"/>
    </row>
    <row r="548">
      <c r="A548" s="4"/>
      <c r="B548" s="4"/>
      <c r="C548" s="4"/>
      <c r="D548" s="4"/>
      <c r="E548" s="4"/>
      <c r="F548" s="4"/>
      <c r="G548" s="4"/>
    </row>
    <row r="549">
      <c r="A549" s="4"/>
      <c r="B549" s="4"/>
      <c r="C549" s="4"/>
      <c r="D549" s="4"/>
      <c r="E549" s="4"/>
      <c r="F549" s="4"/>
      <c r="G549" s="4"/>
    </row>
    <row r="550">
      <c r="A550" s="4"/>
      <c r="B550" s="4"/>
      <c r="C550" s="4"/>
      <c r="D550" s="4"/>
      <c r="E550" s="4"/>
      <c r="F550" s="4"/>
      <c r="G550" s="4"/>
    </row>
    <row r="551">
      <c r="A551" s="4"/>
      <c r="B551" s="4"/>
      <c r="C551" s="4"/>
      <c r="D551" s="4"/>
      <c r="E551" s="4"/>
      <c r="F551" s="4"/>
      <c r="G551" s="4"/>
    </row>
    <row r="552">
      <c r="A552" s="4"/>
      <c r="B552" s="4"/>
      <c r="C552" s="4"/>
      <c r="D552" s="4"/>
      <c r="E552" s="4"/>
      <c r="F552" s="4"/>
      <c r="G552" s="4"/>
    </row>
    <row r="553">
      <c r="A553" s="4"/>
      <c r="B553" s="4"/>
      <c r="C553" s="4"/>
      <c r="D553" s="4"/>
      <c r="E553" s="4"/>
      <c r="F553" s="4"/>
      <c r="G553" s="4"/>
    </row>
    <row r="554">
      <c r="A554" s="4"/>
      <c r="B554" s="4"/>
      <c r="C554" s="4"/>
      <c r="D554" s="4"/>
      <c r="E554" s="4"/>
      <c r="F554" s="4"/>
      <c r="G554" s="4"/>
    </row>
    <row r="555">
      <c r="A555" s="4"/>
      <c r="B555" s="4"/>
      <c r="C555" s="4"/>
      <c r="D555" s="4"/>
      <c r="E555" s="4"/>
      <c r="F555" s="4"/>
      <c r="G555" s="4"/>
    </row>
    <row r="556">
      <c r="A556" s="4"/>
      <c r="B556" s="4"/>
      <c r="C556" s="4"/>
      <c r="D556" s="4"/>
      <c r="E556" s="4"/>
      <c r="F556" s="4"/>
      <c r="G556" s="4"/>
    </row>
    <row r="557">
      <c r="A557" s="4"/>
      <c r="B557" s="4"/>
      <c r="C557" s="4"/>
      <c r="D557" s="4"/>
      <c r="E557" s="4"/>
      <c r="F557" s="4"/>
      <c r="G557" s="4"/>
    </row>
    <row r="558">
      <c r="A558" s="4"/>
      <c r="B558" s="4"/>
      <c r="C558" s="4"/>
      <c r="D558" s="4"/>
      <c r="E558" s="4"/>
      <c r="F558" s="4"/>
      <c r="G558" s="4"/>
    </row>
    <row r="559">
      <c r="A559" s="4"/>
      <c r="B559" s="4"/>
      <c r="C559" s="4"/>
      <c r="D559" s="4"/>
      <c r="E559" s="4"/>
      <c r="F559" s="4"/>
      <c r="G559" s="4"/>
    </row>
    <row r="560">
      <c r="A560" s="4"/>
      <c r="B560" s="4"/>
      <c r="C560" s="4"/>
      <c r="D560" s="4"/>
      <c r="E560" s="4"/>
      <c r="F560" s="4"/>
      <c r="G560" s="4"/>
    </row>
    <row r="561">
      <c r="A561" s="4"/>
      <c r="B561" s="4"/>
      <c r="C561" s="4"/>
      <c r="D561" s="4"/>
      <c r="E561" s="4"/>
      <c r="F561" s="4"/>
      <c r="G561" s="4"/>
    </row>
    <row r="562">
      <c r="A562" s="4"/>
      <c r="B562" s="4"/>
      <c r="C562" s="4"/>
      <c r="D562" s="4"/>
      <c r="E562" s="4"/>
      <c r="F562" s="4"/>
      <c r="G562" s="4"/>
    </row>
    <row r="563">
      <c r="A563" s="4"/>
      <c r="B563" s="4"/>
      <c r="C563" s="4"/>
      <c r="D563" s="4"/>
      <c r="E563" s="4"/>
      <c r="F563" s="4"/>
      <c r="G563" s="4"/>
    </row>
    <row r="564">
      <c r="A564" s="4"/>
      <c r="B564" s="4"/>
      <c r="C564" s="4"/>
      <c r="D564" s="4"/>
      <c r="E564" s="4"/>
      <c r="F564" s="4"/>
      <c r="G564" s="4"/>
    </row>
    <row r="565">
      <c r="A565" s="4"/>
      <c r="B565" s="4"/>
      <c r="C565" s="4"/>
      <c r="D565" s="4"/>
      <c r="E565" s="4"/>
      <c r="F565" s="4"/>
      <c r="G565" s="4"/>
    </row>
    <row r="566">
      <c r="A566" s="4"/>
      <c r="B566" s="4"/>
      <c r="C566" s="4"/>
      <c r="D566" s="4"/>
      <c r="E566" s="4"/>
      <c r="F566" s="4"/>
      <c r="G566" s="4"/>
    </row>
    <row r="567">
      <c r="A567" s="4"/>
      <c r="B567" s="4"/>
      <c r="C567" s="4"/>
      <c r="D567" s="4"/>
      <c r="E567" s="4"/>
      <c r="F567" s="4"/>
      <c r="G567" s="4"/>
    </row>
    <row r="568">
      <c r="A568" s="4"/>
      <c r="B568" s="4"/>
      <c r="C568" s="4"/>
      <c r="D568" s="4"/>
      <c r="E568" s="4"/>
      <c r="F568" s="4"/>
      <c r="G568" s="4"/>
    </row>
    <row r="569">
      <c r="A569" s="4"/>
      <c r="B569" s="4"/>
      <c r="C569" s="4"/>
      <c r="D569" s="4"/>
      <c r="E569" s="4"/>
      <c r="F569" s="4"/>
      <c r="G569" s="4"/>
    </row>
    <row r="570">
      <c r="A570" s="4"/>
      <c r="B570" s="4"/>
      <c r="C570" s="4"/>
      <c r="D570" s="4"/>
      <c r="E570" s="4"/>
      <c r="F570" s="4"/>
      <c r="G570" s="4"/>
    </row>
    <row r="571">
      <c r="A571" s="4"/>
      <c r="B571" s="4"/>
      <c r="C571" s="4"/>
      <c r="D571" s="4"/>
      <c r="E571" s="4"/>
      <c r="F571" s="4"/>
      <c r="G571" s="4"/>
    </row>
    <row r="572">
      <c r="A572" s="4"/>
      <c r="B572" s="4"/>
      <c r="C572" s="4"/>
      <c r="D572" s="4"/>
      <c r="E572" s="4"/>
      <c r="F572" s="4"/>
      <c r="G572" s="4"/>
    </row>
    <row r="573">
      <c r="A573" s="4"/>
      <c r="B573" s="4"/>
      <c r="C573" s="4"/>
      <c r="D573" s="4"/>
      <c r="E573" s="4"/>
      <c r="F573" s="4"/>
      <c r="G573" s="4"/>
    </row>
    <row r="574">
      <c r="A574" s="4"/>
      <c r="B574" s="4"/>
      <c r="C574" s="4"/>
      <c r="D574" s="4"/>
      <c r="E574" s="4"/>
      <c r="F574" s="4"/>
      <c r="G574" s="4"/>
    </row>
    <row r="575">
      <c r="A575" s="4"/>
      <c r="B575" s="4"/>
      <c r="C575" s="4"/>
      <c r="D575" s="4"/>
      <c r="E575" s="4"/>
      <c r="F575" s="4"/>
      <c r="G575" s="4"/>
    </row>
    <row r="576">
      <c r="A576" s="4"/>
      <c r="B576" s="4"/>
      <c r="C576" s="4"/>
      <c r="D576" s="4"/>
      <c r="E576" s="4"/>
      <c r="F576" s="4"/>
      <c r="G576" s="4"/>
    </row>
    <row r="577">
      <c r="A577" s="4"/>
      <c r="B577" s="4"/>
      <c r="C577" s="4"/>
      <c r="D577" s="4"/>
      <c r="E577" s="4"/>
      <c r="F577" s="4"/>
      <c r="G577" s="4"/>
    </row>
    <row r="578">
      <c r="A578" s="4"/>
      <c r="B578" s="4"/>
      <c r="C578" s="4"/>
      <c r="D578" s="4"/>
      <c r="E578" s="4"/>
      <c r="F578" s="4"/>
      <c r="G578" s="4"/>
    </row>
    <row r="579">
      <c r="A579" s="4"/>
      <c r="B579" s="4"/>
      <c r="C579" s="4"/>
      <c r="D579" s="4"/>
      <c r="E579" s="4"/>
      <c r="F579" s="4"/>
      <c r="G579" s="4"/>
    </row>
    <row r="580">
      <c r="A580" s="4"/>
      <c r="B580" s="4"/>
      <c r="C580" s="4"/>
      <c r="D580" s="4"/>
      <c r="E580" s="4"/>
      <c r="F580" s="4"/>
      <c r="G580" s="4"/>
    </row>
    <row r="581">
      <c r="A581" s="4"/>
      <c r="B581" s="4"/>
      <c r="C581" s="4"/>
      <c r="D581" s="4"/>
      <c r="E581" s="4"/>
      <c r="F581" s="4"/>
      <c r="G581" s="4"/>
    </row>
    <row r="582">
      <c r="A582" s="4"/>
      <c r="B582" s="4"/>
      <c r="C582" s="4"/>
      <c r="D582" s="4"/>
      <c r="E582" s="4"/>
      <c r="F582" s="4"/>
      <c r="G582" s="4"/>
    </row>
    <row r="583">
      <c r="A583" s="4"/>
      <c r="B583" s="4"/>
      <c r="C583" s="4"/>
      <c r="D583" s="4"/>
      <c r="E583" s="4"/>
      <c r="F583" s="4"/>
      <c r="G583" s="4"/>
    </row>
    <row r="584">
      <c r="A584" s="4"/>
      <c r="B584" s="4"/>
      <c r="C584" s="4"/>
      <c r="D584" s="4"/>
      <c r="E584" s="4"/>
      <c r="F584" s="4"/>
      <c r="G584" s="4"/>
    </row>
    <row r="585">
      <c r="A585" s="4"/>
      <c r="B585" s="4"/>
      <c r="C585" s="4"/>
      <c r="D585" s="4"/>
      <c r="E585" s="4"/>
      <c r="F585" s="4"/>
      <c r="G585" s="4"/>
    </row>
    <row r="586">
      <c r="A586" s="4"/>
      <c r="B586" s="4"/>
      <c r="C586" s="4"/>
      <c r="D586" s="4"/>
      <c r="E586" s="4"/>
      <c r="F586" s="4"/>
      <c r="G586" s="4"/>
    </row>
    <row r="587">
      <c r="A587" s="4"/>
      <c r="B587" s="4"/>
      <c r="C587" s="4"/>
      <c r="D587" s="4"/>
      <c r="E587" s="4"/>
      <c r="F587" s="4"/>
      <c r="G587" s="4"/>
    </row>
    <row r="588">
      <c r="A588" s="4"/>
      <c r="B588" s="4"/>
      <c r="C588" s="4"/>
      <c r="D588" s="4"/>
      <c r="E588" s="4"/>
      <c r="F588" s="4"/>
      <c r="G588" s="4"/>
    </row>
    <row r="589">
      <c r="A589" s="4"/>
      <c r="B589" s="4"/>
      <c r="C589" s="4"/>
      <c r="D589" s="4"/>
      <c r="E589" s="4"/>
      <c r="F589" s="4"/>
      <c r="G589" s="4"/>
    </row>
    <row r="590">
      <c r="A590" s="4"/>
      <c r="B590" s="4"/>
      <c r="C590" s="4"/>
      <c r="D590" s="4"/>
      <c r="E590" s="4"/>
      <c r="F590" s="4"/>
      <c r="G590" s="4"/>
    </row>
    <row r="591">
      <c r="A591" s="4"/>
      <c r="B591" s="4"/>
      <c r="C591" s="4"/>
      <c r="D591" s="4"/>
      <c r="E591" s="4"/>
      <c r="F591" s="4"/>
      <c r="G591" s="4"/>
    </row>
    <row r="592">
      <c r="A592" s="4"/>
      <c r="B592" s="4"/>
      <c r="C592" s="4"/>
      <c r="D592" s="4"/>
      <c r="E592" s="4"/>
      <c r="F592" s="4"/>
      <c r="G592" s="4"/>
    </row>
    <row r="593">
      <c r="A593" s="4"/>
      <c r="B593" s="4"/>
      <c r="C593" s="4"/>
      <c r="D593" s="4"/>
      <c r="E593" s="4"/>
      <c r="F593" s="4"/>
      <c r="G593" s="4"/>
    </row>
    <row r="594">
      <c r="A594" s="4"/>
      <c r="B594" s="4"/>
      <c r="C594" s="4"/>
      <c r="D594" s="4"/>
      <c r="E594" s="4"/>
      <c r="F594" s="4"/>
      <c r="G594" s="4"/>
    </row>
    <row r="595">
      <c r="A595" s="4"/>
      <c r="B595" s="4"/>
      <c r="C595" s="4"/>
      <c r="D595" s="4"/>
      <c r="E595" s="4"/>
      <c r="F595" s="4"/>
      <c r="G595" s="4"/>
    </row>
    <row r="596">
      <c r="A596" s="4"/>
      <c r="B596" s="4"/>
      <c r="C596" s="4"/>
      <c r="D596" s="4"/>
      <c r="E596" s="4"/>
      <c r="F596" s="4"/>
      <c r="G596" s="4"/>
    </row>
    <row r="597">
      <c r="A597" s="4"/>
      <c r="B597" s="4"/>
      <c r="C597" s="4"/>
      <c r="D597" s="4"/>
      <c r="E597" s="4"/>
      <c r="F597" s="4"/>
      <c r="G597" s="4"/>
    </row>
    <row r="598">
      <c r="A598" s="4"/>
      <c r="B598" s="4"/>
      <c r="C598" s="4"/>
      <c r="D598" s="4"/>
      <c r="E598" s="4"/>
      <c r="F598" s="4"/>
      <c r="G598" s="4"/>
    </row>
    <row r="599">
      <c r="A599" s="4"/>
      <c r="B599" s="4"/>
      <c r="C599" s="4"/>
      <c r="D599" s="4"/>
      <c r="E599" s="4"/>
      <c r="F599" s="4"/>
      <c r="G599" s="4"/>
    </row>
    <row r="600">
      <c r="A600" s="4"/>
      <c r="B600" s="4"/>
      <c r="C600" s="4"/>
      <c r="D600" s="4"/>
      <c r="E600" s="4"/>
      <c r="F600" s="4"/>
      <c r="G600" s="4"/>
    </row>
    <row r="601">
      <c r="A601" s="4"/>
      <c r="B601" s="4"/>
      <c r="C601" s="4"/>
      <c r="D601" s="4"/>
      <c r="E601" s="4"/>
      <c r="F601" s="4"/>
      <c r="G601" s="4"/>
    </row>
    <row r="602">
      <c r="A602" s="4"/>
      <c r="B602" s="4"/>
      <c r="C602" s="4"/>
      <c r="D602" s="4"/>
      <c r="E602" s="4"/>
      <c r="F602" s="4"/>
      <c r="G602" s="4"/>
    </row>
    <row r="603">
      <c r="A603" s="4"/>
      <c r="B603" s="4"/>
      <c r="C603" s="4"/>
      <c r="D603" s="4"/>
      <c r="E603" s="4"/>
      <c r="F603" s="4"/>
      <c r="G603" s="4"/>
    </row>
    <row r="604">
      <c r="A604" s="4"/>
      <c r="B604" s="4"/>
      <c r="C604" s="4"/>
      <c r="D604" s="4"/>
      <c r="E604" s="4"/>
      <c r="F604" s="4"/>
      <c r="G604" s="4"/>
    </row>
    <row r="605">
      <c r="A605" s="4"/>
      <c r="B605" s="4"/>
      <c r="C605" s="4"/>
      <c r="D605" s="4"/>
      <c r="E605" s="4"/>
      <c r="F605" s="4"/>
      <c r="G605" s="4"/>
    </row>
    <row r="606">
      <c r="A606" s="4"/>
      <c r="B606" s="4"/>
      <c r="C606" s="4"/>
      <c r="D606" s="4"/>
      <c r="E606" s="4"/>
      <c r="F606" s="4"/>
      <c r="G606" s="4"/>
    </row>
    <row r="607">
      <c r="A607" s="4"/>
      <c r="B607" s="4"/>
      <c r="C607" s="4"/>
      <c r="D607" s="4"/>
      <c r="E607" s="4"/>
      <c r="F607" s="4"/>
      <c r="G607" s="4"/>
    </row>
    <row r="608">
      <c r="A608" s="4"/>
      <c r="B608" s="4"/>
      <c r="C608" s="4"/>
      <c r="D608" s="4"/>
      <c r="E608" s="4"/>
      <c r="F608" s="4"/>
      <c r="G608" s="4"/>
    </row>
    <row r="609">
      <c r="A609" s="4"/>
      <c r="B609" s="4"/>
      <c r="C609" s="4"/>
      <c r="D609" s="4"/>
      <c r="E609" s="4"/>
      <c r="F609" s="4"/>
      <c r="G609" s="4"/>
    </row>
    <row r="610">
      <c r="A610" s="4"/>
      <c r="B610" s="4"/>
      <c r="C610" s="4"/>
      <c r="D610" s="4"/>
      <c r="E610" s="4"/>
      <c r="F610" s="4"/>
      <c r="G610" s="4"/>
    </row>
    <row r="611">
      <c r="A611" s="4"/>
      <c r="B611" s="4"/>
      <c r="C611" s="4"/>
      <c r="D611" s="4"/>
      <c r="E611" s="4"/>
      <c r="F611" s="4"/>
      <c r="G611" s="4"/>
    </row>
    <row r="612">
      <c r="A612" s="4"/>
      <c r="B612" s="4"/>
      <c r="C612" s="4"/>
      <c r="D612" s="4"/>
      <c r="E612" s="4"/>
      <c r="F612" s="4"/>
      <c r="G612" s="4"/>
    </row>
    <row r="613">
      <c r="A613" s="4"/>
      <c r="B613" s="4"/>
      <c r="C613" s="4"/>
      <c r="D613" s="4"/>
      <c r="E613" s="4"/>
      <c r="F613" s="4"/>
      <c r="G613" s="4"/>
    </row>
    <row r="614">
      <c r="A614" s="4"/>
      <c r="B614" s="4"/>
      <c r="C614" s="4"/>
      <c r="D614" s="4"/>
      <c r="E614" s="4"/>
      <c r="F614" s="4"/>
      <c r="G614" s="4"/>
    </row>
    <row r="615">
      <c r="A615" s="4"/>
      <c r="B615" s="4"/>
      <c r="C615" s="4"/>
      <c r="D615" s="4"/>
      <c r="E615" s="4"/>
      <c r="F615" s="4"/>
      <c r="G615" s="4"/>
    </row>
    <row r="616">
      <c r="A616" s="4"/>
      <c r="B616" s="4"/>
      <c r="C616" s="4"/>
      <c r="D616" s="4"/>
      <c r="E616" s="4"/>
      <c r="F616" s="4"/>
      <c r="G616" s="4"/>
    </row>
    <row r="617">
      <c r="A617" s="4"/>
      <c r="B617" s="4"/>
      <c r="C617" s="4"/>
      <c r="D617" s="4"/>
      <c r="E617" s="4"/>
      <c r="F617" s="4"/>
      <c r="G617" s="4"/>
    </row>
    <row r="618">
      <c r="A618" s="4"/>
      <c r="B618" s="4"/>
      <c r="C618" s="4"/>
      <c r="D618" s="4"/>
      <c r="E618" s="4"/>
      <c r="F618" s="4"/>
      <c r="G618" s="4"/>
    </row>
    <row r="619">
      <c r="A619" s="4"/>
      <c r="B619" s="4"/>
      <c r="C619" s="4"/>
      <c r="D619" s="4"/>
      <c r="E619" s="4"/>
      <c r="F619" s="4"/>
      <c r="G619" s="4"/>
    </row>
    <row r="620">
      <c r="A620" s="4"/>
      <c r="B620" s="4"/>
      <c r="C620" s="4"/>
      <c r="D620" s="4"/>
      <c r="E620" s="4"/>
      <c r="F620" s="4"/>
      <c r="G620" s="4"/>
    </row>
    <row r="621">
      <c r="A621" s="4"/>
      <c r="B621" s="4"/>
      <c r="C621" s="4"/>
      <c r="D621" s="4"/>
      <c r="E621" s="4"/>
      <c r="F621" s="4"/>
      <c r="G621" s="4"/>
    </row>
    <row r="622">
      <c r="A622" s="4"/>
      <c r="B622" s="4"/>
      <c r="C622" s="4"/>
      <c r="D622" s="4"/>
      <c r="E622" s="4"/>
      <c r="F622" s="4"/>
      <c r="G622" s="4"/>
    </row>
    <row r="623">
      <c r="A623" s="4"/>
      <c r="B623" s="4"/>
      <c r="C623" s="4"/>
      <c r="D623" s="4"/>
      <c r="E623" s="4"/>
      <c r="F623" s="4"/>
      <c r="G623" s="4"/>
    </row>
    <row r="624">
      <c r="A624" s="4"/>
      <c r="B624" s="4"/>
      <c r="C624" s="4"/>
      <c r="D624" s="4"/>
      <c r="E624" s="4"/>
      <c r="F624" s="4"/>
      <c r="G624" s="4"/>
    </row>
    <row r="625">
      <c r="A625" s="4"/>
      <c r="B625" s="4"/>
      <c r="C625" s="4"/>
      <c r="D625" s="4"/>
      <c r="E625" s="4"/>
      <c r="F625" s="4"/>
      <c r="G625" s="4"/>
    </row>
    <row r="626">
      <c r="A626" s="4"/>
      <c r="B626" s="4"/>
      <c r="C626" s="4"/>
      <c r="D626" s="4"/>
      <c r="E626" s="4"/>
      <c r="F626" s="4"/>
      <c r="G626" s="4"/>
    </row>
    <row r="627">
      <c r="A627" s="4"/>
      <c r="B627" s="4"/>
      <c r="C627" s="4"/>
      <c r="D627" s="4"/>
      <c r="E627" s="4"/>
      <c r="F627" s="4"/>
      <c r="G627" s="4"/>
    </row>
    <row r="628">
      <c r="A628" s="4"/>
      <c r="B628" s="4"/>
      <c r="C628" s="4"/>
      <c r="D628" s="4"/>
      <c r="E628" s="4"/>
      <c r="F628" s="4"/>
      <c r="G628" s="4"/>
    </row>
    <row r="629">
      <c r="A629" s="4"/>
      <c r="B629" s="4"/>
      <c r="C629" s="4"/>
      <c r="D629" s="4"/>
      <c r="E629" s="4"/>
      <c r="F629" s="4"/>
      <c r="G629" s="4"/>
    </row>
    <row r="630">
      <c r="A630" s="4"/>
      <c r="B630" s="4"/>
      <c r="C630" s="4"/>
      <c r="D630" s="4"/>
      <c r="E630" s="4"/>
      <c r="F630" s="4"/>
      <c r="G630" s="4"/>
    </row>
    <row r="631">
      <c r="A631" s="4"/>
      <c r="B631" s="4"/>
      <c r="C631" s="4"/>
      <c r="D631" s="4"/>
      <c r="E631" s="4"/>
      <c r="F631" s="4"/>
      <c r="G631" s="4"/>
    </row>
    <row r="632">
      <c r="A632" s="4"/>
      <c r="B632" s="4"/>
      <c r="C632" s="4"/>
      <c r="D632" s="4"/>
      <c r="E632" s="4"/>
      <c r="F632" s="4"/>
      <c r="G632" s="4"/>
    </row>
    <row r="633">
      <c r="A633" s="4"/>
      <c r="B633" s="4"/>
      <c r="C633" s="4"/>
      <c r="D633" s="4"/>
      <c r="E633" s="4"/>
      <c r="F633" s="4"/>
      <c r="G633" s="4"/>
    </row>
    <row r="634">
      <c r="A634" s="4"/>
      <c r="B634" s="4"/>
      <c r="C634" s="4"/>
      <c r="D634" s="4"/>
      <c r="E634" s="4"/>
      <c r="F634" s="4"/>
      <c r="G634" s="4"/>
    </row>
    <row r="635">
      <c r="A635" s="4"/>
      <c r="B635" s="4"/>
      <c r="C635" s="4"/>
      <c r="D635" s="4"/>
      <c r="E635" s="4"/>
      <c r="F635" s="4"/>
      <c r="G635" s="4"/>
    </row>
    <row r="636">
      <c r="A636" s="4"/>
      <c r="B636" s="4"/>
      <c r="C636" s="4"/>
      <c r="D636" s="4"/>
      <c r="E636" s="4"/>
      <c r="F636" s="4"/>
      <c r="G636" s="4"/>
    </row>
    <row r="637">
      <c r="A637" s="4"/>
      <c r="B637" s="4"/>
      <c r="C637" s="4"/>
      <c r="D637" s="4"/>
      <c r="E637" s="4"/>
      <c r="F637" s="4"/>
      <c r="G637" s="4"/>
    </row>
    <row r="638">
      <c r="A638" s="4"/>
      <c r="B638" s="4"/>
      <c r="C638" s="4"/>
      <c r="D638" s="4"/>
      <c r="E638" s="4"/>
      <c r="F638" s="4"/>
      <c r="G638" s="4"/>
    </row>
    <row r="639">
      <c r="A639" s="4"/>
      <c r="B639" s="4"/>
      <c r="C639" s="4"/>
      <c r="D639" s="4"/>
      <c r="E639" s="4"/>
      <c r="F639" s="4"/>
      <c r="G639" s="4"/>
    </row>
    <row r="640">
      <c r="A640" s="4"/>
      <c r="B640" s="4"/>
      <c r="C640" s="4"/>
      <c r="D640" s="4"/>
      <c r="E640" s="4"/>
      <c r="F640" s="4"/>
      <c r="G640" s="4"/>
    </row>
    <row r="641">
      <c r="A641" s="4"/>
      <c r="B641" s="4"/>
      <c r="C641" s="4"/>
      <c r="D641" s="4"/>
      <c r="E641" s="4"/>
      <c r="F641" s="4"/>
      <c r="G641" s="4"/>
    </row>
    <row r="642">
      <c r="A642" s="4"/>
      <c r="B642" s="4"/>
      <c r="C642" s="4"/>
      <c r="D642" s="4"/>
      <c r="E642" s="4"/>
      <c r="F642" s="4"/>
      <c r="G642" s="4"/>
    </row>
    <row r="643">
      <c r="A643" s="4"/>
      <c r="B643" s="4"/>
      <c r="C643" s="4"/>
      <c r="D643" s="4"/>
      <c r="E643" s="4"/>
      <c r="F643" s="4"/>
      <c r="G643" s="4"/>
    </row>
    <row r="644">
      <c r="A644" s="4"/>
      <c r="B644" s="4"/>
      <c r="C644" s="4"/>
      <c r="D644" s="4"/>
      <c r="E644" s="4"/>
      <c r="F644" s="4"/>
      <c r="G644" s="4"/>
    </row>
    <row r="645">
      <c r="A645" s="4"/>
      <c r="B645" s="4"/>
      <c r="C645" s="4"/>
      <c r="D645" s="4"/>
      <c r="E645" s="4"/>
      <c r="F645" s="4"/>
      <c r="G645" s="4"/>
    </row>
    <row r="646">
      <c r="A646" s="4"/>
      <c r="B646" s="4"/>
      <c r="C646" s="4"/>
      <c r="D646" s="4"/>
      <c r="E646" s="4"/>
      <c r="F646" s="4"/>
      <c r="G646" s="4"/>
    </row>
    <row r="647">
      <c r="A647" s="4"/>
      <c r="B647" s="4"/>
      <c r="C647" s="4"/>
      <c r="D647" s="4"/>
      <c r="E647" s="4"/>
      <c r="F647" s="4"/>
      <c r="G647" s="4"/>
    </row>
    <row r="648">
      <c r="A648" s="4"/>
      <c r="B648" s="4"/>
      <c r="C648" s="4"/>
      <c r="D648" s="4"/>
      <c r="E648" s="4"/>
      <c r="F648" s="4"/>
      <c r="G648" s="4"/>
    </row>
    <row r="649">
      <c r="A649" s="4"/>
      <c r="B649" s="4"/>
      <c r="C649" s="4"/>
      <c r="D649" s="4"/>
      <c r="E649" s="4"/>
      <c r="F649" s="4"/>
      <c r="G649" s="4"/>
    </row>
    <row r="650">
      <c r="A650" s="4"/>
      <c r="B650" s="4"/>
      <c r="C650" s="4"/>
      <c r="D650" s="4"/>
      <c r="E650" s="4"/>
      <c r="F650" s="4"/>
      <c r="G650" s="4"/>
    </row>
    <row r="651">
      <c r="A651" s="4"/>
      <c r="B651" s="4"/>
      <c r="C651" s="4"/>
      <c r="D651" s="4"/>
      <c r="E651" s="4"/>
      <c r="F651" s="4"/>
      <c r="G651" s="4"/>
    </row>
    <row r="652">
      <c r="A652" s="4"/>
      <c r="B652" s="4"/>
      <c r="C652" s="4"/>
      <c r="D652" s="4"/>
      <c r="E652" s="4"/>
      <c r="F652" s="4"/>
      <c r="G652" s="4"/>
    </row>
    <row r="653">
      <c r="A653" s="4"/>
      <c r="B653" s="4"/>
      <c r="C653" s="4"/>
      <c r="D653" s="4"/>
      <c r="E653" s="4"/>
      <c r="F653" s="4"/>
      <c r="G653" s="4"/>
    </row>
    <row r="654">
      <c r="A654" s="4"/>
      <c r="B654" s="4"/>
      <c r="C654" s="4"/>
      <c r="D654" s="4"/>
      <c r="E654" s="4"/>
      <c r="F654" s="4"/>
      <c r="G654" s="4"/>
    </row>
    <row r="655">
      <c r="A655" s="4"/>
      <c r="B655" s="4"/>
      <c r="C655" s="4"/>
      <c r="D655" s="4"/>
      <c r="E655" s="4"/>
      <c r="F655" s="4"/>
      <c r="G655" s="4"/>
    </row>
    <row r="656">
      <c r="A656" s="4"/>
      <c r="B656" s="4"/>
      <c r="C656" s="4"/>
      <c r="D656" s="4"/>
      <c r="E656" s="4"/>
      <c r="F656" s="4"/>
      <c r="G656" s="4"/>
    </row>
    <row r="657">
      <c r="A657" s="4"/>
      <c r="B657" s="4"/>
      <c r="C657" s="4"/>
      <c r="D657" s="4"/>
      <c r="E657" s="4"/>
      <c r="F657" s="4"/>
      <c r="G657" s="4"/>
    </row>
    <row r="658">
      <c r="A658" s="4"/>
      <c r="B658" s="4"/>
      <c r="C658" s="4"/>
      <c r="D658" s="4"/>
      <c r="E658" s="4"/>
      <c r="F658" s="4"/>
      <c r="G658" s="4"/>
    </row>
    <row r="659">
      <c r="A659" s="4"/>
      <c r="B659" s="4"/>
      <c r="C659" s="4"/>
      <c r="D659" s="4"/>
      <c r="E659" s="4"/>
      <c r="F659" s="4"/>
      <c r="G659" s="4"/>
    </row>
    <row r="660">
      <c r="A660" s="4"/>
      <c r="B660" s="4"/>
      <c r="C660" s="4"/>
      <c r="D660" s="4"/>
      <c r="E660" s="4"/>
      <c r="F660" s="4"/>
      <c r="G660" s="4"/>
    </row>
    <row r="661">
      <c r="A661" s="4"/>
      <c r="B661" s="4"/>
      <c r="C661" s="4"/>
      <c r="D661" s="4"/>
      <c r="E661" s="4"/>
      <c r="F661" s="4"/>
      <c r="G661" s="4"/>
    </row>
    <row r="662">
      <c r="A662" s="4"/>
      <c r="B662" s="4"/>
      <c r="C662" s="4"/>
      <c r="D662" s="4"/>
      <c r="E662" s="4"/>
      <c r="F662" s="4"/>
      <c r="G662" s="4"/>
    </row>
    <row r="663">
      <c r="A663" s="4"/>
      <c r="B663" s="4"/>
      <c r="C663" s="4"/>
      <c r="D663" s="4"/>
      <c r="E663" s="4"/>
      <c r="F663" s="4"/>
      <c r="G663" s="4"/>
    </row>
    <row r="664">
      <c r="A664" s="4"/>
      <c r="B664" s="4"/>
      <c r="C664" s="4"/>
      <c r="D664" s="4"/>
      <c r="E664" s="4"/>
      <c r="F664" s="4"/>
      <c r="G664" s="4"/>
    </row>
    <row r="665">
      <c r="A665" s="4"/>
      <c r="B665" s="4"/>
      <c r="C665" s="4"/>
      <c r="D665" s="4"/>
      <c r="E665" s="4"/>
      <c r="F665" s="4"/>
      <c r="G665" s="4"/>
    </row>
    <row r="666">
      <c r="A666" s="4"/>
      <c r="B666" s="4"/>
      <c r="C666" s="4"/>
      <c r="D666" s="4"/>
      <c r="E666" s="4"/>
      <c r="F666" s="4"/>
      <c r="G666" s="4"/>
    </row>
    <row r="667">
      <c r="A667" s="4"/>
      <c r="B667" s="4"/>
      <c r="C667" s="4"/>
      <c r="D667" s="4"/>
      <c r="E667" s="4"/>
      <c r="F667" s="4"/>
      <c r="G667" s="4"/>
    </row>
    <row r="668">
      <c r="A668" s="4"/>
      <c r="B668" s="4"/>
      <c r="C668" s="4"/>
      <c r="D668" s="4"/>
      <c r="E668" s="4"/>
      <c r="F668" s="4"/>
      <c r="G668" s="4"/>
    </row>
    <row r="669">
      <c r="A669" s="4"/>
      <c r="B669" s="4"/>
      <c r="C669" s="4"/>
      <c r="D669" s="4"/>
      <c r="E669" s="4"/>
      <c r="F669" s="4"/>
      <c r="G669" s="4"/>
    </row>
    <row r="670">
      <c r="A670" s="4"/>
      <c r="B670" s="4"/>
      <c r="C670" s="4"/>
      <c r="D670" s="4"/>
      <c r="E670" s="4"/>
      <c r="F670" s="4"/>
      <c r="G670" s="4"/>
    </row>
    <row r="671">
      <c r="A671" s="4"/>
      <c r="B671" s="4"/>
      <c r="C671" s="4"/>
      <c r="D671" s="4"/>
      <c r="E671" s="4"/>
      <c r="F671" s="4"/>
      <c r="G671" s="4"/>
    </row>
    <row r="672">
      <c r="A672" s="4"/>
      <c r="B672" s="4"/>
      <c r="C672" s="4"/>
      <c r="D672" s="4"/>
      <c r="E672" s="4"/>
      <c r="F672" s="4"/>
      <c r="G672" s="4"/>
    </row>
    <row r="673">
      <c r="A673" s="4"/>
      <c r="B673" s="4"/>
      <c r="C673" s="4"/>
      <c r="D673" s="4"/>
      <c r="E673" s="4"/>
      <c r="F673" s="4"/>
      <c r="G673" s="4"/>
    </row>
    <row r="674">
      <c r="A674" s="4"/>
      <c r="B674" s="4"/>
      <c r="C674" s="4"/>
      <c r="D674" s="4"/>
      <c r="E674" s="4"/>
      <c r="F674" s="4"/>
      <c r="G674" s="4"/>
    </row>
    <row r="675">
      <c r="A675" s="4"/>
      <c r="B675" s="4"/>
      <c r="C675" s="4"/>
      <c r="D675" s="4"/>
      <c r="E675" s="4"/>
      <c r="F675" s="4"/>
      <c r="G675" s="4"/>
    </row>
    <row r="676">
      <c r="A676" s="4"/>
      <c r="B676" s="4"/>
      <c r="C676" s="4"/>
      <c r="D676" s="4"/>
      <c r="E676" s="4"/>
      <c r="F676" s="4"/>
      <c r="G676" s="4"/>
    </row>
    <row r="677">
      <c r="A677" s="4"/>
      <c r="B677" s="4"/>
      <c r="C677" s="4"/>
      <c r="D677" s="4"/>
      <c r="E677" s="4"/>
      <c r="F677" s="4"/>
      <c r="G677" s="4"/>
    </row>
    <row r="678">
      <c r="A678" s="4"/>
      <c r="B678" s="4"/>
      <c r="C678" s="4"/>
      <c r="D678" s="4"/>
      <c r="E678" s="4"/>
      <c r="F678" s="4"/>
      <c r="G678" s="4"/>
    </row>
    <row r="679">
      <c r="A679" s="4"/>
      <c r="B679" s="4"/>
      <c r="C679" s="4"/>
      <c r="D679" s="4"/>
      <c r="E679" s="4"/>
      <c r="F679" s="4"/>
      <c r="G679" s="4"/>
    </row>
    <row r="680">
      <c r="A680" s="4"/>
      <c r="B680" s="4"/>
      <c r="C680" s="4"/>
      <c r="D680" s="4"/>
      <c r="E680" s="4"/>
      <c r="F680" s="4"/>
      <c r="G680" s="4"/>
    </row>
    <row r="681">
      <c r="A681" s="4"/>
      <c r="B681" s="4"/>
      <c r="C681" s="4"/>
      <c r="D681" s="4"/>
      <c r="E681" s="4"/>
      <c r="F681" s="4"/>
      <c r="G681" s="4"/>
    </row>
    <row r="682">
      <c r="A682" s="4"/>
      <c r="B682" s="4"/>
      <c r="C682" s="4"/>
      <c r="D682" s="4"/>
      <c r="E682" s="4"/>
      <c r="F682" s="4"/>
      <c r="G682" s="4"/>
    </row>
    <row r="683">
      <c r="A683" s="4"/>
      <c r="B683" s="4"/>
      <c r="C683" s="4"/>
      <c r="D683" s="4"/>
      <c r="E683" s="4"/>
      <c r="F683" s="4"/>
      <c r="G683" s="4"/>
    </row>
    <row r="684">
      <c r="A684" s="4"/>
      <c r="B684" s="4"/>
      <c r="C684" s="4"/>
      <c r="D684" s="4"/>
      <c r="E684" s="4"/>
      <c r="F684" s="4"/>
      <c r="G684" s="4"/>
    </row>
    <row r="685">
      <c r="A685" s="4"/>
      <c r="B685" s="4"/>
      <c r="C685" s="4"/>
      <c r="D685" s="4"/>
      <c r="E685" s="4"/>
      <c r="F685" s="4"/>
      <c r="G685" s="4"/>
    </row>
    <row r="686">
      <c r="A686" s="4"/>
      <c r="B686" s="4"/>
      <c r="C686" s="4"/>
      <c r="D686" s="4"/>
      <c r="E686" s="4"/>
      <c r="F686" s="4"/>
      <c r="G686" s="4"/>
    </row>
    <row r="687">
      <c r="A687" s="4"/>
      <c r="B687" s="4"/>
      <c r="C687" s="4"/>
      <c r="D687" s="4"/>
      <c r="E687" s="4"/>
      <c r="F687" s="4"/>
      <c r="G687" s="4"/>
    </row>
    <row r="688">
      <c r="A688" s="4"/>
      <c r="B688" s="4"/>
      <c r="C688" s="4"/>
      <c r="D688" s="4"/>
      <c r="E688" s="4"/>
      <c r="F688" s="4"/>
      <c r="G688" s="4"/>
    </row>
    <row r="689">
      <c r="A689" s="4"/>
      <c r="B689" s="4"/>
      <c r="C689" s="4"/>
      <c r="D689" s="4"/>
      <c r="E689" s="4"/>
      <c r="F689" s="4"/>
      <c r="G689" s="4"/>
    </row>
    <row r="690">
      <c r="A690" s="4"/>
      <c r="B690" s="4"/>
      <c r="C690" s="4"/>
      <c r="D690" s="4"/>
      <c r="E690" s="4"/>
      <c r="F690" s="4"/>
      <c r="G690" s="4"/>
    </row>
    <row r="691">
      <c r="A691" s="4"/>
      <c r="B691" s="4"/>
      <c r="C691" s="4"/>
      <c r="D691" s="4"/>
      <c r="E691" s="4"/>
      <c r="F691" s="4"/>
      <c r="G691" s="4"/>
    </row>
    <row r="692">
      <c r="A692" s="4"/>
      <c r="B692" s="4"/>
      <c r="C692" s="4"/>
      <c r="D692" s="4"/>
      <c r="E692" s="4"/>
      <c r="F692" s="4"/>
      <c r="G692" s="4"/>
    </row>
    <row r="693">
      <c r="A693" s="4"/>
      <c r="B693" s="4"/>
      <c r="C693" s="4"/>
      <c r="D693" s="4"/>
      <c r="E693" s="4"/>
      <c r="F693" s="4"/>
      <c r="G693" s="4"/>
    </row>
    <row r="694">
      <c r="A694" s="4"/>
      <c r="B694" s="4"/>
      <c r="C694" s="4"/>
      <c r="D694" s="4"/>
      <c r="E694" s="4"/>
      <c r="F694" s="4"/>
      <c r="G694" s="4"/>
    </row>
    <row r="695">
      <c r="A695" s="4"/>
      <c r="B695" s="4"/>
      <c r="C695" s="4"/>
      <c r="D695" s="4"/>
      <c r="E695" s="4"/>
      <c r="F695" s="4"/>
      <c r="G695" s="4"/>
    </row>
    <row r="696">
      <c r="A696" s="4"/>
      <c r="B696" s="4"/>
      <c r="C696" s="4"/>
      <c r="D696" s="4"/>
      <c r="E696" s="4"/>
      <c r="F696" s="4"/>
      <c r="G696" s="4"/>
    </row>
    <row r="697">
      <c r="A697" s="4"/>
      <c r="B697" s="4"/>
      <c r="C697" s="4"/>
      <c r="D697" s="4"/>
      <c r="E697" s="4"/>
      <c r="F697" s="4"/>
      <c r="G697" s="4"/>
    </row>
    <row r="698">
      <c r="A698" s="4"/>
      <c r="B698" s="4"/>
      <c r="C698" s="4"/>
      <c r="D698" s="4"/>
      <c r="E698" s="4"/>
      <c r="F698" s="4"/>
      <c r="G698" s="4"/>
    </row>
    <row r="699">
      <c r="A699" s="4"/>
      <c r="B699" s="4"/>
      <c r="C699" s="4"/>
      <c r="D699" s="4"/>
      <c r="E699" s="4"/>
      <c r="F699" s="4"/>
      <c r="G699" s="4"/>
    </row>
    <row r="700">
      <c r="A700" s="4"/>
      <c r="B700" s="4"/>
      <c r="C700" s="4"/>
      <c r="D700" s="4"/>
      <c r="E700" s="4"/>
      <c r="F700" s="4"/>
      <c r="G700" s="4"/>
    </row>
    <row r="701">
      <c r="A701" s="4"/>
      <c r="B701" s="4"/>
      <c r="C701" s="4"/>
      <c r="D701" s="4"/>
      <c r="E701" s="4"/>
      <c r="F701" s="4"/>
      <c r="G701" s="4"/>
    </row>
    <row r="702">
      <c r="A702" s="4"/>
      <c r="B702" s="4"/>
      <c r="C702" s="4"/>
      <c r="D702" s="4"/>
      <c r="E702" s="4"/>
      <c r="F702" s="4"/>
      <c r="G702" s="4"/>
    </row>
    <row r="703">
      <c r="A703" s="4"/>
      <c r="B703" s="4"/>
      <c r="C703" s="4"/>
      <c r="D703" s="4"/>
      <c r="E703" s="4"/>
      <c r="F703" s="4"/>
      <c r="G703" s="4"/>
    </row>
    <row r="704">
      <c r="A704" s="4"/>
      <c r="B704" s="4"/>
      <c r="C704" s="4"/>
      <c r="D704" s="4"/>
      <c r="E704" s="4"/>
      <c r="F704" s="4"/>
      <c r="G704" s="4"/>
    </row>
    <row r="705">
      <c r="A705" s="4"/>
      <c r="B705" s="4"/>
      <c r="C705" s="4"/>
      <c r="D705" s="4"/>
      <c r="E705" s="4"/>
      <c r="F705" s="4"/>
      <c r="G705" s="4"/>
    </row>
    <row r="706">
      <c r="A706" s="4"/>
      <c r="B706" s="4"/>
      <c r="C706" s="4"/>
      <c r="D706" s="4"/>
      <c r="E706" s="4"/>
      <c r="F706" s="4"/>
      <c r="G706" s="4"/>
    </row>
    <row r="707">
      <c r="A707" s="4"/>
      <c r="B707" s="4"/>
      <c r="C707" s="4"/>
      <c r="D707" s="4"/>
      <c r="E707" s="4"/>
      <c r="F707" s="4"/>
      <c r="G707" s="4"/>
    </row>
    <row r="708">
      <c r="A708" s="4"/>
      <c r="B708" s="4"/>
      <c r="C708" s="4"/>
      <c r="D708" s="4"/>
      <c r="E708" s="4"/>
      <c r="F708" s="4"/>
      <c r="G708" s="4"/>
    </row>
    <row r="709">
      <c r="A709" s="4"/>
      <c r="B709" s="4"/>
      <c r="C709" s="4"/>
      <c r="D709" s="4"/>
      <c r="E709" s="4"/>
      <c r="F709" s="4"/>
      <c r="G709" s="4"/>
    </row>
    <row r="710">
      <c r="A710" s="4"/>
      <c r="B710" s="4"/>
      <c r="C710" s="4"/>
      <c r="D710" s="4"/>
      <c r="E710" s="4"/>
      <c r="F710" s="4"/>
      <c r="G710" s="4"/>
    </row>
    <row r="711">
      <c r="A711" s="4"/>
      <c r="B711" s="4"/>
      <c r="C711" s="4"/>
      <c r="D711" s="4"/>
      <c r="E711" s="4"/>
      <c r="F711" s="4"/>
      <c r="G711" s="4"/>
    </row>
    <row r="712">
      <c r="A712" s="4"/>
      <c r="B712" s="4"/>
      <c r="C712" s="4"/>
      <c r="D712" s="4"/>
      <c r="E712" s="4"/>
      <c r="F712" s="4"/>
      <c r="G712" s="4"/>
    </row>
    <row r="713">
      <c r="A713" s="4"/>
      <c r="B713" s="4"/>
      <c r="C713" s="4"/>
      <c r="D713" s="4"/>
      <c r="E713" s="4"/>
      <c r="F713" s="4"/>
      <c r="G713" s="4"/>
    </row>
    <row r="714">
      <c r="A714" s="4"/>
      <c r="B714" s="4"/>
      <c r="C714" s="4"/>
      <c r="D714" s="4"/>
      <c r="E714" s="4"/>
      <c r="F714" s="4"/>
      <c r="G714" s="4"/>
    </row>
    <row r="715">
      <c r="A715" s="4"/>
      <c r="B715" s="4"/>
      <c r="C715" s="4"/>
      <c r="D715" s="4"/>
      <c r="E715" s="4"/>
      <c r="F715" s="4"/>
      <c r="G715" s="4"/>
    </row>
    <row r="716">
      <c r="A716" s="4"/>
      <c r="B716" s="4"/>
      <c r="C716" s="4"/>
      <c r="D716" s="4"/>
      <c r="E716" s="4"/>
      <c r="F716" s="4"/>
      <c r="G716" s="4"/>
    </row>
    <row r="717">
      <c r="A717" s="4"/>
      <c r="B717" s="4"/>
      <c r="C717" s="4"/>
      <c r="D717" s="4"/>
      <c r="E717" s="4"/>
      <c r="F717" s="4"/>
      <c r="G717" s="4"/>
    </row>
    <row r="718">
      <c r="A718" s="4"/>
      <c r="B718" s="4"/>
      <c r="C718" s="4"/>
      <c r="D718" s="4"/>
      <c r="E718" s="4"/>
      <c r="F718" s="4"/>
      <c r="G718" s="4"/>
    </row>
    <row r="719">
      <c r="A719" s="4"/>
      <c r="B719" s="4"/>
      <c r="C719" s="4"/>
      <c r="D719" s="4"/>
      <c r="E719" s="4"/>
      <c r="F719" s="4"/>
      <c r="G719" s="4"/>
    </row>
    <row r="720">
      <c r="A720" s="4"/>
      <c r="B720" s="4"/>
      <c r="C720" s="4"/>
      <c r="D720" s="4"/>
      <c r="E720" s="4"/>
      <c r="F720" s="4"/>
      <c r="G720" s="4"/>
    </row>
    <row r="721">
      <c r="A721" s="4"/>
      <c r="B721" s="4"/>
      <c r="C721" s="4"/>
      <c r="D721" s="4"/>
      <c r="E721" s="4"/>
      <c r="F721" s="4"/>
      <c r="G721" s="4"/>
    </row>
    <row r="722">
      <c r="A722" s="4"/>
      <c r="B722" s="4"/>
      <c r="C722" s="4"/>
      <c r="D722" s="4"/>
      <c r="E722" s="4"/>
      <c r="F722" s="4"/>
      <c r="G722" s="4"/>
    </row>
    <row r="723">
      <c r="A723" s="4"/>
      <c r="B723" s="4"/>
      <c r="C723" s="4"/>
      <c r="D723" s="4"/>
      <c r="E723" s="4"/>
      <c r="F723" s="4"/>
      <c r="G723" s="4"/>
    </row>
    <row r="724">
      <c r="A724" s="4"/>
      <c r="B724" s="4"/>
      <c r="C724" s="4"/>
      <c r="D724" s="4"/>
      <c r="E724" s="4"/>
      <c r="F724" s="4"/>
      <c r="G724" s="4"/>
    </row>
    <row r="725">
      <c r="A725" s="4"/>
      <c r="B725" s="4"/>
      <c r="C725" s="4"/>
      <c r="D725" s="4"/>
      <c r="E725" s="4"/>
      <c r="F725" s="4"/>
      <c r="G725" s="4"/>
    </row>
    <row r="726">
      <c r="A726" s="4"/>
      <c r="B726" s="4"/>
      <c r="C726" s="4"/>
      <c r="D726" s="4"/>
      <c r="E726" s="4"/>
      <c r="F726" s="4"/>
      <c r="G726" s="4"/>
    </row>
    <row r="727">
      <c r="A727" s="4"/>
      <c r="B727" s="4"/>
      <c r="C727" s="4"/>
      <c r="D727" s="4"/>
      <c r="E727" s="4"/>
      <c r="F727" s="4"/>
      <c r="G727" s="4"/>
    </row>
    <row r="728">
      <c r="A728" s="4"/>
      <c r="B728" s="4"/>
      <c r="C728" s="4"/>
      <c r="D728" s="4"/>
      <c r="E728" s="4"/>
      <c r="F728" s="4"/>
      <c r="G728" s="4"/>
    </row>
    <row r="729">
      <c r="A729" s="4"/>
      <c r="B729" s="4"/>
      <c r="C729" s="4"/>
      <c r="D729" s="4"/>
      <c r="E729" s="4"/>
      <c r="F729" s="4"/>
      <c r="G729" s="4"/>
    </row>
    <row r="730">
      <c r="A730" s="4"/>
      <c r="B730" s="4"/>
      <c r="C730" s="4"/>
      <c r="D730" s="4"/>
      <c r="E730" s="4"/>
      <c r="F730" s="4"/>
      <c r="G730" s="4"/>
    </row>
    <row r="731">
      <c r="A731" s="4"/>
      <c r="B731" s="4"/>
      <c r="C731" s="4"/>
      <c r="D731" s="4"/>
      <c r="E731" s="4"/>
      <c r="F731" s="4"/>
      <c r="G731" s="4"/>
    </row>
    <row r="732">
      <c r="A732" s="4"/>
      <c r="B732" s="4"/>
      <c r="C732" s="4"/>
      <c r="D732" s="4"/>
      <c r="E732" s="4"/>
      <c r="F732" s="4"/>
      <c r="G732" s="4"/>
    </row>
    <row r="733">
      <c r="A733" s="4"/>
      <c r="B733" s="4"/>
      <c r="C733" s="4"/>
      <c r="D733" s="4"/>
      <c r="E733" s="4"/>
      <c r="F733" s="4"/>
      <c r="G733" s="4"/>
    </row>
    <row r="734">
      <c r="A734" s="4"/>
      <c r="B734" s="4"/>
      <c r="C734" s="4"/>
      <c r="D734" s="4"/>
      <c r="E734" s="4"/>
      <c r="F734" s="4"/>
      <c r="G734" s="4"/>
    </row>
    <row r="735">
      <c r="A735" s="4"/>
      <c r="B735" s="4"/>
      <c r="C735" s="4"/>
      <c r="D735" s="4"/>
      <c r="E735" s="4"/>
      <c r="F735" s="4"/>
      <c r="G735" s="4"/>
    </row>
    <row r="736">
      <c r="A736" s="4"/>
      <c r="B736" s="4"/>
      <c r="C736" s="4"/>
      <c r="D736" s="4"/>
      <c r="E736" s="4"/>
      <c r="F736" s="4"/>
      <c r="G736" s="4"/>
    </row>
    <row r="737">
      <c r="A737" s="4"/>
      <c r="B737" s="4"/>
      <c r="C737" s="4"/>
      <c r="D737" s="4"/>
      <c r="E737" s="4"/>
      <c r="F737" s="4"/>
      <c r="G737" s="4"/>
    </row>
    <row r="738">
      <c r="A738" s="4"/>
      <c r="B738" s="4"/>
      <c r="C738" s="4"/>
      <c r="D738" s="4"/>
      <c r="E738" s="4"/>
      <c r="F738" s="4"/>
      <c r="G738" s="4"/>
    </row>
    <row r="739">
      <c r="A739" s="4"/>
      <c r="B739" s="4"/>
      <c r="C739" s="4"/>
      <c r="D739" s="4"/>
      <c r="E739" s="4"/>
      <c r="F739" s="4"/>
      <c r="G739" s="4"/>
    </row>
    <row r="740">
      <c r="A740" s="4"/>
      <c r="B740" s="4"/>
      <c r="C740" s="4"/>
      <c r="D740" s="4"/>
      <c r="E740" s="4"/>
      <c r="F740" s="4"/>
      <c r="G740" s="4"/>
    </row>
    <row r="741">
      <c r="A741" s="4"/>
      <c r="B741" s="4"/>
      <c r="C741" s="4"/>
      <c r="D741" s="4"/>
      <c r="E741" s="4"/>
      <c r="F741" s="4"/>
      <c r="G741" s="4"/>
    </row>
    <row r="742">
      <c r="A742" s="4"/>
      <c r="B742" s="4"/>
      <c r="C742" s="4"/>
      <c r="D742" s="4"/>
      <c r="E742" s="4"/>
      <c r="F742" s="4"/>
      <c r="G742" s="4"/>
    </row>
    <row r="743">
      <c r="A743" s="4"/>
      <c r="B743" s="4"/>
      <c r="C743" s="4"/>
      <c r="D743" s="4"/>
      <c r="E743" s="4"/>
      <c r="F743" s="4"/>
      <c r="G743" s="4"/>
    </row>
    <row r="744">
      <c r="A744" s="4"/>
      <c r="B744" s="4"/>
      <c r="C744" s="4"/>
      <c r="D744" s="4"/>
      <c r="E744" s="4"/>
      <c r="F744" s="4"/>
      <c r="G744" s="4"/>
    </row>
    <row r="745">
      <c r="A745" s="4"/>
      <c r="B745" s="4"/>
      <c r="C745" s="4"/>
      <c r="D745" s="4"/>
      <c r="E745" s="4"/>
      <c r="F745" s="4"/>
      <c r="G745" s="4"/>
    </row>
    <row r="746">
      <c r="A746" s="4"/>
      <c r="B746" s="4"/>
      <c r="C746" s="4"/>
      <c r="D746" s="4"/>
      <c r="E746" s="4"/>
      <c r="F746" s="4"/>
      <c r="G746" s="4"/>
    </row>
    <row r="747">
      <c r="A747" s="4"/>
      <c r="B747" s="4"/>
      <c r="C747" s="4"/>
      <c r="D747" s="4"/>
      <c r="E747" s="4"/>
      <c r="F747" s="4"/>
      <c r="G747" s="4"/>
    </row>
    <row r="748">
      <c r="A748" s="4"/>
      <c r="B748" s="4"/>
      <c r="C748" s="4"/>
      <c r="D748" s="4"/>
      <c r="E748" s="4"/>
      <c r="F748" s="4"/>
      <c r="G748" s="4"/>
    </row>
    <row r="749">
      <c r="A749" s="4"/>
      <c r="B749" s="4"/>
      <c r="C749" s="4"/>
      <c r="D749" s="4"/>
      <c r="E749" s="4"/>
      <c r="F749" s="4"/>
      <c r="G749" s="4"/>
    </row>
    <row r="750">
      <c r="A750" s="4"/>
      <c r="B750" s="4"/>
      <c r="C750" s="4"/>
      <c r="D750" s="4"/>
      <c r="E750" s="4"/>
      <c r="F750" s="4"/>
      <c r="G750" s="4"/>
    </row>
    <row r="751">
      <c r="A751" s="4"/>
      <c r="B751" s="4"/>
      <c r="C751" s="4"/>
      <c r="D751" s="4"/>
      <c r="E751" s="4"/>
      <c r="F751" s="4"/>
      <c r="G751" s="4"/>
    </row>
    <row r="752">
      <c r="A752" s="4"/>
      <c r="B752" s="4"/>
      <c r="C752" s="4"/>
      <c r="D752" s="4"/>
      <c r="E752" s="4"/>
      <c r="F752" s="4"/>
      <c r="G752" s="4"/>
    </row>
    <row r="753">
      <c r="A753" s="4"/>
      <c r="B753" s="4"/>
      <c r="C753" s="4"/>
      <c r="D753" s="4"/>
      <c r="E753" s="4"/>
      <c r="F753" s="4"/>
      <c r="G753" s="4"/>
    </row>
    <row r="754">
      <c r="A754" s="4"/>
      <c r="B754" s="4"/>
      <c r="C754" s="4"/>
      <c r="D754" s="4"/>
      <c r="E754" s="4"/>
      <c r="F754" s="4"/>
      <c r="G754" s="4"/>
    </row>
    <row r="755">
      <c r="A755" s="4"/>
      <c r="B755" s="4"/>
      <c r="C755" s="4"/>
      <c r="D755" s="4"/>
      <c r="E755" s="4"/>
      <c r="F755" s="4"/>
      <c r="G755" s="4"/>
    </row>
    <row r="756">
      <c r="A756" s="4"/>
      <c r="B756" s="4"/>
      <c r="C756" s="4"/>
      <c r="D756" s="4"/>
      <c r="E756" s="4"/>
      <c r="F756" s="4"/>
      <c r="G756" s="4"/>
    </row>
    <row r="757">
      <c r="A757" s="4"/>
      <c r="B757" s="4"/>
      <c r="C757" s="4"/>
      <c r="D757" s="4"/>
      <c r="E757" s="4"/>
      <c r="F757" s="4"/>
      <c r="G757" s="4"/>
    </row>
    <row r="758">
      <c r="A758" s="4"/>
      <c r="B758" s="4"/>
      <c r="C758" s="4"/>
      <c r="D758" s="4"/>
      <c r="E758" s="4"/>
      <c r="F758" s="4"/>
      <c r="G758" s="4"/>
    </row>
    <row r="759">
      <c r="A759" s="4"/>
      <c r="B759" s="4"/>
      <c r="C759" s="4"/>
      <c r="D759" s="4"/>
      <c r="E759" s="4"/>
      <c r="F759" s="4"/>
      <c r="G759" s="4"/>
    </row>
    <row r="760">
      <c r="A760" s="4"/>
      <c r="B760" s="4"/>
      <c r="C760" s="4"/>
      <c r="D760" s="4"/>
      <c r="E760" s="4"/>
      <c r="F760" s="4"/>
      <c r="G760" s="4"/>
    </row>
    <row r="761">
      <c r="A761" s="4"/>
      <c r="B761" s="4"/>
      <c r="C761" s="4"/>
      <c r="D761" s="4"/>
      <c r="E761" s="4"/>
      <c r="F761" s="4"/>
      <c r="G761" s="4"/>
    </row>
    <row r="762">
      <c r="A762" s="4"/>
      <c r="B762" s="4"/>
      <c r="C762" s="4"/>
      <c r="D762" s="4"/>
      <c r="E762" s="4"/>
      <c r="F762" s="4"/>
      <c r="G762" s="4"/>
    </row>
    <row r="763">
      <c r="A763" s="4"/>
      <c r="B763" s="4"/>
      <c r="C763" s="4"/>
      <c r="D763" s="4"/>
      <c r="E763" s="4"/>
      <c r="F763" s="4"/>
      <c r="G763" s="4"/>
    </row>
    <row r="764">
      <c r="A764" s="4"/>
      <c r="B764" s="4"/>
      <c r="C764" s="4"/>
      <c r="D764" s="4"/>
      <c r="E764" s="4"/>
      <c r="F764" s="4"/>
      <c r="G764" s="4"/>
    </row>
    <row r="765">
      <c r="A765" s="4"/>
      <c r="B765" s="4"/>
      <c r="C765" s="4"/>
      <c r="D765" s="4"/>
      <c r="E765" s="4"/>
      <c r="F765" s="4"/>
      <c r="G765" s="4"/>
    </row>
    <row r="766">
      <c r="A766" s="4"/>
      <c r="B766" s="4"/>
      <c r="C766" s="4"/>
      <c r="D766" s="4"/>
      <c r="E766" s="4"/>
      <c r="F766" s="4"/>
      <c r="G766" s="4"/>
    </row>
    <row r="767">
      <c r="A767" s="4"/>
      <c r="B767" s="4"/>
      <c r="C767" s="4"/>
      <c r="D767" s="4"/>
      <c r="E767" s="4"/>
      <c r="F767" s="4"/>
      <c r="G767" s="4"/>
    </row>
    <row r="768">
      <c r="A768" s="4"/>
      <c r="B768" s="4"/>
      <c r="C768" s="4"/>
      <c r="D768" s="4"/>
      <c r="E768" s="4"/>
      <c r="F768" s="4"/>
      <c r="G768" s="4"/>
    </row>
    <row r="769">
      <c r="A769" s="4"/>
      <c r="B769" s="4"/>
      <c r="C769" s="4"/>
      <c r="D769" s="4"/>
      <c r="E769" s="4"/>
      <c r="F769" s="4"/>
      <c r="G769" s="4"/>
    </row>
    <row r="770">
      <c r="A770" s="4"/>
      <c r="B770" s="4"/>
      <c r="C770" s="4"/>
      <c r="D770" s="4"/>
      <c r="E770" s="4"/>
      <c r="F770" s="4"/>
      <c r="G770" s="4"/>
    </row>
    <row r="771">
      <c r="A771" s="4"/>
      <c r="B771" s="4"/>
      <c r="C771" s="4"/>
      <c r="D771" s="4"/>
      <c r="E771" s="4"/>
      <c r="F771" s="4"/>
      <c r="G771" s="4"/>
    </row>
    <row r="772">
      <c r="A772" s="4"/>
      <c r="B772" s="4"/>
      <c r="C772" s="4"/>
      <c r="D772" s="4"/>
      <c r="E772" s="4"/>
      <c r="F772" s="4"/>
      <c r="G772" s="4"/>
    </row>
    <row r="773">
      <c r="A773" s="4"/>
      <c r="B773" s="4"/>
      <c r="C773" s="4"/>
      <c r="D773" s="4"/>
      <c r="E773" s="4"/>
      <c r="F773" s="4"/>
      <c r="G773" s="4"/>
    </row>
    <row r="774">
      <c r="A774" s="4"/>
      <c r="B774" s="4"/>
      <c r="C774" s="4"/>
      <c r="D774" s="4"/>
      <c r="E774" s="4"/>
      <c r="F774" s="4"/>
      <c r="G774" s="4"/>
    </row>
    <row r="775">
      <c r="A775" s="4"/>
      <c r="B775" s="4"/>
      <c r="C775" s="4"/>
      <c r="D775" s="4"/>
      <c r="E775" s="4"/>
      <c r="F775" s="4"/>
      <c r="G775" s="4"/>
    </row>
    <row r="776">
      <c r="A776" s="4"/>
      <c r="B776" s="4"/>
      <c r="C776" s="4"/>
      <c r="D776" s="4"/>
      <c r="E776" s="4"/>
      <c r="F776" s="4"/>
      <c r="G776" s="4"/>
    </row>
    <row r="777">
      <c r="A777" s="4"/>
      <c r="B777" s="4"/>
      <c r="C777" s="4"/>
      <c r="D777" s="4"/>
      <c r="E777" s="4"/>
      <c r="F777" s="4"/>
      <c r="G777" s="4"/>
    </row>
    <row r="778">
      <c r="A778" s="4"/>
      <c r="B778" s="4"/>
      <c r="C778" s="4"/>
      <c r="D778" s="4"/>
      <c r="E778" s="4"/>
      <c r="F778" s="4"/>
      <c r="G778" s="4"/>
    </row>
    <row r="779">
      <c r="A779" s="4"/>
      <c r="B779" s="4"/>
      <c r="C779" s="4"/>
      <c r="D779" s="4"/>
      <c r="E779" s="4"/>
      <c r="F779" s="4"/>
      <c r="G779" s="4"/>
    </row>
    <row r="780">
      <c r="A780" s="4"/>
      <c r="B780" s="4"/>
      <c r="C780" s="4"/>
      <c r="D780" s="4"/>
      <c r="E780" s="4"/>
      <c r="F780" s="4"/>
      <c r="G780" s="4"/>
    </row>
    <row r="781">
      <c r="A781" s="4"/>
      <c r="B781" s="4"/>
      <c r="C781" s="4"/>
      <c r="D781" s="4"/>
      <c r="E781" s="4"/>
      <c r="F781" s="4"/>
      <c r="G781" s="4"/>
    </row>
    <row r="782">
      <c r="A782" s="4"/>
      <c r="B782" s="4"/>
      <c r="C782" s="4"/>
      <c r="D782" s="4"/>
      <c r="E782" s="4"/>
      <c r="F782" s="4"/>
      <c r="G782" s="4"/>
    </row>
    <row r="783">
      <c r="A783" s="4"/>
      <c r="B783" s="4"/>
      <c r="C783" s="4"/>
      <c r="D783" s="4"/>
      <c r="E783" s="4"/>
      <c r="F783" s="4"/>
      <c r="G783" s="4"/>
    </row>
    <row r="784">
      <c r="A784" s="4"/>
      <c r="B784" s="4"/>
      <c r="C784" s="4"/>
      <c r="D784" s="4"/>
      <c r="E784" s="4"/>
      <c r="F784" s="4"/>
      <c r="G784" s="4"/>
    </row>
    <row r="785">
      <c r="A785" s="4"/>
      <c r="B785" s="4"/>
      <c r="C785" s="4"/>
      <c r="D785" s="4"/>
      <c r="E785" s="4"/>
      <c r="F785" s="4"/>
      <c r="G785" s="4"/>
    </row>
    <row r="786">
      <c r="A786" s="4"/>
      <c r="B786" s="4"/>
      <c r="C786" s="4"/>
      <c r="D786" s="4"/>
      <c r="E786" s="4"/>
      <c r="F786" s="4"/>
      <c r="G786" s="4"/>
    </row>
    <row r="787">
      <c r="A787" s="4"/>
      <c r="B787" s="4"/>
      <c r="C787" s="4"/>
      <c r="D787" s="4"/>
      <c r="E787" s="4"/>
      <c r="F787" s="4"/>
      <c r="G787" s="4"/>
    </row>
    <row r="788">
      <c r="A788" s="4"/>
      <c r="B788" s="4"/>
      <c r="C788" s="4"/>
      <c r="D788" s="4"/>
      <c r="E788" s="4"/>
      <c r="F788" s="4"/>
      <c r="G788" s="4"/>
    </row>
    <row r="789">
      <c r="A789" s="4"/>
      <c r="B789" s="4"/>
      <c r="C789" s="4"/>
      <c r="D789" s="4"/>
      <c r="E789" s="4"/>
      <c r="F789" s="4"/>
      <c r="G789" s="4"/>
    </row>
    <row r="790">
      <c r="A790" s="4"/>
      <c r="B790" s="4"/>
      <c r="C790" s="4"/>
      <c r="D790" s="4"/>
      <c r="E790" s="4"/>
      <c r="F790" s="4"/>
      <c r="G790" s="4"/>
    </row>
    <row r="791">
      <c r="A791" s="4"/>
      <c r="B791" s="4"/>
      <c r="C791" s="4"/>
      <c r="D791" s="4"/>
      <c r="E791" s="4"/>
      <c r="F791" s="4"/>
      <c r="G791" s="4"/>
    </row>
    <row r="792">
      <c r="A792" s="4"/>
      <c r="B792" s="4"/>
      <c r="C792" s="4"/>
      <c r="D792" s="4"/>
      <c r="E792" s="4"/>
      <c r="F792" s="4"/>
      <c r="G792" s="4"/>
    </row>
    <row r="793">
      <c r="A793" s="4"/>
      <c r="B793" s="4"/>
      <c r="C793" s="4"/>
      <c r="D793" s="4"/>
      <c r="E793" s="4"/>
      <c r="F793" s="4"/>
      <c r="G793" s="4"/>
    </row>
    <row r="794">
      <c r="A794" s="4"/>
      <c r="B794" s="4"/>
      <c r="C794" s="4"/>
      <c r="D794" s="4"/>
      <c r="E794" s="4"/>
      <c r="F794" s="4"/>
      <c r="G794" s="4"/>
    </row>
    <row r="795">
      <c r="A795" s="4"/>
      <c r="B795" s="4"/>
      <c r="C795" s="4"/>
      <c r="D795" s="4"/>
      <c r="E795" s="4"/>
      <c r="F795" s="4"/>
      <c r="G795" s="4"/>
    </row>
    <row r="796">
      <c r="A796" s="4"/>
      <c r="B796" s="4"/>
      <c r="C796" s="4"/>
      <c r="D796" s="4"/>
      <c r="E796" s="4"/>
      <c r="F796" s="4"/>
      <c r="G796" s="4"/>
    </row>
    <row r="797">
      <c r="A797" s="4"/>
      <c r="B797" s="4"/>
      <c r="C797" s="4"/>
      <c r="D797" s="4"/>
      <c r="E797" s="4"/>
      <c r="F797" s="4"/>
      <c r="G797" s="4"/>
    </row>
    <row r="798">
      <c r="A798" s="4"/>
      <c r="B798" s="4"/>
      <c r="C798" s="4"/>
      <c r="D798" s="4"/>
      <c r="E798" s="4"/>
      <c r="F798" s="4"/>
      <c r="G798" s="4"/>
    </row>
    <row r="799">
      <c r="A799" s="4"/>
      <c r="B799" s="4"/>
      <c r="C799" s="4"/>
      <c r="D799" s="4"/>
      <c r="E799" s="4"/>
      <c r="F799" s="4"/>
      <c r="G799" s="4"/>
    </row>
    <row r="800">
      <c r="A800" s="4"/>
      <c r="B800" s="4"/>
      <c r="C800" s="4"/>
      <c r="D800" s="4"/>
      <c r="E800" s="4"/>
      <c r="F800" s="4"/>
      <c r="G800" s="4"/>
    </row>
    <row r="801">
      <c r="A801" s="4"/>
      <c r="B801" s="4"/>
      <c r="C801" s="4"/>
      <c r="D801" s="4"/>
      <c r="E801" s="4"/>
      <c r="F801" s="4"/>
      <c r="G801" s="4"/>
    </row>
    <row r="802">
      <c r="A802" s="4"/>
      <c r="B802" s="4"/>
      <c r="C802" s="4"/>
      <c r="D802" s="4"/>
      <c r="E802" s="4"/>
      <c r="F802" s="4"/>
      <c r="G802" s="4"/>
    </row>
    <row r="803">
      <c r="A803" s="4"/>
      <c r="B803" s="4"/>
      <c r="C803" s="4"/>
      <c r="D803" s="4"/>
      <c r="E803" s="4"/>
      <c r="F803" s="4"/>
      <c r="G803" s="4"/>
    </row>
    <row r="804">
      <c r="A804" s="4"/>
      <c r="B804" s="4"/>
      <c r="C804" s="4"/>
      <c r="D804" s="4"/>
      <c r="E804" s="4"/>
      <c r="F804" s="4"/>
      <c r="G804" s="4"/>
    </row>
    <row r="805">
      <c r="A805" s="4"/>
      <c r="B805" s="4"/>
      <c r="C805" s="4"/>
      <c r="D805" s="4"/>
      <c r="E805" s="4"/>
      <c r="F805" s="4"/>
      <c r="G805" s="4"/>
    </row>
    <row r="806">
      <c r="A806" s="4"/>
      <c r="B806" s="4"/>
      <c r="C806" s="4"/>
      <c r="D806" s="4"/>
      <c r="E806" s="4"/>
      <c r="F806" s="4"/>
      <c r="G806" s="4"/>
    </row>
    <row r="807">
      <c r="A807" s="4"/>
      <c r="B807" s="4"/>
      <c r="C807" s="4"/>
      <c r="D807" s="4"/>
      <c r="E807" s="4"/>
      <c r="F807" s="4"/>
      <c r="G807" s="4"/>
    </row>
    <row r="808">
      <c r="A808" s="4"/>
      <c r="B808" s="4"/>
      <c r="C808" s="4"/>
      <c r="D808" s="4"/>
      <c r="E808" s="4"/>
      <c r="F808" s="4"/>
      <c r="G808" s="4"/>
    </row>
    <row r="809">
      <c r="A809" s="4"/>
      <c r="B809" s="4"/>
      <c r="C809" s="4"/>
      <c r="D809" s="4"/>
      <c r="E809" s="4"/>
      <c r="F809" s="4"/>
      <c r="G809" s="4"/>
    </row>
    <row r="810">
      <c r="A810" s="4"/>
      <c r="B810" s="4"/>
      <c r="C810" s="4"/>
      <c r="D810" s="4"/>
      <c r="E810" s="4"/>
      <c r="F810" s="4"/>
      <c r="G810" s="4"/>
    </row>
    <row r="811">
      <c r="A811" s="4"/>
      <c r="B811" s="4"/>
      <c r="C811" s="4"/>
      <c r="D811" s="4"/>
      <c r="E811" s="4"/>
      <c r="F811" s="4"/>
      <c r="G811" s="4"/>
    </row>
    <row r="812">
      <c r="A812" s="4"/>
      <c r="B812" s="4"/>
      <c r="C812" s="4"/>
      <c r="D812" s="4"/>
      <c r="E812" s="4"/>
      <c r="F812" s="4"/>
      <c r="G812" s="4"/>
    </row>
    <row r="813">
      <c r="A813" s="4"/>
      <c r="B813" s="4"/>
      <c r="C813" s="4"/>
      <c r="D813" s="4"/>
      <c r="E813" s="4"/>
      <c r="F813" s="4"/>
      <c r="G813" s="4"/>
    </row>
    <row r="814">
      <c r="A814" s="4"/>
      <c r="B814" s="4"/>
      <c r="C814" s="4"/>
      <c r="D814" s="4"/>
      <c r="E814" s="4"/>
      <c r="F814" s="4"/>
      <c r="G814" s="4"/>
    </row>
    <row r="815">
      <c r="A815" s="4"/>
      <c r="B815" s="4"/>
      <c r="C815" s="4"/>
      <c r="D815" s="4"/>
      <c r="E815" s="4"/>
      <c r="F815" s="4"/>
      <c r="G815" s="4"/>
    </row>
    <row r="816">
      <c r="A816" s="4"/>
      <c r="B816" s="4"/>
      <c r="C816" s="4"/>
      <c r="D816" s="4"/>
      <c r="E816" s="4"/>
      <c r="F816" s="4"/>
      <c r="G816" s="4"/>
    </row>
    <row r="817">
      <c r="A817" s="4"/>
      <c r="B817" s="4"/>
      <c r="C817" s="4"/>
      <c r="D817" s="4"/>
      <c r="E817" s="4"/>
      <c r="F817" s="4"/>
      <c r="G817" s="4"/>
    </row>
    <row r="818">
      <c r="A818" s="4"/>
      <c r="B818" s="4"/>
      <c r="C818" s="4"/>
      <c r="D818" s="4"/>
      <c r="E818" s="4"/>
      <c r="F818" s="4"/>
      <c r="G818" s="4"/>
    </row>
    <row r="819">
      <c r="A819" s="4"/>
      <c r="B819" s="4"/>
      <c r="C819" s="4"/>
      <c r="D819" s="4"/>
      <c r="E819" s="4"/>
      <c r="F819" s="4"/>
      <c r="G819" s="4"/>
    </row>
    <row r="820">
      <c r="A820" s="4"/>
      <c r="B820" s="4"/>
      <c r="C820" s="4"/>
      <c r="D820" s="4"/>
      <c r="E820" s="4"/>
      <c r="F820" s="4"/>
      <c r="G820" s="4"/>
    </row>
    <row r="821">
      <c r="A821" s="4"/>
      <c r="B821" s="4"/>
      <c r="C821" s="4"/>
      <c r="D821" s="4"/>
      <c r="E821" s="4"/>
      <c r="F821" s="4"/>
      <c r="G821" s="4"/>
    </row>
    <row r="822">
      <c r="A822" s="4"/>
      <c r="B822" s="4"/>
      <c r="C822" s="4"/>
      <c r="D822" s="4"/>
      <c r="E822" s="4"/>
      <c r="F822" s="4"/>
      <c r="G822" s="4"/>
    </row>
    <row r="823">
      <c r="A823" s="4"/>
      <c r="B823" s="4"/>
      <c r="C823" s="4"/>
      <c r="D823" s="4"/>
      <c r="E823" s="4"/>
      <c r="F823" s="4"/>
      <c r="G823" s="4"/>
    </row>
    <row r="824">
      <c r="A824" s="4"/>
      <c r="B824" s="4"/>
      <c r="C824" s="4"/>
      <c r="D824" s="4"/>
      <c r="E824" s="4"/>
      <c r="F824" s="4"/>
      <c r="G824" s="4"/>
    </row>
    <row r="825">
      <c r="A825" s="4"/>
      <c r="B825" s="4"/>
      <c r="C825" s="4"/>
      <c r="D825" s="4"/>
      <c r="E825" s="4"/>
      <c r="F825" s="4"/>
      <c r="G825" s="4"/>
    </row>
    <row r="826">
      <c r="A826" s="4"/>
      <c r="B826" s="4"/>
      <c r="C826" s="4"/>
      <c r="D826" s="4"/>
      <c r="E826" s="4"/>
      <c r="F826" s="4"/>
      <c r="G826" s="4"/>
    </row>
    <row r="827">
      <c r="A827" s="4"/>
      <c r="B827" s="4"/>
      <c r="C827" s="4"/>
      <c r="D827" s="4"/>
      <c r="E827" s="4"/>
      <c r="F827" s="4"/>
      <c r="G827" s="4"/>
    </row>
    <row r="828">
      <c r="A828" s="4"/>
      <c r="B828" s="4"/>
      <c r="C828" s="4"/>
      <c r="D828" s="4"/>
      <c r="E828" s="4"/>
      <c r="F828" s="4"/>
      <c r="G828" s="4"/>
    </row>
    <row r="829">
      <c r="A829" s="4"/>
      <c r="B829" s="4"/>
      <c r="C829" s="4"/>
      <c r="D829" s="4"/>
      <c r="E829" s="4"/>
      <c r="F829" s="4"/>
      <c r="G829" s="4"/>
    </row>
    <row r="830">
      <c r="A830" s="4"/>
      <c r="B830" s="4"/>
      <c r="C830" s="4"/>
      <c r="D830" s="4"/>
      <c r="E830" s="4"/>
      <c r="F830" s="4"/>
      <c r="G830" s="4"/>
    </row>
    <row r="831">
      <c r="A831" s="4"/>
      <c r="B831" s="4"/>
      <c r="C831" s="4"/>
      <c r="D831" s="4"/>
      <c r="E831" s="4"/>
      <c r="F831" s="4"/>
      <c r="G831" s="4"/>
    </row>
    <row r="832">
      <c r="A832" s="4"/>
      <c r="B832" s="4"/>
      <c r="C832" s="4"/>
      <c r="D832" s="4"/>
      <c r="E832" s="4"/>
      <c r="F832" s="4"/>
      <c r="G832" s="4"/>
    </row>
    <row r="833">
      <c r="A833" s="4"/>
      <c r="B833" s="4"/>
      <c r="C833" s="4"/>
      <c r="D833" s="4"/>
      <c r="E833" s="4"/>
      <c r="F833" s="4"/>
      <c r="G833" s="4"/>
    </row>
    <row r="834">
      <c r="A834" s="4"/>
      <c r="B834" s="4"/>
      <c r="C834" s="4"/>
      <c r="D834" s="4"/>
      <c r="E834" s="4"/>
      <c r="F834" s="4"/>
      <c r="G834" s="4"/>
    </row>
    <row r="835">
      <c r="A835" s="4"/>
      <c r="B835" s="4"/>
      <c r="C835" s="4"/>
      <c r="D835" s="4"/>
      <c r="E835" s="4"/>
      <c r="F835" s="4"/>
      <c r="G835" s="4"/>
    </row>
    <row r="836">
      <c r="A836" s="4"/>
      <c r="B836" s="4"/>
      <c r="C836" s="4"/>
      <c r="D836" s="4"/>
      <c r="E836" s="4"/>
      <c r="F836" s="4"/>
      <c r="G836" s="4"/>
    </row>
    <row r="837">
      <c r="A837" s="4"/>
      <c r="B837" s="4"/>
      <c r="C837" s="4"/>
      <c r="D837" s="4"/>
      <c r="E837" s="4"/>
      <c r="F837" s="4"/>
      <c r="G837" s="4"/>
    </row>
    <row r="838">
      <c r="A838" s="4"/>
      <c r="B838" s="4"/>
      <c r="C838" s="4"/>
      <c r="D838" s="4"/>
      <c r="E838" s="4"/>
      <c r="F838" s="4"/>
      <c r="G838" s="4"/>
    </row>
    <row r="839">
      <c r="A839" s="4"/>
      <c r="B839" s="4"/>
      <c r="C839" s="4"/>
      <c r="D839" s="4"/>
      <c r="E839" s="4"/>
      <c r="F839" s="4"/>
      <c r="G839" s="4"/>
    </row>
    <row r="840">
      <c r="A840" s="4"/>
      <c r="B840" s="4"/>
      <c r="C840" s="4"/>
      <c r="D840" s="4"/>
      <c r="E840" s="4"/>
      <c r="F840" s="4"/>
      <c r="G840" s="4"/>
    </row>
    <row r="841">
      <c r="A841" s="4"/>
      <c r="B841" s="4"/>
      <c r="C841" s="4"/>
      <c r="D841" s="4"/>
      <c r="E841" s="4"/>
      <c r="F841" s="4"/>
      <c r="G841" s="4"/>
    </row>
    <row r="842">
      <c r="A842" s="4"/>
      <c r="B842" s="4"/>
      <c r="C842" s="4"/>
      <c r="D842" s="4"/>
      <c r="E842" s="4"/>
      <c r="F842" s="4"/>
      <c r="G842" s="4"/>
    </row>
    <row r="843">
      <c r="A843" s="4"/>
      <c r="B843" s="4"/>
      <c r="C843" s="4"/>
      <c r="D843" s="4"/>
      <c r="E843" s="4"/>
      <c r="F843" s="4"/>
      <c r="G843" s="4"/>
    </row>
    <row r="844">
      <c r="A844" s="4"/>
      <c r="B844" s="4"/>
      <c r="C844" s="4"/>
      <c r="D844" s="4"/>
      <c r="E844" s="4"/>
      <c r="F844" s="4"/>
      <c r="G844" s="4"/>
    </row>
    <row r="845">
      <c r="A845" s="4"/>
      <c r="B845" s="4"/>
      <c r="C845" s="4"/>
      <c r="D845" s="4"/>
      <c r="E845" s="4"/>
      <c r="F845" s="4"/>
      <c r="G845" s="4"/>
    </row>
    <row r="846">
      <c r="A846" s="4"/>
      <c r="B846" s="4"/>
      <c r="C846" s="4"/>
      <c r="D846" s="4"/>
      <c r="E846" s="4"/>
      <c r="F846" s="4"/>
      <c r="G846" s="4"/>
    </row>
    <row r="847">
      <c r="A847" s="4"/>
      <c r="B847" s="4"/>
      <c r="C847" s="4"/>
      <c r="D847" s="4"/>
      <c r="E847" s="4"/>
      <c r="F847" s="4"/>
      <c r="G847" s="4"/>
    </row>
    <row r="848">
      <c r="A848" s="4"/>
      <c r="B848" s="4"/>
      <c r="C848" s="4"/>
      <c r="D848" s="4"/>
      <c r="E848" s="4"/>
      <c r="F848" s="4"/>
      <c r="G848" s="4"/>
    </row>
    <row r="849">
      <c r="A849" s="4"/>
      <c r="B849" s="4"/>
      <c r="C849" s="4"/>
      <c r="D849" s="4"/>
      <c r="E849" s="4"/>
      <c r="F849" s="4"/>
      <c r="G849" s="4"/>
    </row>
    <row r="850">
      <c r="A850" s="4"/>
      <c r="B850" s="4"/>
      <c r="C850" s="4"/>
      <c r="D850" s="4"/>
      <c r="E850" s="4"/>
      <c r="F850" s="4"/>
      <c r="G850" s="4"/>
    </row>
    <row r="851">
      <c r="A851" s="4"/>
      <c r="B851" s="4"/>
      <c r="C851" s="4"/>
      <c r="D851" s="4"/>
      <c r="E851" s="4"/>
      <c r="F851" s="4"/>
      <c r="G851" s="4"/>
    </row>
    <row r="852">
      <c r="A852" s="4"/>
      <c r="B852" s="4"/>
      <c r="C852" s="4"/>
      <c r="D852" s="4"/>
      <c r="E852" s="4"/>
      <c r="F852" s="4"/>
      <c r="G852" s="4"/>
    </row>
    <row r="853">
      <c r="A853" s="4"/>
      <c r="B853" s="4"/>
      <c r="C853" s="4"/>
      <c r="D853" s="4"/>
      <c r="E853" s="4"/>
      <c r="F853" s="4"/>
      <c r="G853" s="4"/>
    </row>
    <row r="854">
      <c r="A854" s="4"/>
      <c r="B854" s="4"/>
      <c r="C854" s="4"/>
      <c r="D854" s="4"/>
      <c r="E854" s="4"/>
      <c r="F854" s="4"/>
      <c r="G854" s="4"/>
    </row>
    <row r="855">
      <c r="A855" s="4"/>
      <c r="B855" s="4"/>
      <c r="C855" s="4"/>
      <c r="D855" s="4"/>
      <c r="E855" s="4"/>
      <c r="F855" s="4"/>
      <c r="G855" s="4"/>
    </row>
    <row r="856">
      <c r="A856" s="4"/>
      <c r="B856" s="4"/>
      <c r="C856" s="4"/>
      <c r="D856" s="4"/>
      <c r="E856" s="4"/>
      <c r="F856" s="4"/>
      <c r="G856" s="4"/>
    </row>
    <row r="857">
      <c r="A857" s="4"/>
      <c r="B857" s="4"/>
      <c r="C857" s="4"/>
      <c r="D857" s="4"/>
      <c r="E857" s="4"/>
      <c r="F857" s="4"/>
      <c r="G857" s="4"/>
    </row>
    <row r="858">
      <c r="A858" s="4"/>
      <c r="B858" s="4"/>
      <c r="C858" s="4"/>
      <c r="D858" s="4"/>
      <c r="E858" s="4"/>
      <c r="F858" s="4"/>
      <c r="G858" s="4"/>
    </row>
    <row r="859">
      <c r="A859" s="4"/>
      <c r="B859" s="4"/>
      <c r="C859" s="4"/>
      <c r="D859" s="4"/>
      <c r="E859" s="4"/>
      <c r="F859" s="4"/>
      <c r="G859" s="4"/>
    </row>
    <row r="860">
      <c r="A860" s="4"/>
      <c r="B860" s="4"/>
      <c r="C860" s="4"/>
      <c r="D860" s="4"/>
      <c r="E860" s="4"/>
      <c r="F860" s="4"/>
      <c r="G860" s="4"/>
    </row>
    <row r="861">
      <c r="A861" s="4"/>
      <c r="B861" s="4"/>
      <c r="C861" s="4"/>
      <c r="D861" s="4"/>
      <c r="E861" s="4"/>
      <c r="F861" s="4"/>
      <c r="G861" s="4"/>
    </row>
    <row r="862">
      <c r="A862" s="4"/>
      <c r="B862" s="4"/>
      <c r="C862" s="4"/>
      <c r="D862" s="4"/>
      <c r="E862" s="4"/>
      <c r="F862" s="4"/>
      <c r="G862" s="4"/>
    </row>
    <row r="863">
      <c r="A863" s="4"/>
      <c r="B863" s="4"/>
      <c r="C863" s="4"/>
      <c r="D863" s="4"/>
      <c r="E863" s="4"/>
      <c r="F863" s="4"/>
      <c r="G863" s="4"/>
    </row>
    <row r="864">
      <c r="A864" s="4"/>
      <c r="B864" s="4"/>
      <c r="C864" s="4"/>
      <c r="D864" s="4"/>
      <c r="E864" s="4"/>
      <c r="F864" s="4"/>
      <c r="G864" s="4"/>
    </row>
    <row r="865">
      <c r="A865" s="4"/>
      <c r="B865" s="4"/>
      <c r="C865" s="4"/>
      <c r="D865" s="4"/>
      <c r="E865" s="4"/>
      <c r="F865" s="4"/>
      <c r="G865" s="4"/>
    </row>
    <row r="866">
      <c r="A866" s="4"/>
      <c r="B866" s="4"/>
      <c r="C866" s="4"/>
      <c r="D866" s="4"/>
      <c r="E866" s="4"/>
      <c r="F866" s="4"/>
      <c r="G866" s="4"/>
    </row>
    <row r="867">
      <c r="A867" s="4"/>
      <c r="B867" s="4"/>
      <c r="C867" s="4"/>
      <c r="D867" s="4"/>
      <c r="E867" s="4"/>
      <c r="F867" s="4"/>
      <c r="G867" s="4"/>
    </row>
    <row r="868">
      <c r="A868" s="4"/>
      <c r="B868" s="4"/>
      <c r="C868" s="4"/>
      <c r="D868" s="4"/>
      <c r="E868" s="4"/>
      <c r="F868" s="4"/>
      <c r="G868" s="4"/>
    </row>
    <row r="869">
      <c r="A869" s="4"/>
      <c r="B869" s="4"/>
      <c r="C869" s="4"/>
      <c r="D869" s="4"/>
      <c r="E869" s="4"/>
      <c r="F869" s="4"/>
      <c r="G869" s="4"/>
    </row>
    <row r="870">
      <c r="A870" s="4"/>
      <c r="B870" s="4"/>
      <c r="C870" s="4"/>
      <c r="D870" s="4"/>
      <c r="E870" s="4"/>
      <c r="F870" s="4"/>
      <c r="G870" s="4"/>
    </row>
    <row r="871">
      <c r="A871" s="4"/>
      <c r="B871" s="4"/>
      <c r="C871" s="4"/>
      <c r="D871" s="4"/>
      <c r="E871" s="4"/>
      <c r="F871" s="4"/>
      <c r="G871" s="4"/>
    </row>
    <row r="872">
      <c r="A872" s="4"/>
      <c r="B872" s="4"/>
      <c r="C872" s="4"/>
      <c r="D872" s="4"/>
      <c r="E872" s="4"/>
      <c r="F872" s="4"/>
      <c r="G872" s="4"/>
    </row>
    <row r="873">
      <c r="A873" s="4"/>
      <c r="B873" s="4"/>
      <c r="C873" s="4"/>
      <c r="D873" s="4"/>
      <c r="E873" s="4"/>
      <c r="F873" s="4"/>
      <c r="G873" s="4"/>
    </row>
    <row r="874">
      <c r="A874" s="4"/>
      <c r="B874" s="4"/>
      <c r="C874" s="4"/>
      <c r="D874" s="4"/>
      <c r="E874" s="4"/>
      <c r="F874" s="4"/>
      <c r="G874" s="4"/>
    </row>
    <row r="875">
      <c r="A875" s="4"/>
      <c r="B875" s="4"/>
      <c r="C875" s="4"/>
      <c r="D875" s="4"/>
      <c r="E875" s="4"/>
      <c r="F875" s="4"/>
      <c r="G875" s="4"/>
    </row>
    <row r="876">
      <c r="A876" s="4"/>
      <c r="B876" s="4"/>
      <c r="C876" s="4"/>
      <c r="D876" s="4"/>
      <c r="E876" s="4"/>
      <c r="F876" s="4"/>
      <c r="G876" s="4"/>
    </row>
    <row r="877">
      <c r="A877" s="4"/>
      <c r="B877" s="4"/>
      <c r="C877" s="4"/>
      <c r="D877" s="4"/>
      <c r="E877" s="4"/>
      <c r="F877" s="4"/>
      <c r="G877" s="4"/>
    </row>
    <row r="878">
      <c r="A878" s="4"/>
      <c r="B878" s="4"/>
      <c r="C878" s="4"/>
      <c r="D878" s="4"/>
      <c r="E878" s="4"/>
      <c r="F878" s="4"/>
      <c r="G878" s="4"/>
    </row>
    <row r="879">
      <c r="A879" s="4"/>
      <c r="B879" s="4"/>
      <c r="C879" s="4"/>
      <c r="D879" s="4"/>
      <c r="E879" s="4"/>
      <c r="F879" s="4"/>
      <c r="G879" s="4"/>
    </row>
    <row r="880">
      <c r="A880" s="4"/>
      <c r="B880" s="4"/>
      <c r="C880" s="4"/>
      <c r="D880" s="4"/>
      <c r="E880" s="4"/>
      <c r="F880" s="4"/>
      <c r="G880" s="4"/>
    </row>
    <row r="881">
      <c r="A881" s="4"/>
      <c r="B881" s="4"/>
      <c r="C881" s="4"/>
      <c r="D881" s="4"/>
      <c r="E881" s="4"/>
      <c r="F881" s="4"/>
      <c r="G881" s="4"/>
    </row>
    <row r="882">
      <c r="A882" s="4"/>
      <c r="B882" s="4"/>
      <c r="C882" s="4"/>
      <c r="D882" s="4"/>
      <c r="E882" s="4"/>
      <c r="F882" s="4"/>
      <c r="G882" s="4"/>
    </row>
    <row r="883">
      <c r="A883" s="4"/>
      <c r="B883" s="4"/>
      <c r="C883" s="4"/>
      <c r="D883" s="4"/>
      <c r="E883" s="4"/>
      <c r="F883" s="4"/>
      <c r="G883" s="4"/>
    </row>
    <row r="884">
      <c r="A884" s="4"/>
      <c r="B884" s="4"/>
      <c r="C884" s="4"/>
      <c r="D884" s="4"/>
      <c r="E884" s="4"/>
      <c r="F884" s="4"/>
      <c r="G884" s="4"/>
    </row>
    <row r="885">
      <c r="A885" s="4"/>
      <c r="B885" s="4"/>
      <c r="C885" s="4"/>
      <c r="D885" s="4"/>
      <c r="E885" s="4"/>
      <c r="F885" s="4"/>
      <c r="G885" s="4"/>
    </row>
    <row r="886">
      <c r="A886" s="4"/>
      <c r="B886" s="4"/>
      <c r="C886" s="4"/>
      <c r="D886" s="4"/>
      <c r="E886" s="4"/>
      <c r="F886" s="4"/>
      <c r="G886" s="4"/>
    </row>
    <row r="887">
      <c r="A887" s="4"/>
      <c r="B887" s="4"/>
      <c r="C887" s="4"/>
      <c r="D887" s="4"/>
      <c r="E887" s="4"/>
      <c r="F887" s="4"/>
      <c r="G887" s="4"/>
    </row>
    <row r="888">
      <c r="A888" s="4"/>
      <c r="B888" s="4"/>
      <c r="C888" s="4"/>
      <c r="D888" s="4"/>
      <c r="E888" s="4"/>
      <c r="F888" s="4"/>
      <c r="G888" s="4"/>
    </row>
    <row r="889">
      <c r="A889" s="4"/>
      <c r="B889" s="4"/>
      <c r="C889" s="4"/>
      <c r="D889" s="4"/>
      <c r="E889" s="4"/>
      <c r="F889" s="4"/>
      <c r="G889" s="4"/>
    </row>
    <row r="890">
      <c r="A890" s="4"/>
      <c r="B890" s="4"/>
      <c r="C890" s="4"/>
      <c r="D890" s="4"/>
      <c r="E890" s="4"/>
      <c r="F890" s="4"/>
      <c r="G890" s="4"/>
    </row>
    <row r="891">
      <c r="A891" s="4"/>
      <c r="B891" s="4"/>
      <c r="C891" s="4"/>
      <c r="D891" s="4"/>
      <c r="E891" s="4"/>
      <c r="F891" s="4"/>
      <c r="G891" s="4"/>
    </row>
    <row r="892">
      <c r="A892" s="4"/>
      <c r="B892" s="4"/>
      <c r="C892" s="4"/>
      <c r="D892" s="4"/>
      <c r="E892" s="4"/>
      <c r="F892" s="4"/>
      <c r="G892" s="4"/>
    </row>
    <row r="893">
      <c r="A893" s="4"/>
      <c r="B893" s="4"/>
      <c r="C893" s="4"/>
      <c r="D893" s="4"/>
      <c r="E893" s="4"/>
      <c r="F893" s="4"/>
      <c r="G893" s="4"/>
    </row>
    <row r="894">
      <c r="A894" s="4"/>
      <c r="B894" s="4"/>
      <c r="C894" s="4"/>
      <c r="D894" s="4"/>
      <c r="E894" s="4"/>
      <c r="F894" s="4"/>
      <c r="G894" s="4"/>
    </row>
    <row r="895">
      <c r="A895" s="4"/>
      <c r="B895" s="4"/>
      <c r="C895" s="4"/>
      <c r="D895" s="4"/>
      <c r="E895" s="4"/>
      <c r="F895" s="4"/>
      <c r="G895" s="4"/>
    </row>
    <row r="896">
      <c r="A896" s="4"/>
      <c r="B896" s="4"/>
      <c r="C896" s="4"/>
      <c r="D896" s="4"/>
      <c r="E896" s="4"/>
      <c r="F896" s="4"/>
      <c r="G896" s="4"/>
    </row>
    <row r="897">
      <c r="A897" s="4"/>
      <c r="B897" s="4"/>
      <c r="C897" s="4"/>
      <c r="D897" s="4"/>
      <c r="E897" s="4"/>
      <c r="F897" s="4"/>
      <c r="G897" s="4"/>
    </row>
    <row r="898">
      <c r="A898" s="4"/>
      <c r="B898" s="4"/>
      <c r="C898" s="4"/>
      <c r="D898" s="4"/>
      <c r="E898" s="4"/>
      <c r="F898" s="4"/>
      <c r="G898" s="4"/>
    </row>
    <row r="899">
      <c r="A899" s="4"/>
      <c r="B899" s="4"/>
      <c r="C899" s="4"/>
      <c r="D899" s="4"/>
      <c r="E899" s="4"/>
      <c r="F899" s="4"/>
      <c r="G899" s="4"/>
    </row>
    <row r="900">
      <c r="A900" s="4"/>
      <c r="B900" s="4"/>
      <c r="C900" s="4"/>
      <c r="D900" s="4"/>
      <c r="E900" s="4"/>
      <c r="F900" s="4"/>
      <c r="G900" s="4"/>
    </row>
    <row r="901">
      <c r="A901" s="4"/>
      <c r="B901" s="4"/>
      <c r="C901" s="4"/>
      <c r="D901" s="4"/>
      <c r="E901" s="4"/>
      <c r="F901" s="4"/>
      <c r="G901" s="4"/>
    </row>
    <row r="902">
      <c r="A902" s="4"/>
      <c r="B902" s="4"/>
      <c r="C902" s="4"/>
      <c r="D902" s="4"/>
      <c r="E902" s="4"/>
      <c r="F902" s="4"/>
      <c r="G902" s="4"/>
    </row>
    <row r="903">
      <c r="A903" s="4"/>
      <c r="B903" s="4"/>
      <c r="C903" s="4"/>
      <c r="D903" s="4"/>
      <c r="E903" s="4"/>
      <c r="F903" s="4"/>
      <c r="G903" s="4"/>
    </row>
    <row r="904">
      <c r="A904" s="4"/>
      <c r="B904" s="4"/>
      <c r="C904" s="4"/>
      <c r="D904" s="4"/>
      <c r="E904" s="4"/>
      <c r="F904" s="4"/>
      <c r="G904" s="4"/>
    </row>
    <row r="905">
      <c r="A905" s="4"/>
      <c r="B905" s="4"/>
      <c r="C905" s="4"/>
      <c r="D905" s="4"/>
      <c r="E905" s="4"/>
      <c r="F905" s="4"/>
      <c r="G905" s="4"/>
    </row>
    <row r="906">
      <c r="A906" s="4"/>
      <c r="B906" s="4"/>
      <c r="C906" s="4"/>
      <c r="D906" s="4"/>
      <c r="E906" s="4"/>
      <c r="F906" s="4"/>
      <c r="G906" s="4"/>
    </row>
    <row r="907">
      <c r="A907" s="4"/>
      <c r="B907" s="4"/>
      <c r="C907" s="4"/>
      <c r="D907" s="4"/>
      <c r="E907" s="4"/>
      <c r="F907" s="4"/>
      <c r="G907" s="4"/>
    </row>
    <row r="908">
      <c r="A908" s="4"/>
      <c r="B908" s="4"/>
      <c r="C908" s="4"/>
      <c r="D908" s="4"/>
      <c r="E908" s="4"/>
      <c r="F908" s="4"/>
      <c r="G908" s="4"/>
    </row>
    <row r="909">
      <c r="A909" s="4"/>
      <c r="B909" s="4"/>
      <c r="C909" s="4"/>
      <c r="D909" s="4"/>
      <c r="E909" s="4"/>
      <c r="F909" s="4"/>
      <c r="G909" s="4"/>
    </row>
    <row r="910">
      <c r="A910" s="4"/>
      <c r="B910" s="4"/>
      <c r="C910" s="4"/>
      <c r="D910" s="4"/>
      <c r="E910" s="4"/>
      <c r="F910" s="4"/>
      <c r="G910" s="4"/>
    </row>
    <row r="911">
      <c r="A911" s="4"/>
      <c r="B911" s="4"/>
      <c r="C911" s="4"/>
      <c r="D911" s="4"/>
      <c r="E911" s="4"/>
      <c r="F911" s="4"/>
      <c r="G911" s="4"/>
    </row>
    <row r="912">
      <c r="A912" s="4"/>
      <c r="B912" s="4"/>
      <c r="C912" s="4"/>
      <c r="D912" s="4"/>
      <c r="E912" s="4"/>
      <c r="F912" s="4"/>
      <c r="G912" s="4"/>
    </row>
    <row r="913">
      <c r="A913" s="4"/>
      <c r="B913" s="4"/>
      <c r="C913" s="4"/>
      <c r="D913" s="4"/>
      <c r="E913" s="4"/>
      <c r="F913" s="4"/>
      <c r="G913" s="4"/>
    </row>
    <row r="914">
      <c r="A914" s="4"/>
      <c r="B914" s="4"/>
      <c r="C914" s="4"/>
      <c r="D914" s="4"/>
      <c r="E914" s="4"/>
      <c r="F914" s="4"/>
      <c r="G914" s="4"/>
    </row>
    <row r="915">
      <c r="A915" s="4"/>
      <c r="B915" s="4"/>
      <c r="C915" s="4"/>
      <c r="D915" s="4"/>
      <c r="E915" s="4"/>
      <c r="F915" s="4"/>
      <c r="G915" s="4"/>
    </row>
    <row r="916">
      <c r="A916" s="4"/>
      <c r="B916" s="4"/>
      <c r="C916" s="4"/>
      <c r="D916" s="4"/>
      <c r="E916" s="4"/>
      <c r="F916" s="4"/>
      <c r="G916" s="4"/>
    </row>
    <row r="917">
      <c r="A917" s="4"/>
      <c r="B917" s="4"/>
      <c r="C917" s="4"/>
      <c r="D917" s="4"/>
      <c r="E917" s="4"/>
      <c r="F917" s="4"/>
      <c r="G917" s="4"/>
    </row>
    <row r="918">
      <c r="A918" s="4"/>
      <c r="B918" s="4"/>
      <c r="C918" s="4"/>
      <c r="D918" s="4"/>
      <c r="E918" s="4"/>
      <c r="F918" s="4"/>
      <c r="G918" s="4"/>
    </row>
    <row r="919">
      <c r="A919" s="4"/>
      <c r="B919" s="4"/>
      <c r="C919" s="4"/>
      <c r="D919" s="4"/>
      <c r="E919" s="4"/>
      <c r="F919" s="4"/>
      <c r="G919" s="4"/>
    </row>
    <row r="920">
      <c r="A920" s="4"/>
      <c r="B920" s="4"/>
      <c r="C920" s="4"/>
      <c r="D920" s="4"/>
      <c r="E920" s="4"/>
      <c r="F920" s="4"/>
      <c r="G920" s="4"/>
    </row>
    <row r="921">
      <c r="A921" s="4"/>
      <c r="B921" s="4"/>
      <c r="C921" s="4"/>
      <c r="D921" s="4"/>
      <c r="E921" s="4"/>
      <c r="F921" s="4"/>
      <c r="G921" s="4"/>
    </row>
    <row r="922">
      <c r="A922" s="4"/>
      <c r="B922" s="4"/>
      <c r="C922" s="4"/>
      <c r="D922" s="4"/>
      <c r="E922" s="4"/>
      <c r="F922" s="4"/>
      <c r="G922" s="4"/>
    </row>
    <row r="923">
      <c r="A923" s="4"/>
      <c r="B923" s="4"/>
      <c r="C923" s="4"/>
      <c r="D923" s="4"/>
      <c r="E923" s="4"/>
      <c r="F923" s="4"/>
      <c r="G923" s="4"/>
    </row>
    <row r="924">
      <c r="A924" s="4"/>
      <c r="B924" s="4"/>
      <c r="C924" s="4"/>
      <c r="D924" s="4"/>
      <c r="E924" s="4"/>
      <c r="F924" s="4"/>
      <c r="G924" s="4"/>
    </row>
    <row r="925">
      <c r="A925" s="4"/>
      <c r="B925" s="4"/>
      <c r="C925" s="4"/>
      <c r="D925" s="4"/>
      <c r="E925" s="4"/>
      <c r="F925" s="4"/>
      <c r="G925" s="4"/>
    </row>
    <row r="926">
      <c r="A926" s="4"/>
      <c r="B926" s="4"/>
      <c r="C926" s="4"/>
      <c r="D926" s="4"/>
      <c r="E926" s="4"/>
      <c r="F926" s="4"/>
      <c r="G926" s="4"/>
    </row>
    <row r="927">
      <c r="A927" s="4"/>
      <c r="B927" s="4"/>
      <c r="C927" s="4"/>
      <c r="D927" s="4"/>
      <c r="E927" s="4"/>
      <c r="F927" s="4"/>
      <c r="G927" s="4"/>
    </row>
    <row r="928">
      <c r="A928" s="4"/>
      <c r="B928" s="4"/>
      <c r="C928" s="4"/>
      <c r="D928" s="4"/>
      <c r="E928" s="4"/>
      <c r="F928" s="4"/>
      <c r="G928" s="4"/>
    </row>
    <row r="929">
      <c r="A929" s="4"/>
      <c r="B929" s="4"/>
      <c r="C929" s="4"/>
      <c r="D929" s="4"/>
      <c r="E929" s="4"/>
      <c r="F929" s="4"/>
      <c r="G929" s="4"/>
    </row>
    <row r="930">
      <c r="A930" s="4"/>
      <c r="B930" s="4"/>
      <c r="C930" s="4"/>
      <c r="D930" s="4"/>
      <c r="E930" s="4"/>
      <c r="F930" s="4"/>
      <c r="G930" s="4"/>
    </row>
    <row r="931">
      <c r="A931" s="4"/>
      <c r="B931" s="4"/>
      <c r="C931" s="4"/>
      <c r="D931" s="4"/>
      <c r="E931" s="4"/>
      <c r="F931" s="4"/>
      <c r="G931" s="4"/>
    </row>
    <row r="932">
      <c r="A932" s="4"/>
      <c r="B932" s="4"/>
      <c r="C932" s="4"/>
      <c r="D932" s="4"/>
      <c r="E932" s="4"/>
      <c r="F932" s="4"/>
      <c r="G932" s="4"/>
    </row>
    <row r="933">
      <c r="A933" s="4"/>
      <c r="B933" s="4"/>
      <c r="C933" s="4"/>
      <c r="D933" s="4"/>
      <c r="E933" s="4"/>
      <c r="F933" s="4"/>
      <c r="G933" s="4"/>
    </row>
    <row r="934">
      <c r="A934" s="4"/>
      <c r="B934" s="4"/>
      <c r="C934" s="4"/>
      <c r="D934" s="4"/>
      <c r="E934" s="4"/>
      <c r="F934" s="4"/>
      <c r="G934" s="4"/>
    </row>
    <row r="935">
      <c r="A935" s="4"/>
      <c r="B935" s="4"/>
      <c r="C935" s="4"/>
      <c r="D935" s="4"/>
      <c r="E935" s="4"/>
      <c r="F935" s="4"/>
      <c r="G935" s="4"/>
    </row>
    <row r="936">
      <c r="A936" s="4"/>
      <c r="B936" s="4"/>
      <c r="C936" s="4"/>
      <c r="D936" s="4"/>
      <c r="E936" s="4"/>
      <c r="F936" s="4"/>
      <c r="G936" s="4"/>
    </row>
    <row r="937">
      <c r="A937" s="4"/>
      <c r="B937" s="4"/>
      <c r="C937" s="4"/>
      <c r="D937" s="4"/>
      <c r="E937" s="4"/>
      <c r="F937" s="4"/>
      <c r="G937" s="4"/>
    </row>
    <row r="938">
      <c r="A938" s="4"/>
      <c r="B938" s="4"/>
      <c r="C938" s="4"/>
      <c r="D938" s="4"/>
      <c r="E938" s="4"/>
      <c r="F938" s="4"/>
      <c r="G938" s="4"/>
    </row>
    <row r="939">
      <c r="A939" s="4"/>
      <c r="B939" s="4"/>
      <c r="C939" s="4"/>
      <c r="D939" s="4"/>
      <c r="E939" s="4"/>
      <c r="F939" s="4"/>
      <c r="G939" s="4"/>
    </row>
    <row r="940">
      <c r="A940" s="4"/>
      <c r="B940" s="4"/>
      <c r="C940" s="4"/>
      <c r="D940" s="4"/>
      <c r="E940" s="4"/>
      <c r="F940" s="4"/>
      <c r="G940" s="4"/>
    </row>
    <row r="941">
      <c r="A941" s="4"/>
      <c r="B941" s="4"/>
      <c r="C941" s="4"/>
      <c r="D941" s="4"/>
      <c r="E941" s="4"/>
      <c r="F941" s="4"/>
      <c r="G941" s="4"/>
    </row>
    <row r="942">
      <c r="A942" s="4"/>
      <c r="B942" s="4"/>
      <c r="C942" s="4"/>
      <c r="D942" s="4"/>
      <c r="E942" s="4"/>
      <c r="F942" s="4"/>
      <c r="G942" s="4"/>
    </row>
    <row r="943">
      <c r="A943" s="4"/>
      <c r="B943" s="4"/>
      <c r="C943" s="4"/>
      <c r="D943" s="4"/>
      <c r="E943" s="4"/>
      <c r="F943" s="4"/>
      <c r="G943" s="4"/>
    </row>
    <row r="944">
      <c r="A944" s="4"/>
      <c r="B944" s="4"/>
      <c r="C944" s="4"/>
      <c r="D944" s="4"/>
      <c r="E944" s="4"/>
      <c r="F944" s="4"/>
      <c r="G944" s="4"/>
    </row>
    <row r="945">
      <c r="A945" s="4"/>
      <c r="B945" s="4"/>
      <c r="C945" s="4"/>
      <c r="D945" s="4"/>
      <c r="E945" s="4"/>
      <c r="F945" s="4"/>
      <c r="G945" s="4"/>
    </row>
    <row r="946">
      <c r="A946" s="4"/>
      <c r="B946" s="4"/>
      <c r="C946" s="4"/>
      <c r="D946" s="4"/>
      <c r="E946" s="4"/>
      <c r="F946" s="4"/>
      <c r="G946" s="4"/>
    </row>
    <row r="947">
      <c r="A947" s="4"/>
      <c r="B947" s="4"/>
      <c r="C947" s="4"/>
      <c r="D947" s="4"/>
      <c r="E947" s="4"/>
      <c r="F947" s="4"/>
      <c r="G947" s="4"/>
    </row>
    <row r="948">
      <c r="A948" s="4"/>
      <c r="B948" s="4"/>
      <c r="C948" s="4"/>
      <c r="D948" s="4"/>
      <c r="E948" s="4"/>
      <c r="F948" s="4"/>
      <c r="G948" s="4"/>
    </row>
    <row r="949">
      <c r="A949" s="4"/>
      <c r="B949" s="4"/>
      <c r="C949" s="4"/>
      <c r="D949" s="4"/>
      <c r="E949" s="4"/>
      <c r="F949" s="4"/>
      <c r="G949" s="4"/>
    </row>
    <row r="950">
      <c r="A950" s="4"/>
      <c r="B950" s="4"/>
      <c r="C950" s="4"/>
      <c r="D950" s="4"/>
      <c r="E950" s="4"/>
      <c r="F950" s="4"/>
      <c r="G950" s="4"/>
    </row>
    <row r="951">
      <c r="A951" s="4"/>
      <c r="B951" s="4"/>
      <c r="C951" s="4"/>
      <c r="D951" s="4"/>
      <c r="E951" s="4"/>
      <c r="F951" s="4"/>
      <c r="G951" s="4"/>
    </row>
    <row r="952">
      <c r="A952" s="4"/>
      <c r="B952" s="4"/>
      <c r="C952" s="4"/>
      <c r="D952" s="4"/>
      <c r="E952" s="4"/>
      <c r="F952" s="4"/>
      <c r="G952" s="4"/>
    </row>
    <row r="953">
      <c r="A953" s="4"/>
      <c r="B953" s="4"/>
      <c r="C953" s="4"/>
      <c r="D953" s="4"/>
      <c r="E953" s="4"/>
      <c r="F953" s="4"/>
      <c r="G953" s="4"/>
    </row>
    <row r="954">
      <c r="A954" s="4"/>
      <c r="B954" s="4"/>
      <c r="C954" s="4"/>
      <c r="D954" s="4"/>
      <c r="E954" s="4"/>
      <c r="F954" s="4"/>
      <c r="G954" s="4"/>
    </row>
    <row r="955">
      <c r="A955" s="4"/>
      <c r="B955" s="4"/>
      <c r="C955" s="4"/>
      <c r="D955" s="4"/>
      <c r="E955" s="4"/>
      <c r="F955" s="4"/>
      <c r="G955" s="4"/>
    </row>
    <row r="956">
      <c r="A956" s="4"/>
      <c r="B956" s="4"/>
      <c r="C956" s="4"/>
      <c r="D956" s="4"/>
      <c r="E956" s="4"/>
      <c r="F956" s="4"/>
      <c r="G956" s="4"/>
    </row>
    <row r="957">
      <c r="A957" s="4"/>
      <c r="B957" s="4"/>
      <c r="C957" s="4"/>
      <c r="D957" s="4"/>
      <c r="E957" s="4"/>
      <c r="F957" s="4"/>
      <c r="G957" s="4"/>
    </row>
    <row r="958">
      <c r="A958" s="4"/>
      <c r="B958" s="4"/>
      <c r="C958" s="4"/>
      <c r="D958" s="4"/>
      <c r="E958" s="4"/>
      <c r="F958" s="4"/>
      <c r="G958" s="4"/>
    </row>
    <row r="959">
      <c r="A959" s="4"/>
      <c r="B959" s="4"/>
      <c r="C959" s="4"/>
      <c r="D959" s="4"/>
      <c r="E959" s="4"/>
      <c r="F959" s="4"/>
      <c r="G959" s="4"/>
    </row>
    <row r="960">
      <c r="A960" s="4"/>
      <c r="B960" s="4"/>
      <c r="C960" s="4"/>
      <c r="D960" s="4"/>
      <c r="E960" s="4"/>
      <c r="F960" s="4"/>
      <c r="G960" s="4"/>
    </row>
    <row r="961">
      <c r="A961" s="4"/>
      <c r="B961" s="4"/>
      <c r="C961" s="4"/>
      <c r="D961" s="4"/>
      <c r="E961" s="4"/>
      <c r="F961" s="4"/>
      <c r="G961" s="4"/>
    </row>
    <row r="962">
      <c r="A962" s="4"/>
      <c r="B962" s="4"/>
      <c r="C962" s="4"/>
      <c r="D962" s="4"/>
      <c r="E962" s="4"/>
      <c r="F962" s="4"/>
      <c r="G962" s="4"/>
    </row>
    <row r="963">
      <c r="A963" s="4"/>
      <c r="B963" s="4"/>
      <c r="C963" s="4"/>
      <c r="D963" s="4"/>
      <c r="E963" s="4"/>
      <c r="F963" s="4"/>
      <c r="G963" s="4"/>
    </row>
    <row r="964">
      <c r="A964" s="4"/>
      <c r="B964" s="4"/>
      <c r="C964" s="4"/>
      <c r="D964" s="4"/>
      <c r="E964" s="4"/>
      <c r="F964" s="4"/>
      <c r="G964" s="4"/>
    </row>
    <row r="965">
      <c r="A965" s="4"/>
      <c r="B965" s="4"/>
      <c r="C965" s="4"/>
      <c r="D965" s="4"/>
      <c r="E965" s="4"/>
      <c r="F965" s="4"/>
      <c r="G965" s="4"/>
    </row>
    <row r="966">
      <c r="A966" s="4"/>
      <c r="B966" s="4"/>
      <c r="C966" s="4"/>
      <c r="D966" s="4"/>
      <c r="E966" s="4"/>
      <c r="F966" s="4"/>
      <c r="G966" s="4"/>
    </row>
    <row r="967">
      <c r="A967" s="4"/>
      <c r="B967" s="4"/>
      <c r="C967" s="4"/>
      <c r="D967" s="4"/>
      <c r="E967" s="4"/>
      <c r="F967" s="4"/>
      <c r="G967" s="4"/>
    </row>
    <row r="968">
      <c r="A968" s="4"/>
      <c r="B968" s="4"/>
      <c r="C968" s="4"/>
      <c r="D968" s="4"/>
      <c r="E968" s="4"/>
      <c r="F968" s="4"/>
      <c r="G968" s="4"/>
    </row>
    <row r="969">
      <c r="A969" s="4"/>
      <c r="B969" s="4"/>
      <c r="C969" s="4"/>
      <c r="D969" s="4"/>
      <c r="E969" s="4"/>
      <c r="F969" s="4"/>
      <c r="G969" s="4"/>
    </row>
    <row r="970">
      <c r="A970" s="4"/>
      <c r="B970" s="4"/>
      <c r="C970" s="4"/>
      <c r="D970" s="4"/>
      <c r="E970" s="4"/>
      <c r="F970" s="4"/>
      <c r="G970" s="4"/>
    </row>
    <row r="971">
      <c r="A971" s="4"/>
      <c r="B971" s="4"/>
      <c r="C971" s="4"/>
      <c r="D971" s="4"/>
      <c r="E971" s="4"/>
      <c r="F971" s="4"/>
      <c r="G971" s="4"/>
    </row>
    <row r="972">
      <c r="A972" s="4"/>
      <c r="B972" s="4"/>
      <c r="C972" s="4"/>
      <c r="D972" s="4"/>
      <c r="E972" s="4"/>
      <c r="F972" s="4"/>
      <c r="G972" s="4"/>
    </row>
    <row r="973">
      <c r="A973" s="4"/>
      <c r="B973" s="4"/>
      <c r="C973" s="4"/>
      <c r="D973" s="4"/>
      <c r="E973" s="4"/>
      <c r="F973" s="4"/>
      <c r="G973" s="4"/>
    </row>
    <row r="974">
      <c r="A974" s="4"/>
      <c r="B974" s="4"/>
      <c r="C974" s="4"/>
      <c r="D974" s="4"/>
      <c r="E974" s="4"/>
      <c r="F974" s="4"/>
      <c r="G974" s="4"/>
    </row>
    <row r="975">
      <c r="A975" s="4"/>
      <c r="B975" s="4"/>
      <c r="C975" s="4"/>
      <c r="D975" s="4"/>
      <c r="E975" s="4"/>
      <c r="F975" s="4"/>
      <c r="G975" s="4"/>
    </row>
    <row r="976">
      <c r="A976" s="4"/>
      <c r="B976" s="4"/>
      <c r="C976" s="4"/>
      <c r="D976" s="4"/>
      <c r="E976" s="4"/>
      <c r="F976" s="4"/>
      <c r="G976" s="4"/>
    </row>
    <row r="977">
      <c r="A977" s="4"/>
      <c r="B977" s="4"/>
      <c r="C977" s="4"/>
      <c r="D977" s="4"/>
      <c r="E977" s="4"/>
      <c r="F977" s="4"/>
      <c r="G977" s="4"/>
    </row>
    <row r="978">
      <c r="A978" s="4"/>
      <c r="B978" s="4"/>
      <c r="C978" s="4"/>
      <c r="D978" s="4"/>
      <c r="E978" s="4"/>
      <c r="F978" s="4"/>
      <c r="G978" s="4"/>
    </row>
    <row r="979">
      <c r="A979" s="4"/>
      <c r="B979" s="4"/>
      <c r="C979" s="4"/>
      <c r="D979" s="4"/>
      <c r="E979" s="4"/>
      <c r="F979" s="4"/>
      <c r="G979" s="4"/>
    </row>
    <row r="980">
      <c r="A980" s="4"/>
      <c r="B980" s="4"/>
      <c r="C980" s="4"/>
      <c r="D980" s="4"/>
      <c r="E980" s="4"/>
      <c r="F980" s="4"/>
      <c r="G980" s="4"/>
    </row>
    <row r="981">
      <c r="A981" s="4"/>
      <c r="B981" s="4"/>
      <c r="C981" s="4"/>
      <c r="D981" s="4"/>
      <c r="E981" s="4"/>
      <c r="F981" s="4"/>
      <c r="G981" s="4"/>
    </row>
    <row r="982">
      <c r="A982" s="4"/>
      <c r="B982" s="4"/>
      <c r="C982" s="4"/>
      <c r="D982" s="4"/>
      <c r="E982" s="4"/>
      <c r="F982" s="4"/>
      <c r="G982" s="4"/>
    </row>
    <row r="983">
      <c r="A983" s="4"/>
      <c r="B983" s="4"/>
      <c r="C983" s="4"/>
      <c r="D983" s="4"/>
      <c r="E983" s="4"/>
      <c r="F983" s="4"/>
      <c r="G983" s="4"/>
    </row>
    <row r="984">
      <c r="A984" s="4"/>
      <c r="B984" s="4"/>
      <c r="C984" s="4"/>
      <c r="D984" s="4"/>
      <c r="E984" s="4"/>
      <c r="F984" s="4"/>
      <c r="G984" s="4"/>
    </row>
    <row r="985">
      <c r="A985" s="4"/>
      <c r="B985" s="4"/>
      <c r="C985" s="4"/>
      <c r="D985" s="4"/>
      <c r="E985" s="4"/>
      <c r="F985" s="4"/>
      <c r="G985" s="4"/>
    </row>
    <row r="986">
      <c r="A986" s="4"/>
      <c r="B986" s="4"/>
      <c r="C986" s="4"/>
      <c r="D986" s="4"/>
      <c r="E986" s="4"/>
      <c r="F986" s="4"/>
      <c r="G986" s="4"/>
    </row>
    <row r="987">
      <c r="A987" s="4"/>
      <c r="B987" s="4"/>
      <c r="C987" s="4"/>
      <c r="D987" s="4"/>
      <c r="E987" s="4"/>
      <c r="F987" s="4"/>
      <c r="G987" s="4"/>
    </row>
    <row r="988">
      <c r="A988" s="4"/>
      <c r="B988" s="4"/>
      <c r="C988" s="4"/>
      <c r="D988" s="4"/>
      <c r="E988" s="4"/>
      <c r="F988" s="4"/>
      <c r="G988" s="4"/>
    </row>
    <row r="989">
      <c r="A989" s="4"/>
      <c r="B989" s="4"/>
      <c r="C989" s="4"/>
      <c r="D989" s="4"/>
      <c r="E989" s="4"/>
      <c r="F989" s="4"/>
      <c r="G989" s="4"/>
    </row>
    <row r="990">
      <c r="A990" s="4"/>
      <c r="B990" s="4"/>
      <c r="C990" s="4"/>
      <c r="D990" s="4"/>
      <c r="E990" s="4"/>
      <c r="F990" s="4"/>
      <c r="G990" s="4"/>
    </row>
    <row r="991">
      <c r="A991" s="4"/>
      <c r="B991" s="4"/>
      <c r="C991" s="4"/>
      <c r="D991" s="4"/>
      <c r="E991" s="4"/>
      <c r="F991" s="4"/>
      <c r="G991" s="4"/>
    </row>
    <row r="992">
      <c r="A992" s="4"/>
      <c r="B992" s="4"/>
      <c r="C992" s="4"/>
      <c r="D992" s="4"/>
      <c r="E992" s="4"/>
      <c r="F992" s="4"/>
      <c r="G992" s="4"/>
    </row>
    <row r="993">
      <c r="A993" s="4"/>
      <c r="B993" s="4"/>
      <c r="C993" s="4"/>
      <c r="D993" s="4"/>
      <c r="E993" s="4"/>
      <c r="F993" s="4"/>
      <c r="G993" s="4"/>
    </row>
    <row r="994">
      <c r="A994" s="4"/>
      <c r="B994" s="4"/>
      <c r="C994" s="4"/>
      <c r="D994" s="4"/>
      <c r="E994" s="4"/>
      <c r="F994" s="4"/>
      <c r="G994" s="4"/>
    </row>
    <row r="995">
      <c r="A995" s="4"/>
      <c r="B995" s="4"/>
      <c r="C995" s="4"/>
      <c r="D995" s="4"/>
      <c r="E995" s="4"/>
      <c r="F995" s="4"/>
      <c r="G995" s="4"/>
    </row>
    <row r="996">
      <c r="A996" s="4"/>
      <c r="B996" s="4"/>
      <c r="C996" s="4"/>
      <c r="D996" s="4"/>
      <c r="E996" s="4"/>
      <c r="F996" s="4"/>
      <c r="G996" s="4"/>
    </row>
    <row r="997">
      <c r="A997" s="4"/>
      <c r="B997" s="4"/>
      <c r="C997" s="4"/>
      <c r="D997" s="4"/>
      <c r="E997" s="4"/>
      <c r="F997" s="4"/>
      <c r="G997" s="4"/>
    </row>
    <row r="998">
      <c r="A998" s="4"/>
      <c r="B998" s="4"/>
      <c r="C998" s="4"/>
      <c r="D998" s="4"/>
      <c r="E998" s="4"/>
      <c r="F998" s="4"/>
      <c r="G998" s="4"/>
    </row>
    <row r="999">
      <c r="A999" s="4"/>
      <c r="B999" s="4"/>
      <c r="C999" s="4"/>
      <c r="D999" s="4"/>
      <c r="E999" s="4"/>
      <c r="F999" s="4"/>
      <c r="G999" s="4"/>
    </row>
    <row r="1000">
      <c r="A1000" s="4"/>
      <c r="B1000" s="4"/>
      <c r="C1000" s="4"/>
      <c r="D1000" s="4"/>
      <c r="E1000" s="4"/>
      <c r="F1000" s="4"/>
      <c r="G1000" s="4"/>
    </row>
  </sheetData>
  <autoFilter ref="$A$2:$G$2"/>
  <mergeCells count="1">
    <mergeCell ref="A1:G1"/>
  </mergeCells>
  <printOptions/>
  <pageMargins bottom="1.0" footer="0.0" header="0.0" left="0.75" right="0.75" top="1.0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4.38"/>
    <col customWidth="1" min="2" max="2" width="30.63"/>
    <col customWidth="1" min="3" max="3" width="7.0"/>
    <col customWidth="1" min="4" max="4" width="15.75"/>
    <col customWidth="1" min="5" max="5" width="21.88"/>
    <col customWidth="1" min="6" max="6" width="17.5"/>
    <col customWidth="1" min="7" max="7" width="11.38"/>
    <col customWidth="1" min="8" max="8" width="13.75"/>
    <col customWidth="1" min="9" max="26" width="7.63"/>
  </cols>
  <sheetData>
    <row r="1" ht="34.5" customHeight="1">
      <c r="A1" s="115" t="s">
        <v>5093</v>
      </c>
      <c r="B1" s="2"/>
      <c r="C1" s="2"/>
      <c r="D1" s="2"/>
      <c r="E1" s="2"/>
      <c r="F1" s="2"/>
      <c r="G1" s="3"/>
    </row>
    <row r="2" ht="19.5" customHeight="1">
      <c r="A2" s="7" t="s">
        <v>3</v>
      </c>
      <c r="B2" s="8" t="s">
        <v>5</v>
      </c>
      <c r="C2" s="8" t="s">
        <v>6</v>
      </c>
      <c r="D2" s="8" t="s">
        <v>7</v>
      </c>
      <c r="E2" s="8" t="s">
        <v>5053</v>
      </c>
      <c r="F2" s="8" t="s">
        <v>5094</v>
      </c>
      <c r="G2" s="8" t="s">
        <v>13</v>
      </c>
      <c r="H2" s="51" t="s">
        <v>5095</v>
      </c>
    </row>
    <row r="3" ht="15.75" customHeight="1">
      <c r="A3" s="27">
        <v>1.0</v>
      </c>
      <c r="B3" s="102" t="s">
        <v>1396</v>
      </c>
      <c r="C3" s="102">
        <v>19.0</v>
      </c>
      <c r="D3" s="102" t="s">
        <v>1397</v>
      </c>
      <c r="E3" s="102" t="s">
        <v>13</v>
      </c>
      <c r="F3" s="102" t="s">
        <v>1398</v>
      </c>
      <c r="G3" s="102" t="s">
        <v>1399</v>
      </c>
    </row>
    <row r="4" ht="15.75" customHeight="1">
      <c r="A4" s="27">
        <v>2.0</v>
      </c>
      <c r="B4" s="20" t="s">
        <v>1400</v>
      </c>
      <c r="C4" s="20">
        <v>21.0</v>
      </c>
      <c r="D4" s="20" t="s">
        <v>13</v>
      </c>
      <c r="E4" s="20" t="s">
        <v>13</v>
      </c>
      <c r="F4" s="20" t="s">
        <v>1401</v>
      </c>
      <c r="G4" s="20" t="s">
        <v>1399</v>
      </c>
    </row>
    <row r="5" ht="15.75" customHeight="1">
      <c r="A5" s="27">
        <v>3.0</v>
      </c>
      <c r="B5" s="20" t="s">
        <v>1402</v>
      </c>
      <c r="C5" s="20">
        <v>63.0</v>
      </c>
      <c r="D5" s="20">
        <v>648.196</v>
      </c>
      <c r="E5" s="20" t="s">
        <v>13</v>
      </c>
      <c r="F5" s="20" t="s">
        <v>1398</v>
      </c>
      <c r="G5" s="20" t="s">
        <v>1399</v>
      </c>
    </row>
    <row r="6" ht="15.75" customHeight="1">
      <c r="A6" s="27">
        <v>4.0</v>
      </c>
      <c r="B6" s="20" t="s">
        <v>1402</v>
      </c>
      <c r="C6" s="20">
        <v>63.0</v>
      </c>
      <c r="D6" s="20">
        <v>648.196</v>
      </c>
      <c r="E6" s="20" t="s">
        <v>13</v>
      </c>
      <c r="F6" s="20" t="s">
        <v>1398</v>
      </c>
      <c r="G6" s="20" t="s">
        <v>1399</v>
      </c>
    </row>
    <row r="7" ht="15.75" customHeight="1">
      <c r="A7" s="27">
        <v>5.0</v>
      </c>
      <c r="B7" s="20" t="s">
        <v>1403</v>
      </c>
      <c r="C7" s="20">
        <v>35.0</v>
      </c>
      <c r="D7" s="20" t="s">
        <v>1404</v>
      </c>
      <c r="E7" s="20" t="s">
        <v>13</v>
      </c>
      <c r="F7" s="20" t="s">
        <v>1405</v>
      </c>
      <c r="G7" s="20" t="s">
        <v>1406</v>
      </c>
    </row>
    <row r="8" ht="15.75" customHeight="1">
      <c r="A8" s="27">
        <v>6.0</v>
      </c>
      <c r="B8" s="20" t="s">
        <v>1407</v>
      </c>
      <c r="C8" s="20">
        <v>29.0</v>
      </c>
      <c r="D8" s="20" t="s">
        <v>1408</v>
      </c>
      <c r="E8" s="20" t="s">
        <v>13</v>
      </c>
      <c r="F8" s="20" t="s">
        <v>1398</v>
      </c>
      <c r="G8" s="20" t="s">
        <v>1399</v>
      </c>
    </row>
    <row r="9" ht="15.75" customHeight="1">
      <c r="A9" s="27">
        <v>7.0</v>
      </c>
      <c r="B9" s="20" t="s">
        <v>1409</v>
      </c>
      <c r="C9" s="20">
        <v>53.0</v>
      </c>
      <c r="D9" s="20" t="s">
        <v>1410</v>
      </c>
      <c r="E9" s="20" t="s">
        <v>13</v>
      </c>
      <c r="F9" s="20" t="s">
        <v>1401</v>
      </c>
      <c r="G9" s="20" t="s">
        <v>1399</v>
      </c>
    </row>
    <row r="10" ht="15.75" customHeight="1">
      <c r="A10" s="27">
        <v>8.0</v>
      </c>
      <c r="B10" s="20" t="s">
        <v>1411</v>
      </c>
      <c r="C10" s="20">
        <v>76.0</v>
      </c>
      <c r="D10" s="20" t="s">
        <v>1412</v>
      </c>
      <c r="E10" s="20" t="s">
        <v>13</v>
      </c>
      <c r="F10" s="20" t="s">
        <v>330</v>
      </c>
      <c r="G10" s="20" t="s">
        <v>1399</v>
      </c>
    </row>
    <row r="11" ht="15.75" customHeight="1">
      <c r="A11" s="27">
        <v>9.0</v>
      </c>
      <c r="B11" s="20" t="s">
        <v>1413</v>
      </c>
      <c r="C11" s="20">
        <v>81.0</v>
      </c>
      <c r="D11" s="20" t="s">
        <v>1414</v>
      </c>
      <c r="E11" s="20" t="s">
        <v>13</v>
      </c>
      <c r="F11" s="20" t="s">
        <v>1415</v>
      </c>
      <c r="G11" s="20" t="s">
        <v>1416</v>
      </c>
    </row>
    <row r="12" ht="15.75" customHeight="1">
      <c r="A12" s="27">
        <v>10.0</v>
      </c>
      <c r="B12" s="20" t="s">
        <v>1417</v>
      </c>
      <c r="C12" s="20">
        <v>47.0</v>
      </c>
      <c r="D12" s="20" t="s">
        <v>1418</v>
      </c>
      <c r="E12" s="20" t="s">
        <v>13</v>
      </c>
      <c r="F12" s="20" t="s">
        <v>330</v>
      </c>
      <c r="G12" s="20" t="s">
        <v>1419</v>
      </c>
    </row>
    <row r="13" ht="15.75" customHeight="1">
      <c r="A13" s="27">
        <v>11.0</v>
      </c>
      <c r="B13" s="20" t="s">
        <v>1420</v>
      </c>
      <c r="C13" s="20">
        <v>65.0</v>
      </c>
      <c r="D13" s="20" t="s">
        <v>1421</v>
      </c>
      <c r="E13" s="20" t="s">
        <v>13</v>
      </c>
      <c r="F13" s="20" t="s">
        <v>1399</v>
      </c>
      <c r="G13" s="20" t="s">
        <v>1422</v>
      </c>
    </row>
    <row r="14" ht="15.75" customHeight="1">
      <c r="A14" s="27">
        <v>12.0</v>
      </c>
      <c r="B14" s="20" t="s">
        <v>1423</v>
      </c>
      <c r="C14" s="20">
        <v>77.0</v>
      </c>
      <c r="D14" s="20" t="s">
        <v>1424</v>
      </c>
      <c r="E14" s="20" t="s">
        <v>13</v>
      </c>
      <c r="F14" s="20" t="s">
        <v>1401</v>
      </c>
      <c r="G14" s="20" t="s">
        <v>1399</v>
      </c>
    </row>
    <row r="15" ht="15.75" customHeight="1">
      <c r="A15" s="27">
        <v>13.0</v>
      </c>
      <c r="B15" s="20" t="s">
        <v>1425</v>
      </c>
      <c r="C15" s="20">
        <v>46.0</v>
      </c>
      <c r="D15" s="20" t="s">
        <v>1426</v>
      </c>
      <c r="E15" s="20" t="s">
        <v>13</v>
      </c>
      <c r="F15" s="20" t="s">
        <v>330</v>
      </c>
      <c r="G15" s="20" t="s">
        <v>1399</v>
      </c>
    </row>
    <row r="16" ht="15.75" customHeight="1">
      <c r="A16" s="27">
        <v>14.0</v>
      </c>
      <c r="B16" s="20" t="s">
        <v>1425</v>
      </c>
      <c r="C16" s="20">
        <v>46.0</v>
      </c>
      <c r="D16" s="20" t="s">
        <v>1426</v>
      </c>
      <c r="E16" s="20" t="s">
        <v>13</v>
      </c>
      <c r="F16" s="20" t="s">
        <v>330</v>
      </c>
      <c r="G16" s="20" t="s">
        <v>1399</v>
      </c>
    </row>
    <row r="17" ht="15.75" customHeight="1">
      <c r="A17" s="27">
        <v>15.0</v>
      </c>
      <c r="B17" s="20" t="s">
        <v>1427</v>
      </c>
      <c r="C17" s="20">
        <v>90.0</v>
      </c>
      <c r="D17" s="20" t="s">
        <v>1428</v>
      </c>
      <c r="E17" s="20" t="s">
        <v>13</v>
      </c>
      <c r="F17" s="20" t="s">
        <v>330</v>
      </c>
      <c r="G17" s="20" t="s">
        <v>1416</v>
      </c>
    </row>
    <row r="18" ht="15.75" customHeight="1">
      <c r="A18" s="27">
        <v>16.0</v>
      </c>
      <c r="B18" s="20" t="s">
        <v>1429</v>
      </c>
      <c r="C18" s="20">
        <v>77.0</v>
      </c>
      <c r="D18" s="20" t="s">
        <v>1430</v>
      </c>
      <c r="E18" s="20" t="s">
        <v>13</v>
      </c>
      <c r="F18" s="20" t="s">
        <v>972</v>
      </c>
      <c r="G18" s="20" t="s">
        <v>1399</v>
      </c>
    </row>
    <row r="19" ht="15.75" customHeight="1">
      <c r="A19" s="27">
        <v>17.0</v>
      </c>
      <c r="B19" s="20" t="s">
        <v>1431</v>
      </c>
      <c r="C19" s="20">
        <v>17.0</v>
      </c>
      <c r="D19" s="20" t="s">
        <v>1432</v>
      </c>
      <c r="E19" s="20" t="s">
        <v>13</v>
      </c>
      <c r="F19" s="20" t="s">
        <v>1078</v>
      </c>
      <c r="G19" s="20" t="s">
        <v>1399</v>
      </c>
    </row>
    <row r="20" ht="15.75" customHeight="1">
      <c r="A20" s="27">
        <v>18.0</v>
      </c>
      <c r="B20" s="20" t="s">
        <v>1433</v>
      </c>
      <c r="C20" s="20">
        <v>69.0</v>
      </c>
      <c r="D20" s="20" t="s">
        <v>1434</v>
      </c>
      <c r="E20" s="20" t="s">
        <v>13</v>
      </c>
      <c r="F20" s="20" t="s">
        <v>1401</v>
      </c>
      <c r="G20" s="20" t="s">
        <v>1399</v>
      </c>
    </row>
    <row r="21" ht="15.75" customHeight="1">
      <c r="A21" s="27">
        <v>19.0</v>
      </c>
      <c r="B21" s="20" t="s">
        <v>1435</v>
      </c>
      <c r="C21" s="20">
        <v>41.0</v>
      </c>
      <c r="D21" s="20" t="s">
        <v>1436</v>
      </c>
      <c r="E21" s="20" t="s">
        <v>13</v>
      </c>
      <c r="F21" s="20" t="s">
        <v>330</v>
      </c>
      <c r="G21" s="20" t="s">
        <v>1399</v>
      </c>
    </row>
    <row r="22" ht="15.75" customHeight="1">
      <c r="A22" s="27">
        <v>20.0</v>
      </c>
      <c r="B22" s="20" t="s">
        <v>1437</v>
      </c>
      <c r="C22" s="20">
        <v>42.0</v>
      </c>
      <c r="D22" s="20" t="s">
        <v>1438</v>
      </c>
      <c r="E22" s="20" t="s">
        <v>13</v>
      </c>
      <c r="F22" s="20" t="s">
        <v>1401</v>
      </c>
      <c r="G22" s="20" t="s">
        <v>1399</v>
      </c>
    </row>
    <row r="23" ht="15.75" customHeight="1">
      <c r="A23" s="27">
        <v>21.0</v>
      </c>
      <c r="B23" s="20" t="s">
        <v>1439</v>
      </c>
      <c r="C23" s="20">
        <v>33.0</v>
      </c>
      <c r="D23" s="20" t="s">
        <v>1440</v>
      </c>
      <c r="E23" s="20" t="s">
        <v>13</v>
      </c>
      <c r="F23" s="20" t="s">
        <v>1441</v>
      </c>
      <c r="G23" s="20" t="s">
        <v>1399</v>
      </c>
    </row>
    <row r="24" ht="15.75" customHeight="1">
      <c r="A24" s="27">
        <v>22.0</v>
      </c>
      <c r="B24" s="20" t="s">
        <v>1442</v>
      </c>
      <c r="C24" s="20">
        <v>43.0</v>
      </c>
      <c r="D24" s="20" t="s">
        <v>1443</v>
      </c>
      <c r="E24" s="20" t="s">
        <v>13</v>
      </c>
      <c r="F24" s="20" t="s">
        <v>1401</v>
      </c>
      <c r="G24" s="20" t="s">
        <v>1399</v>
      </c>
    </row>
    <row r="25" ht="15.75" customHeight="1">
      <c r="A25" s="27">
        <v>23.0</v>
      </c>
      <c r="B25" s="20" t="s">
        <v>1444</v>
      </c>
      <c r="C25" s="20">
        <v>66.0</v>
      </c>
      <c r="D25" s="20">
        <v>567.005</v>
      </c>
      <c r="E25" s="20" t="s">
        <v>13</v>
      </c>
      <c r="F25" s="20" t="s">
        <v>330</v>
      </c>
      <c r="G25" s="20" t="s">
        <v>1399</v>
      </c>
    </row>
    <row r="26" ht="15.75" customHeight="1">
      <c r="A26" s="27">
        <v>24.0</v>
      </c>
      <c r="B26" s="20" t="s">
        <v>1445</v>
      </c>
      <c r="C26" s="20">
        <v>66.0</v>
      </c>
      <c r="D26" s="20" t="s">
        <v>1446</v>
      </c>
      <c r="E26" s="20" t="s">
        <v>13</v>
      </c>
      <c r="F26" s="20" t="s">
        <v>1401</v>
      </c>
      <c r="G26" s="20" t="s">
        <v>1399</v>
      </c>
    </row>
    <row r="27" ht="15.75" customHeight="1">
      <c r="A27" s="27">
        <v>25.0</v>
      </c>
      <c r="B27" s="20" t="s">
        <v>1447</v>
      </c>
      <c r="C27" s="20">
        <v>66.0</v>
      </c>
      <c r="D27" s="20" t="s">
        <v>1448</v>
      </c>
      <c r="E27" s="20" t="s">
        <v>13</v>
      </c>
      <c r="F27" s="20" t="s">
        <v>1401</v>
      </c>
      <c r="G27" s="20" t="s">
        <v>1399</v>
      </c>
    </row>
    <row r="28" ht="15.75" customHeight="1">
      <c r="A28" s="27">
        <v>26.0</v>
      </c>
      <c r="B28" s="20" t="s">
        <v>1449</v>
      </c>
      <c r="C28" s="20">
        <v>19.0</v>
      </c>
      <c r="D28" s="20" t="s">
        <v>1450</v>
      </c>
      <c r="E28" s="20" t="s">
        <v>13</v>
      </c>
      <c r="F28" s="20" t="s">
        <v>1401</v>
      </c>
      <c r="G28" s="20" t="s">
        <v>1399</v>
      </c>
    </row>
    <row r="29" ht="15.75" customHeight="1">
      <c r="A29" s="27">
        <v>27.0</v>
      </c>
      <c r="B29" s="20" t="s">
        <v>1451</v>
      </c>
      <c r="C29" s="20">
        <v>30.0</v>
      </c>
      <c r="D29" s="20" t="s">
        <v>13</v>
      </c>
      <c r="E29" s="20" t="s">
        <v>13</v>
      </c>
      <c r="F29" s="20" t="s">
        <v>330</v>
      </c>
      <c r="G29" s="20" t="s">
        <v>1399</v>
      </c>
    </row>
    <row r="30" ht="15.75" customHeight="1">
      <c r="A30" s="27">
        <v>28.0</v>
      </c>
      <c r="B30" s="20" t="s">
        <v>1452</v>
      </c>
      <c r="C30" s="20">
        <v>50.0</v>
      </c>
      <c r="D30" s="20" t="s">
        <v>1453</v>
      </c>
      <c r="E30" s="20" t="s">
        <v>13</v>
      </c>
      <c r="F30" s="20" t="s">
        <v>1454</v>
      </c>
      <c r="G30" s="20" t="s">
        <v>1399</v>
      </c>
    </row>
    <row r="31" ht="15.75" customHeight="1">
      <c r="A31" s="27">
        <v>29.0</v>
      </c>
      <c r="B31" s="20" t="s">
        <v>1455</v>
      </c>
      <c r="C31" s="20">
        <v>50.0</v>
      </c>
      <c r="D31" s="20" t="s">
        <v>1456</v>
      </c>
      <c r="E31" s="20" t="s">
        <v>13</v>
      </c>
      <c r="F31" s="20" t="s">
        <v>972</v>
      </c>
      <c r="G31" s="20" t="s">
        <v>1399</v>
      </c>
    </row>
    <row r="32" ht="15.75" customHeight="1">
      <c r="A32" s="27">
        <v>30.0</v>
      </c>
      <c r="B32" s="20" t="s">
        <v>1457</v>
      </c>
      <c r="C32" s="20">
        <v>92.0</v>
      </c>
      <c r="D32" s="20" t="s">
        <v>1458</v>
      </c>
      <c r="E32" s="20" t="s">
        <v>13</v>
      </c>
      <c r="F32" s="20" t="s">
        <v>1459</v>
      </c>
      <c r="G32" s="20" t="s">
        <v>1399</v>
      </c>
    </row>
    <row r="33" ht="15.75" customHeight="1">
      <c r="A33" s="27">
        <v>31.0</v>
      </c>
      <c r="B33" s="20" t="s">
        <v>1460</v>
      </c>
      <c r="C33" s="20">
        <v>17.0</v>
      </c>
      <c r="D33" s="20" t="s">
        <v>1461</v>
      </c>
      <c r="E33" s="20" t="s">
        <v>13</v>
      </c>
      <c r="F33" s="20" t="s">
        <v>1401</v>
      </c>
      <c r="G33" s="20" t="s">
        <v>1462</v>
      </c>
    </row>
    <row r="34" ht="15.75" customHeight="1">
      <c r="A34" s="27">
        <v>32.0</v>
      </c>
      <c r="B34" s="20" t="s">
        <v>1463</v>
      </c>
      <c r="C34" s="20">
        <v>68.0</v>
      </c>
      <c r="D34" s="20" t="s">
        <v>1464</v>
      </c>
      <c r="E34" s="20" t="s">
        <v>13</v>
      </c>
      <c r="F34" s="20" t="s">
        <v>1465</v>
      </c>
      <c r="G34" s="20" t="s">
        <v>1399</v>
      </c>
    </row>
    <row r="35" ht="15.75" customHeight="1">
      <c r="A35" s="27">
        <v>33.0</v>
      </c>
      <c r="B35" s="20" t="s">
        <v>1466</v>
      </c>
      <c r="C35" s="20">
        <v>59.0</v>
      </c>
      <c r="D35" s="20" t="s">
        <v>1467</v>
      </c>
      <c r="E35" s="20" t="s">
        <v>13</v>
      </c>
      <c r="F35" s="20" t="s">
        <v>1468</v>
      </c>
      <c r="G35" s="20" t="s">
        <v>1399</v>
      </c>
    </row>
    <row r="36" ht="15.75" customHeight="1">
      <c r="A36" s="27">
        <v>34.0</v>
      </c>
      <c r="B36" s="20" t="s">
        <v>1469</v>
      </c>
      <c r="C36" s="20">
        <v>33.0</v>
      </c>
      <c r="D36" s="20" t="s">
        <v>1470</v>
      </c>
      <c r="E36" s="20" t="s">
        <v>13</v>
      </c>
      <c r="F36" s="20" t="s">
        <v>330</v>
      </c>
      <c r="G36" s="20" t="s">
        <v>1399</v>
      </c>
    </row>
    <row r="37" ht="15.75" customHeight="1">
      <c r="A37" s="27">
        <v>35.0</v>
      </c>
      <c r="B37" s="20" t="s">
        <v>1471</v>
      </c>
      <c r="C37" s="20">
        <v>19.0</v>
      </c>
      <c r="D37" s="20" t="s">
        <v>1472</v>
      </c>
      <c r="E37" s="20" t="s">
        <v>13</v>
      </c>
      <c r="F37" s="20" t="s">
        <v>330</v>
      </c>
      <c r="G37" s="20" t="s">
        <v>1399</v>
      </c>
    </row>
    <row r="38" ht="15.75" customHeight="1">
      <c r="A38" s="27">
        <v>36.0</v>
      </c>
      <c r="B38" s="20" t="s">
        <v>1473</v>
      </c>
      <c r="C38" s="20">
        <v>57.0</v>
      </c>
      <c r="D38" s="20" t="s">
        <v>1474</v>
      </c>
      <c r="E38" s="20" t="s">
        <v>13</v>
      </c>
      <c r="F38" s="20" t="s">
        <v>1415</v>
      </c>
      <c r="G38" s="20" t="s">
        <v>1399</v>
      </c>
    </row>
    <row r="39" ht="15.75" customHeight="1">
      <c r="A39" s="27">
        <v>37.0</v>
      </c>
      <c r="B39" s="20" t="s">
        <v>1475</v>
      </c>
      <c r="C39" s="20">
        <v>28.0</v>
      </c>
      <c r="D39" s="20" t="s">
        <v>1476</v>
      </c>
      <c r="E39" s="20" t="s">
        <v>13</v>
      </c>
      <c r="F39" s="20" t="s">
        <v>993</v>
      </c>
      <c r="G39" s="20" t="s">
        <v>1477</v>
      </c>
    </row>
    <row r="40" ht="15.75" customHeight="1">
      <c r="A40" s="27">
        <v>38.0</v>
      </c>
      <c r="B40" s="20" t="s">
        <v>1478</v>
      </c>
      <c r="C40" s="20">
        <v>42.0</v>
      </c>
      <c r="D40" s="20" t="s">
        <v>1479</v>
      </c>
      <c r="E40" s="20" t="s">
        <v>13</v>
      </c>
      <c r="F40" s="20" t="s">
        <v>330</v>
      </c>
      <c r="G40" s="20" t="s">
        <v>1399</v>
      </c>
    </row>
    <row r="41" ht="15.75" customHeight="1">
      <c r="A41" s="27">
        <v>39.0</v>
      </c>
      <c r="B41" s="20" t="s">
        <v>1480</v>
      </c>
      <c r="C41" s="20">
        <v>66.0</v>
      </c>
      <c r="D41" s="20">
        <v>647.035</v>
      </c>
      <c r="E41" s="20" t="s">
        <v>13</v>
      </c>
      <c r="F41" s="20" t="s">
        <v>1398</v>
      </c>
      <c r="G41" s="20" t="s">
        <v>1399</v>
      </c>
    </row>
    <row r="42" ht="15.75" customHeight="1">
      <c r="A42" s="27">
        <v>40.0</v>
      </c>
      <c r="B42" s="20" t="s">
        <v>1481</v>
      </c>
      <c r="C42" s="20">
        <v>37.0</v>
      </c>
      <c r="D42" s="20" t="s">
        <v>1482</v>
      </c>
      <c r="E42" s="20" t="s">
        <v>13</v>
      </c>
      <c r="F42" s="20" t="s">
        <v>330</v>
      </c>
      <c r="G42" s="20" t="s">
        <v>1399</v>
      </c>
    </row>
    <row r="43" ht="15.75" customHeight="1">
      <c r="A43" s="27">
        <v>41.0</v>
      </c>
      <c r="B43" s="20" t="s">
        <v>1483</v>
      </c>
      <c r="C43" s="20">
        <v>20.0</v>
      </c>
      <c r="D43" s="20" t="s">
        <v>1484</v>
      </c>
      <c r="E43" s="20" t="s">
        <v>13</v>
      </c>
      <c r="F43" s="20" t="s">
        <v>1485</v>
      </c>
      <c r="G43" s="20" t="s">
        <v>1399</v>
      </c>
    </row>
    <row r="44" ht="15.75" customHeight="1">
      <c r="A44" s="27">
        <v>42.0</v>
      </c>
      <c r="B44" s="20" t="s">
        <v>1486</v>
      </c>
      <c r="C44" s="20">
        <v>24.0</v>
      </c>
      <c r="D44" s="20" t="s">
        <v>1487</v>
      </c>
      <c r="E44" s="20" t="s">
        <v>13</v>
      </c>
      <c r="F44" s="20" t="s">
        <v>330</v>
      </c>
      <c r="G44" s="20" t="s">
        <v>1399</v>
      </c>
    </row>
    <row r="45" ht="15.75" customHeight="1">
      <c r="A45" s="27">
        <v>43.0</v>
      </c>
      <c r="B45" s="20" t="s">
        <v>1488</v>
      </c>
      <c r="C45" s="20">
        <v>34.0</v>
      </c>
      <c r="D45" s="20" t="s">
        <v>1489</v>
      </c>
      <c r="E45" s="20" t="s">
        <v>13</v>
      </c>
      <c r="F45" s="20" t="s">
        <v>330</v>
      </c>
      <c r="G45" s="20" t="s">
        <v>1399</v>
      </c>
    </row>
    <row r="46" ht="15.75" customHeight="1">
      <c r="A46" s="27">
        <v>44.0</v>
      </c>
      <c r="B46" s="20" t="s">
        <v>1490</v>
      </c>
      <c r="C46" s="20">
        <v>59.0</v>
      </c>
      <c r="D46" s="20" t="s">
        <v>1491</v>
      </c>
      <c r="E46" s="20" t="s">
        <v>13</v>
      </c>
      <c r="F46" s="20" t="s">
        <v>330</v>
      </c>
      <c r="G46" s="20" t="s">
        <v>1399</v>
      </c>
    </row>
    <row r="47" ht="15.75" customHeight="1">
      <c r="A47" s="27">
        <v>45.0</v>
      </c>
      <c r="B47" s="20" t="s">
        <v>1492</v>
      </c>
      <c r="C47" s="20">
        <v>52.0</v>
      </c>
      <c r="D47" s="20" t="s">
        <v>1493</v>
      </c>
      <c r="E47" s="20" t="s">
        <v>13</v>
      </c>
      <c r="F47" s="20" t="s">
        <v>330</v>
      </c>
      <c r="G47" s="20" t="s">
        <v>1399</v>
      </c>
    </row>
    <row r="48" ht="15.75" customHeight="1">
      <c r="A48" s="27">
        <v>46.0</v>
      </c>
      <c r="B48" s="20" t="s">
        <v>1494</v>
      </c>
      <c r="C48" s="20">
        <v>30.0</v>
      </c>
      <c r="D48" s="20" t="s">
        <v>1495</v>
      </c>
      <c r="E48" s="20" t="s">
        <v>13</v>
      </c>
      <c r="F48" s="20" t="s">
        <v>330</v>
      </c>
      <c r="G48" s="20" t="s">
        <v>1399</v>
      </c>
    </row>
    <row r="49" ht="15.75" customHeight="1">
      <c r="A49" s="27">
        <v>47.0</v>
      </c>
      <c r="B49" s="20" t="s">
        <v>1496</v>
      </c>
      <c r="C49" s="20">
        <v>47.0</v>
      </c>
      <c r="D49" s="20" t="s">
        <v>1497</v>
      </c>
      <c r="E49" s="20" t="s">
        <v>13</v>
      </c>
      <c r="F49" s="20" t="s">
        <v>330</v>
      </c>
      <c r="G49" s="20" t="s">
        <v>1399</v>
      </c>
    </row>
    <row r="50" ht="15.75" customHeight="1">
      <c r="A50" s="27">
        <v>48.0</v>
      </c>
      <c r="B50" s="20" t="s">
        <v>1498</v>
      </c>
      <c r="C50" s="20">
        <v>20.0</v>
      </c>
      <c r="D50" s="20" t="s">
        <v>13</v>
      </c>
      <c r="E50" s="20" t="s">
        <v>13</v>
      </c>
      <c r="F50" s="20" t="s">
        <v>1499</v>
      </c>
      <c r="G50" s="20" t="s">
        <v>1399</v>
      </c>
    </row>
    <row r="51" ht="15.75" customHeight="1">
      <c r="A51" s="27">
        <v>49.0</v>
      </c>
      <c r="B51" s="20" t="s">
        <v>1500</v>
      </c>
      <c r="C51" s="20">
        <v>20.0</v>
      </c>
      <c r="D51" s="20" t="s">
        <v>1484</v>
      </c>
      <c r="E51" s="20" t="s">
        <v>13</v>
      </c>
      <c r="F51" s="20" t="s">
        <v>1485</v>
      </c>
      <c r="G51" s="20" t="s">
        <v>1416</v>
      </c>
    </row>
    <row r="52" ht="15.75" customHeight="1">
      <c r="A52" s="27">
        <v>50.0</v>
      </c>
      <c r="B52" s="20" t="s">
        <v>1501</v>
      </c>
      <c r="C52" s="20">
        <v>56.0</v>
      </c>
      <c r="D52" s="20" t="s">
        <v>1502</v>
      </c>
      <c r="E52" s="20" t="s">
        <v>13</v>
      </c>
      <c r="F52" s="20" t="s">
        <v>1503</v>
      </c>
      <c r="G52" s="20" t="s">
        <v>1399</v>
      </c>
    </row>
    <row r="53" ht="15.75" customHeight="1">
      <c r="A53" s="27">
        <v>51.0</v>
      </c>
      <c r="B53" s="20" t="s">
        <v>1501</v>
      </c>
      <c r="C53" s="20">
        <v>56.0</v>
      </c>
      <c r="D53" s="20" t="s">
        <v>13</v>
      </c>
      <c r="E53" s="20" t="s">
        <v>13</v>
      </c>
      <c r="F53" s="20" t="s">
        <v>13</v>
      </c>
      <c r="G53" s="20" t="s">
        <v>1399</v>
      </c>
    </row>
    <row r="54" ht="15.75" customHeight="1">
      <c r="A54" s="27">
        <v>52.0</v>
      </c>
      <c r="B54" s="20" t="s">
        <v>1504</v>
      </c>
      <c r="C54" s="20">
        <v>55.0</v>
      </c>
      <c r="D54" s="20" t="s">
        <v>1505</v>
      </c>
      <c r="E54" s="20" t="s">
        <v>13</v>
      </c>
      <c r="F54" s="20" t="s">
        <v>330</v>
      </c>
      <c r="G54" s="20" t="s">
        <v>1399</v>
      </c>
    </row>
    <row r="55" ht="15.75" customHeight="1">
      <c r="A55" s="27">
        <v>53.0</v>
      </c>
      <c r="B55" s="20" t="s">
        <v>1506</v>
      </c>
      <c r="C55" s="20">
        <v>58.0</v>
      </c>
      <c r="D55" s="20" t="s">
        <v>1507</v>
      </c>
      <c r="E55" s="20" t="s">
        <v>13</v>
      </c>
      <c r="F55" s="20" t="s">
        <v>330</v>
      </c>
      <c r="G55" s="20" t="s">
        <v>1399</v>
      </c>
    </row>
    <row r="56" ht="15.75" customHeight="1">
      <c r="A56" s="27">
        <v>54.0</v>
      </c>
      <c r="B56" s="20" t="s">
        <v>1508</v>
      </c>
      <c r="C56" s="20">
        <v>66.0</v>
      </c>
      <c r="D56" s="20" t="s">
        <v>1509</v>
      </c>
      <c r="E56" s="20" t="s">
        <v>13</v>
      </c>
      <c r="F56" s="20" t="s">
        <v>1401</v>
      </c>
      <c r="G56" s="20" t="s">
        <v>1399</v>
      </c>
    </row>
    <row r="57" ht="15.75" customHeight="1">
      <c r="A57" s="27">
        <v>55.0</v>
      </c>
      <c r="B57" s="20" t="s">
        <v>1510</v>
      </c>
      <c r="C57" s="20">
        <v>74.0</v>
      </c>
      <c r="D57" s="20" t="s">
        <v>1511</v>
      </c>
      <c r="E57" s="20" t="s">
        <v>13</v>
      </c>
      <c r="F57" s="20" t="s">
        <v>330</v>
      </c>
      <c r="G57" s="20" t="s">
        <v>1399</v>
      </c>
    </row>
    <row r="58" ht="15.75" customHeight="1">
      <c r="A58" s="27">
        <v>56.0</v>
      </c>
      <c r="B58" s="20" t="s">
        <v>1512</v>
      </c>
      <c r="C58" s="20">
        <v>20.0</v>
      </c>
      <c r="D58" s="20" t="s">
        <v>1513</v>
      </c>
      <c r="E58" s="20" t="s">
        <v>13</v>
      </c>
      <c r="F58" s="20" t="s">
        <v>1514</v>
      </c>
      <c r="G58" s="20" t="s">
        <v>1399</v>
      </c>
    </row>
    <row r="59" ht="15.75" customHeight="1">
      <c r="A59" s="27">
        <v>57.0</v>
      </c>
      <c r="B59" s="20" t="s">
        <v>1515</v>
      </c>
      <c r="C59" s="20">
        <v>16.0</v>
      </c>
      <c r="D59" s="20" t="s">
        <v>1516</v>
      </c>
      <c r="E59" s="20" t="s">
        <v>13</v>
      </c>
      <c r="F59" s="20" t="s">
        <v>330</v>
      </c>
      <c r="G59" s="20" t="s">
        <v>1399</v>
      </c>
    </row>
    <row r="60" ht="15.75" customHeight="1">
      <c r="A60" s="27">
        <v>58.0</v>
      </c>
      <c r="B60" s="20" t="s">
        <v>1517</v>
      </c>
      <c r="C60" s="20">
        <v>35.0</v>
      </c>
      <c r="D60" s="20" t="s">
        <v>1518</v>
      </c>
      <c r="E60" s="20" t="s">
        <v>13</v>
      </c>
      <c r="F60" s="20" t="s">
        <v>330</v>
      </c>
      <c r="G60" s="20" t="s">
        <v>1519</v>
      </c>
    </row>
    <row r="61" ht="15.75" customHeight="1">
      <c r="A61" s="27">
        <v>59.0</v>
      </c>
      <c r="B61" s="20" t="s">
        <v>1520</v>
      </c>
      <c r="C61" s="20">
        <v>55.0</v>
      </c>
      <c r="D61" s="20" t="s">
        <v>1521</v>
      </c>
      <c r="E61" s="20" t="s">
        <v>13</v>
      </c>
      <c r="F61" s="20" t="s">
        <v>330</v>
      </c>
      <c r="G61" s="20" t="s">
        <v>1399</v>
      </c>
    </row>
    <row r="62" ht="15.75" customHeight="1">
      <c r="A62" s="27">
        <v>60.0</v>
      </c>
      <c r="B62" s="20" t="s">
        <v>1522</v>
      </c>
      <c r="C62" s="20">
        <v>42.0</v>
      </c>
      <c r="D62" s="20" t="s">
        <v>1523</v>
      </c>
      <c r="E62" s="20" t="s">
        <v>13</v>
      </c>
      <c r="F62" s="20" t="s">
        <v>330</v>
      </c>
      <c r="G62" s="20" t="s">
        <v>1399</v>
      </c>
    </row>
    <row r="63" ht="15.75" customHeight="1">
      <c r="A63" s="27">
        <v>61.0</v>
      </c>
      <c r="B63" s="20" t="s">
        <v>1522</v>
      </c>
      <c r="C63" s="20">
        <v>42.0</v>
      </c>
      <c r="D63" s="20" t="s">
        <v>1523</v>
      </c>
      <c r="E63" s="20" t="s">
        <v>13</v>
      </c>
      <c r="F63" s="20" t="s">
        <v>330</v>
      </c>
      <c r="G63" s="20" t="s">
        <v>1399</v>
      </c>
    </row>
    <row r="64" ht="15.75" customHeight="1">
      <c r="A64" s="27">
        <v>62.0</v>
      </c>
      <c r="B64" s="20" t="s">
        <v>1524</v>
      </c>
      <c r="C64" s="20">
        <v>48.0</v>
      </c>
      <c r="D64" s="20" t="s">
        <v>1525</v>
      </c>
      <c r="E64" s="20" t="s">
        <v>13</v>
      </c>
      <c r="F64" s="20" t="s">
        <v>1526</v>
      </c>
      <c r="G64" s="20" t="s">
        <v>1416</v>
      </c>
    </row>
    <row r="65" ht="15.75" customHeight="1">
      <c r="A65" s="27">
        <v>63.0</v>
      </c>
      <c r="B65" s="20" t="s">
        <v>1527</v>
      </c>
      <c r="C65" s="20">
        <v>27.0</v>
      </c>
      <c r="D65" s="20" t="s">
        <v>1528</v>
      </c>
      <c r="E65" s="20" t="s">
        <v>13</v>
      </c>
      <c r="F65" s="20" t="s">
        <v>330</v>
      </c>
      <c r="G65" s="20" t="s">
        <v>1399</v>
      </c>
    </row>
    <row r="66" ht="15.75" customHeight="1">
      <c r="A66" s="27">
        <v>64.0</v>
      </c>
      <c r="B66" s="20" t="s">
        <v>1529</v>
      </c>
      <c r="C66" s="20">
        <v>37.0</v>
      </c>
      <c r="D66" s="20" t="s">
        <v>1530</v>
      </c>
      <c r="E66" s="20" t="s">
        <v>13</v>
      </c>
      <c r="F66" s="20" t="s">
        <v>330</v>
      </c>
      <c r="G66" s="20" t="s">
        <v>1531</v>
      </c>
    </row>
    <row r="67" ht="15.75" customHeight="1">
      <c r="A67" s="27">
        <v>65.0</v>
      </c>
      <c r="B67" s="20" t="s">
        <v>1532</v>
      </c>
      <c r="C67" s="20">
        <v>23.0</v>
      </c>
      <c r="D67" s="20" t="s">
        <v>1533</v>
      </c>
      <c r="E67" s="20" t="s">
        <v>13</v>
      </c>
      <c r="F67" s="20" t="s">
        <v>330</v>
      </c>
      <c r="G67" s="20" t="s">
        <v>1534</v>
      </c>
    </row>
    <row r="68" ht="15.75" customHeight="1">
      <c r="A68" s="27">
        <v>66.0</v>
      </c>
      <c r="B68" s="20" t="s">
        <v>1535</v>
      </c>
      <c r="C68" s="20">
        <v>25.0</v>
      </c>
      <c r="D68" s="20" t="s">
        <v>1536</v>
      </c>
      <c r="E68" s="20" t="s">
        <v>13</v>
      </c>
      <c r="F68" s="20" t="s">
        <v>1468</v>
      </c>
      <c r="G68" s="20" t="s">
        <v>1399</v>
      </c>
    </row>
    <row r="69" ht="15.75" customHeight="1">
      <c r="A69" s="27">
        <v>67.0</v>
      </c>
      <c r="B69" s="20" t="s">
        <v>1537</v>
      </c>
      <c r="C69" s="20">
        <v>28.0</v>
      </c>
      <c r="D69" s="20" t="s">
        <v>1538</v>
      </c>
      <c r="E69" s="20" t="s">
        <v>13</v>
      </c>
      <c r="F69" s="20" t="s">
        <v>972</v>
      </c>
      <c r="G69" s="20" t="s">
        <v>1399</v>
      </c>
    </row>
    <row r="70" ht="15.75" customHeight="1">
      <c r="A70" s="27">
        <v>68.0</v>
      </c>
      <c r="B70" s="20" t="s">
        <v>1539</v>
      </c>
      <c r="C70" s="20">
        <v>58.0</v>
      </c>
      <c r="D70" s="20" t="s">
        <v>1540</v>
      </c>
      <c r="E70" s="20" t="s">
        <v>13</v>
      </c>
      <c r="F70" s="20" t="s">
        <v>330</v>
      </c>
      <c r="G70" s="20" t="s">
        <v>1399</v>
      </c>
    </row>
    <row r="71" ht="15.75" customHeight="1">
      <c r="A71" s="27">
        <v>69.0</v>
      </c>
      <c r="B71" s="20" t="s">
        <v>1539</v>
      </c>
      <c r="C71" s="20">
        <v>53.0</v>
      </c>
      <c r="D71" s="20" t="s">
        <v>1541</v>
      </c>
      <c r="E71" s="20" t="s">
        <v>13</v>
      </c>
      <c r="F71" s="20" t="s">
        <v>330</v>
      </c>
      <c r="G71" s="20" t="s">
        <v>1399</v>
      </c>
    </row>
    <row r="72" ht="15.75" customHeight="1">
      <c r="A72" s="27">
        <v>70.0</v>
      </c>
      <c r="B72" s="20" t="s">
        <v>1542</v>
      </c>
      <c r="C72" s="20">
        <v>37.0</v>
      </c>
      <c r="D72" s="20" t="s">
        <v>1543</v>
      </c>
      <c r="E72" s="20" t="s">
        <v>13</v>
      </c>
      <c r="F72" s="20" t="s">
        <v>330</v>
      </c>
      <c r="G72" s="20" t="s">
        <v>1399</v>
      </c>
    </row>
    <row r="73" ht="15.75" customHeight="1">
      <c r="A73" s="27">
        <v>71.0</v>
      </c>
      <c r="B73" s="20" t="s">
        <v>1544</v>
      </c>
      <c r="C73" s="20">
        <v>45.0</v>
      </c>
      <c r="D73" s="20" t="s">
        <v>1545</v>
      </c>
      <c r="E73" s="20" t="s">
        <v>13</v>
      </c>
      <c r="F73" s="20" t="s">
        <v>1546</v>
      </c>
      <c r="G73" s="20" t="s">
        <v>1547</v>
      </c>
    </row>
    <row r="74" ht="15.75" customHeight="1">
      <c r="A74" s="27">
        <v>72.0</v>
      </c>
      <c r="B74" s="20" t="s">
        <v>1548</v>
      </c>
      <c r="C74" s="20">
        <v>58.0</v>
      </c>
      <c r="D74" s="20" t="s">
        <v>1549</v>
      </c>
      <c r="E74" s="20" t="s">
        <v>13</v>
      </c>
      <c r="F74" s="20" t="s">
        <v>1550</v>
      </c>
      <c r="G74" s="20" t="s">
        <v>1399</v>
      </c>
    </row>
    <row r="75" ht="15.75" customHeight="1">
      <c r="A75" s="27">
        <v>73.0</v>
      </c>
      <c r="B75" s="20" t="s">
        <v>1551</v>
      </c>
      <c r="C75" s="20">
        <v>45.0</v>
      </c>
      <c r="D75" s="20" t="s">
        <v>1552</v>
      </c>
      <c r="E75" s="20" t="s">
        <v>13</v>
      </c>
      <c r="F75" s="20" t="s">
        <v>1401</v>
      </c>
      <c r="G75" s="20" t="s">
        <v>1399</v>
      </c>
    </row>
    <row r="76" ht="15.75" customHeight="1">
      <c r="A76" s="27">
        <v>74.0</v>
      </c>
      <c r="B76" s="20" t="s">
        <v>1553</v>
      </c>
      <c r="C76" s="20">
        <v>30.0</v>
      </c>
      <c r="D76" s="20" t="s">
        <v>1554</v>
      </c>
      <c r="E76" s="20" t="s">
        <v>13</v>
      </c>
      <c r="F76" s="20" t="s">
        <v>1555</v>
      </c>
      <c r="G76" s="20" t="s">
        <v>1556</v>
      </c>
    </row>
    <row r="77" ht="15.75" customHeight="1">
      <c r="A77" s="27">
        <v>75.0</v>
      </c>
      <c r="B77" s="20" t="s">
        <v>1557</v>
      </c>
      <c r="C77" s="20">
        <v>37.0</v>
      </c>
      <c r="D77" s="20" t="s">
        <v>1558</v>
      </c>
      <c r="E77" s="20" t="s">
        <v>13</v>
      </c>
      <c r="F77" s="20" t="s">
        <v>330</v>
      </c>
      <c r="G77" s="20" t="s">
        <v>1399</v>
      </c>
    </row>
    <row r="78" ht="15.75" customHeight="1">
      <c r="A78" s="27">
        <v>76.0</v>
      </c>
      <c r="B78" s="20" t="s">
        <v>1559</v>
      </c>
      <c r="C78" s="20">
        <v>59.0</v>
      </c>
      <c r="D78" s="20" t="s">
        <v>1560</v>
      </c>
      <c r="E78" s="20" t="s">
        <v>13</v>
      </c>
      <c r="F78" s="20" t="s">
        <v>1561</v>
      </c>
      <c r="G78" s="20" t="s">
        <v>1562</v>
      </c>
    </row>
    <row r="79" ht="15.75" customHeight="1">
      <c r="A79" s="27">
        <v>77.0</v>
      </c>
      <c r="B79" s="20" t="s">
        <v>1563</v>
      </c>
      <c r="C79" s="20">
        <v>49.0</v>
      </c>
      <c r="D79" s="20" t="s">
        <v>1564</v>
      </c>
      <c r="E79" s="20" t="s">
        <v>13</v>
      </c>
      <c r="F79" s="20" t="s">
        <v>1468</v>
      </c>
      <c r="G79" s="20" t="s">
        <v>1399</v>
      </c>
    </row>
    <row r="80" ht="15.75" customHeight="1">
      <c r="A80" s="27">
        <v>78.0</v>
      </c>
      <c r="B80" s="20" t="s">
        <v>1565</v>
      </c>
      <c r="C80" s="20">
        <v>49.0</v>
      </c>
      <c r="D80" s="20" t="s">
        <v>1566</v>
      </c>
      <c r="E80" s="20" t="s">
        <v>13</v>
      </c>
      <c r="F80" s="20" t="s">
        <v>330</v>
      </c>
      <c r="G80" s="20" t="s">
        <v>1399</v>
      </c>
    </row>
    <row r="81" ht="15.75" customHeight="1">
      <c r="A81" s="27">
        <v>79.0</v>
      </c>
      <c r="B81" s="20" t="s">
        <v>1565</v>
      </c>
      <c r="C81" s="20">
        <v>49.0</v>
      </c>
      <c r="D81" s="20" t="s">
        <v>1567</v>
      </c>
      <c r="E81" s="20" t="s">
        <v>13</v>
      </c>
      <c r="F81" s="20" t="s">
        <v>1568</v>
      </c>
      <c r="G81" s="20" t="s">
        <v>1569</v>
      </c>
    </row>
    <row r="82" ht="15.75" customHeight="1">
      <c r="A82" s="27">
        <v>80.0</v>
      </c>
      <c r="B82" s="20" t="s">
        <v>1570</v>
      </c>
      <c r="C82" s="20">
        <v>48.0</v>
      </c>
      <c r="D82" s="20" t="s">
        <v>1571</v>
      </c>
      <c r="E82" s="20" t="s">
        <v>13</v>
      </c>
      <c r="F82" s="20" t="s">
        <v>13</v>
      </c>
      <c r="G82" s="20" t="s">
        <v>1399</v>
      </c>
    </row>
    <row r="83" ht="15.75" customHeight="1">
      <c r="A83" s="27">
        <v>81.0</v>
      </c>
      <c r="B83" s="20" t="s">
        <v>1572</v>
      </c>
      <c r="C83" s="20">
        <v>16.0</v>
      </c>
      <c r="D83" s="20" t="s">
        <v>1573</v>
      </c>
      <c r="E83" s="20" t="s">
        <v>13</v>
      </c>
      <c r="F83" s="20" t="s">
        <v>330</v>
      </c>
      <c r="G83" s="20" t="s">
        <v>1399</v>
      </c>
    </row>
    <row r="84" ht="15.75" customHeight="1">
      <c r="A84" s="27">
        <v>82.0</v>
      </c>
      <c r="B84" s="20" t="s">
        <v>1574</v>
      </c>
      <c r="C84" s="20">
        <v>57.0</v>
      </c>
      <c r="D84" s="20" t="s">
        <v>1575</v>
      </c>
      <c r="E84" s="20" t="s">
        <v>13</v>
      </c>
      <c r="F84" s="20" t="s">
        <v>330</v>
      </c>
      <c r="G84" s="20" t="s">
        <v>1399</v>
      </c>
    </row>
    <row r="85" ht="15.75" customHeight="1">
      <c r="A85" s="27">
        <v>83.0</v>
      </c>
      <c r="B85" s="20" t="s">
        <v>1576</v>
      </c>
      <c r="C85" s="20">
        <v>33.0</v>
      </c>
      <c r="D85" s="20" t="s">
        <v>1577</v>
      </c>
      <c r="E85" s="20" t="s">
        <v>13</v>
      </c>
      <c r="F85" s="20" t="s">
        <v>972</v>
      </c>
      <c r="G85" s="20" t="s">
        <v>1399</v>
      </c>
    </row>
    <row r="86" ht="15.75" customHeight="1">
      <c r="A86" s="27">
        <v>84.0</v>
      </c>
      <c r="B86" s="20" t="s">
        <v>1578</v>
      </c>
      <c r="C86" s="20">
        <v>19.0</v>
      </c>
      <c r="D86" s="20" t="s">
        <v>1579</v>
      </c>
      <c r="E86" s="20" t="s">
        <v>13</v>
      </c>
      <c r="F86" s="20" t="s">
        <v>1580</v>
      </c>
      <c r="G86" s="20" t="s">
        <v>1581</v>
      </c>
    </row>
    <row r="87" ht="15.75" customHeight="1">
      <c r="A87" s="27">
        <v>85.0</v>
      </c>
      <c r="B87" s="20" t="s">
        <v>1582</v>
      </c>
      <c r="C87" s="20">
        <v>35.0</v>
      </c>
      <c r="D87" s="20" t="s">
        <v>1583</v>
      </c>
      <c r="E87" s="20" t="s">
        <v>13</v>
      </c>
      <c r="F87" s="20" t="s">
        <v>1499</v>
      </c>
      <c r="G87" s="20" t="s">
        <v>1584</v>
      </c>
    </row>
    <row r="88" ht="15.75" customHeight="1">
      <c r="A88" s="27">
        <v>86.0</v>
      </c>
      <c r="B88" s="20" t="s">
        <v>1585</v>
      </c>
      <c r="C88" s="20">
        <v>20.0</v>
      </c>
      <c r="D88" s="20" t="s">
        <v>1586</v>
      </c>
      <c r="E88" s="20" t="s">
        <v>13</v>
      </c>
      <c r="F88" s="20" t="s">
        <v>330</v>
      </c>
      <c r="G88" s="20" t="s">
        <v>1399</v>
      </c>
    </row>
    <row r="89" ht="15.75" customHeight="1">
      <c r="A89" s="27">
        <v>87.0</v>
      </c>
      <c r="B89" s="20" t="s">
        <v>1587</v>
      </c>
      <c r="C89" s="20">
        <v>68.0</v>
      </c>
      <c r="D89" s="20" t="s">
        <v>1588</v>
      </c>
      <c r="E89" s="20" t="s">
        <v>13</v>
      </c>
      <c r="F89" s="20" t="s">
        <v>1468</v>
      </c>
      <c r="G89" s="20" t="s">
        <v>1399</v>
      </c>
    </row>
    <row r="90" ht="15.75" customHeight="1">
      <c r="A90" s="27">
        <v>88.0</v>
      </c>
      <c r="B90" s="20" t="s">
        <v>1589</v>
      </c>
      <c r="C90" s="20">
        <v>47.0</v>
      </c>
      <c r="D90" s="20" t="s">
        <v>1590</v>
      </c>
      <c r="E90" s="20" t="s">
        <v>13</v>
      </c>
      <c r="F90" s="20" t="s">
        <v>1401</v>
      </c>
      <c r="G90" s="20" t="s">
        <v>1399</v>
      </c>
    </row>
    <row r="91" ht="15.75" customHeight="1">
      <c r="A91" s="27">
        <v>89.0</v>
      </c>
      <c r="B91" s="20" t="s">
        <v>1591</v>
      </c>
      <c r="C91" s="20">
        <v>54.0</v>
      </c>
      <c r="D91" s="20" t="s">
        <v>1592</v>
      </c>
      <c r="E91" s="20" t="s">
        <v>13</v>
      </c>
      <c r="F91" s="20" t="s">
        <v>1401</v>
      </c>
      <c r="G91" s="20" t="s">
        <v>1399</v>
      </c>
    </row>
    <row r="92" ht="15.75" customHeight="1">
      <c r="A92" s="27">
        <v>90.0</v>
      </c>
      <c r="B92" s="20" t="s">
        <v>1593</v>
      </c>
      <c r="C92" s="20">
        <v>52.0</v>
      </c>
      <c r="D92" s="20" t="s">
        <v>1594</v>
      </c>
      <c r="E92" s="20" t="s">
        <v>13</v>
      </c>
      <c r="F92" s="20" t="s">
        <v>1468</v>
      </c>
      <c r="G92" s="20" t="s">
        <v>1399</v>
      </c>
    </row>
    <row r="93" ht="15.75" customHeight="1">
      <c r="A93" s="27">
        <v>91.0</v>
      </c>
      <c r="B93" s="20" t="s">
        <v>1595</v>
      </c>
      <c r="C93" s="20">
        <v>34.0</v>
      </c>
      <c r="D93" s="20" t="s">
        <v>13</v>
      </c>
      <c r="E93" s="20" t="s">
        <v>13</v>
      </c>
      <c r="F93" s="20" t="s">
        <v>1468</v>
      </c>
      <c r="G93" s="20" t="s">
        <v>1399</v>
      </c>
    </row>
    <row r="94" ht="15.75" customHeight="1">
      <c r="A94" s="27">
        <v>92.0</v>
      </c>
      <c r="B94" s="20" t="s">
        <v>1596</v>
      </c>
      <c r="C94" s="20">
        <v>45.0</v>
      </c>
      <c r="D94" s="20" t="s">
        <v>1597</v>
      </c>
      <c r="E94" s="20" t="s">
        <v>13</v>
      </c>
      <c r="F94" s="20" t="s">
        <v>1598</v>
      </c>
      <c r="G94" s="20" t="s">
        <v>1416</v>
      </c>
    </row>
    <row r="95" ht="15.75" customHeight="1">
      <c r="A95" s="27">
        <v>93.0</v>
      </c>
      <c r="B95" s="20" t="s">
        <v>1599</v>
      </c>
      <c r="C95" s="20">
        <v>23.0</v>
      </c>
      <c r="D95" s="20" t="s">
        <v>1600</v>
      </c>
      <c r="E95" s="20" t="s">
        <v>13</v>
      </c>
      <c r="F95" s="20" t="s">
        <v>1526</v>
      </c>
      <c r="G95" s="20" t="s">
        <v>1601</v>
      </c>
    </row>
    <row r="96" ht="15.75" customHeight="1">
      <c r="A96" s="27">
        <v>94.0</v>
      </c>
      <c r="B96" s="20" t="s">
        <v>1602</v>
      </c>
      <c r="C96" s="20">
        <v>26.0</v>
      </c>
      <c r="D96" s="20" t="s">
        <v>1603</v>
      </c>
      <c r="E96" s="20" t="s">
        <v>13</v>
      </c>
      <c r="F96" s="20" t="s">
        <v>1401</v>
      </c>
      <c r="G96" s="20" t="s">
        <v>1399</v>
      </c>
    </row>
    <row r="97" ht="15.75" customHeight="1">
      <c r="A97" s="27">
        <v>95.0</v>
      </c>
      <c r="B97" s="20" t="s">
        <v>1604</v>
      </c>
      <c r="C97" s="20">
        <v>35.0</v>
      </c>
      <c r="D97" s="20" t="s">
        <v>1605</v>
      </c>
      <c r="E97" s="20" t="s">
        <v>13</v>
      </c>
      <c r="F97" s="20" t="s">
        <v>1468</v>
      </c>
      <c r="G97" s="20" t="s">
        <v>1399</v>
      </c>
    </row>
    <row r="98" ht="15.75" customHeight="1">
      <c r="A98" s="27">
        <v>96.0</v>
      </c>
      <c r="B98" s="20" t="s">
        <v>1606</v>
      </c>
      <c r="C98" s="20">
        <v>47.0</v>
      </c>
      <c r="D98" s="20" t="s">
        <v>1607</v>
      </c>
      <c r="E98" s="20" t="s">
        <v>13</v>
      </c>
      <c r="F98" s="20" t="s">
        <v>1401</v>
      </c>
      <c r="G98" s="20" t="s">
        <v>1399</v>
      </c>
    </row>
    <row r="99" ht="15.75" customHeight="1">
      <c r="A99" s="27">
        <v>97.0</v>
      </c>
      <c r="B99" s="20" t="s">
        <v>1608</v>
      </c>
      <c r="C99" s="20">
        <v>19.0</v>
      </c>
      <c r="D99" s="20" t="s">
        <v>1609</v>
      </c>
      <c r="E99" s="20" t="s">
        <v>13</v>
      </c>
      <c r="F99" s="20" t="s">
        <v>1580</v>
      </c>
      <c r="G99" s="20" t="s">
        <v>1581</v>
      </c>
    </row>
    <row r="100" ht="15.75" customHeight="1">
      <c r="A100" s="27">
        <v>98.0</v>
      </c>
      <c r="B100" s="20" t="s">
        <v>1610</v>
      </c>
      <c r="C100" s="20">
        <v>41.0</v>
      </c>
      <c r="D100" s="20" t="s">
        <v>1611</v>
      </c>
      <c r="E100" s="20" t="s">
        <v>13</v>
      </c>
      <c r="F100" s="20" t="s">
        <v>330</v>
      </c>
      <c r="G100" s="20" t="s">
        <v>1612</v>
      </c>
    </row>
    <row r="101" ht="15.75" customHeight="1">
      <c r="A101" s="27">
        <v>99.0</v>
      </c>
      <c r="B101" s="20" t="s">
        <v>1613</v>
      </c>
      <c r="C101" s="20">
        <v>72.0</v>
      </c>
      <c r="D101" s="20" t="s">
        <v>1614</v>
      </c>
      <c r="E101" s="20" t="s">
        <v>13</v>
      </c>
      <c r="F101" s="20" t="s">
        <v>330</v>
      </c>
      <c r="G101" s="20" t="s">
        <v>1399</v>
      </c>
    </row>
    <row r="102" ht="15.75" customHeight="1">
      <c r="A102" s="27">
        <v>100.0</v>
      </c>
      <c r="B102" s="20" t="s">
        <v>1615</v>
      </c>
      <c r="C102" s="20">
        <v>67.0</v>
      </c>
      <c r="D102" s="20" t="s">
        <v>1616</v>
      </c>
      <c r="E102" s="20" t="s">
        <v>13</v>
      </c>
      <c r="F102" s="20" t="s">
        <v>330</v>
      </c>
      <c r="G102" s="20" t="s">
        <v>1399</v>
      </c>
    </row>
    <row r="103" ht="15.75" customHeight="1">
      <c r="A103" s="27">
        <v>101.0</v>
      </c>
      <c r="B103" s="20" t="s">
        <v>1615</v>
      </c>
      <c r="C103" s="20">
        <v>67.0</v>
      </c>
      <c r="D103" s="20" t="s">
        <v>1616</v>
      </c>
      <c r="E103" s="20" t="s">
        <v>13</v>
      </c>
      <c r="F103" s="20" t="s">
        <v>330</v>
      </c>
      <c r="G103" s="20" t="s">
        <v>1399</v>
      </c>
    </row>
    <row r="104" ht="15.75" customHeight="1">
      <c r="A104" s="27">
        <v>102.0</v>
      </c>
      <c r="B104" s="20" t="s">
        <v>1617</v>
      </c>
      <c r="C104" s="20">
        <v>33.0</v>
      </c>
      <c r="D104" s="20" t="s">
        <v>1618</v>
      </c>
      <c r="E104" s="20" t="s">
        <v>13</v>
      </c>
      <c r="F104" s="20" t="s">
        <v>1580</v>
      </c>
      <c r="G104" s="20" t="s">
        <v>1619</v>
      </c>
    </row>
    <row r="105" ht="15.75" customHeight="1">
      <c r="A105" s="27">
        <v>103.0</v>
      </c>
      <c r="B105" s="20" t="s">
        <v>1620</v>
      </c>
      <c r="C105" s="20">
        <v>26.0</v>
      </c>
      <c r="D105" s="20" t="s">
        <v>1621</v>
      </c>
      <c r="E105" s="20" t="s">
        <v>13</v>
      </c>
      <c r="F105" s="20" t="s">
        <v>330</v>
      </c>
      <c r="G105" s="20" t="s">
        <v>1399</v>
      </c>
    </row>
    <row r="106" ht="15.75" customHeight="1">
      <c r="A106" s="27">
        <v>104.0</v>
      </c>
      <c r="B106" s="20" t="s">
        <v>1622</v>
      </c>
      <c r="C106" s="20">
        <v>27.0</v>
      </c>
      <c r="D106" s="20" t="s">
        <v>1623</v>
      </c>
      <c r="E106" s="20" t="s">
        <v>13</v>
      </c>
      <c r="F106" s="20" t="s">
        <v>330</v>
      </c>
      <c r="G106" s="20" t="s">
        <v>1624</v>
      </c>
    </row>
    <row r="107" ht="15.75" customHeight="1">
      <c r="A107" s="27">
        <v>105.0</v>
      </c>
      <c r="B107" s="20" t="s">
        <v>1625</v>
      </c>
      <c r="C107" s="20">
        <v>86.0</v>
      </c>
      <c r="D107" s="20" t="s">
        <v>1626</v>
      </c>
      <c r="E107" s="20" t="s">
        <v>13</v>
      </c>
      <c r="F107" s="20" t="s">
        <v>1401</v>
      </c>
      <c r="G107" s="20" t="s">
        <v>1399</v>
      </c>
    </row>
    <row r="108" ht="15.75" customHeight="1">
      <c r="A108" s="27">
        <v>106.0</v>
      </c>
      <c r="B108" s="20" t="s">
        <v>1627</v>
      </c>
      <c r="C108" s="20">
        <v>18.0</v>
      </c>
      <c r="D108" s="20" t="s">
        <v>1628</v>
      </c>
      <c r="E108" s="20" t="s">
        <v>13</v>
      </c>
      <c r="F108" s="20" t="s">
        <v>330</v>
      </c>
      <c r="G108" s="20" t="s">
        <v>1399</v>
      </c>
    </row>
    <row r="109" ht="15.75" customHeight="1">
      <c r="A109" s="27">
        <v>107.0</v>
      </c>
      <c r="B109" s="20" t="s">
        <v>1629</v>
      </c>
      <c r="C109" s="20">
        <v>42.0</v>
      </c>
      <c r="D109" s="20" t="s">
        <v>1630</v>
      </c>
      <c r="E109" s="20" t="s">
        <v>13</v>
      </c>
      <c r="F109" s="20" t="s">
        <v>1401</v>
      </c>
      <c r="G109" s="20" t="s">
        <v>1399</v>
      </c>
    </row>
    <row r="110" ht="15.75" customHeight="1">
      <c r="A110" s="27">
        <v>108.0</v>
      </c>
      <c r="B110" s="20" t="s">
        <v>1631</v>
      </c>
      <c r="C110" s="20">
        <v>49.0</v>
      </c>
      <c r="D110" s="20" t="s">
        <v>1632</v>
      </c>
      <c r="E110" s="20" t="s">
        <v>13</v>
      </c>
      <c r="F110" s="20" t="s">
        <v>1401</v>
      </c>
      <c r="G110" s="20" t="s">
        <v>1399</v>
      </c>
    </row>
    <row r="111" ht="15.75" customHeight="1">
      <c r="A111" s="27">
        <v>109.0</v>
      </c>
      <c r="B111" s="20" t="s">
        <v>1633</v>
      </c>
      <c r="C111" s="20">
        <v>42.0</v>
      </c>
      <c r="D111" s="20" t="s">
        <v>1634</v>
      </c>
      <c r="E111" s="20" t="s">
        <v>13</v>
      </c>
      <c r="F111" s="20" t="s">
        <v>1526</v>
      </c>
      <c r="G111" s="20" t="s">
        <v>1635</v>
      </c>
    </row>
    <row r="112" ht="15.75" customHeight="1">
      <c r="A112" s="27">
        <v>110.0</v>
      </c>
      <c r="B112" s="20" t="s">
        <v>1636</v>
      </c>
      <c r="C112" s="20">
        <v>69.0</v>
      </c>
      <c r="D112" s="20" t="s">
        <v>1637</v>
      </c>
      <c r="E112" s="20" t="s">
        <v>13</v>
      </c>
      <c r="F112" s="20" t="s">
        <v>330</v>
      </c>
      <c r="G112" s="20" t="s">
        <v>1399</v>
      </c>
    </row>
    <row r="113" ht="15.75" customHeight="1">
      <c r="A113" s="27">
        <v>111.0</v>
      </c>
      <c r="B113" s="20" t="s">
        <v>1636</v>
      </c>
      <c r="C113" s="20">
        <v>69.0</v>
      </c>
      <c r="D113" s="20" t="s">
        <v>1637</v>
      </c>
      <c r="E113" s="20" t="s">
        <v>13</v>
      </c>
      <c r="F113" s="20" t="s">
        <v>330</v>
      </c>
      <c r="G113" s="20" t="s">
        <v>1399</v>
      </c>
    </row>
    <row r="114" ht="15.75" customHeight="1">
      <c r="A114" s="27">
        <v>112.0</v>
      </c>
      <c r="B114" s="20" t="s">
        <v>1638</v>
      </c>
      <c r="C114" s="20">
        <v>77.0</v>
      </c>
      <c r="D114" s="20">
        <v>649.768</v>
      </c>
      <c r="E114" s="20" t="s">
        <v>13</v>
      </c>
      <c r="F114" s="20" t="s">
        <v>1401</v>
      </c>
      <c r="G114" s="20" t="s">
        <v>1399</v>
      </c>
    </row>
    <row r="115" ht="15.75" customHeight="1">
      <c r="A115" s="27">
        <v>113.0</v>
      </c>
      <c r="B115" s="20" t="s">
        <v>1639</v>
      </c>
      <c r="C115" s="20">
        <v>77.0</v>
      </c>
      <c r="D115" s="20" t="s">
        <v>1640</v>
      </c>
      <c r="E115" s="20" t="s">
        <v>13</v>
      </c>
      <c r="F115" s="20" t="s">
        <v>330</v>
      </c>
      <c r="G115" s="20" t="s">
        <v>1399</v>
      </c>
    </row>
    <row r="116" ht="15.75" customHeight="1">
      <c r="A116" s="27">
        <v>114.0</v>
      </c>
      <c r="B116" s="20" t="s">
        <v>1641</v>
      </c>
      <c r="C116" s="20">
        <v>23.0</v>
      </c>
      <c r="D116" s="20" t="s">
        <v>1642</v>
      </c>
      <c r="E116" s="20" t="s">
        <v>13</v>
      </c>
      <c r="F116" s="20" t="s">
        <v>1643</v>
      </c>
      <c r="G116" s="20" t="s">
        <v>1399</v>
      </c>
    </row>
    <row r="117" ht="15.75" customHeight="1">
      <c r="A117" s="27">
        <v>115.0</v>
      </c>
      <c r="B117" s="20" t="s">
        <v>1644</v>
      </c>
      <c r="C117" s="20">
        <v>40.0</v>
      </c>
      <c r="D117" s="20" t="s">
        <v>1645</v>
      </c>
      <c r="E117" s="20" t="s">
        <v>13</v>
      </c>
      <c r="F117" s="20" t="s">
        <v>330</v>
      </c>
      <c r="G117" s="20" t="s">
        <v>1399</v>
      </c>
    </row>
    <row r="118" ht="15.75" customHeight="1">
      <c r="A118" s="27">
        <v>116.0</v>
      </c>
      <c r="B118" s="20" t="s">
        <v>1646</v>
      </c>
      <c r="C118" s="20">
        <v>50.0</v>
      </c>
      <c r="D118" s="20" t="s">
        <v>1647</v>
      </c>
      <c r="E118" s="20" t="s">
        <v>13</v>
      </c>
      <c r="F118" s="20" t="s">
        <v>1648</v>
      </c>
      <c r="G118" s="20" t="s">
        <v>1399</v>
      </c>
    </row>
    <row r="119" ht="15.75" customHeight="1">
      <c r="A119" s="27">
        <v>117.0</v>
      </c>
      <c r="B119" s="20" t="s">
        <v>1649</v>
      </c>
      <c r="C119" s="20">
        <v>61.0</v>
      </c>
      <c r="D119" s="20" t="s">
        <v>1650</v>
      </c>
      <c r="E119" s="20" t="s">
        <v>13</v>
      </c>
      <c r="F119" s="20" t="s">
        <v>330</v>
      </c>
      <c r="G119" s="20" t="s">
        <v>1651</v>
      </c>
    </row>
    <row r="120" ht="15.75" customHeight="1">
      <c r="A120" s="27">
        <v>118.0</v>
      </c>
      <c r="B120" s="20" t="s">
        <v>1652</v>
      </c>
      <c r="C120" s="20">
        <v>41.0</v>
      </c>
      <c r="D120" s="20" t="s">
        <v>1653</v>
      </c>
      <c r="E120" s="20" t="s">
        <v>13</v>
      </c>
      <c r="F120" s="20" t="s">
        <v>330</v>
      </c>
      <c r="G120" s="20" t="s">
        <v>1399</v>
      </c>
    </row>
    <row r="121" ht="15.75" customHeight="1">
      <c r="A121" s="27">
        <v>119.0</v>
      </c>
      <c r="B121" s="20" t="s">
        <v>1652</v>
      </c>
      <c r="C121" s="20">
        <v>41.0</v>
      </c>
      <c r="D121" s="20" t="s">
        <v>1653</v>
      </c>
      <c r="E121" s="20" t="s">
        <v>13</v>
      </c>
      <c r="F121" s="20" t="s">
        <v>330</v>
      </c>
      <c r="G121" s="20" t="s">
        <v>1399</v>
      </c>
    </row>
    <row r="122" ht="15.75" customHeight="1">
      <c r="A122" s="27">
        <v>120.0</v>
      </c>
      <c r="B122" s="20" t="s">
        <v>1654</v>
      </c>
      <c r="C122" s="20">
        <v>23.0</v>
      </c>
      <c r="D122" s="20" t="s">
        <v>1655</v>
      </c>
      <c r="E122" s="20" t="s">
        <v>13</v>
      </c>
      <c r="F122" s="20" t="s">
        <v>1580</v>
      </c>
      <c r="G122" s="20" t="s">
        <v>1581</v>
      </c>
    </row>
    <row r="123" ht="15.75" customHeight="1">
      <c r="A123" s="27">
        <v>121.0</v>
      </c>
      <c r="B123" s="20" t="s">
        <v>1656</v>
      </c>
      <c r="C123" s="20">
        <v>54.0</v>
      </c>
      <c r="D123" s="20" t="s">
        <v>1657</v>
      </c>
      <c r="E123" s="20" t="s">
        <v>13</v>
      </c>
      <c r="F123" s="20" t="s">
        <v>972</v>
      </c>
      <c r="G123" s="20" t="s">
        <v>1399</v>
      </c>
    </row>
    <row r="124" ht="15.75" customHeight="1">
      <c r="A124" s="27">
        <v>122.0</v>
      </c>
      <c r="B124" s="20" t="s">
        <v>1658</v>
      </c>
      <c r="C124" s="20">
        <v>80.0</v>
      </c>
      <c r="D124" s="20" t="s">
        <v>1659</v>
      </c>
      <c r="E124" s="20" t="s">
        <v>13</v>
      </c>
      <c r="F124" s="20" t="s">
        <v>330</v>
      </c>
      <c r="G124" s="20" t="s">
        <v>1660</v>
      </c>
    </row>
    <row r="125" ht="15.75" customHeight="1">
      <c r="A125" s="27">
        <v>123.0</v>
      </c>
      <c r="B125" s="20" t="s">
        <v>1661</v>
      </c>
      <c r="C125" s="20">
        <v>31.0</v>
      </c>
      <c r="D125" s="20" t="s">
        <v>1662</v>
      </c>
      <c r="E125" s="20" t="s">
        <v>13</v>
      </c>
      <c r="F125" s="20" t="s">
        <v>330</v>
      </c>
      <c r="G125" s="20" t="s">
        <v>1399</v>
      </c>
    </row>
    <row r="126" ht="15.75" customHeight="1">
      <c r="A126" s="27">
        <v>124.0</v>
      </c>
      <c r="B126" s="20" t="s">
        <v>1663</v>
      </c>
      <c r="C126" s="20">
        <v>48.0</v>
      </c>
      <c r="D126" s="20" t="s">
        <v>1664</v>
      </c>
      <c r="E126" s="20" t="s">
        <v>13</v>
      </c>
      <c r="F126" s="20" t="s">
        <v>330</v>
      </c>
      <c r="G126" s="20" t="s">
        <v>1399</v>
      </c>
    </row>
    <row r="127" ht="15.75" customHeight="1">
      <c r="A127" s="27">
        <v>125.0</v>
      </c>
      <c r="B127" s="20" t="s">
        <v>1665</v>
      </c>
      <c r="C127" s="20">
        <v>65.0</v>
      </c>
      <c r="D127" s="20" t="s">
        <v>1666</v>
      </c>
      <c r="E127" s="20" t="s">
        <v>13</v>
      </c>
      <c r="F127" s="20" t="s">
        <v>1401</v>
      </c>
      <c r="G127" s="20" t="s">
        <v>1399</v>
      </c>
    </row>
    <row r="128" ht="15.75" customHeight="1">
      <c r="A128" s="27">
        <v>126.0</v>
      </c>
      <c r="B128" s="20" t="s">
        <v>1667</v>
      </c>
      <c r="C128" s="20">
        <v>57.0</v>
      </c>
      <c r="D128" s="20" t="s">
        <v>1668</v>
      </c>
      <c r="E128" s="20" t="s">
        <v>13</v>
      </c>
      <c r="F128" s="20" t="s">
        <v>1415</v>
      </c>
      <c r="G128" s="20" t="s">
        <v>1669</v>
      </c>
    </row>
    <row r="129" ht="15.75" customHeight="1">
      <c r="A129" s="27">
        <v>127.0</v>
      </c>
      <c r="B129" s="20" t="s">
        <v>1670</v>
      </c>
      <c r="C129" s="20">
        <v>28.0</v>
      </c>
      <c r="D129" s="20" t="s">
        <v>1671</v>
      </c>
      <c r="E129" s="20" t="s">
        <v>13</v>
      </c>
      <c r="F129" s="20" t="s">
        <v>1672</v>
      </c>
      <c r="G129" s="20" t="s">
        <v>1673</v>
      </c>
    </row>
    <row r="130" ht="15.75" customHeight="1">
      <c r="A130" s="27">
        <v>128.0</v>
      </c>
      <c r="B130" s="20" t="s">
        <v>1674</v>
      </c>
      <c r="C130" s="20">
        <v>44.0</v>
      </c>
      <c r="D130" s="20" t="s">
        <v>1675</v>
      </c>
      <c r="E130" s="20" t="s">
        <v>13</v>
      </c>
      <c r="F130" s="20" t="s">
        <v>1676</v>
      </c>
      <c r="G130" s="20" t="s">
        <v>1399</v>
      </c>
    </row>
    <row r="131" ht="15.75" customHeight="1">
      <c r="A131" s="27">
        <v>129.0</v>
      </c>
      <c r="B131" s="20" t="s">
        <v>1677</v>
      </c>
      <c r="C131" s="20">
        <v>31.0</v>
      </c>
      <c r="D131" s="20" t="s">
        <v>1678</v>
      </c>
      <c r="E131" s="20" t="s">
        <v>13</v>
      </c>
      <c r="F131" s="20" t="s">
        <v>1679</v>
      </c>
      <c r="G131" s="20" t="s">
        <v>1399</v>
      </c>
    </row>
    <row r="132" ht="15.75" customHeight="1">
      <c r="A132" s="27">
        <v>130.0</v>
      </c>
      <c r="B132" s="20" t="s">
        <v>1680</v>
      </c>
      <c r="C132" s="20">
        <v>19.0</v>
      </c>
      <c r="D132" s="20" t="s">
        <v>1681</v>
      </c>
      <c r="E132" s="20" t="s">
        <v>13</v>
      </c>
      <c r="F132" s="20" t="s">
        <v>1401</v>
      </c>
      <c r="G132" s="20" t="s">
        <v>1399</v>
      </c>
    </row>
    <row r="133" ht="15.75" customHeight="1">
      <c r="A133" s="27">
        <v>131.0</v>
      </c>
      <c r="B133" s="20" t="s">
        <v>1682</v>
      </c>
      <c r="C133" s="20">
        <v>30.0</v>
      </c>
      <c r="D133" s="20" t="s">
        <v>1683</v>
      </c>
      <c r="E133" s="20" t="s">
        <v>13</v>
      </c>
      <c r="F133" s="20" t="s">
        <v>330</v>
      </c>
      <c r="G133" s="20" t="s">
        <v>1416</v>
      </c>
    </row>
    <row r="134" ht="15.75" customHeight="1">
      <c r="A134" s="27">
        <v>132.0</v>
      </c>
      <c r="B134" s="20" t="s">
        <v>1684</v>
      </c>
      <c r="C134" s="20">
        <v>62.0</v>
      </c>
      <c r="D134" s="20" t="s">
        <v>1685</v>
      </c>
      <c r="E134" s="20" t="s">
        <v>13</v>
      </c>
      <c r="F134" s="20" t="s">
        <v>1401</v>
      </c>
      <c r="G134" s="20" t="s">
        <v>1686</v>
      </c>
    </row>
    <row r="135" ht="15.75" customHeight="1">
      <c r="A135" s="27">
        <v>133.0</v>
      </c>
      <c r="B135" s="20" t="s">
        <v>1687</v>
      </c>
      <c r="C135" s="20">
        <v>15.0</v>
      </c>
      <c r="D135" s="20" t="s">
        <v>1688</v>
      </c>
      <c r="E135" s="20" t="s">
        <v>13</v>
      </c>
      <c r="F135" s="20" t="s">
        <v>330</v>
      </c>
      <c r="G135" s="20" t="s">
        <v>1399</v>
      </c>
    </row>
    <row r="136" ht="15.75" customHeight="1">
      <c r="A136" s="27">
        <v>134.0</v>
      </c>
      <c r="B136" s="20" t="s">
        <v>1689</v>
      </c>
      <c r="C136" s="20">
        <v>19.0</v>
      </c>
      <c r="D136" s="20" t="s">
        <v>1690</v>
      </c>
      <c r="E136" s="20" t="s">
        <v>13</v>
      </c>
      <c r="F136" s="20" t="s">
        <v>330</v>
      </c>
      <c r="G136" s="20" t="s">
        <v>1399</v>
      </c>
    </row>
    <row r="137" ht="15.75" customHeight="1">
      <c r="A137" s="27">
        <v>135.0</v>
      </c>
      <c r="B137" s="20" t="s">
        <v>1691</v>
      </c>
      <c r="C137" s="20">
        <v>25.0</v>
      </c>
      <c r="D137" s="20" t="s">
        <v>1692</v>
      </c>
      <c r="E137" s="20" t="s">
        <v>13</v>
      </c>
      <c r="F137" s="20" t="s">
        <v>330</v>
      </c>
      <c r="G137" s="20" t="s">
        <v>1399</v>
      </c>
    </row>
    <row r="138" ht="15.75" customHeight="1">
      <c r="A138" s="27">
        <v>136.0</v>
      </c>
      <c r="B138" s="20" t="s">
        <v>1693</v>
      </c>
      <c r="C138" s="20">
        <v>16.0</v>
      </c>
      <c r="D138" s="20" t="s">
        <v>1694</v>
      </c>
      <c r="E138" s="20" t="s">
        <v>13</v>
      </c>
      <c r="F138" s="20" t="s">
        <v>330</v>
      </c>
      <c r="G138" s="20" t="s">
        <v>1416</v>
      </c>
    </row>
    <row r="139" ht="15.75" customHeight="1">
      <c r="A139" s="27">
        <v>137.0</v>
      </c>
      <c r="B139" s="20" t="s">
        <v>1695</v>
      </c>
      <c r="C139" s="20">
        <v>78.0</v>
      </c>
      <c r="D139" s="20" t="s">
        <v>1696</v>
      </c>
      <c r="E139" s="20" t="s">
        <v>13</v>
      </c>
      <c r="F139" s="20" t="s">
        <v>1648</v>
      </c>
      <c r="G139" s="20" t="s">
        <v>1601</v>
      </c>
    </row>
    <row r="140" ht="15.75" customHeight="1">
      <c r="A140" s="27">
        <v>138.0</v>
      </c>
      <c r="B140" s="20" t="s">
        <v>1697</v>
      </c>
      <c r="C140" s="20">
        <v>29.0</v>
      </c>
      <c r="D140" s="20" t="s">
        <v>1698</v>
      </c>
      <c r="E140" s="20" t="s">
        <v>13</v>
      </c>
      <c r="F140" s="20" t="s">
        <v>330</v>
      </c>
      <c r="G140" s="20" t="s">
        <v>1399</v>
      </c>
    </row>
    <row r="141" ht="15.75" customHeight="1">
      <c r="A141" s="27">
        <v>139.0</v>
      </c>
      <c r="B141" s="20" t="s">
        <v>1699</v>
      </c>
      <c r="C141" s="20">
        <v>34.0</v>
      </c>
      <c r="D141" s="20" t="s">
        <v>1700</v>
      </c>
      <c r="E141" s="20" t="s">
        <v>13</v>
      </c>
      <c r="F141" s="20" t="s">
        <v>1401</v>
      </c>
      <c r="G141" s="20" t="s">
        <v>1399</v>
      </c>
    </row>
    <row r="142" ht="15.75" customHeight="1">
      <c r="A142" s="27">
        <v>140.0</v>
      </c>
      <c r="B142" s="20" t="s">
        <v>1701</v>
      </c>
      <c r="C142" s="20">
        <v>20.0</v>
      </c>
      <c r="D142" s="20" t="s">
        <v>1702</v>
      </c>
      <c r="E142" s="20" t="s">
        <v>13</v>
      </c>
      <c r="F142" s="20" t="s">
        <v>1703</v>
      </c>
      <c r="G142" s="20" t="s">
        <v>1399</v>
      </c>
    </row>
    <row r="143" ht="15.75" customHeight="1">
      <c r="A143" s="27">
        <v>141.0</v>
      </c>
      <c r="B143" s="20" t="s">
        <v>1704</v>
      </c>
      <c r="C143" s="20">
        <v>32.0</v>
      </c>
      <c r="D143" s="20" t="s">
        <v>1705</v>
      </c>
      <c r="E143" s="20" t="s">
        <v>13</v>
      </c>
      <c r="F143" s="20" t="s">
        <v>330</v>
      </c>
      <c r="G143" s="20" t="s">
        <v>1399</v>
      </c>
    </row>
    <row r="144" ht="15.75" customHeight="1">
      <c r="A144" s="27">
        <v>142.0</v>
      </c>
      <c r="B144" s="20" t="s">
        <v>1706</v>
      </c>
      <c r="C144" s="20">
        <v>47.0</v>
      </c>
      <c r="D144" s="20" t="s">
        <v>1424</v>
      </c>
      <c r="E144" s="20" t="s">
        <v>13</v>
      </c>
      <c r="F144" s="20" t="s">
        <v>1401</v>
      </c>
      <c r="G144" s="20" t="s">
        <v>1399</v>
      </c>
    </row>
    <row r="145" ht="15.75" customHeight="1">
      <c r="A145" s="27">
        <v>143.0</v>
      </c>
      <c r="B145" s="20" t="s">
        <v>1707</v>
      </c>
      <c r="C145" s="20">
        <v>53.0</v>
      </c>
      <c r="D145" s="20" t="s">
        <v>1708</v>
      </c>
      <c r="E145" s="20" t="s">
        <v>13</v>
      </c>
      <c r="F145" s="20" t="s">
        <v>330</v>
      </c>
      <c r="G145" s="20" t="s">
        <v>1416</v>
      </c>
    </row>
    <row r="146" ht="15.75" customHeight="1">
      <c r="A146" s="27">
        <v>144.0</v>
      </c>
      <c r="B146" s="20" t="s">
        <v>1709</v>
      </c>
      <c r="C146" s="20">
        <v>30.0</v>
      </c>
      <c r="D146" s="20" t="s">
        <v>13</v>
      </c>
      <c r="E146" s="20" t="s">
        <v>13</v>
      </c>
      <c r="F146" s="20" t="s">
        <v>1398</v>
      </c>
      <c r="G146" s="20" t="s">
        <v>1399</v>
      </c>
    </row>
    <row r="147" ht="15.75" customHeight="1">
      <c r="A147" s="27">
        <v>145.0</v>
      </c>
      <c r="B147" s="20" t="s">
        <v>1710</v>
      </c>
      <c r="C147" s="20">
        <v>28.0</v>
      </c>
      <c r="D147" s="20" t="s">
        <v>1711</v>
      </c>
      <c r="E147" s="20" t="s">
        <v>13</v>
      </c>
      <c r="F147" s="20" t="s">
        <v>1526</v>
      </c>
      <c r="G147" s="20" t="s">
        <v>1399</v>
      </c>
    </row>
    <row r="148" ht="15.75" customHeight="1">
      <c r="A148" s="27">
        <v>146.0</v>
      </c>
      <c r="B148" s="20" t="s">
        <v>1712</v>
      </c>
      <c r="C148" s="20">
        <v>72.0</v>
      </c>
      <c r="D148" s="20" t="s">
        <v>1713</v>
      </c>
      <c r="E148" s="20" t="s">
        <v>13</v>
      </c>
      <c r="F148" s="20" t="s">
        <v>330</v>
      </c>
      <c r="G148" s="20" t="s">
        <v>1399</v>
      </c>
    </row>
    <row r="149" ht="15.75" customHeight="1">
      <c r="A149" s="27">
        <v>147.0</v>
      </c>
      <c r="B149" s="20" t="s">
        <v>1714</v>
      </c>
      <c r="C149" s="20">
        <v>56.0</v>
      </c>
      <c r="D149" s="20" t="s">
        <v>1715</v>
      </c>
      <c r="E149" s="20" t="s">
        <v>13</v>
      </c>
      <c r="F149" s="20" t="s">
        <v>545</v>
      </c>
      <c r="G149" s="20" t="s">
        <v>1399</v>
      </c>
    </row>
    <row r="150" ht="15.75" customHeight="1">
      <c r="A150" s="27">
        <v>148.0</v>
      </c>
      <c r="B150" s="20" t="s">
        <v>1716</v>
      </c>
      <c r="C150" s="20">
        <v>18.0</v>
      </c>
      <c r="D150" s="20" t="s">
        <v>1717</v>
      </c>
      <c r="E150" s="20" t="s">
        <v>13</v>
      </c>
      <c r="F150" s="20" t="s">
        <v>330</v>
      </c>
      <c r="G150" s="20" t="s">
        <v>1399</v>
      </c>
    </row>
    <row r="151" ht="15.75" customHeight="1">
      <c r="A151" s="27">
        <v>149.0</v>
      </c>
      <c r="B151" s="20" t="s">
        <v>1718</v>
      </c>
      <c r="C151" s="20">
        <v>59.0</v>
      </c>
      <c r="D151" s="20" t="s">
        <v>1719</v>
      </c>
      <c r="E151" s="20" t="s">
        <v>13</v>
      </c>
      <c r="F151" s="20" t="s">
        <v>330</v>
      </c>
      <c r="G151" s="20" t="s">
        <v>1399</v>
      </c>
    </row>
    <row r="152" ht="15.75" customHeight="1">
      <c r="A152" s="27">
        <v>150.0</v>
      </c>
      <c r="B152" s="20" t="s">
        <v>1718</v>
      </c>
      <c r="C152" s="20">
        <v>19.0</v>
      </c>
      <c r="D152" s="20" t="s">
        <v>1720</v>
      </c>
      <c r="E152" s="20" t="s">
        <v>13</v>
      </c>
      <c r="F152" s="20" t="s">
        <v>330</v>
      </c>
      <c r="G152" s="20" t="s">
        <v>1581</v>
      </c>
    </row>
    <row r="153" ht="15.75" customHeight="1">
      <c r="A153" s="27">
        <v>151.0</v>
      </c>
      <c r="B153" s="20" t="s">
        <v>1721</v>
      </c>
      <c r="C153" s="20">
        <v>44.0</v>
      </c>
      <c r="D153" s="20" t="s">
        <v>1722</v>
      </c>
      <c r="E153" s="20" t="s">
        <v>13</v>
      </c>
      <c r="F153" s="20" t="s">
        <v>1398</v>
      </c>
      <c r="G153" s="20" t="s">
        <v>1416</v>
      </c>
    </row>
    <row r="154">
      <c r="A154" s="80"/>
      <c r="B154" s="4"/>
      <c r="C154" s="4"/>
      <c r="D154" s="4"/>
      <c r="E154" s="4"/>
      <c r="F154" s="4"/>
      <c r="G154" s="4"/>
    </row>
    <row r="155">
      <c r="A155" s="116">
        <v>1.0</v>
      </c>
      <c r="B155" s="117" t="s">
        <v>5096</v>
      </c>
      <c r="C155" s="116">
        <v>23.0</v>
      </c>
      <c r="D155" s="117">
        <v>2.8443736E7</v>
      </c>
      <c r="E155" s="116" t="s">
        <v>4029</v>
      </c>
      <c r="F155" s="117" t="s">
        <v>1526</v>
      </c>
      <c r="G155" s="117" t="s">
        <v>5097</v>
      </c>
      <c r="H155" s="51" t="s">
        <v>5098</v>
      </c>
    </row>
    <row r="156">
      <c r="A156" s="116">
        <v>2.0</v>
      </c>
      <c r="B156" s="117" t="s">
        <v>5099</v>
      </c>
      <c r="C156" s="116">
        <v>45.0</v>
      </c>
      <c r="D156" s="117">
        <v>1.5034143E7</v>
      </c>
      <c r="E156" s="116" t="s">
        <v>4029</v>
      </c>
      <c r="F156" s="117" t="s">
        <v>1401</v>
      </c>
      <c r="G156" s="117" t="s">
        <v>1399</v>
      </c>
      <c r="H156" s="51" t="s">
        <v>5098</v>
      </c>
    </row>
    <row r="157">
      <c r="A157" s="116">
        <v>3.0</v>
      </c>
      <c r="B157" s="117" t="s">
        <v>5100</v>
      </c>
      <c r="C157" s="116">
        <v>28.0</v>
      </c>
      <c r="D157" s="117">
        <v>2.6668182E7</v>
      </c>
      <c r="E157" s="116" t="s">
        <v>4036</v>
      </c>
      <c r="F157" s="117" t="s">
        <v>1526</v>
      </c>
      <c r="G157" s="117" t="s">
        <v>1399</v>
      </c>
      <c r="H157" s="51" t="s">
        <v>5098</v>
      </c>
    </row>
    <row r="158">
      <c r="A158" s="116">
        <v>4.0</v>
      </c>
      <c r="B158" s="117" t="s">
        <v>5101</v>
      </c>
      <c r="C158" s="116">
        <v>52.0</v>
      </c>
      <c r="D158" s="117">
        <v>1.1649384E7</v>
      </c>
      <c r="E158" s="116" t="s">
        <v>4029</v>
      </c>
      <c r="F158" s="117" t="s">
        <v>1468</v>
      </c>
      <c r="G158" s="117" t="s">
        <v>1399</v>
      </c>
      <c r="H158" s="51" t="s">
        <v>5098</v>
      </c>
    </row>
    <row r="159">
      <c r="A159" s="116">
        <v>5.0</v>
      </c>
      <c r="B159" s="117" t="s">
        <v>5102</v>
      </c>
      <c r="C159" s="116">
        <v>33.0</v>
      </c>
      <c r="D159" s="117">
        <v>2.1282503E7</v>
      </c>
      <c r="E159" s="116" t="s">
        <v>4029</v>
      </c>
      <c r="F159" s="117" t="s">
        <v>1441</v>
      </c>
      <c r="G159" s="117" t="s">
        <v>1399</v>
      </c>
      <c r="H159" s="51" t="s">
        <v>5098</v>
      </c>
    </row>
    <row r="160">
      <c r="A160" s="116">
        <v>6.0</v>
      </c>
      <c r="B160" s="117" t="s">
        <v>5103</v>
      </c>
      <c r="C160" s="116">
        <v>20.0</v>
      </c>
      <c r="D160" s="117">
        <v>3.3025749E7</v>
      </c>
      <c r="E160" s="116" t="s">
        <v>4029</v>
      </c>
      <c r="F160" s="117" t="s">
        <v>1485</v>
      </c>
      <c r="G160" s="117" t="s">
        <v>1399</v>
      </c>
      <c r="H160" s="51" t="s">
        <v>5098</v>
      </c>
    </row>
    <row r="161">
      <c r="A161" s="116">
        <v>7.0</v>
      </c>
      <c r="B161" s="117" t="s">
        <v>5104</v>
      </c>
      <c r="C161" s="116">
        <v>54.0</v>
      </c>
      <c r="D161" s="117">
        <v>1.1380548E7</v>
      </c>
      <c r="E161" s="116" t="s">
        <v>4029</v>
      </c>
      <c r="F161" s="117" t="s">
        <v>972</v>
      </c>
      <c r="G161" s="117" t="s">
        <v>1399</v>
      </c>
      <c r="H161" s="51" t="s">
        <v>5098</v>
      </c>
    </row>
    <row r="162">
      <c r="A162" s="116">
        <v>8.0</v>
      </c>
      <c r="B162" s="117" t="s">
        <v>5105</v>
      </c>
      <c r="C162" s="116">
        <v>50.0</v>
      </c>
      <c r="D162" s="117">
        <v>1.4451022E7</v>
      </c>
      <c r="E162" s="116" t="s">
        <v>4029</v>
      </c>
      <c r="F162" s="117" t="s">
        <v>1648</v>
      </c>
      <c r="G162" s="117" t="s">
        <v>1399</v>
      </c>
      <c r="H162" s="51" t="s">
        <v>5098</v>
      </c>
    </row>
    <row r="163">
      <c r="A163" s="116">
        <v>9.0</v>
      </c>
      <c r="B163" s="117" t="s">
        <v>5106</v>
      </c>
      <c r="C163" s="116">
        <v>77.0</v>
      </c>
      <c r="D163" s="117">
        <v>3970261.0</v>
      </c>
      <c r="E163" s="116" t="s">
        <v>4029</v>
      </c>
      <c r="F163" s="117" t="s">
        <v>972</v>
      </c>
      <c r="G163" s="117" t="s">
        <v>1399</v>
      </c>
      <c r="H163" s="51" t="s">
        <v>5098</v>
      </c>
    </row>
    <row r="164">
      <c r="A164" s="116">
        <v>10.0</v>
      </c>
      <c r="B164" s="117" t="s">
        <v>5107</v>
      </c>
      <c r="C164" s="116">
        <v>49.0</v>
      </c>
      <c r="D164" s="117">
        <v>1.3610512E7</v>
      </c>
      <c r="E164" s="116" t="s">
        <v>4029</v>
      </c>
      <c r="F164" s="117" t="s">
        <v>1468</v>
      </c>
      <c r="G164" s="117" t="s">
        <v>1399</v>
      </c>
      <c r="H164" s="51" t="s">
        <v>5098</v>
      </c>
    </row>
    <row r="165">
      <c r="A165" s="116">
        <v>11.0</v>
      </c>
      <c r="B165" s="117" t="s">
        <v>5108</v>
      </c>
      <c r="C165" s="116">
        <v>54.0</v>
      </c>
      <c r="D165" s="117">
        <v>6285593.0</v>
      </c>
      <c r="E165" s="116" t="s">
        <v>4029</v>
      </c>
      <c r="F165" s="117" t="s">
        <v>1401</v>
      </c>
      <c r="G165" s="117" t="s">
        <v>1399</v>
      </c>
      <c r="H165" s="51" t="s">
        <v>5098</v>
      </c>
    </row>
    <row r="166">
      <c r="A166" s="116">
        <v>12.0</v>
      </c>
      <c r="B166" s="117" t="s">
        <v>5109</v>
      </c>
      <c r="C166" s="116">
        <v>77.0</v>
      </c>
      <c r="D166" s="117">
        <v>5323419.0</v>
      </c>
      <c r="E166" s="116" t="s">
        <v>4029</v>
      </c>
      <c r="F166" s="117" t="s">
        <v>1401</v>
      </c>
      <c r="G166" s="117" t="s">
        <v>1399</v>
      </c>
      <c r="H166" s="51" t="s">
        <v>5098</v>
      </c>
    </row>
    <row r="167">
      <c r="A167" s="116">
        <v>13.0</v>
      </c>
      <c r="B167" s="117" t="s">
        <v>5110</v>
      </c>
      <c r="C167" s="116">
        <v>53.0</v>
      </c>
      <c r="D167" s="117">
        <v>1.1697809E7</v>
      </c>
      <c r="E167" s="116" t="s">
        <v>4029</v>
      </c>
      <c r="F167" s="117" t="s">
        <v>1401</v>
      </c>
      <c r="G167" s="117" t="s">
        <v>1399</v>
      </c>
      <c r="H167" s="51" t="s">
        <v>5098</v>
      </c>
    </row>
    <row r="168">
      <c r="A168" s="116">
        <v>14.0</v>
      </c>
      <c r="B168" s="117" t="s">
        <v>5111</v>
      </c>
      <c r="C168" s="116">
        <v>17.0</v>
      </c>
      <c r="D168" s="117">
        <v>3.2730226E7</v>
      </c>
      <c r="E168" s="116" t="s">
        <v>4029</v>
      </c>
      <c r="F168" s="117" t="s">
        <v>1078</v>
      </c>
      <c r="G168" s="117" t="s">
        <v>1399</v>
      </c>
      <c r="H168" s="51" t="s">
        <v>5098</v>
      </c>
    </row>
    <row r="169">
      <c r="A169" s="116">
        <v>15.0</v>
      </c>
      <c r="B169" s="117" t="s">
        <v>5112</v>
      </c>
      <c r="C169" s="116">
        <v>92.0</v>
      </c>
      <c r="D169" s="117">
        <v>6124942.0</v>
      </c>
      <c r="E169" s="116" t="s">
        <v>4029</v>
      </c>
      <c r="F169" s="117" t="s">
        <v>1459</v>
      </c>
      <c r="G169" s="117" t="s">
        <v>1399</v>
      </c>
      <c r="H169" s="51" t="s">
        <v>5098</v>
      </c>
    </row>
    <row r="170">
      <c r="A170" s="116">
        <v>16.0</v>
      </c>
      <c r="B170" s="117" t="s">
        <v>5113</v>
      </c>
      <c r="C170" s="116">
        <v>66.0</v>
      </c>
      <c r="D170" s="117">
        <v>5013048.0</v>
      </c>
      <c r="E170" s="116" t="s">
        <v>4029</v>
      </c>
      <c r="F170" s="117" t="s">
        <v>1401</v>
      </c>
      <c r="G170" s="117" t="s">
        <v>1399</v>
      </c>
      <c r="H170" s="51" t="s">
        <v>5098</v>
      </c>
    </row>
    <row r="171">
      <c r="A171" s="116">
        <v>17.0</v>
      </c>
      <c r="B171" s="117" t="s">
        <v>5114</v>
      </c>
      <c r="C171" s="116">
        <v>45.0</v>
      </c>
      <c r="D171" s="117">
        <v>1.5280446E7</v>
      </c>
      <c r="E171" s="116" t="s">
        <v>4036</v>
      </c>
      <c r="F171" s="117" t="s">
        <v>1598</v>
      </c>
      <c r="G171" s="117" t="s">
        <v>5115</v>
      </c>
      <c r="H171" s="51" t="s">
        <v>5098</v>
      </c>
    </row>
    <row r="172">
      <c r="A172" s="116">
        <v>18.0</v>
      </c>
      <c r="B172" s="117" t="s">
        <v>5116</v>
      </c>
      <c r="C172" s="116">
        <v>26.0</v>
      </c>
      <c r="D172" s="117">
        <v>2.8440024E7</v>
      </c>
      <c r="E172" s="116" t="s">
        <v>4029</v>
      </c>
      <c r="F172" s="117" t="s">
        <v>1401</v>
      </c>
      <c r="G172" s="117" t="s">
        <v>1399</v>
      </c>
      <c r="H172" s="51" t="s">
        <v>5098</v>
      </c>
    </row>
    <row r="173">
      <c r="A173" s="116">
        <v>19.0</v>
      </c>
      <c r="B173" s="117" t="s">
        <v>5117</v>
      </c>
      <c r="C173" s="116">
        <v>66.0</v>
      </c>
      <c r="D173" s="117">
        <v>567005.0</v>
      </c>
      <c r="E173" s="116" t="s">
        <v>4029</v>
      </c>
      <c r="F173" s="117" t="s">
        <v>330</v>
      </c>
      <c r="G173" s="117" t="s">
        <v>1399</v>
      </c>
      <c r="H173" s="51" t="s">
        <v>5098</v>
      </c>
    </row>
    <row r="174">
      <c r="A174" s="116">
        <v>20.0</v>
      </c>
      <c r="B174" s="117" t="s">
        <v>5118</v>
      </c>
      <c r="C174" s="116">
        <v>42.0</v>
      </c>
      <c r="D174" s="117">
        <v>1.6598007E7</v>
      </c>
      <c r="E174" s="116" t="s">
        <v>4029</v>
      </c>
      <c r="F174" s="117" t="s">
        <v>330</v>
      </c>
      <c r="G174" s="117" t="s">
        <v>1399</v>
      </c>
      <c r="H174" s="51" t="s">
        <v>5098</v>
      </c>
    </row>
    <row r="175">
      <c r="A175" s="116">
        <v>21.0</v>
      </c>
      <c r="B175" s="117" t="s">
        <v>5119</v>
      </c>
      <c r="C175" s="116">
        <v>19.0</v>
      </c>
      <c r="D175" s="117">
        <v>3.1913023E7</v>
      </c>
      <c r="E175" s="116" t="s">
        <v>4029</v>
      </c>
      <c r="F175" s="117" t="s">
        <v>1401</v>
      </c>
      <c r="G175" s="117" t="s">
        <v>1399</v>
      </c>
      <c r="H175" s="51" t="s">
        <v>5098</v>
      </c>
    </row>
    <row r="176">
      <c r="A176" s="116">
        <v>22.0</v>
      </c>
      <c r="B176" s="117" t="s">
        <v>5120</v>
      </c>
      <c r="C176" s="116">
        <v>35.0</v>
      </c>
      <c r="D176" s="117">
        <v>2.0102925E7</v>
      </c>
      <c r="E176" s="116" t="s">
        <v>4029</v>
      </c>
      <c r="F176" s="117" t="s">
        <v>1405</v>
      </c>
      <c r="G176" s="117" t="s">
        <v>1406</v>
      </c>
      <c r="H176" s="51" t="s">
        <v>5098</v>
      </c>
    </row>
    <row r="177">
      <c r="A177" s="116">
        <v>23.0</v>
      </c>
      <c r="B177" s="117" t="s">
        <v>5121</v>
      </c>
      <c r="C177" s="116">
        <v>34.0</v>
      </c>
      <c r="D177" s="117">
        <v>2.3634549E7</v>
      </c>
      <c r="E177" s="116" t="s">
        <v>4029</v>
      </c>
      <c r="F177" s="117" t="s">
        <v>1401</v>
      </c>
      <c r="G177" s="117" t="s">
        <v>1399</v>
      </c>
      <c r="H177" s="51" t="s">
        <v>5098</v>
      </c>
    </row>
    <row r="178">
      <c r="A178" s="116">
        <v>24.0</v>
      </c>
      <c r="B178" s="117" t="s">
        <v>5122</v>
      </c>
      <c r="C178" s="116">
        <v>48.0</v>
      </c>
      <c r="D178" s="117">
        <v>1.3641724E7</v>
      </c>
      <c r="E178" s="116" t="s">
        <v>4036</v>
      </c>
      <c r="F178" s="117" t="s">
        <v>1526</v>
      </c>
      <c r="G178" s="117" t="s">
        <v>5115</v>
      </c>
      <c r="H178" s="51" t="s">
        <v>5098</v>
      </c>
    </row>
    <row r="179">
      <c r="A179" s="116">
        <v>25.0</v>
      </c>
      <c r="B179" s="117" t="s">
        <v>5123</v>
      </c>
      <c r="C179" s="116">
        <v>63.0</v>
      </c>
      <c r="D179" s="117">
        <v>648196.0</v>
      </c>
      <c r="E179" s="116" t="s">
        <v>4036</v>
      </c>
      <c r="F179" s="117" t="s">
        <v>1398</v>
      </c>
      <c r="G179" s="117" t="s">
        <v>1399</v>
      </c>
      <c r="H179" s="51" t="s">
        <v>5098</v>
      </c>
    </row>
    <row r="180">
      <c r="A180" s="116">
        <v>26.0</v>
      </c>
      <c r="B180" s="117" t="s">
        <v>5124</v>
      </c>
      <c r="C180" s="116">
        <v>65.0</v>
      </c>
      <c r="D180" s="117">
        <v>5921822.0</v>
      </c>
      <c r="E180" s="116" t="s">
        <v>4036</v>
      </c>
      <c r="F180" s="117" t="s">
        <v>1401</v>
      </c>
      <c r="G180" s="117" t="s">
        <v>1399</v>
      </c>
      <c r="H180" s="51" t="s">
        <v>5098</v>
      </c>
    </row>
    <row r="181">
      <c r="A181" s="116">
        <v>27.0</v>
      </c>
      <c r="B181" s="117" t="s">
        <v>5125</v>
      </c>
      <c r="C181" s="116">
        <v>86.0</v>
      </c>
      <c r="D181" s="117">
        <v>2528862.0</v>
      </c>
      <c r="E181" s="116" t="s">
        <v>4029</v>
      </c>
      <c r="F181" s="117" t="s">
        <v>1401</v>
      </c>
      <c r="G181" s="117" t="s">
        <v>1399</v>
      </c>
      <c r="H181" s="51" t="s">
        <v>5098</v>
      </c>
    </row>
    <row r="182">
      <c r="A182" s="116">
        <v>28.0</v>
      </c>
      <c r="B182" s="117" t="s">
        <v>5126</v>
      </c>
      <c r="C182" s="116">
        <v>66.0</v>
      </c>
      <c r="D182" s="117">
        <v>8203313.0</v>
      </c>
      <c r="E182" s="116" t="s">
        <v>4029</v>
      </c>
      <c r="F182" s="117" t="s">
        <v>1401</v>
      </c>
      <c r="G182" s="117" t="s">
        <v>1399</v>
      </c>
      <c r="H182" s="51" t="s">
        <v>5098</v>
      </c>
    </row>
    <row r="183">
      <c r="A183" s="116">
        <v>29.0</v>
      </c>
      <c r="B183" s="117" t="s">
        <v>5127</v>
      </c>
      <c r="C183" s="116">
        <v>43.0</v>
      </c>
      <c r="D183" s="117">
        <v>1.5366629E7</v>
      </c>
      <c r="E183" s="116" t="s">
        <v>4029</v>
      </c>
      <c r="F183" s="117" t="s">
        <v>1401</v>
      </c>
      <c r="G183" s="117" t="s">
        <v>1399</v>
      </c>
      <c r="H183" s="51" t="s">
        <v>5098</v>
      </c>
    </row>
    <row r="184">
      <c r="A184" s="116">
        <v>30.0</v>
      </c>
      <c r="B184" s="117" t="s">
        <v>5128</v>
      </c>
      <c r="C184" s="116">
        <v>66.0</v>
      </c>
      <c r="D184" s="117">
        <v>5613048.0</v>
      </c>
      <c r="E184" s="116" t="s">
        <v>4029</v>
      </c>
      <c r="F184" s="117" t="s">
        <v>1401</v>
      </c>
      <c r="G184" s="117" t="s">
        <v>1399</v>
      </c>
      <c r="H184" s="51" t="s">
        <v>5098</v>
      </c>
    </row>
    <row r="185">
      <c r="A185" s="116">
        <v>31.0</v>
      </c>
      <c r="B185" s="117" t="s">
        <v>5129</v>
      </c>
      <c r="C185" s="116">
        <v>42.0</v>
      </c>
      <c r="D185" s="117">
        <v>1.608397E7</v>
      </c>
      <c r="E185" s="116" t="s">
        <v>4036</v>
      </c>
      <c r="F185" s="117" t="s">
        <v>1401</v>
      </c>
      <c r="G185" s="117" t="s">
        <v>1399</v>
      </c>
      <c r="H185" s="51" t="s">
        <v>5098</v>
      </c>
    </row>
    <row r="186">
      <c r="A186" s="116">
        <v>32.0</v>
      </c>
      <c r="B186" s="117" t="s">
        <v>5130</v>
      </c>
      <c r="C186" s="116">
        <v>78.0</v>
      </c>
      <c r="D186" s="117">
        <v>3551082.0</v>
      </c>
      <c r="E186" s="116" t="s">
        <v>4029</v>
      </c>
      <c r="F186" s="117" t="s">
        <v>1648</v>
      </c>
      <c r="G186" s="117" t="s">
        <v>5097</v>
      </c>
      <c r="H186" s="51" t="s">
        <v>5098</v>
      </c>
    </row>
    <row r="187">
      <c r="A187" s="116">
        <v>33.0</v>
      </c>
      <c r="B187" s="117" t="s">
        <v>5131</v>
      </c>
      <c r="C187" s="116">
        <v>68.0</v>
      </c>
      <c r="D187" s="117">
        <v>5114187.0</v>
      </c>
      <c r="E187" s="116" t="s">
        <v>4029</v>
      </c>
      <c r="F187" s="117" t="s">
        <v>1468</v>
      </c>
      <c r="G187" s="117" t="s">
        <v>1399</v>
      </c>
      <c r="H187" s="51" t="s">
        <v>5098</v>
      </c>
    </row>
    <row r="188">
      <c r="A188" s="116">
        <v>34.0</v>
      </c>
      <c r="B188" s="117" t="s">
        <v>5132</v>
      </c>
      <c r="C188" s="116">
        <v>57.0</v>
      </c>
      <c r="D188" s="117">
        <v>1.0810746E7</v>
      </c>
      <c r="E188" s="116" t="s">
        <v>4036</v>
      </c>
      <c r="F188" s="117" t="s">
        <v>1415</v>
      </c>
      <c r="G188" s="117" t="s">
        <v>1399</v>
      </c>
      <c r="H188" s="51" t="s">
        <v>5098</v>
      </c>
    </row>
    <row r="189">
      <c r="A189" s="116">
        <v>35.0</v>
      </c>
      <c r="B189" s="117" t="s">
        <v>5133</v>
      </c>
      <c r="C189" s="116">
        <v>21.0</v>
      </c>
      <c r="D189" s="118"/>
      <c r="E189" s="116" t="s">
        <v>4029</v>
      </c>
      <c r="F189" s="117" t="s">
        <v>1401</v>
      </c>
      <c r="G189" s="117" t="s">
        <v>1399</v>
      </c>
      <c r="H189" s="51" t="s">
        <v>5098</v>
      </c>
    </row>
    <row r="190">
      <c r="A190" s="116">
        <v>36.0</v>
      </c>
      <c r="B190" s="117" t="s">
        <v>5134</v>
      </c>
      <c r="C190" s="116">
        <v>77.0</v>
      </c>
      <c r="D190" s="117">
        <v>649768.0</v>
      </c>
      <c r="E190" s="116" t="s">
        <v>4036</v>
      </c>
      <c r="F190" s="117" t="s">
        <v>1401</v>
      </c>
      <c r="G190" s="117" t="s">
        <v>1399</v>
      </c>
      <c r="H190" s="51" t="s">
        <v>5098</v>
      </c>
    </row>
    <row r="191">
      <c r="A191" s="116">
        <v>37.0</v>
      </c>
      <c r="B191" s="117" t="s">
        <v>5135</v>
      </c>
      <c r="C191" s="116">
        <v>31.0</v>
      </c>
      <c r="D191" s="117">
        <v>2.2017564E7</v>
      </c>
      <c r="E191" s="116" t="s">
        <v>4029</v>
      </c>
      <c r="F191" s="117" t="s">
        <v>1679</v>
      </c>
      <c r="G191" s="117" t="s">
        <v>1399</v>
      </c>
      <c r="H191" s="51" t="s">
        <v>5098</v>
      </c>
    </row>
    <row r="192">
      <c r="A192" s="116">
        <v>38.0</v>
      </c>
      <c r="B192" s="117" t="s">
        <v>5136</v>
      </c>
      <c r="C192" s="116">
        <v>20.0</v>
      </c>
      <c r="D192" s="117">
        <v>3.3025749E7</v>
      </c>
      <c r="E192" s="116" t="s">
        <v>4036</v>
      </c>
      <c r="F192" s="117" t="s">
        <v>1485</v>
      </c>
      <c r="G192" s="117" t="s">
        <v>5115</v>
      </c>
      <c r="H192" s="51" t="s">
        <v>5098</v>
      </c>
    </row>
    <row r="193">
      <c r="A193" s="116">
        <v>39.0</v>
      </c>
      <c r="B193" s="117" t="s">
        <v>5137</v>
      </c>
      <c r="C193" s="116">
        <v>68.0</v>
      </c>
      <c r="D193" s="117">
        <v>6330439.0</v>
      </c>
      <c r="E193" s="116" t="s">
        <v>4029</v>
      </c>
      <c r="F193" s="117" t="s">
        <v>1465</v>
      </c>
      <c r="G193" s="117" t="s">
        <v>1399</v>
      </c>
      <c r="H193" s="51" t="s">
        <v>5098</v>
      </c>
    </row>
    <row r="194">
      <c r="A194" s="116">
        <v>40.0</v>
      </c>
      <c r="B194" s="117" t="s">
        <v>5138</v>
      </c>
      <c r="C194" s="116">
        <v>19.0</v>
      </c>
      <c r="D194" s="117">
        <v>3.1572269E7</v>
      </c>
      <c r="E194" s="116" t="s">
        <v>4036</v>
      </c>
      <c r="F194" s="117" t="s">
        <v>1401</v>
      </c>
      <c r="G194" s="117" t="s">
        <v>1399</v>
      </c>
      <c r="H194" s="51" t="s">
        <v>5098</v>
      </c>
    </row>
    <row r="195">
      <c r="A195" s="116">
        <v>41.0</v>
      </c>
      <c r="B195" s="117" t="s">
        <v>5139</v>
      </c>
      <c r="C195" s="116">
        <v>74.0</v>
      </c>
      <c r="D195" s="117">
        <v>3611764.0</v>
      </c>
      <c r="E195" s="116" t="s">
        <v>4036</v>
      </c>
      <c r="F195" s="117" t="s">
        <v>330</v>
      </c>
      <c r="G195" s="117" t="s">
        <v>1399</v>
      </c>
      <c r="H195" s="51" t="s">
        <v>5098</v>
      </c>
    </row>
    <row r="196">
      <c r="A196" s="116">
        <v>42.0</v>
      </c>
      <c r="B196" s="117" t="s">
        <v>5140</v>
      </c>
      <c r="C196" s="116">
        <v>69.0</v>
      </c>
      <c r="D196" s="117">
        <v>4556514.0</v>
      </c>
      <c r="E196" s="116" t="s">
        <v>4029</v>
      </c>
      <c r="F196" s="117" t="s">
        <v>330</v>
      </c>
      <c r="G196" s="117" t="s">
        <v>1399</v>
      </c>
      <c r="H196" s="51" t="s">
        <v>5098</v>
      </c>
    </row>
    <row r="197">
      <c r="A197" s="116">
        <v>43.0</v>
      </c>
      <c r="B197" s="117" t="s">
        <v>5141</v>
      </c>
      <c r="C197" s="116">
        <v>50.0</v>
      </c>
      <c r="D197" s="117">
        <v>1.1642518E7</v>
      </c>
      <c r="E197" s="116" t="s">
        <v>4029</v>
      </c>
      <c r="F197" s="117" t="s">
        <v>972</v>
      </c>
      <c r="G197" s="117" t="s">
        <v>1399</v>
      </c>
      <c r="H197" s="51" t="s">
        <v>5098</v>
      </c>
    </row>
    <row r="198">
      <c r="A198" s="116">
        <v>44.0</v>
      </c>
      <c r="B198" s="117" t="s">
        <v>5142</v>
      </c>
      <c r="C198" s="116">
        <v>76.0</v>
      </c>
      <c r="D198" s="117">
        <v>4631806.0</v>
      </c>
      <c r="E198" s="116" t="s">
        <v>4029</v>
      </c>
      <c r="F198" s="117" t="s">
        <v>330</v>
      </c>
      <c r="G198" s="117" t="s">
        <v>1399</v>
      </c>
      <c r="H198" s="51" t="s">
        <v>5098</v>
      </c>
    </row>
    <row r="199">
      <c r="A199" s="116">
        <v>45.0</v>
      </c>
      <c r="B199" s="117" t="s">
        <v>5143</v>
      </c>
      <c r="C199" s="116">
        <v>35.0</v>
      </c>
      <c r="D199" s="117">
        <v>1.821031E7</v>
      </c>
      <c r="E199" s="116" t="s">
        <v>4029</v>
      </c>
      <c r="F199" s="117" t="s">
        <v>1468</v>
      </c>
      <c r="G199" s="117" t="s">
        <v>1399</v>
      </c>
      <c r="H199" s="51" t="s">
        <v>5098</v>
      </c>
    </row>
    <row r="200">
      <c r="A200" s="116">
        <v>46.0</v>
      </c>
      <c r="B200" s="117" t="s">
        <v>5144</v>
      </c>
      <c r="C200" s="116">
        <v>59.0</v>
      </c>
      <c r="D200" s="117">
        <v>6270588.0</v>
      </c>
      <c r="E200" s="116" t="s">
        <v>4029</v>
      </c>
      <c r="F200" s="117" t="s">
        <v>330</v>
      </c>
      <c r="G200" s="117" t="s">
        <v>1399</v>
      </c>
      <c r="H200" s="51" t="s">
        <v>5098</v>
      </c>
    </row>
    <row r="201">
      <c r="A201" s="116">
        <v>47.0</v>
      </c>
      <c r="B201" s="117" t="s">
        <v>5145</v>
      </c>
      <c r="C201" s="116">
        <v>44.0</v>
      </c>
      <c r="D201" s="117">
        <v>1.428999E7</v>
      </c>
      <c r="E201" s="116" t="s">
        <v>4029</v>
      </c>
      <c r="F201" s="117" t="s">
        <v>1398</v>
      </c>
      <c r="G201" s="117" t="s">
        <v>5115</v>
      </c>
      <c r="H201" s="51" t="s">
        <v>5098</v>
      </c>
    </row>
    <row r="202">
      <c r="A202" s="116">
        <v>48.0</v>
      </c>
      <c r="B202" s="117" t="s">
        <v>5146</v>
      </c>
      <c r="C202" s="116">
        <v>16.0</v>
      </c>
      <c r="D202" s="117">
        <v>3.3067691E7</v>
      </c>
      <c r="E202" s="116" t="s">
        <v>4029</v>
      </c>
      <c r="F202" s="117" t="s">
        <v>330</v>
      </c>
      <c r="G202" s="117" t="s">
        <v>5115</v>
      </c>
      <c r="H202" s="51" t="s">
        <v>5098</v>
      </c>
    </row>
    <row r="203">
      <c r="A203" s="116">
        <v>49.0</v>
      </c>
      <c r="B203" s="117" t="s">
        <v>5147</v>
      </c>
      <c r="C203" s="116">
        <v>53.0</v>
      </c>
      <c r="D203" s="117">
        <v>1.1638401E7</v>
      </c>
      <c r="E203" s="116" t="s">
        <v>4029</v>
      </c>
      <c r="F203" s="117" t="s">
        <v>330</v>
      </c>
      <c r="G203" s="117" t="s">
        <v>5115</v>
      </c>
      <c r="H203" s="51" t="s">
        <v>5098</v>
      </c>
    </row>
    <row r="204">
      <c r="A204" s="116">
        <v>50.0</v>
      </c>
      <c r="B204" s="117" t="s">
        <v>5148</v>
      </c>
      <c r="C204" s="116">
        <v>32.0</v>
      </c>
      <c r="D204" s="117">
        <v>2.1364211E7</v>
      </c>
      <c r="E204" s="116" t="s">
        <v>4029</v>
      </c>
      <c r="F204" s="117" t="s">
        <v>330</v>
      </c>
      <c r="G204" s="117" t="s">
        <v>1399</v>
      </c>
      <c r="H204" s="51" t="s">
        <v>5098</v>
      </c>
    </row>
    <row r="205">
      <c r="A205" s="116">
        <v>51.0</v>
      </c>
      <c r="B205" s="117" t="s">
        <v>5149</v>
      </c>
      <c r="C205" s="116">
        <v>30.0</v>
      </c>
      <c r="D205" s="118"/>
      <c r="E205" s="116" t="s">
        <v>4029</v>
      </c>
      <c r="F205" s="117" t="s">
        <v>1398</v>
      </c>
      <c r="G205" s="117" t="s">
        <v>1399</v>
      </c>
      <c r="H205" s="51" t="s">
        <v>5098</v>
      </c>
    </row>
    <row r="206">
      <c r="A206" s="116">
        <v>52.0</v>
      </c>
      <c r="B206" s="117" t="s">
        <v>5150</v>
      </c>
      <c r="C206" s="116">
        <v>55.0</v>
      </c>
      <c r="D206" s="117">
        <v>8152742.0</v>
      </c>
      <c r="E206" s="116" t="s">
        <v>4029</v>
      </c>
      <c r="F206" s="117" t="s">
        <v>330</v>
      </c>
      <c r="G206" s="117" t="s">
        <v>1399</v>
      </c>
      <c r="H206" s="51" t="s">
        <v>5098</v>
      </c>
    </row>
    <row r="207">
      <c r="A207" s="116">
        <v>53.0</v>
      </c>
      <c r="B207" s="117" t="s">
        <v>5151</v>
      </c>
      <c r="C207" s="116">
        <v>58.0</v>
      </c>
      <c r="D207" s="117">
        <v>1.2540389E7</v>
      </c>
      <c r="E207" s="116" t="s">
        <v>4029</v>
      </c>
      <c r="F207" s="117" t="s">
        <v>330</v>
      </c>
      <c r="G207" s="117" t="s">
        <v>1399</v>
      </c>
      <c r="H207" s="51" t="s">
        <v>5098</v>
      </c>
    </row>
    <row r="208">
      <c r="A208" s="116">
        <v>54.0</v>
      </c>
      <c r="B208" s="117" t="s">
        <v>5152</v>
      </c>
      <c r="C208" s="116">
        <v>69.0</v>
      </c>
      <c r="D208" s="117">
        <v>5120175.0</v>
      </c>
      <c r="E208" s="116" t="s">
        <v>4029</v>
      </c>
      <c r="F208" s="117" t="s">
        <v>1401</v>
      </c>
      <c r="G208" s="117" t="s">
        <v>1399</v>
      </c>
      <c r="H208" s="51" t="s">
        <v>5098</v>
      </c>
    </row>
    <row r="209">
      <c r="A209" s="116">
        <v>55.0</v>
      </c>
      <c r="B209" s="117" t="s">
        <v>5153</v>
      </c>
      <c r="C209" s="116">
        <v>20.0</v>
      </c>
      <c r="D209" s="117">
        <v>3.1556775E7</v>
      </c>
      <c r="E209" s="116" t="s">
        <v>4029</v>
      </c>
      <c r="F209" s="117" t="s">
        <v>1514</v>
      </c>
      <c r="G209" s="117" t="s">
        <v>1399</v>
      </c>
      <c r="H209" s="51" t="s">
        <v>5098</v>
      </c>
    </row>
    <row r="210">
      <c r="A210" s="116">
        <v>56.0</v>
      </c>
      <c r="B210" s="117" t="s">
        <v>5154</v>
      </c>
      <c r="C210" s="116">
        <v>20.0</v>
      </c>
      <c r="D210" s="118"/>
      <c r="E210" s="116" t="s">
        <v>4029</v>
      </c>
      <c r="F210" s="117" t="s">
        <v>1499</v>
      </c>
      <c r="G210" s="117" t="s">
        <v>1399</v>
      </c>
      <c r="H210" s="51" t="s">
        <v>5098</v>
      </c>
    </row>
    <row r="211">
      <c r="A211" s="116">
        <v>57.0</v>
      </c>
      <c r="B211" s="117" t="s">
        <v>5155</v>
      </c>
      <c r="C211" s="116">
        <v>27.0</v>
      </c>
      <c r="D211" s="117">
        <v>2.6924423E7</v>
      </c>
      <c r="E211" s="116" t="s">
        <v>4036</v>
      </c>
      <c r="F211" s="117" t="s">
        <v>330</v>
      </c>
      <c r="G211" s="117" t="s">
        <v>1399</v>
      </c>
      <c r="H211" s="51" t="s">
        <v>5098</v>
      </c>
    </row>
    <row r="212">
      <c r="A212" s="116">
        <v>58.0</v>
      </c>
      <c r="B212" s="117" t="s">
        <v>5156</v>
      </c>
      <c r="C212" s="116">
        <v>48.0</v>
      </c>
      <c r="D212" s="117">
        <v>2321156.0</v>
      </c>
      <c r="E212" s="116" t="s">
        <v>4029</v>
      </c>
      <c r="F212" s="117" t="s">
        <v>330</v>
      </c>
      <c r="G212" s="117" t="s">
        <v>1399</v>
      </c>
      <c r="H212" s="51" t="s">
        <v>5098</v>
      </c>
    </row>
    <row r="213">
      <c r="A213" s="116">
        <v>59.0</v>
      </c>
      <c r="B213" s="117" t="s">
        <v>5157</v>
      </c>
      <c r="C213" s="116">
        <v>30.0</v>
      </c>
      <c r="D213" s="117">
        <v>2.4869842E7</v>
      </c>
      <c r="E213" s="116" t="s">
        <v>4036</v>
      </c>
      <c r="F213" s="117" t="s">
        <v>330</v>
      </c>
      <c r="G213" s="117" t="s">
        <v>5115</v>
      </c>
      <c r="H213" s="51" t="s">
        <v>5098</v>
      </c>
    </row>
    <row r="214">
      <c r="A214" s="116">
        <v>60.0</v>
      </c>
      <c r="B214" s="117" t="s">
        <v>5158</v>
      </c>
      <c r="C214" s="116">
        <v>24.0</v>
      </c>
      <c r="D214" s="117">
        <v>2.5132946E7</v>
      </c>
      <c r="E214" s="116" t="s">
        <v>4029</v>
      </c>
      <c r="F214" s="117" t="s">
        <v>330</v>
      </c>
      <c r="G214" s="117" t="s">
        <v>1399</v>
      </c>
      <c r="H214" s="51" t="s">
        <v>5098</v>
      </c>
    </row>
    <row r="215">
      <c r="A215" s="116">
        <v>61.0</v>
      </c>
      <c r="B215" s="117" t="s">
        <v>5159</v>
      </c>
      <c r="C215" s="116">
        <v>90.0</v>
      </c>
      <c r="D215" s="117">
        <v>1445299.0</v>
      </c>
      <c r="E215" s="116" t="s">
        <v>4029</v>
      </c>
      <c r="F215" s="117" t="s">
        <v>330</v>
      </c>
      <c r="G215" s="117" t="s">
        <v>5115</v>
      </c>
      <c r="H215" s="51" t="s">
        <v>5098</v>
      </c>
    </row>
    <row r="216">
      <c r="A216" s="116">
        <v>62.0</v>
      </c>
      <c r="B216" s="117" t="s">
        <v>5160</v>
      </c>
      <c r="C216" s="116">
        <v>58.0</v>
      </c>
      <c r="D216" s="117">
        <v>6914851.0</v>
      </c>
      <c r="E216" s="116" t="s">
        <v>4036</v>
      </c>
      <c r="F216" s="117" t="s">
        <v>1550</v>
      </c>
      <c r="G216" s="117" t="s">
        <v>1399</v>
      </c>
      <c r="H216" s="51" t="s">
        <v>5098</v>
      </c>
    </row>
    <row r="217">
      <c r="A217" s="116">
        <v>63.0</v>
      </c>
      <c r="B217" s="117" t="s">
        <v>5161</v>
      </c>
      <c r="C217" s="116">
        <v>81.0</v>
      </c>
      <c r="D217" s="117">
        <v>2199218.0</v>
      </c>
      <c r="E217" s="116" t="s">
        <v>4036</v>
      </c>
      <c r="F217" s="117" t="s">
        <v>1415</v>
      </c>
      <c r="G217" s="117" t="s">
        <v>5115</v>
      </c>
      <c r="H217" s="51" t="s">
        <v>5098</v>
      </c>
    </row>
    <row r="218">
      <c r="A218" s="116">
        <v>64.0</v>
      </c>
      <c r="B218" s="117" t="s">
        <v>5162</v>
      </c>
      <c r="C218" s="116">
        <v>49.0</v>
      </c>
      <c r="D218" s="117">
        <v>1.3375459E7</v>
      </c>
      <c r="E218" s="116" t="s">
        <v>4029</v>
      </c>
      <c r="F218" s="117" t="s">
        <v>1401</v>
      </c>
      <c r="G218" s="117" t="s">
        <v>1399</v>
      </c>
      <c r="H218" s="51" t="s">
        <v>5098</v>
      </c>
    </row>
    <row r="219">
      <c r="A219" s="116">
        <v>65.0</v>
      </c>
      <c r="B219" s="117" t="s">
        <v>5163</v>
      </c>
      <c r="C219" s="116">
        <v>46.0</v>
      </c>
      <c r="D219" s="117">
        <v>1.514781E7</v>
      </c>
      <c r="E219" s="116" t="s">
        <v>4036</v>
      </c>
      <c r="F219" s="117" t="s">
        <v>330</v>
      </c>
      <c r="G219" s="117" t="s">
        <v>1399</v>
      </c>
      <c r="H219" s="51" t="s">
        <v>5098</v>
      </c>
    </row>
    <row r="220">
      <c r="A220" s="116">
        <v>66.0</v>
      </c>
      <c r="B220" s="117" t="s">
        <v>5164</v>
      </c>
      <c r="C220" s="116">
        <v>40.0</v>
      </c>
      <c r="D220" s="117">
        <v>1.6135135E7</v>
      </c>
      <c r="E220" s="116" t="s">
        <v>4029</v>
      </c>
      <c r="F220" s="117" t="s">
        <v>330</v>
      </c>
      <c r="G220" s="117" t="s">
        <v>1399</v>
      </c>
      <c r="H220" s="51" t="s">
        <v>5098</v>
      </c>
    </row>
    <row r="221">
      <c r="A221" s="116">
        <v>67.0</v>
      </c>
      <c r="B221" s="117" t="s">
        <v>5165</v>
      </c>
      <c r="C221" s="116">
        <v>42.0</v>
      </c>
      <c r="D221" s="117">
        <v>1.5947646E7</v>
      </c>
      <c r="E221" s="116" t="s">
        <v>4029</v>
      </c>
      <c r="F221" s="117" t="s">
        <v>1401</v>
      </c>
      <c r="G221" s="117" t="s">
        <v>1399</v>
      </c>
      <c r="H221" s="51" t="s">
        <v>5098</v>
      </c>
    </row>
    <row r="222">
      <c r="A222" s="116">
        <v>68.0</v>
      </c>
      <c r="B222" s="117" t="s">
        <v>5166</v>
      </c>
      <c r="C222" s="116">
        <v>35.0</v>
      </c>
      <c r="D222" s="117">
        <v>3.1289457E7</v>
      </c>
      <c r="E222" s="116" t="s">
        <v>4029</v>
      </c>
      <c r="F222" s="117" t="s">
        <v>1499</v>
      </c>
      <c r="G222" s="117" t="s">
        <v>5167</v>
      </c>
      <c r="H222" s="51" t="s">
        <v>5098</v>
      </c>
    </row>
    <row r="223">
      <c r="A223" s="116">
        <v>69.0</v>
      </c>
      <c r="B223" s="117" t="s">
        <v>5168</v>
      </c>
      <c r="C223" s="116">
        <v>33.0</v>
      </c>
      <c r="D223" s="117">
        <v>2.5612616E7</v>
      </c>
      <c r="E223" s="116" t="s">
        <v>4029</v>
      </c>
      <c r="F223" s="117" t="s">
        <v>972</v>
      </c>
      <c r="G223" s="117" t="s">
        <v>1399</v>
      </c>
      <c r="H223" s="51" t="s">
        <v>5098</v>
      </c>
    </row>
    <row r="224">
      <c r="A224" s="116">
        <v>70.0</v>
      </c>
      <c r="B224" s="117" t="s">
        <v>5169</v>
      </c>
      <c r="C224" s="116">
        <v>57.0</v>
      </c>
      <c r="D224" s="117">
        <v>1.0581191E7</v>
      </c>
      <c r="E224" s="116" t="s">
        <v>4029</v>
      </c>
      <c r="F224" s="117" t="s">
        <v>330</v>
      </c>
      <c r="G224" s="117" t="s">
        <v>1399</v>
      </c>
      <c r="H224" s="51" t="s">
        <v>5098</v>
      </c>
    </row>
    <row r="225">
      <c r="A225" s="116">
        <v>71.0</v>
      </c>
      <c r="B225" s="117" t="s">
        <v>5170</v>
      </c>
      <c r="C225" s="116">
        <v>18.0</v>
      </c>
      <c r="D225" s="117">
        <v>3.3218435E7</v>
      </c>
      <c r="E225" s="116" t="s">
        <v>4029</v>
      </c>
      <c r="F225" s="117" t="s">
        <v>330</v>
      </c>
      <c r="G225" s="117" t="s">
        <v>1399</v>
      </c>
      <c r="H225" s="51" t="s">
        <v>5098</v>
      </c>
    </row>
    <row r="226">
      <c r="A226" s="116">
        <v>72.0</v>
      </c>
      <c r="B226" s="117" t="s">
        <v>5171</v>
      </c>
      <c r="C226" s="116">
        <v>37.0</v>
      </c>
      <c r="D226" s="117">
        <v>1.676999E7</v>
      </c>
      <c r="E226" s="116" t="s">
        <v>4036</v>
      </c>
      <c r="F226" s="117" t="s">
        <v>330</v>
      </c>
      <c r="G226" s="117" t="s">
        <v>1531</v>
      </c>
      <c r="H226" s="51" t="s">
        <v>5098</v>
      </c>
    </row>
    <row r="227">
      <c r="A227" s="116">
        <v>73.0</v>
      </c>
      <c r="B227" s="117" t="s">
        <v>5172</v>
      </c>
      <c r="C227" s="116">
        <v>34.0</v>
      </c>
      <c r="D227" s="117">
        <v>1.9445453E7</v>
      </c>
      <c r="E227" s="116" t="s">
        <v>4029</v>
      </c>
      <c r="F227" s="117" t="s">
        <v>330</v>
      </c>
      <c r="G227" s="117" t="s">
        <v>1399</v>
      </c>
      <c r="H227" s="51" t="s">
        <v>5098</v>
      </c>
    </row>
    <row r="228">
      <c r="A228" s="116">
        <v>74.0</v>
      </c>
      <c r="B228" s="117" t="s">
        <v>5173</v>
      </c>
      <c r="C228" s="116">
        <v>56.0</v>
      </c>
      <c r="D228" s="117">
        <v>6270109.0</v>
      </c>
      <c r="E228" s="116" t="s">
        <v>4029</v>
      </c>
      <c r="F228" s="117" t="s">
        <v>1503</v>
      </c>
      <c r="G228" s="117" t="s">
        <v>1399</v>
      </c>
      <c r="H228" s="51" t="s">
        <v>5098</v>
      </c>
    </row>
    <row r="229">
      <c r="A229" s="116">
        <v>75.0</v>
      </c>
      <c r="B229" s="117" t="s">
        <v>5174</v>
      </c>
      <c r="C229" s="116">
        <v>72.0</v>
      </c>
      <c r="D229" s="117">
        <v>4281217.0</v>
      </c>
      <c r="E229" s="116" t="s">
        <v>4029</v>
      </c>
      <c r="F229" s="117" t="s">
        <v>330</v>
      </c>
      <c r="G229" s="117" t="s">
        <v>1399</v>
      </c>
      <c r="H229" s="51" t="s">
        <v>5098</v>
      </c>
    </row>
    <row r="230">
      <c r="A230" s="116">
        <v>76.0</v>
      </c>
      <c r="B230" s="117" t="s">
        <v>5175</v>
      </c>
      <c r="C230" s="116">
        <v>61.0</v>
      </c>
      <c r="D230" s="117">
        <v>6916206.0</v>
      </c>
      <c r="E230" s="116" t="s">
        <v>4029</v>
      </c>
      <c r="F230" s="117" t="s">
        <v>330</v>
      </c>
      <c r="G230" s="117" t="s">
        <v>1651</v>
      </c>
      <c r="H230" s="51" t="s">
        <v>5098</v>
      </c>
    </row>
    <row r="231">
      <c r="A231" s="116">
        <v>77.0</v>
      </c>
      <c r="B231" s="117" t="s">
        <v>5176</v>
      </c>
      <c r="C231" s="116">
        <v>23.0</v>
      </c>
      <c r="D231" s="117">
        <v>3.1312002E7</v>
      </c>
      <c r="E231" s="116" t="s">
        <v>4036</v>
      </c>
      <c r="F231" s="117" t="s">
        <v>330</v>
      </c>
      <c r="G231" s="117" t="s">
        <v>1534</v>
      </c>
      <c r="H231" s="51" t="s">
        <v>5098</v>
      </c>
    </row>
    <row r="232">
      <c r="A232" s="116">
        <v>78.0</v>
      </c>
      <c r="B232" s="117" t="s">
        <v>5177</v>
      </c>
      <c r="C232" s="116">
        <v>47.0</v>
      </c>
      <c r="D232" s="117">
        <v>1.1015849E7</v>
      </c>
      <c r="E232" s="116" t="s">
        <v>4029</v>
      </c>
      <c r="F232" s="117" t="s">
        <v>1401</v>
      </c>
      <c r="G232" s="117" t="s">
        <v>1399</v>
      </c>
      <c r="H232" s="51" t="s">
        <v>5098</v>
      </c>
    </row>
    <row r="233">
      <c r="A233" s="116">
        <v>79.0</v>
      </c>
      <c r="B233" s="117" t="s">
        <v>5178</v>
      </c>
      <c r="C233" s="116">
        <v>47.0</v>
      </c>
      <c r="D233" s="117">
        <v>1.3466342E7</v>
      </c>
      <c r="E233" s="116" t="s">
        <v>4029</v>
      </c>
      <c r="F233" s="117" t="s">
        <v>1401</v>
      </c>
      <c r="G233" s="117" t="s">
        <v>1399</v>
      </c>
      <c r="H233" s="51" t="s">
        <v>5098</v>
      </c>
    </row>
    <row r="234">
      <c r="A234" s="116">
        <v>80.0</v>
      </c>
      <c r="B234" s="117" t="s">
        <v>5179</v>
      </c>
      <c r="C234" s="116">
        <v>57.0</v>
      </c>
      <c r="D234" s="117">
        <v>9999170.0</v>
      </c>
      <c r="E234" s="116" t="s">
        <v>4029</v>
      </c>
      <c r="F234" s="117" t="s">
        <v>1415</v>
      </c>
      <c r="G234" s="117" t="s">
        <v>1669</v>
      </c>
      <c r="H234" s="51" t="s">
        <v>5098</v>
      </c>
    </row>
    <row r="235">
      <c r="A235" s="116">
        <v>81.0</v>
      </c>
      <c r="B235" s="117" t="s">
        <v>5180</v>
      </c>
      <c r="C235" s="116">
        <v>45.0</v>
      </c>
      <c r="D235" s="117">
        <v>1.5034147E7</v>
      </c>
      <c r="E235" s="116" t="s">
        <v>4029</v>
      </c>
      <c r="F235" s="117" t="s">
        <v>1546</v>
      </c>
      <c r="G235" s="117" t="s">
        <v>1547</v>
      </c>
      <c r="H235" s="51" t="s">
        <v>5098</v>
      </c>
    </row>
    <row r="236">
      <c r="A236" s="116">
        <v>82.0</v>
      </c>
      <c r="B236" s="117" t="s">
        <v>5181</v>
      </c>
      <c r="C236" s="116">
        <v>28.0</v>
      </c>
      <c r="D236" s="117">
        <v>2.7178947E7</v>
      </c>
      <c r="E236" s="116" t="s">
        <v>4036</v>
      </c>
      <c r="F236" s="117" t="s">
        <v>1672</v>
      </c>
      <c r="G236" s="117" t="s">
        <v>1673</v>
      </c>
      <c r="H236" s="51" t="s">
        <v>5098</v>
      </c>
    </row>
    <row r="237">
      <c r="A237" s="116">
        <v>83.0</v>
      </c>
      <c r="B237" s="117" t="s">
        <v>5182</v>
      </c>
      <c r="C237" s="116">
        <v>47.0</v>
      </c>
      <c r="D237" s="117">
        <v>5323419.0</v>
      </c>
      <c r="E237" s="116" t="s">
        <v>4029</v>
      </c>
      <c r="F237" s="117" t="s">
        <v>1401</v>
      </c>
      <c r="G237" s="117" t="s">
        <v>1399</v>
      </c>
      <c r="H237" s="51" t="s">
        <v>5098</v>
      </c>
    </row>
    <row r="238">
      <c r="A238" s="116">
        <v>84.0</v>
      </c>
      <c r="B238" s="117" t="s">
        <v>5183</v>
      </c>
      <c r="C238" s="116">
        <v>34.0</v>
      </c>
      <c r="D238" s="118"/>
      <c r="E238" s="116" t="s">
        <v>4029</v>
      </c>
      <c r="F238" s="117" t="s">
        <v>1468</v>
      </c>
      <c r="G238" s="117" t="s">
        <v>1399</v>
      </c>
      <c r="H238" s="51" t="s">
        <v>5098</v>
      </c>
    </row>
    <row r="239">
      <c r="A239" s="116">
        <v>85.0</v>
      </c>
      <c r="B239" s="117" t="s">
        <v>5184</v>
      </c>
      <c r="C239" s="116">
        <v>44.0</v>
      </c>
      <c r="D239" s="117">
        <v>1.5160619E7</v>
      </c>
      <c r="E239" s="116" t="s">
        <v>4029</v>
      </c>
      <c r="F239" s="117" t="s">
        <v>1676</v>
      </c>
      <c r="G239" s="117" t="s">
        <v>1399</v>
      </c>
      <c r="H239" s="51" t="s">
        <v>5098</v>
      </c>
    </row>
    <row r="240">
      <c r="A240" s="116">
        <v>86.0</v>
      </c>
      <c r="B240" s="117" t="s">
        <v>5185</v>
      </c>
      <c r="C240" s="116">
        <v>19.0</v>
      </c>
      <c r="D240" s="117">
        <v>3.1950088E7</v>
      </c>
      <c r="E240" s="116" t="s">
        <v>4029</v>
      </c>
      <c r="F240" s="117" t="s">
        <v>1398</v>
      </c>
      <c r="G240" s="117" t="s">
        <v>1399</v>
      </c>
      <c r="H240" s="51" t="s">
        <v>5098</v>
      </c>
    </row>
    <row r="241">
      <c r="A241" s="116">
        <v>87.0</v>
      </c>
      <c r="B241" s="117" t="s">
        <v>5186</v>
      </c>
      <c r="C241" s="116">
        <v>59.0</v>
      </c>
      <c r="D241" s="117">
        <v>1.0549929E7</v>
      </c>
      <c r="E241" s="116" t="s">
        <v>4036</v>
      </c>
      <c r="F241" s="117" t="s">
        <v>1468</v>
      </c>
      <c r="G241" s="117" t="s">
        <v>1399</v>
      </c>
      <c r="H241" s="51" t="s">
        <v>5098</v>
      </c>
    </row>
    <row r="242">
      <c r="A242" s="116">
        <v>88.0</v>
      </c>
      <c r="B242" s="117" t="s">
        <v>5187</v>
      </c>
      <c r="C242" s="116">
        <v>42.0</v>
      </c>
      <c r="D242" s="117">
        <v>1.6598007E7</v>
      </c>
      <c r="E242" s="116" t="s">
        <v>4029</v>
      </c>
      <c r="F242" s="117" t="s">
        <v>330</v>
      </c>
      <c r="G242" s="117" t="s">
        <v>1399</v>
      </c>
      <c r="H242" s="51" t="s">
        <v>5098</v>
      </c>
    </row>
    <row r="243">
      <c r="A243" s="116">
        <v>89.0</v>
      </c>
      <c r="B243" s="117" t="s">
        <v>5188</v>
      </c>
      <c r="C243" s="116">
        <v>28.0</v>
      </c>
      <c r="D243" s="117">
        <v>2.7163747E7</v>
      </c>
      <c r="E243" s="116" t="s">
        <v>4029</v>
      </c>
      <c r="F243" s="117" t="s">
        <v>972</v>
      </c>
      <c r="G243" s="117" t="s">
        <v>1399</v>
      </c>
      <c r="H243" s="51" t="s">
        <v>5098</v>
      </c>
    </row>
    <row r="244">
      <c r="A244" s="116">
        <v>90.0</v>
      </c>
      <c r="B244" s="117" t="s">
        <v>5189</v>
      </c>
      <c r="C244" s="116">
        <v>50.0</v>
      </c>
      <c r="D244" s="117">
        <v>1.2635625E7</v>
      </c>
      <c r="E244" s="116" t="s">
        <v>4029</v>
      </c>
      <c r="F244" s="117" t="s">
        <v>1454</v>
      </c>
      <c r="G244" s="117" t="s">
        <v>1399</v>
      </c>
      <c r="H244" s="51" t="s">
        <v>5098</v>
      </c>
    </row>
    <row r="245">
      <c r="A245" s="116">
        <v>91.0</v>
      </c>
      <c r="B245" s="117" t="s">
        <v>5123</v>
      </c>
      <c r="C245" s="116">
        <v>63.0</v>
      </c>
      <c r="D245" s="117">
        <v>648196.0</v>
      </c>
      <c r="E245" s="116" t="s">
        <v>4036</v>
      </c>
      <c r="F245" s="117" t="s">
        <v>1398</v>
      </c>
      <c r="G245" s="117" t="s">
        <v>1399</v>
      </c>
      <c r="H245" s="51" t="s">
        <v>5098</v>
      </c>
    </row>
    <row r="246">
      <c r="A246" s="116">
        <v>92.0</v>
      </c>
      <c r="B246" s="117" t="s">
        <v>5190</v>
      </c>
      <c r="C246" s="116">
        <v>58.0</v>
      </c>
      <c r="D246" s="117">
        <v>1.1398889E7</v>
      </c>
      <c r="E246" s="116" t="s">
        <v>4036</v>
      </c>
      <c r="F246" s="117" t="s">
        <v>330</v>
      </c>
      <c r="G246" s="117" t="s">
        <v>1399</v>
      </c>
      <c r="H246" s="51" t="s">
        <v>5098</v>
      </c>
    </row>
    <row r="247">
      <c r="A247" s="116">
        <v>93.0</v>
      </c>
      <c r="B247" s="117" t="s">
        <v>5191</v>
      </c>
      <c r="C247" s="116">
        <v>69.0</v>
      </c>
      <c r="D247" s="117">
        <v>4556514.0</v>
      </c>
      <c r="E247" s="116" t="s">
        <v>4029</v>
      </c>
      <c r="F247" s="117" t="s">
        <v>330</v>
      </c>
      <c r="G247" s="117" t="s">
        <v>1399</v>
      </c>
      <c r="H247" s="51" t="s">
        <v>5098</v>
      </c>
    </row>
    <row r="248">
      <c r="A248" s="116">
        <v>94.0</v>
      </c>
      <c r="B248" s="117" t="s">
        <v>5163</v>
      </c>
      <c r="C248" s="116">
        <v>46.0</v>
      </c>
      <c r="D248" s="117">
        <v>1.514781E7</v>
      </c>
      <c r="E248" s="116" t="s">
        <v>4036</v>
      </c>
      <c r="F248" s="117" t="s">
        <v>330</v>
      </c>
      <c r="G248" s="117" t="s">
        <v>1399</v>
      </c>
      <c r="H248" s="51" t="s">
        <v>5098</v>
      </c>
    </row>
    <row r="249">
      <c r="A249" s="116">
        <v>95.0</v>
      </c>
      <c r="B249" s="117" t="s">
        <v>5192</v>
      </c>
      <c r="C249" s="116">
        <v>35.0</v>
      </c>
      <c r="D249" s="117">
        <v>1.9937977E7</v>
      </c>
      <c r="E249" s="116" t="s">
        <v>4036</v>
      </c>
      <c r="F249" s="117" t="s">
        <v>330</v>
      </c>
      <c r="G249" s="117" t="s">
        <v>1519</v>
      </c>
      <c r="H249" s="51" t="s">
        <v>5098</v>
      </c>
    </row>
    <row r="250">
      <c r="A250" s="116">
        <v>96.0</v>
      </c>
      <c r="B250" s="117" t="s">
        <v>5193</v>
      </c>
      <c r="C250" s="116">
        <v>42.0</v>
      </c>
      <c r="D250" s="117">
        <v>1.6147144E7</v>
      </c>
      <c r="E250" s="116" t="s">
        <v>4036</v>
      </c>
      <c r="F250" s="117" t="s">
        <v>1526</v>
      </c>
      <c r="G250" s="117" t="s">
        <v>1635</v>
      </c>
      <c r="H250" s="51" t="s">
        <v>5098</v>
      </c>
    </row>
    <row r="251">
      <c r="A251" s="116">
        <v>97.0</v>
      </c>
      <c r="B251" s="117" t="s">
        <v>5194</v>
      </c>
      <c r="C251" s="116">
        <v>80.0</v>
      </c>
      <c r="D251" s="117">
        <v>3197845.0</v>
      </c>
      <c r="E251" s="116" t="s">
        <v>4029</v>
      </c>
      <c r="F251" s="117" t="s">
        <v>330</v>
      </c>
      <c r="G251" s="117" t="s">
        <v>1660</v>
      </c>
      <c r="H251" s="51" t="s">
        <v>5098</v>
      </c>
    </row>
    <row r="252">
      <c r="A252" s="116">
        <v>98.0</v>
      </c>
      <c r="B252" s="117" t="s">
        <v>5195</v>
      </c>
      <c r="C252" s="116">
        <v>41.0</v>
      </c>
      <c r="D252" s="117">
        <v>2.4800896E7</v>
      </c>
      <c r="E252" s="116" t="s">
        <v>4036</v>
      </c>
      <c r="F252" s="117" t="s">
        <v>330</v>
      </c>
      <c r="G252" s="117" t="s">
        <v>1612</v>
      </c>
      <c r="H252" s="51" t="s">
        <v>5098</v>
      </c>
    </row>
    <row r="253">
      <c r="A253" s="116">
        <v>99.0</v>
      </c>
      <c r="B253" s="117" t="s">
        <v>5196</v>
      </c>
      <c r="C253" s="116">
        <v>47.0</v>
      </c>
      <c r="D253" s="117">
        <v>1.9035791E7</v>
      </c>
      <c r="E253" s="116" t="s">
        <v>4036</v>
      </c>
      <c r="F253" s="117" t="s">
        <v>330</v>
      </c>
      <c r="G253" s="117" t="s">
        <v>1419</v>
      </c>
      <c r="H253" s="51" t="s">
        <v>5098</v>
      </c>
    </row>
    <row r="254">
      <c r="A254" s="116">
        <v>100.0</v>
      </c>
      <c r="B254" s="117" t="s">
        <v>5197</v>
      </c>
      <c r="C254" s="116">
        <v>20.0</v>
      </c>
      <c r="D254" s="117">
        <v>1.5831958E7</v>
      </c>
      <c r="E254" s="116" t="s">
        <v>4036</v>
      </c>
      <c r="F254" s="117" t="s">
        <v>1703</v>
      </c>
      <c r="G254" s="117" t="s">
        <v>1399</v>
      </c>
      <c r="H254" s="51" t="s">
        <v>5098</v>
      </c>
    </row>
    <row r="255">
      <c r="A255" s="116">
        <v>101.0</v>
      </c>
      <c r="B255" s="117" t="s">
        <v>5198</v>
      </c>
      <c r="C255" s="116">
        <v>17.0</v>
      </c>
      <c r="D255" s="117">
        <v>3138243.0</v>
      </c>
      <c r="E255" s="116" t="s">
        <v>4029</v>
      </c>
      <c r="F255" s="117" t="s">
        <v>1401</v>
      </c>
      <c r="G255" s="117" t="s">
        <v>1462</v>
      </c>
      <c r="H255" s="51" t="s">
        <v>5098</v>
      </c>
    </row>
    <row r="256">
      <c r="A256" s="116">
        <v>102.0</v>
      </c>
      <c r="B256" s="117" t="s">
        <v>5199</v>
      </c>
      <c r="C256" s="116">
        <v>77.0</v>
      </c>
      <c r="D256" s="117">
        <v>3342558.0</v>
      </c>
      <c r="E256" s="116" t="s">
        <v>4029</v>
      </c>
      <c r="F256" s="117" t="s">
        <v>330</v>
      </c>
      <c r="G256" s="117" t="s">
        <v>1399</v>
      </c>
      <c r="H256" s="51" t="s">
        <v>5098</v>
      </c>
    </row>
    <row r="257">
      <c r="A257" s="116">
        <v>103.0</v>
      </c>
      <c r="B257" s="117" t="s">
        <v>5200</v>
      </c>
      <c r="C257" s="116">
        <v>62.0</v>
      </c>
      <c r="D257" s="117">
        <v>9212014.0</v>
      </c>
      <c r="E257" s="116" t="s">
        <v>4036</v>
      </c>
      <c r="F257" s="117" t="s">
        <v>1401</v>
      </c>
      <c r="G257" s="117" t="s">
        <v>1686</v>
      </c>
      <c r="H257" s="51" t="s">
        <v>5098</v>
      </c>
    </row>
    <row r="258">
      <c r="A258" s="116">
        <v>104.0</v>
      </c>
      <c r="B258" s="117" t="s">
        <v>5201</v>
      </c>
      <c r="C258" s="116">
        <v>72.0</v>
      </c>
      <c r="D258" s="117">
        <v>3046825.0</v>
      </c>
      <c r="E258" s="116" t="s">
        <v>4029</v>
      </c>
      <c r="F258" s="117" t="s">
        <v>330</v>
      </c>
      <c r="G258" s="117" t="s">
        <v>1399</v>
      </c>
      <c r="H258" s="51" t="s">
        <v>5098</v>
      </c>
    </row>
    <row r="259">
      <c r="A259" s="116">
        <v>105.0</v>
      </c>
      <c r="B259" s="117" t="s">
        <v>5202</v>
      </c>
      <c r="C259" s="116">
        <v>25.0</v>
      </c>
      <c r="D259" s="117">
        <v>2.7606935E7</v>
      </c>
      <c r="E259" s="116" t="s">
        <v>4029</v>
      </c>
      <c r="F259" s="117" t="s">
        <v>1468</v>
      </c>
      <c r="G259" s="117" t="s">
        <v>1399</v>
      </c>
      <c r="H259" s="51" t="s">
        <v>5098</v>
      </c>
    </row>
    <row r="260">
      <c r="A260" s="116">
        <v>106.0</v>
      </c>
      <c r="B260" s="117" t="s">
        <v>5203</v>
      </c>
      <c r="C260" s="116">
        <v>37.0</v>
      </c>
      <c r="D260" s="117">
        <v>1.947727E7</v>
      </c>
      <c r="E260" s="116" t="s">
        <v>4029</v>
      </c>
      <c r="F260" s="117" t="s">
        <v>330</v>
      </c>
      <c r="G260" s="117" t="s">
        <v>1399</v>
      </c>
      <c r="H260" s="51" t="s">
        <v>5098</v>
      </c>
    </row>
    <row r="261">
      <c r="A261" s="116">
        <v>107.0</v>
      </c>
      <c r="B261" s="117" t="s">
        <v>5204</v>
      </c>
      <c r="C261" s="116">
        <v>37.0</v>
      </c>
      <c r="D261" s="117">
        <v>1.8323984E7</v>
      </c>
      <c r="E261" s="116" t="s">
        <v>4036</v>
      </c>
      <c r="F261" s="117" t="s">
        <v>330</v>
      </c>
      <c r="G261" s="117" t="s">
        <v>1399</v>
      </c>
      <c r="H261" s="51" t="s">
        <v>5098</v>
      </c>
    </row>
    <row r="262">
      <c r="A262" s="116">
        <v>108.0</v>
      </c>
      <c r="B262" s="117" t="s">
        <v>5205</v>
      </c>
      <c r="C262" s="116">
        <v>66.0</v>
      </c>
      <c r="D262" s="117">
        <v>647035.0</v>
      </c>
      <c r="E262" s="116" t="s">
        <v>4036</v>
      </c>
      <c r="F262" s="117" t="s">
        <v>1398</v>
      </c>
      <c r="G262" s="117" t="s">
        <v>1399</v>
      </c>
      <c r="H262" s="51" t="s">
        <v>5098</v>
      </c>
    </row>
    <row r="263">
      <c r="A263" s="116">
        <v>109.0</v>
      </c>
      <c r="B263" s="117" t="s">
        <v>5206</v>
      </c>
      <c r="C263" s="116">
        <v>52.0</v>
      </c>
      <c r="D263" s="117">
        <v>1.4216454E7</v>
      </c>
      <c r="E263" s="116" t="s">
        <v>4029</v>
      </c>
      <c r="F263" s="117" t="s">
        <v>330</v>
      </c>
      <c r="G263" s="117" t="s">
        <v>1399</v>
      </c>
      <c r="H263" s="51" t="s">
        <v>5098</v>
      </c>
    </row>
    <row r="264">
      <c r="A264" s="116">
        <v>110.0</v>
      </c>
      <c r="B264" s="117" t="s">
        <v>5190</v>
      </c>
      <c r="C264" s="116">
        <v>53.0</v>
      </c>
      <c r="D264" s="117">
        <v>1.1139889E7</v>
      </c>
      <c r="E264" s="116" t="s">
        <v>4036</v>
      </c>
      <c r="F264" s="117" t="s">
        <v>330</v>
      </c>
      <c r="G264" s="117" t="s">
        <v>1399</v>
      </c>
      <c r="H264" s="51" t="s">
        <v>5098</v>
      </c>
    </row>
    <row r="265">
      <c r="A265" s="116">
        <v>111.0</v>
      </c>
      <c r="B265" s="117" t="s">
        <v>5207</v>
      </c>
      <c r="C265" s="116">
        <v>19.0</v>
      </c>
      <c r="D265" s="117">
        <v>3.2074333E7</v>
      </c>
      <c r="E265" s="116" t="s">
        <v>4029</v>
      </c>
      <c r="F265" s="117" t="s">
        <v>330</v>
      </c>
      <c r="G265" s="117" t="s">
        <v>1399</v>
      </c>
      <c r="H265" s="51" t="s">
        <v>5098</v>
      </c>
    </row>
    <row r="266">
      <c r="A266" s="116">
        <v>112.0</v>
      </c>
      <c r="B266" s="117" t="s">
        <v>5208</v>
      </c>
      <c r="C266" s="116">
        <v>20.0</v>
      </c>
      <c r="D266" s="117">
        <v>2.8001615E7</v>
      </c>
      <c r="E266" s="116" t="s">
        <v>4029</v>
      </c>
      <c r="F266" s="117" t="s">
        <v>330</v>
      </c>
      <c r="G266" s="117" t="s">
        <v>1399</v>
      </c>
      <c r="H266" s="51" t="s">
        <v>5098</v>
      </c>
    </row>
    <row r="267">
      <c r="A267" s="116">
        <v>113.0</v>
      </c>
      <c r="B267" s="117" t="s">
        <v>5209</v>
      </c>
      <c r="C267" s="116">
        <v>25.0</v>
      </c>
      <c r="D267" s="117">
        <v>2.8453309E7</v>
      </c>
      <c r="E267" s="116" t="s">
        <v>4029</v>
      </c>
      <c r="F267" s="117" t="s">
        <v>330</v>
      </c>
      <c r="G267" s="117" t="s">
        <v>1399</v>
      </c>
      <c r="H267" s="51" t="s">
        <v>5098</v>
      </c>
    </row>
    <row r="268">
      <c r="A268" s="116">
        <v>114.0</v>
      </c>
      <c r="B268" s="117" t="s">
        <v>5210</v>
      </c>
      <c r="C268" s="116">
        <v>29.0</v>
      </c>
      <c r="D268" s="117">
        <v>1.7755833E7</v>
      </c>
      <c r="E268" s="116" t="s">
        <v>4036</v>
      </c>
      <c r="F268" s="117" t="s">
        <v>1398</v>
      </c>
      <c r="G268" s="117" t="s">
        <v>1399</v>
      </c>
      <c r="H268" s="51" t="s">
        <v>5098</v>
      </c>
    </row>
    <row r="269">
      <c r="A269" s="119">
        <v>115.0</v>
      </c>
      <c r="B269" s="120" t="s">
        <v>5211</v>
      </c>
      <c r="C269" s="119">
        <v>23.0</v>
      </c>
      <c r="D269" s="120">
        <v>2.9910706E7</v>
      </c>
      <c r="E269" s="119" t="s">
        <v>4036</v>
      </c>
      <c r="F269" s="120" t="s">
        <v>1643</v>
      </c>
      <c r="G269" s="120" t="s">
        <v>1399</v>
      </c>
      <c r="H269" s="51" t="s">
        <v>5098</v>
      </c>
    </row>
    <row r="270">
      <c r="A270" s="116">
        <v>116.0</v>
      </c>
      <c r="B270" s="117" t="s">
        <v>5212</v>
      </c>
      <c r="C270" s="116">
        <v>16.0</v>
      </c>
      <c r="D270" s="117">
        <v>3.3010536E7</v>
      </c>
      <c r="E270" s="116" t="s">
        <v>4029</v>
      </c>
      <c r="F270" s="117" t="s">
        <v>330</v>
      </c>
      <c r="G270" s="117" t="s">
        <v>1399</v>
      </c>
      <c r="H270" s="51" t="s">
        <v>5098</v>
      </c>
    </row>
    <row r="271">
      <c r="A271" s="116">
        <v>117.0</v>
      </c>
      <c r="B271" s="117" t="s">
        <v>5213</v>
      </c>
      <c r="C271" s="116">
        <v>16.0</v>
      </c>
      <c r="D271" s="117">
        <v>3.292238E7</v>
      </c>
      <c r="E271" s="116" t="s">
        <v>4036</v>
      </c>
      <c r="F271" s="117" t="s">
        <v>330</v>
      </c>
      <c r="G271" s="117" t="s">
        <v>1399</v>
      </c>
      <c r="H271" s="51" t="s">
        <v>5098</v>
      </c>
    </row>
    <row r="272">
      <c r="A272" s="116">
        <v>118.0</v>
      </c>
      <c r="B272" s="117" t="s">
        <v>5214</v>
      </c>
      <c r="C272" s="116">
        <v>41.0</v>
      </c>
      <c r="D272" s="117">
        <v>1.7982017E7</v>
      </c>
      <c r="E272" s="116" t="s">
        <v>4036</v>
      </c>
      <c r="F272" s="117" t="s">
        <v>330</v>
      </c>
      <c r="G272" s="117" t="s">
        <v>1399</v>
      </c>
      <c r="H272" s="51" t="s">
        <v>5098</v>
      </c>
    </row>
    <row r="273">
      <c r="A273" s="116">
        <v>119.0</v>
      </c>
      <c r="B273" s="117" t="s">
        <v>5215</v>
      </c>
      <c r="C273" s="116">
        <v>37.0</v>
      </c>
      <c r="D273" s="117">
        <v>1.9272179E7</v>
      </c>
      <c r="E273" s="116" t="s">
        <v>4029</v>
      </c>
      <c r="F273" s="117" t="s">
        <v>330</v>
      </c>
      <c r="G273" s="117" t="s">
        <v>1399</v>
      </c>
      <c r="H273" s="51" t="s">
        <v>5098</v>
      </c>
    </row>
    <row r="274">
      <c r="A274" s="116">
        <v>120.0</v>
      </c>
      <c r="B274" s="117" t="s">
        <v>5216</v>
      </c>
      <c r="C274" s="116">
        <v>49.0</v>
      </c>
      <c r="D274" s="117">
        <v>1.0683348E7</v>
      </c>
      <c r="E274" s="116" t="s">
        <v>4036</v>
      </c>
      <c r="F274" s="117" t="s">
        <v>330</v>
      </c>
      <c r="G274" s="117" t="s">
        <v>1399</v>
      </c>
      <c r="H274" s="51" t="s">
        <v>5098</v>
      </c>
    </row>
    <row r="275">
      <c r="A275" s="116">
        <v>121.0</v>
      </c>
      <c r="B275" s="117" t="s">
        <v>5217</v>
      </c>
      <c r="C275" s="116">
        <v>47.0</v>
      </c>
      <c r="D275" s="117">
        <v>1.5625037E7</v>
      </c>
      <c r="E275" s="116" t="s">
        <v>4036</v>
      </c>
      <c r="F275" s="117" t="s">
        <v>330</v>
      </c>
      <c r="G275" s="117" t="s">
        <v>1399</v>
      </c>
      <c r="H275" s="51" t="s">
        <v>5098</v>
      </c>
    </row>
    <row r="276">
      <c r="A276" s="116">
        <v>122.0</v>
      </c>
      <c r="B276" s="117" t="s">
        <v>5218</v>
      </c>
      <c r="C276" s="116">
        <v>29.0</v>
      </c>
      <c r="D276" s="117">
        <v>2.9656134E7</v>
      </c>
      <c r="E276" s="116" t="s">
        <v>4029</v>
      </c>
      <c r="F276" s="117" t="s">
        <v>330</v>
      </c>
      <c r="G276" s="117" t="s">
        <v>1399</v>
      </c>
      <c r="H276" s="51" t="s">
        <v>5098</v>
      </c>
    </row>
    <row r="277">
      <c r="A277" s="116">
        <v>123.0</v>
      </c>
      <c r="B277" s="117" t="s">
        <v>5219</v>
      </c>
      <c r="C277" s="116">
        <v>67.0</v>
      </c>
      <c r="D277" s="117">
        <v>5827267.0</v>
      </c>
      <c r="E277" s="116" t="s">
        <v>4029</v>
      </c>
      <c r="F277" s="117" t="s">
        <v>330</v>
      </c>
      <c r="G277" s="117" t="s">
        <v>1399</v>
      </c>
      <c r="H277" s="51" t="s">
        <v>5098</v>
      </c>
    </row>
    <row r="278">
      <c r="A278" s="116">
        <v>124.0</v>
      </c>
      <c r="B278" s="117" t="s">
        <v>5173</v>
      </c>
      <c r="C278" s="116">
        <v>56.0</v>
      </c>
      <c r="D278" s="118"/>
      <c r="E278" s="116" t="s">
        <v>4029</v>
      </c>
      <c r="F278" s="117" t="s">
        <v>5220</v>
      </c>
      <c r="G278" s="121"/>
      <c r="H278" s="51" t="s">
        <v>5098</v>
      </c>
    </row>
    <row r="279">
      <c r="A279" s="116">
        <v>125.0</v>
      </c>
      <c r="B279" s="117" t="s">
        <v>5221</v>
      </c>
      <c r="C279" s="116">
        <v>26.0</v>
      </c>
      <c r="D279" s="117">
        <v>2.7956623E7</v>
      </c>
      <c r="E279" s="116" t="s">
        <v>4029</v>
      </c>
      <c r="F279" s="117" t="s">
        <v>330</v>
      </c>
      <c r="G279" s="117" t="s">
        <v>1399</v>
      </c>
      <c r="H279" s="51" t="s">
        <v>5098</v>
      </c>
    </row>
    <row r="280">
      <c r="A280" s="116">
        <v>126.0</v>
      </c>
      <c r="B280" s="117" t="s">
        <v>5222</v>
      </c>
      <c r="C280" s="116">
        <v>31.0</v>
      </c>
      <c r="D280" s="117">
        <v>2.4802937E7</v>
      </c>
      <c r="E280" s="116" t="s">
        <v>4036</v>
      </c>
      <c r="F280" s="117" t="s">
        <v>330</v>
      </c>
      <c r="G280" s="117" t="s">
        <v>1399</v>
      </c>
      <c r="H280" s="51" t="s">
        <v>5098</v>
      </c>
    </row>
    <row r="281">
      <c r="A281" s="116">
        <v>127.0</v>
      </c>
      <c r="B281" s="117" t="s">
        <v>5223</v>
      </c>
      <c r="C281" s="116">
        <v>27.0</v>
      </c>
      <c r="D281" s="117">
        <v>2.7042446E7</v>
      </c>
      <c r="E281" s="116" t="s">
        <v>4036</v>
      </c>
      <c r="F281" s="117" t="s">
        <v>330</v>
      </c>
      <c r="G281" s="117" t="s">
        <v>1624</v>
      </c>
      <c r="H281" s="51" t="s">
        <v>5098</v>
      </c>
    </row>
    <row r="282">
      <c r="A282" s="116">
        <v>128.0</v>
      </c>
      <c r="B282" s="117" t="s">
        <v>5224</v>
      </c>
      <c r="C282" s="116">
        <v>41.0</v>
      </c>
      <c r="D282" s="117">
        <v>1.5780524E7</v>
      </c>
      <c r="E282" s="116" t="s">
        <v>4029</v>
      </c>
      <c r="F282" s="117" t="s">
        <v>330</v>
      </c>
      <c r="G282" s="117" t="s">
        <v>1399</v>
      </c>
      <c r="H282" s="51" t="s">
        <v>5098</v>
      </c>
    </row>
    <row r="283">
      <c r="A283" s="116">
        <v>129.0</v>
      </c>
      <c r="B283" s="117" t="s">
        <v>5216</v>
      </c>
      <c r="C283" s="116">
        <v>49.0</v>
      </c>
      <c r="D283" s="117">
        <v>6683348.0</v>
      </c>
      <c r="E283" s="116" t="s">
        <v>4036</v>
      </c>
      <c r="F283" s="117" t="s">
        <v>1568</v>
      </c>
      <c r="G283" s="117" t="s">
        <v>1569</v>
      </c>
      <c r="H283" s="51" t="s">
        <v>5098</v>
      </c>
    </row>
    <row r="284">
      <c r="A284" s="116">
        <v>130.0</v>
      </c>
      <c r="B284" s="117" t="s">
        <v>5225</v>
      </c>
      <c r="C284" s="116">
        <v>65.0</v>
      </c>
      <c r="D284" s="117">
        <v>6156642.0</v>
      </c>
      <c r="E284" s="116" t="s">
        <v>4036</v>
      </c>
      <c r="F284" s="117" t="s">
        <v>1399</v>
      </c>
      <c r="G284" s="117" t="s">
        <v>1422</v>
      </c>
      <c r="H284" s="51" t="s">
        <v>5098</v>
      </c>
    </row>
    <row r="285">
      <c r="A285" s="116">
        <v>131.0</v>
      </c>
      <c r="B285" s="117" t="s">
        <v>5226</v>
      </c>
      <c r="C285" s="116">
        <v>67.0</v>
      </c>
      <c r="D285" s="117">
        <v>5827267.0</v>
      </c>
      <c r="E285" s="116" t="s">
        <v>4029</v>
      </c>
      <c r="F285" s="117" t="s">
        <v>330</v>
      </c>
      <c r="G285" s="117" t="s">
        <v>1399</v>
      </c>
      <c r="H285" s="51" t="s">
        <v>5098</v>
      </c>
    </row>
    <row r="286">
      <c r="A286" s="116">
        <v>132.0</v>
      </c>
      <c r="B286" s="117" t="s">
        <v>5227</v>
      </c>
      <c r="C286" s="116">
        <v>41.0</v>
      </c>
      <c r="D286" s="117">
        <v>1.5780524E7</v>
      </c>
      <c r="E286" s="116" t="s">
        <v>4029</v>
      </c>
      <c r="F286" s="117" t="s">
        <v>330</v>
      </c>
      <c r="G286" s="117" t="s">
        <v>1399</v>
      </c>
      <c r="H286" s="51" t="s">
        <v>5098</v>
      </c>
    </row>
    <row r="287">
      <c r="A287" s="116">
        <v>133.0</v>
      </c>
      <c r="B287" s="117" t="s">
        <v>5228</v>
      </c>
      <c r="C287" s="116">
        <v>59.0</v>
      </c>
      <c r="D287" s="117">
        <v>6502264.0</v>
      </c>
      <c r="E287" s="116" t="s">
        <v>4029</v>
      </c>
      <c r="F287" s="117" t="s">
        <v>330</v>
      </c>
      <c r="G287" s="117" t="s">
        <v>1399</v>
      </c>
      <c r="H287" s="51" t="s">
        <v>5098</v>
      </c>
    </row>
    <row r="288">
      <c r="A288" s="116">
        <v>134.0</v>
      </c>
      <c r="B288" s="117" t="s">
        <v>5229</v>
      </c>
      <c r="C288" s="116">
        <v>59.0</v>
      </c>
      <c r="D288" s="117">
        <v>8654412.0</v>
      </c>
      <c r="E288" s="116" t="s">
        <v>4029</v>
      </c>
      <c r="F288" s="117" t="s">
        <v>1561</v>
      </c>
      <c r="G288" s="117" t="s">
        <v>1562</v>
      </c>
      <c r="H288" s="51" t="s">
        <v>5098</v>
      </c>
    </row>
    <row r="289">
      <c r="A289" s="116">
        <v>135.0</v>
      </c>
      <c r="B289" s="117" t="s">
        <v>5230</v>
      </c>
      <c r="C289" s="116">
        <v>56.0</v>
      </c>
      <c r="D289" s="117">
        <v>1.0398248E7</v>
      </c>
      <c r="E289" s="116" t="s">
        <v>4029</v>
      </c>
      <c r="F289" s="117" t="s">
        <v>545</v>
      </c>
      <c r="G289" s="117" t="s">
        <v>1399</v>
      </c>
      <c r="H289" s="51" t="s">
        <v>5098</v>
      </c>
    </row>
    <row r="290">
      <c r="A290" s="116">
        <v>136.0</v>
      </c>
      <c r="B290" s="117" t="s">
        <v>5231</v>
      </c>
      <c r="C290" s="116">
        <v>55.0</v>
      </c>
      <c r="D290" s="117">
        <v>1.119275E7</v>
      </c>
      <c r="E290" s="116" t="s">
        <v>4029</v>
      </c>
      <c r="F290" s="117" t="s">
        <v>330</v>
      </c>
      <c r="G290" s="117" t="s">
        <v>1399</v>
      </c>
      <c r="H290" s="51" t="s">
        <v>5098</v>
      </c>
    </row>
    <row r="291">
      <c r="A291" s="116">
        <v>137.0</v>
      </c>
      <c r="B291" s="117" t="s">
        <v>5232</v>
      </c>
      <c r="C291" s="116">
        <v>30.0</v>
      </c>
      <c r="D291" s="117">
        <v>2.3622267E7</v>
      </c>
      <c r="E291" s="116" t="s">
        <v>4036</v>
      </c>
      <c r="F291" s="117" t="s">
        <v>1555</v>
      </c>
      <c r="G291" s="117" t="s">
        <v>1556</v>
      </c>
      <c r="H291" s="51" t="s">
        <v>5098</v>
      </c>
    </row>
    <row r="292">
      <c r="A292" s="116">
        <v>138.0</v>
      </c>
      <c r="B292" s="117" t="s">
        <v>5233</v>
      </c>
      <c r="C292" s="116">
        <v>19.0</v>
      </c>
      <c r="D292" s="117">
        <v>3.1752473E7</v>
      </c>
      <c r="E292" s="116" t="s">
        <v>4029</v>
      </c>
      <c r="F292" s="117" t="s">
        <v>1580</v>
      </c>
      <c r="G292" s="117" t="s">
        <v>1581</v>
      </c>
      <c r="H292" s="51" t="s">
        <v>5098</v>
      </c>
    </row>
    <row r="293">
      <c r="A293" s="116">
        <v>139.0</v>
      </c>
      <c r="B293" s="117" t="s">
        <v>5234</v>
      </c>
      <c r="C293" s="116">
        <v>23.0</v>
      </c>
      <c r="D293" s="117">
        <v>2.9619923E7</v>
      </c>
      <c r="E293" s="116" t="s">
        <v>4029</v>
      </c>
      <c r="F293" s="117" t="s">
        <v>1580</v>
      </c>
      <c r="G293" s="117" t="s">
        <v>1581</v>
      </c>
      <c r="H293" s="51" t="s">
        <v>5098</v>
      </c>
    </row>
    <row r="294">
      <c r="A294" s="116">
        <v>140.0</v>
      </c>
      <c r="B294" s="117" t="s">
        <v>5235</v>
      </c>
      <c r="C294" s="116">
        <v>19.0</v>
      </c>
      <c r="D294" s="117">
        <v>3.2454171E7</v>
      </c>
      <c r="E294" s="116" t="s">
        <v>4029</v>
      </c>
      <c r="F294" s="117" t="s">
        <v>1580</v>
      </c>
      <c r="G294" s="117" t="s">
        <v>1581</v>
      </c>
      <c r="H294" s="51" t="s">
        <v>5098</v>
      </c>
    </row>
    <row r="295">
      <c r="A295" s="116">
        <v>141.0</v>
      </c>
      <c r="B295" s="117" t="s">
        <v>5236</v>
      </c>
      <c r="C295" s="116">
        <v>42.0</v>
      </c>
      <c r="D295" s="117">
        <v>1.71604E7</v>
      </c>
      <c r="E295" s="116" t="s">
        <v>4036</v>
      </c>
      <c r="F295" s="117" t="s">
        <v>330</v>
      </c>
      <c r="G295" s="117" t="s">
        <v>1399</v>
      </c>
      <c r="H295" s="51" t="s">
        <v>5098</v>
      </c>
    </row>
    <row r="296">
      <c r="A296" s="116">
        <v>142.0</v>
      </c>
      <c r="B296" s="117" t="s">
        <v>5237</v>
      </c>
      <c r="C296" s="116">
        <v>30.0</v>
      </c>
      <c r="D296" s="117">
        <v>2.5874216E7</v>
      </c>
      <c r="E296" s="116" t="s">
        <v>4029</v>
      </c>
      <c r="F296" s="117" t="s">
        <v>330</v>
      </c>
      <c r="G296" s="117" t="s">
        <v>1399</v>
      </c>
      <c r="H296" s="51" t="s">
        <v>5098</v>
      </c>
    </row>
    <row r="297">
      <c r="A297" s="116">
        <v>143.0</v>
      </c>
      <c r="B297" s="117" t="s">
        <v>5238</v>
      </c>
      <c r="C297" s="116">
        <v>30.0</v>
      </c>
      <c r="D297" s="118"/>
      <c r="E297" s="116" t="s">
        <v>4029</v>
      </c>
      <c r="F297" s="117" t="s">
        <v>330</v>
      </c>
      <c r="G297" s="117" t="s">
        <v>1399</v>
      </c>
      <c r="H297" s="51" t="s">
        <v>5098</v>
      </c>
    </row>
    <row r="298">
      <c r="A298" s="116">
        <v>144.0</v>
      </c>
      <c r="B298" s="117" t="s">
        <v>5239</v>
      </c>
      <c r="C298" s="116">
        <v>33.0</v>
      </c>
      <c r="D298" s="117">
        <v>2.4153416E7</v>
      </c>
      <c r="E298" s="116" t="s">
        <v>4029</v>
      </c>
      <c r="F298" s="117" t="s">
        <v>1580</v>
      </c>
      <c r="G298" s="117" t="s">
        <v>1619</v>
      </c>
      <c r="H298" s="51" t="s">
        <v>5098</v>
      </c>
    </row>
    <row r="299">
      <c r="A299" s="116">
        <v>145.0</v>
      </c>
      <c r="B299" s="117" t="s">
        <v>5240</v>
      </c>
      <c r="C299" s="116">
        <v>33.0</v>
      </c>
      <c r="D299" s="117">
        <v>2.088881E7</v>
      </c>
      <c r="E299" s="116" t="s">
        <v>4036</v>
      </c>
      <c r="F299" s="117" t="s">
        <v>330</v>
      </c>
      <c r="G299" s="117" t="s">
        <v>1399</v>
      </c>
      <c r="H299" s="51" t="s">
        <v>5098</v>
      </c>
    </row>
    <row r="300">
      <c r="A300" s="116">
        <v>146.0</v>
      </c>
      <c r="B300" s="117" t="s">
        <v>5241</v>
      </c>
      <c r="C300" s="116">
        <v>48.0</v>
      </c>
      <c r="D300" s="117">
        <v>1.1165265E7</v>
      </c>
      <c r="E300" s="116" t="s">
        <v>4029</v>
      </c>
      <c r="F300" s="121"/>
      <c r="G300" s="117" t="s">
        <v>1399</v>
      </c>
      <c r="H300" s="51" t="s">
        <v>5098</v>
      </c>
    </row>
    <row r="301">
      <c r="A301" s="116">
        <v>147.0</v>
      </c>
      <c r="B301" s="117" t="s">
        <v>5242</v>
      </c>
      <c r="C301" s="116">
        <v>19.0</v>
      </c>
      <c r="D301" s="117">
        <v>3.2335642E7</v>
      </c>
      <c r="E301" s="116" t="s">
        <v>4036</v>
      </c>
      <c r="F301" s="117" t="s">
        <v>330</v>
      </c>
      <c r="G301" s="117" t="s">
        <v>1399</v>
      </c>
      <c r="H301" s="51" t="s">
        <v>5098</v>
      </c>
    </row>
    <row r="302">
      <c r="A302" s="116">
        <v>148.0</v>
      </c>
      <c r="B302" s="117" t="s">
        <v>5243</v>
      </c>
      <c r="C302" s="116">
        <v>15.0</v>
      </c>
      <c r="D302" s="117">
        <v>3.2635244E7</v>
      </c>
      <c r="E302" s="116" t="s">
        <v>4036</v>
      </c>
      <c r="F302" s="117" t="s">
        <v>330</v>
      </c>
      <c r="G302" s="117" t="s">
        <v>1399</v>
      </c>
      <c r="H302" s="51" t="s">
        <v>5098</v>
      </c>
    </row>
    <row r="303">
      <c r="A303" s="116">
        <v>149.0</v>
      </c>
      <c r="B303" s="117" t="s">
        <v>5244</v>
      </c>
      <c r="C303" s="116">
        <v>28.0</v>
      </c>
      <c r="D303" s="117">
        <v>2.6898085E7</v>
      </c>
      <c r="E303" s="116" t="s">
        <v>4036</v>
      </c>
      <c r="F303" s="117" t="s">
        <v>993</v>
      </c>
      <c r="G303" s="117" t="s">
        <v>1477</v>
      </c>
      <c r="H303" s="51" t="s">
        <v>5098</v>
      </c>
    </row>
    <row r="304">
      <c r="A304" s="116">
        <v>150.0</v>
      </c>
      <c r="B304" s="117" t="s">
        <v>5245</v>
      </c>
      <c r="C304" s="116">
        <v>18.0</v>
      </c>
      <c r="D304" s="117">
        <v>3.210624E7</v>
      </c>
      <c r="E304" s="116" t="s">
        <v>4029</v>
      </c>
      <c r="F304" s="117" t="s">
        <v>330</v>
      </c>
      <c r="G304" s="117" t="s">
        <v>1399</v>
      </c>
      <c r="H304" s="51" t="s">
        <v>5098</v>
      </c>
    </row>
    <row r="305">
      <c r="A305" s="116">
        <v>151.0</v>
      </c>
      <c r="B305" s="117" t="s">
        <v>5228</v>
      </c>
      <c r="C305" s="116">
        <v>19.0</v>
      </c>
      <c r="D305" s="117">
        <v>3.1752478E7</v>
      </c>
      <c r="E305" s="116" t="s">
        <v>4029</v>
      </c>
      <c r="F305" s="117" t="s">
        <v>330</v>
      </c>
      <c r="G305" s="117" t="s">
        <v>1581</v>
      </c>
      <c r="H305" s="51" t="s">
        <v>5098</v>
      </c>
    </row>
    <row r="306">
      <c r="A306" s="122"/>
      <c r="B306" s="122"/>
      <c r="C306" s="122"/>
      <c r="D306" s="122"/>
      <c r="E306" s="122"/>
      <c r="G306" s="122"/>
    </row>
    <row r="307">
      <c r="A307" s="4"/>
      <c r="B307" s="4"/>
      <c r="C307" s="4"/>
      <c r="D307" s="4"/>
      <c r="E307" s="4"/>
      <c r="F307" s="4"/>
      <c r="G307" s="4"/>
    </row>
    <row r="308">
      <c r="A308" s="4"/>
      <c r="B308" s="4"/>
      <c r="C308" s="4"/>
      <c r="D308" s="4"/>
      <c r="E308" s="4"/>
      <c r="F308" s="4"/>
      <c r="G308" s="4"/>
    </row>
    <row r="309">
      <c r="A309" s="4"/>
      <c r="B309" s="4"/>
      <c r="C309" s="4"/>
      <c r="D309" s="4"/>
      <c r="E309" s="4"/>
      <c r="F309" s="4"/>
      <c r="G309" s="4"/>
    </row>
    <row r="310">
      <c r="A310" s="4"/>
      <c r="B310" s="4"/>
      <c r="C310" s="4"/>
      <c r="D310" s="4"/>
      <c r="E310" s="4"/>
      <c r="F310" s="4"/>
      <c r="G310" s="4"/>
    </row>
    <row r="311">
      <c r="A311" s="4"/>
      <c r="B311" s="4"/>
      <c r="C311" s="4"/>
      <c r="D311" s="4"/>
      <c r="E311" s="4"/>
      <c r="F311" s="4"/>
      <c r="G311" s="4"/>
    </row>
    <row r="312">
      <c r="A312" s="4"/>
      <c r="B312" s="4"/>
      <c r="C312" s="4"/>
      <c r="D312" s="4"/>
      <c r="E312" s="4"/>
      <c r="F312" s="4"/>
      <c r="G312" s="4"/>
    </row>
    <row r="313">
      <c r="A313" s="4"/>
      <c r="B313" s="4"/>
      <c r="C313" s="4"/>
      <c r="D313" s="4"/>
      <c r="E313" s="4"/>
      <c r="F313" s="4"/>
      <c r="G313" s="4"/>
    </row>
    <row r="314">
      <c r="A314" s="4"/>
      <c r="B314" s="4"/>
      <c r="C314" s="4"/>
      <c r="D314" s="4"/>
      <c r="E314" s="4"/>
      <c r="F314" s="4"/>
      <c r="G314" s="4"/>
    </row>
    <row r="315">
      <c r="A315" s="4"/>
      <c r="B315" s="4"/>
      <c r="C315" s="4"/>
      <c r="D315" s="4"/>
      <c r="E315" s="4"/>
      <c r="F315" s="4"/>
      <c r="G315" s="4"/>
    </row>
    <row r="316">
      <c r="A316" s="4"/>
      <c r="B316" s="4"/>
      <c r="C316" s="4"/>
      <c r="D316" s="4"/>
      <c r="E316" s="4"/>
      <c r="F316" s="4"/>
      <c r="G316" s="4"/>
    </row>
    <row r="317">
      <c r="A317" s="4"/>
      <c r="B317" s="4"/>
      <c r="C317" s="4"/>
      <c r="D317" s="4"/>
      <c r="E317" s="4"/>
      <c r="F317" s="4"/>
      <c r="G317" s="4"/>
    </row>
    <row r="318">
      <c r="A318" s="4"/>
      <c r="B318" s="4"/>
      <c r="C318" s="4"/>
      <c r="D318" s="4"/>
      <c r="E318" s="4"/>
      <c r="F318" s="4"/>
      <c r="G318" s="4"/>
    </row>
    <row r="319">
      <c r="A319" s="4"/>
      <c r="B319" s="4"/>
      <c r="C319" s="4"/>
      <c r="D319" s="4"/>
      <c r="E319" s="4"/>
      <c r="F319" s="4"/>
      <c r="G319" s="4"/>
    </row>
    <row r="320">
      <c r="A320" s="4"/>
      <c r="B320" s="4"/>
      <c r="C320" s="4"/>
      <c r="D320" s="4"/>
      <c r="E320" s="4"/>
      <c r="F320" s="4"/>
      <c r="G320" s="4"/>
    </row>
    <row r="321">
      <c r="A321" s="4"/>
      <c r="B321" s="4"/>
      <c r="C321" s="4"/>
      <c r="D321" s="4"/>
      <c r="E321" s="4"/>
      <c r="F321" s="4"/>
      <c r="G321" s="4"/>
    </row>
    <row r="322">
      <c r="A322" s="4"/>
      <c r="B322" s="4"/>
      <c r="C322" s="4"/>
      <c r="D322" s="4"/>
      <c r="E322" s="4"/>
      <c r="F322" s="4"/>
      <c r="G322" s="4"/>
    </row>
    <row r="323">
      <c r="A323" s="4"/>
      <c r="B323" s="4"/>
      <c r="C323" s="4"/>
      <c r="D323" s="4"/>
      <c r="E323" s="4"/>
      <c r="F323" s="4"/>
      <c r="G323" s="4"/>
    </row>
    <row r="324">
      <c r="A324" s="4"/>
      <c r="B324" s="4"/>
      <c r="C324" s="4"/>
      <c r="D324" s="4"/>
      <c r="E324" s="4"/>
      <c r="F324" s="4"/>
      <c r="G324" s="4"/>
    </row>
    <row r="325">
      <c r="A325" s="4"/>
      <c r="B325" s="4"/>
      <c r="C325" s="4"/>
      <c r="D325" s="4"/>
      <c r="E325" s="4"/>
      <c r="F325" s="4"/>
      <c r="G325" s="4"/>
    </row>
    <row r="326">
      <c r="A326" s="4"/>
      <c r="B326" s="4"/>
      <c r="C326" s="4"/>
      <c r="D326" s="4"/>
      <c r="E326" s="4"/>
      <c r="F326" s="4"/>
      <c r="G326" s="4"/>
    </row>
    <row r="327">
      <c r="A327" s="4"/>
      <c r="B327" s="4"/>
      <c r="C327" s="4"/>
      <c r="D327" s="4"/>
      <c r="E327" s="4"/>
      <c r="F327" s="4"/>
      <c r="G327" s="4"/>
    </row>
    <row r="328">
      <c r="A328" s="4"/>
      <c r="B328" s="4"/>
      <c r="C328" s="4"/>
      <c r="D328" s="4"/>
      <c r="E328" s="4"/>
      <c r="F328" s="4"/>
      <c r="G328" s="4"/>
    </row>
    <row r="329">
      <c r="A329" s="4"/>
      <c r="B329" s="4"/>
      <c r="C329" s="4"/>
      <c r="D329" s="4"/>
      <c r="E329" s="4"/>
      <c r="F329" s="4"/>
      <c r="G329" s="4"/>
    </row>
    <row r="330">
      <c r="A330" s="4"/>
      <c r="B330" s="4"/>
      <c r="C330" s="4"/>
      <c r="D330" s="4"/>
      <c r="E330" s="4"/>
      <c r="F330" s="4"/>
      <c r="G330" s="4"/>
    </row>
    <row r="331">
      <c r="A331" s="4"/>
      <c r="B331" s="4"/>
      <c r="C331" s="4"/>
      <c r="D331" s="4"/>
      <c r="E331" s="4"/>
      <c r="F331" s="4"/>
      <c r="G331" s="4"/>
    </row>
    <row r="332">
      <c r="A332" s="4"/>
      <c r="B332" s="4"/>
      <c r="C332" s="4"/>
      <c r="D332" s="4"/>
      <c r="E332" s="4"/>
      <c r="F332" s="4"/>
      <c r="G332" s="4"/>
    </row>
    <row r="333">
      <c r="A333" s="4"/>
      <c r="B333" s="4"/>
      <c r="C333" s="4"/>
      <c r="D333" s="4"/>
      <c r="E333" s="4"/>
      <c r="F333" s="4"/>
      <c r="G333" s="4"/>
    </row>
    <row r="334">
      <c r="A334" s="4"/>
      <c r="B334" s="4"/>
      <c r="C334" s="4"/>
      <c r="D334" s="4"/>
      <c r="E334" s="4"/>
      <c r="F334" s="4"/>
      <c r="G334" s="4"/>
    </row>
    <row r="335">
      <c r="A335" s="4"/>
      <c r="B335" s="4"/>
      <c r="C335" s="4"/>
      <c r="D335" s="4"/>
      <c r="E335" s="4"/>
      <c r="F335" s="4"/>
      <c r="G335" s="4"/>
    </row>
    <row r="336">
      <c r="A336" s="4"/>
      <c r="B336" s="4"/>
      <c r="C336" s="4"/>
      <c r="D336" s="4"/>
      <c r="E336" s="4"/>
      <c r="F336" s="4"/>
      <c r="G336" s="4"/>
    </row>
    <row r="337">
      <c r="A337" s="4"/>
      <c r="B337" s="4"/>
      <c r="C337" s="4"/>
      <c r="D337" s="4"/>
      <c r="E337" s="4"/>
      <c r="F337" s="4"/>
      <c r="G337" s="4"/>
    </row>
    <row r="338">
      <c r="A338" s="4"/>
      <c r="B338" s="4"/>
      <c r="C338" s="4"/>
      <c r="D338" s="4"/>
      <c r="E338" s="4"/>
      <c r="F338" s="4"/>
      <c r="G338" s="4"/>
    </row>
    <row r="339">
      <c r="A339" s="4"/>
      <c r="B339" s="4"/>
      <c r="C339" s="4"/>
      <c r="D339" s="4"/>
      <c r="E339" s="4"/>
      <c r="F339" s="4"/>
      <c r="G339" s="4"/>
    </row>
    <row r="340">
      <c r="A340" s="4"/>
      <c r="B340" s="4"/>
      <c r="C340" s="4"/>
      <c r="D340" s="4"/>
      <c r="E340" s="4"/>
      <c r="F340" s="4"/>
      <c r="G340" s="4"/>
    </row>
    <row r="341">
      <c r="A341" s="4"/>
      <c r="B341" s="4"/>
      <c r="C341" s="4"/>
      <c r="D341" s="4"/>
      <c r="E341" s="4"/>
      <c r="F341" s="4"/>
      <c r="G341" s="4"/>
    </row>
    <row r="342">
      <c r="A342" s="4"/>
      <c r="B342" s="4"/>
      <c r="C342" s="4"/>
      <c r="D342" s="4"/>
      <c r="E342" s="4"/>
      <c r="F342" s="4"/>
      <c r="G342" s="4"/>
    </row>
    <row r="343">
      <c r="A343" s="4"/>
      <c r="B343" s="4"/>
      <c r="C343" s="4"/>
      <c r="D343" s="4"/>
      <c r="E343" s="4"/>
      <c r="F343" s="4"/>
      <c r="G343" s="4"/>
    </row>
    <row r="344">
      <c r="A344" s="4"/>
      <c r="B344" s="4"/>
      <c r="C344" s="4"/>
      <c r="D344" s="4"/>
      <c r="E344" s="4"/>
      <c r="F344" s="4"/>
      <c r="G344" s="4"/>
    </row>
    <row r="345">
      <c r="A345" s="4"/>
      <c r="B345" s="4"/>
      <c r="C345" s="4"/>
      <c r="D345" s="4"/>
      <c r="E345" s="4"/>
      <c r="F345" s="4"/>
      <c r="G345" s="4"/>
    </row>
    <row r="346">
      <c r="A346" s="4"/>
      <c r="B346" s="4"/>
      <c r="C346" s="4"/>
      <c r="D346" s="4"/>
      <c r="E346" s="4"/>
      <c r="F346" s="4"/>
      <c r="G346" s="4"/>
    </row>
    <row r="347">
      <c r="A347" s="4"/>
      <c r="B347" s="4"/>
      <c r="C347" s="4"/>
      <c r="D347" s="4"/>
      <c r="E347" s="4"/>
      <c r="F347" s="4"/>
      <c r="G347" s="4"/>
    </row>
    <row r="348">
      <c r="A348" s="4"/>
      <c r="B348" s="4"/>
      <c r="C348" s="4"/>
      <c r="D348" s="4"/>
      <c r="E348" s="4"/>
      <c r="F348" s="4"/>
      <c r="G348" s="4"/>
    </row>
    <row r="349">
      <c r="A349" s="4"/>
      <c r="B349" s="4"/>
      <c r="C349" s="4"/>
      <c r="D349" s="4"/>
      <c r="E349" s="4"/>
      <c r="F349" s="4"/>
      <c r="G349" s="4"/>
    </row>
    <row r="350">
      <c r="A350" s="4"/>
      <c r="B350" s="4"/>
      <c r="C350" s="4"/>
      <c r="D350" s="4"/>
      <c r="E350" s="4"/>
      <c r="F350" s="4"/>
      <c r="G350" s="4"/>
    </row>
    <row r="351">
      <c r="A351" s="4"/>
      <c r="B351" s="4"/>
      <c r="C351" s="4"/>
      <c r="D351" s="4"/>
      <c r="E351" s="4"/>
      <c r="F351" s="4"/>
      <c r="G351" s="4"/>
    </row>
    <row r="352">
      <c r="A352" s="4"/>
      <c r="B352" s="4"/>
      <c r="C352" s="4"/>
      <c r="D352" s="4"/>
      <c r="E352" s="4"/>
      <c r="F352" s="4"/>
      <c r="G352" s="4"/>
    </row>
    <row r="353">
      <c r="A353" s="4"/>
      <c r="B353" s="4"/>
      <c r="C353" s="4"/>
      <c r="D353" s="4"/>
      <c r="E353" s="4"/>
      <c r="F353" s="4"/>
      <c r="G353" s="4"/>
    </row>
    <row r="354">
      <c r="A354" s="4"/>
      <c r="B354" s="4"/>
      <c r="C354" s="4"/>
      <c r="D354" s="4"/>
      <c r="E354" s="4"/>
      <c r="F354" s="4"/>
      <c r="G354" s="4"/>
    </row>
    <row r="355">
      <c r="A355" s="4"/>
      <c r="B355" s="4"/>
      <c r="C355" s="4"/>
      <c r="D355" s="4"/>
      <c r="E355" s="4"/>
      <c r="F355" s="4"/>
      <c r="G355" s="4"/>
    </row>
    <row r="356">
      <c r="A356" s="4"/>
      <c r="B356" s="4"/>
      <c r="C356" s="4"/>
      <c r="D356" s="4"/>
      <c r="E356" s="4"/>
      <c r="F356" s="4"/>
      <c r="G356" s="4"/>
    </row>
    <row r="357">
      <c r="A357" s="4"/>
      <c r="B357" s="4"/>
      <c r="C357" s="4"/>
      <c r="D357" s="4"/>
      <c r="E357" s="4"/>
      <c r="F357" s="4"/>
      <c r="G357" s="4"/>
    </row>
    <row r="358">
      <c r="A358" s="4"/>
      <c r="B358" s="4"/>
      <c r="C358" s="4"/>
      <c r="D358" s="4"/>
      <c r="E358" s="4"/>
      <c r="F358" s="4"/>
      <c r="G358" s="4"/>
    </row>
    <row r="359">
      <c r="A359" s="4"/>
      <c r="B359" s="4"/>
      <c r="C359" s="4"/>
      <c r="D359" s="4"/>
      <c r="E359" s="4"/>
      <c r="F359" s="4"/>
      <c r="G359" s="4"/>
    </row>
    <row r="360">
      <c r="A360" s="4"/>
      <c r="B360" s="4"/>
      <c r="C360" s="4"/>
      <c r="D360" s="4"/>
      <c r="E360" s="4"/>
      <c r="F360" s="4"/>
      <c r="G360" s="4"/>
    </row>
    <row r="361">
      <c r="A361" s="4"/>
      <c r="B361" s="4"/>
      <c r="C361" s="4"/>
      <c r="D361" s="4"/>
      <c r="E361" s="4"/>
      <c r="F361" s="4"/>
      <c r="G361" s="4"/>
    </row>
    <row r="362">
      <c r="A362" s="4"/>
      <c r="B362" s="4"/>
      <c r="C362" s="4"/>
      <c r="D362" s="4"/>
      <c r="E362" s="4"/>
      <c r="F362" s="4"/>
      <c r="G362" s="4"/>
    </row>
    <row r="363">
      <c r="A363" s="4"/>
      <c r="B363" s="4"/>
      <c r="C363" s="4"/>
      <c r="D363" s="4"/>
      <c r="E363" s="4"/>
      <c r="F363" s="4"/>
      <c r="G363" s="4"/>
    </row>
    <row r="364">
      <c r="A364" s="4"/>
      <c r="B364" s="4"/>
      <c r="C364" s="4"/>
      <c r="D364" s="4"/>
      <c r="E364" s="4"/>
      <c r="F364" s="4"/>
      <c r="G364" s="4"/>
    </row>
    <row r="365">
      <c r="A365" s="4"/>
      <c r="B365" s="4"/>
      <c r="C365" s="4"/>
      <c r="D365" s="4"/>
      <c r="E365" s="4"/>
      <c r="F365" s="4"/>
      <c r="G365" s="4"/>
    </row>
    <row r="366">
      <c r="A366" s="4"/>
      <c r="B366" s="4"/>
      <c r="C366" s="4"/>
      <c r="D366" s="4"/>
      <c r="E366" s="4"/>
      <c r="F366" s="4"/>
      <c r="G366" s="4"/>
    </row>
    <row r="367">
      <c r="A367" s="4"/>
      <c r="B367" s="4"/>
      <c r="C367" s="4"/>
      <c r="D367" s="4"/>
      <c r="E367" s="4"/>
      <c r="F367" s="4"/>
      <c r="G367" s="4"/>
    </row>
    <row r="368">
      <c r="A368" s="4"/>
      <c r="B368" s="4"/>
      <c r="C368" s="4"/>
      <c r="D368" s="4"/>
      <c r="E368" s="4"/>
      <c r="F368" s="4"/>
      <c r="G368" s="4"/>
    </row>
    <row r="369">
      <c r="A369" s="4"/>
      <c r="B369" s="4"/>
      <c r="C369" s="4"/>
      <c r="D369" s="4"/>
      <c r="E369" s="4"/>
      <c r="F369" s="4"/>
      <c r="G369" s="4"/>
    </row>
    <row r="370">
      <c r="A370" s="4"/>
      <c r="B370" s="4"/>
      <c r="C370" s="4"/>
      <c r="D370" s="4"/>
      <c r="E370" s="4"/>
      <c r="F370" s="4"/>
      <c r="G370" s="4"/>
    </row>
    <row r="371">
      <c r="A371" s="4"/>
      <c r="B371" s="4"/>
      <c r="C371" s="4"/>
      <c r="D371" s="4"/>
      <c r="E371" s="4"/>
      <c r="F371" s="4"/>
      <c r="G371" s="4"/>
    </row>
    <row r="372">
      <c r="A372" s="4"/>
      <c r="B372" s="4"/>
      <c r="C372" s="4"/>
      <c r="D372" s="4"/>
      <c r="E372" s="4"/>
      <c r="F372" s="4"/>
      <c r="G372" s="4"/>
    </row>
    <row r="373">
      <c r="A373" s="4"/>
      <c r="B373" s="4"/>
      <c r="C373" s="4"/>
      <c r="D373" s="4"/>
      <c r="E373" s="4"/>
      <c r="F373" s="4"/>
      <c r="G373" s="4"/>
    </row>
    <row r="374">
      <c r="A374" s="4"/>
      <c r="B374" s="4"/>
      <c r="C374" s="4"/>
      <c r="D374" s="4"/>
      <c r="E374" s="4"/>
      <c r="F374" s="4"/>
      <c r="G374" s="4"/>
    </row>
    <row r="375">
      <c r="A375" s="4"/>
      <c r="B375" s="4"/>
      <c r="C375" s="4"/>
      <c r="D375" s="4"/>
      <c r="E375" s="4"/>
      <c r="F375" s="4"/>
      <c r="G375" s="4"/>
    </row>
    <row r="376">
      <c r="A376" s="4"/>
      <c r="B376" s="4"/>
      <c r="C376" s="4"/>
      <c r="D376" s="4"/>
      <c r="E376" s="4"/>
      <c r="F376" s="4"/>
      <c r="G376" s="4"/>
    </row>
    <row r="377">
      <c r="A377" s="4"/>
      <c r="B377" s="4"/>
      <c r="C377" s="4"/>
      <c r="D377" s="4"/>
      <c r="E377" s="4"/>
      <c r="F377" s="4"/>
      <c r="G377" s="4"/>
    </row>
    <row r="378">
      <c r="A378" s="4"/>
      <c r="B378" s="4"/>
      <c r="C378" s="4"/>
      <c r="D378" s="4"/>
      <c r="E378" s="4"/>
      <c r="F378" s="4"/>
      <c r="G378" s="4"/>
    </row>
    <row r="379">
      <c r="A379" s="4"/>
      <c r="B379" s="4"/>
      <c r="C379" s="4"/>
      <c r="D379" s="4"/>
      <c r="E379" s="4"/>
      <c r="F379" s="4"/>
      <c r="G379" s="4"/>
    </row>
    <row r="380">
      <c r="A380" s="4"/>
      <c r="B380" s="4"/>
      <c r="C380" s="4"/>
      <c r="D380" s="4"/>
      <c r="E380" s="4"/>
      <c r="F380" s="4"/>
      <c r="G380" s="4"/>
    </row>
    <row r="381">
      <c r="A381" s="4"/>
      <c r="B381" s="4"/>
      <c r="C381" s="4"/>
      <c r="D381" s="4"/>
      <c r="E381" s="4"/>
      <c r="F381" s="4"/>
      <c r="G381" s="4"/>
    </row>
    <row r="382">
      <c r="A382" s="4"/>
      <c r="B382" s="4"/>
      <c r="C382" s="4"/>
      <c r="D382" s="4"/>
      <c r="E382" s="4"/>
      <c r="F382" s="4"/>
      <c r="G382" s="4"/>
    </row>
    <row r="383">
      <c r="A383" s="4"/>
      <c r="B383" s="4"/>
      <c r="C383" s="4"/>
      <c r="D383" s="4"/>
      <c r="E383" s="4"/>
      <c r="F383" s="4"/>
      <c r="G383" s="4"/>
    </row>
    <row r="384">
      <c r="A384" s="4"/>
      <c r="B384" s="4"/>
      <c r="C384" s="4"/>
      <c r="D384" s="4"/>
      <c r="E384" s="4"/>
      <c r="F384" s="4"/>
      <c r="G384" s="4"/>
    </row>
    <row r="385">
      <c r="A385" s="4"/>
      <c r="B385" s="4"/>
      <c r="C385" s="4"/>
      <c r="D385" s="4"/>
      <c r="E385" s="4"/>
      <c r="F385" s="4"/>
      <c r="G385" s="4"/>
    </row>
    <row r="386">
      <c r="A386" s="4"/>
      <c r="B386" s="4"/>
      <c r="C386" s="4"/>
      <c r="D386" s="4"/>
      <c r="E386" s="4"/>
      <c r="F386" s="4"/>
      <c r="G386" s="4"/>
    </row>
    <row r="387">
      <c r="A387" s="4"/>
      <c r="B387" s="4"/>
      <c r="C387" s="4"/>
      <c r="D387" s="4"/>
      <c r="E387" s="4"/>
      <c r="F387" s="4"/>
      <c r="G387" s="4"/>
    </row>
    <row r="388">
      <c r="A388" s="4"/>
      <c r="B388" s="4"/>
      <c r="C388" s="4"/>
      <c r="D388" s="4"/>
      <c r="E388" s="4"/>
      <c r="F388" s="4"/>
      <c r="G388" s="4"/>
    </row>
    <row r="389">
      <c r="A389" s="4"/>
      <c r="B389" s="4"/>
      <c r="C389" s="4"/>
      <c r="D389" s="4"/>
      <c r="E389" s="4"/>
      <c r="F389" s="4"/>
      <c r="G389" s="4"/>
    </row>
    <row r="390">
      <c r="A390" s="4"/>
      <c r="B390" s="4"/>
      <c r="C390" s="4"/>
      <c r="D390" s="4"/>
      <c r="E390" s="4"/>
      <c r="F390" s="4"/>
      <c r="G390" s="4"/>
    </row>
    <row r="391">
      <c r="A391" s="4"/>
      <c r="B391" s="4"/>
      <c r="C391" s="4"/>
      <c r="D391" s="4"/>
      <c r="E391" s="4"/>
      <c r="F391" s="4"/>
      <c r="G391" s="4"/>
    </row>
    <row r="392">
      <c r="A392" s="4"/>
      <c r="B392" s="4"/>
      <c r="C392" s="4"/>
      <c r="D392" s="4"/>
      <c r="E392" s="4"/>
      <c r="F392" s="4"/>
      <c r="G392" s="4"/>
    </row>
    <row r="393">
      <c r="A393" s="4"/>
      <c r="B393" s="4"/>
      <c r="C393" s="4"/>
      <c r="D393" s="4"/>
      <c r="E393" s="4"/>
      <c r="F393" s="4"/>
      <c r="G393" s="4"/>
    </row>
    <row r="394">
      <c r="A394" s="4"/>
      <c r="B394" s="4"/>
      <c r="C394" s="4"/>
      <c r="D394" s="4"/>
      <c r="E394" s="4"/>
      <c r="F394" s="4"/>
      <c r="G394" s="4"/>
    </row>
    <row r="395">
      <c r="A395" s="4"/>
      <c r="B395" s="4"/>
      <c r="C395" s="4"/>
      <c r="D395" s="4"/>
      <c r="E395" s="4"/>
      <c r="F395" s="4"/>
      <c r="G395" s="4"/>
    </row>
    <row r="396">
      <c r="A396" s="4"/>
      <c r="B396" s="4"/>
      <c r="C396" s="4"/>
      <c r="D396" s="4"/>
      <c r="E396" s="4"/>
      <c r="F396" s="4"/>
      <c r="G396" s="4"/>
    </row>
    <row r="397">
      <c r="A397" s="4"/>
      <c r="B397" s="4"/>
      <c r="C397" s="4"/>
      <c r="D397" s="4"/>
      <c r="E397" s="4"/>
      <c r="F397" s="4"/>
      <c r="G397" s="4"/>
    </row>
    <row r="398">
      <c r="A398" s="4"/>
      <c r="B398" s="4"/>
      <c r="C398" s="4"/>
      <c r="D398" s="4"/>
      <c r="E398" s="4"/>
      <c r="F398" s="4"/>
      <c r="G398" s="4"/>
    </row>
    <row r="399">
      <c r="A399" s="4"/>
      <c r="B399" s="4"/>
      <c r="C399" s="4"/>
      <c r="D399" s="4"/>
      <c r="E399" s="4"/>
      <c r="F399" s="4"/>
      <c r="G399" s="4"/>
    </row>
    <row r="400">
      <c r="A400" s="4"/>
      <c r="B400" s="4"/>
      <c r="C400" s="4"/>
      <c r="D400" s="4"/>
      <c r="E400" s="4"/>
      <c r="F400" s="4"/>
      <c r="G400" s="4"/>
    </row>
    <row r="401">
      <c r="A401" s="4"/>
      <c r="B401" s="4"/>
      <c r="C401" s="4"/>
      <c r="D401" s="4"/>
      <c r="E401" s="4"/>
      <c r="F401" s="4"/>
      <c r="G401" s="4"/>
    </row>
    <row r="402">
      <c r="A402" s="4"/>
      <c r="B402" s="4"/>
      <c r="C402" s="4"/>
      <c r="D402" s="4"/>
      <c r="E402" s="4"/>
      <c r="F402" s="4"/>
      <c r="G402" s="4"/>
    </row>
    <row r="403">
      <c r="A403" s="4"/>
      <c r="B403" s="4"/>
      <c r="C403" s="4"/>
      <c r="D403" s="4"/>
      <c r="E403" s="4"/>
      <c r="F403" s="4"/>
      <c r="G403" s="4"/>
    </row>
    <row r="404">
      <c r="A404" s="4"/>
      <c r="B404" s="4"/>
      <c r="C404" s="4"/>
      <c r="D404" s="4"/>
      <c r="E404" s="4"/>
      <c r="F404" s="4"/>
      <c r="G404" s="4"/>
    </row>
    <row r="405">
      <c r="A405" s="4"/>
      <c r="B405" s="4"/>
      <c r="C405" s="4"/>
      <c r="D405" s="4"/>
      <c r="E405" s="4"/>
      <c r="F405" s="4"/>
      <c r="G405" s="4"/>
    </row>
    <row r="406">
      <c r="A406" s="4"/>
      <c r="B406" s="4"/>
      <c r="C406" s="4"/>
      <c r="D406" s="4"/>
      <c r="E406" s="4"/>
      <c r="F406" s="4"/>
      <c r="G406" s="4"/>
    </row>
    <row r="407">
      <c r="A407" s="4"/>
      <c r="B407" s="4"/>
      <c r="C407" s="4"/>
      <c r="D407" s="4"/>
      <c r="E407" s="4"/>
      <c r="F407" s="4"/>
      <c r="G407" s="4"/>
    </row>
    <row r="408">
      <c r="A408" s="4"/>
      <c r="B408" s="4"/>
      <c r="C408" s="4"/>
      <c r="D408" s="4"/>
      <c r="E408" s="4"/>
      <c r="F408" s="4"/>
      <c r="G408" s="4"/>
    </row>
    <row r="409">
      <c r="A409" s="4"/>
      <c r="B409" s="4"/>
      <c r="C409" s="4"/>
      <c r="D409" s="4"/>
      <c r="E409" s="4"/>
      <c r="F409" s="4"/>
      <c r="G409" s="4"/>
    </row>
    <row r="410">
      <c r="A410" s="4"/>
      <c r="B410" s="4"/>
      <c r="C410" s="4"/>
      <c r="D410" s="4"/>
      <c r="E410" s="4"/>
      <c r="F410" s="4"/>
      <c r="G410" s="4"/>
    </row>
    <row r="411">
      <c r="A411" s="4"/>
      <c r="B411" s="4"/>
      <c r="C411" s="4"/>
      <c r="D411" s="4"/>
      <c r="E411" s="4"/>
      <c r="F411" s="4"/>
      <c r="G411" s="4"/>
    </row>
    <row r="412">
      <c r="A412" s="4"/>
      <c r="B412" s="4"/>
      <c r="C412" s="4"/>
      <c r="D412" s="4"/>
      <c r="E412" s="4"/>
      <c r="F412" s="4"/>
      <c r="G412" s="4"/>
    </row>
    <row r="413">
      <c r="A413" s="4"/>
      <c r="B413" s="4"/>
      <c r="C413" s="4"/>
      <c r="D413" s="4"/>
      <c r="E413" s="4"/>
      <c r="F413" s="4"/>
      <c r="G413" s="4"/>
    </row>
    <row r="414">
      <c r="A414" s="4"/>
      <c r="B414" s="4"/>
      <c r="C414" s="4"/>
      <c r="D414" s="4"/>
      <c r="E414" s="4"/>
      <c r="F414" s="4"/>
      <c r="G414" s="4"/>
    </row>
    <row r="415">
      <c r="A415" s="4"/>
      <c r="B415" s="4"/>
      <c r="C415" s="4"/>
      <c r="D415" s="4"/>
      <c r="E415" s="4"/>
      <c r="F415" s="4"/>
      <c r="G415" s="4"/>
    </row>
    <row r="416">
      <c r="A416" s="4"/>
      <c r="B416" s="4"/>
      <c r="C416" s="4"/>
      <c r="D416" s="4"/>
      <c r="E416" s="4"/>
      <c r="F416" s="4"/>
      <c r="G416" s="4"/>
    </row>
    <row r="417">
      <c r="A417" s="4"/>
      <c r="B417" s="4"/>
      <c r="C417" s="4"/>
      <c r="D417" s="4"/>
      <c r="E417" s="4"/>
      <c r="F417" s="4"/>
      <c r="G417" s="4"/>
    </row>
    <row r="418">
      <c r="A418" s="4"/>
      <c r="B418" s="4"/>
      <c r="C418" s="4"/>
      <c r="D418" s="4"/>
      <c r="E418" s="4"/>
      <c r="F418" s="4"/>
      <c r="G418" s="4"/>
    </row>
    <row r="419">
      <c r="A419" s="4"/>
      <c r="B419" s="4"/>
      <c r="C419" s="4"/>
      <c r="D419" s="4"/>
      <c r="E419" s="4"/>
      <c r="F419" s="4"/>
      <c r="G419" s="4"/>
    </row>
    <row r="420">
      <c r="A420" s="4"/>
      <c r="B420" s="4"/>
      <c r="C420" s="4"/>
      <c r="D420" s="4"/>
      <c r="E420" s="4"/>
      <c r="F420" s="4"/>
      <c r="G420" s="4"/>
    </row>
    <row r="421">
      <c r="A421" s="4"/>
      <c r="B421" s="4"/>
      <c r="C421" s="4"/>
      <c r="D421" s="4"/>
      <c r="E421" s="4"/>
      <c r="F421" s="4"/>
      <c r="G421" s="4"/>
    </row>
    <row r="422">
      <c r="A422" s="4"/>
      <c r="B422" s="4"/>
      <c r="C422" s="4"/>
      <c r="D422" s="4"/>
      <c r="E422" s="4"/>
      <c r="F422" s="4"/>
      <c r="G422" s="4"/>
    </row>
    <row r="423">
      <c r="A423" s="4"/>
      <c r="B423" s="4"/>
      <c r="C423" s="4"/>
      <c r="D423" s="4"/>
      <c r="E423" s="4"/>
      <c r="F423" s="4"/>
      <c r="G423" s="4"/>
    </row>
    <row r="424">
      <c r="A424" s="4"/>
      <c r="B424" s="4"/>
      <c r="C424" s="4"/>
      <c r="D424" s="4"/>
      <c r="E424" s="4"/>
      <c r="F424" s="4"/>
      <c r="G424" s="4"/>
    </row>
    <row r="425">
      <c r="A425" s="4"/>
      <c r="B425" s="4"/>
      <c r="C425" s="4"/>
      <c r="D425" s="4"/>
      <c r="E425" s="4"/>
      <c r="F425" s="4"/>
      <c r="G425" s="4"/>
    </row>
    <row r="426">
      <c r="A426" s="4"/>
      <c r="B426" s="4"/>
      <c r="C426" s="4"/>
      <c r="D426" s="4"/>
      <c r="E426" s="4"/>
      <c r="F426" s="4"/>
      <c r="G426" s="4"/>
    </row>
    <row r="427">
      <c r="A427" s="4"/>
      <c r="B427" s="4"/>
      <c r="C427" s="4"/>
      <c r="D427" s="4"/>
      <c r="E427" s="4"/>
      <c r="F427" s="4"/>
      <c r="G427" s="4"/>
    </row>
    <row r="428">
      <c r="A428" s="4"/>
      <c r="B428" s="4"/>
      <c r="C428" s="4"/>
      <c r="D428" s="4"/>
      <c r="E428" s="4"/>
      <c r="F428" s="4"/>
      <c r="G428" s="4"/>
    </row>
    <row r="429">
      <c r="A429" s="4"/>
      <c r="B429" s="4"/>
      <c r="C429" s="4"/>
      <c r="D429" s="4"/>
      <c r="E429" s="4"/>
      <c r="F429" s="4"/>
      <c r="G429" s="4"/>
    </row>
    <row r="430">
      <c r="A430" s="4"/>
      <c r="B430" s="4"/>
      <c r="C430" s="4"/>
      <c r="D430" s="4"/>
      <c r="E430" s="4"/>
      <c r="F430" s="4"/>
      <c r="G430" s="4"/>
    </row>
    <row r="431">
      <c r="A431" s="4"/>
      <c r="B431" s="4"/>
      <c r="C431" s="4"/>
      <c r="D431" s="4"/>
      <c r="E431" s="4"/>
      <c r="F431" s="4"/>
      <c r="G431" s="4"/>
    </row>
    <row r="432">
      <c r="A432" s="4"/>
      <c r="B432" s="4"/>
      <c r="C432" s="4"/>
      <c r="D432" s="4"/>
      <c r="E432" s="4"/>
      <c r="F432" s="4"/>
      <c r="G432" s="4"/>
    </row>
    <row r="433">
      <c r="A433" s="4"/>
      <c r="B433" s="4"/>
      <c r="C433" s="4"/>
      <c r="D433" s="4"/>
      <c r="E433" s="4"/>
      <c r="F433" s="4"/>
      <c r="G433" s="4"/>
    </row>
    <row r="434">
      <c r="A434" s="4"/>
      <c r="B434" s="4"/>
      <c r="C434" s="4"/>
      <c r="D434" s="4"/>
      <c r="E434" s="4"/>
      <c r="F434" s="4"/>
      <c r="G434" s="4"/>
    </row>
    <row r="435">
      <c r="A435" s="4"/>
      <c r="B435" s="4"/>
      <c r="C435" s="4"/>
      <c r="D435" s="4"/>
      <c r="E435" s="4"/>
      <c r="F435" s="4"/>
      <c r="G435" s="4"/>
    </row>
    <row r="436">
      <c r="A436" s="4"/>
      <c r="B436" s="4"/>
      <c r="C436" s="4"/>
      <c r="D436" s="4"/>
      <c r="E436" s="4"/>
      <c r="F436" s="4"/>
      <c r="G436" s="4"/>
    </row>
    <row r="437">
      <c r="A437" s="4"/>
      <c r="B437" s="4"/>
      <c r="C437" s="4"/>
      <c r="D437" s="4"/>
      <c r="E437" s="4"/>
      <c r="F437" s="4"/>
      <c r="G437" s="4"/>
    </row>
    <row r="438">
      <c r="A438" s="4"/>
      <c r="B438" s="4"/>
      <c r="C438" s="4"/>
      <c r="D438" s="4"/>
      <c r="E438" s="4"/>
      <c r="F438" s="4"/>
      <c r="G438" s="4"/>
    </row>
    <row r="439">
      <c r="A439" s="4"/>
      <c r="B439" s="4"/>
      <c r="C439" s="4"/>
      <c r="D439" s="4"/>
      <c r="E439" s="4"/>
      <c r="F439" s="4"/>
      <c r="G439" s="4"/>
    </row>
    <row r="440">
      <c r="A440" s="4"/>
      <c r="B440" s="4"/>
      <c r="C440" s="4"/>
      <c r="D440" s="4"/>
      <c r="E440" s="4"/>
      <c r="F440" s="4"/>
      <c r="G440" s="4"/>
    </row>
    <row r="441">
      <c r="A441" s="4"/>
      <c r="B441" s="4"/>
      <c r="C441" s="4"/>
      <c r="D441" s="4"/>
      <c r="E441" s="4"/>
      <c r="F441" s="4"/>
      <c r="G441" s="4"/>
    </row>
    <row r="442">
      <c r="A442" s="4"/>
      <c r="B442" s="4"/>
      <c r="C442" s="4"/>
      <c r="D442" s="4"/>
      <c r="E442" s="4"/>
      <c r="F442" s="4"/>
      <c r="G442" s="4"/>
    </row>
    <row r="443">
      <c r="A443" s="4"/>
      <c r="B443" s="4"/>
      <c r="C443" s="4"/>
      <c r="D443" s="4"/>
      <c r="E443" s="4"/>
      <c r="F443" s="4"/>
      <c r="G443" s="4"/>
    </row>
    <row r="444">
      <c r="A444" s="4"/>
      <c r="B444" s="4"/>
      <c r="C444" s="4"/>
      <c r="D444" s="4"/>
      <c r="E444" s="4"/>
      <c r="F444" s="4"/>
      <c r="G444" s="4"/>
    </row>
    <row r="445">
      <c r="A445" s="4"/>
      <c r="B445" s="4"/>
      <c r="C445" s="4"/>
      <c r="D445" s="4"/>
      <c r="E445" s="4"/>
      <c r="F445" s="4"/>
      <c r="G445" s="4"/>
    </row>
    <row r="446">
      <c r="A446" s="4"/>
      <c r="B446" s="4"/>
      <c r="C446" s="4"/>
      <c r="D446" s="4"/>
      <c r="E446" s="4"/>
      <c r="F446" s="4"/>
      <c r="G446" s="4"/>
    </row>
    <row r="447">
      <c r="A447" s="4"/>
      <c r="B447" s="4"/>
      <c r="C447" s="4"/>
      <c r="D447" s="4"/>
      <c r="E447" s="4"/>
      <c r="F447" s="4"/>
      <c r="G447" s="4"/>
    </row>
    <row r="448">
      <c r="A448" s="4"/>
      <c r="B448" s="4"/>
      <c r="C448" s="4"/>
      <c r="D448" s="4"/>
      <c r="E448" s="4"/>
      <c r="F448" s="4"/>
      <c r="G448" s="4"/>
    </row>
    <row r="449">
      <c r="A449" s="4"/>
      <c r="B449" s="4"/>
      <c r="C449" s="4"/>
      <c r="D449" s="4"/>
      <c r="E449" s="4"/>
      <c r="F449" s="4"/>
      <c r="G449" s="4"/>
    </row>
    <row r="450">
      <c r="A450" s="4"/>
      <c r="B450" s="4"/>
      <c r="C450" s="4"/>
      <c r="D450" s="4"/>
      <c r="E450" s="4"/>
      <c r="F450" s="4"/>
      <c r="G450" s="4"/>
    </row>
    <row r="451">
      <c r="A451" s="4"/>
      <c r="B451" s="4"/>
      <c r="C451" s="4"/>
      <c r="D451" s="4"/>
      <c r="E451" s="4"/>
      <c r="F451" s="4"/>
      <c r="G451" s="4"/>
    </row>
    <row r="452">
      <c r="A452" s="4"/>
      <c r="B452" s="4"/>
      <c r="C452" s="4"/>
      <c r="D452" s="4"/>
      <c r="E452" s="4"/>
      <c r="F452" s="4"/>
      <c r="G452" s="4"/>
    </row>
    <row r="453">
      <c r="A453" s="4"/>
      <c r="B453" s="4"/>
      <c r="C453" s="4"/>
      <c r="D453" s="4"/>
      <c r="E453" s="4"/>
      <c r="F453" s="4"/>
      <c r="G453" s="4"/>
    </row>
    <row r="454">
      <c r="A454" s="4"/>
      <c r="B454" s="4"/>
      <c r="C454" s="4"/>
      <c r="D454" s="4"/>
      <c r="E454" s="4"/>
      <c r="F454" s="4"/>
      <c r="G454" s="4"/>
    </row>
    <row r="455">
      <c r="A455" s="4"/>
      <c r="B455" s="4"/>
      <c r="C455" s="4"/>
      <c r="D455" s="4"/>
      <c r="E455" s="4"/>
      <c r="F455" s="4"/>
      <c r="G455" s="4"/>
    </row>
    <row r="456">
      <c r="A456" s="4"/>
      <c r="B456" s="4"/>
      <c r="C456" s="4"/>
      <c r="D456" s="4"/>
      <c r="E456" s="4"/>
      <c r="F456" s="4"/>
      <c r="G456" s="4"/>
    </row>
    <row r="457">
      <c r="A457" s="4"/>
      <c r="B457" s="4"/>
      <c r="C457" s="4"/>
      <c r="D457" s="4"/>
      <c r="E457" s="4"/>
      <c r="F457" s="4"/>
      <c r="G457" s="4"/>
    </row>
    <row r="458">
      <c r="A458" s="4"/>
      <c r="B458" s="4"/>
      <c r="C458" s="4"/>
      <c r="D458" s="4"/>
      <c r="E458" s="4"/>
      <c r="F458" s="4"/>
      <c r="G458" s="4"/>
    </row>
    <row r="459">
      <c r="A459" s="4"/>
      <c r="B459" s="4"/>
      <c r="C459" s="4"/>
      <c r="D459" s="4"/>
      <c r="E459" s="4"/>
      <c r="F459" s="4"/>
      <c r="G459" s="4"/>
    </row>
    <row r="460">
      <c r="A460" s="4"/>
      <c r="B460" s="4"/>
      <c r="C460" s="4"/>
      <c r="D460" s="4"/>
      <c r="E460" s="4"/>
      <c r="F460" s="4"/>
      <c r="G460" s="4"/>
    </row>
    <row r="461">
      <c r="A461" s="4"/>
      <c r="B461" s="4"/>
      <c r="C461" s="4"/>
      <c r="D461" s="4"/>
      <c r="E461" s="4"/>
      <c r="F461" s="4"/>
      <c r="G461" s="4"/>
    </row>
    <row r="462">
      <c r="A462" s="4"/>
      <c r="B462" s="4"/>
      <c r="C462" s="4"/>
      <c r="D462" s="4"/>
      <c r="E462" s="4"/>
      <c r="F462" s="4"/>
      <c r="G462" s="4"/>
    </row>
    <row r="463">
      <c r="A463" s="4"/>
      <c r="B463" s="4"/>
      <c r="C463" s="4"/>
      <c r="D463" s="4"/>
      <c r="E463" s="4"/>
      <c r="F463" s="4"/>
      <c r="G463" s="4"/>
    </row>
    <row r="464">
      <c r="A464" s="4"/>
      <c r="B464" s="4"/>
      <c r="C464" s="4"/>
      <c r="D464" s="4"/>
      <c r="E464" s="4"/>
      <c r="F464" s="4"/>
      <c r="G464" s="4"/>
    </row>
    <row r="465">
      <c r="A465" s="4"/>
      <c r="B465" s="4"/>
      <c r="C465" s="4"/>
      <c r="D465" s="4"/>
      <c r="E465" s="4"/>
      <c r="F465" s="4"/>
      <c r="G465" s="4"/>
    </row>
    <row r="466">
      <c r="A466" s="4"/>
      <c r="B466" s="4"/>
      <c r="C466" s="4"/>
      <c r="D466" s="4"/>
      <c r="E466" s="4"/>
      <c r="F466" s="4"/>
      <c r="G466" s="4"/>
    </row>
    <row r="467">
      <c r="A467" s="4"/>
      <c r="B467" s="4"/>
      <c r="C467" s="4"/>
      <c r="D467" s="4"/>
      <c r="E467" s="4"/>
      <c r="F467" s="4"/>
      <c r="G467" s="4"/>
    </row>
    <row r="468">
      <c r="A468" s="4"/>
      <c r="B468" s="4"/>
      <c r="C468" s="4"/>
      <c r="D468" s="4"/>
      <c r="E468" s="4"/>
      <c r="F468" s="4"/>
      <c r="G468" s="4"/>
    </row>
    <row r="469">
      <c r="A469" s="4"/>
      <c r="B469" s="4"/>
      <c r="C469" s="4"/>
      <c r="D469" s="4"/>
      <c r="E469" s="4"/>
      <c r="F469" s="4"/>
      <c r="G469" s="4"/>
    </row>
    <row r="470">
      <c r="A470" s="4"/>
      <c r="B470" s="4"/>
      <c r="C470" s="4"/>
      <c r="D470" s="4"/>
      <c r="E470" s="4"/>
      <c r="F470" s="4"/>
      <c r="G470" s="4"/>
    </row>
    <row r="471">
      <c r="A471" s="4"/>
      <c r="B471" s="4"/>
      <c r="C471" s="4"/>
      <c r="D471" s="4"/>
      <c r="E471" s="4"/>
      <c r="F471" s="4"/>
      <c r="G471" s="4"/>
    </row>
    <row r="472">
      <c r="A472" s="4"/>
      <c r="B472" s="4"/>
      <c r="C472" s="4"/>
      <c r="D472" s="4"/>
      <c r="E472" s="4"/>
      <c r="F472" s="4"/>
      <c r="G472" s="4"/>
    </row>
    <row r="473">
      <c r="A473" s="4"/>
      <c r="B473" s="4"/>
      <c r="C473" s="4"/>
      <c r="D473" s="4"/>
      <c r="E473" s="4"/>
      <c r="F473" s="4"/>
      <c r="G473" s="4"/>
    </row>
    <row r="474">
      <c r="A474" s="4"/>
      <c r="B474" s="4"/>
      <c r="C474" s="4"/>
      <c r="D474" s="4"/>
      <c r="E474" s="4"/>
      <c r="F474" s="4"/>
      <c r="G474" s="4"/>
    </row>
    <row r="475">
      <c r="A475" s="4"/>
      <c r="B475" s="4"/>
      <c r="C475" s="4"/>
      <c r="D475" s="4"/>
      <c r="E475" s="4"/>
      <c r="F475" s="4"/>
      <c r="G475" s="4"/>
    </row>
    <row r="476">
      <c r="A476" s="4"/>
      <c r="B476" s="4"/>
      <c r="C476" s="4"/>
      <c r="D476" s="4"/>
      <c r="E476" s="4"/>
      <c r="F476" s="4"/>
      <c r="G476" s="4"/>
    </row>
    <row r="477">
      <c r="A477" s="4"/>
      <c r="B477" s="4"/>
      <c r="C477" s="4"/>
      <c r="D477" s="4"/>
      <c r="E477" s="4"/>
      <c r="F477" s="4"/>
      <c r="G477" s="4"/>
    </row>
    <row r="478">
      <c r="A478" s="4"/>
      <c r="B478" s="4"/>
      <c r="C478" s="4"/>
      <c r="D478" s="4"/>
      <c r="E478" s="4"/>
      <c r="F478" s="4"/>
      <c r="G478" s="4"/>
    </row>
    <row r="479">
      <c r="A479" s="4"/>
      <c r="B479" s="4"/>
      <c r="C479" s="4"/>
      <c r="D479" s="4"/>
      <c r="E479" s="4"/>
      <c r="F479" s="4"/>
      <c r="G479" s="4"/>
    </row>
    <row r="480">
      <c r="A480" s="4"/>
      <c r="B480" s="4"/>
      <c r="C480" s="4"/>
      <c r="D480" s="4"/>
      <c r="E480" s="4"/>
      <c r="F480" s="4"/>
      <c r="G480" s="4"/>
    </row>
    <row r="481">
      <c r="A481" s="4"/>
      <c r="B481" s="4"/>
      <c r="C481" s="4"/>
      <c r="D481" s="4"/>
      <c r="E481" s="4"/>
      <c r="F481" s="4"/>
      <c r="G481" s="4"/>
    </row>
    <row r="482">
      <c r="A482" s="4"/>
      <c r="B482" s="4"/>
      <c r="C482" s="4"/>
      <c r="D482" s="4"/>
      <c r="E482" s="4"/>
      <c r="F482" s="4"/>
      <c r="G482" s="4"/>
    </row>
    <row r="483">
      <c r="A483" s="4"/>
      <c r="B483" s="4"/>
      <c r="C483" s="4"/>
      <c r="D483" s="4"/>
      <c r="E483" s="4"/>
      <c r="F483" s="4"/>
      <c r="G483" s="4"/>
    </row>
    <row r="484">
      <c r="A484" s="4"/>
      <c r="B484" s="4"/>
      <c r="C484" s="4"/>
      <c r="D484" s="4"/>
      <c r="E484" s="4"/>
      <c r="F484" s="4"/>
      <c r="G484" s="4"/>
    </row>
    <row r="485">
      <c r="A485" s="4"/>
      <c r="B485" s="4"/>
      <c r="C485" s="4"/>
      <c r="D485" s="4"/>
      <c r="E485" s="4"/>
      <c r="F485" s="4"/>
      <c r="G485" s="4"/>
    </row>
    <row r="486">
      <c r="A486" s="4"/>
      <c r="B486" s="4"/>
      <c r="C486" s="4"/>
      <c r="D486" s="4"/>
      <c r="E486" s="4"/>
      <c r="F486" s="4"/>
      <c r="G486" s="4"/>
    </row>
    <row r="487">
      <c r="A487" s="4"/>
      <c r="B487" s="4"/>
      <c r="C487" s="4"/>
      <c r="D487" s="4"/>
      <c r="E487" s="4"/>
      <c r="F487" s="4"/>
      <c r="G487" s="4"/>
    </row>
    <row r="488">
      <c r="A488" s="4"/>
      <c r="B488" s="4"/>
      <c r="C488" s="4"/>
      <c r="D488" s="4"/>
      <c r="E488" s="4"/>
      <c r="F488" s="4"/>
      <c r="G488" s="4"/>
    </row>
    <row r="489">
      <c r="A489" s="4"/>
      <c r="B489" s="4"/>
      <c r="C489" s="4"/>
      <c r="D489" s="4"/>
      <c r="E489" s="4"/>
      <c r="F489" s="4"/>
      <c r="G489" s="4"/>
    </row>
    <row r="490">
      <c r="A490" s="4"/>
      <c r="B490" s="4"/>
      <c r="C490" s="4"/>
      <c r="D490" s="4"/>
      <c r="E490" s="4"/>
      <c r="F490" s="4"/>
      <c r="G490" s="4"/>
    </row>
    <row r="491">
      <c r="A491" s="4"/>
      <c r="B491" s="4"/>
      <c r="C491" s="4"/>
      <c r="D491" s="4"/>
      <c r="E491" s="4"/>
      <c r="F491" s="4"/>
      <c r="G491" s="4"/>
    </row>
    <row r="492">
      <c r="A492" s="4"/>
      <c r="B492" s="4"/>
      <c r="C492" s="4"/>
      <c r="D492" s="4"/>
      <c r="E492" s="4"/>
      <c r="F492" s="4"/>
      <c r="G492" s="4"/>
    </row>
    <row r="493">
      <c r="A493" s="4"/>
      <c r="B493" s="4"/>
      <c r="C493" s="4"/>
      <c r="D493" s="4"/>
      <c r="E493" s="4"/>
      <c r="F493" s="4"/>
      <c r="G493" s="4"/>
    </row>
    <row r="494">
      <c r="A494" s="4"/>
      <c r="B494" s="4"/>
      <c r="C494" s="4"/>
      <c r="D494" s="4"/>
      <c r="E494" s="4"/>
      <c r="F494" s="4"/>
      <c r="G494" s="4"/>
    </row>
    <row r="495">
      <c r="A495" s="4"/>
      <c r="B495" s="4"/>
      <c r="C495" s="4"/>
      <c r="D495" s="4"/>
      <c r="E495" s="4"/>
      <c r="F495" s="4"/>
      <c r="G495" s="4"/>
    </row>
    <row r="496">
      <c r="A496" s="4"/>
      <c r="B496" s="4"/>
      <c r="C496" s="4"/>
      <c r="D496" s="4"/>
      <c r="E496" s="4"/>
      <c r="F496" s="4"/>
      <c r="G496" s="4"/>
    </row>
    <row r="497">
      <c r="A497" s="4"/>
      <c r="B497" s="4"/>
      <c r="C497" s="4"/>
      <c r="D497" s="4"/>
      <c r="E497" s="4"/>
      <c r="F497" s="4"/>
      <c r="G497" s="4"/>
    </row>
    <row r="498">
      <c r="A498" s="4"/>
      <c r="B498" s="4"/>
      <c r="C498" s="4"/>
      <c r="D498" s="4"/>
      <c r="E498" s="4"/>
      <c r="F498" s="4"/>
      <c r="G498" s="4"/>
    </row>
    <row r="499">
      <c r="A499" s="4"/>
      <c r="B499" s="4"/>
      <c r="C499" s="4"/>
      <c r="D499" s="4"/>
      <c r="E499" s="4"/>
      <c r="F499" s="4"/>
      <c r="G499" s="4"/>
    </row>
    <row r="500">
      <c r="A500" s="4"/>
      <c r="B500" s="4"/>
      <c r="C500" s="4"/>
      <c r="D500" s="4"/>
      <c r="E500" s="4"/>
      <c r="F500" s="4"/>
      <c r="G500" s="4"/>
    </row>
    <row r="501">
      <c r="A501" s="4"/>
      <c r="B501" s="4"/>
      <c r="C501" s="4"/>
      <c r="D501" s="4"/>
      <c r="E501" s="4"/>
      <c r="F501" s="4"/>
      <c r="G501" s="4"/>
    </row>
    <row r="502">
      <c r="A502" s="4"/>
      <c r="B502" s="4"/>
      <c r="C502" s="4"/>
      <c r="D502" s="4"/>
      <c r="E502" s="4"/>
      <c r="F502" s="4"/>
      <c r="G502" s="4"/>
    </row>
    <row r="503">
      <c r="A503" s="4"/>
      <c r="B503" s="4"/>
      <c r="C503" s="4"/>
      <c r="D503" s="4"/>
      <c r="E503" s="4"/>
      <c r="F503" s="4"/>
      <c r="G503" s="4"/>
    </row>
    <row r="504">
      <c r="A504" s="4"/>
      <c r="B504" s="4"/>
      <c r="C504" s="4"/>
      <c r="D504" s="4"/>
      <c r="E504" s="4"/>
      <c r="F504" s="4"/>
      <c r="G504" s="4"/>
    </row>
    <row r="505">
      <c r="A505" s="4"/>
      <c r="B505" s="4"/>
      <c r="C505" s="4"/>
      <c r="D505" s="4"/>
      <c r="E505" s="4"/>
      <c r="F505" s="4"/>
      <c r="G505" s="4"/>
    </row>
    <row r="506">
      <c r="A506" s="4"/>
      <c r="B506" s="4"/>
      <c r="C506" s="4"/>
      <c r="D506" s="4"/>
      <c r="E506" s="4"/>
      <c r="F506" s="4"/>
      <c r="G506" s="4"/>
    </row>
    <row r="507">
      <c r="A507" s="4"/>
      <c r="B507" s="4"/>
      <c r="C507" s="4"/>
      <c r="D507" s="4"/>
      <c r="E507" s="4"/>
      <c r="F507" s="4"/>
      <c r="G507" s="4"/>
    </row>
    <row r="508">
      <c r="A508" s="4"/>
      <c r="B508" s="4"/>
      <c r="C508" s="4"/>
      <c r="D508" s="4"/>
      <c r="E508" s="4"/>
      <c r="F508" s="4"/>
      <c r="G508" s="4"/>
    </row>
    <row r="509">
      <c r="A509" s="4"/>
      <c r="B509" s="4"/>
      <c r="C509" s="4"/>
      <c r="D509" s="4"/>
      <c r="E509" s="4"/>
      <c r="F509" s="4"/>
      <c r="G509" s="4"/>
    </row>
    <row r="510">
      <c r="A510" s="4"/>
      <c r="B510" s="4"/>
      <c r="C510" s="4"/>
      <c r="D510" s="4"/>
      <c r="E510" s="4"/>
      <c r="F510" s="4"/>
      <c r="G510" s="4"/>
    </row>
    <row r="511">
      <c r="A511" s="4"/>
      <c r="B511" s="4"/>
      <c r="C511" s="4"/>
      <c r="D511" s="4"/>
      <c r="E511" s="4"/>
      <c r="F511" s="4"/>
      <c r="G511" s="4"/>
    </row>
    <row r="512">
      <c r="A512" s="4"/>
      <c r="B512" s="4"/>
      <c r="C512" s="4"/>
      <c r="D512" s="4"/>
      <c r="E512" s="4"/>
      <c r="F512" s="4"/>
      <c r="G512" s="4"/>
    </row>
    <row r="513">
      <c r="A513" s="4"/>
      <c r="B513" s="4"/>
      <c r="C513" s="4"/>
      <c r="D513" s="4"/>
      <c r="E513" s="4"/>
      <c r="F513" s="4"/>
      <c r="G513" s="4"/>
    </row>
    <row r="514">
      <c r="A514" s="4"/>
      <c r="B514" s="4"/>
      <c r="C514" s="4"/>
      <c r="D514" s="4"/>
      <c r="E514" s="4"/>
      <c r="F514" s="4"/>
      <c r="G514" s="4"/>
    </row>
    <row r="515">
      <c r="A515" s="4"/>
      <c r="B515" s="4"/>
      <c r="C515" s="4"/>
      <c r="D515" s="4"/>
      <c r="E515" s="4"/>
      <c r="F515" s="4"/>
      <c r="G515" s="4"/>
    </row>
    <row r="516">
      <c r="A516" s="4"/>
      <c r="B516" s="4"/>
      <c r="C516" s="4"/>
      <c r="D516" s="4"/>
      <c r="E516" s="4"/>
      <c r="F516" s="4"/>
      <c r="G516" s="4"/>
    </row>
    <row r="517">
      <c r="A517" s="4"/>
      <c r="B517" s="4"/>
      <c r="C517" s="4"/>
      <c r="D517" s="4"/>
      <c r="E517" s="4"/>
      <c r="F517" s="4"/>
      <c r="G517" s="4"/>
    </row>
    <row r="518">
      <c r="A518" s="4"/>
      <c r="B518" s="4"/>
      <c r="C518" s="4"/>
      <c r="D518" s="4"/>
      <c r="E518" s="4"/>
      <c r="F518" s="4"/>
      <c r="G518" s="4"/>
    </row>
    <row r="519">
      <c r="A519" s="4"/>
      <c r="B519" s="4"/>
      <c r="C519" s="4"/>
      <c r="D519" s="4"/>
      <c r="E519" s="4"/>
      <c r="F519" s="4"/>
      <c r="G519" s="4"/>
    </row>
    <row r="520">
      <c r="A520" s="4"/>
      <c r="B520" s="4"/>
      <c r="C520" s="4"/>
      <c r="D520" s="4"/>
      <c r="E520" s="4"/>
      <c r="F520" s="4"/>
      <c r="G520" s="4"/>
    </row>
    <row r="521">
      <c r="A521" s="4"/>
      <c r="B521" s="4"/>
      <c r="C521" s="4"/>
      <c r="D521" s="4"/>
      <c r="E521" s="4"/>
      <c r="F521" s="4"/>
      <c r="G521" s="4"/>
    </row>
    <row r="522">
      <c r="A522" s="4"/>
      <c r="B522" s="4"/>
      <c r="C522" s="4"/>
      <c r="D522" s="4"/>
      <c r="E522" s="4"/>
      <c r="F522" s="4"/>
      <c r="G522" s="4"/>
    </row>
    <row r="523">
      <c r="A523" s="4"/>
      <c r="B523" s="4"/>
      <c r="C523" s="4"/>
      <c r="D523" s="4"/>
      <c r="E523" s="4"/>
      <c r="F523" s="4"/>
      <c r="G523" s="4"/>
    </row>
    <row r="524">
      <c r="A524" s="4"/>
      <c r="B524" s="4"/>
      <c r="C524" s="4"/>
      <c r="D524" s="4"/>
      <c r="E524" s="4"/>
      <c r="F524" s="4"/>
      <c r="G524" s="4"/>
    </row>
    <row r="525">
      <c r="A525" s="4"/>
      <c r="B525" s="4"/>
      <c r="C525" s="4"/>
      <c r="D525" s="4"/>
      <c r="E525" s="4"/>
      <c r="F525" s="4"/>
      <c r="G525" s="4"/>
    </row>
    <row r="526">
      <c r="A526" s="4"/>
      <c r="B526" s="4"/>
      <c r="C526" s="4"/>
      <c r="D526" s="4"/>
      <c r="E526" s="4"/>
      <c r="F526" s="4"/>
      <c r="G526" s="4"/>
    </row>
    <row r="527">
      <c r="A527" s="4"/>
      <c r="B527" s="4"/>
      <c r="C527" s="4"/>
      <c r="D527" s="4"/>
      <c r="E527" s="4"/>
      <c r="F527" s="4"/>
      <c r="G527" s="4"/>
    </row>
    <row r="528">
      <c r="A528" s="4"/>
      <c r="B528" s="4"/>
      <c r="C528" s="4"/>
      <c r="D528" s="4"/>
      <c r="E528" s="4"/>
      <c r="F528" s="4"/>
      <c r="G528" s="4"/>
    </row>
    <row r="529">
      <c r="A529" s="4"/>
      <c r="B529" s="4"/>
      <c r="C529" s="4"/>
      <c r="D529" s="4"/>
      <c r="E529" s="4"/>
      <c r="F529" s="4"/>
      <c r="G529" s="4"/>
    </row>
    <row r="530">
      <c r="A530" s="4"/>
      <c r="B530" s="4"/>
      <c r="C530" s="4"/>
      <c r="D530" s="4"/>
      <c r="E530" s="4"/>
      <c r="F530" s="4"/>
      <c r="G530" s="4"/>
    </row>
    <row r="531">
      <c r="A531" s="4"/>
      <c r="B531" s="4"/>
      <c r="C531" s="4"/>
      <c r="D531" s="4"/>
      <c r="E531" s="4"/>
      <c r="F531" s="4"/>
      <c r="G531" s="4"/>
    </row>
    <row r="532">
      <c r="A532" s="4"/>
      <c r="B532" s="4"/>
      <c r="C532" s="4"/>
      <c r="D532" s="4"/>
      <c r="E532" s="4"/>
      <c r="F532" s="4"/>
      <c r="G532" s="4"/>
    </row>
    <row r="533">
      <c r="A533" s="4"/>
      <c r="B533" s="4"/>
      <c r="C533" s="4"/>
      <c r="D533" s="4"/>
      <c r="E533" s="4"/>
      <c r="F533" s="4"/>
      <c r="G533" s="4"/>
    </row>
    <row r="534">
      <c r="A534" s="4"/>
      <c r="B534" s="4"/>
      <c r="C534" s="4"/>
      <c r="D534" s="4"/>
      <c r="E534" s="4"/>
      <c r="F534" s="4"/>
      <c r="G534" s="4"/>
    </row>
    <row r="535">
      <c r="A535" s="4"/>
      <c r="B535" s="4"/>
      <c r="C535" s="4"/>
      <c r="D535" s="4"/>
      <c r="E535" s="4"/>
      <c r="F535" s="4"/>
      <c r="G535" s="4"/>
    </row>
    <row r="536">
      <c r="A536" s="4"/>
      <c r="B536" s="4"/>
      <c r="C536" s="4"/>
      <c r="D536" s="4"/>
      <c r="E536" s="4"/>
      <c r="F536" s="4"/>
      <c r="G536" s="4"/>
    </row>
    <row r="537">
      <c r="A537" s="4"/>
      <c r="B537" s="4"/>
      <c r="C537" s="4"/>
      <c r="D537" s="4"/>
      <c r="E537" s="4"/>
      <c r="F537" s="4"/>
      <c r="G537" s="4"/>
    </row>
    <row r="538">
      <c r="A538" s="4"/>
      <c r="B538" s="4"/>
      <c r="C538" s="4"/>
      <c r="D538" s="4"/>
      <c r="E538" s="4"/>
      <c r="F538" s="4"/>
      <c r="G538" s="4"/>
    </row>
    <row r="539">
      <c r="A539" s="4"/>
      <c r="B539" s="4"/>
      <c r="C539" s="4"/>
      <c r="D539" s="4"/>
      <c r="E539" s="4"/>
      <c r="F539" s="4"/>
      <c r="G539" s="4"/>
    </row>
    <row r="540">
      <c r="A540" s="4"/>
      <c r="B540" s="4"/>
      <c r="C540" s="4"/>
      <c r="D540" s="4"/>
      <c r="E540" s="4"/>
      <c r="F540" s="4"/>
      <c r="G540" s="4"/>
    </row>
    <row r="541">
      <c r="A541" s="4"/>
      <c r="B541" s="4"/>
      <c r="C541" s="4"/>
      <c r="D541" s="4"/>
      <c r="E541" s="4"/>
      <c r="F541" s="4"/>
      <c r="G541" s="4"/>
    </row>
    <row r="542">
      <c r="A542" s="4"/>
      <c r="B542" s="4"/>
      <c r="C542" s="4"/>
      <c r="D542" s="4"/>
      <c r="E542" s="4"/>
      <c r="F542" s="4"/>
      <c r="G542" s="4"/>
    </row>
    <row r="543">
      <c r="A543" s="4"/>
      <c r="B543" s="4"/>
      <c r="C543" s="4"/>
      <c r="D543" s="4"/>
      <c r="E543" s="4"/>
      <c r="F543" s="4"/>
      <c r="G543" s="4"/>
    </row>
    <row r="544">
      <c r="A544" s="4"/>
      <c r="B544" s="4"/>
      <c r="C544" s="4"/>
      <c r="D544" s="4"/>
      <c r="E544" s="4"/>
      <c r="F544" s="4"/>
      <c r="G544" s="4"/>
    </row>
    <row r="545">
      <c r="A545" s="4"/>
      <c r="B545" s="4"/>
      <c r="C545" s="4"/>
      <c r="D545" s="4"/>
      <c r="E545" s="4"/>
      <c r="F545" s="4"/>
      <c r="G545" s="4"/>
    </row>
    <row r="546">
      <c r="A546" s="4"/>
      <c r="B546" s="4"/>
      <c r="C546" s="4"/>
      <c r="D546" s="4"/>
      <c r="E546" s="4"/>
      <c r="F546" s="4"/>
      <c r="G546" s="4"/>
    </row>
    <row r="547">
      <c r="A547" s="4"/>
      <c r="B547" s="4"/>
      <c r="C547" s="4"/>
      <c r="D547" s="4"/>
      <c r="E547" s="4"/>
      <c r="F547" s="4"/>
      <c r="G547" s="4"/>
    </row>
    <row r="548">
      <c r="A548" s="4"/>
      <c r="B548" s="4"/>
      <c r="C548" s="4"/>
      <c r="D548" s="4"/>
      <c r="E548" s="4"/>
      <c r="F548" s="4"/>
      <c r="G548" s="4"/>
    </row>
    <row r="549">
      <c r="A549" s="4"/>
      <c r="B549" s="4"/>
      <c r="C549" s="4"/>
      <c r="D549" s="4"/>
      <c r="E549" s="4"/>
      <c r="F549" s="4"/>
      <c r="G549" s="4"/>
    </row>
    <row r="550">
      <c r="A550" s="4"/>
      <c r="B550" s="4"/>
      <c r="C550" s="4"/>
      <c r="D550" s="4"/>
      <c r="E550" s="4"/>
      <c r="F550" s="4"/>
      <c r="G550" s="4"/>
    </row>
    <row r="551">
      <c r="A551" s="4"/>
      <c r="B551" s="4"/>
      <c r="C551" s="4"/>
      <c r="D551" s="4"/>
      <c r="E551" s="4"/>
      <c r="F551" s="4"/>
      <c r="G551" s="4"/>
    </row>
    <row r="552">
      <c r="A552" s="4"/>
      <c r="B552" s="4"/>
      <c r="C552" s="4"/>
      <c r="D552" s="4"/>
      <c r="E552" s="4"/>
      <c r="F552" s="4"/>
      <c r="G552" s="4"/>
    </row>
    <row r="553">
      <c r="A553" s="4"/>
      <c r="B553" s="4"/>
      <c r="C553" s="4"/>
      <c r="D553" s="4"/>
      <c r="E553" s="4"/>
      <c r="F553" s="4"/>
      <c r="G553" s="4"/>
    </row>
    <row r="554">
      <c r="A554" s="4"/>
      <c r="B554" s="4"/>
      <c r="C554" s="4"/>
      <c r="D554" s="4"/>
      <c r="E554" s="4"/>
      <c r="F554" s="4"/>
      <c r="G554" s="4"/>
    </row>
    <row r="555">
      <c r="A555" s="4"/>
      <c r="B555" s="4"/>
      <c r="C555" s="4"/>
      <c r="D555" s="4"/>
      <c r="E555" s="4"/>
      <c r="F555" s="4"/>
      <c r="G555" s="4"/>
    </row>
    <row r="556">
      <c r="A556" s="4"/>
      <c r="B556" s="4"/>
      <c r="C556" s="4"/>
      <c r="D556" s="4"/>
      <c r="E556" s="4"/>
      <c r="F556" s="4"/>
      <c r="G556" s="4"/>
    </row>
    <row r="557">
      <c r="A557" s="4"/>
      <c r="B557" s="4"/>
      <c r="C557" s="4"/>
      <c r="D557" s="4"/>
      <c r="E557" s="4"/>
      <c r="F557" s="4"/>
      <c r="G557" s="4"/>
    </row>
    <row r="558">
      <c r="A558" s="4"/>
      <c r="B558" s="4"/>
      <c r="C558" s="4"/>
      <c r="D558" s="4"/>
      <c r="E558" s="4"/>
      <c r="F558" s="4"/>
      <c r="G558" s="4"/>
    </row>
    <row r="559">
      <c r="A559" s="4"/>
      <c r="B559" s="4"/>
      <c r="C559" s="4"/>
      <c r="D559" s="4"/>
      <c r="E559" s="4"/>
      <c r="F559" s="4"/>
      <c r="G559" s="4"/>
    </row>
    <row r="560">
      <c r="A560" s="4"/>
      <c r="B560" s="4"/>
      <c r="C560" s="4"/>
      <c r="D560" s="4"/>
      <c r="E560" s="4"/>
      <c r="F560" s="4"/>
      <c r="G560" s="4"/>
    </row>
    <row r="561">
      <c r="A561" s="4"/>
      <c r="B561" s="4"/>
      <c r="C561" s="4"/>
      <c r="D561" s="4"/>
      <c r="E561" s="4"/>
      <c r="F561" s="4"/>
      <c r="G561" s="4"/>
    </row>
    <row r="562">
      <c r="A562" s="4"/>
      <c r="B562" s="4"/>
      <c r="C562" s="4"/>
      <c r="D562" s="4"/>
      <c r="E562" s="4"/>
      <c r="F562" s="4"/>
      <c r="G562" s="4"/>
    </row>
    <row r="563">
      <c r="A563" s="4"/>
      <c r="B563" s="4"/>
      <c r="C563" s="4"/>
      <c r="D563" s="4"/>
      <c r="E563" s="4"/>
      <c r="F563" s="4"/>
      <c r="G563" s="4"/>
    </row>
    <row r="564">
      <c r="A564" s="4"/>
      <c r="B564" s="4"/>
      <c r="C564" s="4"/>
      <c r="D564" s="4"/>
      <c r="E564" s="4"/>
      <c r="F564" s="4"/>
      <c r="G564" s="4"/>
    </row>
    <row r="565">
      <c r="A565" s="4"/>
      <c r="B565" s="4"/>
      <c r="C565" s="4"/>
      <c r="D565" s="4"/>
      <c r="E565" s="4"/>
      <c r="F565" s="4"/>
      <c r="G565" s="4"/>
    </row>
    <row r="566">
      <c r="A566" s="4"/>
      <c r="B566" s="4"/>
      <c r="C566" s="4"/>
      <c r="D566" s="4"/>
      <c r="E566" s="4"/>
      <c r="F566" s="4"/>
      <c r="G566" s="4"/>
    </row>
    <row r="567">
      <c r="A567" s="4"/>
      <c r="B567" s="4"/>
      <c r="C567" s="4"/>
      <c r="D567" s="4"/>
      <c r="E567" s="4"/>
      <c r="F567" s="4"/>
      <c r="G567" s="4"/>
    </row>
    <row r="568">
      <c r="A568" s="4"/>
      <c r="B568" s="4"/>
      <c r="C568" s="4"/>
      <c r="D568" s="4"/>
      <c r="E568" s="4"/>
      <c r="F568" s="4"/>
      <c r="G568" s="4"/>
    </row>
    <row r="569">
      <c r="A569" s="4"/>
      <c r="B569" s="4"/>
      <c r="C569" s="4"/>
      <c r="D569" s="4"/>
      <c r="E569" s="4"/>
      <c r="F569" s="4"/>
      <c r="G569" s="4"/>
    </row>
    <row r="570">
      <c r="A570" s="4"/>
      <c r="B570" s="4"/>
      <c r="C570" s="4"/>
      <c r="D570" s="4"/>
      <c r="E570" s="4"/>
      <c r="F570" s="4"/>
      <c r="G570" s="4"/>
    </row>
    <row r="571">
      <c r="A571" s="4"/>
      <c r="B571" s="4"/>
      <c r="C571" s="4"/>
      <c r="D571" s="4"/>
      <c r="E571" s="4"/>
      <c r="F571" s="4"/>
      <c r="G571" s="4"/>
    </row>
    <row r="572">
      <c r="A572" s="4"/>
      <c r="B572" s="4"/>
      <c r="C572" s="4"/>
      <c r="D572" s="4"/>
      <c r="E572" s="4"/>
      <c r="F572" s="4"/>
      <c r="G572" s="4"/>
    </row>
    <row r="573">
      <c r="A573" s="4"/>
      <c r="B573" s="4"/>
      <c r="C573" s="4"/>
      <c r="D573" s="4"/>
      <c r="E573" s="4"/>
      <c r="F573" s="4"/>
      <c r="G573" s="4"/>
    </row>
    <row r="574">
      <c r="A574" s="4"/>
      <c r="B574" s="4"/>
      <c r="C574" s="4"/>
      <c r="D574" s="4"/>
      <c r="E574" s="4"/>
      <c r="F574" s="4"/>
      <c r="G574" s="4"/>
    </row>
    <row r="575">
      <c r="A575" s="4"/>
      <c r="B575" s="4"/>
      <c r="C575" s="4"/>
      <c r="D575" s="4"/>
      <c r="E575" s="4"/>
      <c r="F575" s="4"/>
      <c r="G575" s="4"/>
    </row>
    <row r="576">
      <c r="A576" s="4"/>
      <c r="B576" s="4"/>
      <c r="C576" s="4"/>
      <c r="D576" s="4"/>
      <c r="E576" s="4"/>
      <c r="F576" s="4"/>
      <c r="G576" s="4"/>
    </row>
    <row r="577">
      <c r="A577" s="4"/>
      <c r="B577" s="4"/>
      <c r="C577" s="4"/>
      <c r="D577" s="4"/>
      <c r="E577" s="4"/>
      <c r="F577" s="4"/>
      <c r="G577" s="4"/>
    </row>
    <row r="578">
      <c r="A578" s="4"/>
      <c r="B578" s="4"/>
      <c r="C578" s="4"/>
      <c r="D578" s="4"/>
      <c r="E578" s="4"/>
      <c r="F578" s="4"/>
      <c r="G578" s="4"/>
    </row>
    <row r="579">
      <c r="A579" s="4"/>
      <c r="B579" s="4"/>
      <c r="C579" s="4"/>
      <c r="D579" s="4"/>
      <c r="E579" s="4"/>
      <c r="F579" s="4"/>
      <c r="G579" s="4"/>
    </row>
    <row r="580">
      <c r="A580" s="4"/>
      <c r="B580" s="4"/>
      <c r="C580" s="4"/>
      <c r="D580" s="4"/>
      <c r="E580" s="4"/>
      <c r="F580" s="4"/>
      <c r="G580" s="4"/>
    </row>
    <row r="581">
      <c r="A581" s="4"/>
      <c r="B581" s="4"/>
      <c r="C581" s="4"/>
      <c r="D581" s="4"/>
      <c r="E581" s="4"/>
      <c r="F581" s="4"/>
      <c r="G581" s="4"/>
    </row>
    <row r="582">
      <c r="A582" s="4"/>
      <c r="B582" s="4"/>
      <c r="C582" s="4"/>
      <c r="D582" s="4"/>
      <c r="E582" s="4"/>
      <c r="F582" s="4"/>
      <c r="G582" s="4"/>
    </row>
    <row r="583">
      <c r="A583" s="4"/>
      <c r="B583" s="4"/>
      <c r="C583" s="4"/>
      <c r="D583" s="4"/>
      <c r="E583" s="4"/>
      <c r="F583" s="4"/>
      <c r="G583" s="4"/>
    </row>
    <row r="584">
      <c r="A584" s="4"/>
      <c r="B584" s="4"/>
      <c r="C584" s="4"/>
      <c r="D584" s="4"/>
      <c r="E584" s="4"/>
      <c r="F584" s="4"/>
      <c r="G584" s="4"/>
    </row>
    <row r="585">
      <c r="A585" s="4"/>
      <c r="B585" s="4"/>
      <c r="C585" s="4"/>
      <c r="D585" s="4"/>
      <c r="E585" s="4"/>
      <c r="F585" s="4"/>
      <c r="G585" s="4"/>
    </row>
    <row r="586">
      <c r="A586" s="4"/>
      <c r="B586" s="4"/>
      <c r="C586" s="4"/>
      <c r="D586" s="4"/>
      <c r="E586" s="4"/>
      <c r="F586" s="4"/>
      <c r="G586" s="4"/>
    </row>
    <row r="587">
      <c r="A587" s="4"/>
      <c r="B587" s="4"/>
      <c r="C587" s="4"/>
      <c r="D587" s="4"/>
      <c r="E587" s="4"/>
      <c r="F587" s="4"/>
      <c r="G587" s="4"/>
    </row>
    <row r="588">
      <c r="A588" s="4"/>
      <c r="B588" s="4"/>
      <c r="C588" s="4"/>
      <c r="D588" s="4"/>
      <c r="E588" s="4"/>
      <c r="F588" s="4"/>
      <c r="G588" s="4"/>
    </row>
    <row r="589">
      <c r="A589" s="4"/>
      <c r="B589" s="4"/>
      <c r="C589" s="4"/>
      <c r="D589" s="4"/>
      <c r="E589" s="4"/>
      <c r="F589" s="4"/>
      <c r="G589" s="4"/>
    </row>
    <row r="590">
      <c r="A590" s="4"/>
      <c r="B590" s="4"/>
      <c r="C590" s="4"/>
      <c r="D590" s="4"/>
      <c r="E590" s="4"/>
      <c r="F590" s="4"/>
      <c r="G590" s="4"/>
    </row>
    <row r="591">
      <c r="A591" s="4"/>
      <c r="B591" s="4"/>
      <c r="C591" s="4"/>
      <c r="D591" s="4"/>
      <c r="E591" s="4"/>
      <c r="F591" s="4"/>
      <c r="G591" s="4"/>
    </row>
    <row r="592">
      <c r="A592" s="4"/>
      <c r="B592" s="4"/>
      <c r="C592" s="4"/>
      <c r="D592" s="4"/>
      <c r="E592" s="4"/>
      <c r="F592" s="4"/>
      <c r="G592" s="4"/>
    </row>
    <row r="593">
      <c r="A593" s="4"/>
      <c r="B593" s="4"/>
      <c r="C593" s="4"/>
      <c r="D593" s="4"/>
      <c r="E593" s="4"/>
      <c r="F593" s="4"/>
      <c r="G593" s="4"/>
    </row>
    <row r="594">
      <c r="A594" s="4"/>
      <c r="B594" s="4"/>
      <c r="C594" s="4"/>
      <c r="D594" s="4"/>
      <c r="E594" s="4"/>
      <c r="F594" s="4"/>
      <c r="G594" s="4"/>
    </row>
    <row r="595">
      <c r="A595" s="4"/>
      <c r="B595" s="4"/>
      <c r="C595" s="4"/>
      <c r="D595" s="4"/>
      <c r="E595" s="4"/>
      <c r="F595" s="4"/>
      <c r="G595" s="4"/>
    </row>
    <row r="596">
      <c r="A596" s="4"/>
      <c r="B596" s="4"/>
      <c r="C596" s="4"/>
      <c r="D596" s="4"/>
      <c r="E596" s="4"/>
      <c r="F596" s="4"/>
      <c r="G596" s="4"/>
    </row>
    <row r="597">
      <c r="A597" s="4"/>
      <c r="B597" s="4"/>
      <c r="C597" s="4"/>
      <c r="D597" s="4"/>
      <c r="E597" s="4"/>
      <c r="F597" s="4"/>
      <c r="G597" s="4"/>
    </row>
    <row r="598">
      <c r="A598" s="4"/>
      <c r="B598" s="4"/>
      <c r="C598" s="4"/>
      <c r="D598" s="4"/>
      <c r="E598" s="4"/>
      <c r="F598" s="4"/>
      <c r="G598" s="4"/>
    </row>
    <row r="599">
      <c r="A599" s="4"/>
      <c r="B599" s="4"/>
      <c r="C599" s="4"/>
      <c r="D599" s="4"/>
      <c r="E599" s="4"/>
      <c r="F599" s="4"/>
      <c r="G599" s="4"/>
    </row>
    <row r="600">
      <c r="A600" s="4"/>
      <c r="B600" s="4"/>
      <c r="C600" s="4"/>
      <c r="D600" s="4"/>
      <c r="E600" s="4"/>
      <c r="F600" s="4"/>
      <c r="G600" s="4"/>
    </row>
    <row r="601">
      <c r="A601" s="4"/>
      <c r="B601" s="4"/>
      <c r="C601" s="4"/>
      <c r="D601" s="4"/>
      <c r="E601" s="4"/>
      <c r="F601" s="4"/>
      <c r="G601" s="4"/>
    </row>
    <row r="602">
      <c r="A602" s="4"/>
      <c r="B602" s="4"/>
      <c r="C602" s="4"/>
      <c r="D602" s="4"/>
      <c r="E602" s="4"/>
      <c r="F602" s="4"/>
      <c r="G602" s="4"/>
    </row>
    <row r="603">
      <c r="A603" s="4"/>
      <c r="B603" s="4"/>
      <c r="C603" s="4"/>
      <c r="D603" s="4"/>
      <c r="E603" s="4"/>
      <c r="F603" s="4"/>
      <c r="G603" s="4"/>
    </row>
    <row r="604">
      <c r="A604" s="4"/>
      <c r="B604" s="4"/>
      <c r="C604" s="4"/>
      <c r="D604" s="4"/>
      <c r="E604" s="4"/>
      <c r="F604" s="4"/>
      <c r="G604" s="4"/>
    </row>
    <row r="605">
      <c r="A605" s="4"/>
      <c r="B605" s="4"/>
      <c r="C605" s="4"/>
      <c r="D605" s="4"/>
      <c r="E605" s="4"/>
      <c r="F605" s="4"/>
      <c r="G605" s="4"/>
    </row>
    <row r="606">
      <c r="A606" s="4"/>
      <c r="B606" s="4"/>
      <c r="C606" s="4"/>
      <c r="D606" s="4"/>
      <c r="E606" s="4"/>
      <c r="F606" s="4"/>
      <c r="G606" s="4"/>
    </row>
    <row r="607">
      <c r="A607" s="4"/>
      <c r="B607" s="4"/>
      <c r="C607" s="4"/>
      <c r="D607" s="4"/>
      <c r="E607" s="4"/>
      <c r="F607" s="4"/>
      <c r="G607" s="4"/>
    </row>
    <row r="608">
      <c r="A608" s="4"/>
      <c r="B608" s="4"/>
      <c r="C608" s="4"/>
      <c r="D608" s="4"/>
      <c r="E608" s="4"/>
      <c r="F608" s="4"/>
      <c r="G608" s="4"/>
    </row>
    <row r="609">
      <c r="A609" s="4"/>
      <c r="B609" s="4"/>
      <c r="C609" s="4"/>
      <c r="D609" s="4"/>
      <c r="E609" s="4"/>
      <c r="F609" s="4"/>
      <c r="G609" s="4"/>
    </row>
    <row r="610">
      <c r="A610" s="4"/>
      <c r="B610" s="4"/>
      <c r="C610" s="4"/>
      <c r="D610" s="4"/>
      <c r="E610" s="4"/>
      <c r="F610" s="4"/>
      <c r="G610" s="4"/>
    </row>
    <row r="611">
      <c r="A611" s="4"/>
      <c r="B611" s="4"/>
      <c r="C611" s="4"/>
      <c r="D611" s="4"/>
      <c r="E611" s="4"/>
      <c r="F611" s="4"/>
      <c r="G611" s="4"/>
    </row>
    <row r="612">
      <c r="A612" s="4"/>
      <c r="B612" s="4"/>
      <c r="C612" s="4"/>
      <c r="D612" s="4"/>
      <c r="E612" s="4"/>
      <c r="F612" s="4"/>
      <c r="G612" s="4"/>
    </row>
    <row r="613">
      <c r="A613" s="4"/>
      <c r="B613" s="4"/>
      <c r="C613" s="4"/>
      <c r="D613" s="4"/>
      <c r="E613" s="4"/>
      <c r="F613" s="4"/>
      <c r="G613" s="4"/>
    </row>
    <row r="614">
      <c r="A614" s="4"/>
      <c r="B614" s="4"/>
      <c r="C614" s="4"/>
      <c r="D614" s="4"/>
      <c r="E614" s="4"/>
      <c r="F614" s="4"/>
      <c r="G614" s="4"/>
    </row>
    <row r="615">
      <c r="A615" s="4"/>
      <c r="B615" s="4"/>
      <c r="C615" s="4"/>
      <c r="D615" s="4"/>
      <c r="E615" s="4"/>
      <c r="F615" s="4"/>
      <c r="G615" s="4"/>
    </row>
    <row r="616">
      <c r="A616" s="4"/>
      <c r="B616" s="4"/>
      <c r="C616" s="4"/>
      <c r="D616" s="4"/>
      <c r="E616" s="4"/>
      <c r="F616" s="4"/>
      <c r="G616" s="4"/>
    </row>
    <row r="617">
      <c r="A617" s="4"/>
      <c r="B617" s="4"/>
      <c r="C617" s="4"/>
      <c r="D617" s="4"/>
      <c r="E617" s="4"/>
      <c r="F617" s="4"/>
      <c r="G617" s="4"/>
    </row>
    <row r="618">
      <c r="A618" s="4"/>
      <c r="B618" s="4"/>
      <c r="C618" s="4"/>
      <c r="D618" s="4"/>
      <c r="E618" s="4"/>
      <c r="F618" s="4"/>
      <c r="G618" s="4"/>
    </row>
    <row r="619">
      <c r="A619" s="4"/>
      <c r="B619" s="4"/>
      <c r="C619" s="4"/>
      <c r="D619" s="4"/>
      <c r="E619" s="4"/>
      <c r="F619" s="4"/>
      <c r="G619" s="4"/>
    </row>
    <row r="620">
      <c r="A620" s="4"/>
      <c r="B620" s="4"/>
      <c r="C620" s="4"/>
      <c r="D620" s="4"/>
      <c r="E620" s="4"/>
      <c r="F620" s="4"/>
      <c r="G620" s="4"/>
    </row>
    <row r="621">
      <c r="A621" s="4"/>
      <c r="B621" s="4"/>
      <c r="C621" s="4"/>
      <c r="D621" s="4"/>
      <c r="E621" s="4"/>
      <c r="F621" s="4"/>
      <c r="G621" s="4"/>
    </row>
    <row r="622">
      <c r="A622" s="4"/>
      <c r="B622" s="4"/>
      <c r="C622" s="4"/>
      <c r="D622" s="4"/>
      <c r="E622" s="4"/>
      <c r="F622" s="4"/>
      <c r="G622" s="4"/>
    </row>
    <row r="623">
      <c r="A623" s="4"/>
      <c r="B623" s="4"/>
      <c r="C623" s="4"/>
      <c r="D623" s="4"/>
      <c r="E623" s="4"/>
      <c r="F623" s="4"/>
      <c r="G623" s="4"/>
    </row>
    <row r="624">
      <c r="A624" s="4"/>
      <c r="B624" s="4"/>
      <c r="C624" s="4"/>
      <c r="D624" s="4"/>
      <c r="E624" s="4"/>
      <c r="F624" s="4"/>
      <c r="G624" s="4"/>
    </row>
    <row r="625">
      <c r="A625" s="4"/>
      <c r="B625" s="4"/>
      <c r="C625" s="4"/>
      <c r="D625" s="4"/>
      <c r="E625" s="4"/>
      <c r="F625" s="4"/>
      <c r="G625" s="4"/>
    </row>
    <row r="626">
      <c r="A626" s="4"/>
      <c r="B626" s="4"/>
      <c r="C626" s="4"/>
      <c r="D626" s="4"/>
      <c r="E626" s="4"/>
      <c r="F626" s="4"/>
      <c r="G626" s="4"/>
    </row>
    <row r="627">
      <c r="A627" s="4"/>
      <c r="B627" s="4"/>
      <c r="C627" s="4"/>
      <c r="D627" s="4"/>
      <c r="E627" s="4"/>
      <c r="F627" s="4"/>
      <c r="G627" s="4"/>
    </row>
    <row r="628">
      <c r="A628" s="4"/>
      <c r="B628" s="4"/>
      <c r="C628" s="4"/>
      <c r="D628" s="4"/>
      <c r="E628" s="4"/>
      <c r="F628" s="4"/>
      <c r="G628" s="4"/>
    </row>
    <row r="629">
      <c r="A629" s="4"/>
      <c r="B629" s="4"/>
      <c r="C629" s="4"/>
      <c r="D629" s="4"/>
      <c r="E629" s="4"/>
      <c r="F629" s="4"/>
      <c r="G629" s="4"/>
    </row>
    <row r="630">
      <c r="A630" s="4"/>
      <c r="B630" s="4"/>
      <c r="C630" s="4"/>
      <c r="D630" s="4"/>
      <c r="E630" s="4"/>
      <c r="F630" s="4"/>
      <c r="G630" s="4"/>
    </row>
    <row r="631">
      <c r="A631" s="4"/>
      <c r="B631" s="4"/>
      <c r="C631" s="4"/>
      <c r="D631" s="4"/>
      <c r="E631" s="4"/>
      <c r="F631" s="4"/>
      <c r="G631" s="4"/>
    </row>
    <row r="632">
      <c r="A632" s="4"/>
      <c r="B632" s="4"/>
      <c r="C632" s="4"/>
      <c r="D632" s="4"/>
      <c r="E632" s="4"/>
      <c r="F632" s="4"/>
      <c r="G632" s="4"/>
    </row>
    <row r="633">
      <c r="A633" s="4"/>
      <c r="B633" s="4"/>
      <c r="C633" s="4"/>
      <c r="D633" s="4"/>
      <c r="E633" s="4"/>
      <c r="F633" s="4"/>
      <c r="G633" s="4"/>
    </row>
    <row r="634">
      <c r="A634" s="4"/>
      <c r="B634" s="4"/>
      <c r="C634" s="4"/>
      <c r="D634" s="4"/>
      <c r="E634" s="4"/>
      <c r="F634" s="4"/>
      <c r="G634" s="4"/>
    </row>
    <row r="635">
      <c r="A635" s="4"/>
      <c r="B635" s="4"/>
      <c r="C635" s="4"/>
      <c r="D635" s="4"/>
      <c r="E635" s="4"/>
      <c r="F635" s="4"/>
      <c r="G635" s="4"/>
    </row>
    <row r="636">
      <c r="A636" s="4"/>
      <c r="B636" s="4"/>
      <c r="C636" s="4"/>
      <c r="D636" s="4"/>
      <c r="E636" s="4"/>
      <c r="F636" s="4"/>
      <c r="G636" s="4"/>
    </row>
    <row r="637">
      <c r="A637" s="4"/>
      <c r="B637" s="4"/>
      <c r="C637" s="4"/>
      <c r="D637" s="4"/>
      <c r="E637" s="4"/>
      <c r="F637" s="4"/>
      <c r="G637" s="4"/>
    </row>
    <row r="638">
      <c r="A638" s="4"/>
      <c r="B638" s="4"/>
      <c r="C638" s="4"/>
      <c r="D638" s="4"/>
      <c r="E638" s="4"/>
      <c r="F638" s="4"/>
      <c r="G638" s="4"/>
    </row>
    <row r="639">
      <c r="A639" s="4"/>
      <c r="B639" s="4"/>
      <c r="C639" s="4"/>
      <c r="D639" s="4"/>
      <c r="E639" s="4"/>
      <c r="F639" s="4"/>
      <c r="G639" s="4"/>
    </row>
    <row r="640">
      <c r="A640" s="4"/>
      <c r="B640" s="4"/>
      <c r="C640" s="4"/>
      <c r="D640" s="4"/>
      <c r="E640" s="4"/>
      <c r="F640" s="4"/>
      <c r="G640" s="4"/>
    </row>
    <row r="641">
      <c r="A641" s="4"/>
      <c r="B641" s="4"/>
      <c r="C641" s="4"/>
      <c r="D641" s="4"/>
      <c r="E641" s="4"/>
      <c r="F641" s="4"/>
      <c r="G641" s="4"/>
    </row>
    <row r="642">
      <c r="A642" s="4"/>
      <c r="B642" s="4"/>
      <c r="C642" s="4"/>
      <c r="D642" s="4"/>
      <c r="E642" s="4"/>
      <c r="F642" s="4"/>
      <c r="G642" s="4"/>
    </row>
    <row r="643">
      <c r="A643" s="4"/>
      <c r="B643" s="4"/>
      <c r="C643" s="4"/>
      <c r="D643" s="4"/>
      <c r="E643" s="4"/>
      <c r="F643" s="4"/>
      <c r="G643" s="4"/>
    </row>
    <row r="644">
      <c r="A644" s="4"/>
      <c r="B644" s="4"/>
      <c r="C644" s="4"/>
      <c r="D644" s="4"/>
      <c r="E644" s="4"/>
      <c r="F644" s="4"/>
      <c r="G644" s="4"/>
    </row>
    <row r="645">
      <c r="A645" s="4"/>
      <c r="B645" s="4"/>
      <c r="C645" s="4"/>
      <c r="D645" s="4"/>
      <c r="E645" s="4"/>
      <c r="F645" s="4"/>
      <c r="G645" s="4"/>
    </row>
    <row r="646">
      <c r="A646" s="4"/>
      <c r="B646" s="4"/>
      <c r="C646" s="4"/>
      <c r="D646" s="4"/>
      <c r="E646" s="4"/>
      <c r="F646" s="4"/>
      <c r="G646" s="4"/>
    </row>
    <row r="647">
      <c r="A647" s="4"/>
      <c r="B647" s="4"/>
      <c r="C647" s="4"/>
      <c r="D647" s="4"/>
      <c r="E647" s="4"/>
      <c r="F647" s="4"/>
      <c r="G647" s="4"/>
    </row>
    <row r="648">
      <c r="A648" s="4"/>
      <c r="B648" s="4"/>
      <c r="C648" s="4"/>
      <c r="D648" s="4"/>
      <c r="E648" s="4"/>
      <c r="F648" s="4"/>
      <c r="G648" s="4"/>
    </row>
    <row r="649">
      <c r="A649" s="4"/>
      <c r="B649" s="4"/>
      <c r="C649" s="4"/>
      <c r="D649" s="4"/>
      <c r="E649" s="4"/>
      <c r="F649" s="4"/>
      <c r="G649" s="4"/>
    </row>
    <row r="650">
      <c r="A650" s="4"/>
      <c r="B650" s="4"/>
      <c r="C650" s="4"/>
      <c r="D650" s="4"/>
      <c r="E650" s="4"/>
      <c r="F650" s="4"/>
      <c r="G650" s="4"/>
    </row>
    <row r="651">
      <c r="A651" s="4"/>
      <c r="B651" s="4"/>
      <c r="C651" s="4"/>
      <c r="D651" s="4"/>
      <c r="E651" s="4"/>
      <c r="F651" s="4"/>
      <c r="G651" s="4"/>
    </row>
    <row r="652">
      <c r="A652" s="4"/>
      <c r="B652" s="4"/>
      <c r="C652" s="4"/>
      <c r="D652" s="4"/>
      <c r="E652" s="4"/>
      <c r="F652" s="4"/>
      <c r="G652" s="4"/>
    </row>
    <row r="653">
      <c r="A653" s="4"/>
      <c r="B653" s="4"/>
      <c r="C653" s="4"/>
      <c r="D653" s="4"/>
      <c r="E653" s="4"/>
      <c r="F653" s="4"/>
      <c r="G653" s="4"/>
    </row>
    <row r="654">
      <c r="A654" s="4"/>
      <c r="B654" s="4"/>
      <c r="C654" s="4"/>
      <c r="D654" s="4"/>
      <c r="E654" s="4"/>
      <c r="F654" s="4"/>
      <c r="G654" s="4"/>
    </row>
    <row r="655">
      <c r="A655" s="4"/>
      <c r="B655" s="4"/>
      <c r="C655" s="4"/>
      <c r="D655" s="4"/>
      <c r="E655" s="4"/>
      <c r="F655" s="4"/>
      <c r="G655" s="4"/>
    </row>
    <row r="656">
      <c r="A656" s="4"/>
      <c r="B656" s="4"/>
      <c r="C656" s="4"/>
      <c r="D656" s="4"/>
      <c r="E656" s="4"/>
      <c r="F656" s="4"/>
      <c r="G656" s="4"/>
    </row>
    <row r="657">
      <c r="A657" s="4"/>
      <c r="B657" s="4"/>
      <c r="C657" s="4"/>
      <c r="D657" s="4"/>
      <c r="E657" s="4"/>
      <c r="F657" s="4"/>
      <c r="G657" s="4"/>
    </row>
    <row r="658">
      <c r="A658" s="4"/>
      <c r="B658" s="4"/>
      <c r="C658" s="4"/>
      <c r="D658" s="4"/>
      <c r="E658" s="4"/>
      <c r="F658" s="4"/>
      <c r="G658" s="4"/>
    </row>
    <row r="659">
      <c r="A659" s="4"/>
      <c r="B659" s="4"/>
      <c r="C659" s="4"/>
      <c r="D659" s="4"/>
      <c r="E659" s="4"/>
      <c r="F659" s="4"/>
      <c r="G659" s="4"/>
    </row>
    <row r="660">
      <c r="A660" s="4"/>
      <c r="B660" s="4"/>
      <c r="C660" s="4"/>
      <c r="D660" s="4"/>
      <c r="E660" s="4"/>
      <c r="F660" s="4"/>
      <c r="G660" s="4"/>
    </row>
    <row r="661">
      <c r="A661" s="4"/>
      <c r="B661" s="4"/>
      <c r="C661" s="4"/>
      <c r="D661" s="4"/>
      <c r="E661" s="4"/>
      <c r="F661" s="4"/>
      <c r="G661" s="4"/>
    </row>
    <row r="662">
      <c r="A662" s="4"/>
      <c r="B662" s="4"/>
      <c r="C662" s="4"/>
      <c r="D662" s="4"/>
      <c r="E662" s="4"/>
      <c r="F662" s="4"/>
      <c r="G662" s="4"/>
    </row>
    <row r="663">
      <c r="A663" s="4"/>
      <c r="B663" s="4"/>
      <c r="C663" s="4"/>
      <c r="D663" s="4"/>
      <c r="E663" s="4"/>
      <c r="F663" s="4"/>
      <c r="G663" s="4"/>
    </row>
    <row r="664">
      <c r="A664" s="4"/>
      <c r="B664" s="4"/>
      <c r="C664" s="4"/>
      <c r="D664" s="4"/>
      <c r="E664" s="4"/>
      <c r="F664" s="4"/>
      <c r="G664" s="4"/>
    </row>
    <row r="665">
      <c r="A665" s="4"/>
      <c r="B665" s="4"/>
      <c r="C665" s="4"/>
      <c r="D665" s="4"/>
      <c r="E665" s="4"/>
      <c r="F665" s="4"/>
      <c r="G665" s="4"/>
    </row>
    <row r="666">
      <c r="A666" s="4"/>
      <c r="B666" s="4"/>
      <c r="C666" s="4"/>
      <c r="D666" s="4"/>
      <c r="E666" s="4"/>
      <c r="F666" s="4"/>
      <c r="G666" s="4"/>
    </row>
    <row r="667">
      <c r="A667" s="4"/>
      <c r="B667" s="4"/>
      <c r="C667" s="4"/>
      <c r="D667" s="4"/>
      <c r="E667" s="4"/>
      <c r="F667" s="4"/>
      <c r="G667" s="4"/>
    </row>
    <row r="668">
      <c r="A668" s="4"/>
      <c r="B668" s="4"/>
      <c r="C668" s="4"/>
      <c r="D668" s="4"/>
      <c r="E668" s="4"/>
      <c r="F668" s="4"/>
      <c r="G668" s="4"/>
    </row>
    <row r="669">
      <c r="A669" s="4"/>
      <c r="B669" s="4"/>
      <c r="C669" s="4"/>
      <c r="D669" s="4"/>
      <c r="E669" s="4"/>
      <c r="F669" s="4"/>
      <c r="G669" s="4"/>
    </row>
    <row r="670">
      <c r="A670" s="4"/>
      <c r="B670" s="4"/>
      <c r="C670" s="4"/>
      <c r="D670" s="4"/>
      <c r="E670" s="4"/>
      <c r="F670" s="4"/>
      <c r="G670" s="4"/>
    </row>
    <row r="671">
      <c r="A671" s="4"/>
      <c r="B671" s="4"/>
      <c r="C671" s="4"/>
      <c r="D671" s="4"/>
      <c r="E671" s="4"/>
      <c r="F671" s="4"/>
      <c r="G671" s="4"/>
    </row>
    <row r="672">
      <c r="A672" s="4"/>
      <c r="B672" s="4"/>
      <c r="C672" s="4"/>
      <c r="D672" s="4"/>
      <c r="E672" s="4"/>
      <c r="F672" s="4"/>
      <c r="G672" s="4"/>
    </row>
    <row r="673">
      <c r="A673" s="4"/>
      <c r="B673" s="4"/>
      <c r="C673" s="4"/>
      <c r="D673" s="4"/>
      <c r="E673" s="4"/>
      <c r="F673" s="4"/>
      <c r="G673" s="4"/>
    </row>
    <row r="674">
      <c r="A674" s="4"/>
      <c r="B674" s="4"/>
      <c r="C674" s="4"/>
      <c r="D674" s="4"/>
      <c r="E674" s="4"/>
      <c r="F674" s="4"/>
      <c r="G674" s="4"/>
    </row>
    <row r="675">
      <c r="A675" s="4"/>
      <c r="B675" s="4"/>
      <c r="C675" s="4"/>
      <c r="D675" s="4"/>
      <c r="E675" s="4"/>
      <c r="F675" s="4"/>
      <c r="G675" s="4"/>
    </row>
    <row r="676">
      <c r="A676" s="4"/>
      <c r="B676" s="4"/>
      <c r="C676" s="4"/>
      <c r="D676" s="4"/>
      <c r="E676" s="4"/>
      <c r="F676" s="4"/>
      <c r="G676" s="4"/>
    </row>
    <row r="677">
      <c r="A677" s="4"/>
      <c r="B677" s="4"/>
      <c r="C677" s="4"/>
      <c r="D677" s="4"/>
      <c r="E677" s="4"/>
      <c r="F677" s="4"/>
      <c r="G677" s="4"/>
    </row>
    <row r="678">
      <c r="A678" s="4"/>
      <c r="B678" s="4"/>
      <c r="C678" s="4"/>
      <c r="D678" s="4"/>
      <c r="E678" s="4"/>
      <c r="F678" s="4"/>
      <c r="G678" s="4"/>
    </row>
    <row r="679">
      <c r="A679" s="4"/>
      <c r="B679" s="4"/>
      <c r="C679" s="4"/>
      <c r="D679" s="4"/>
      <c r="E679" s="4"/>
      <c r="F679" s="4"/>
      <c r="G679" s="4"/>
    </row>
    <row r="680">
      <c r="A680" s="4"/>
      <c r="B680" s="4"/>
      <c r="C680" s="4"/>
      <c r="D680" s="4"/>
      <c r="E680" s="4"/>
      <c r="F680" s="4"/>
      <c r="G680" s="4"/>
    </row>
    <row r="681">
      <c r="A681" s="4"/>
      <c r="B681" s="4"/>
      <c r="C681" s="4"/>
      <c r="D681" s="4"/>
      <c r="E681" s="4"/>
      <c r="F681" s="4"/>
      <c r="G681" s="4"/>
    </row>
    <row r="682">
      <c r="A682" s="4"/>
      <c r="B682" s="4"/>
      <c r="C682" s="4"/>
      <c r="D682" s="4"/>
      <c r="E682" s="4"/>
      <c r="F682" s="4"/>
      <c r="G682" s="4"/>
    </row>
    <row r="683">
      <c r="A683" s="4"/>
      <c r="B683" s="4"/>
      <c r="C683" s="4"/>
      <c r="D683" s="4"/>
      <c r="E683" s="4"/>
      <c r="F683" s="4"/>
      <c r="G683" s="4"/>
    </row>
    <row r="684">
      <c r="A684" s="4"/>
      <c r="B684" s="4"/>
      <c r="C684" s="4"/>
      <c r="D684" s="4"/>
      <c r="E684" s="4"/>
      <c r="F684" s="4"/>
      <c r="G684" s="4"/>
    </row>
    <row r="685">
      <c r="A685" s="4"/>
      <c r="B685" s="4"/>
      <c r="C685" s="4"/>
      <c r="D685" s="4"/>
      <c r="E685" s="4"/>
      <c r="F685" s="4"/>
      <c r="G685" s="4"/>
    </row>
    <row r="686">
      <c r="A686" s="4"/>
      <c r="B686" s="4"/>
      <c r="C686" s="4"/>
      <c r="D686" s="4"/>
      <c r="E686" s="4"/>
      <c r="F686" s="4"/>
      <c r="G686" s="4"/>
    </row>
    <row r="687">
      <c r="A687" s="4"/>
      <c r="B687" s="4"/>
      <c r="C687" s="4"/>
      <c r="D687" s="4"/>
      <c r="E687" s="4"/>
      <c r="F687" s="4"/>
      <c r="G687" s="4"/>
    </row>
    <row r="688">
      <c r="A688" s="4"/>
      <c r="B688" s="4"/>
      <c r="C688" s="4"/>
      <c r="D688" s="4"/>
      <c r="E688" s="4"/>
      <c r="F688" s="4"/>
      <c r="G688" s="4"/>
    </row>
    <row r="689">
      <c r="A689" s="4"/>
      <c r="B689" s="4"/>
      <c r="C689" s="4"/>
      <c r="D689" s="4"/>
      <c r="E689" s="4"/>
      <c r="F689" s="4"/>
      <c r="G689" s="4"/>
    </row>
    <row r="690">
      <c r="A690" s="4"/>
      <c r="B690" s="4"/>
      <c r="C690" s="4"/>
      <c r="D690" s="4"/>
      <c r="E690" s="4"/>
      <c r="F690" s="4"/>
      <c r="G690" s="4"/>
    </row>
    <row r="691">
      <c r="A691" s="4"/>
      <c r="B691" s="4"/>
      <c r="C691" s="4"/>
      <c r="D691" s="4"/>
      <c r="E691" s="4"/>
      <c r="F691" s="4"/>
      <c r="G691" s="4"/>
    </row>
    <row r="692">
      <c r="A692" s="4"/>
      <c r="B692" s="4"/>
      <c r="C692" s="4"/>
      <c r="D692" s="4"/>
      <c r="E692" s="4"/>
      <c r="F692" s="4"/>
      <c r="G692" s="4"/>
    </row>
    <row r="693">
      <c r="A693" s="4"/>
      <c r="B693" s="4"/>
      <c r="C693" s="4"/>
      <c r="D693" s="4"/>
      <c r="E693" s="4"/>
      <c r="F693" s="4"/>
      <c r="G693" s="4"/>
    </row>
    <row r="694">
      <c r="A694" s="4"/>
      <c r="B694" s="4"/>
      <c r="C694" s="4"/>
      <c r="D694" s="4"/>
      <c r="E694" s="4"/>
      <c r="F694" s="4"/>
      <c r="G694" s="4"/>
    </row>
    <row r="695">
      <c r="A695" s="4"/>
      <c r="B695" s="4"/>
      <c r="C695" s="4"/>
      <c r="D695" s="4"/>
      <c r="E695" s="4"/>
      <c r="F695" s="4"/>
      <c r="G695" s="4"/>
    </row>
    <row r="696">
      <c r="A696" s="4"/>
      <c r="B696" s="4"/>
      <c r="C696" s="4"/>
      <c r="D696" s="4"/>
      <c r="E696" s="4"/>
      <c r="F696" s="4"/>
      <c r="G696" s="4"/>
    </row>
    <row r="697">
      <c r="A697" s="4"/>
      <c r="B697" s="4"/>
      <c r="C697" s="4"/>
      <c r="D697" s="4"/>
      <c r="E697" s="4"/>
      <c r="F697" s="4"/>
      <c r="G697" s="4"/>
    </row>
    <row r="698">
      <c r="A698" s="4"/>
      <c r="B698" s="4"/>
      <c r="C698" s="4"/>
      <c r="D698" s="4"/>
      <c r="E698" s="4"/>
      <c r="F698" s="4"/>
      <c r="G698" s="4"/>
    </row>
    <row r="699">
      <c r="A699" s="4"/>
      <c r="B699" s="4"/>
      <c r="C699" s="4"/>
      <c r="D699" s="4"/>
      <c r="E699" s="4"/>
      <c r="F699" s="4"/>
      <c r="G699" s="4"/>
    </row>
    <row r="700">
      <c r="A700" s="4"/>
      <c r="B700" s="4"/>
      <c r="C700" s="4"/>
      <c r="D700" s="4"/>
      <c r="E700" s="4"/>
      <c r="F700" s="4"/>
      <c r="G700" s="4"/>
    </row>
    <row r="701">
      <c r="A701" s="4"/>
      <c r="B701" s="4"/>
      <c r="C701" s="4"/>
      <c r="D701" s="4"/>
      <c r="E701" s="4"/>
      <c r="F701" s="4"/>
      <c r="G701" s="4"/>
    </row>
    <row r="702">
      <c r="A702" s="4"/>
      <c r="B702" s="4"/>
      <c r="C702" s="4"/>
      <c r="D702" s="4"/>
      <c r="E702" s="4"/>
      <c r="F702" s="4"/>
      <c r="G702" s="4"/>
    </row>
    <row r="703">
      <c r="A703" s="4"/>
      <c r="B703" s="4"/>
      <c r="C703" s="4"/>
      <c r="D703" s="4"/>
      <c r="E703" s="4"/>
      <c r="F703" s="4"/>
      <c r="G703" s="4"/>
    </row>
    <row r="704">
      <c r="A704" s="4"/>
      <c r="B704" s="4"/>
      <c r="C704" s="4"/>
      <c r="D704" s="4"/>
      <c r="E704" s="4"/>
      <c r="F704" s="4"/>
      <c r="G704" s="4"/>
    </row>
    <row r="705">
      <c r="A705" s="4"/>
      <c r="B705" s="4"/>
      <c r="C705" s="4"/>
      <c r="D705" s="4"/>
      <c r="E705" s="4"/>
      <c r="F705" s="4"/>
      <c r="G705" s="4"/>
    </row>
    <row r="706">
      <c r="A706" s="4"/>
      <c r="B706" s="4"/>
      <c r="C706" s="4"/>
      <c r="D706" s="4"/>
      <c r="E706" s="4"/>
      <c r="F706" s="4"/>
      <c r="G706" s="4"/>
    </row>
    <row r="707">
      <c r="A707" s="4"/>
      <c r="B707" s="4"/>
      <c r="C707" s="4"/>
      <c r="D707" s="4"/>
      <c r="E707" s="4"/>
      <c r="F707" s="4"/>
      <c r="G707" s="4"/>
    </row>
    <row r="708">
      <c r="A708" s="4"/>
      <c r="B708" s="4"/>
      <c r="C708" s="4"/>
      <c r="D708" s="4"/>
      <c r="E708" s="4"/>
      <c r="F708" s="4"/>
      <c r="G708" s="4"/>
    </row>
    <row r="709">
      <c r="A709" s="4"/>
      <c r="B709" s="4"/>
      <c r="C709" s="4"/>
      <c r="D709" s="4"/>
      <c r="E709" s="4"/>
      <c r="F709" s="4"/>
      <c r="G709" s="4"/>
    </row>
    <row r="710">
      <c r="A710" s="4"/>
      <c r="B710" s="4"/>
      <c r="C710" s="4"/>
      <c r="D710" s="4"/>
      <c r="E710" s="4"/>
      <c r="F710" s="4"/>
      <c r="G710" s="4"/>
    </row>
    <row r="711">
      <c r="A711" s="4"/>
      <c r="B711" s="4"/>
      <c r="C711" s="4"/>
      <c r="D711" s="4"/>
      <c r="E711" s="4"/>
      <c r="F711" s="4"/>
      <c r="G711" s="4"/>
    </row>
    <row r="712">
      <c r="A712" s="4"/>
      <c r="B712" s="4"/>
      <c r="C712" s="4"/>
      <c r="D712" s="4"/>
      <c r="E712" s="4"/>
      <c r="F712" s="4"/>
      <c r="G712" s="4"/>
    </row>
    <row r="713">
      <c r="A713" s="4"/>
      <c r="B713" s="4"/>
      <c r="C713" s="4"/>
      <c r="D713" s="4"/>
      <c r="E713" s="4"/>
      <c r="F713" s="4"/>
      <c r="G713" s="4"/>
    </row>
    <row r="714">
      <c r="A714" s="4"/>
      <c r="B714" s="4"/>
      <c r="C714" s="4"/>
      <c r="D714" s="4"/>
      <c r="E714" s="4"/>
      <c r="F714" s="4"/>
      <c r="G714" s="4"/>
    </row>
    <row r="715">
      <c r="A715" s="4"/>
      <c r="B715" s="4"/>
      <c r="C715" s="4"/>
      <c r="D715" s="4"/>
      <c r="E715" s="4"/>
      <c r="F715" s="4"/>
      <c r="G715" s="4"/>
    </row>
    <row r="716">
      <c r="A716" s="4"/>
      <c r="B716" s="4"/>
      <c r="C716" s="4"/>
      <c r="D716" s="4"/>
      <c r="E716" s="4"/>
      <c r="F716" s="4"/>
      <c r="G716" s="4"/>
    </row>
    <row r="717">
      <c r="A717" s="4"/>
      <c r="B717" s="4"/>
      <c r="C717" s="4"/>
      <c r="D717" s="4"/>
      <c r="E717" s="4"/>
      <c r="F717" s="4"/>
      <c r="G717" s="4"/>
    </row>
    <row r="718">
      <c r="A718" s="4"/>
      <c r="B718" s="4"/>
      <c r="C718" s="4"/>
      <c r="D718" s="4"/>
      <c r="E718" s="4"/>
      <c r="F718" s="4"/>
      <c r="G718" s="4"/>
    </row>
    <row r="719">
      <c r="A719" s="4"/>
      <c r="B719" s="4"/>
      <c r="C719" s="4"/>
      <c r="D719" s="4"/>
      <c r="E719" s="4"/>
      <c r="F719" s="4"/>
      <c r="G719" s="4"/>
    </row>
    <row r="720">
      <c r="A720" s="4"/>
      <c r="B720" s="4"/>
      <c r="C720" s="4"/>
      <c r="D720" s="4"/>
      <c r="E720" s="4"/>
      <c r="F720" s="4"/>
      <c r="G720" s="4"/>
    </row>
    <row r="721">
      <c r="A721" s="4"/>
      <c r="B721" s="4"/>
      <c r="C721" s="4"/>
      <c r="D721" s="4"/>
      <c r="E721" s="4"/>
      <c r="F721" s="4"/>
      <c r="G721" s="4"/>
    </row>
    <row r="722">
      <c r="A722" s="4"/>
      <c r="B722" s="4"/>
      <c r="C722" s="4"/>
      <c r="D722" s="4"/>
      <c r="E722" s="4"/>
      <c r="F722" s="4"/>
      <c r="G722" s="4"/>
    </row>
    <row r="723">
      <c r="A723" s="4"/>
      <c r="B723" s="4"/>
      <c r="C723" s="4"/>
      <c r="D723" s="4"/>
      <c r="E723" s="4"/>
      <c r="F723" s="4"/>
      <c r="G723" s="4"/>
    </row>
    <row r="724">
      <c r="A724" s="4"/>
      <c r="B724" s="4"/>
      <c r="C724" s="4"/>
      <c r="D724" s="4"/>
      <c r="E724" s="4"/>
      <c r="F724" s="4"/>
      <c r="G724" s="4"/>
    </row>
    <row r="725">
      <c r="A725" s="4"/>
      <c r="B725" s="4"/>
      <c r="C725" s="4"/>
      <c r="D725" s="4"/>
      <c r="E725" s="4"/>
      <c r="F725" s="4"/>
      <c r="G725" s="4"/>
    </row>
    <row r="726">
      <c r="A726" s="4"/>
      <c r="B726" s="4"/>
      <c r="C726" s="4"/>
      <c r="D726" s="4"/>
      <c r="E726" s="4"/>
      <c r="F726" s="4"/>
      <c r="G726" s="4"/>
    </row>
    <row r="727">
      <c r="A727" s="4"/>
      <c r="B727" s="4"/>
      <c r="C727" s="4"/>
      <c r="D727" s="4"/>
      <c r="E727" s="4"/>
      <c r="F727" s="4"/>
      <c r="G727" s="4"/>
    </row>
    <row r="728">
      <c r="A728" s="4"/>
      <c r="B728" s="4"/>
      <c r="C728" s="4"/>
      <c r="D728" s="4"/>
      <c r="E728" s="4"/>
      <c r="F728" s="4"/>
      <c r="G728" s="4"/>
    </row>
    <row r="729">
      <c r="A729" s="4"/>
      <c r="B729" s="4"/>
      <c r="C729" s="4"/>
      <c r="D729" s="4"/>
      <c r="E729" s="4"/>
      <c r="F729" s="4"/>
      <c r="G729" s="4"/>
    </row>
    <row r="730">
      <c r="A730" s="4"/>
      <c r="B730" s="4"/>
      <c r="C730" s="4"/>
      <c r="D730" s="4"/>
      <c r="E730" s="4"/>
      <c r="F730" s="4"/>
      <c r="G730" s="4"/>
    </row>
    <row r="731">
      <c r="A731" s="4"/>
      <c r="B731" s="4"/>
      <c r="C731" s="4"/>
      <c r="D731" s="4"/>
      <c r="E731" s="4"/>
      <c r="F731" s="4"/>
      <c r="G731" s="4"/>
    </row>
    <row r="732">
      <c r="A732" s="4"/>
      <c r="B732" s="4"/>
      <c r="C732" s="4"/>
      <c r="D732" s="4"/>
      <c r="E732" s="4"/>
      <c r="F732" s="4"/>
      <c r="G732" s="4"/>
    </row>
    <row r="733">
      <c r="A733" s="4"/>
      <c r="B733" s="4"/>
      <c r="C733" s="4"/>
      <c r="D733" s="4"/>
      <c r="E733" s="4"/>
      <c r="F733" s="4"/>
      <c r="G733" s="4"/>
    </row>
    <row r="734">
      <c r="A734" s="4"/>
      <c r="B734" s="4"/>
      <c r="C734" s="4"/>
      <c r="D734" s="4"/>
      <c r="E734" s="4"/>
      <c r="F734" s="4"/>
      <c r="G734" s="4"/>
    </row>
    <row r="735">
      <c r="A735" s="4"/>
      <c r="B735" s="4"/>
      <c r="C735" s="4"/>
      <c r="D735" s="4"/>
      <c r="E735" s="4"/>
      <c r="F735" s="4"/>
      <c r="G735" s="4"/>
    </row>
    <row r="736">
      <c r="A736" s="4"/>
      <c r="B736" s="4"/>
      <c r="C736" s="4"/>
      <c r="D736" s="4"/>
      <c r="E736" s="4"/>
      <c r="F736" s="4"/>
      <c r="G736" s="4"/>
    </row>
    <row r="737">
      <c r="A737" s="4"/>
      <c r="B737" s="4"/>
      <c r="C737" s="4"/>
      <c r="D737" s="4"/>
      <c r="E737" s="4"/>
      <c r="F737" s="4"/>
      <c r="G737" s="4"/>
    </row>
    <row r="738">
      <c r="A738" s="4"/>
      <c r="B738" s="4"/>
      <c r="C738" s="4"/>
      <c r="D738" s="4"/>
      <c r="E738" s="4"/>
      <c r="F738" s="4"/>
      <c r="G738" s="4"/>
    </row>
    <row r="739">
      <c r="A739" s="4"/>
      <c r="B739" s="4"/>
      <c r="C739" s="4"/>
      <c r="D739" s="4"/>
      <c r="E739" s="4"/>
      <c r="F739" s="4"/>
      <c r="G739" s="4"/>
    </row>
    <row r="740">
      <c r="A740" s="4"/>
      <c r="B740" s="4"/>
      <c r="C740" s="4"/>
      <c r="D740" s="4"/>
      <c r="E740" s="4"/>
      <c r="F740" s="4"/>
      <c r="G740" s="4"/>
    </row>
    <row r="741">
      <c r="A741" s="4"/>
      <c r="B741" s="4"/>
      <c r="C741" s="4"/>
      <c r="D741" s="4"/>
      <c r="E741" s="4"/>
      <c r="F741" s="4"/>
      <c r="G741" s="4"/>
    </row>
    <row r="742">
      <c r="A742" s="4"/>
      <c r="B742" s="4"/>
      <c r="C742" s="4"/>
      <c r="D742" s="4"/>
      <c r="E742" s="4"/>
      <c r="F742" s="4"/>
      <c r="G742" s="4"/>
    </row>
    <row r="743">
      <c r="A743" s="4"/>
      <c r="B743" s="4"/>
      <c r="C743" s="4"/>
      <c r="D743" s="4"/>
      <c r="E743" s="4"/>
      <c r="F743" s="4"/>
      <c r="G743" s="4"/>
    </row>
    <row r="744">
      <c r="A744" s="4"/>
      <c r="B744" s="4"/>
      <c r="C744" s="4"/>
      <c r="D744" s="4"/>
      <c r="E744" s="4"/>
      <c r="F744" s="4"/>
      <c r="G744" s="4"/>
    </row>
    <row r="745">
      <c r="A745" s="4"/>
      <c r="B745" s="4"/>
      <c r="C745" s="4"/>
      <c r="D745" s="4"/>
      <c r="E745" s="4"/>
      <c r="F745" s="4"/>
      <c r="G745" s="4"/>
    </row>
    <row r="746">
      <c r="A746" s="4"/>
      <c r="B746" s="4"/>
      <c r="C746" s="4"/>
      <c r="D746" s="4"/>
      <c r="E746" s="4"/>
      <c r="F746" s="4"/>
      <c r="G746" s="4"/>
    </row>
    <row r="747">
      <c r="A747" s="4"/>
      <c r="B747" s="4"/>
      <c r="C747" s="4"/>
      <c r="D747" s="4"/>
      <c r="E747" s="4"/>
      <c r="F747" s="4"/>
      <c r="G747" s="4"/>
    </row>
    <row r="748">
      <c r="A748" s="4"/>
      <c r="B748" s="4"/>
      <c r="C748" s="4"/>
      <c r="D748" s="4"/>
      <c r="E748" s="4"/>
      <c r="F748" s="4"/>
      <c r="G748" s="4"/>
    </row>
    <row r="749">
      <c r="A749" s="4"/>
      <c r="B749" s="4"/>
      <c r="C749" s="4"/>
      <c r="D749" s="4"/>
      <c r="E749" s="4"/>
      <c r="F749" s="4"/>
      <c r="G749" s="4"/>
    </row>
    <row r="750">
      <c r="A750" s="4"/>
      <c r="B750" s="4"/>
      <c r="C750" s="4"/>
      <c r="D750" s="4"/>
      <c r="E750" s="4"/>
      <c r="F750" s="4"/>
      <c r="G750" s="4"/>
    </row>
    <row r="751">
      <c r="A751" s="4"/>
      <c r="B751" s="4"/>
      <c r="C751" s="4"/>
      <c r="D751" s="4"/>
      <c r="E751" s="4"/>
      <c r="F751" s="4"/>
      <c r="G751" s="4"/>
    </row>
    <row r="752">
      <c r="A752" s="4"/>
      <c r="B752" s="4"/>
      <c r="C752" s="4"/>
      <c r="D752" s="4"/>
      <c r="E752" s="4"/>
      <c r="F752" s="4"/>
      <c r="G752" s="4"/>
    </row>
    <row r="753">
      <c r="A753" s="4"/>
      <c r="B753" s="4"/>
      <c r="C753" s="4"/>
      <c r="D753" s="4"/>
      <c r="E753" s="4"/>
      <c r="F753" s="4"/>
      <c r="G753" s="4"/>
    </row>
    <row r="754">
      <c r="A754" s="4"/>
      <c r="B754" s="4"/>
      <c r="C754" s="4"/>
      <c r="D754" s="4"/>
      <c r="E754" s="4"/>
      <c r="F754" s="4"/>
      <c r="G754" s="4"/>
    </row>
    <row r="755">
      <c r="A755" s="4"/>
      <c r="B755" s="4"/>
      <c r="C755" s="4"/>
      <c r="D755" s="4"/>
      <c r="E755" s="4"/>
      <c r="F755" s="4"/>
      <c r="G755" s="4"/>
    </row>
    <row r="756">
      <c r="A756" s="4"/>
      <c r="B756" s="4"/>
      <c r="C756" s="4"/>
      <c r="D756" s="4"/>
      <c r="E756" s="4"/>
      <c r="F756" s="4"/>
      <c r="G756" s="4"/>
    </row>
    <row r="757">
      <c r="A757" s="4"/>
      <c r="B757" s="4"/>
      <c r="C757" s="4"/>
      <c r="D757" s="4"/>
      <c r="E757" s="4"/>
      <c r="F757" s="4"/>
      <c r="G757" s="4"/>
    </row>
    <row r="758">
      <c r="A758" s="4"/>
      <c r="B758" s="4"/>
      <c r="C758" s="4"/>
      <c r="D758" s="4"/>
      <c r="E758" s="4"/>
      <c r="F758" s="4"/>
      <c r="G758" s="4"/>
    </row>
    <row r="759">
      <c r="A759" s="4"/>
      <c r="B759" s="4"/>
      <c r="C759" s="4"/>
      <c r="D759" s="4"/>
      <c r="E759" s="4"/>
      <c r="F759" s="4"/>
      <c r="G759" s="4"/>
    </row>
    <row r="760">
      <c r="A760" s="4"/>
      <c r="B760" s="4"/>
      <c r="C760" s="4"/>
      <c r="D760" s="4"/>
      <c r="E760" s="4"/>
      <c r="F760" s="4"/>
      <c r="G760" s="4"/>
    </row>
    <row r="761">
      <c r="A761" s="4"/>
      <c r="B761" s="4"/>
      <c r="C761" s="4"/>
      <c r="D761" s="4"/>
      <c r="E761" s="4"/>
      <c r="F761" s="4"/>
      <c r="G761" s="4"/>
    </row>
    <row r="762">
      <c r="A762" s="4"/>
      <c r="B762" s="4"/>
      <c r="C762" s="4"/>
      <c r="D762" s="4"/>
      <c r="E762" s="4"/>
      <c r="F762" s="4"/>
      <c r="G762" s="4"/>
    </row>
    <row r="763">
      <c r="A763" s="4"/>
      <c r="B763" s="4"/>
      <c r="C763" s="4"/>
      <c r="D763" s="4"/>
      <c r="E763" s="4"/>
      <c r="F763" s="4"/>
      <c r="G763" s="4"/>
    </row>
    <row r="764">
      <c r="A764" s="4"/>
      <c r="B764" s="4"/>
      <c r="C764" s="4"/>
      <c r="D764" s="4"/>
      <c r="E764" s="4"/>
      <c r="F764" s="4"/>
      <c r="G764" s="4"/>
    </row>
    <row r="765">
      <c r="A765" s="4"/>
      <c r="B765" s="4"/>
      <c r="C765" s="4"/>
      <c r="D765" s="4"/>
      <c r="E765" s="4"/>
      <c r="F765" s="4"/>
      <c r="G765" s="4"/>
    </row>
    <row r="766">
      <c r="A766" s="4"/>
      <c r="B766" s="4"/>
      <c r="C766" s="4"/>
      <c r="D766" s="4"/>
      <c r="E766" s="4"/>
      <c r="F766" s="4"/>
      <c r="G766" s="4"/>
    </row>
    <row r="767">
      <c r="A767" s="4"/>
      <c r="B767" s="4"/>
      <c r="C767" s="4"/>
      <c r="D767" s="4"/>
      <c r="E767" s="4"/>
      <c r="F767" s="4"/>
      <c r="G767" s="4"/>
    </row>
    <row r="768">
      <c r="A768" s="4"/>
      <c r="B768" s="4"/>
      <c r="C768" s="4"/>
      <c r="D768" s="4"/>
      <c r="E768" s="4"/>
      <c r="F768" s="4"/>
      <c r="G768" s="4"/>
    </row>
    <row r="769">
      <c r="A769" s="4"/>
      <c r="B769" s="4"/>
      <c r="C769" s="4"/>
      <c r="D769" s="4"/>
      <c r="E769" s="4"/>
      <c r="F769" s="4"/>
      <c r="G769" s="4"/>
    </row>
    <row r="770">
      <c r="A770" s="4"/>
      <c r="B770" s="4"/>
      <c r="C770" s="4"/>
      <c r="D770" s="4"/>
      <c r="E770" s="4"/>
      <c r="F770" s="4"/>
      <c r="G770" s="4"/>
    </row>
    <row r="771">
      <c r="A771" s="4"/>
      <c r="B771" s="4"/>
      <c r="C771" s="4"/>
      <c r="D771" s="4"/>
      <c r="E771" s="4"/>
      <c r="F771" s="4"/>
      <c r="G771" s="4"/>
    </row>
    <row r="772">
      <c r="A772" s="4"/>
      <c r="B772" s="4"/>
      <c r="C772" s="4"/>
      <c r="D772" s="4"/>
      <c r="E772" s="4"/>
      <c r="F772" s="4"/>
      <c r="G772" s="4"/>
    </row>
    <row r="773">
      <c r="A773" s="4"/>
      <c r="B773" s="4"/>
      <c r="C773" s="4"/>
      <c r="D773" s="4"/>
      <c r="E773" s="4"/>
      <c r="F773" s="4"/>
      <c r="G773" s="4"/>
    </row>
    <row r="774">
      <c r="A774" s="4"/>
      <c r="B774" s="4"/>
      <c r="C774" s="4"/>
      <c r="D774" s="4"/>
      <c r="E774" s="4"/>
      <c r="F774" s="4"/>
      <c r="G774" s="4"/>
    </row>
    <row r="775">
      <c r="A775" s="4"/>
      <c r="B775" s="4"/>
      <c r="C775" s="4"/>
      <c r="D775" s="4"/>
      <c r="E775" s="4"/>
      <c r="F775" s="4"/>
      <c r="G775" s="4"/>
    </row>
    <row r="776">
      <c r="A776" s="4"/>
      <c r="B776" s="4"/>
      <c r="C776" s="4"/>
      <c r="D776" s="4"/>
      <c r="E776" s="4"/>
      <c r="F776" s="4"/>
      <c r="G776" s="4"/>
    </row>
    <row r="777">
      <c r="A777" s="4"/>
      <c r="B777" s="4"/>
      <c r="C777" s="4"/>
      <c r="D777" s="4"/>
      <c r="E777" s="4"/>
      <c r="F777" s="4"/>
      <c r="G777" s="4"/>
    </row>
    <row r="778">
      <c r="A778" s="4"/>
      <c r="B778" s="4"/>
      <c r="C778" s="4"/>
      <c r="D778" s="4"/>
      <c r="E778" s="4"/>
      <c r="F778" s="4"/>
      <c r="G778" s="4"/>
    </row>
    <row r="779">
      <c r="A779" s="4"/>
      <c r="B779" s="4"/>
      <c r="C779" s="4"/>
      <c r="D779" s="4"/>
      <c r="E779" s="4"/>
      <c r="F779" s="4"/>
      <c r="G779" s="4"/>
    </row>
    <row r="780">
      <c r="A780" s="4"/>
      <c r="B780" s="4"/>
      <c r="C780" s="4"/>
      <c r="D780" s="4"/>
      <c r="E780" s="4"/>
      <c r="F780" s="4"/>
      <c r="G780" s="4"/>
    </row>
    <row r="781">
      <c r="A781" s="4"/>
      <c r="B781" s="4"/>
      <c r="C781" s="4"/>
      <c r="D781" s="4"/>
      <c r="E781" s="4"/>
      <c r="F781" s="4"/>
      <c r="G781" s="4"/>
    </row>
    <row r="782">
      <c r="A782" s="4"/>
      <c r="B782" s="4"/>
      <c r="C782" s="4"/>
      <c r="D782" s="4"/>
      <c r="E782" s="4"/>
      <c r="F782" s="4"/>
      <c r="G782" s="4"/>
    </row>
    <row r="783">
      <c r="A783" s="4"/>
      <c r="B783" s="4"/>
      <c r="C783" s="4"/>
      <c r="D783" s="4"/>
      <c r="E783" s="4"/>
      <c r="F783" s="4"/>
      <c r="G783" s="4"/>
    </row>
    <row r="784">
      <c r="A784" s="4"/>
      <c r="B784" s="4"/>
      <c r="C784" s="4"/>
      <c r="D784" s="4"/>
      <c r="E784" s="4"/>
      <c r="F784" s="4"/>
      <c r="G784" s="4"/>
    </row>
    <row r="785">
      <c r="A785" s="4"/>
      <c r="B785" s="4"/>
      <c r="C785" s="4"/>
      <c r="D785" s="4"/>
      <c r="E785" s="4"/>
      <c r="F785" s="4"/>
      <c r="G785" s="4"/>
    </row>
    <row r="786">
      <c r="A786" s="4"/>
      <c r="B786" s="4"/>
      <c r="C786" s="4"/>
      <c r="D786" s="4"/>
      <c r="E786" s="4"/>
      <c r="F786" s="4"/>
      <c r="G786" s="4"/>
    </row>
    <row r="787">
      <c r="A787" s="4"/>
      <c r="B787" s="4"/>
      <c r="C787" s="4"/>
      <c r="D787" s="4"/>
      <c r="E787" s="4"/>
      <c r="F787" s="4"/>
      <c r="G787" s="4"/>
    </row>
    <row r="788">
      <c r="A788" s="4"/>
      <c r="B788" s="4"/>
      <c r="C788" s="4"/>
      <c r="D788" s="4"/>
      <c r="E788" s="4"/>
      <c r="F788" s="4"/>
      <c r="G788" s="4"/>
    </row>
    <row r="789">
      <c r="A789" s="4"/>
      <c r="B789" s="4"/>
      <c r="C789" s="4"/>
      <c r="D789" s="4"/>
      <c r="E789" s="4"/>
      <c r="F789" s="4"/>
      <c r="G789" s="4"/>
    </row>
    <row r="790">
      <c r="A790" s="4"/>
      <c r="B790" s="4"/>
      <c r="C790" s="4"/>
      <c r="D790" s="4"/>
      <c r="E790" s="4"/>
      <c r="F790" s="4"/>
      <c r="G790" s="4"/>
    </row>
    <row r="791">
      <c r="A791" s="4"/>
      <c r="B791" s="4"/>
      <c r="C791" s="4"/>
      <c r="D791" s="4"/>
      <c r="E791" s="4"/>
      <c r="F791" s="4"/>
      <c r="G791" s="4"/>
    </row>
    <row r="792">
      <c r="A792" s="4"/>
      <c r="B792" s="4"/>
      <c r="C792" s="4"/>
      <c r="D792" s="4"/>
      <c r="E792" s="4"/>
      <c r="F792" s="4"/>
      <c r="G792" s="4"/>
    </row>
    <row r="793">
      <c r="A793" s="4"/>
      <c r="B793" s="4"/>
      <c r="C793" s="4"/>
      <c r="D793" s="4"/>
      <c r="E793" s="4"/>
      <c r="F793" s="4"/>
      <c r="G793" s="4"/>
    </row>
    <row r="794">
      <c r="A794" s="4"/>
      <c r="B794" s="4"/>
      <c r="C794" s="4"/>
      <c r="D794" s="4"/>
      <c r="E794" s="4"/>
      <c r="F794" s="4"/>
      <c r="G794" s="4"/>
    </row>
    <row r="795">
      <c r="A795" s="4"/>
      <c r="B795" s="4"/>
      <c r="C795" s="4"/>
      <c r="D795" s="4"/>
      <c r="E795" s="4"/>
      <c r="F795" s="4"/>
      <c r="G795" s="4"/>
    </row>
    <row r="796">
      <c r="A796" s="4"/>
      <c r="B796" s="4"/>
      <c r="C796" s="4"/>
      <c r="D796" s="4"/>
      <c r="E796" s="4"/>
      <c r="F796" s="4"/>
      <c r="G796" s="4"/>
    </row>
    <row r="797">
      <c r="A797" s="4"/>
      <c r="B797" s="4"/>
      <c r="C797" s="4"/>
      <c r="D797" s="4"/>
      <c r="E797" s="4"/>
      <c r="F797" s="4"/>
      <c r="G797" s="4"/>
    </row>
    <row r="798">
      <c r="A798" s="4"/>
      <c r="B798" s="4"/>
      <c r="C798" s="4"/>
      <c r="D798" s="4"/>
      <c r="E798" s="4"/>
      <c r="F798" s="4"/>
      <c r="G798" s="4"/>
    </row>
    <row r="799">
      <c r="A799" s="4"/>
      <c r="B799" s="4"/>
      <c r="C799" s="4"/>
      <c r="D799" s="4"/>
      <c r="E799" s="4"/>
      <c r="F799" s="4"/>
      <c r="G799" s="4"/>
    </row>
    <row r="800">
      <c r="A800" s="4"/>
      <c r="B800" s="4"/>
      <c r="C800" s="4"/>
      <c r="D800" s="4"/>
      <c r="E800" s="4"/>
      <c r="F800" s="4"/>
      <c r="G800" s="4"/>
    </row>
    <row r="801">
      <c r="A801" s="4"/>
      <c r="B801" s="4"/>
      <c r="C801" s="4"/>
      <c r="D801" s="4"/>
      <c r="E801" s="4"/>
      <c r="F801" s="4"/>
      <c r="G801" s="4"/>
    </row>
    <row r="802">
      <c r="A802" s="4"/>
      <c r="B802" s="4"/>
      <c r="C802" s="4"/>
      <c r="D802" s="4"/>
      <c r="E802" s="4"/>
      <c r="F802" s="4"/>
      <c r="G802" s="4"/>
    </row>
    <row r="803">
      <c r="A803" s="4"/>
      <c r="B803" s="4"/>
      <c r="C803" s="4"/>
      <c r="D803" s="4"/>
      <c r="E803" s="4"/>
      <c r="F803" s="4"/>
      <c r="G803" s="4"/>
    </row>
    <row r="804">
      <c r="A804" s="4"/>
      <c r="B804" s="4"/>
      <c r="C804" s="4"/>
      <c r="D804" s="4"/>
      <c r="E804" s="4"/>
      <c r="F804" s="4"/>
      <c r="G804" s="4"/>
    </row>
    <row r="805">
      <c r="A805" s="4"/>
      <c r="B805" s="4"/>
      <c r="C805" s="4"/>
      <c r="D805" s="4"/>
      <c r="E805" s="4"/>
      <c r="F805" s="4"/>
      <c r="G805" s="4"/>
    </row>
    <row r="806">
      <c r="A806" s="4"/>
      <c r="B806" s="4"/>
      <c r="C806" s="4"/>
      <c r="D806" s="4"/>
      <c r="E806" s="4"/>
      <c r="F806" s="4"/>
      <c r="G806" s="4"/>
    </row>
    <row r="807">
      <c r="A807" s="4"/>
      <c r="B807" s="4"/>
      <c r="C807" s="4"/>
      <c r="D807" s="4"/>
      <c r="E807" s="4"/>
      <c r="F807" s="4"/>
      <c r="G807" s="4"/>
    </row>
    <row r="808">
      <c r="A808" s="4"/>
      <c r="B808" s="4"/>
      <c r="C808" s="4"/>
      <c r="D808" s="4"/>
      <c r="E808" s="4"/>
      <c r="F808" s="4"/>
      <c r="G808" s="4"/>
    </row>
    <row r="809">
      <c r="A809" s="4"/>
      <c r="B809" s="4"/>
      <c r="C809" s="4"/>
      <c r="D809" s="4"/>
      <c r="E809" s="4"/>
      <c r="F809" s="4"/>
      <c r="G809" s="4"/>
    </row>
    <row r="810">
      <c r="A810" s="4"/>
      <c r="B810" s="4"/>
      <c r="C810" s="4"/>
      <c r="D810" s="4"/>
      <c r="E810" s="4"/>
      <c r="F810" s="4"/>
      <c r="G810" s="4"/>
    </row>
    <row r="811">
      <c r="A811" s="4"/>
      <c r="B811" s="4"/>
      <c r="C811" s="4"/>
      <c r="D811" s="4"/>
      <c r="E811" s="4"/>
      <c r="F811" s="4"/>
      <c r="G811" s="4"/>
    </row>
    <row r="812">
      <c r="A812" s="4"/>
      <c r="B812" s="4"/>
      <c r="C812" s="4"/>
      <c r="D812" s="4"/>
      <c r="E812" s="4"/>
      <c r="F812" s="4"/>
      <c r="G812" s="4"/>
    </row>
    <row r="813">
      <c r="A813" s="4"/>
      <c r="B813" s="4"/>
      <c r="C813" s="4"/>
      <c r="D813" s="4"/>
      <c r="E813" s="4"/>
      <c r="F813" s="4"/>
      <c r="G813" s="4"/>
    </row>
    <row r="814">
      <c r="A814" s="4"/>
      <c r="B814" s="4"/>
      <c r="C814" s="4"/>
      <c r="D814" s="4"/>
      <c r="E814" s="4"/>
      <c r="F814" s="4"/>
      <c r="G814" s="4"/>
    </row>
    <row r="815">
      <c r="A815" s="4"/>
      <c r="B815" s="4"/>
      <c r="C815" s="4"/>
      <c r="D815" s="4"/>
      <c r="E815" s="4"/>
      <c r="F815" s="4"/>
      <c r="G815" s="4"/>
    </row>
    <row r="816">
      <c r="A816" s="4"/>
      <c r="B816" s="4"/>
      <c r="C816" s="4"/>
      <c r="D816" s="4"/>
      <c r="E816" s="4"/>
      <c r="F816" s="4"/>
      <c r="G816" s="4"/>
    </row>
    <row r="817">
      <c r="A817" s="4"/>
      <c r="B817" s="4"/>
      <c r="C817" s="4"/>
      <c r="D817" s="4"/>
      <c r="E817" s="4"/>
      <c r="F817" s="4"/>
      <c r="G817" s="4"/>
    </row>
    <row r="818">
      <c r="A818" s="4"/>
      <c r="B818" s="4"/>
      <c r="C818" s="4"/>
      <c r="D818" s="4"/>
      <c r="E818" s="4"/>
      <c r="F818" s="4"/>
      <c r="G818" s="4"/>
    </row>
    <row r="819">
      <c r="A819" s="4"/>
      <c r="B819" s="4"/>
      <c r="C819" s="4"/>
      <c r="D819" s="4"/>
      <c r="E819" s="4"/>
      <c r="F819" s="4"/>
      <c r="G819" s="4"/>
    </row>
    <row r="820">
      <c r="A820" s="4"/>
      <c r="B820" s="4"/>
      <c r="C820" s="4"/>
      <c r="D820" s="4"/>
      <c r="E820" s="4"/>
      <c r="F820" s="4"/>
      <c r="G820" s="4"/>
    </row>
    <row r="821">
      <c r="A821" s="4"/>
      <c r="B821" s="4"/>
      <c r="C821" s="4"/>
      <c r="D821" s="4"/>
      <c r="E821" s="4"/>
      <c r="F821" s="4"/>
      <c r="G821" s="4"/>
    </row>
    <row r="822">
      <c r="A822" s="4"/>
      <c r="B822" s="4"/>
      <c r="C822" s="4"/>
      <c r="D822" s="4"/>
      <c r="E822" s="4"/>
      <c r="F822" s="4"/>
      <c r="G822" s="4"/>
    </row>
    <row r="823">
      <c r="A823" s="4"/>
      <c r="B823" s="4"/>
      <c r="C823" s="4"/>
      <c r="D823" s="4"/>
      <c r="E823" s="4"/>
      <c r="F823" s="4"/>
      <c r="G823" s="4"/>
    </row>
    <row r="824">
      <c r="A824" s="4"/>
      <c r="B824" s="4"/>
      <c r="C824" s="4"/>
      <c r="D824" s="4"/>
      <c r="E824" s="4"/>
      <c r="F824" s="4"/>
      <c r="G824" s="4"/>
    </row>
    <row r="825">
      <c r="A825" s="4"/>
      <c r="B825" s="4"/>
      <c r="C825" s="4"/>
      <c r="D825" s="4"/>
      <c r="E825" s="4"/>
      <c r="F825" s="4"/>
      <c r="G825" s="4"/>
    </row>
    <row r="826">
      <c r="A826" s="4"/>
      <c r="B826" s="4"/>
      <c r="C826" s="4"/>
      <c r="D826" s="4"/>
      <c r="E826" s="4"/>
      <c r="F826" s="4"/>
      <c r="G826" s="4"/>
    </row>
    <row r="827">
      <c r="A827" s="4"/>
      <c r="B827" s="4"/>
      <c r="C827" s="4"/>
      <c r="D827" s="4"/>
      <c r="E827" s="4"/>
      <c r="F827" s="4"/>
      <c r="G827" s="4"/>
    </row>
    <row r="828">
      <c r="A828" s="4"/>
      <c r="B828" s="4"/>
      <c r="C828" s="4"/>
      <c r="D828" s="4"/>
      <c r="E828" s="4"/>
      <c r="F828" s="4"/>
      <c r="G828" s="4"/>
    </row>
    <row r="829">
      <c r="A829" s="4"/>
      <c r="B829" s="4"/>
      <c r="C829" s="4"/>
      <c r="D829" s="4"/>
      <c r="E829" s="4"/>
      <c r="F829" s="4"/>
      <c r="G829" s="4"/>
    </row>
    <row r="830">
      <c r="A830" s="4"/>
      <c r="B830" s="4"/>
      <c r="C830" s="4"/>
      <c r="D830" s="4"/>
      <c r="E830" s="4"/>
      <c r="F830" s="4"/>
      <c r="G830" s="4"/>
    </row>
    <row r="831">
      <c r="A831" s="4"/>
      <c r="B831" s="4"/>
      <c r="C831" s="4"/>
      <c r="D831" s="4"/>
      <c r="E831" s="4"/>
      <c r="F831" s="4"/>
      <c r="G831" s="4"/>
    </row>
    <row r="832">
      <c r="A832" s="4"/>
      <c r="B832" s="4"/>
      <c r="C832" s="4"/>
      <c r="D832" s="4"/>
      <c r="E832" s="4"/>
      <c r="F832" s="4"/>
      <c r="G832" s="4"/>
    </row>
    <row r="833">
      <c r="A833" s="4"/>
      <c r="B833" s="4"/>
      <c r="C833" s="4"/>
      <c r="D833" s="4"/>
      <c r="E833" s="4"/>
      <c r="F833" s="4"/>
      <c r="G833" s="4"/>
    </row>
    <row r="834">
      <c r="A834" s="4"/>
      <c r="B834" s="4"/>
      <c r="C834" s="4"/>
      <c r="D834" s="4"/>
      <c r="E834" s="4"/>
      <c r="F834" s="4"/>
      <c r="G834" s="4"/>
    </row>
    <row r="835">
      <c r="A835" s="4"/>
      <c r="B835" s="4"/>
      <c r="C835" s="4"/>
      <c r="D835" s="4"/>
      <c r="E835" s="4"/>
      <c r="F835" s="4"/>
      <c r="G835" s="4"/>
    </row>
    <row r="836">
      <c r="A836" s="4"/>
      <c r="B836" s="4"/>
      <c r="C836" s="4"/>
      <c r="D836" s="4"/>
      <c r="E836" s="4"/>
      <c r="F836" s="4"/>
      <c r="G836" s="4"/>
    </row>
    <row r="837">
      <c r="A837" s="4"/>
      <c r="B837" s="4"/>
      <c r="C837" s="4"/>
      <c r="D837" s="4"/>
      <c r="E837" s="4"/>
      <c r="F837" s="4"/>
      <c r="G837" s="4"/>
    </row>
    <row r="838">
      <c r="A838" s="4"/>
      <c r="B838" s="4"/>
      <c r="C838" s="4"/>
      <c r="D838" s="4"/>
      <c r="E838" s="4"/>
      <c r="F838" s="4"/>
      <c r="G838" s="4"/>
    </row>
    <row r="839">
      <c r="A839" s="4"/>
      <c r="B839" s="4"/>
      <c r="C839" s="4"/>
      <c r="D839" s="4"/>
      <c r="E839" s="4"/>
      <c r="F839" s="4"/>
      <c r="G839" s="4"/>
    </row>
    <row r="840">
      <c r="A840" s="4"/>
      <c r="B840" s="4"/>
      <c r="C840" s="4"/>
      <c r="D840" s="4"/>
      <c r="E840" s="4"/>
      <c r="F840" s="4"/>
      <c r="G840" s="4"/>
    </row>
    <row r="841">
      <c r="A841" s="4"/>
      <c r="B841" s="4"/>
      <c r="C841" s="4"/>
      <c r="D841" s="4"/>
      <c r="E841" s="4"/>
      <c r="F841" s="4"/>
      <c r="G841" s="4"/>
    </row>
    <row r="842">
      <c r="A842" s="4"/>
      <c r="B842" s="4"/>
      <c r="C842" s="4"/>
      <c r="D842" s="4"/>
      <c r="E842" s="4"/>
      <c r="F842" s="4"/>
      <c r="G842" s="4"/>
    </row>
    <row r="843">
      <c r="A843" s="4"/>
      <c r="B843" s="4"/>
      <c r="C843" s="4"/>
      <c r="D843" s="4"/>
      <c r="E843" s="4"/>
      <c r="F843" s="4"/>
      <c r="G843" s="4"/>
    </row>
    <row r="844">
      <c r="A844" s="4"/>
      <c r="B844" s="4"/>
      <c r="C844" s="4"/>
      <c r="D844" s="4"/>
      <c r="E844" s="4"/>
      <c r="F844" s="4"/>
      <c r="G844" s="4"/>
    </row>
    <row r="845">
      <c r="A845" s="4"/>
      <c r="B845" s="4"/>
      <c r="C845" s="4"/>
      <c r="D845" s="4"/>
      <c r="E845" s="4"/>
      <c r="F845" s="4"/>
      <c r="G845" s="4"/>
    </row>
    <row r="846">
      <c r="A846" s="4"/>
      <c r="B846" s="4"/>
      <c r="C846" s="4"/>
      <c r="D846" s="4"/>
      <c r="E846" s="4"/>
      <c r="F846" s="4"/>
      <c r="G846" s="4"/>
    </row>
    <row r="847">
      <c r="A847" s="4"/>
      <c r="B847" s="4"/>
      <c r="C847" s="4"/>
      <c r="D847" s="4"/>
      <c r="E847" s="4"/>
      <c r="F847" s="4"/>
      <c r="G847" s="4"/>
    </row>
    <row r="848">
      <c r="A848" s="4"/>
      <c r="B848" s="4"/>
      <c r="C848" s="4"/>
      <c r="D848" s="4"/>
      <c r="E848" s="4"/>
      <c r="F848" s="4"/>
      <c r="G848" s="4"/>
    </row>
    <row r="849">
      <c r="A849" s="4"/>
      <c r="B849" s="4"/>
      <c r="C849" s="4"/>
      <c r="D849" s="4"/>
      <c r="E849" s="4"/>
      <c r="F849" s="4"/>
      <c r="G849" s="4"/>
    </row>
    <row r="850">
      <c r="A850" s="4"/>
      <c r="B850" s="4"/>
      <c r="C850" s="4"/>
      <c r="D850" s="4"/>
      <c r="E850" s="4"/>
      <c r="F850" s="4"/>
      <c r="G850" s="4"/>
    </row>
    <row r="851">
      <c r="A851" s="4"/>
      <c r="B851" s="4"/>
      <c r="C851" s="4"/>
      <c r="D851" s="4"/>
      <c r="E851" s="4"/>
      <c r="F851" s="4"/>
      <c r="G851" s="4"/>
    </row>
    <row r="852">
      <c r="A852" s="4"/>
      <c r="B852" s="4"/>
      <c r="C852" s="4"/>
      <c r="D852" s="4"/>
      <c r="E852" s="4"/>
      <c r="F852" s="4"/>
      <c r="G852" s="4"/>
    </row>
    <row r="853">
      <c r="A853" s="4"/>
      <c r="B853" s="4"/>
      <c r="C853" s="4"/>
      <c r="D853" s="4"/>
      <c r="E853" s="4"/>
      <c r="F853" s="4"/>
      <c r="G853" s="4"/>
    </row>
    <row r="854">
      <c r="A854" s="4"/>
      <c r="B854" s="4"/>
      <c r="C854" s="4"/>
      <c r="D854" s="4"/>
      <c r="E854" s="4"/>
      <c r="F854" s="4"/>
      <c r="G854" s="4"/>
    </row>
    <row r="855">
      <c r="A855" s="4"/>
      <c r="B855" s="4"/>
      <c r="C855" s="4"/>
      <c r="D855" s="4"/>
      <c r="E855" s="4"/>
      <c r="F855" s="4"/>
      <c r="G855" s="4"/>
    </row>
    <row r="856">
      <c r="A856" s="4"/>
      <c r="B856" s="4"/>
      <c r="C856" s="4"/>
      <c r="D856" s="4"/>
      <c r="E856" s="4"/>
      <c r="F856" s="4"/>
      <c r="G856" s="4"/>
    </row>
    <row r="857">
      <c r="A857" s="4"/>
      <c r="B857" s="4"/>
      <c r="C857" s="4"/>
      <c r="D857" s="4"/>
      <c r="E857" s="4"/>
      <c r="F857" s="4"/>
      <c r="G857" s="4"/>
    </row>
    <row r="858">
      <c r="A858" s="4"/>
      <c r="B858" s="4"/>
      <c r="C858" s="4"/>
      <c r="D858" s="4"/>
      <c r="E858" s="4"/>
      <c r="F858" s="4"/>
      <c r="G858" s="4"/>
    </row>
    <row r="859">
      <c r="A859" s="4"/>
      <c r="B859" s="4"/>
      <c r="C859" s="4"/>
      <c r="D859" s="4"/>
      <c r="E859" s="4"/>
      <c r="F859" s="4"/>
      <c r="G859" s="4"/>
    </row>
    <row r="860">
      <c r="A860" s="4"/>
      <c r="B860" s="4"/>
      <c r="C860" s="4"/>
      <c r="D860" s="4"/>
      <c r="E860" s="4"/>
      <c r="F860" s="4"/>
      <c r="G860" s="4"/>
    </row>
    <row r="861">
      <c r="A861" s="4"/>
      <c r="B861" s="4"/>
      <c r="C861" s="4"/>
      <c r="D861" s="4"/>
      <c r="E861" s="4"/>
      <c r="F861" s="4"/>
      <c r="G861" s="4"/>
    </row>
    <row r="862">
      <c r="A862" s="4"/>
      <c r="B862" s="4"/>
      <c r="C862" s="4"/>
      <c r="D862" s="4"/>
      <c r="E862" s="4"/>
      <c r="F862" s="4"/>
      <c r="G862" s="4"/>
    </row>
    <row r="863">
      <c r="A863" s="4"/>
      <c r="B863" s="4"/>
      <c r="C863" s="4"/>
      <c r="D863" s="4"/>
      <c r="E863" s="4"/>
      <c r="F863" s="4"/>
      <c r="G863" s="4"/>
    </row>
    <row r="864">
      <c r="A864" s="4"/>
      <c r="B864" s="4"/>
      <c r="C864" s="4"/>
      <c r="D864" s="4"/>
      <c r="E864" s="4"/>
      <c r="F864" s="4"/>
      <c r="G864" s="4"/>
    </row>
    <row r="865">
      <c r="A865" s="4"/>
      <c r="B865" s="4"/>
      <c r="C865" s="4"/>
      <c r="D865" s="4"/>
      <c r="E865" s="4"/>
      <c r="F865" s="4"/>
      <c r="G865" s="4"/>
    </row>
    <row r="866">
      <c r="A866" s="4"/>
      <c r="B866" s="4"/>
      <c r="C866" s="4"/>
      <c r="D866" s="4"/>
      <c r="E866" s="4"/>
      <c r="F866" s="4"/>
      <c r="G866" s="4"/>
    </row>
    <row r="867">
      <c r="A867" s="4"/>
      <c r="B867" s="4"/>
      <c r="C867" s="4"/>
      <c r="D867" s="4"/>
      <c r="E867" s="4"/>
      <c r="F867" s="4"/>
      <c r="G867" s="4"/>
    </row>
    <row r="868">
      <c r="A868" s="4"/>
      <c r="B868" s="4"/>
      <c r="C868" s="4"/>
      <c r="D868" s="4"/>
      <c r="E868" s="4"/>
      <c r="F868" s="4"/>
      <c r="G868" s="4"/>
    </row>
    <row r="869">
      <c r="A869" s="4"/>
      <c r="B869" s="4"/>
      <c r="C869" s="4"/>
      <c r="D869" s="4"/>
      <c r="E869" s="4"/>
      <c r="F869" s="4"/>
      <c r="G869" s="4"/>
    </row>
    <row r="870">
      <c r="A870" s="4"/>
      <c r="B870" s="4"/>
      <c r="C870" s="4"/>
      <c r="D870" s="4"/>
      <c r="E870" s="4"/>
      <c r="F870" s="4"/>
      <c r="G870" s="4"/>
    </row>
    <row r="871">
      <c r="A871" s="4"/>
      <c r="B871" s="4"/>
      <c r="C871" s="4"/>
      <c r="D871" s="4"/>
      <c r="E871" s="4"/>
      <c r="F871" s="4"/>
      <c r="G871" s="4"/>
    </row>
    <row r="872">
      <c r="A872" s="4"/>
      <c r="B872" s="4"/>
      <c r="C872" s="4"/>
      <c r="D872" s="4"/>
      <c r="E872" s="4"/>
      <c r="F872" s="4"/>
      <c r="G872" s="4"/>
    </row>
    <row r="873">
      <c r="A873" s="4"/>
      <c r="B873" s="4"/>
      <c r="C873" s="4"/>
      <c r="D873" s="4"/>
      <c r="E873" s="4"/>
      <c r="F873" s="4"/>
      <c r="G873" s="4"/>
    </row>
    <row r="874">
      <c r="A874" s="4"/>
      <c r="B874" s="4"/>
      <c r="C874" s="4"/>
      <c r="D874" s="4"/>
      <c r="E874" s="4"/>
      <c r="F874" s="4"/>
      <c r="G874" s="4"/>
    </row>
    <row r="875">
      <c r="A875" s="4"/>
      <c r="B875" s="4"/>
      <c r="C875" s="4"/>
      <c r="D875" s="4"/>
      <c r="E875" s="4"/>
      <c r="F875" s="4"/>
      <c r="G875" s="4"/>
    </row>
    <row r="876">
      <c r="A876" s="4"/>
      <c r="B876" s="4"/>
      <c r="C876" s="4"/>
      <c r="D876" s="4"/>
      <c r="E876" s="4"/>
      <c r="F876" s="4"/>
      <c r="G876" s="4"/>
    </row>
    <row r="877">
      <c r="A877" s="4"/>
      <c r="B877" s="4"/>
      <c r="C877" s="4"/>
      <c r="D877" s="4"/>
      <c r="E877" s="4"/>
      <c r="F877" s="4"/>
      <c r="G877" s="4"/>
    </row>
    <row r="878">
      <c r="A878" s="4"/>
      <c r="B878" s="4"/>
      <c r="C878" s="4"/>
      <c r="D878" s="4"/>
      <c r="E878" s="4"/>
      <c r="F878" s="4"/>
      <c r="G878" s="4"/>
    </row>
    <row r="879">
      <c r="A879" s="4"/>
      <c r="B879" s="4"/>
      <c r="C879" s="4"/>
      <c r="D879" s="4"/>
      <c r="E879" s="4"/>
      <c r="F879" s="4"/>
      <c r="G879" s="4"/>
    </row>
    <row r="880">
      <c r="A880" s="4"/>
      <c r="B880" s="4"/>
      <c r="C880" s="4"/>
      <c r="D880" s="4"/>
      <c r="E880" s="4"/>
      <c r="F880" s="4"/>
      <c r="G880" s="4"/>
    </row>
    <row r="881">
      <c r="A881" s="4"/>
      <c r="B881" s="4"/>
      <c r="C881" s="4"/>
      <c r="D881" s="4"/>
      <c r="E881" s="4"/>
      <c r="F881" s="4"/>
      <c r="G881" s="4"/>
    </row>
    <row r="882">
      <c r="A882" s="4"/>
      <c r="B882" s="4"/>
      <c r="C882" s="4"/>
      <c r="D882" s="4"/>
      <c r="E882" s="4"/>
      <c r="F882" s="4"/>
      <c r="G882" s="4"/>
    </row>
    <row r="883">
      <c r="A883" s="4"/>
      <c r="B883" s="4"/>
      <c r="C883" s="4"/>
      <c r="D883" s="4"/>
      <c r="E883" s="4"/>
      <c r="F883" s="4"/>
      <c r="G883" s="4"/>
    </row>
    <row r="884">
      <c r="A884" s="4"/>
      <c r="B884" s="4"/>
      <c r="C884" s="4"/>
      <c r="D884" s="4"/>
      <c r="E884" s="4"/>
      <c r="F884" s="4"/>
      <c r="G884" s="4"/>
    </row>
    <row r="885">
      <c r="A885" s="4"/>
      <c r="B885" s="4"/>
      <c r="C885" s="4"/>
      <c r="D885" s="4"/>
      <c r="E885" s="4"/>
      <c r="F885" s="4"/>
      <c r="G885" s="4"/>
    </row>
    <row r="886">
      <c r="A886" s="4"/>
      <c r="B886" s="4"/>
      <c r="C886" s="4"/>
      <c r="D886" s="4"/>
      <c r="E886" s="4"/>
      <c r="F886" s="4"/>
      <c r="G886" s="4"/>
    </row>
    <row r="887">
      <c r="A887" s="4"/>
      <c r="B887" s="4"/>
      <c r="C887" s="4"/>
      <c r="D887" s="4"/>
      <c r="E887" s="4"/>
      <c r="F887" s="4"/>
      <c r="G887" s="4"/>
    </row>
    <row r="888">
      <c r="A888" s="4"/>
      <c r="B888" s="4"/>
      <c r="C888" s="4"/>
      <c r="D888" s="4"/>
      <c r="E888" s="4"/>
      <c r="F888" s="4"/>
      <c r="G888" s="4"/>
    </row>
    <row r="889">
      <c r="A889" s="4"/>
      <c r="B889" s="4"/>
      <c r="C889" s="4"/>
      <c r="D889" s="4"/>
      <c r="E889" s="4"/>
      <c r="F889" s="4"/>
      <c r="G889" s="4"/>
    </row>
    <row r="890">
      <c r="A890" s="4"/>
      <c r="B890" s="4"/>
      <c r="C890" s="4"/>
      <c r="D890" s="4"/>
      <c r="E890" s="4"/>
      <c r="F890" s="4"/>
      <c r="G890" s="4"/>
    </row>
    <row r="891">
      <c r="A891" s="4"/>
      <c r="B891" s="4"/>
      <c r="C891" s="4"/>
      <c r="D891" s="4"/>
      <c r="E891" s="4"/>
      <c r="F891" s="4"/>
      <c r="G891" s="4"/>
    </row>
    <row r="892">
      <c r="A892" s="4"/>
      <c r="B892" s="4"/>
      <c r="C892" s="4"/>
      <c r="D892" s="4"/>
      <c r="E892" s="4"/>
      <c r="F892" s="4"/>
      <c r="G892" s="4"/>
    </row>
    <row r="893">
      <c r="A893" s="4"/>
      <c r="B893" s="4"/>
      <c r="C893" s="4"/>
      <c r="D893" s="4"/>
      <c r="E893" s="4"/>
      <c r="F893" s="4"/>
      <c r="G893" s="4"/>
    </row>
    <row r="894">
      <c r="A894" s="4"/>
      <c r="B894" s="4"/>
      <c r="C894" s="4"/>
      <c r="D894" s="4"/>
      <c r="E894" s="4"/>
      <c r="F894" s="4"/>
      <c r="G894" s="4"/>
    </row>
    <row r="895">
      <c r="A895" s="4"/>
      <c r="B895" s="4"/>
      <c r="C895" s="4"/>
      <c r="D895" s="4"/>
      <c r="E895" s="4"/>
      <c r="F895" s="4"/>
      <c r="G895" s="4"/>
    </row>
    <row r="896">
      <c r="A896" s="4"/>
      <c r="B896" s="4"/>
      <c r="C896" s="4"/>
      <c r="D896" s="4"/>
      <c r="E896" s="4"/>
      <c r="F896" s="4"/>
      <c r="G896" s="4"/>
    </row>
    <row r="897">
      <c r="A897" s="4"/>
      <c r="B897" s="4"/>
      <c r="C897" s="4"/>
      <c r="D897" s="4"/>
      <c r="E897" s="4"/>
      <c r="F897" s="4"/>
      <c r="G897" s="4"/>
    </row>
    <row r="898">
      <c r="A898" s="4"/>
      <c r="B898" s="4"/>
      <c r="C898" s="4"/>
      <c r="D898" s="4"/>
      <c r="E898" s="4"/>
      <c r="F898" s="4"/>
      <c r="G898" s="4"/>
    </row>
    <row r="899">
      <c r="A899" s="4"/>
      <c r="B899" s="4"/>
      <c r="C899" s="4"/>
      <c r="D899" s="4"/>
      <c r="E899" s="4"/>
      <c r="F899" s="4"/>
      <c r="G899" s="4"/>
    </row>
    <row r="900">
      <c r="A900" s="4"/>
      <c r="B900" s="4"/>
      <c r="C900" s="4"/>
      <c r="D900" s="4"/>
      <c r="E900" s="4"/>
      <c r="F900" s="4"/>
      <c r="G900" s="4"/>
    </row>
    <row r="901">
      <c r="A901" s="4"/>
      <c r="B901" s="4"/>
      <c r="C901" s="4"/>
      <c r="D901" s="4"/>
      <c r="E901" s="4"/>
      <c r="F901" s="4"/>
      <c r="G901" s="4"/>
    </row>
    <row r="902">
      <c r="A902" s="4"/>
      <c r="B902" s="4"/>
      <c r="C902" s="4"/>
      <c r="D902" s="4"/>
      <c r="E902" s="4"/>
      <c r="F902" s="4"/>
      <c r="G902" s="4"/>
    </row>
    <row r="903">
      <c r="A903" s="4"/>
      <c r="B903" s="4"/>
      <c r="C903" s="4"/>
      <c r="D903" s="4"/>
      <c r="E903" s="4"/>
      <c r="F903" s="4"/>
      <c r="G903" s="4"/>
    </row>
    <row r="904">
      <c r="A904" s="4"/>
      <c r="B904" s="4"/>
      <c r="C904" s="4"/>
      <c r="D904" s="4"/>
      <c r="E904" s="4"/>
      <c r="F904" s="4"/>
      <c r="G904" s="4"/>
    </row>
    <row r="905">
      <c r="A905" s="4"/>
      <c r="B905" s="4"/>
      <c r="C905" s="4"/>
      <c r="D905" s="4"/>
      <c r="E905" s="4"/>
      <c r="F905" s="4"/>
      <c r="G905" s="4"/>
    </row>
    <row r="906">
      <c r="A906" s="4"/>
      <c r="B906" s="4"/>
      <c r="C906" s="4"/>
      <c r="D906" s="4"/>
      <c r="E906" s="4"/>
      <c r="F906" s="4"/>
      <c r="G906" s="4"/>
    </row>
    <row r="907">
      <c r="A907" s="4"/>
      <c r="B907" s="4"/>
      <c r="C907" s="4"/>
      <c r="D907" s="4"/>
      <c r="E907" s="4"/>
      <c r="F907" s="4"/>
      <c r="G907" s="4"/>
    </row>
    <row r="908">
      <c r="A908" s="4"/>
      <c r="B908" s="4"/>
      <c r="C908" s="4"/>
      <c r="D908" s="4"/>
      <c r="E908" s="4"/>
      <c r="F908" s="4"/>
      <c r="G908" s="4"/>
    </row>
    <row r="909">
      <c r="A909" s="4"/>
      <c r="B909" s="4"/>
      <c r="C909" s="4"/>
      <c r="D909" s="4"/>
      <c r="E909" s="4"/>
      <c r="F909" s="4"/>
      <c r="G909" s="4"/>
    </row>
    <row r="910">
      <c r="A910" s="4"/>
      <c r="B910" s="4"/>
      <c r="C910" s="4"/>
      <c r="D910" s="4"/>
      <c r="E910" s="4"/>
      <c r="F910" s="4"/>
      <c r="G910" s="4"/>
    </row>
    <row r="911">
      <c r="A911" s="4"/>
      <c r="B911" s="4"/>
      <c r="C911" s="4"/>
      <c r="D911" s="4"/>
      <c r="E911" s="4"/>
      <c r="F911" s="4"/>
      <c r="G911" s="4"/>
    </row>
    <row r="912">
      <c r="A912" s="4"/>
      <c r="B912" s="4"/>
      <c r="C912" s="4"/>
      <c r="D912" s="4"/>
      <c r="E912" s="4"/>
      <c r="F912" s="4"/>
      <c r="G912" s="4"/>
    </row>
    <row r="913">
      <c r="A913" s="4"/>
      <c r="B913" s="4"/>
      <c r="C913" s="4"/>
      <c r="D913" s="4"/>
      <c r="E913" s="4"/>
      <c r="F913" s="4"/>
      <c r="G913" s="4"/>
    </row>
    <row r="914">
      <c r="A914" s="4"/>
      <c r="B914" s="4"/>
      <c r="C914" s="4"/>
      <c r="D914" s="4"/>
      <c r="E914" s="4"/>
      <c r="F914" s="4"/>
      <c r="G914" s="4"/>
    </row>
    <row r="915">
      <c r="A915" s="4"/>
      <c r="B915" s="4"/>
      <c r="C915" s="4"/>
      <c r="D915" s="4"/>
      <c r="E915" s="4"/>
      <c r="F915" s="4"/>
      <c r="G915" s="4"/>
    </row>
    <row r="916">
      <c r="A916" s="4"/>
      <c r="B916" s="4"/>
      <c r="C916" s="4"/>
      <c r="D916" s="4"/>
      <c r="E916" s="4"/>
      <c r="F916" s="4"/>
      <c r="G916" s="4"/>
    </row>
    <row r="917">
      <c r="A917" s="4"/>
      <c r="B917" s="4"/>
      <c r="C917" s="4"/>
      <c r="D917" s="4"/>
      <c r="E917" s="4"/>
      <c r="F917" s="4"/>
      <c r="G917" s="4"/>
    </row>
    <row r="918">
      <c r="A918" s="4"/>
      <c r="B918" s="4"/>
      <c r="C918" s="4"/>
      <c r="D918" s="4"/>
      <c r="E918" s="4"/>
      <c r="F918" s="4"/>
      <c r="G918" s="4"/>
    </row>
    <row r="919">
      <c r="A919" s="4"/>
      <c r="B919" s="4"/>
      <c r="C919" s="4"/>
      <c r="D919" s="4"/>
      <c r="E919" s="4"/>
      <c r="F919" s="4"/>
      <c r="G919" s="4"/>
    </row>
    <row r="920">
      <c r="A920" s="4"/>
      <c r="B920" s="4"/>
      <c r="C920" s="4"/>
      <c r="D920" s="4"/>
      <c r="E920" s="4"/>
      <c r="F920" s="4"/>
      <c r="G920" s="4"/>
    </row>
    <row r="921">
      <c r="A921" s="4"/>
      <c r="B921" s="4"/>
      <c r="C921" s="4"/>
      <c r="D921" s="4"/>
      <c r="E921" s="4"/>
      <c r="F921" s="4"/>
      <c r="G921" s="4"/>
    </row>
    <row r="922">
      <c r="A922" s="4"/>
      <c r="B922" s="4"/>
      <c r="C922" s="4"/>
      <c r="D922" s="4"/>
      <c r="E922" s="4"/>
      <c r="F922" s="4"/>
      <c r="G922" s="4"/>
    </row>
    <row r="923">
      <c r="A923" s="4"/>
      <c r="B923" s="4"/>
      <c r="C923" s="4"/>
      <c r="D923" s="4"/>
      <c r="E923" s="4"/>
      <c r="F923" s="4"/>
      <c r="G923" s="4"/>
    </row>
    <row r="924">
      <c r="A924" s="4"/>
      <c r="B924" s="4"/>
      <c r="C924" s="4"/>
      <c r="D924" s="4"/>
      <c r="E924" s="4"/>
      <c r="F924" s="4"/>
      <c r="G924" s="4"/>
    </row>
    <row r="925">
      <c r="A925" s="4"/>
      <c r="B925" s="4"/>
      <c r="C925" s="4"/>
      <c r="D925" s="4"/>
      <c r="E925" s="4"/>
      <c r="F925" s="4"/>
      <c r="G925" s="4"/>
    </row>
    <row r="926">
      <c r="A926" s="4"/>
      <c r="B926" s="4"/>
      <c r="C926" s="4"/>
      <c r="D926" s="4"/>
      <c r="E926" s="4"/>
      <c r="F926" s="4"/>
      <c r="G926" s="4"/>
    </row>
    <row r="927">
      <c r="A927" s="4"/>
      <c r="B927" s="4"/>
      <c r="C927" s="4"/>
      <c r="D927" s="4"/>
      <c r="E927" s="4"/>
      <c r="F927" s="4"/>
      <c r="G927" s="4"/>
    </row>
    <row r="928">
      <c r="A928" s="4"/>
      <c r="B928" s="4"/>
      <c r="C928" s="4"/>
      <c r="D928" s="4"/>
      <c r="E928" s="4"/>
      <c r="F928" s="4"/>
      <c r="G928" s="4"/>
    </row>
    <row r="929">
      <c r="A929" s="4"/>
      <c r="B929" s="4"/>
      <c r="C929" s="4"/>
      <c r="D929" s="4"/>
      <c r="E929" s="4"/>
      <c r="F929" s="4"/>
      <c r="G929" s="4"/>
    </row>
    <row r="930">
      <c r="A930" s="4"/>
      <c r="B930" s="4"/>
      <c r="C930" s="4"/>
      <c r="D930" s="4"/>
      <c r="E930" s="4"/>
      <c r="F930" s="4"/>
      <c r="G930" s="4"/>
    </row>
    <row r="931">
      <c r="A931" s="4"/>
      <c r="B931" s="4"/>
      <c r="C931" s="4"/>
      <c r="D931" s="4"/>
      <c r="E931" s="4"/>
      <c r="F931" s="4"/>
      <c r="G931" s="4"/>
    </row>
    <row r="932">
      <c r="A932" s="4"/>
      <c r="B932" s="4"/>
      <c r="C932" s="4"/>
      <c r="D932" s="4"/>
      <c r="E932" s="4"/>
      <c r="F932" s="4"/>
      <c r="G932" s="4"/>
    </row>
    <row r="933">
      <c r="A933" s="4"/>
      <c r="B933" s="4"/>
      <c r="C933" s="4"/>
      <c r="D933" s="4"/>
      <c r="E933" s="4"/>
      <c r="F933" s="4"/>
      <c r="G933" s="4"/>
    </row>
    <row r="934">
      <c r="A934" s="4"/>
      <c r="B934" s="4"/>
      <c r="C934" s="4"/>
      <c r="D934" s="4"/>
      <c r="E934" s="4"/>
      <c r="F934" s="4"/>
      <c r="G934" s="4"/>
    </row>
    <row r="935">
      <c r="A935" s="4"/>
      <c r="B935" s="4"/>
      <c r="C935" s="4"/>
      <c r="D935" s="4"/>
      <c r="E935" s="4"/>
      <c r="F935" s="4"/>
      <c r="G935" s="4"/>
    </row>
    <row r="936">
      <c r="A936" s="4"/>
      <c r="B936" s="4"/>
      <c r="C936" s="4"/>
      <c r="D936" s="4"/>
      <c r="E936" s="4"/>
      <c r="F936" s="4"/>
      <c r="G936" s="4"/>
    </row>
    <row r="937">
      <c r="A937" s="4"/>
      <c r="B937" s="4"/>
      <c r="C937" s="4"/>
      <c r="D937" s="4"/>
      <c r="E937" s="4"/>
      <c r="F937" s="4"/>
      <c r="G937" s="4"/>
    </row>
    <row r="938">
      <c r="A938" s="4"/>
      <c r="B938" s="4"/>
      <c r="C938" s="4"/>
      <c r="D938" s="4"/>
      <c r="E938" s="4"/>
      <c r="F938" s="4"/>
      <c r="G938" s="4"/>
    </row>
    <row r="939">
      <c r="A939" s="4"/>
      <c r="B939" s="4"/>
      <c r="C939" s="4"/>
      <c r="D939" s="4"/>
      <c r="E939" s="4"/>
      <c r="F939" s="4"/>
      <c r="G939" s="4"/>
    </row>
    <row r="940">
      <c r="A940" s="4"/>
      <c r="B940" s="4"/>
      <c r="C940" s="4"/>
      <c r="D940" s="4"/>
      <c r="E940" s="4"/>
      <c r="F940" s="4"/>
      <c r="G940" s="4"/>
    </row>
    <row r="941">
      <c r="A941" s="4"/>
      <c r="B941" s="4"/>
      <c r="C941" s="4"/>
      <c r="D941" s="4"/>
      <c r="E941" s="4"/>
      <c r="F941" s="4"/>
      <c r="G941" s="4"/>
    </row>
    <row r="942">
      <c r="A942" s="4"/>
      <c r="B942" s="4"/>
      <c r="C942" s="4"/>
      <c r="D942" s="4"/>
      <c r="E942" s="4"/>
      <c r="F942" s="4"/>
      <c r="G942" s="4"/>
    </row>
    <row r="943">
      <c r="A943" s="4"/>
      <c r="B943" s="4"/>
      <c r="C943" s="4"/>
      <c r="D943" s="4"/>
      <c r="E943" s="4"/>
      <c r="F943" s="4"/>
      <c r="G943" s="4"/>
    </row>
    <row r="944">
      <c r="A944" s="4"/>
      <c r="B944" s="4"/>
      <c r="C944" s="4"/>
      <c r="D944" s="4"/>
      <c r="E944" s="4"/>
      <c r="F944" s="4"/>
      <c r="G944" s="4"/>
    </row>
    <row r="945">
      <c r="A945" s="4"/>
      <c r="B945" s="4"/>
      <c r="C945" s="4"/>
      <c r="D945" s="4"/>
      <c r="E945" s="4"/>
      <c r="F945" s="4"/>
      <c r="G945" s="4"/>
    </row>
    <row r="946">
      <c r="A946" s="4"/>
      <c r="B946" s="4"/>
      <c r="C946" s="4"/>
      <c r="D946" s="4"/>
      <c r="E946" s="4"/>
      <c r="F946" s="4"/>
      <c r="G946" s="4"/>
    </row>
    <row r="947">
      <c r="A947" s="4"/>
      <c r="B947" s="4"/>
      <c r="C947" s="4"/>
      <c r="D947" s="4"/>
      <c r="E947" s="4"/>
      <c r="F947" s="4"/>
      <c r="G947" s="4"/>
    </row>
    <row r="948">
      <c r="A948" s="4"/>
      <c r="B948" s="4"/>
      <c r="C948" s="4"/>
      <c r="D948" s="4"/>
      <c r="E948" s="4"/>
      <c r="F948" s="4"/>
      <c r="G948" s="4"/>
    </row>
    <row r="949">
      <c r="A949" s="4"/>
      <c r="B949" s="4"/>
      <c r="C949" s="4"/>
      <c r="D949" s="4"/>
      <c r="E949" s="4"/>
      <c r="F949" s="4"/>
      <c r="G949" s="4"/>
    </row>
    <row r="950">
      <c r="A950" s="4"/>
      <c r="B950" s="4"/>
      <c r="C950" s="4"/>
      <c r="D950" s="4"/>
      <c r="E950" s="4"/>
      <c r="F950" s="4"/>
      <c r="G950" s="4"/>
    </row>
    <row r="951">
      <c r="A951" s="4"/>
      <c r="B951" s="4"/>
      <c r="C951" s="4"/>
      <c r="D951" s="4"/>
      <c r="E951" s="4"/>
      <c r="F951" s="4"/>
      <c r="G951" s="4"/>
    </row>
    <row r="952">
      <c r="A952" s="4"/>
      <c r="B952" s="4"/>
      <c r="C952" s="4"/>
      <c r="D952" s="4"/>
      <c r="E952" s="4"/>
      <c r="F952" s="4"/>
      <c r="G952" s="4"/>
    </row>
    <row r="953">
      <c r="A953" s="4"/>
      <c r="B953" s="4"/>
      <c r="C953" s="4"/>
      <c r="D953" s="4"/>
      <c r="E953" s="4"/>
      <c r="F953" s="4"/>
      <c r="G953" s="4"/>
    </row>
    <row r="954">
      <c r="A954" s="4"/>
      <c r="B954" s="4"/>
      <c r="C954" s="4"/>
      <c r="D954" s="4"/>
      <c r="E954" s="4"/>
      <c r="F954" s="4"/>
      <c r="G954" s="4"/>
    </row>
    <row r="955">
      <c r="A955" s="4"/>
      <c r="B955" s="4"/>
      <c r="C955" s="4"/>
      <c r="D955" s="4"/>
      <c r="E955" s="4"/>
      <c r="F955" s="4"/>
      <c r="G955" s="4"/>
    </row>
    <row r="956">
      <c r="A956" s="4"/>
      <c r="B956" s="4"/>
      <c r="C956" s="4"/>
      <c r="D956" s="4"/>
      <c r="E956" s="4"/>
      <c r="F956" s="4"/>
      <c r="G956" s="4"/>
    </row>
    <row r="957">
      <c r="A957" s="4"/>
      <c r="B957" s="4"/>
      <c r="C957" s="4"/>
      <c r="D957" s="4"/>
      <c r="E957" s="4"/>
      <c r="F957" s="4"/>
      <c r="G957" s="4"/>
    </row>
    <row r="958">
      <c r="A958" s="4"/>
      <c r="B958" s="4"/>
      <c r="C958" s="4"/>
      <c r="D958" s="4"/>
      <c r="E958" s="4"/>
      <c r="F958" s="4"/>
      <c r="G958" s="4"/>
    </row>
    <row r="959">
      <c r="A959" s="4"/>
      <c r="B959" s="4"/>
      <c r="C959" s="4"/>
      <c r="D959" s="4"/>
      <c r="E959" s="4"/>
      <c r="F959" s="4"/>
      <c r="G959" s="4"/>
    </row>
    <row r="960">
      <c r="A960" s="4"/>
      <c r="B960" s="4"/>
      <c r="C960" s="4"/>
      <c r="D960" s="4"/>
      <c r="E960" s="4"/>
      <c r="F960" s="4"/>
      <c r="G960" s="4"/>
    </row>
    <row r="961">
      <c r="A961" s="4"/>
      <c r="B961" s="4"/>
      <c r="C961" s="4"/>
      <c r="D961" s="4"/>
      <c r="E961" s="4"/>
      <c r="F961" s="4"/>
      <c r="G961" s="4"/>
    </row>
    <row r="962">
      <c r="A962" s="4"/>
      <c r="B962" s="4"/>
      <c r="C962" s="4"/>
      <c r="D962" s="4"/>
      <c r="E962" s="4"/>
      <c r="F962" s="4"/>
      <c r="G962" s="4"/>
    </row>
    <row r="963">
      <c r="A963" s="4"/>
      <c r="B963" s="4"/>
      <c r="C963" s="4"/>
      <c r="D963" s="4"/>
      <c r="E963" s="4"/>
      <c r="F963" s="4"/>
      <c r="G963" s="4"/>
    </row>
    <row r="964">
      <c r="A964" s="4"/>
      <c r="B964" s="4"/>
      <c r="C964" s="4"/>
      <c r="D964" s="4"/>
      <c r="E964" s="4"/>
      <c r="F964" s="4"/>
      <c r="G964" s="4"/>
    </row>
    <row r="965">
      <c r="A965" s="4"/>
      <c r="B965" s="4"/>
      <c r="C965" s="4"/>
      <c r="D965" s="4"/>
      <c r="E965" s="4"/>
      <c r="F965" s="4"/>
      <c r="G965" s="4"/>
    </row>
    <row r="966">
      <c r="A966" s="4"/>
      <c r="B966" s="4"/>
      <c r="C966" s="4"/>
      <c r="D966" s="4"/>
      <c r="E966" s="4"/>
      <c r="F966" s="4"/>
      <c r="G966" s="4"/>
    </row>
    <row r="967">
      <c r="A967" s="4"/>
      <c r="B967" s="4"/>
      <c r="C967" s="4"/>
      <c r="D967" s="4"/>
      <c r="E967" s="4"/>
      <c r="F967" s="4"/>
      <c r="G967" s="4"/>
    </row>
    <row r="968">
      <c r="A968" s="4"/>
      <c r="B968" s="4"/>
      <c r="C968" s="4"/>
      <c r="D968" s="4"/>
      <c r="E968" s="4"/>
      <c r="F968" s="4"/>
      <c r="G968" s="4"/>
    </row>
    <row r="969">
      <c r="A969" s="4"/>
      <c r="B969" s="4"/>
      <c r="C969" s="4"/>
      <c r="D969" s="4"/>
      <c r="E969" s="4"/>
      <c r="F969" s="4"/>
      <c r="G969" s="4"/>
    </row>
    <row r="970">
      <c r="A970" s="4"/>
      <c r="B970" s="4"/>
      <c r="C970" s="4"/>
      <c r="D970" s="4"/>
      <c r="E970" s="4"/>
      <c r="F970" s="4"/>
      <c r="G970" s="4"/>
    </row>
    <row r="971">
      <c r="A971" s="4"/>
      <c r="B971" s="4"/>
      <c r="C971" s="4"/>
      <c r="D971" s="4"/>
      <c r="E971" s="4"/>
      <c r="F971" s="4"/>
      <c r="G971" s="4"/>
    </row>
    <row r="972">
      <c r="A972" s="4"/>
      <c r="B972" s="4"/>
      <c r="C972" s="4"/>
      <c r="D972" s="4"/>
      <c r="E972" s="4"/>
      <c r="F972" s="4"/>
      <c r="G972" s="4"/>
    </row>
    <row r="973">
      <c r="A973" s="4"/>
      <c r="B973" s="4"/>
      <c r="C973" s="4"/>
      <c r="D973" s="4"/>
      <c r="E973" s="4"/>
      <c r="F973" s="4"/>
      <c r="G973" s="4"/>
    </row>
    <row r="974">
      <c r="A974" s="4"/>
      <c r="B974" s="4"/>
      <c r="C974" s="4"/>
      <c r="D974" s="4"/>
      <c r="E974" s="4"/>
      <c r="F974" s="4"/>
      <c r="G974" s="4"/>
    </row>
    <row r="975">
      <c r="A975" s="4"/>
      <c r="B975" s="4"/>
      <c r="C975" s="4"/>
      <c r="D975" s="4"/>
      <c r="E975" s="4"/>
      <c r="F975" s="4"/>
      <c r="G975" s="4"/>
    </row>
    <row r="976">
      <c r="A976" s="4"/>
      <c r="B976" s="4"/>
      <c r="C976" s="4"/>
      <c r="D976" s="4"/>
      <c r="E976" s="4"/>
      <c r="F976" s="4"/>
      <c r="G976" s="4"/>
    </row>
    <row r="977">
      <c r="A977" s="4"/>
      <c r="B977" s="4"/>
      <c r="C977" s="4"/>
      <c r="D977" s="4"/>
      <c r="E977" s="4"/>
      <c r="F977" s="4"/>
      <c r="G977" s="4"/>
    </row>
    <row r="978">
      <c r="A978" s="4"/>
      <c r="B978" s="4"/>
      <c r="C978" s="4"/>
      <c r="D978" s="4"/>
      <c r="E978" s="4"/>
      <c r="F978" s="4"/>
      <c r="G978" s="4"/>
    </row>
    <row r="979">
      <c r="A979" s="4"/>
      <c r="B979" s="4"/>
      <c r="C979" s="4"/>
      <c r="D979" s="4"/>
      <c r="E979" s="4"/>
      <c r="F979" s="4"/>
      <c r="G979" s="4"/>
    </row>
    <row r="980">
      <c r="A980" s="4"/>
      <c r="B980" s="4"/>
      <c r="C980" s="4"/>
      <c r="D980" s="4"/>
      <c r="E980" s="4"/>
      <c r="F980" s="4"/>
      <c r="G980" s="4"/>
    </row>
    <row r="981">
      <c r="A981" s="4"/>
      <c r="B981" s="4"/>
      <c r="C981" s="4"/>
      <c r="D981" s="4"/>
      <c r="E981" s="4"/>
      <c r="F981" s="4"/>
      <c r="G981" s="4"/>
    </row>
    <row r="982">
      <c r="A982" s="4"/>
      <c r="B982" s="4"/>
      <c r="C982" s="4"/>
      <c r="D982" s="4"/>
      <c r="E982" s="4"/>
      <c r="F982" s="4"/>
      <c r="G982" s="4"/>
    </row>
    <row r="983">
      <c r="A983" s="4"/>
      <c r="B983" s="4"/>
      <c r="C983" s="4"/>
      <c r="D983" s="4"/>
      <c r="E983" s="4"/>
      <c r="F983" s="4"/>
      <c r="G983" s="4"/>
    </row>
    <row r="984">
      <c r="A984" s="4"/>
      <c r="B984" s="4"/>
      <c r="C984" s="4"/>
      <c r="D984" s="4"/>
      <c r="E984" s="4"/>
      <c r="F984" s="4"/>
      <c r="G984" s="4"/>
    </row>
    <row r="985">
      <c r="A985" s="4"/>
      <c r="B985" s="4"/>
      <c r="C985" s="4"/>
      <c r="D985" s="4"/>
      <c r="E985" s="4"/>
      <c r="F985" s="4"/>
      <c r="G985" s="4"/>
    </row>
    <row r="986">
      <c r="A986" s="4"/>
      <c r="B986" s="4"/>
      <c r="C986" s="4"/>
      <c r="D986" s="4"/>
      <c r="E986" s="4"/>
      <c r="F986" s="4"/>
      <c r="G986" s="4"/>
    </row>
    <row r="987">
      <c r="A987" s="4"/>
      <c r="B987" s="4"/>
      <c r="C987" s="4"/>
      <c r="D987" s="4"/>
      <c r="E987" s="4"/>
      <c r="F987" s="4"/>
      <c r="G987" s="4"/>
    </row>
    <row r="988">
      <c r="A988" s="4"/>
      <c r="B988" s="4"/>
      <c r="C988" s="4"/>
      <c r="D988" s="4"/>
      <c r="E988" s="4"/>
      <c r="F988" s="4"/>
      <c r="G988" s="4"/>
    </row>
    <row r="989">
      <c r="A989" s="4"/>
      <c r="B989" s="4"/>
      <c r="C989" s="4"/>
      <c r="D989" s="4"/>
      <c r="E989" s="4"/>
      <c r="F989" s="4"/>
      <c r="G989" s="4"/>
    </row>
    <row r="990">
      <c r="A990" s="4"/>
      <c r="B990" s="4"/>
      <c r="C990" s="4"/>
      <c r="D990" s="4"/>
      <c r="E990" s="4"/>
      <c r="F990" s="4"/>
      <c r="G990" s="4"/>
    </row>
    <row r="991">
      <c r="A991" s="4"/>
      <c r="B991" s="4"/>
      <c r="C991" s="4"/>
      <c r="D991" s="4"/>
      <c r="E991" s="4"/>
      <c r="F991" s="4"/>
      <c r="G991" s="4"/>
    </row>
    <row r="992">
      <c r="A992" s="4"/>
      <c r="B992" s="4"/>
      <c r="C992" s="4"/>
      <c r="D992" s="4"/>
      <c r="E992" s="4"/>
      <c r="F992" s="4"/>
      <c r="G992" s="4"/>
    </row>
    <row r="993">
      <c r="A993" s="4"/>
      <c r="B993" s="4"/>
      <c r="C993" s="4"/>
      <c r="D993" s="4"/>
      <c r="E993" s="4"/>
      <c r="F993" s="4"/>
      <c r="G993" s="4"/>
    </row>
    <row r="994">
      <c r="A994" s="4"/>
      <c r="B994" s="4"/>
      <c r="C994" s="4"/>
      <c r="D994" s="4"/>
      <c r="E994" s="4"/>
      <c r="F994" s="4"/>
      <c r="G994" s="4"/>
    </row>
    <row r="995">
      <c r="A995" s="4"/>
      <c r="B995" s="4"/>
      <c r="C995" s="4"/>
      <c r="D995" s="4"/>
      <c r="E995" s="4"/>
      <c r="F995" s="4"/>
      <c r="G995" s="4"/>
    </row>
    <row r="996">
      <c r="A996" s="4"/>
      <c r="B996" s="4"/>
      <c r="C996" s="4"/>
      <c r="D996" s="4"/>
      <c r="E996" s="4"/>
      <c r="F996" s="4"/>
      <c r="G996" s="4"/>
    </row>
    <row r="997">
      <c r="A997" s="4"/>
      <c r="B997" s="4"/>
      <c r="C997" s="4"/>
      <c r="D997" s="4"/>
      <c r="E997" s="4"/>
      <c r="F997" s="4"/>
      <c r="G997" s="4"/>
    </row>
    <row r="998">
      <c r="A998" s="4"/>
      <c r="B998" s="4"/>
      <c r="C998" s="4"/>
      <c r="D998" s="4"/>
      <c r="E998" s="4"/>
      <c r="F998" s="4"/>
      <c r="G998" s="4"/>
    </row>
    <row r="999">
      <c r="A999" s="4"/>
      <c r="B999" s="4"/>
      <c r="C999" s="4"/>
      <c r="D999" s="4"/>
      <c r="E999" s="4"/>
      <c r="F999" s="4"/>
      <c r="G999" s="4"/>
    </row>
    <row r="1000">
      <c r="A1000" s="4"/>
      <c r="B1000" s="4"/>
      <c r="C1000" s="4"/>
      <c r="D1000" s="4"/>
      <c r="E1000" s="4"/>
      <c r="F1000" s="4"/>
      <c r="G1000" s="4"/>
    </row>
  </sheetData>
  <autoFilter ref="$A$2:$G$2"/>
  <mergeCells count="1">
    <mergeCell ref="A1:G1"/>
  </mergeCells>
  <printOptions/>
  <pageMargins bottom="1.0" footer="0.0" header="0.0" left="0.75" right="0.75" top="1.0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4.38"/>
    <col customWidth="1" min="2" max="2" width="28.0"/>
    <col customWidth="1" min="3" max="3" width="7.0"/>
    <col customWidth="1" min="4" max="4" width="15.75"/>
    <col customWidth="1" min="5" max="5" width="14.0"/>
    <col customWidth="1" min="6" max="6" width="21.88"/>
    <col customWidth="1" min="7" max="7" width="26.25"/>
    <col customWidth="1" min="8" max="26" width="7.63"/>
  </cols>
  <sheetData>
    <row r="1" ht="27.75" customHeight="1">
      <c r="A1" s="69" t="s">
        <v>5246</v>
      </c>
      <c r="B1" s="2"/>
      <c r="C1" s="2"/>
      <c r="D1" s="2"/>
      <c r="E1" s="2"/>
      <c r="F1" s="2"/>
      <c r="G1" s="3"/>
    </row>
    <row r="2" ht="19.5" customHeight="1">
      <c r="A2" s="7" t="s">
        <v>3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</row>
    <row r="3">
      <c r="A3" s="9">
        <v>1.0</v>
      </c>
      <c r="B3" s="10" t="s">
        <v>254</v>
      </c>
      <c r="C3" s="10" t="s">
        <v>13</v>
      </c>
      <c r="D3" s="10" t="s">
        <v>13</v>
      </c>
      <c r="E3" s="10" t="s">
        <v>13</v>
      </c>
      <c r="F3" s="10" t="s">
        <v>13</v>
      </c>
      <c r="G3" s="10" t="s">
        <v>13</v>
      </c>
    </row>
    <row r="4">
      <c r="A4" s="9">
        <v>2.0</v>
      </c>
      <c r="B4" s="11" t="s">
        <v>255</v>
      </c>
      <c r="C4" s="11" t="s">
        <v>13</v>
      </c>
      <c r="D4" s="11" t="s">
        <v>13</v>
      </c>
      <c r="E4" s="11" t="s">
        <v>13</v>
      </c>
      <c r="F4" s="11" t="s">
        <v>13</v>
      </c>
      <c r="G4" s="11" t="s">
        <v>13</v>
      </c>
    </row>
    <row r="5">
      <c r="A5" s="9">
        <v>3.0</v>
      </c>
      <c r="B5" s="11" t="s">
        <v>256</v>
      </c>
      <c r="C5" s="11" t="s">
        <v>13</v>
      </c>
      <c r="D5" s="11" t="s">
        <v>13</v>
      </c>
      <c r="E5" s="11" t="s">
        <v>13</v>
      </c>
      <c r="F5" s="11" t="s">
        <v>13</v>
      </c>
      <c r="G5" s="11" t="s">
        <v>13</v>
      </c>
    </row>
    <row r="6">
      <c r="A6" s="9">
        <v>4.0</v>
      </c>
      <c r="B6" s="11" t="s">
        <v>257</v>
      </c>
      <c r="C6" s="11" t="s">
        <v>13</v>
      </c>
      <c r="D6" s="11" t="s">
        <v>13</v>
      </c>
      <c r="E6" s="11" t="s">
        <v>13</v>
      </c>
      <c r="F6" s="11" t="s">
        <v>13</v>
      </c>
      <c r="G6" s="11" t="s">
        <v>13</v>
      </c>
    </row>
    <row r="7">
      <c r="A7" s="9">
        <v>5.0</v>
      </c>
      <c r="B7" s="11" t="s">
        <v>258</v>
      </c>
      <c r="C7" s="11" t="s">
        <v>13</v>
      </c>
      <c r="D7" s="11" t="s">
        <v>13</v>
      </c>
      <c r="E7" s="11" t="s">
        <v>13</v>
      </c>
      <c r="F7" s="11" t="s">
        <v>13</v>
      </c>
      <c r="G7" s="11" t="s">
        <v>13</v>
      </c>
    </row>
    <row r="8">
      <c r="A8" s="9">
        <v>6.0</v>
      </c>
      <c r="B8" s="11" t="s">
        <v>259</v>
      </c>
      <c r="C8" s="11" t="s">
        <v>13</v>
      </c>
      <c r="D8" s="11" t="s">
        <v>13</v>
      </c>
      <c r="E8" s="11" t="s">
        <v>13</v>
      </c>
      <c r="F8" s="11" t="s">
        <v>13</v>
      </c>
      <c r="G8" s="11" t="s">
        <v>13</v>
      </c>
    </row>
    <row r="9">
      <c r="A9" s="9">
        <v>7.0</v>
      </c>
      <c r="B9" s="11" t="s">
        <v>260</v>
      </c>
      <c r="C9" s="11" t="s">
        <v>13</v>
      </c>
      <c r="D9" s="11" t="s">
        <v>13</v>
      </c>
      <c r="E9" s="11" t="s">
        <v>13</v>
      </c>
      <c r="F9" s="11" t="s">
        <v>13</v>
      </c>
      <c r="G9" s="11" t="s">
        <v>13</v>
      </c>
    </row>
    <row r="10">
      <c r="A10" s="9">
        <v>8.0</v>
      </c>
      <c r="B10" s="11" t="s">
        <v>261</v>
      </c>
      <c r="C10" s="11" t="s">
        <v>13</v>
      </c>
      <c r="D10" s="11" t="s">
        <v>13</v>
      </c>
      <c r="E10" s="11" t="s">
        <v>13</v>
      </c>
      <c r="F10" s="11" t="s">
        <v>13</v>
      </c>
      <c r="G10" s="11" t="s">
        <v>13</v>
      </c>
    </row>
    <row r="11">
      <c r="A11" s="9">
        <v>9.0</v>
      </c>
      <c r="B11" s="11" t="s">
        <v>262</v>
      </c>
      <c r="C11" s="11" t="s">
        <v>13</v>
      </c>
      <c r="D11" s="11" t="s">
        <v>13</v>
      </c>
      <c r="E11" s="11" t="s">
        <v>13</v>
      </c>
      <c r="F11" s="11" t="s">
        <v>13</v>
      </c>
      <c r="G11" s="11" t="s">
        <v>13</v>
      </c>
    </row>
    <row r="12">
      <c r="A12" s="9">
        <v>10.0</v>
      </c>
      <c r="B12" s="11" t="s">
        <v>263</v>
      </c>
      <c r="C12" s="11" t="s">
        <v>13</v>
      </c>
      <c r="D12" s="11" t="s">
        <v>13</v>
      </c>
      <c r="E12" s="11" t="s">
        <v>13</v>
      </c>
      <c r="F12" s="11" t="s">
        <v>13</v>
      </c>
      <c r="G12" s="11" t="s">
        <v>13</v>
      </c>
    </row>
    <row r="13">
      <c r="A13" s="9">
        <v>11.0</v>
      </c>
      <c r="B13" s="11" t="s">
        <v>264</v>
      </c>
      <c r="C13" s="11" t="s">
        <v>13</v>
      </c>
      <c r="D13" s="11" t="s">
        <v>13</v>
      </c>
      <c r="E13" s="11" t="s">
        <v>13</v>
      </c>
      <c r="F13" s="11" t="s">
        <v>13</v>
      </c>
      <c r="G13" s="11" t="s">
        <v>13</v>
      </c>
    </row>
    <row r="14">
      <c r="A14" s="9">
        <v>12.0</v>
      </c>
      <c r="B14" s="11" t="s">
        <v>265</v>
      </c>
      <c r="C14" s="11" t="s">
        <v>13</v>
      </c>
      <c r="D14" s="11" t="s">
        <v>13</v>
      </c>
      <c r="E14" s="11" t="s">
        <v>13</v>
      </c>
      <c r="F14" s="11" t="s">
        <v>13</v>
      </c>
      <c r="G14" s="11" t="s">
        <v>13</v>
      </c>
    </row>
    <row r="15">
      <c r="A15" s="9">
        <v>13.0</v>
      </c>
      <c r="B15" s="11" t="s">
        <v>266</v>
      </c>
      <c r="C15" s="11" t="s">
        <v>13</v>
      </c>
      <c r="D15" s="11" t="s">
        <v>13</v>
      </c>
      <c r="E15" s="11" t="s">
        <v>13</v>
      </c>
      <c r="F15" s="11" t="s">
        <v>13</v>
      </c>
      <c r="G15" s="11" t="s">
        <v>13</v>
      </c>
    </row>
    <row r="16">
      <c r="A16" s="9">
        <v>14.0</v>
      </c>
      <c r="B16" s="11" t="s">
        <v>267</v>
      </c>
      <c r="C16" s="11" t="s">
        <v>13</v>
      </c>
      <c r="D16" s="11" t="s">
        <v>13</v>
      </c>
      <c r="E16" s="11" t="s">
        <v>13</v>
      </c>
      <c r="F16" s="11" t="s">
        <v>13</v>
      </c>
      <c r="G16" s="11" t="s">
        <v>13</v>
      </c>
    </row>
    <row r="17">
      <c r="A17" s="9">
        <v>15.0</v>
      </c>
      <c r="B17" s="11" t="s">
        <v>268</v>
      </c>
      <c r="C17" s="11" t="s">
        <v>13</v>
      </c>
      <c r="D17" s="11" t="s">
        <v>13</v>
      </c>
      <c r="E17" s="11" t="s">
        <v>13</v>
      </c>
      <c r="F17" s="11" t="s">
        <v>13</v>
      </c>
      <c r="G17" s="11" t="s">
        <v>13</v>
      </c>
    </row>
    <row r="18">
      <c r="A18" s="9">
        <v>16.0</v>
      </c>
      <c r="B18" s="11" t="s">
        <v>268</v>
      </c>
      <c r="C18" s="11" t="s">
        <v>13</v>
      </c>
      <c r="D18" s="11" t="s">
        <v>13</v>
      </c>
      <c r="E18" s="11" t="s">
        <v>13</v>
      </c>
      <c r="F18" s="11" t="s">
        <v>13</v>
      </c>
      <c r="G18" s="11" t="s">
        <v>13</v>
      </c>
    </row>
    <row r="19">
      <c r="A19" s="9">
        <v>17.0</v>
      </c>
      <c r="B19" s="11" t="s">
        <v>269</v>
      </c>
      <c r="C19" s="11" t="s">
        <v>13</v>
      </c>
      <c r="D19" s="11" t="s">
        <v>13</v>
      </c>
      <c r="E19" s="11" t="s">
        <v>13</v>
      </c>
      <c r="F19" s="11" t="s">
        <v>13</v>
      </c>
      <c r="G19" s="11" t="s">
        <v>13</v>
      </c>
    </row>
    <row r="20">
      <c r="A20" s="9">
        <v>18.0</v>
      </c>
      <c r="B20" s="11" t="s">
        <v>270</v>
      </c>
      <c r="C20" s="11" t="s">
        <v>13</v>
      </c>
      <c r="D20" s="11" t="s">
        <v>13</v>
      </c>
      <c r="E20" s="11" t="s">
        <v>13</v>
      </c>
      <c r="F20" s="11" t="s">
        <v>13</v>
      </c>
      <c r="G20" s="11" t="s">
        <v>13</v>
      </c>
    </row>
    <row r="21">
      <c r="A21" s="9">
        <v>19.0</v>
      </c>
      <c r="B21" s="11" t="s">
        <v>271</v>
      </c>
      <c r="C21" s="11" t="s">
        <v>13</v>
      </c>
      <c r="D21" s="11" t="s">
        <v>13</v>
      </c>
      <c r="E21" s="11" t="s">
        <v>13</v>
      </c>
      <c r="F21" s="11" t="s">
        <v>13</v>
      </c>
      <c r="G21" s="11" t="s">
        <v>13</v>
      </c>
    </row>
    <row r="22">
      <c r="A22" s="9">
        <v>20.0</v>
      </c>
      <c r="B22" s="11" t="s">
        <v>272</v>
      </c>
      <c r="C22" s="11" t="s">
        <v>13</v>
      </c>
      <c r="D22" s="11" t="s">
        <v>13</v>
      </c>
      <c r="E22" s="11" t="s">
        <v>13</v>
      </c>
      <c r="F22" s="11" t="s">
        <v>13</v>
      </c>
      <c r="G22" s="11" t="s">
        <v>13</v>
      </c>
    </row>
    <row r="23">
      <c r="A23" s="9">
        <v>21.0</v>
      </c>
      <c r="B23" s="11" t="s">
        <v>273</v>
      </c>
      <c r="C23" s="11" t="s">
        <v>13</v>
      </c>
      <c r="D23" s="11" t="s">
        <v>13</v>
      </c>
      <c r="E23" s="11" t="s">
        <v>13</v>
      </c>
      <c r="F23" s="11" t="s">
        <v>13</v>
      </c>
      <c r="G23" s="11" t="s">
        <v>13</v>
      </c>
    </row>
    <row r="24">
      <c r="A24" s="9">
        <v>22.0</v>
      </c>
      <c r="B24" s="11" t="s">
        <v>274</v>
      </c>
      <c r="C24" s="11" t="s">
        <v>13</v>
      </c>
      <c r="D24" s="11" t="s">
        <v>13</v>
      </c>
      <c r="E24" s="11" t="s">
        <v>13</v>
      </c>
      <c r="F24" s="11" t="s">
        <v>13</v>
      </c>
      <c r="G24" s="11" t="s">
        <v>13</v>
      </c>
    </row>
    <row r="25">
      <c r="A25" s="9">
        <v>23.0</v>
      </c>
      <c r="B25" s="11" t="s">
        <v>275</v>
      </c>
      <c r="C25" s="11" t="s">
        <v>13</v>
      </c>
      <c r="D25" s="11" t="s">
        <v>13</v>
      </c>
      <c r="E25" s="11" t="s">
        <v>13</v>
      </c>
      <c r="F25" s="11" t="s">
        <v>13</v>
      </c>
      <c r="G25" s="11" t="s">
        <v>13</v>
      </c>
    </row>
    <row r="26">
      <c r="A26" s="9">
        <v>24.0</v>
      </c>
      <c r="B26" s="11" t="s">
        <v>276</v>
      </c>
      <c r="C26" s="11" t="s">
        <v>13</v>
      </c>
      <c r="D26" s="11" t="s">
        <v>13</v>
      </c>
      <c r="E26" s="11" t="s">
        <v>13</v>
      </c>
      <c r="F26" s="11" t="s">
        <v>13</v>
      </c>
      <c r="G26" s="11" t="s">
        <v>13</v>
      </c>
    </row>
    <row r="27">
      <c r="A27" s="9">
        <v>25.0</v>
      </c>
      <c r="B27" s="11" t="s">
        <v>277</v>
      </c>
      <c r="C27" s="11" t="s">
        <v>13</v>
      </c>
      <c r="D27" s="11" t="s">
        <v>13</v>
      </c>
      <c r="E27" s="11" t="s">
        <v>13</v>
      </c>
      <c r="F27" s="11" t="s">
        <v>13</v>
      </c>
      <c r="G27" s="11" t="s">
        <v>13</v>
      </c>
    </row>
    <row r="28">
      <c r="A28" s="9">
        <v>26.0</v>
      </c>
      <c r="B28" s="11" t="s">
        <v>278</v>
      </c>
      <c r="C28" s="11" t="s">
        <v>13</v>
      </c>
      <c r="D28" s="11" t="s">
        <v>13</v>
      </c>
      <c r="E28" s="11" t="s">
        <v>13</v>
      </c>
      <c r="F28" s="11" t="s">
        <v>13</v>
      </c>
      <c r="G28" s="11" t="s">
        <v>13</v>
      </c>
    </row>
    <row r="29">
      <c r="A29" s="9">
        <v>27.0</v>
      </c>
      <c r="B29" s="11" t="s">
        <v>279</v>
      </c>
      <c r="C29" s="11" t="s">
        <v>13</v>
      </c>
      <c r="D29" s="11" t="s">
        <v>13</v>
      </c>
      <c r="E29" s="11" t="s">
        <v>13</v>
      </c>
      <c r="F29" s="11" t="s">
        <v>13</v>
      </c>
      <c r="G29" s="11" t="s">
        <v>13</v>
      </c>
    </row>
    <row r="30">
      <c r="A30" s="9">
        <v>28.0</v>
      </c>
      <c r="B30" s="11" t="s">
        <v>280</v>
      </c>
      <c r="C30" s="11" t="s">
        <v>13</v>
      </c>
      <c r="D30" s="11" t="s">
        <v>13</v>
      </c>
      <c r="E30" s="11" t="s">
        <v>13</v>
      </c>
      <c r="F30" s="11" t="s">
        <v>13</v>
      </c>
      <c r="G30" s="11" t="s">
        <v>13</v>
      </c>
    </row>
    <row r="31">
      <c r="A31" s="9">
        <v>29.0</v>
      </c>
      <c r="B31" s="11" t="s">
        <v>281</v>
      </c>
      <c r="C31" s="11" t="s">
        <v>13</v>
      </c>
      <c r="D31" s="11" t="s">
        <v>13</v>
      </c>
      <c r="E31" s="11" t="s">
        <v>13</v>
      </c>
      <c r="F31" s="11" t="s">
        <v>13</v>
      </c>
      <c r="G31" s="11" t="s">
        <v>13</v>
      </c>
    </row>
    <row r="32">
      <c r="A32" s="9">
        <v>30.0</v>
      </c>
      <c r="B32" s="11" t="s">
        <v>282</v>
      </c>
      <c r="C32" s="11" t="s">
        <v>13</v>
      </c>
      <c r="D32" s="11" t="s">
        <v>13</v>
      </c>
      <c r="E32" s="11" t="s">
        <v>13</v>
      </c>
      <c r="F32" s="11" t="s">
        <v>13</v>
      </c>
      <c r="G32" s="11" t="s">
        <v>13</v>
      </c>
    </row>
    <row r="33">
      <c r="A33" s="9">
        <v>31.0</v>
      </c>
      <c r="B33" s="11" t="s">
        <v>283</v>
      </c>
      <c r="C33" s="11" t="s">
        <v>13</v>
      </c>
      <c r="D33" s="11" t="s">
        <v>13</v>
      </c>
      <c r="E33" s="11" t="s">
        <v>13</v>
      </c>
      <c r="F33" s="11" t="s">
        <v>13</v>
      </c>
      <c r="G33" s="11" t="s">
        <v>13</v>
      </c>
    </row>
    <row r="34">
      <c r="A34" s="9">
        <v>32.0</v>
      </c>
      <c r="B34" s="11" t="s">
        <v>284</v>
      </c>
      <c r="C34" s="11" t="s">
        <v>13</v>
      </c>
      <c r="D34" s="11" t="s">
        <v>13</v>
      </c>
      <c r="E34" s="11" t="s">
        <v>13</v>
      </c>
      <c r="F34" s="11" t="s">
        <v>13</v>
      </c>
      <c r="G34" s="11" t="s">
        <v>13</v>
      </c>
    </row>
    <row r="35">
      <c r="A35" s="9">
        <v>33.0</v>
      </c>
      <c r="B35" s="11" t="s">
        <v>285</v>
      </c>
      <c r="C35" s="11" t="s">
        <v>13</v>
      </c>
      <c r="D35" s="11" t="s">
        <v>13</v>
      </c>
      <c r="E35" s="11" t="s">
        <v>13</v>
      </c>
      <c r="F35" s="11" t="s">
        <v>13</v>
      </c>
      <c r="G35" s="11" t="s">
        <v>13</v>
      </c>
    </row>
    <row r="36">
      <c r="A36" s="9">
        <v>34.0</v>
      </c>
      <c r="B36" s="11" t="s">
        <v>286</v>
      </c>
      <c r="C36" s="11" t="s">
        <v>13</v>
      </c>
      <c r="D36" s="11" t="s">
        <v>13</v>
      </c>
      <c r="E36" s="11" t="s">
        <v>13</v>
      </c>
      <c r="F36" s="11" t="s">
        <v>13</v>
      </c>
      <c r="G36" s="11" t="s">
        <v>13</v>
      </c>
    </row>
    <row r="37">
      <c r="A37" s="9">
        <v>35.0</v>
      </c>
      <c r="B37" s="11" t="s">
        <v>287</v>
      </c>
      <c r="C37" s="11" t="s">
        <v>13</v>
      </c>
      <c r="D37" s="11" t="s">
        <v>13</v>
      </c>
      <c r="E37" s="11" t="s">
        <v>13</v>
      </c>
      <c r="F37" s="11" t="s">
        <v>13</v>
      </c>
      <c r="G37" s="11" t="s">
        <v>13</v>
      </c>
    </row>
    <row r="38">
      <c r="A38" s="9">
        <v>36.0</v>
      </c>
      <c r="B38" s="11" t="s">
        <v>288</v>
      </c>
      <c r="C38" s="11" t="s">
        <v>13</v>
      </c>
      <c r="D38" s="11" t="s">
        <v>13</v>
      </c>
      <c r="E38" s="11" t="s">
        <v>13</v>
      </c>
      <c r="F38" s="11" t="s">
        <v>13</v>
      </c>
      <c r="G38" s="11" t="s">
        <v>13</v>
      </c>
    </row>
    <row r="39">
      <c r="A39" s="4"/>
      <c r="B39" s="4"/>
      <c r="C39" s="4"/>
      <c r="D39" s="4"/>
      <c r="E39" s="4"/>
      <c r="F39" s="4"/>
      <c r="G39" s="4"/>
    </row>
    <row r="40">
      <c r="A40" s="4"/>
      <c r="B40" s="4"/>
      <c r="C40" s="4"/>
      <c r="D40" s="4"/>
      <c r="E40" s="4"/>
      <c r="F40" s="4"/>
      <c r="G40" s="4"/>
    </row>
    <row r="41">
      <c r="A41" s="4"/>
      <c r="B41" s="4"/>
      <c r="C41" s="4"/>
      <c r="D41" s="4"/>
      <c r="E41" s="4"/>
      <c r="F41" s="4"/>
      <c r="G41" s="4"/>
    </row>
    <row r="42">
      <c r="A42" s="4"/>
      <c r="B42" s="4"/>
      <c r="C42" s="4"/>
      <c r="D42" s="4"/>
      <c r="E42" s="4"/>
      <c r="F42" s="4"/>
      <c r="G42" s="4"/>
    </row>
    <row r="43">
      <c r="A43" s="4"/>
      <c r="B43" s="4"/>
      <c r="C43" s="4"/>
      <c r="D43" s="4"/>
      <c r="E43" s="4"/>
      <c r="F43" s="4"/>
      <c r="G43" s="4"/>
    </row>
    <row r="44">
      <c r="A44" s="4"/>
      <c r="B44" s="4"/>
      <c r="C44" s="4"/>
      <c r="D44" s="4"/>
      <c r="E44" s="4"/>
      <c r="F44" s="4"/>
      <c r="G44" s="4"/>
    </row>
    <row r="45">
      <c r="A45" s="4"/>
      <c r="B45" s="4"/>
      <c r="C45" s="4"/>
      <c r="D45" s="4"/>
      <c r="E45" s="4"/>
      <c r="F45" s="4"/>
      <c r="G45" s="4"/>
    </row>
    <row r="46">
      <c r="A46" s="4"/>
      <c r="B46" s="4"/>
      <c r="C46" s="4"/>
      <c r="D46" s="4"/>
      <c r="E46" s="4"/>
      <c r="F46" s="4"/>
      <c r="G46" s="4"/>
    </row>
    <row r="47">
      <c r="A47" s="4"/>
      <c r="B47" s="4"/>
      <c r="C47" s="4"/>
      <c r="D47" s="4"/>
      <c r="E47" s="4"/>
      <c r="F47" s="4"/>
      <c r="G47" s="4"/>
    </row>
    <row r="48">
      <c r="A48" s="4"/>
      <c r="B48" s="4"/>
      <c r="C48" s="4"/>
      <c r="D48" s="4"/>
      <c r="E48" s="4"/>
      <c r="F48" s="4"/>
      <c r="G48" s="4"/>
    </row>
    <row r="49">
      <c r="A49" s="4"/>
      <c r="B49" s="4"/>
      <c r="C49" s="4"/>
      <c r="D49" s="4"/>
      <c r="E49" s="4"/>
      <c r="F49" s="4"/>
      <c r="G49" s="4"/>
    </row>
    <row r="50">
      <c r="A50" s="4"/>
      <c r="B50" s="4"/>
      <c r="C50" s="4"/>
      <c r="D50" s="4"/>
      <c r="E50" s="4"/>
      <c r="F50" s="4"/>
      <c r="G50" s="4"/>
    </row>
    <row r="51">
      <c r="A51" s="4"/>
      <c r="B51" s="4"/>
      <c r="C51" s="4"/>
      <c r="D51" s="4"/>
      <c r="E51" s="4"/>
      <c r="F51" s="4"/>
      <c r="G51" s="4"/>
    </row>
    <row r="52">
      <c r="A52" s="4"/>
      <c r="B52" s="4"/>
      <c r="C52" s="4"/>
      <c r="D52" s="4"/>
      <c r="E52" s="4"/>
      <c r="F52" s="4"/>
      <c r="G52" s="4"/>
    </row>
    <row r="53">
      <c r="A53" s="4"/>
      <c r="B53" s="4"/>
      <c r="C53" s="4"/>
      <c r="D53" s="4"/>
      <c r="E53" s="4"/>
      <c r="F53" s="4"/>
      <c r="G53" s="4"/>
    </row>
    <row r="54">
      <c r="A54" s="4"/>
      <c r="B54" s="4"/>
      <c r="C54" s="4"/>
      <c r="D54" s="4"/>
      <c r="E54" s="4"/>
      <c r="F54" s="4"/>
      <c r="G54" s="4"/>
    </row>
    <row r="55">
      <c r="A55" s="4"/>
      <c r="B55" s="4"/>
      <c r="C55" s="4"/>
      <c r="D55" s="4"/>
      <c r="E55" s="4"/>
      <c r="F55" s="4"/>
      <c r="G55" s="4"/>
    </row>
    <row r="56">
      <c r="A56" s="4"/>
      <c r="B56" s="4"/>
      <c r="C56" s="4"/>
      <c r="D56" s="4"/>
      <c r="E56" s="4"/>
      <c r="F56" s="4"/>
      <c r="G56" s="4"/>
    </row>
    <row r="57">
      <c r="A57" s="4"/>
      <c r="B57" s="4"/>
      <c r="C57" s="4"/>
      <c r="D57" s="4"/>
      <c r="E57" s="4"/>
      <c r="F57" s="4"/>
      <c r="G57" s="4"/>
    </row>
    <row r="58">
      <c r="A58" s="4"/>
      <c r="B58" s="4"/>
      <c r="C58" s="4"/>
      <c r="D58" s="4"/>
      <c r="E58" s="4"/>
      <c r="F58" s="4"/>
      <c r="G58" s="4"/>
    </row>
    <row r="59">
      <c r="A59" s="4"/>
      <c r="B59" s="4"/>
      <c r="C59" s="4"/>
      <c r="D59" s="4"/>
      <c r="E59" s="4"/>
      <c r="F59" s="4"/>
      <c r="G59" s="4"/>
    </row>
    <row r="60">
      <c r="A60" s="4"/>
      <c r="B60" s="4"/>
      <c r="C60" s="4"/>
      <c r="D60" s="4"/>
      <c r="E60" s="4"/>
      <c r="F60" s="4"/>
      <c r="G60" s="4"/>
    </row>
    <row r="61">
      <c r="A61" s="4"/>
      <c r="B61" s="4"/>
      <c r="C61" s="4"/>
      <c r="D61" s="4"/>
      <c r="E61" s="4"/>
      <c r="F61" s="4"/>
      <c r="G61" s="4"/>
    </row>
    <row r="62">
      <c r="A62" s="4"/>
      <c r="B62" s="4"/>
      <c r="C62" s="4"/>
      <c r="D62" s="4"/>
      <c r="E62" s="4"/>
      <c r="F62" s="4"/>
      <c r="G62" s="4"/>
    </row>
    <row r="63">
      <c r="A63" s="4"/>
      <c r="B63" s="4"/>
      <c r="C63" s="4"/>
      <c r="D63" s="4"/>
      <c r="E63" s="4"/>
      <c r="F63" s="4"/>
      <c r="G63" s="4"/>
    </row>
    <row r="64">
      <c r="A64" s="4"/>
      <c r="B64" s="4"/>
      <c r="C64" s="4"/>
      <c r="D64" s="4"/>
      <c r="E64" s="4"/>
      <c r="F64" s="4"/>
      <c r="G64" s="4"/>
    </row>
    <row r="65">
      <c r="A65" s="4"/>
      <c r="B65" s="4"/>
      <c r="C65" s="4"/>
      <c r="D65" s="4"/>
      <c r="E65" s="4"/>
      <c r="F65" s="4"/>
      <c r="G65" s="4"/>
    </row>
    <row r="66">
      <c r="A66" s="4"/>
      <c r="B66" s="4"/>
      <c r="C66" s="4"/>
      <c r="D66" s="4"/>
      <c r="E66" s="4"/>
      <c r="F66" s="4"/>
      <c r="G66" s="4"/>
    </row>
    <row r="67">
      <c r="A67" s="4"/>
      <c r="B67" s="4"/>
      <c r="C67" s="4"/>
      <c r="D67" s="4"/>
      <c r="E67" s="4"/>
      <c r="F67" s="4"/>
      <c r="G67" s="4"/>
    </row>
    <row r="68">
      <c r="A68" s="4"/>
      <c r="B68" s="4"/>
      <c r="C68" s="4"/>
      <c r="D68" s="4"/>
      <c r="E68" s="4"/>
      <c r="F68" s="4"/>
      <c r="G68" s="4"/>
    </row>
    <row r="69">
      <c r="A69" s="4"/>
      <c r="B69" s="4"/>
      <c r="C69" s="4"/>
      <c r="D69" s="4"/>
      <c r="E69" s="4"/>
      <c r="F69" s="4"/>
      <c r="G69" s="4"/>
    </row>
    <row r="70">
      <c r="A70" s="4"/>
      <c r="B70" s="4"/>
      <c r="C70" s="4"/>
      <c r="D70" s="4"/>
      <c r="E70" s="4"/>
      <c r="F70" s="4"/>
      <c r="G70" s="4"/>
    </row>
    <row r="71">
      <c r="A71" s="4"/>
      <c r="B71" s="4"/>
      <c r="C71" s="4"/>
      <c r="D71" s="4"/>
      <c r="E71" s="4"/>
      <c r="F71" s="4"/>
      <c r="G71" s="4"/>
    </row>
    <row r="72">
      <c r="A72" s="4"/>
      <c r="B72" s="4"/>
      <c r="C72" s="4"/>
      <c r="D72" s="4"/>
      <c r="E72" s="4"/>
      <c r="F72" s="4"/>
      <c r="G72" s="4"/>
    </row>
    <row r="73">
      <c r="A73" s="4"/>
      <c r="B73" s="4"/>
      <c r="C73" s="4"/>
      <c r="D73" s="4"/>
      <c r="E73" s="4"/>
      <c r="F73" s="4"/>
      <c r="G73" s="4"/>
    </row>
    <row r="74">
      <c r="A74" s="4"/>
      <c r="B74" s="4"/>
      <c r="C74" s="4"/>
      <c r="D74" s="4"/>
      <c r="E74" s="4"/>
      <c r="F74" s="4"/>
      <c r="G74" s="4"/>
    </row>
    <row r="75">
      <c r="A75" s="4"/>
      <c r="B75" s="4"/>
      <c r="C75" s="4"/>
      <c r="D75" s="4"/>
      <c r="E75" s="4"/>
      <c r="F75" s="4"/>
      <c r="G75" s="4"/>
    </row>
    <row r="76">
      <c r="A76" s="4"/>
      <c r="B76" s="4"/>
      <c r="C76" s="4"/>
      <c r="D76" s="4"/>
      <c r="E76" s="4"/>
      <c r="F76" s="4"/>
      <c r="G76" s="4"/>
    </row>
    <row r="77">
      <c r="A77" s="4"/>
      <c r="B77" s="4"/>
      <c r="C77" s="4"/>
      <c r="D77" s="4"/>
      <c r="E77" s="4"/>
      <c r="F77" s="4"/>
      <c r="G77" s="4"/>
    </row>
    <row r="78">
      <c r="A78" s="4"/>
      <c r="B78" s="4"/>
      <c r="C78" s="4"/>
      <c r="D78" s="4"/>
      <c r="E78" s="4"/>
      <c r="F78" s="4"/>
      <c r="G78" s="4"/>
    </row>
    <row r="79">
      <c r="A79" s="4"/>
      <c r="B79" s="4"/>
      <c r="C79" s="4"/>
      <c r="D79" s="4"/>
      <c r="E79" s="4"/>
      <c r="F79" s="4"/>
      <c r="G79" s="4"/>
    </row>
    <row r="80">
      <c r="A80" s="4"/>
      <c r="B80" s="4"/>
      <c r="C80" s="4"/>
      <c r="D80" s="4"/>
      <c r="E80" s="4"/>
      <c r="F80" s="4"/>
      <c r="G80" s="4"/>
    </row>
    <row r="81">
      <c r="A81" s="4"/>
      <c r="B81" s="4"/>
      <c r="C81" s="4"/>
      <c r="D81" s="4"/>
      <c r="E81" s="4"/>
      <c r="F81" s="4"/>
      <c r="G81" s="4"/>
    </row>
    <row r="82">
      <c r="A82" s="4"/>
      <c r="B82" s="4"/>
      <c r="C82" s="4"/>
      <c r="D82" s="4"/>
      <c r="E82" s="4"/>
      <c r="F82" s="4"/>
      <c r="G82" s="4"/>
    </row>
    <row r="83">
      <c r="A83" s="4"/>
      <c r="B83" s="4"/>
      <c r="C83" s="4"/>
      <c r="D83" s="4"/>
      <c r="E83" s="4"/>
      <c r="F83" s="4"/>
      <c r="G83" s="4"/>
    </row>
    <row r="84">
      <c r="A84" s="4"/>
      <c r="B84" s="4"/>
      <c r="C84" s="4"/>
      <c r="D84" s="4"/>
      <c r="E84" s="4"/>
      <c r="F84" s="4"/>
      <c r="G84" s="4"/>
    </row>
    <row r="85">
      <c r="A85" s="4"/>
      <c r="B85" s="4"/>
      <c r="C85" s="4"/>
      <c r="D85" s="4"/>
      <c r="E85" s="4"/>
      <c r="F85" s="4"/>
      <c r="G85" s="4"/>
    </row>
    <row r="86">
      <c r="A86" s="4"/>
      <c r="B86" s="4"/>
      <c r="C86" s="4"/>
      <c r="D86" s="4"/>
      <c r="E86" s="4"/>
      <c r="F86" s="4"/>
      <c r="G86" s="4"/>
    </row>
    <row r="87">
      <c r="A87" s="4"/>
      <c r="B87" s="4"/>
      <c r="C87" s="4"/>
      <c r="D87" s="4"/>
      <c r="E87" s="4"/>
      <c r="F87" s="4"/>
      <c r="G87" s="4"/>
    </row>
    <row r="88">
      <c r="A88" s="4"/>
      <c r="B88" s="4"/>
      <c r="C88" s="4"/>
      <c r="D88" s="4"/>
      <c r="E88" s="4"/>
      <c r="F88" s="4"/>
      <c r="G88" s="4"/>
    </row>
    <row r="89">
      <c r="A89" s="4"/>
      <c r="B89" s="4"/>
      <c r="C89" s="4"/>
      <c r="D89" s="4"/>
      <c r="E89" s="4"/>
      <c r="F89" s="4"/>
      <c r="G89" s="4"/>
    </row>
    <row r="90">
      <c r="A90" s="4"/>
      <c r="B90" s="4"/>
      <c r="C90" s="4"/>
      <c r="D90" s="4"/>
      <c r="E90" s="4"/>
      <c r="F90" s="4"/>
      <c r="G90" s="4"/>
    </row>
    <row r="91">
      <c r="A91" s="4"/>
      <c r="B91" s="4"/>
      <c r="C91" s="4"/>
      <c r="D91" s="4"/>
      <c r="E91" s="4"/>
      <c r="F91" s="4"/>
      <c r="G91" s="4"/>
    </row>
    <row r="92">
      <c r="A92" s="4"/>
      <c r="B92" s="4"/>
      <c r="C92" s="4"/>
      <c r="D92" s="4"/>
      <c r="E92" s="4"/>
      <c r="F92" s="4"/>
      <c r="G92" s="4"/>
    </row>
    <row r="93">
      <c r="A93" s="4"/>
      <c r="B93" s="4"/>
      <c r="C93" s="4"/>
      <c r="D93" s="4"/>
      <c r="E93" s="4"/>
      <c r="F93" s="4"/>
      <c r="G93" s="4"/>
    </row>
    <row r="94">
      <c r="A94" s="4"/>
      <c r="B94" s="4"/>
      <c r="C94" s="4"/>
      <c r="D94" s="4"/>
      <c r="E94" s="4"/>
      <c r="F94" s="4"/>
      <c r="G94" s="4"/>
    </row>
    <row r="95">
      <c r="A95" s="4"/>
      <c r="B95" s="4"/>
      <c r="C95" s="4"/>
      <c r="D95" s="4"/>
      <c r="E95" s="4"/>
      <c r="F95" s="4"/>
      <c r="G95" s="4"/>
    </row>
    <row r="96">
      <c r="A96" s="4"/>
      <c r="B96" s="4"/>
      <c r="C96" s="4"/>
      <c r="D96" s="4"/>
      <c r="E96" s="4"/>
      <c r="F96" s="4"/>
      <c r="G96" s="4"/>
    </row>
    <row r="97">
      <c r="A97" s="4"/>
      <c r="B97" s="4"/>
      <c r="C97" s="4"/>
      <c r="D97" s="4"/>
      <c r="E97" s="4"/>
      <c r="F97" s="4"/>
      <c r="G97" s="4"/>
    </row>
    <row r="98">
      <c r="A98" s="4"/>
      <c r="B98" s="4"/>
      <c r="C98" s="4"/>
      <c r="D98" s="4"/>
      <c r="E98" s="4"/>
      <c r="F98" s="4"/>
      <c r="G98" s="4"/>
    </row>
    <row r="99">
      <c r="A99" s="4"/>
      <c r="B99" s="4"/>
      <c r="C99" s="4"/>
      <c r="D99" s="4"/>
      <c r="E99" s="4"/>
      <c r="F99" s="4"/>
      <c r="G99" s="4"/>
    </row>
    <row r="100">
      <c r="A100" s="4"/>
      <c r="B100" s="4"/>
      <c r="C100" s="4"/>
      <c r="D100" s="4"/>
      <c r="E100" s="4"/>
      <c r="F100" s="4"/>
      <c r="G100" s="4"/>
    </row>
    <row r="101">
      <c r="A101" s="4"/>
      <c r="B101" s="4"/>
      <c r="C101" s="4"/>
      <c r="D101" s="4"/>
      <c r="E101" s="4"/>
      <c r="F101" s="4"/>
      <c r="G101" s="4"/>
    </row>
    <row r="102">
      <c r="A102" s="4"/>
      <c r="B102" s="4"/>
      <c r="C102" s="4"/>
      <c r="D102" s="4"/>
      <c r="E102" s="4"/>
      <c r="F102" s="4"/>
      <c r="G102" s="4"/>
    </row>
    <row r="103">
      <c r="A103" s="4"/>
      <c r="B103" s="4"/>
      <c r="C103" s="4"/>
      <c r="D103" s="4"/>
      <c r="E103" s="4"/>
      <c r="F103" s="4"/>
      <c r="G103" s="4"/>
    </row>
    <row r="104">
      <c r="A104" s="4"/>
      <c r="B104" s="4"/>
      <c r="C104" s="4"/>
      <c r="D104" s="4"/>
      <c r="E104" s="4"/>
      <c r="F104" s="4"/>
      <c r="G104" s="4"/>
    </row>
    <row r="105">
      <c r="A105" s="4"/>
      <c r="B105" s="4"/>
      <c r="C105" s="4"/>
      <c r="D105" s="4"/>
      <c r="E105" s="4"/>
      <c r="F105" s="4"/>
      <c r="G105" s="4"/>
    </row>
    <row r="106">
      <c r="A106" s="4"/>
      <c r="B106" s="4"/>
      <c r="C106" s="4"/>
      <c r="D106" s="4"/>
      <c r="E106" s="4"/>
      <c r="F106" s="4"/>
      <c r="G106" s="4"/>
    </row>
    <row r="107">
      <c r="A107" s="4"/>
      <c r="B107" s="4"/>
      <c r="C107" s="4"/>
      <c r="D107" s="4"/>
      <c r="E107" s="4"/>
      <c r="F107" s="4"/>
      <c r="G107" s="4"/>
    </row>
    <row r="108">
      <c r="A108" s="4"/>
      <c r="B108" s="4"/>
      <c r="C108" s="4"/>
      <c r="D108" s="4"/>
      <c r="E108" s="4"/>
      <c r="F108" s="4"/>
      <c r="G108" s="4"/>
    </row>
    <row r="109">
      <c r="A109" s="4"/>
      <c r="B109" s="4"/>
      <c r="C109" s="4"/>
      <c r="D109" s="4"/>
      <c r="E109" s="4"/>
      <c r="F109" s="4"/>
      <c r="G109" s="4"/>
    </row>
    <row r="110">
      <c r="A110" s="4"/>
      <c r="B110" s="4"/>
      <c r="C110" s="4"/>
      <c r="D110" s="4"/>
      <c r="E110" s="4"/>
      <c r="F110" s="4"/>
      <c r="G110" s="4"/>
    </row>
    <row r="111">
      <c r="A111" s="4"/>
      <c r="B111" s="4"/>
      <c r="C111" s="4"/>
      <c r="D111" s="4"/>
      <c r="E111" s="4"/>
      <c r="F111" s="4"/>
      <c r="G111" s="4"/>
    </row>
    <row r="112">
      <c r="A112" s="4"/>
      <c r="B112" s="4"/>
      <c r="C112" s="4"/>
      <c r="D112" s="4"/>
      <c r="E112" s="4"/>
      <c r="F112" s="4"/>
      <c r="G112" s="4"/>
    </row>
    <row r="113">
      <c r="A113" s="4"/>
      <c r="B113" s="4"/>
      <c r="C113" s="4"/>
      <c r="D113" s="4"/>
      <c r="E113" s="4"/>
      <c r="F113" s="4"/>
      <c r="G113" s="4"/>
    </row>
    <row r="114">
      <c r="A114" s="4"/>
      <c r="B114" s="4"/>
      <c r="C114" s="4"/>
      <c r="D114" s="4"/>
      <c r="E114" s="4"/>
      <c r="F114" s="4"/>
      <c r="G114" s="4"/>
    </row>
    <row r="115">
      <c r="A115" s="4"/>
      <c r="B115" s="4"/>
      <c r="C115" s="4"/>
      <c r="D115" s="4"/>
      <c r="E115" s="4"/>
      <c r="F115" s="4"/>
      <c r="G115" s="4"/>
    </row>
    <row r="116">
      <c r="A116" s="4"/>
      <c r="B116" s="4"/>
      <c r="C116" s="4"/>
      <c r="D116" s="4"/>
      <c r="E116" s="4"/>
      <c r="F116" s="4"/>
      <c r="G116" s="4"/>
    </row>
    <row r="117">
      <c r="A117" s="4"/>
      <c r="B117" s="4"/>
      <c r="C117" s="4"/>
      <c r="D117" s="4"/>
      <c r="E117" s="4"/>
      <c r="F117" s="4"/>
      <c r="G117" s="4"/>
    </row>
    <row r="118">
      <c r="A118" s="4"/>
      <c r="B118" s="4"/>
      <c r="C118" s="4"/>
      <c r="D118" s="4"/>
      <c r="E118" s="4"/>
      <c r="F118" s="4"/>
      <c r="G118" s="4"/>
    </row>
    <row r="119">
      <c r="A119" s="4"/>
      <c r="B119" s="4"/>
      <c r="C119" s="4"/>
      <c r="D119" s="4"/>
      <c r="E119" s="4"/>
      <c r="F119" s="4"/>
      <c r="G119" s="4"/>
    </row>
    <row r="120">
      <c r="A120" s="4"/>
      <c r="B120" s="4"/>
      <c r="C120" s="4"/>
      <c r="D120" s="4"/>
      <c r="E120" s="4"/>
      <c r="F120" s="4"/>
      <c r="G120" s="4"/>
    </row>
    <row r="121">
      <c r="A121" s="4"/>
      <c r="B121" s="4"/>
      <c r="C121" s="4"/>
      <c r="D121" s="4"/>
      <c r="E121" s="4"/>
      <c r="F121" s="4"/>
      <c r="G121" s="4"/>
    </row>
    <row r="122">
      <c r="A122" s="4"/>
      <c r="B122" s="4"/>
      <c r="C122" s="4"/>
      <c r="D122" s="4"/>
      <c r="E122" s="4"/>
      <c r="F122" s="4"/>
      <c r="G122" s="4"/>
    </row>
    <row r="123">
      <c r="A123" s="4"/>
      <c r="B123" s="4"/>
      <c r="C123" s="4"/>
      <c r="D123" s="4"/>
      <c r="E123" s="4"/>
      <c r="F123" s="4"/>
      <c r="G123" s="4"/>
    </row>
    <row r="124">
      <c r="A124" s="4"/>
      <c r="B124" s="4"/>
      <c r="C124" s="4"/>
      <c r="D124" s="4"/>
      <c r="E124" s="4"/>
      <c r="F124" s="4"/>
      <c r="G124" s="4"/>
    </row>
    <row r="125">
      <c r="A125" s="4"/>
      <c r="B125" s="4"/>
      <c r="C125" s="4"/>
      <c r="D125" s="4"/>
      <c r="E125" s="4"/>
      <c r="F125" s="4"/>
      <c r="G125" s="4"/>
    </row>
    <row r="126">
      <c r="A126" s="4"/>
      <c r="B126" s="4"/>
      <c r="C126" s="4"/>
      <c r="D126" s="4"/>
      <c r="E126" s="4"/>
      <c r="F126" s="4"/>
      <c r="G126" s="4"/>
    </row>
    <row r="127">
      <c r="A127" s="4"/>
      <c r="B127" s="4"/>
      <c r="C127" s="4"/>
      <c r="D127" s="4"/>
      <c r="E127" s="4"/>
      <c r="F127" s="4"/>
      <c r="G127" s="4"/>
    </row>
    <row r="128">
      <c r="A128" s="4"/>
      <c r="B128" s="4"/>
      <c r="C128" s="4"/>
      <c r="D128" s="4"/>
      <c r="E128" s="4"/>
      <c r="F128" s="4"/>
      <c r="G128" s="4"/>
    </row>
    <row r="129">
      <c r="A129" s="4"/>
      <c r="B129" s="4"/>
      <c r="C129" s="4"/>
      <c r="D129" s="4"/>
      <c r="E129" s="4"/>
      <c r="F129" s="4"/>
      <c r="G129" s="4"/>
    </row>
    <row r="130">
      <c r="A130" s="4"/>
      <c r="B130" s="4"/>
      <c r="C130" s="4"/>
      <c r="D130" s="4"/>
      <c r="E130" s="4"/>
      <c r="F130" s="4"/>
      <c r="G130" s="4"/>
    </row>
    <row r="131">
      <c r="A131" s="4"/>
      <c r="B131" s="4"/>
      <c r="C131" s="4"/>
      <c r="D131" s="4"/>
      <c r="E131" s="4"/>
      <c r="F131" s="4"/>
      <c r="G131" s="4"/>
    </row>
    <row r="132">
      <c r="A132" s="4"/>
      <c r="B132" s="4"/>
      <c r="C132" s="4"/>
      <c r="D132" s="4"/>
      <c r="E132" s="4"/>
      <c r="F132" s="4"/>
      <c r="G132" s="4"/>
    </row>
    <row r="133">
      <c r="A133" s="4"/>
      <c r="B133" s="4"/>
      <c r="C133" s="4"/>
      <c r="D133" s="4"/>
      <c r="E133" s="4"/>
      <c r="F133" s="4"/>
      <c r="G133" s="4"/>
    </row>
    <row r="134">
      <c r="A134" s="4"/>
      <c r="B134" s="4"/>
      <c r="C134" s="4"/>
      <c r="D134" s="4"/>
      <c r="E134" s="4"/>
      <c r="F134" s="4"/>
      <c r="G134" s="4"/>
    </row>
    <row r="135">
      <c r="A135" s="4"/>
      <c r="B135" s="4"/>
      <c r="C135" s="4"/>
      <c r="D135" s="4"/>
      <c r="E135" s="4"/>
      <c r="F135" s="4"/>
      <c r="G135" s="4"/>
    </row>
    <row r="136">
      <c r="A136" s="4"/>
      <c r="B136" s="4"/>
      <c r="C136" s="4"/>
      <c r="D136" s="4"/>
      <c r="E136" s="4"/>
      <c r="F136" s="4"/>
      <c r="G136" s="4"/>
    </row>
    <row r="137">
      <c r="A137" s="4"/>
      <c r="B137" s="4"/>
      <c r="C137" s="4"/>
      <c r="D137" s="4"/>
      <c r="E137" s="4"/>
      <c r="F137" s="4"/>
      <c r="G137" s="4"/>
    </row>
    <row r="138">
      <c r="A138" s="4"/>
      <c r="B138" s="4"/>
      <c r="C138" s="4"/>
      <c r="D138" s="4"/>
      <c r="E138" s="4"/>
      <c r="F138" s="4"/>
      <c r="G138" s="4"/>
    </row>
    <row r="139">
      <c r="A139" s="4"/>
      <c r="B139" s="4"/>
      <c r="C139" s="4"/>
      <c r="D139" s="4"/>
      <c r="E139" s="4"/>
      <c r="F139" s="4"/>
      <c r="G139" s="4"/>
    </row>
    <row r="140">
      <c r="A140" s="4"/>
      <c r="B140" s="4"/>
      <c r="C140" s="4"/>
      <c r="D140" s="4"/>
      <c r="E140" s="4"/>
      <c r="F140" s="4"/>
      <c r="G140" s="4"/>
    </row>
    <row r="141">
      <c r="A141" s="4"/>
      <c r="B141" s="4"/>
      <c r="C141" s="4"/>
      <c r="D141" s="4"/>
      <c r="E141" s="4"/>
      <c r="F141" s="4"/>
      <c r="G141" s="4"/>
    </row>
    <row r="142">
      <c r="A142" s="4"/>
      <c r="B142" s="4"/>
      <c r="C142" s="4"/>
      <c r="D142" s="4"/>
      <c r="E142" s="4"/>
      <c r="F142" s="4"/>
      <c r="G142" s="4"/>
    </row>
    <row r="143">
      <c r="A143" s="4"/>
      <c r="B143" s="4"/>
      <c r="C143" s="4"/>
      <c r="D143" s="4"/>
      <c r="E143" s="4"/>
      <c r="F143" s="4"/>
      <c r="G143" s="4"/>
    </row>
    <row r="144">
      <c r="A144" s="4"/>
      <c r="B144" s="4"/>
      <c r="C144" s="4"/>
      <c r="D144" s="4"/>
      <c r="E144" s="4"/>
      <c r="F144" s="4"/>
      <c r="G144" s="4"/>
    </row>
    <row r="145">
      <c r="A145" s="4"/>
      <c r="B145" s="4"/>
      <c r="C145" s="4"/>
      <c r="D145" s="4"/>
      <c r="E145" s="4"/>
      <c r="F145" s="4"/>
      <c r="G145" s="4"/>
    </row>
    <row r="146">
      <c r="A146" s="4"/>
      <c r="B146" s="4"/>
      <c r="C146" s="4"/>
      <c r="D146" s="4"/>
      <c r="E146" s="4"/>
      <c r="F146" s="4"/>
      <c r="G146" s="4"/>
    </row>
    <row r="147">
      <c r="A147" s="4"/>
      <c r="B147" s="4"/>
      <c r="C147" s="4"/>
      <c r="D147" s="4"/>
      <c r="E147" s="4"/>
      <c r="F147" s="4"/>
      <c r="G147" s="4"/>
    </row>
    <row r="148">
      <c r="A148" s="4"/>
      <c r="B148" s="4"/>
      <c r="C148" s="4"/>
      <c r="D148" s="4"/>
      <c r="E148" s="4"/>
      <c r="F148" s="4"/>
      <c r="G148" s="4"/>
    </row>
    <row r="149">
      <c r="A149" s="4"/>
      <c r="B149" s="4"/>
      <c r="C149" s="4"/>
      <c r="D149" s="4"/>
      <c r="E149" s="4"/>
      <c r="F149" s="4"/>
      <c r="G149" s="4"/>
    </row>
    <row r="150">
      <c r="A150" s="4"/>
      <c r="B150" s="4"/>
      <c r="C150" s="4"/>
      <c r="D150" s="4"/>
      <c r="E150" s="4"/>
      <c r="F150" s="4"/>
      <c r="G150" s="4"/>
    </row>
    <row r="151">
      <c r="A151" s="4"/>
      <c r="B151" s="4"/>
      <c r="C151" s="4"/>
      <c r="D151" s="4"/>
      <c r="E151" s="4"/>
      <c r="F151" s="4"/>
      <c r="G151" s="4"/>
    </row>
    <row r="152">
      <c r="A152" s="4"/>
      <c r="B152" s="4"/>
      <c r="C152" s="4"/>
      <c r="D152" s="4"/>
      <c r="E152" s="4"/>
      <c r="F152" s="4"/>
      <c r="G152" s="4"/>
    </row>
    <row r="153">
      <c r="A153" s="4"/>
      <c r="B153" s="4"/>
      <c r="C153" s="4"/>
      <c r="D153" s="4"/>
      <c r="E153" s="4"/>
      <c r="F153" s="4"/>
      <c r="G153" s="4"/>
    </row>
    <row r="154">
      <c r="A154" s="4"/>
      <c r="B154" s="4"/>
      <c r="C154" s="4"/>
      <c r="D154" s="4"/>
      <c r="E154" s="4"/>
      <c r="F154" s="4"/>
      <c r="G154" s="4"/>
    </row>
    <row r="155">
      <c r="A155" s="4"/>
      <c r="B155" s="4"/>
      <c r="C155" s="4"/>
      <c r="D155" s="4"/>
      <c r="E155" s="4"/>
      <c r="F155" s="4"/>
      <c r="G155" s="4"/>
    </row>
    <row r="156">
      <c r="A156" s="4"/>
      <c r="B156" s="4"/>
      <c r="C156" s="4"/>
      <c r="D156" s="4"/>
      <c r="E156" s="4"/>
      <c r="F156" s="4"/>
      <c r="G156" s="4"/>
    </row>
    <row r="157">
      <c r="A157" s="4"/>
      <c r="B157" s="4"/>
      <c r="C157" s="4"/>
      <c r="D157" s="4"/>
      <c r="E157" s="4"/>
      <c r="F157" s="4"/>
      <c r="G157" s="4"/>
    </row>
    <row r="158">
      <c r="A158" s="4"/>
      <c r="B158" s="4"/>
      <c r="C158" s="4"/>
      <c r="D158" s="4"/>
      <c r="E158" s="4"/>
      <c r="F158" s="4"/>
      <c r="G158" s="4"/>
    </row>
    <row r="159">
      <c r="A159" s="4"/>
      <c r="B159" s="4"/>
      <c r="C159" s="4"/>
      <c r="D159" s="4"/>
      <c r="E159" s="4"/>
      <c r="F159" s="4"/>
      <c r="G159" s="4"/>
    </row>
    <row r="160">
      <c r="A160" s="4"/>
      <c r="B160" s="4"/>
      <c r="C160" s="4"/>
      <c r="D160" s="4"/>
      <c r="E160" s="4"/>
      <c r="F160" s="4"/>
      <c r="G160" s="4"/>
    </row>
    <row r="161">
      <c r="A161" s="4"/>
      <c r="B161" s="4"/>
      <c r="C161" s="4"/>
      <c r="D161" s="4"/>
      <c r="E161" s="4"/>
      <c r="F161" s="4"/>
      <c r="G161" s="4"/>
    </row>
    <row r="162">
      <c r="A162" s="4"/>
      <c r="B162" s="4"/>
      <c r="C162" s="4"/>
      <c r="D162" s="4"/>
      <c r="E162" s="4"/>
      <c r="F162" s="4"/>
      <c r="G162" s="4"/>
    </row>
    <row r="163">
      <c r="A163" s="4"/>
      <c r="B163" s="4"/>
      <c r="C163" s="4"/>
      <c r="D163" s="4"/>
      <c r="E163" s="4"/>
      <c r="F163" s="4"/>
      <c r="G163" s="4"/>
    </row>
    <row r="164">
      <c r="A164" s="4"/>
      <c r="B164" s="4"/>
      <c r="C164" s="4"/>
      <c r="D164" s="4"/>
      <c r="E164" s="4"/>
      <c r="F164" s="4"/>
      <c r="G164" s="4"/>
    </row>
    <row r="165">
      <c r="A165" s="4"/>
      <c r="B165" s="4"/>
      <c r="C165" s="4"/>
      <c r="D165" s="4"/>
      <c r="E165" s="4"/>
      <c r="F165" s="4"/>
      <c r="G165" s="4"/>
    </row>
    <row r="166">
      <c r="A166" s="4"/>
      <c r="B166" s="4"/>
      <c r="C166" s="4"/>
      <c r="D166" s="4"/>
      <c r="E166" s="4"/>
      <c r="F166" s="4"/>
      <c r="G166" s="4"/>
    </row>
    <row r="167">
      <c r="A167" s="4"/>
      <c r="B167" s="4"/>
      <c r="C167" s="4"/>
      <c r="D167" s="4"/>
      <c r="E167" s="4"/>
      <c r="F167" s="4"/>
      <c r="G167" s="4"/>
    </row>
    <row r="168">
      <c r="A168" s="4"/>
      <c r="B168" s="4"/>
      <c r="C168" s="4"/>
      <c r="D168" s="4"/>
      <c r="E168" s="4"/>
      <c r="F168" s="4"/>
      <c r="G168" s="4"/>
    </row>
    <row r="169">
      <c r="A169" s="4"/>
      <c r="B169" s="4"/>
      <c r="C169" s="4"/>
      <c r="D169" s="4"/>
      <c r="E169" s="4"/>
      <c r="F169" s="4"/>
      <c r="G169" s="4"/>
    </row>
    <row r="170">
      <c r="A170" s="4"/>
      <c r="B170" s="4"/>
      <c r="C170" s="4"/>
      <c r="D170" s="4"/>
      <c r="E170" s="4"/>
      <c r="F170" s="4"/>
      <c r="G170" s="4"/>
    </row>
    <row r="171">
      <c r="A171" s="4"/>
      <c r="B171" s="4"/>
      <c r="C171" s="4"/>
      <c r="D171" s="4"/>
      <c r="E171" s="4"/>
      <c r="F171" s="4"/>
      <c r="G171" s="4"/>
    </row>
    <row r="172">
      <c r="A172" s="4"/>
      <c r="B172" s="4"/>
      <c r="C172" s="4"/>
      <c r="D172" s="4"/>
      <c r="E172" s="4"/>
      <c r="F172" s="4"/>
      <c r="G172" s="4"/>
    </row>
    <row r="173">
      <c r="A173" s="4"/>
      <c r="B173" s="4"/>
      <c r="C173" s="4"/>
      <c r="D173" s="4"/>
      <c r="E173" s="4"/>
      <c r="F173" s="4"/>
      <c r="G173" s="4"/>
    </row>
    <row r="174">
      <c r="A174" s="4"/>
      <c r="B174" s="4"/>
      <c r="C174" s="4"/>
      <c r="D174" s="4"/>
      <c r="E174" s="4"/>
      <c r="F174" s="4"/>
      <c r="G174" s="4"/>
    </row>
    <row r="175">
      <c r="A175" s="4"/>
      <c r="B175" s="4"/>
      <c r="C175" s="4"/>
      <c r="D175" s="4"/>
      <c r="E175" s="4"/>
      <c r="F175" s="4"/>
      <c r="G175" s="4"/>
    </row>
    <row r="176">
      <c r="A176" s="4"/>
      <c r="B176" s="4"/>
      <c r="C176" s="4"/>
      <c r="D176" s="4"/>
      <c r="E176" s="4"/>
      <c r="F176" s="4"/>
      <c r="G176" s="4"/>
    </row>
    <row r="177">
      <c r="A177" s="4"/>
      <c r="B177" s="4"/>
      <c r="C177" s="4"/>
      <c r="D177" s="4"/>
      <c r="E177" s="4"/>
      <c r="F177" s="4"/>
      <c r="G177" s="4"/>
    </row>
    <row r="178">
      <c r="A178" s="4"/>
      <c r="B178" s="4"/>
      <c r="C178" s="4"/>
      <c r="D178" s="4"/>
      <c r="E178" s="4"/>
      <c r="F178" s="4"/>
      <c r="G178" s="4"/>
    </row>
    <row r="179">
      <c r="A179" s="4"/>
      <c r="B179" s="4"/>
      <c r="C179" s="4"/>
      <c r="D179" s="4"/>
      <c r="E179" s="4"/>
      <c r="F179" s="4"/>
      <c r="G179" s="4"/>
    </row>
    <row r="180">
      <c r="A180" s="4"/>
      <c r="B180" s="4"/>
      <c r="C180" s="4"/>
      <c r="D180" s="4"/>
      <c r="E180" s="4"/>
      <c r="F180" s="4"/>
      <c r="G180" s="4"/>
    </row>
    <row r="181">
      <c r="A181" s="4"/>
      <c r="B181" s="4"/>
      <c r="C181" s="4"/>
      <c r="D181" s="4"/>
      <c r="E181" s="4"/>
      <c r="F181" s="4"/>
      <c r="G181" s="4"/>
    </row>
    <row r="182">
      <c r="A182" s="4"/>
      <c r="B182" s="4"/>
      <c r="C182" s="4"/>
      <c r="D182" s="4"/>
      <c r="E182" s="4"/>
      <c r="F182" s="4"/>
      <c r="G182" s="4"/>
    </row>
    <row r="183">
      <c r="A183" s="4"/>
      <c r="B183" s="4"/>
      <c r="C183" s="4"/>
      <c r="D183" s="4"/>
      <c r="E183" s="4"/>
      <c r="F183" s="4"/>
      <c r="G183" s="4"/>
    </row>
    <row r="184">
      <c r="A184" s="4"/>
      <c r="B184" s="4"/>
      <c r="C184" s="4"/>
      <c r="D184" s="4"/>
      <c r="E184" s="4"/>
      <c r="F184" s="4"/>
      <c r="G184" s="4"/>
    </row>
    <row r="185">
      <c r="A185" s="4"/>
      <c r="B185" s="4"/>
      <c r="C185" s="4"/>
      <c r="D185" s="4"/>
      <c r="E185" s="4"/>
      <c r="F185" s="4"/>
      <c r="G185" s="4"/>
    </row>
    <row r="186">
      <c r="A186" s="4"/>
      <c r="B186" s="4"/>
      <c r="C186" s="4"/>
      <c r="D186" s="4"/>
      <c r="E186" s="4"/>
      <c r="F186" s="4"/>
      <c r="G186" s="4"/>
    </row>
    <row r="187">
      <c r="A187" s="4"/>
      <c r="B187" s="4"/>
      <c r="C187" s="4"/>
      <c r="D187" s="4"/>
      <c r="E187" s="4"/>
      <c r="F187" s="4"/>
      <c r="G187" s="4"/>
    </row>
    <row r="188">
      <c r="A188" s="4"/>
      <c r="B188" s="4"/>
      <c r="C188" s="4"/>
      <c r="D188" s="4"/>
      <c r="E188" s="4"/>
      <c r="F188" s="4"/>
      <c r="G188" s="4"/>
    </row>
    <row r="189">
      <c r="A189" s="4"/>
      <c r="B189" s="4"/>
      <c r="C189" s="4"/>
      <c r="D189" s="4"/>
      <c r="E189" s="4"/>
      <c r="F189" s="4"/>
      <c r="G189" s="4"/>
    </row>
    <row r="190">
      <c r="A190" s="4"/>
      <c r="B190" s="4"/>
      <c r="C190" s="4"/>
      <c r="D190" s="4"/>
      <c r="E190" s="4"/>
      <c r="F190" s="4"/>
      <c r="G190" s="4"/>
    </row>
    <row r="191">
      <c r="A191" s="4"/>
      <c r="B191" s="4"/>
      <c r="C191" s="4"/>
      <c r="D191" s="4"/>
      <c r="E191" s="4"/>
      <c r="F191" s="4"/>
      <c r="G191" s="4"/>
    </row>
    <row r="192">
      <c r="A192" s="4"/>
      <c r="B192" s="4"/>
      <c r="C192" s="4"/>
      <c r="D192" s="4"/>
      <c r="E192" s="4"/>
      <c r="F192" s="4"/>
      <c r="G192" s="4"/>
    </row>
    <row r="193">
      <c r="A193" s="4"/>
      <c r="B193" s="4"/>
      <c r="C193" s="4"/>
      <c r="D193" s="4"/>
      <c r="E193" s="4"/>
      <c r="F193" s="4"/>
      <c r="G193" s="4"/>
    </row>
    <row r="194">
      <c r="A194" s="4"/>
      <c r="B194" s="4"/>
      <c r="C194" s="4"/>
      <c r="D194" s="4"/>
      <c r="E194" s="4"/>
      <c r="F194" s="4"/>
      <c r="G194" s="4"/>
    </row>
    <row r="195">
      <c r="A195" s="4"/>
      <c r="B195" s="4"/>
      <c r="C195" s="4"/>
      <c r="D195" s="4"/>
      <c r="E195" s="4"/>
      <c r="F195" s="4"/>
      <c r="G195" s="4"/>
    </row>
    <row r="196">
      <c r="A196" s="4"/>
      <c r="B196" s="4"/>
      <c r="C196" s="4"/>
      <c r="D196" s="4"/>
      <c r="E196" s="4"/>
      <c r="F196" s="4"/>
      <c r="G196" s="4"/>
    </row>
    <row r="197">
      <c r="A197" s="4"/>
      <c r="B197" s="4"/>
      <c r="C197" s="4"/>
      <c r="D197" s="4"/>
      <c r="E197" s="4"/>
      <c r="F197" s="4"/>
      <c r="G197" s="4"/>
    </row>
    <row r="198">
      <c r="A198" s="4"/>
      <c r="B198" s="4"/>
      <c r="C198" s="4"/>
      <c r="D198" s="4"/>
      <c r="E198" s="4"/>
      <c r="F198" s="4"/>
      <c r="G198" s="4"/>
    </row>
    <row r="199">
      <c r="A199" s="4"/>
      <c r="B199" s="4"/>
      <c r="C199" s="4"/>
      <c r="D199" s="4"/>
      <c r="E199" s="4"/>
      <c r="F199" s="4"/>
      <c r="G199" s="4"/>
    </row>
    <row r="200">
      <c r="A200" s="4"/>
      <c r="B200" s="4"/>
      <c r="C200" s="4"/>
      <c r="D200" s="4"/>
      <c r="E200" s="4"/>
      <c r="F200" s="4"/>
      <c r="G200" s="4"/>
    </row>
    <row r="201">
      <c r="A201" s="4"/>
      <c r="B201" s="4"/>
      <c r="C201" s="4"/>
      <c r="D201" s="4"/>
      <c r="E201" s="4"/>
      <c r="F201" s="4"/>
      <c r="G201" s="4"/>
    </row>
    <row r="202">
      <c r="A202" s="4"/>
      <c r="B202" s="4"/>
      <c r="C202" s="4"/>
      <c r="D202" s="4"/>
      <c r="E202" s="4"/>
      <c r="F202" s="4"/>
      <c r="G202" s="4"/>
    </row>
    <row r="203">
      <c r="A203" s="4"/>
      <c r="B203" s="4"/>
      <c r="C203" s="4"/>
      <c r="D203" s="4"/>
      <c r="E203" s="4"/>
      <c r="F203" s="4"/>
      <c r="G203" s="4"/>
    </row>
    <row r="204">
      <c r="A204" s="4"/>
      <c r="B204" s="4"/>
      <c r="C204" s="4"/>
      <c r="D204" s="4"/>
      <c r="E204" s="4"/>
      <c r="F204" s="4"/>
      <c r="G204" s="4"/>
    </row>
    <row r="205">
      <c r="A205" s="4"/>
      <c r="B205" s="4"/>
      <c r="C205" s="4"/>
      <c r="D205" s="4"/>
      <c r="E205" s="4"/>
      <c r="F205" s="4"/>
      <c r="G205" s="4"/>
    </row>
    <row r="206">
      <c r="A206" s="4"/>
      <c r="B206" s="4"/>
      <c r="C206" s="4"/>
      <c r="D206" s="4"/>
      <c r="E206" s="4"/>
      <c r="F206" s="4"/>
      <c r="G206" s="4"/>
    </row>
    <row r="207">
      <c r="A207" s="4"/>
      <c r="B207" s="4"/>
      <c r="C207" s="4"/>
      <c r="D207" s="4"/>
      <c r="E207" s="4"/>
      <c r="F207" s="4"/>
      <c r="G207" s="4"/>
    </row>
    <row r="208">
      <c r="A208" s="4"/>
      <c r="B208" s="4"/>
      <c r="C208" s="4"/>
      <c r="D208" s="4"/>
      <c r="E208" s="4"/>
      <c r="F208" s="4"/>
      <c r="G208" s="4"/>
    </row>
    <row r="209">
      <c r="A209" s="4"/>
      <c r="B209" s="4"/>
      <c r="C209" s="4"/>
      <c r="D209" s="4"/>
      <c r="E209" s="4"/>
      <c r="F209" s="4"/>
      <c r="G209" s="4"/>
    </row>
    <row r="210">
      <c r="A210" s="4"/>
      <c r="B210" s="4"/>
      <c r="C210" s="4"/>
      <c r="D210" s="4"/>
      <c r="E210" s="4"/>
      <c r="F210" s="4"/>
      <c r="G210" s="4"/>
    </row>
    <row r="211">
      <c r="A211" s="4"/>
      <c r="B211" s="4"/>
      <c r="C211" s="4"/>
      <c r="D211" s="4"/>
      <c r="E211" s="4"/>
      <c r="F211" s="4"/>
      <c r="G211" s="4"/>
    </row>
    <row r="212">
      <c r="A212" s="4"/>
      <c r="B212" s="4"/>
      <c r="C212" s="4"/>
      <c r="D212" s="4"/>
      <c r="E212" s="4"/>
      <c r="F212" s="4"/>
      <c r="G212" s="4"/>
    </row>
    <row r="213">
      <c r="A213" s="4"/>
      <c r="B213" s="4"/>
      <c r="C213" s="4"/>
      <c r="D213" s="4"/>
      <c r="E213" s="4"/>
      <c r="F213" s="4"/>
      <c r="G213" s="4"/>
    </row>
    <row r="214">
      <c r="A214" s="4"/>
      <c r="B214" s="4"/>
      <c r="C214" s="4"/>
      <c r="D214" s="4"/>
      <c r="E214" s="4"/>
      <c r="F214" s="4"/>
      <c r="G214" s="4"/>
    </row>
    <row r="215">
      <c r="A215" s="4"/>
      <c r="B215" s="4"/>
      <c r="C215" s="4"/>
      <c r="D215" s="4"/>
      <c r="E215" s="4"/>
      <c r="F215" s="4"/>
      <c r="G215" s="4"/>
    </row>
    <row r="216">
      <c r="A216" s="4"/>
      <c r="B216" s="4"/>
      <c r="C216" s="4"/>
      <c r="D216" s="4"/>
      <c r="E216" s="4"/>
      <c r="F216" s="4"/>
      <c r="G216" s="4"/>
    </row>
    <row r="217">
      <c r="A217" s="4"/>
      <c r="B217" s="4"/>
      <c r="C217" s="4"/>
      <c r="D217" s="4"/>
      <c r="E217" s="4"/>
      <c r="F217" s="4"/>
      <c r="G217" s="4"/>
    </row>
    <row r="218">
      <c r="A218" s="4"/>
      <c r="B218" s="4"/>
      <c r="C218" s="4"/>
      <c r="D218" s="4"/>
      <c r="E218" s="4"/>
      <c r="F218" s="4"/>
      <c r="G218" s="4"/>
    </row>
    <row r="219">
      <c r="A219" s="4"/>
      <c r="B219" s="4"/>
      <c r="C219" s="4"/>
      <c r="D219" s="4"/>
      <c r="E219" s="4"/>
      <c r="F219" s="4"/>
      <c r="G219" s="4"/>
    </row>
    <row r="220">
      <c r="A220" s="4"/>
      <c r="B220" s="4"/>
      <c r="C220" s="4"/>
      <c r="D220" s="4"/>
      <c r="E220" s="4"/>
      <c r="F220" s="4"/>
      <c r="G220" s="4"/>
    </row>
    <row r="221">
      <c r="A221" s="4"/>
      <c r="B221" s="4"/>
      <c r="C221" s="4"/>
      <c r="D221" s="4"/>
      <c r="E221" s="4"/>
      <c r="F221" s="4"/>
      <c r="G221" s="4"/>
    </row>
    <row r="222">
      <c r="A222" s="4"/>
      <c r="B222" s="4"/>
      <c r="C222" s="4"/>
      <c r="D222" s="4"/>
      <c r="E222" s="4"/>
      <c r="F222" s="4"/>
      <c r="G222" s="4"/>
    </row>
    <row r="223">
      <c r="A223" s="4"/>
      <c r="B223" s="4"/>
      <c r="C223" s="4"/>
      <c r="D223" s="4"/>
      <c r="E223" s="4"/>
      <c r="F223" s="4"/>
      <c r="G223" s="4"/>
    </row>
    <row r="224">
      <c r="A224" s="4"/>
      <c r="B224" s="4"/>
      <c r="C224" s="4"/>
      <c r="D224" s="4"/>
      <c r="E224" s="4"/>
      <c r="F224" s="4"/>
      <c r="G224" s="4"/>
    </row>
    <row r="225">
      <c r="A225" s="4"/>
      <c r="B225" s="4"/>
      <c r="C225" s="4"/>
      <c r="D225" s="4"/>
      <c r="E225" s="4"/>
      <c r="F225" s="4"/>
      <c r="G225" s="4"/>
    </row>
    <row r="226">
      <c r="A226" s="4"/>
      <c r="B226" s="4"/>
      <c r="C226" s="4"/>
      <c r="D226" s="4"/>
      <c r="E226" s="4"/>
      <c r="F226" s="4"/>
      <c r="G226" s="4"/>
    </row>
    <row r="227">
      <c r="A227" s="4"/>
      <c r="B227" s="4"/>
      <c r="C227" s="4"/>
      <c r="D227" s="4"/>
      <c r="E227" s="4"/>
      <c r="F227" s="4"/>
      <c r="G227" s="4"/>
    </row>
    <row r="228">
      <c r="A228" s="4"/>
      <c r="B228" s="4"/>
      <c r="C228" s="4"/>
      <c r="D228" s="4"/>
      <c r="E228" s="4"/>
      <c r="F228" s="4"/>
      <c r="G228" s="4"/>
    </row>
    <row r="229">
      <c r="A229" s="4"/>
      <c r="B229" s="4"/>
      <c r="C229" s="4"/>
      <c r="D229" s="4"/>
      <c r="E229" s="4"/>
      <c r="F229" s="4"/>
      <c r="G229" s="4"/>
    </row>
    <row r="230">
      <c r="A230" s="4"/>
      <c r="B230" s="4"/>
      <c r="C230" s="4"/>
      <c r="D230" s="4"/>
      <c r="E230" s="4"/>
      <c r="F230" s="4"/>
      <c r="G230" s="4"/>
    </row>
    <row r="231">
      <c r="A231" s="4"/>
      <c r="B231" s="4"/>
      <c r="C231" s="4"/>
      <c r="D231" s="4"/>
      <c r="E231" s="4"/>
      <c r="F231" s="4"/>
      <c r="G231" s="4"/>
    </row>
    <row r="232">
      <c r="A232" s="4"/>
      <c r="B232" s="4"/>
      <c r="C232" s="4"/>
      <c r="D232" s="4"/>
      <c r="E232" s="4"/>
      <c r="F232" s="4"/>
      <c r="G232" s="4"/>
    </row>
    <row r="233">
      <c r="A233" s="4"/>
      <c r="B233" s="4"/>
      <c r="C233" s="4"/>
      <c r="D233" s="4"/>
      <c r="E233" s="4"/>
      <c r="F233" s="4"/>
      <c r="G233" s="4"/>
    </row>
    <row r="234">
      <c r="A234" s="4"/>
      <c r="B234" s="4"/>
      <c r="C234" s="4"/>
      <c r="D234" s="4"/>
      <c r="E234" s="4"/>
      <c r="F234" s="4"/>
      <c r="G234" s="4"/>
    </row>
    <row r="235">
      <c r="A235" s="4"/>
      <c r="B235" s="4"/>
      <c r="C235" s="4"/>
      <c r="D235" s="4"/>
      <c r="E235" s="4"/>
      <c r="F235" s="4"/>
      <c r="G235" s="4"/>
    </row>
    <row r="236">
      <c r="A236" s="4"/>
      <c r="B236" s="4"/>
      <c r="C236" s="4"/>
      <c r="D236" s="4"/>
      <c r="E236" s="4"/>
      <c r="F236" s="4"/>
      <c r="G236" s="4"/>
    </row>
    <row r="237">
      <c r="A237" s="4"/>
      <c r="B237" s="4"/>
      <c r="C237" s="4"/>
      <c r="D237" s="4"/>
      <c r="E237" s="4"/>
      <c r="F237" s="4"/>
      <c r="G237" s="4"/>
    </row>
    <row r="238">
      <c r="A238" s="4"/>
      <c r="B238" s="4"/>
      <c r="C238" s="4"/>
      <c r="D238" s="4"/>
      <c r="E238" s="4"/>
      <c r="F238" s="4"/>
      <c r="G238" s="4"/>
    </row>
    <row r="239">
      <c r="A239" s="4"/>
      <c r="B239" s="4"/>
      <c r="C239" s="4"/>
      <c r="D239" s="4"/>
      <c r="E239" s="4"/>
      <c r="F239" s="4"/>
      <c r="G239" s="4"/>
    </row>
    <row r="240">
      <c r="A240" s="4"/>
      <c r="B240" s="4"/>
      <c r="C240" s="4"/>
      <c r="D240" s="4"/>
      <c r="E240" s="4"/>
      <c r="F240" s="4"/>
      <c r="G240" s="4"/>
    </row>
    <row r="241">
      <c r="A241" s="4"/>
      <c r="B241" s="4"/>
      <c r="C241" s="4"/>
      <c r="D241" s="4"/>
      <c r="E241" s="4"/>
      <c r="F241" s="4"/>
      <c r="G241" s="4"/>
    </row>
    <row r="242">
      <c r="A242" s="4"/>
      <c r="B242" s="4"/>
      <c r="C242" s="4"/>
      <c r="D242" s="4"/>
      <c r="E242" s="4"/>
      <c r="F242" s="4"/>
      <c r="G242" s="4"/>
    </row>
    <row r="243">
      <c r="A243" s="4"/>
      <c r="B243" s="4"/>
      <c r="C243" s="4"/>
      <c r="D243" s="4"/>
      <c r="E243" s="4"/>
      <c r="F243" s="4"/>
      <c r="G243" s="4"/>
    </row>
    <row r="244">
      <c r="A244" s="4"/>
      <c r="B244" s="4"/>
      <c r="C244" s="4"/>
      <c r="D244" s="4"/>
      <c r="E244" s="4"/>
      <c r="F244" s="4"/>
      <c r="G244" s="4"/>
    </row>
    <row r="245">
      <c r="A245" s="4"/>
      <c r="B245" s="4"/>
      <c r="C245" s="4"/>
      <c r="D245" s="4"/>
      <c r="E245" s="4"/>
      <c r="F245" s="4"/>
      <c r="G245" s="4"/>
    </row>
    <row r="246">
      <c r="A246" s="4"/>
      <c r="B246" s="4"/>
      <c r="C246" s="4"/>
      <c r="D246" s="4"/>
      <c r="E246" s="4"/>
      <c r="F246" s="4"/>
      <c r="G246" s="4"/>
    </row>
    <row r="247">
      <c r="A247" s="4"/>
      <c r="B247" s="4"/>
      <c r="C247" s="4"/>
      <c r="D247" s="4"/>
      <c r="E247" s="4"/>
      <c r="F247" s="4"/>
      <c r="G247" s="4"/>
    </row>
    <row r="248">
      <c r="A248" s="4"/>
      <c r="B248" s="4"/>
      <c r="C248" s="4"/>
      <c r="D248" s="4"/>
      <c r="E248" s="4"/>
      <c r="F248" s="4"/>
      <c r="G248" s="4"/>
    </row>
    <row r="249">
      <c r="A249" s="4"/>
      <c r="B249" s="4"/>
      <c r="C249" s="4"/>
      <c r="D249" s="4"/>
      <c r="E249" s="4"/>
      <c r="F249" s="4"/>
      <c r="G249" s="4"/>
    </row>
    <row r="250">
      <c r="A250" s="4"/>
      <c r="B250" s="4"/>
      <c r="C250" s="4"/>
      <c r="D250" s="4"/>
      <c r="E250" s="4"/>
      <c r="F250" s="4"/>
      <c r="G250" s="4"/>
    </row>
    <row r="251">
      <c r="A251" s="4"/>
      <c r="B251" s="4"/>
      <c r="C251" s="4"/>
      <c r="D251" s="4"/>
      <c r="E251" s="4"/>
      <c r="F251" s="4"/>
      <c r="G251" s="4"/>
    </row>
    <row r="252">
      <c r="A252" s="4"/>
      <c r="B252" s="4"/>
      <c r="C252" s="4"/>
      <c r="D252" s="4"/>
      <c r="E252" s="4"/>
      <c r="F252" s="4"/>
      <c r="G252" s="4"/>
    </row>
    <row r="253">
      <c r="A253" s="4"/>
      <c r="B253" s="4"/>
      <c r="C253" s="4"/>
      <c r="D253" s="4"/>
      <c r="E253" s="4"/>
      <c r="F253" s="4"/>
      <c r="G253" s="4"/>
    </row>
    <row r="254">
      <c r="A254" s="4"/>
      <c r="B254" s="4"/>
      <c r="C254" s="4"/>
      <c r="D254" s="4"/>
      <c r="E254" s="4"/>
      <c r="F254" s="4"/>
      <c r="G254" s="4"/>
    </row>
    <row r="255">
      <c r="A255" s="4"/>
      <c r="B255" s="4"/>
      <c r="C255" s="4"/>
      <c r="D255" s="4"/>
      <c r="E255" s="4"/>
      <c r="F255" s="4"/>
      <c r="G255" s="4"/>
    </row>
    <row r="256">
      <c r="A256" s="4"/>
      <c r="B256" s="4"/>
      <c r="C256" s="4"/>
      <c r="D256" s="4"/>
      <c r="E256" s="4"/>
      <c r="F256" s="4"/>
      <c r="G256" s="4"/>
    </row>
    <row r="257">
      <c r="A257" s="4"/>
      <c r="B257" s="4"/>
      <c r="C257" s="4"/>
      <c r="D257" s="4"/>
      <c r="E257" s="4"/>
      <c r="F257" s="4"/>
      <c r="G257" s="4"/>
    </row>
    <row r="258">
      <c r="A258" s="4"/>
      <c r="B258" s="4"/>
      <c r="C258" s="4"/>
      <c r="D258" s="4"/>
      <c r="E258" s="4"/>
      <c r="F258" s="4"/>
      <c r="G258" s="4"/>
    </row>
    <row r="259">
      <c r="A259" s="4"/>
      <c r="B259" s="4"/>
      <c r="C259" s="4"/>
      <c r="D259" s="4"/>
      <c r="E259" s="4"/>
      <c r="F259" s="4"/>
      <c r="G259" s="4"/>
    </row>
    <row r="260">
      <c r="A260" s="4"/>
      <c r="B260" s="4"/>
      <c r="C260" s="4"/>
      <c r="D260" s="4"/>
      <c r="E260" s="4"/>
      <c r="F260" s="4"/>
      <c r="G260" s="4"/>
    </row>
    <row r="261">
      <c r="A261" s="4"/>
      <c r="B261" s="4"/>
      <c r="C261" s="4"/>
      <c r="D261" s="4"/>
      <c r="E261" s="4"/>
      <c r="F261" s="4"/>
      <c r="G261" s="4"/>
    </row>
    <row r="262">
      <c r="A262" s="4"/>
      <c r="B262" s="4"/>
      <c r="C262" s="4"/>
      <c r="D262" s="4"/>
      <c r="E262" s="4"/>
      <c r="F262" s="4"/>
      <c r="G262" s="4"/>
    </row>
    <row r="263">
      <c r="A263" s="4"/>
      <c r="B263" s="4"/>
      <c r="C263" s="4"/>
      <c r="D263" s="4"/>
      <c r="E263" s="4"/>
      <c r="F263" s="4"/>
      <c r="G263" s="4"/>
    </row>
    <row r="264">
      <c r="A264" s="4"/>
      <c r="B264" s="4"/>
      <c r="C264" s="4"/>
      <c r="D264" s="4"/>
      <c r="E264" s="4"/>
      <c r="F264" s="4"/>
      <c r="G264" s="4"/>
    </row>
    <row r="265">
      <c r="A265" s="4"/>
      <c r="B265" s="4"/>
      <c r="C265" s="4"/>
      <c r="D265" s="4"/>
      <c r="E265" s="4"/>
      <c r="F265" s="4"/>
      <c r="G265" s="4"/>
    </row>
    <row r="266">
      <c r="A266" s="4"/>
      <c r="B266" s="4"/>
      <c r="C266" s="4"/>
      <c r="D266" s="4"/>
      <c r="E266" s="4"/>
      <c r="F266" s="4"/>
      <c r="G266" s="4"/>
    </row>
    <row r="267">
      <c r="A267" s="4"/>
      <c r="B267" s="4"/>
      <c r="C267" s="4"/>
      <c r="D267" s="4"/>
      <c r="E267" s="4"/>
      <c r="F267" s="4"/>
      <c r="G267" s="4"/>
    </row>
    <row r="268">
      <c r="A268" s="4"/>
      <c r="B268" s="4"/>
      <c r="C268" s="4"/>
      <c r="D268" s="4"/>
      <c r="E268" s="4"/>
      <c r="F268" s="4"/>
      <c r="G268" s="4"/>
    </row>
    <row r="269">
      <c r="A269" s="4"/>
      <c r="B269" s="4"/>
      <c r="C269" s="4"/>
      <c r="D269" s="4"/>
      <c r="E269" s="4"/>
      <c r="F269" s="4"/>
      <c r="G269" s="4"/>
    </row>
    <row r="270">
      <c r="A270" s="4"/>
      <c r="B270" s="4"/>
      <c r="C270" s="4"/>
      <c r="D270" s="4"/>
      <c r="E270" s="4"/>
      <c r="F270" s="4"/>
      <c r="G270" s="4"/>
    </row>
    <row r="271">
      <c r="A271" s="4"/>
      <c r="B271" s="4"/>
      <c r="C271" s="4"/>
      <c r="D271" s="4"/>
      <c r="E271" s="4"/>
      <c r="F271" s="4"/>
      <c r="G271" s="4"/>
    </row>
    <row r="272">
      <c r="A272" s="4"/>
      <c r="B272" s="4"/>
      <c r="C272" s="4"/>
      <c r="D272" s="4"/>
      <c r="E272" s="4"/>
      <c r="F272" s="4"/>
      <c r="G272" s="4"/>
    </row>
    <row r="273">
      <c r="A273" s="4"/>
      <c r="B273" s="4"/>
      <c r="C273" s="4"/>
      <c r="D273" s="4"/>
      <c r="E273" s="4"/>
      <c r="F273" s="4"/>
      <c r="G273" s="4"/>
    </row>
    <row r="274">
      <c r="A274" s="4"/>
      <c r="B274" s="4"/>
      <c r="C274" s="4"/>
      <c r="D274" s="4"/>
      <c r="E274" s="4"/>
      <c r="F274" s="4"/>
      <c r="G274" s="4"/>
    </row>
    <row r="275">
      <c r="A275" s="4"/>
      <c r="B275" s="4"/>
      <c r="C275" s="4"/>
      <c r="D275" s="4"/>
      <c r="E275" s="4"/>
      <c r="F275" s="4"/>
      <c r="G275" s="4"/>
    </row>
    <row r="276">
      <c r="A276" s="4"/>
      <c r="B276" s="4"/>
      <c r="C276" s="4"/>
      <c r="D276" s="4"/>
      <c r="E276" s="4"/>
      <c r="F276" s="4"/>
      <c r="G276" s="4"/>
    </row>
    <row r="277">
      <c r="A277" s="4"/>
      <c r="B277" s="4"/>
      <c r="C277" s="4"/>
      <c r="D277" s="4"/>
      <c r="E277" s="4"/>
      <c r="F277" s="4"/>
      <c r="G277" s="4"/>
    </row>
    <row r="278">
      <c r="A278" s="4"/>
      <c r="B278" s="4"/>
      <c r="C278" s="4"/>
      <c r="D278" s="4"/>
      <c r="E278" s="4"/>
      <c r="F278" s="4"/>
      <c r="G278" s="4"/>
    </row>
    <row r="279">
      <c r="A279" s="4"/>
      <c r="B279" s="4"/>
      <c r="C279" s="4"/>
      <c r="D279" s="4"/>
      <c r="E279" s="4"/>
      <c r="F279" s="4"/>
      <c r="G279" s="4"/>
    </row>
    <row r="280">
      <c r="A280" s="4"/>
      <c r="B280" s="4"/>
      <c r="C280" s="4"/>
      <c r="D280" s="4"/>
      <c r="E280" s="4"/>
      <c r="F280" s="4"/>
      <c r="G280" s="4"/>
    </row>
    <row r="281">
      <c r="A281" s="4"/>
      <c r="B281" s="4"/>
      <c r="C281" s="4"/>
      <c r="D281" s="4"/>
      <c r="E281" s="4"/>
      <c r="F281" s="4"/>
      <c r="G281" s="4"/>
    </row>
    <row r="282">
      <c r="A282" s="4"/>
      <c r="B282" s="4"/>
      <c r="C282" s="4"/>
      <c r="D282" s="4"/>
      <c r="E282" s="4"/>
      <c r="F282" s="4"/>
      <c r="G282" s="4"/>
    </row>
    <row r="283">
      <c r="A283" s="4"/>
      <c r="B283" s="4"/>
      <c r="C283" s="4"/>
      <c r="D283" s="4"/>
      <c r="E283" s="4"/>
      <c r="F283" s="4"/>
      <c r="G283" s="4"/>
    </row>
    <row r="284">
      <c r="A284" s="4"/>
      <c r="B284" s="4"/>
      <c r="C284" s="4"/>
      <c r="D284" s="4"/>
      <c r="E284" s="4"/>
      <c r="F284" s="4"/>
      <c r="G284" s="4"/>
    </row>
    <row r="285">
      <c r="A285" s="4"/>
      <c r="B285" s="4"/>
      <c r="C285" s="4"/>
      <c r="D285" s="4"/>
      <c r="E285" s="4"/>
      <c r="F285" s="4"/>
      <c r="G285" s="4"/>
    </row>
    <row r="286">
      <c r="A286" s="4"/>
      <c r="B286" s="4"/>
      <c r="C286" s="4"/>
      <c r="D286" s="4"/>
      <c r="E286" s="4"/>
      <c r="F286" s="4"/>
      <c r="G286" s="4"/>
    </row>
    <row r="287">
      <c r="A287" s="4"/>
      <c r="B287" s="4"/>
      <c r="C287" s="4"/>
      <c r="D287" s="4"/>
      <c r="E287" s="4"/>
      <c r="F287" s="4"/>
      <c r="G287" s="4"/>
    </row>
    <row r="288">
      <c r="A288" s="4"/>
      <c r="B288" s="4"/>
      <c r="C288" s="4"/>
      <c r="D288" s="4"/>
      <c r="E288" s="4"/>
      <c r="F288" s="4"/>
      <c r="G288" s="4"/>
    </row>
    <row r="289">
      <c r="A289" s="4"/>
      <c r="B289" s="4"/>
      <c r="C289" s="4"/>
      <c r="D289" s="4"/>
      <c r="E289" s="4"/>
      <c r="F289" s="4"/>
      <c r="G289" s="4"/>
    </row>
    <row r="290">
      <c r="A290" s="4"/>
      <c r="B290" s="4"/>
      <c r="C290" s="4"/>
      <c r="D290" s="4"/>
      <c r="E290" s="4"/>
      <c r="F290" s="4"/>
      <c r="G290" s="4"/>
    </row>
    <row r="291">
      <c r="A291" s="4"/>
      <c r="B291" s="4"/>
      <c r="C291" s="4"/>
      <c r="D291" s="4"/>
      <c r="E291" s="4"/>
      <c r="F291" s="4"/>
      <c r="G291" s="4"/>
    </row>
    <row r="292">
      <c r="A292" s="4"/>
      <c r="B292" s="4"/>
      <c r="C292" s="4"/>
      <c r="D292" s="4"/>
      <c r="E292" s="4"/>
      <c r="F292" s="4"/>
      <c r="G292" s="4"/>
    </row>
    <row r="293">
      <c r="A293" s="4"/>
      <c r="B293" s="4"/>
      <c r="C293" s="4"/>
      <c r="D293" s="4"/>
      <c r="E293" s="4"/>
      <c r="F293" s="4"/>
      <c r="G293" s="4"/>
    </row>
    <row r="294">
      <c r="A294" s="4"/>
      <c r="B294" s="4"/>
      <c r="C294" s="4"/>
      <c r="D294" s="4"/>
      <c r="E294" s="4"/>
      <c r="F294" s="4"/>
      <c r="G294" s="4"/>
    </row>
    <row r="295">
      <c r="A295" s="4"/>
      <c r="B295" s="4"/>
      <c r="C295" s="4"/>
      <c r="D295" s="4"/>
      <c r="E295" s="4"/>
      <c r="F295" s="4"/>
      <c r="G295" s="4"/>
    </row>
    <row r="296">
      <c r="A296" s="4"/>
      <c r="B296" s="4"/>
      <c r="C296" s="4"/>
      <c r="D296" s="4"/>
      <c r="E296" s="4"/>
      <c r="F296" s="4"/>
      <c r="G296" s="4"/>
    </row>
    <row r="297">
      <c r="A297" s="4"/>
      <c r="B297" s="4"/>
      <c r="C297" s="4"/>
      <c r="D297" s="4"/>
      <c r="E297" s="4"/>
      <c r="F297" s="4"/>
      <c r="G297" s="4"/>
    </row>
    <row r="298">
      <c r="A298" s="4"/>
      <c r="B298" s="4"/>
      <c r="C298" s="4"/>
      <c r="D298" s="4"/>
      <c r="E298" s="4"/>
      <c r="F298" s="4"/>
      <c r="G298" s="4"/>
    </row>
    <row r="299">
      <c r="A299" s="4"/>
      <c r="B299" s="4"/>
      <c r="C299" s="4"/>
      <c r="D299" s="4"/>
      <c r="E299" s="4"/>
      <c r="F299" s="4"/>
      <c r="G299" s="4"/>
    </row>
    <row r="300">
      <c r="A300" s="4"/>
      <c r="B300" s="4"/>
      <c r="C300" s="4"/>
      <c r="D300" s="4"/>
      <c r="E300" s="4"/>
      <c r="F300" s="4"/>
      <c r="G300" s="4"/>
    </row>
    <row r="301">
      <c r="A301" s="4"/>
      <c r="B301" s="4"/>
      <c r="C301" s="4"/>
      <c r="D301" s="4"/>
      <c r="E301" s="4"/>
      <c r="F301" s="4"/>
      <c r="G301" s="4"/>
    </row>
    <row r="302">
      <c r="A302" s="4"/>
      <c r="B302" s="4"/>
      <c r="C302" s="4"/>
      <c r="D302" s="4"/>
      <c r="E302" s="4"/>
      <c r="F302" s="4"/>
      <c r="G302" s="4"/>
    </row>
    <row r="303">
      <c r="A303" s="4"/>
      <c r="B303" s="4"/>
      <c r="C303" s="4"/>
      <c r="D303" s="4"/>
      <c r="E303" s="4"/>
      <c r="F303" s="4"/>
      <c r="G303" s="4"/>
    </row>
    <row r="304">
      <c r="A304" s="4"/>
      <c r="B304" s="4"/>
      <c r="C304" s="4"/>
      <c r="D304" s="4"/>
      <c r="E304" s="4"/>
      <c r="F304" s="4"/>
      <c r="G304" s="4"/>
    </row>
    <row r="305">
      <c r="A305" s="4"/>
      <c r="B305" s="4"/>
      <c r="C305" s="4"/>
      <c r="D305" s="4"/>
      <c r="E305" s="4"/>
      <c r="F305" s="4"/>
      <c r="G305" s="4"/>
    </row>
    <row r="306">
      <c r="A306" s="4"/>
      <c r="B306" s="4"/>
      <c r="C306" s="4"/>
      <c r="D306" s="4"/>
      <c r="E306" s="4"/>
      <c r="F306" s="4"/>
      <c r="G306" s="4"/>
    </row>
    <row r="307">
      <c r="A307" s="4"/>
      <c r="B307" s="4"/>
      <c r="C307" s="4"/>
      <c r="D307" s="4"/>
      <c r="E307" s="4"/>
      <c r="F307" s="4"/>
      <c r="G307" s="4"/>
    </row>
    <row r="308">
      <c r="A308" s="4"/>
      <c r="B308" s="4"/>
      <c r="C308" s="4"/>
      <c r="D308" s="4"/>
      <c r="E308" s="4"/>
      <c r="F308" s="4"/>
      <c r="G308" s="4"/>
    </row>
    <row r="309">
      <c r="A309" s="4"/>
      <c r="B309" s="4"/>
      <c r="C309" s="4"/>
      <c r="D309" s="4"/>
      <c r="E309" s="4"/>
      <c r="F309" s="4"/>
      <c r="G309" s="4"/>
    </row>
    <row r="310">
      <c r="A310" s="4"/>
      <c r="B310" s="4"/>
      <c r="C310" s="4"/>
      <c r="D310" s="4"/>
      <c r="E310" s="4"/>
      <c r="F310" s="4"/>
      <c r="G310" s="4"/>
    </row>
    <row r="311">
      <c r="A311" s="4"/>
      <c r="B311" s="4"/>
      <c r="C311" s="4"/>
      <c r="D311" s="4"/>
      <c r="E311" s="4"/>
      <c r="F311" s="4"/>
      <c r="G311" s="4"/>
    </row>
    <row r="312">
      <c r="A312" s="4"/>
      <c r="B312" s="4"/>
      <c r="C312" s="4"/>
      <c r="D312" s="4"/>
      <c r="E312" s="4"/>
      <c r="F312" s="4"/>
      <c r="G312" s="4"/>
    </row>
    <row r="313">
      <c r="A313" s="4"/>
      <c r="B313" s="4"/>
      <c r="C313" s="4"/>
      <c r="D313" s="4"/>
      <c r="E313" s="4"/>
      <c r="F313" s="4"/>
      <c r="G313" s="4"/>
    </row>
    <row r="314">
      <c r="A314" s="4"/>
      <c r="B314" s="4"/>
      <c r="C314" s="4"/>
      <c r="D314" s="4"/>
      <c r="E314" s="4"/>
      <c r="F314" s="4"/>
      <c r="G314" s="4"/>
    </row>
    <row r="315">
      <c r="A315" s="4"/>
      <c r="B315" s="4"/>
      <c r="C315" s="4"/>
      <c r="D315" s="4"/>
      <c r="E315" s="4"/>
      <c r="F315" s="4"/>
      <c r="G315" s="4"/>
    </row>
    <row r="316">
      <c r="A316" s="4"/>
      <c r="B316" s="4"/>
      <c r="C316" s="4"/>
      <c r="D316" s="4"/>
      <c r="E316" s="4"/>
      <c r="F316" s="4"/>
      <c r="G316" s="4"/>
    </row>
    <row r="317">
      <c r="A317" s="4"/>
      <c r="B317" s="4"/>
      <c r="C317" s="4"/>
      <c r="D317" s="4"/>
      <c r="E317" s="4"/>
      <c r="F317" s="4"/>
      <c r="G317" s="4"/>
    </row>
    <row r="318">
      <c r="A318" s="4"/>
      <c r="B318" s="4"/>
      <c r="C318" s="4"/>
      <c r="D318" s="4"/>
      <c r="E318" s="4"/>
      <c r="F318" s="4"/>
      <c r="G318" s="4"/>
    </row>
    <row r="319">
      <c r="A319" s="4"/>
      <c r="B319" s="4"/>
      <c r="C319" s="4"/>
      <c r="D319" s="4"/>
      <c r="E319" s="4"/>
      <c r="F319" s="4"/>
      <c r="G319" s="4"/>
    </row>
    <row r="320">
      <c r="A320" s="4"/>
      <c r="B320" s="4"/>
      <c r="C320" s="4"/>
      <c r="D320" s="4"/>
      <c r="E320" s="4"/>
      <c r="F320" s="4"/>
      <c r="G320" s="4"/>
    </row>
    <row r="321">
      <c r="A321" s="4"/>
      <c r="B321" s="4"/>
      <c r="C321" s="4"/>
      <c r="D321" s="4"/>
      <c r="E321" s="4"/>
      <c r="F321" s="4"/>
      <c r="G321" s="4"/>
    </row>
    <row r="322">
      <c r="A322" s="4"/>
      <c r="B322" s="4"/>
      <c r="C322" s="4"/>
      <c r="D322" s="4"/>
      <c r="E322" s="4"/>
      <c r="F322" s="4"/>
      <c r="G322" s="4"/>
    </row>
    <row r="323">
      <c r="A323" s="4"/>
      <c r="B323" s="4"/>
      <c r="C323" s="4"/>
      <c r="D323" s="4"/>
      <c r="E323" s="4"/>
      <c r="F323" s="4"/>
      <c r="G323" s="4"/>
    </row>
    <row r="324">
      <c r="A324" s="4"/>
      <c r="B324" s="4"/>
      <c r="C324" s="4"/>
      <c r="D324" s="4"/>
      <c r="E324" s="4"/>
      <c r="F324" s="4"/>
      <c r="G324" s="4"/>
    </row>
    <row r="325">
      <c r="A325" s="4"/>
      <c r="B325" s="4"/>
      <c r="C325" s="4"/>
      <c r="D325" s="4"/>
      <c r="E325" s="4"/>
      <c r="F325" s="4"/>
      <c r="G325" s="4"/>
    </row>
    <row r="326">
      <c r="A326" s="4"/>
      <c r="B326" s="4"/>
      <c r="C326" s="4"/>
      <c r="D326" s="4"/>
      <c r="E326" s="4"/>
      <c r="F326" s="4"/>
      <c r="G326" s="4"/>
    </row>
    <row r="327">
      <c r="A327" s="4"/>
      <c r="B327" s="4"/>
      <c r="C327" s="4"/>
      <c r="D327" s="4"/>
      <c r="E327" s="4"/>
      <c r="F327" s="4"/>
      <c r="G327" s="4"/>
    </row>
    <row r="328">
      <c r="A328" s="4"/>
      <c r="B328" s="4"/>
      <c r="C328" s="4"/>
      <c r="D328" s="4"/>
      <c r="E328" s="4"/>
      <c r="F328" s="4"/>
      <c r="G328" s="4"/>
    </row>
    <row r="329">
      <c r="A329" s="4"/>
      <c r="B329" s="4"/>
      <c r="C329" s="4"/>
      <c r="D329" s="4"/>
      <c r="E329" s="4"/>
      <c r="F329" s="4"/>
      <c r="G329" s="4"/>
    </row>
    <row r="330">
      <c r="A330" s="4"/>
      <c r="B330" s="4"/>
      <c r="C330" s="4"/>
      <c r="D330" s="4"/>
      <c r="E330" s="4"/>
      <c r="F330" s="4"/>
      <c r="G330" s="4"/>
    </row>
    <row r="331">
      <c r="A331" s="4"/>
      <c r="B331" s="4"/>
      <c r="C331" s="4"/>
      <c r="D331" s="4"/>
      <c r="E331" s="4"/>
      <c r="F331" s="4"/>
      <c r="G331" s="4"/>
    </row>
    <row r="332">
      <c r="A332" s="4"/>
      <c r="B332" s="4"/>
      <c r="C332" s="4"/>
      <c r="D332" s="4"/>
      <c r="E332" s="4"/>
      <c r="F332" s="4"/>
      <c r="G332" s="4"/>
    </row>
    <row r="333">
      <c r="A333" s="4"/>
      <c r="B333" s="4"/>
      <c r="C333" s="4"/>
      <c r="D333" s="4"/>
      <c r="E333" s="4"/>
      <c r="F333" s="4"/>
      <c r="G333" s="4"/>
    </row>
    <row r="334">
      <c r="A334" s="4"/>
      <c r="B334" s="4"/>
      <c r="C334" s="4"/>
      <c r="D334" s="4"/>
      <c r="E334" s="4"/>
      <c r="F334" s="4"/>
      <c r="G334" s="4"/>
    </row>
    <row r="335">
      <c r="A335" s="4"/>
      <c r="B335" s="4"/>
      <c r="C335" s="4"/>
      <c r="D335" s="4"/>
      <c r="E335" s="4"/>
      <c r="F335" s="4"/>
      <c r="G335" s="4"/>
    </row>
    <row r="336">
      <c r="A336" s="4"/>
      <c r="B336" s="4"/>
      <c r="C336" s="4"/>
      <c r="D336" s="4"/>
      <c r="E336" s="4"/>
      <c r="F336" s="4"/>
      <c r="G336" s="4"/>
    </row>
    <row r="337">
      <c r="A337" s="4"/>
      <c r="B337" s="4"/>
      <c r="C337" s="4"/>
      <c r="D337" s="4"/>
      <c r="E337" s="4"/>
      <c r="F337" s="4"/>
      <c r="G337" s="4"/>
    </row>
    <row r="338">
      <c r="A338" s="4"/>
      <c r="B338" s="4"/>
      <c r="C338" s="4"/>
      <c r="D338" s="4"/>
      <c r="E338" s="4"/>
      <c r="F338" s="4"/>
      <c r="G338" s="4"/>
    </row>
    <row r="339">
      <c r="A339" s="4"/>
      <c r="B339" s="4"/>
      <c r="C339" s="4"/>
      <c r="D339" s="4"/>
      <c r="E339" s="4"/>
      <c r="F339" s="4"/>
      <c r="G339" s="4"/>
    </row>
    <row r="340">
      <c r="A340" s="4"/>
      <c r="B340" s="4"/>
      <c r="C340" s="4"/>
      <c r="D340" s="4"/>
      <c r="E340" s="4"/>
      <c r="F340" s="4"/>
      <c r="G340" s="4"/>
    </row>
    <row r="341">
      <c r="A341" s="4"/>
      <c r="B341" s="4"/>
      <c r="C341" s="4"/>
      <c r="D341" s="4"/>
      <c r="E341" s="4"/>
      <c r="F341" s="4"/>
      <c r="G341" s="4"/>
    </row>
    <row r="342">
      <c r="A342" s="4"/>
      <c r="B342" s="4"/>
      <c r="C342" s="4"/>
      <c r="D342" s="4"/>
      <c r="E342" s="4"/>
      <c r="F342" s="4"/>
      <c r="G342" s="4"/>
    </row>
    <row r="343">
      <c r="A343" s="4"/>
      <c r="B343" s="4"/>
      <c r="C343" s="4"/>
      <c r="D343" s="4"/>
      <c r="E343" s="4"/>
      <c r="F343" s="4"/>
      <c r="G343" s="4"/>
    </row>
    <row r="344">
      <c r="A344" s="4"/>
      <c r="B344" s="4"/>
      <c r="C344" s="4"/>
      <c r="D344" s="4"/>
      <c r="E344" s="4"/>
      <c r="F344" s="4"/>
      <c r="G344" s="4"/>
    </row>
    <row r="345">
      <c r="A345" s="4"/>
      <c r="B345" s="4"/>
      <c r="C345" s="4"/>
      <c r="D345" s="4"/>
      <c r="E345" s="4"/>
      <c r="F345" s="4"/>
      <c r="G345" s="4"/>
    </row>
    <row r="346">
      <c r="A346" s="4"/>
      <c r="B346" s="4"/>
      <c r="C346" s="4"/>
      <c r="D346" s="4"/>
      <c r="E346" s="4"/>
      <c r="F346" s="4"/>
      <c r="G346" s="4"/>
    </row>
    <row r="347">
      <c r="A347" s="4"/>
      <c r="B347" s="4"/>
      <c r="C347" s="4"/>
      <c r="D347" s="4"/>
      <c r="E347" s="4"/>
      <c r="F347" s="4"/>
      <c r="G347" s="4"/>
    </row>
    <row r="348">
      <c r="A348" s="4"/>
      <c r="B348" s="4"/>
      <c r="C348" s="4"/>
      <c r="D348" s="4"/>
      <c r="E348" s="4"/>
      <c r="F348" s="4"/>
      <c r="G348" s="4"/>
    </row>
    <row r="349">
      <c r="A349" s="4"/>
      <c r="B349" s="4"/>
      <c r="C349" s="4"/>
      <c r="D349" s="4"/>
      <c r="E349" s="4"/>
      <c r="F349" s="4"/>
      <c r="G349" s="4"/>
    </row>
    <row r="350">
      <c r="A350" s="4"/>
      <c r="B350" s="4"/>
      <c r="C350" s="4"/>
      <c r="D350" s="4"/>
      <c r="E350" s="4"/>
      <c r="F350" s="4"/>
      <c r="G350" s="4"/>
    </row>
    <row r="351">
      <c r="A351" s="4"/>
      <c r="B351" s="4"/>
      <c r="C351" s="4"/>
      <c r="D351" s="4"/>
      <c r="E351" s="4"/>
      <c r="F351" s="4"/>
      <c r="G351" s="4"/>
    </row>
    <row r="352">
      <c r="A352" s="4"/>
      <c r="B352" s="4"/>
      <c r="C352" s="4"/>
      <c r="D352" s="4"/>
      <c r="E352" s="4"/>
      <c r="F352" s="4"/>
      <c r="G352" s="4"/>
    </row>
    <row r="353">
      <c r="A353" s="4"/>
      <c r="B353" s="4"/>
      <c r="C353" s="4"/>
      <c r="D353" s="4"/>
      <c r="E353" s="4"/>
      <c r="F353" s="4"/>
      <c r="G353" s="4"/>
    </row>
    <row r="354">
      <c r="A354" s="4"/>
      <c r="B354" s="4"/>
      <c r="C354" s="4"/>
      <c r="D354" s="4"/>
      <c r="E354" s="4"/>
      <c r="F354" s="4"/>
      <c r="G354" s="4"/>
    </row>
    <row r="355">
      <c r="A355" s="4"/>
      <c r="B355" s="4"/>
      <c r="C355" s="4"/>
      <c r="D355" s="4"/>
      <c r="E355" s="4"/>
      <c r="F355" s="4"/>
      <c r="G355" s="4"/>
    </row>
    <row r="356">
      <c r="A356" s="4"/>
      <c r="B356" s="4"/>
      <c r="C356" s="4"/>
      <c r="D356" s="4"/>
      <c r="E356" s="4"/>
      <c r="F356" s="4"/>
      <c r="G356" s="4"/>
    </row>
    <row r="357">
      <c r="A357" s="4"/>
      <c r="B357" s="4"/>
      <c r="C357" s="4"/>
      <c r="D357" s="4"/>
      <c r="E357" s="4"/>
      <c r="F357" s="4"/>
      <c r="G357" s="4"/>
    </row>
    <row r="358">
      <c r="A358" s="4"/>
      <c r="B358" s="4"/>
      <c r="C358" s="4"/>
      <c r="D358" s="4"/>
      <c r="E358" s="4"/>
      <c r="F358" s="4"/>
      <c r="G358" s="4"/>
    </row>
    <row r="359">
      <c r="A359" s="4"/>
      <c r="B359" s="4"/>
      <c r="C359" s="4"/>
      <c r="D359" s="4"/>
      <c r="E359" s="4"/>
      <c r="F359" s="4"/>
      <c r="G359" s="4"/>
    </row>
    <row r="360">
      <c r="A360" s="4"/>
      <c r="B360" s="4"/>
      <c r="C360" s="4"/>
      <c r="D360" s="4"/>
      <c r="E360" s="4"/>
      <c r="F360" s="4"/>
      <c r="G360" s="4"/>
    </row>
    <row r="361">
      <c r="A361" s="4"/>
      <c r="B361" s="4"/>
      <c r="C361" s="4"/>
      <c r="D361" s="4"/>
      <c r="E361" s="4"/>
      <c r="F361" s="4"/>
      <c r="G361" s="4"/>
    </row>
    <row r="362">
      <c r="A362" s="4"/>
      <c r="B362" s="4"/>
      <c r="C362" s="4"/>
      <c r="D362" s="4"/>
      <c r="E362" s="4"/>
      <c r="F362" s="4"/>
      <c r="G362" s="4"/>
    </row>
    <row r="363">
      <c r="A363" s="4"/>
      <c r="B363" s="4"/>
      <c r="C363" s="4"/>
      <c r="D363" s="4"/>
      <c r="E363" s="4"/>
      <c r="F363" s="4"/>
      <c r="G363" s="4"/>
    </row>
    <row r="364">
      <c r="A364" s="4"/>
      <c r="B364" s="4"/>
      <c r="C364" s="4"/>
      <c r="D364" s="4"/>
      <c r="E364" s="4"/>
      <c r="F364" s="4"/>
      <c r="G364" s="4"/>
    </row>
    <row r="365">
      <c r="A365" s="4"/>
      <c r="B365" s="4"/>
      <c r="C365" s="4"/>
      <c r="D365" s="4"/>
      <c r="E365" s="4"/>
      <c r="F365" s="4"/>
      <c r="G365" s="4"/>
    </row>
    <row r="366">
      <c r="A366" s="4"/>
      <c r="B366" s="4"/>
      <c r="C366" s="4"/>
      <c r="D366" s="4"/>
      <c r="E366" s="4"/>
      <c r="F366" s="4"/>
      <c r="G366" s="4"/>
    </row>
    <row r="367">
      <c r="A367" s="4"/>
      <c r="B367" s="4"/>
      <c r="C367" s="4"/>
      <c r="D367" s="4"/>
      <c r="E367" s="4"/>
      <c r="F367" s="4"/>
      <c r="G367" s="4"/>
    </row>
    <row r="368">
      <c r="A368" s="4"/>
      <c r="B368" s="4"/>
      <c r="C368" s="4"/>
      <c r="D368" s="4"/>
      <c r="E368" s="4"/>
      <c r="F368" s="4"/>
      <c r="G368" s="4"/>
    </row>
    <row r="369">
      <c r="A369" s="4"/>
      <c r="B369" s="4"/>
      <c r="C369" s="4"/>
      <c r="D369" s="4"/>
      <c r="E369" s="4"/>
      <c r="F369" s="4"/>
      <c r="G369" s="4"/>
    </row>
    <row r="370">
      <c r="A370" s="4"/>
      <c r="B370" s="4"/>
      <c r="C370" s="4"/>
      <c r="D370" s="4"/>
      <c r="E370" s="4"/>
      <c r="F370" s="4"/>
      <c r="G370" s="4"/>
    </row>
    <row r="371">
      <c r="A371" s="4"/>
      <c r="B371" s="4"/>
      <c r="C371" s="4"/>
      <c r="D371" s="4"/>
      <c r="E371" s="4"/>
      <c r="F371" s="4"/>
      <c r="G371" s="4"/>
    </row>
    <row r="372">
      <c r="A372" s="4"/>
      <c r="B372" s="4"/>
      <c r="C372" s="4"/>
      <c r="D372" s="4"/>
      <c r="E372" s="4"/>
      <c r="F372" s="4"/>
      <c r="G372" s="4"/>
    </row>
    <row r="373">
      <c r="A373" s="4"/>
      <c r="B373" s="4"/>
      <c r="C373" s="4"/>
      <c r="D373" s="4"/>
      <c r="E373" s="4"/>
      <c r="F373" s="4"/>
      <c r="G373" s="4"/>
    </row>
    <row r="374">
      <c r="A374" s="4"/>
      <c r="B374" s="4"/>
      <c r="C374" s="4"/>
      <c r="D374" s="4"/>
      <c r="E374" s="4"/>
      <c r="F374" s="4"/>
      <c r="G374" s="4"/>
    </row>
    <row r="375">
      <c r="A375" s="4"/>
      <c r="B375" s="4"/>
      <c r="C375" s="4"/>
      <c r="D375" s="4"/>
      <c r="E375" s="4"/>
      <c r="F375" s="4"/>
      <c r="G375" s="4"/>
    </row>
    <row r="376">
      <c r="A376" s="4"/>
      <c r="B376" s="4"/>
      <c r="C376" s="4"/>
      <c r="D376" s="4"/>
      <c r="E376" s="4"/>
      <c r="F376" s="4"/>
      <c r="G376" s="4"/>
    </row>
    <row r="377">
      <c r="A377" s="4"/>
      <c r="B377" s="4"/>
      <c r="C377" s="4"/>
      <c r="D377" s="4"/>
      <c r="E377" s="4"/>
      <c r="F377" s="4"/>
      <c r="G377" s="4"/>
    </row>
    <row r="378">
      <c r="A378" s="4"/>
      <c r="B378" s="4"/>
      <c r="C378" s="4"/>
      <c r="D378" s="4"/>
      <c r="E378" s="4"/>
      <c r="F378" s="4"/>
      <c r="G378" s="4"/>
    </row>
    <row r="379">
      <c r="A379" s="4"/>
      <c r="B379" s="4"/>
      <c r="C379" s="4"/>
      <c r="D379" s="4"/>
      <c r="E379" s="4"/>
      <c r="F379" s="4"/>
      <c r="G379" s="4"/>
    </row>
    <row r="380">
      <c r="A380" s="4"/>
      <c r="B380" s="4"/>
      <c r="C380" s="4"/>
      <c r="D380" s="4"/>
      <c r="E380" s="4"/>
      <c r="F380" s="4"/>
      <c r="G380" s="4"/>
    </row>
    <row r="381">
      <c r="A381" s="4"/>
      <c r="B381" s="4"/>
      <c r="C381" s="4"/>
      <c r="D381" s="4"/>
      <c r="E381" s="4"/>
      <c r="F381" s="4"/>
      <c r="G381" s="4"/>
    </row>
    <row r="382">
      <c r="A382" s="4"/>
      <c r="B382" s="4"/>
      <c r="C382" s="4"/>
      <c r="D382" s="4"/>
      <c r="E382" s="4"/>
      <c r="F382" s="4"/>
      <c r="G382" s="4"/>
    </row>
    <row r="383">
      <c r="A383" s="4"/>
      <c r="B383" s="4"/>
      <c r="C383" s="4"/>
      <c r="D383" s="4"/>
      <c r="E383" s="4"/>
      <c r="F383" s="4"/>
      <c r="G383" s="4"/>
    </row>
    <row r="384">
      <c r="A384" s="4"/>
      <c r="B384" s="4"/>
      <c r="C384" s="4"/>
      <c r="D384" s="4"/>
      <c r="E384" s="4"/>
      <c r="F384" s="4"/>
      <c r="G384" s="4"/>
    </row>
    <row r="385">
      <c r="A385" s="4"/>
      <c r="B385" s="4"/>
      <c r="C385" s="4"/>
      <c r="D385" s="4"/>
      <c r="E385" s="4"/>
      <c r="F385" s="4"/>
      <c r="G385" s="4"/>
    </row>
    <row r="386">
      <c r="A386" s="4"/>
      <c r="B386" s="4"/>
      <c r="C386" s="4"/>
      <c r="D386" s="4"/>
      <c r="E386" s="4"/>
      <c r="F386" s="4"/>
      <c r="G386" s="4"/>
    </row>
    <row r="387">
      <c r="A387" s="4"/>
      <c r="B387" s="4"/>
      <c r="C387" s="4"/>
      <c r="D387" s="4"/>
      <c r="E387" s="4"/>
      <c r="F387" s="4"/>
      <c r="G387" s="4"/>
    </row>
    <row r="388">
      <c r="A388" s="4"/>
      <c r="B388" s="4"/>
      <c r="C388" s="4"/>
      <c r="D388" s="4"/>
      <c r="E388" s="4"/>
      <c r="F388" s="4"/>
      <c r="G388" s="4"/>
    </row>
    <row r="389">
      <c r="A389" s="4"/>
      <c r="B389" s="4"/>
      <c r="C389" s="4"/>
      <c r="D389" s="4"/>
      <c r="E389" s="4"/>
      <c r="F389" s="4"/>
      <c r="G389" s="4"/>
    </row>
    <row r="390">
      <c r="A390" s="4"/>
      <c r="B390" s="4"/>
      <c r="C390" s="4"/>
      <c r="D390" s="4"/>
      <c r="E390" s="4"/>
      <c r="F390" s="4"/>
      <c r="G390" s="4"/>
    </row>
    <row r="391">
      <c r="A391" s="4"/>
      <c r="B391" s="4"/>
      <c r="C391" s="4"/>
      <c r="D391" s="4"/>
      <c r="E391" s="4"/>
      <c r="F391" s="4"/>
      <c r="G391" s="4"/>
    </row>
    <row r="392">
      <c r="A392" s="4"/>
      <c r="B392" s="4"/>
      <c r="C392" s="4"/>
      <c r="D392" s="4"/>
      <c r="E392" s="4"/>
      <c r="F392" s="4"/>
      <c r="G392" s="4"/>
    </row>
    <row r="393">
      <c r="A393" s="4"/>
      <c r="B393" s="4"/>
      <c r="C393" s="4"/>
      <c r="D393" s="4"/>
      <c r="E393" s="4"/>
      <c r="F393" s="4"/>
      <c r="G393" s="4"/>
    </row>
    <row r="394">
      <c r="A394" s="4"/>
      <c r="B394" s="4"/>
      <c r="C394" s="4"/>
      <c r="D394" s="4"/>
      <c r="E394" s="4"/>
      <c r="F394" s="4"/>
      <c r="G394" s="4"/>
    </row>
    <row r="395">
      <c r="A395" s="4"/>
      <c r="B395" s="4"/>
      <c r="C395" s="4"/>
      <c r="D395" s="4"/>
      <c r="E395" s="4"/>
      <c r="F395" s="4"/>
      <c r="G395" s="4"/>
    </row>
    <row r="396">
      <c r="A396" s="4"/>
      <c r="B396" s="4"/>
      <c r="C396" s="4"/>
      <c r="D396" s="4"/>
      <c r="E396" s="4"/>
      <c r="F396" s="4"/>
      <c r="G396" s="4"/>
    </row>
    <row r="397">
      <c r="A397" s="4"/>
      <c r="B397" s="4"/>
      <c r="C397" s="4"/>
      <c r="D397" s="4"/>
      <c r="E397" s="4"/>
      <c r="F397" s="4"/>
      <c r="G397" s="4"/>
    </row>
    <row r="398">
      <c r="A398" s="4"/>
      <c r="B398" s="4"/>
      <c r="C398" s="4"/>
      <c r="D398" s="4"/>
      <c r="E398" s="4"/>
      <c r="F398" s="4"/>
      <c r="G398" s="4"/>
    </row>
    <row r="399">
      <c r="A399" s="4"/>
      <c r="B399" s="4"/>
      <c r="C399" s="4"/>
      <c r="D399" s="4"/>
      <c r="E399" s="4"/>
      <c r="F399" s="4"/>
      <c r="G399" s="4"/>
    </row>
    <row r="400">
      <c r="A400" s="4"/>
      <c r="B400" s="4"/>
      <c r="C400" s="4"/>
      <c r="D400" s="4"/>
      <c r="E400" s="4"/>
      <c r="F400" s="4"/>
      <c r="G400" s="4"/>
    </row>
    <row r="401">
      <c r="A401" s="4"/>
      <c r="B401" s="4"/>
      <c r="C401" s="4"/>
      <c r="D401" s="4"/>
      <c r="E401" s="4"/>
      <c r="F401" s="4"/>
      <c r="G401" s="4"/>
    </row>
    <row r="402">
      <c r="A402" s="4"/>
      <c r="B402" s="4"/>
      <c r="C402" s="4"/>
      <c r="D402" s="4"/>
      <c r="E402" s="4"/>
      <c r="F402" s="4"/>
      <c r="G402" s="4"/>
    </row>
    <row r="403">
      <c r="A403" s="4"/>
      <c r="B403" s="4"/>
      <c r="C403" s="4"/>
      <c r="D403" s="4"/>
      <c r="E403" s="4"/>
      <c r="F403" s="4"/>
      <c r="G403" s="4"/>
    </row>
    <row r="404">
      <c r="A404" s="4"/>
      <c r="B404" s="4"/>
      <c r="C404" s="4"/>
      <c r="D404" s="4"/>
      <c r="E404" s="4"/>
      <c r="F404" s="4"/>
      <c r="G404" s="4"/>
    </row>
    <row r="405">
      <c r="A405" s="4"/>
      <c r="B405" s="4"/>
      <c r="C405" s="4"/>
      <c r="D405" s="4"/>
      <c r="E405" s="4"/>
      <c r="F405" s="4"/>
      <c r="G405" s="4"/>
    </row>
    <row r="406">
      <c r="A406" s="4"/>
      <c r="B406" s="4"/>
      <c r="C406" s="4"/>
      <c r="D406" s="4"/>
      <c r="E406" s="4"/>
      <c r="F406" s="4"/>
      <c r="G406" s="4"/>
    </row>
    <row r="407">
      <c r="A407" s="4"/>
      <c r="B407" s="4"/>
      <c r="C407" s="4"/>
      <c r="D407" s="4"/>
      <c r="E407" s="4"/>
      <c r="F407" s="4"/>
      <c r="G407" s="4"/>
    </row>
    <row r="408">
      <c r="A408" s="4"/>
      <c r="B408" s="4"/>
      <c r="C408" s="4"/>
      <c r="D408" s="4"/>
      <c r="E408" s="4"/>
      <c r="F408" s="4"/>
      <c r="G408" s="4"/>
    </row>
    <row r="409">
      <c r="A409" s="4"/>
      <c r="B409" s="4"/>
      <c r="C409" s="4"/>
      <c r="D409" s="4"/>
      <c r="E409" s="4"/>
      <c r="F409" s="4"/>
      <c r="G409" s="4"/>
    </row>
    <row r="410">
      <c r="A410" s="4"/>
      <c r="B410" s="4"/>
      <c r="C410" s="4"/>
      <c r="D410" s="4"/>
      <c r="E410" s="4"/>
      <c r="F410" s="4"/>
      <c r="G410" s="4"/>
    </row>
    <row r="411">
      <c r="A411" s="4"/>
      <c r="B411" s="4"/>
      <c r="C411" s="4"/>
      <c r="D411" s="4"/>
      <c r="E411" s="4"/>
      <c r="F411" s="4"/>
      <c r="G411" s="4"/>
    </row>
    <row r="412">
      <c r="A412" s="4"/>
      <c r="B412" s="4"/>
      <c r="C412" s="4"/>
      <c r="D412" s="4"/>
      <c r="E412" s="4"/>
      <c r="F412" s="4"/>
      <c r="G412" s="4"/>
    </row>
    <row r="413">
      <c r="A413" s="4"/>
      <c r="B413" s="4"/>
      <c r="C413" s="4"/>
      <c r="D413" s="4"/>
      <c r="E413" s="4"/>
      <c r="F413" s="4"/>
      <c r="G413" s="4"/>
    </row>
    <row r="414">
      <c r="A414" s="4"/>
      <c r="B414" s="4"/>
      <c r="C414" s="4"/>
      <c r="D414" s="4"/>
      <c r="E414" s="4"/>
      <c r="F414" s="4"/>
      <c r="G414" s="4"/>
    </row>
    <row r="415">
      <c r="A415" s="4"/>
      <c r="B415" s="4"/>
      <c r="C415" s="4"/>
      <c r="D415" s="4"/>
      <c r="E415" s="4"/>
      <c r="F415" s="4"/>
      <c r="G415" s="4"/>
    </row>
    <row r="416">
      <c r="A416" s="4"/>
      <c r="B416" s="4"/>
      <c r="C416" s="4"/>
      <c r="D416" s="4"/>
      <c r="E416" s="4"/>
      <c r="F416" s="4"/>
      <c r="G416" s="4"/>
    </row>
    <row r="417">
      <c r="A417" s="4"/>
      <c r="B417" s="4"/>
      <c r="C417" s="4"/>
      <c r="D417" s="4"/>
      <c r="E417" s="4"/>
      <c r="F417" s="4"/>
      <c r="G417" s="4"/>
    </row>
    <row r="418">
      <c r="A418" s="4"/>
      <c r="B418" s="4"/>
      <c r="C418" s="4"/>
      <c r="D418" s="4"/>
      <c r="E418" s="4"/>
      <c r="F418" s="4"/>
      <c r="G418" s="4"/>
    </row>
    <row r="419">
      <c r="A419" s="4"/>
      <c r="B419" s="4"/>
      <c r="C419" s="4"/>
      <c r="D419" s="4"/>
      <c r="E419" s="4"/>
      <c r="F419" s="4"/>
      <c r="G419" s="4"/>
    </row>
    <row r="420">
      <c r="A420" s="4"/>
      <c r="B420" s="4"/>
      <c r="C420" s="4"/>
      <c r="D420" s="4"/>
      <c r="E420" s="4"/>
      <c r="F420" s="4"/>
      <c r="G420" s="4"/>
    </row>
    <row r="421">
      <c r="A421" s="4"/>
      <c r="B421" s="4"/>
      <c r="C421" s="4"/>
      <c r="D421" s="4"/>
      <c r="E421" s="4"/>
      <c r="F421" s="4"/>
      <c r="G421" s="4"/>
    </row>
    <row r="422">
      <c r="A422" s="4"/>
      <c r="B422" s="4"/>
      <c r="C422" s="4"/>
      <c r="D422" s="4"/>
      <c r="E422" s="4"/>
      <c r="F422" s="4"/>
      <c r="G422" s="4"/>
    </row>
    <row r="423">
      <c r="A423" s="4"/>
      <c r="B423" s="4"/>
      <c r="C423" s="4"/>
      <c r="D423" s="4"/>
      <c r="E423" s="4"/>
      <c r="F423" s="4"/>
      <c r="G423" s="4"/>
    </row>
    <row r="424">
      <c r="A424" s="4"/>
      <c r="B424" s="4"/>
      <c r="C424" s="4"/>
      <c r="D424" s="4"/>
      <c r="E424" s="4"/>
      <c r="F424" s="4"/>
      <c r="G424" s="4"/>
    </row>
    <row r="425">
      <c r="A425" s="4"/>
      <c r="B425" s="4"/>
      <c r="C425" s="4"/>
      <c r="D425" s="4"/>
      <c r="E425" s="4"/>
      <c r="F425" s="4"/>
      <c r="G425" s="4"/>
    </row>
    <row r="426">
      <c r="A426" s="4"/>
      <c r="B426" s="4"/>
      <c r="C426" s="4"/>
      <c r="D426" s="4"/>
      <c r="E426" s="4"/>
      <c r="F426" s="4"/>
      <c r="G426" s="4"/>
    </row>
    <row r="427">
      <c r="A427" s="4"/>
      <c r="B427" s="4"/>
      <c r="C427" s="4"/>
      <c r="D427" s="4"/>
      <c r="E427" s="4"/>
      <c r="F427" s="4"/>
      <c r="G427" s="4"/>
    </row>
    <row r="428">
      <c r="A428" s="4"/>
      <c r="B428" s="4"/>
      <c r="C428" s="4"/>
      <c r="D428" s="4"/>
      <c r="E428" s="4"/>
      <c r="F428" s="4"/>
      <c r="G428" s="4"/>
    </row>
    <row r="429">
      <c r="A429" s="4"/>
      <c r="B429" s="4"/>
      <c r="C429" s="4"/>
      <c r="D429" s="4"/>
      <c r="E429" s="4"/>
      <c r="F429" s="4"/>
      <c r="G429" s="4"/>
    </row>
    <row r="430">
      <c r="A430" s="4"/>
      <c r="B430" s="4"/>
      <c r="C430" s="4"/>
      <c r="D430" s="4"/>
      <c r="E430" s="4"/>
      <c r="F430" s="4"/>
      <c r="G430" s="4"/>
    </row>
    <row r="431">
      <c r="A431" s="4"/>
      <c r="B431" s="4"/>
      <c r="C431" s="4"/>
      <c r="D431" s="4"/>
      <c r="E431" s="4"/>
      <c r="F431" s="4"/>
      <c r="G431" s="4"/>
    </row>
    <row r="432">
      <c r="A432" s="4"/>
      <c r="B432" s="4"/>
      <c r="C432" s="4"/>
      <c r="D432" s="4"/>
      <c r="E432" s="4"/>
      <c r="F432" s="4"/>
      <c r="G432" s="4"/>
    </row>
    <row r="433">
      <c r="A433" s="4"/>
      <c r="B433" s="4"/>
      <c r="C433" s="4"/>
      <c r="D433" s="4"/>
      <c r="E433" s="4"/>
      <c r="F433" s="4"/>
      <c r="G433" s="4"/>
    </row>
    <row r="434">
      <c r="A434" s="4"/>
      <c r="B434" s="4"/>
      <c r="C434" s="4"/>
      <c r="D434" s="4"/>
      <c r="E434" s="4"/>
      <c r="F434" s="4"/>
      <c r="G434" s="4"/>
    </row>
    <row r="435">
      <c r="A435" s="4"/>
      <c r="B435" s="4"/>
      <c r="C435" s="4"/>
      <c r="D435" s="4"/>
      <c r="E435" s="4"/>
      <c r="F435" s="4"/>
      <c r="G435" s="4"/>
    </row>
    <row r="436">
      <c r="A436" s="4"/>
      <c r="B436" s="4"/>
      <c r="C436" s="4"/>
      <c r="D436" s="4"/>
      <c r="E436" s="4"/>
      <c r="F436" s="4"/>
      <c r="G436" s="4"/>
    </row>
    <row r="437">
      <c r="A437" s="4"/>
      <c r="B437" s="4"/>
      <c r="C437" s="4"/>
      <c r="D437" s="4"/>
      <c r="E437" s="4"/>
      <c r="F437" s="4"/>
      <c r="G437" s="4"/>
    </row>
    <row r="438">
      <c r="A438" s="4"/>
      <c r="B438" s="4"/>
      <c r="C438" s="4"/>
      <c r="D438" s="4"/>
      <c r="E438" s="4"/>
      <c r="F438" s="4"/>
      <c r="G438" s="4"/>
    </row>
    <row r="439">
      <c r="A439" s="4"/>
      <c r="B439" s="4"/>
      <c r="C439" s="4"/>
      <c r="D439" s="4"/>
      <c r="E439" s="4"/>
      <c r="F439" s="4"/>
      <c r="G439" s="4"/>
    </row>
    <row r="440">
      <c r="A440" s="4"/>
      <c r="B440" s="4"/>
      <c r="C440" s="4"/>
      <c r="D440" s="4"/>
      <c r="E440" s="4"/>
      <c r="F440" s="4"/>
      <c r="G440" s="4"/>
    </row>
    <row r="441">
      <c r="A441" s="4"/>
      <c r="B441" s="4"/>
      <c r="C441" s="4"/>
      <c r="D441" s="4"/>
      <c r="E441" s="4"/>
      <c r="F441" s="4"/>
      <c r="G441" s="4"/>
    </row>
    <row r="442">
      <c r="A442" s="4"/>
      <c r="B442" s="4"/>
      <c r="C442" s="4"/>
      <c r="D442" s="4"/>
      <c r="E442" s="4"/>
      <c r="F442" s="4"/>
      <c r="G442" s="4"/>
    </row>
    <row r="443">
      <c r="A443" s="4"/>
      <c r="B443" s="4"/>
      <c r="C443" s="4"/>
      <c r="D443" s="4"/>
      <c r="E443" s="4"/>
      <c r="F443" s="4"/>
      <c r="G443" s="4"/>
    </row>
    <row r="444">
      <c r="A444" s="4"/>
      <c r="B444" s="4"/>
      <c r="C444" s="4"/>
      <c r="D444" s="4"/>
      <c r="E444" s="4"/>
      <c r="F444" s="4"/>
      <c r="G444" s="4"/>
    </row>
    <row r="445">
      <c r="A445" s="4"/>
      <c r="B445" s="4"/>
      <c r="C445" s="4"/>
      <c r="D445" s="4"/>
      <c r="E445" s="4"/>
      <c r="F445" s="4"/>
      <c r="G445" s="4"/>
    </row>
    <row r="446">
      <c r="A446" s="4"/>
      <c r="B446" s="4"/>
      <c r="C446" s="4"/>
      <c r="D446" s="4"/>
      <c r="E446" s="4"/>
      <c r="F446" s="4"/>
      <c r="G446" s="4"/>
    </row>
    <row r="447">
      <c r="A447" s="4"/>
      <c r="B447" s="4"/>
      <c r="C447" s="4"/>
      <c r="D447" s="4"/>
      <c r="E447" s="4"/>
      <c r="F447" s="4"/>
      <c r="G447" s="4"/>
    </row>
    <row r="448">
      <c r="A448" s="4"/>
      <c r="B448" s="4"/>
      <c r="C448" s="4"/>
      <c r="D448" s="4"/>
      <c r="E448" s="4"/>
      <c r="F448" s="4"/>
      <c r="G448" s="4"/>
    </row>
    <row r="449">
      <c r="A449" s="4"/>
      <c r="B449" s="4"/>
      <c r="C449" s="4"/>
      <c r="D449" s="4"/>
      <c r="E449" s="4"/>
      <c r="F449" s="4"/>
      <c r="G449" s="4"/>
    </row>
    <row r="450">
      <c r="A450" s="4"/>
      <c r="B450" s="4"/>
      <c r="C450" s="4"/>
      <c r="D450" s="4"/>
      <c r="E450" s="4"/>
      <c r="F450" s="4"/>
      <c r="G450" s="4"/>
    </row>
    <row r="451">
      <c r="A451" s="4"/>
      <c r="B451" s="4"/>
      <c r="C451" s="4"/>
      <c r="D451" s="4"/>
      <c r="E451" s="4"/>
      <c r="F451" s="4"/>
      <c r="G451" s="4"/>
    </row>
    <row r="452">
      <c r="A452" s="4"/>
      <c r="B452" s="4"/>
      <c r="C452" s="4"/>
      <c r="D452" s="4"/>
      <c r="E452" s="4"/>
      <c r="F452" s="4"/>
      <c r="G452" s="4"/>
    </row>
    <row r="453">
      <c r="A453" s="4"/>
      <c r="B453" s="4"/>
      <c r="C453" s="4"/>
      <c r="D453" s="4"/>
      <c r="E453" s="4"/>
      <c r="F453" s="4"/>
      <c r="G453" s="4"/>
    </row>
    <row r="454">
      <c r="A454" s="4"/>
      <c r="B454" s="4"/>
      <c r="C454" s="4"/>
      <c r="D454" s="4"/>
      <c r="E454" s="4"/>
      <c r="F454" s="4"/>
      <c r="G454" s="4"/>
    </row>
    <row r="455">
      <c r="A455" s="4"/>
      <c r="B455" s="4"/>
      <c r="C455" s="4"/>
      <c r="D455" s="4"/>
      <c r="E455" s="4"/>
      <c r="F455" s="4"/>
      <c r="G455" s="4"/>
    </row>
    <row r="456">
      <c r="A456" s="4"/>
      <c r="B456" s="4"/>
      <c r="C456" s="4"/>
      <c r="D456" s="4"/>
      <c r="E456" s="4"/>
      <c r="F456" s="4"/>
      <c r="G456" s="4"/>
    </row>
    <row r="457">
      <c r="A457" s="4"/>
      <c r="B457" s="4"/>
      <c r="C457" s="4"/>
      <c r="D457" s="4"/>
      <c r="E457" s="4"/>
      <c r="F457" s="4"/>
      <c r="G457" s="4"/>
    </row>
    <row r="458">
      <c r="A458" s="4"/>
      <c r="B458" s="4"/>
      <c r="C458" s="4"/>
      <c r="D458" s="4"/>
      <c r="E458" s="4"/>
      <c r="F458" s="4"/>
      <c r="G458" s="4"/>
    </row>
    <row r="459">
      <c r="A459" s="4"/>
      <c r="B459" s="4"/>
      <c r="C459" s="4"/>
      <c r="D459" s="4"/>
      <c r="E459" s="4"/>
      <c r="F459" s="4"/>
      <c r="G459" s="4"/>
    </row>
    <row r="460">
      <c r="A460" s="4"/>
      <c r="B460" s="4"/>
      <c r="C460" s="4"/>
      <c r="D460" s="4"/>
      <c r="E460" s="4"/>
      <c r="F460" s="4"/>
      <c r="G460" s="4"/>
    </row>
    <row r="461">
      <c r="A461" s="4"/>
      <c r="B461" s="4"/>
      <c r="C461" s="4"/>
      <c r="D461" s="4"/>
      <c r="E461" s="4"/>
      <c r="F461" s="4"/>
      <c r="G461" s="4"/>
    </row>
    <row r="462">
      <c r="A462" s="4"/>
      <c r="B462" s="4"/>
      <c r="C462" s="4"/>
      <c r="D462" s="4"/>
      <c r="E462" s="4"/>
      <c r="F462" s="4"/>
      <c r="G462" s="4"/>
    </row>
    <row r="463">
      <c r="A463" s="4"/>
      <c r="B463" s="4"/>
      <c r="C463" s="4"/>
      <c r="D463" s="4"/>
      <c r="E463" s="4"/>
      <c r="F463" s="4"/>
      <c r="G463" s="4"/>
    </row>
    <row r="464">
      <c r="A464" s="4"/>
      <c r="B464" s="4"/>
      <c r="C464" s="4"/>
      <c r="D464" s="4"/>
      <c r="E464" s="4"/>
      <c r="F464" s="4"/>
      <c r="G464" s="4"/>
    </row>
    <row r="465">
      <c r="A465" s="4"/>
      <c r="B465" s="4"/>
      <c r="C465" s="4"/>
      <c r="D465" s="4"/>
      <c r="E465" s="4"/>
      <c r="F465" s="4"/>
      <c r="G465" s="4"/>
    </row>
    <row r="466">
      <c r="A466" s="4"/>
      <c r="B466" s="4"/>
      <c r="C466" s="4"/>
      <c r="D466" s="4"/>
      <c r="E466" s="4"/>
      <c r="F466" s="4"/>
      <c r="G466" s="4"/>
    </row>
    <row r="467">
      <c r="A467" s="4"/>
      <c r="B467" s="4"/>
      <c r="C467" s="4"/>
      <c r="D467" s="4"/>
      <c r="E467" s="4"/>
      <c r="F467" s="4"/>
      <c r="G467" s="4"/>
    </row>
    <row r="468">
      <c r="A468" s="4"/>
      <c r="B468" s="4"/>
      <c r="C468" s="4"/>
      <c r="D468" s="4"/>
      <c r="E468" s="4"/>
      <c r="F468" s="4"/>
      <c r="G468" s="4"/>
    </row>
    <row r="469">
      <c r="A469" s="4"/>
      <c r="B469" s="4"/>
      <c r="C469" s="4"/>
      <c r="D469" s="4"/>
      <c r="E469" s="4"/>
      <c r="F469" s="4"/>
      <c r="G469" s="4"/>
    </row>
    <row r="470">
      <c r="A470" s="4"/>
      <c r="B470" s="4"/>
      <c r="C470" s="4"/>
      <c r="D470" s="4"/>
      <c r="E470" s="4"/>
      <c r="F470" s="4"/>
      <c r="G470" s="4"/>
    </row>
    <row r="471">
      <c r="A471" s="4"/>
      <c r="B471" s="4"/>
      <c r="C471" s="4"/>
      <c r="D471" s="4"/>
      <c r="E471" s="4"/>
      <c r="F471" s="4"/>
      <c r="G471" s="4"/>
    </row>
    <row r="472">
      <c r="A472" s="4"/>
      <c r="B472" s="4"/>
      <c r="C472" s="4"/>
      <c r="D472" s="4"/>
      <c r="E472" s="4"/>
      <c r="F472" s="4"/>
      <c r="G472" s="4"/>
    </row>
    <row r="473">
      <c r="A473" s="4"/>
      <c r="B473" s="4"/>
      <c r="C473" s="4"/>
      <c r="D473" s="4"/>
      <c r="E473" s="4"/>
      <c r="F473" s="4"/>
      <c r="G473" s="4"/>
    </row>
    <row r="474">
      <c r="A474" s="4"/>
      <c r="B474" s="4"/>
      <c r="C474" s="4"/>
      <c r="D474" s="4"/>
      <c r="E474" s="4"/>
      <c r="F474" s="4"/>
      <c r="G474" s="4"/>
    </row>
    <row r="475">
      <c r="A475" s="4"/>
      <c r="B475" s="4"/>
      <c r="C475" s="4"/>
      <c r="D475" s="4"/>
      <c r="E475" s="4"/>
      <c r="F475" s="4"/>
      <c r="G475" s="4"/>
    </row>
    <row r="476">
      <c r="A476" s="4"/>
      <c r="B476" s="4"/>
      <c r="C476" s="4"/>
      <c r="D476" s="4"/>
      <c r="E476" s="4"/>
      <c r="F476" s="4"/>
      <c r="G476" s="4"/>
    </row>
    <row r="477">
      <c r="A477" s="4"/>
      <c r="B477" s="4"/>
      <c r="C477" s="4"/>
      <c r="D477" s="4"/>
      <c r="E477" s="4"/>
      <c r="F477" s="4"/>
      <c r="G477" s="4"/>
    </row>
    <row r="478">
      <c r="A478" s="4"/>
      <c r="B478" s="4"/>
      <c r="C478" s="4"/>
      <c r="D478" s="4"/>
      <c r="E478" s="4"/>
      <c r="F478" s="4"/>
      <c r="G478" s="4"/>
    </row>
    <row r="479">
      <c r="A479" s="4"/>
      <c r="B479" s="4"/>
      <c r="C479" s="4"/>
      <c r="D479" s="4"/>
      <c r="E479" s="4"/>
      <c r="F479" s="4"/>
      <c r="G479" s="4"/>
    </row>
    <row r="480">
      <c r="A480" s="4"/>
      <c r="B480" s="4"/>
      <c r="C480" s="4"/>
      <c r="D480" s="4"/>
      <c r="E480" s="4"/>
      <c r="F480" s="4"/>
      <c r="G480" s="4"/>
    </row>
    <row r="481">
      <c r="A481" s="4"/>
      <c r="B481" s="4"/>
      <c r="C481" s="4"/>
      <c r="D481" s="4"/>
      <c r="E481" s="4"/>
      <c r="F481" s="4"/>
      <c r="G481" s="4"/>
    </row>
    <row r="482">
      <c r="A482" s="4"/>
      <c r="B482" s="4"/>
      <c r="C482" s="4"/>
      <c r="D482" s="4"/>
      <c r="E482" s="4"/>
      <c r="F482" s="4"/>
      <c r="G482" s="4"/>
    </row>
    <row r="483">
      <c r="A483" s="4"/>
      <c r="B483" s="4"/>
      <c r="C483" s="4"/>
      <c r="D483" s="4"/>
      <c r="E483" s="4"/>
      <c r="F483" s="4"/>
      <c r="G483" s="4"/>
    </row>
    <row r="484">
      <c r="A484" s="4"/>
      <c r="B484" s="4"/>
      <c r="C484" s="4"/>
      <c r="D484" s="4"/>
      <c r="E484" s="4"/>
      <c r="F484" s="4"/>
      <c r="G484" s="4"/>
    </row>
    <row r="485">
      <c r="A485" s="4"/>
      <c r="B485" s="4"/>
      <c r="C485" s="4"/>
      <c r="D485" s="4"/>
      <c r="E485" s="4"/>
      <c r="F485" s="4"/>
      <c r="G485" s="4"/>
    </row>
    <row r="486">
      <c r="A486" s="4"/>
      <c r="B486" s="4"/>
      <c r="C486" s="4"/>
      <c r="D486" s="4"/>
      <c r="E486" s="4"/>
      <c r="F486" s="4"/>
      <c r="G486" s="4"/>
    </row>
    <row r="487">
      <c r="A487" s="4"/>
      <c r="B487" s="4"/>
      <c r="C487" s="4"/>
      <c r="D487" s="4"/>
      <c r="E487" s="4"/>
      <c r="F487" s="4"/>
      <c r="G487" s="4"/>
    </row>
    <row r="488">
      <c r="A488" s="4"/>
      <c r="B488" s="4"/>
      <c r="C488" s="4"/>
      <c r="D488" s="4"/>
      <c r="E488" s="4"/>
      <c r="F488" s="4"/>
      <c r="G488" s="4"/>
    </row>
    <row r="489">
      <c r="A489" s="4"/>
      <c r="B489" s="4"/>
      <c r="C489" s="4"/>
      <c r="D489" s="4"/>
      <c r="E489" s="4"/>
      <c r="F489" s="4"/>
      <c r="G489" s="4"/>
    </row>
    <row r="490">
      <c r="A490" s="4"/>
      <c r="B490" s="4"/>
      <c r="C490" s="4"/>
      <c r="D490" s="4"/>
      <c r="E490" s="4"/>
      <c r="F490" s="4"/>
      <c r="G490" s="4"/>
    </row>
    <row r="491">
      <c r="A491" s="4"/>
      <c r="B491" s="4"/>
      <c r="C491" s="4"/>
      <c r="D491" s="4"/>
      <c r="E491" s="4"/>
      <c r="F491" s="4"/>
      <c r="G491" s="4"/>
    </row>
    <row r="492">
      <c r="A492" s="4"/>
      <c r="B492" s="4"/>
      <c r="C492" s="4"/>
      <c r="D492" s="4"/>
      <c r="E492" s="4"/>
      <c r="F492" s="4"/>
      <c r="G492" s="4"/>
    </row>
    <row r="493">
      <c r="A493" s="4"/>
      <c r="B493" s="4"/>
      <c r="C493" s="4"/>
      <c r="D493" s="4"/>
      <c r="E493" s="4"/>
      <c r="F493" s="4"/>
      <c r="G493" s="4"/>
    </row>
    <row r="494">
      <c r="A494" s="4"/>
      <c r="B494" s="4"/>
      <c r="C494" s="4"/>
      <c r="D494" s="4"/>
      <c r="E494" s="4"/>
      <c r="F494" s="4"/>
      <c r="G494" s="4"/>
    </row>
    <row r="495">
      <c r="A495" s="4"/>
      <c r="B495" s="4"/>
      <c r="C495" s="4"/>
      <c r="D495" s="4"/>
      <c r="E495" s="4"/>
      <c r="F495" s="4"/>
      <c r="G495" s="4"/>
    </row>
    <row r="496">
      <c r="A496" s="4"/>
      <c r="B496" s="4"/>
      <c r="C496" s="4"/>
      <c r="D496" s="4"/>
      <c r="E496" s="4"/>
      <c r="F496" s="4"/>
      <c r="G496" s="4"/>
    </row>
    <row r="497">
      <c r="A497" s="4"/>
      <c r="B497" s="4"/>
      <c r="C497" s="4"/>
      <c r="D497" s="4"/>
      <c r="E497" s="4"/>
      <c r="F497" s="4"/>
      <c r="G497" s="4"/>
    </row>
    <row r="498">
      <c r="A498" s="4"/>
      <c r="B498" s="4"/>
      <c r="C498" s="4"/>
      <c r="D498" s="4"/>
      <c r="E498" s="4"/>
      <c r="F498" s="4"/>
      <c r="G498" s="4"/>
    </row>
    <row r="499">
      <c r="A499" s="4"/>
      <c r="B499" s="4"/>
      <c r="C499" s="4"/>
      <c r="D499" s="4"/>
      <c r="E499" s="4"/>
      <c r="F499" s="4"/>
      <c r="G499" s="4"/>
    </row>
    <row r="500">
      <c r="A500" s="4"/>
      <c r="B500" s="4"/>
      <c r="C500" s="4"/>
      <c r="D500" s="4"/>
      <c r="E500" s="4"/>
      <c r="F500" s="4"/>
      <c r="G500" s="4"/>
    </row>
    <row r="501">
      <c r="A501" s="4"/>
      <c r="B501" s="4"/>
      <c r="C501" s="4"/>
      <c r="D501" s="4"/>
      <c r="E501" s="4"/>
      <c r="F501" s="4"/>
      <c r="G501" s="4"/>
    </row>
    <row r="502">
      <c r="A502" s="4"/>
      <c r="B502" s="4"/>
      <c r="C502" s="4"/>
      <c r="D502" s="4"/>
      <c r="E502" s="4"/>
      <c r="F502" s="4"/>
      <c r="G502" s="4"/>
    </row>
    <row r="503">
      <c r="A503" s="4"/>
      <c r="B503" s="4"/>
      <c r="C503" s="4"/>
      <c r="D503" s="4"/>
      <c r="E503" s="4"/>
      <c r="F503" s="4"/>
      <c r="G503" s="4"/>
    </row>
    <row r="504">
      <c r="A504" s="4"/>
      <c r="B504" s="4"/>
      <c r="C504" s="4"/>
      <c r="D504" s="4"/>
      <c r="E504" s="4"/>
      <c r="F504" s="4"/>
      <c r="G504" s="4"/>
    </row>
    <row r="505">
      <c r="A505" s="4"/>
      <c r="B505" s="4"/>
      <c r="C505" s="4"/>
      <c r="D505" s="4"/>
      <c r="E505" s="4"/>
      <c r="F505" s="4"/>
      <c r="G505" s="4"/>
    </row>
    <row r="506">
      <c r="A506" s="4"/>
      <c r="B506" s="4"/>
      <c r="C506" s="4"/>
      <c r="D506" s="4"/>
      <c r="E506" s="4"/>
      <c r="F506" s="4"/>
      <c r="G506" s="4"/>
    </row>
    <row r="507">
      <c r="A507" s="4"/>
      <c r="B507" s="4"/>
      <c r="C507" s="4"/>
      <c r="D507" s="4"/>
      <c r="E507" s="4"/>
      <c r="F507" s="4"/>
      <c r="G507" s="4"/>
    </row>
    <row r="508">
      <c r="A508" s="4"/>
      <c r="B508" s="4"/>
      <c r="C508" s="4"/>
      <c r="D508" s="4"/>
      <c r="E508" s="4"/>
      <c r="F508" s="4"/>
      <c r="G508" s="4"/>
    </row>
    <row r="509">
      <c r="A509" s="4"/>
      <c r="B509" s="4"/>
      <c r="C509" s="4"/>
      <c r="D509" s="4"/>
      <c r="E509" s="4"/>
      <c r="F509" s="4"/>
      <c r="G509" s="4"/>
    </row>
    <row r="510">
      <c r="A510" s="4"/>
      <c r="B510" s="4"/>
      <c r="C510" s="4"/>
      <c r="D510" s="4"/>
      <c r="E510" s="4"/>
      <c r="F510" s="4"/>
      <c r="G510" s="4"/>
    </row>
    <row r="511">
      <c r="A511" s="4"/>
      <c r="B511" s="4"/>
      <c r="C511" s="4"/>
      <c r="D511" s="4"/>
      <c r="E511" s="4"/>
      <c r="F511" s="4"/>
      <c r="G511" s="4"/>
    </row>
    <row r="512">
      <c r="A512" s="4"/>
      <c r="B512" s="4"/>
      <c r="C512" s="4"/>
      <c r="D512" s="4"/>
      <c r="E512" s="4"/>
      <c r="F512" s="4"/>
      <c r="G512" s="4"/>
    </row>
    <row r="513">
      <c r="A513" s="4"/>
      <c r="B513" s="4"/>
      <c r="C513" s="4"/>
      <c r="D513" s="4"/>
      <c r="E513" s="4"/>
      <c r="F513" s="4"/>
      <c r="G513" s="4"/>
    </row>
    <row r="514">
      <c r="A514" s="4"/>
      <c r="B514" s="4"/>
      <c r="C514" s="4"/>
      <c r="D514" s="4"/>
      <c r="E514" s="4"/>
      <c r="F514" s="4"/>
      <c r="G514" s="4"/>
    </row>
    <row r="515">
      <c r="A515" s="4"/>
      <c r="B515" s="4"/>
      <c r="C515" s="4"/>
      <c r="D515" s="4"/>
      <c r="E515" s="4"/>
      <c r="F515" s="4"/>
      <c r="G515" s="4"/>
    </row>
    <row r="516">
      <c r="A516" s="4"/>
      <c r="B516" s="4"/>
      <c r="C516" s="4"/>
      <c r="D516" s="4"/>
      <c r="E516" s="4"/>
      <c r="F516" s="4"/>
      <c r="G516" s="4"/>
    </row>
    <row r="517">
      <c r="A517" s="4"/>
      <c r="B517" s="4"/>
      <c r="C517" s="4"/>
      <c r="D517" s="4"/>
      <c r="E517" s="4"/>
      <c r="F517" s="4"/>
      <c r="G517" s="4"/>
    </row>
    <row r="518">
      <c r="A518" s="4"/>
      <c r="B518" s="4"/>
      <c r="C518" s="4"/>
      <c r="D518" s="4"/>
      <c r="E518" s="4"/>
      <c r="F518" s="4"/>
      <c r="G518" s="4"/>
    </row>
    <row r="519">
      <c r="A519" s="4"/>
      <c r="B519" s="4"/>
      <c r="C519" s="4"/>
      <c r="D519" s="4"/>
      <c r="E519" s="4"/>
      <c r="F519" s="4"/>
      <c r="G519" s="4"/>
    </row>
    <row r="520">
      <c r="A520" s="4"/>
      <c r="B520" s="4"/>
      <c r="C520" s="4"/>
      <c r="D520" s="4"/>
      <c r="E520" s="4"/>
      <c r="F520" s="4"/>
      <c r="G520" s="4"/>
    </row>
    <row r="521">
      <c r="A521" s="4"/>
      <c r="B521" s="4"/>
      <c r="C521" s="4"/>
      <c r="D521" s="4"/>
      <c r="E521" s="4"/>
      <c r="F521" s="4"/>
      <c r="G521" s="4"/>
    </row>
    <row r="522">
      <c r="A522" s="4"/>
      <c r="B522" s="4"/>
      <c r="C522" s="4"/>
      <c r="D522" s="4"/>
      <c r="E522" s="4"/>
      <c r="F522" s="4"/>
      <c r="G522" s="4"/>
    </row>
    <row r="523">
      <c r="A523" s="4"/>
      <c r="B523" s="4"/>
      <c r="C523" s="4"/>
      <c r="D523" s="4"/>
      <c r="E523" s="4"/>
      <c r="F523" s="4"/>
      <c r="G523" s="4"/>
    </row>
    <row r="524">
      <c r="A524" s="4"/>
      <c r="B524" s="4"/>
      <c r="C524" s="4"/>
      <c r="D524" s="4"/>
      <c r="E524" s="4"/>
      <c r="F524" s="4"/>
      <c r="G524" s="4"/>
    </row>
    <row r="525">
      <c r="A525" s="4"/>
      <c r="B525" s="4"/>
      <c r="C525" s="4"/>
      <c r="D525" s="4"/>
      <c r="E525" s="4"/>
      <c r="F525" s="4"/>
      <c r="G525" s="4"/>
    </row>
    <row r="526">
      <c r="A526" s="4"/>
      <c r="B526" s="4"/>
      <c r="C526" s="4"/>
      <c r="D526" s="4"/>
      <c r="E526" s="4"/>
      <c r="F526" s="4"/>
      <c r="G526" s="4"/>
    </row>
    <row r="527">
      <c r="A527" s="4"/>
      <c r="B527" s="4"/>
      <c r="C527" s="4"/>
      <c r="D527" s="4"/>
      <c r="E527" s="4"/>
      <c r="F527" s="4"/>
      <c r="G527" s="4"/>
    </row>
    <row r="528">
      <c r="A528" s="4"/>
      <c r="B528" s="4"/>
      <c r="C528" s="4"/>
      <c r="D528" s="4"/>
      <c r="E528" s="4"/>
      <c r="F528" s="4"/>
      <c r="G528" s="4"/>
    </row>
    <row r="529">
      <c r="A529" s="4"/>
      <c r="B529" s="4"/>
      <c r="C529" s="4"/>
      <c r="D529" s="4"/>
      <c r="E529" s="4"/>
      <c r="F529" s="4"/>
      <c r="G529" s="4"/>
    </row>
    <row r="530">
      <c r="A530" s="4"/>
      <c r="B530" s="4"/>
      <c r="C530" s="4"/>
      <c r="D530" s="4"/>
      <c r="E530" s="4"/>
      <c r="F530" s="4"/>
      <c r="G530" s="4"/>
    </row>
    <row r="531">
      <c r="A531" s="4"/>
      <c r="B531" s="4"/>
      <c r="C531" s="4"/>
      <c r="D531" s="4"/>
      <c r="E531" s="4"/>
      <c r="F531" s="4"/>
      <c r="G531" s="4"/>
    </row>
    <row r="532">
      <c r="A532" s="4"/>
      <c r="B532" s="4"/>
      <c r="C532" s="4"/>
      <c r="D532" s="4"/>
      <c r="E532" s="4"/>
      <c r="F532" s="4"/>
      <c r="G532" s="4"/>
    </row>
    <row r="533">
      <c r="A533" s="4"/>
      <c r="B533" s="4"/>
      <c r="C533" s="4"/>
      <c r="D533" s="4"/>
      <c r="E533" s="4"/>
      <c r="F533" s="4"/>
      <c r="G533" s="4"/>
    </row>
    <row r="534">
      <c r="A534" s="4"/>
      <c r="B534" s="4"/>
      <c r="C534" s="4"/>
      <c r="D534" s="4"/>
      <c r="E534" s="4"/>
      <c r="F534" s="4"/>
      <c r="G534" s="4"/>
    </row>
    <row r="535">
      <c r="A535" s="4"/>
      <c r="B535" s="4"/>
      <c r="C535" s="4"/>
      <c r="D535" s="4"/>
      <c r="E535" s="4"/>
      <c r="F535" s="4"/>
      <c r="G535" s="4"/>
    </row>
    <row r="536">
      <c r="A536" s="4"/>
      <c r="B536" s="4"/>
      <c r="C536" s="4"/>
      <c r="D536" s="4"/>
      <c r="E536" s="4"/>
      <c r="F536" s="4"/>
      <c r="G536" s="4"/>
    </row>
    <row r="537">
      <c r="A537" s="4"/>
      <c r="B537" s="4"/>
      <c r="C537" s="4"/>
      <c r="D537" s="4"/>
      <c r="E537" s="4"/>
      <c r="F537" s="4"/>
      <c r="G537" s="4"/>
    </row>
    <row r="538">
      <c r="A538" s="4"/>
      <c r="B538" s="4"/>
      <c r="C538" s="4"/>
      <c r="D538" s="4"/>
      <c r="E538" s="4"/>
      <c r="F538" s="4"/>
      <c r="G538" s="4"/>
    </row>
    <row r="539">
      <c r="A539" s="4"/>
      <c r="B539" s="4"/>
      <c r="C539" s="4"/>
      <c r="D539" s="4"/>
      <c r="E539" s="4"/>
      <c r="F539" s="4"/>
      <c r="G539" s="4"/>
    </row>
    <row r="540">
      <c r="A540" s="4"/>
      <c r="B540" s="4"/>
      <c r="C540" s="4"/>
      <c r="D540" s="4"/>
      <c r="E540" s="4"/>
      <c r="F540" s="4"/>
      <c r="G540" s="4"/>
    </row>
    <row r="541">
      <c r="A541" s="4"/>
      <c r="B541" s="4"/>
      <c r="C541" s="4"/>
      <c r="D541" s="4"/>
      <c r="E541" s="4"/>
      <c r="F541" s="4"/>
      <c r="G541" s="4"/>
    </row>
    <row r="542">
      <c r="A542" s="4"/>
      <c r="B542" s="4"/>
      <c r="C542" s="4"/>
      <c r="D542" s="4"/>
      <c r="E542" s="4"/>
      <c r="F542" s="4"/>
      <c r="G542" s="4"/>
    </row>
    <row r="543">
      <c r="A543" s="4"/>
      <c r="B543" s="4"/>
      <c r="C543" s="4"/>
      <c r="D543" s="4"/>
      <c r="E543" s="4"/>
      <c r="F543" s="4"/>
      <c r="G543" s="4"/>
    </row>
    <row r="544">
      <c r="A544" s="4"/>
      <c r="B544" s="4"/>
      <c r="C544" s="4"/>
      <c r="D544" s="4"/>
      <c r="E544" s="4"/>
      <c r="F544" s="4"/>
      <c r="G544" s="4"/>
    </row>
    <row r="545">
      <c r="A545" s="4"/>
      <c r="B545" s="4"/>
      <c r="C545" s="4"/>
      <c r="D545" s="4"/>
      <c r="E545" s="4"/>
      <c r="F545" s="4"/>
      <c r="G545" s="4"/>
    </row>
    <row r="546">
      <c r="A546" s="4"/>
      <c r="B546" s="4"/>
      <c r="C546" s="4"/>
      <c r="D546" s="4"/>
      <c r="E546" s="4"/>
      <c r="F546" s="4"/>
      <c r="G546" s="4"/>
    </row>
    <row r="547">
      <c r="A547" s="4"/>
      <c r="B547" s="4"/>
      <c r="C547" s="4"/>
      <c r="D547" s="4"/>
      <c r="E547" s="4"/>
      <c r="F547" s="4"/>
      <c r="G547" s="4"/>
    </row>
    <row r="548">
      <c r="A548" s="4"/>
      <c r="B548" s="4"/>
      <c r="C548" s="4"/>
      <c r="D548" s="4"/>
      <c r="E548" s="4"/>
      <c r="F548" s="4"/>
      <c r="G548" s="4"/>
    </row>
    <row r="549">
      <c r="A549" s="4"/>
      <c r="B549" s="4"/>
      <c r="C549" s="4"/>
      <c r="D549" s="4"/>
      <c r="E549" s="4"/>
      <c r="F549" s="4"/>
      <c r="G549" s="4"/>
    </row>
    <row r="550">
      <c r="A550" s="4"/>
      <c r="B550" s="4"/>
      <c r="C550" s="4"/>
      <c r="D550" s="4"/>
      <c r="E550" s="4"/>
      <c r="F550" s="4"/>
      <c r="G550" s="4"/>
    </row>
    <row r="551">
      <c r="A551" s="4"/>
      <c r="B551" s="4"/>
      <c r="C551" s="4"/>
      <c r="D551" s="4"/>
      <c r="E551" s="4"/>
      <c r="F551" s="4"/>
      <c r="G551" s="4"/>
    </row>
    <row r="552">
      <c r="A552" s="4"/>
      <c r="B552" s="4"/>
      <c r="C552" s="4"/>
      <c r="D552" s="4"/>
      <c r="E552" s="4"/>
      <c r="F552" s="4"/>
      <c r="G552" s="4"/>
    </row>
    <row r="553">
      <c r="A553" s="4"/>
      <c r="B553" s="4"/>
      <c r="C553" s="4"/>
      <c r="D553" s="4"/>
      <c r="E553" s="4"/>
      <c r="F553" s="4"/>
      <c r="G553" s="4"/>
    </row>
    <row r="554">
      <c r="A554" s="4"/>
      <c r="B554" s="4"/>
      <c r="C554" s="4"/>
      <c r="D554" s="4"/>
      <c r="E554" s="4"/>
      <c r="F554" s="4"/>
      <c r="G554" s="4"/>
    </row>
    <row r="555">
      <c r="A555" s="4"/>
      <c r="B555" s="4"/>
      <c r="C555" s="4"/>
      <c r="D555" s="4"/>
      <c r="E555" s="4"/>
      <c r="F555" s="4"/>
      <c r="G555" s="4"/>
    </row>
    <row r="556">
      <c r="A556" s="4"/>
      <c r="B556" s="4"/>
      <c r="C556" s="4"/>
      <c r="D556" s="4"/>
      <c r="E556" s="4"/>
      <c r="F556" s="4"/>
      <c r="G556" s="4"/>
    </row>
    <row r="557">
      <c r="A557" s="4"/>
      <c r="B557" s="4"/>
      <c r="C557" s="4"/>
      <c r="D557" s="4"/>
      <c r="E557" s="4"/>
      <c r="F557" s="4"/>
      <c r="G557" s="4"/>
    </row>
    <row r="558">
      <c r="A558" s="4"/>
      <c r="B558" s="4"/>
      <c r="C558" s="4"/>
      <c r="D558" s="4"/>
      <c r="E558" s="4"/>
      <c r="F558" s="4"/>
      <c r="G558" s="4"/>
    </row>
    <row r="559">
      <c r="A559" s="4"/>
      <c r="B559" s="4"/>
      <c r="C559" s="4"/>
      <c r="D559" s="4"/>
      <c r="E559" s="4"/>
      <c r="F559" s="4"/>
      <c r="G559" s="4"/>
    </row>
    <row r="560">
      <c r="A560" s="4"/>
      <c r="B560" s="4"/>
      <c r="C560" s="4"/>
      <c r="D560" s="4"/>
      <c r="E560" s="4"/>
      <c r="F560" s="4"/>
      <c r="G560" s="4"/>
    </row>
    <row r="561">
      <c r="A561" s="4"/>
      <c r="B561" s="4"/>
      <c r="C561" s="4"/>
      <c r="D561" s="4"/>
      <c r="E561" s="4"/>
      <c r="F561" s="4"/>
      <c r="G561" s="4"/>
    </row>
    <row r="562">
      <c r="A562" s="4"/>
      <c r="B562" s="4"/>
      <c r="C562" s="4"/>
      <c r="D562" s="4"/>
      <c r="E562" s="4"/>
      <c r="F562" s="4"/>
      <c r="G562" s="4"/>
    </row>
    <row r="563">
      <c r="A563" s="4"/>
      <c r="B563" s="4"/>
      <c r="C563" s="4"/>
      <c r="D563" s="4"/>
      <c r="E563" s="4"/>
      <c r="F563" s="4"/>
      <c r="G563" s="4"/>
    </row>
    <row r="564">
      <c r="A564" s="4"/>
      <c r="B564" s="4"/>
      <c r="C564" s="4"/>
      <c r="D564" s="4"/>
      <c r="E564" s="4"/>
      <c r="F564" s="4"/>
      <c r="G564" s="4"/>
    </row>
    <row r="565">
      <c r="A565" s="4"/>
      <c r="B565" s="4"/>
      <c r="C565" s="4"/>
      <c r="D565" s="4"/>
      <c r="E565" s="4"/>
      <c r="F565" s="4"/>
      <c r="G565" s="4"/>
    </row>
    <row r="566">
      <c r="A566" s="4"/>
      <c r="B566" s="4"/>
      <c r="C566" s="4"/>
      <c r="D566" s="4"/>
      <c r="E566" s="4"/>
      <c r="F566" s="4"/>
      <c r="G566" s="4"/>
    </row>
    <row r="567">
      <c r="A567" s="4"/>
      <c r="B567" s="4"/>
      <c r="C567" s="4"/>
      <c r="D567" s="4"/>
      <c r="E567" s="4"/>
      <c r="F567" s="4"/>
      <c r="G567" s="4"/>
    </row>
    <row r="568">
      <c r="A568" s="4"/>
      <c r="B568" s="4"/>
      <c r="C568" s="4"/>
      <c r="D568" s="4"/>
      <c r="E568" s="4"/>
      <c r="F568" s="4"/>
      <c r="G568" s="4"/>
    </row>
    <row r="569">
      <c r="A569" s="4"/>
      <c r="B569" s="4"/>
      <c r="C569" s="4"/>
      <c r="D569" s="4"/>
      <c r="E569" s="4"/>
      <c r="F569" s="4"/>
      <c r="G569" s="4"/>
    </row>
    <row r="570">
      <c r="A570" s="4"/>
      <c r="B570" s="4"/>
      <c r="C570" s="4"/>
      <c r="D570" s="4"/>
      <c r="E570" s="4"/>
      <c r="F570" s="4"/>
      <c r="G570" s="4"/>
    </row>
    <row r="571">
      <c r="A571" s="4"/>
      <c r="B571" s="4"/>
      <c r="C571" s="4"/>
      <c r="D571" s="4"/>
      <c r="E571" s="4"/>
      <c r="F571" s="4"/>
      <c r="G571" s="4"/>
    </row>
    <row r="572">
      <c r="A572" s="4"/>
      <c r="B572" s="4"/>
      <c r="C572" s="4"/>
      <c r="D572" s="4"/>
      <c r="E572" s="4"/>
      <c r="F572" s="4"/>
      <c r="G572" s="4"/>
    </row>
    <row r="573">
      <c r="A573" s="4"/>
      <c r="B573" s="4"/>
      <c r="C573" s="4"/>
      <c r="D573" s="4"/>
      <c r="E573" s="4"/>
      <c r="F573" s="4"/>
      <c r="G573" s="4"/>
    </row>
    <row r="574">
      <c r="A574" s="4"/>
      <c r="B574" s="4"/>
      <c r="C574" s="4"/>
      <c r="D574" s="4"/>
      <c r="E574" s="4"/>
      <c r="F574" s="4"/>
      <c r="G574" s="4"/>
    </row>
    <row r="575">
      <c r="A575" s="4"/>
      <c r="B575" s="4"/>
      <c r="C575" s="4"/>
      <c r="D575" s="4"/>
      <c r="E575" s="4"/>
      <c r="F575" s="4"/>
      <c r="G575" s="4"/>
    </row>
    <row r="576">
      <c r="A576" s="4"/>
      <c r="B576" s="4"/>
      <c r="C576" s="4"/>
      <c r="D576" s="4"/>
      <c r="E576" s="4"/>
      <c r="F576" s="4"/>
      <c r="G576" s="4"/>
    </row>
    <row r="577">
      <c r="A577" s="4"/>
      <c r="B577" s="4"/>
      <c r="C577" s="4"/>
      <c r="D577" s="4"/>
      <c r="E577" s="4"/>
      <c r="F577" s="4"/>
      <c r="G577" s="4"/>
    </row>
    <row r="578">
      <c r="A578" s="4"/>
      <c r="B578" s="4"/>
      <c r="C578" s="4"/>
      <c r="D578" s="4"/>
      <c r="E578" s="4"/>
      <c r="F578" s="4"/>
      <c r="G578" s="4"/>
    </row>
    <row r="579">
      <c r="A579" s="4"/>
      <c r="B579" s="4"/>
      <c r="C579" s="4"/>
      <c r="D579" s="4"/>
      <c r="E579" s="4"/>
      <c r="F579" s="4"/>
      <c r="G579" s="4"/>
    </row>
    <row r="580">
      <c r="A580" s="4"/>
      <c r="B580" s="4"/>
      <c r="C580" s="4"/>
      <c r="D580" s="4"/>
      <c r="E580" s="4"/>
      <c r="F580" s="4"/>
      <c r="G580" s="4"/>
    </row>
    <row r="581">
      <c r="A581" s="4"/>
      <c r="B581" s="4"/>
      <c r="C581" s="4"/>
      <c r="D581" s="4"/>
      <c r="E581" s="4"/>
      <c r="F581" s="4"/>
      <c r="G581" s="4"/>
    </row>
    <row r="582">
      <c r="A582" s="4"/>
      <c r="B582" s="4"/>
      <c r="C582" s="4"/>
      <c r="D582" s="4"/>
      <c r="E582" s="4"/>
      <c r="F582" s="4"/>
      <c r="G582" s="4"/>
    </row>
    <row r="583">
      <c r="A583" s="4"/>
      <c r="B583" s="4"/>
      <c r="C583" s="4"/>
      <c r="D583" s="4"/>
      <c r="E583" s="4"/>
      <c r="F583" s="4"/>
      <c r="G583" s="4"/>
    </row>
    <row r="584">
      <c r="A584" s="4"/>
      <c r="B584" s="4"/>
      <c r="C584" s="4"/>
      <c r="D584" s="4"/>
      <c r="E584" s="4"/>
      <c r="F584" s="4"/>
      <c r="G584" s="4"/>
    </row>
    <row r="585">
      <c r="A585" s="4"/>
      <c r="B585" s="4"/>
      <c r="C585" s="4"/>
      <c r="D585" s="4"/>
      <c r="E585" s="4"/>
      <c r="F585" s="4"/>
      <c r="G585" s="4"/>
    </row>
    <row r="586">
      <c r="A586" s="4"/>
      <c r="B586" s="4"/>
      <c r="C586" s="4"/>
      <c r="D586" s="4"/>
      <c r="E586" s="4"/>
      <c r="F586" s="4"/>
      <c r="G586" s="4"/>
    </row>
    <row r="587">
      <c r="A587" s="4"/>
      <c r="B587" s="4"/>
      <c r="C587" s="4"/>
      <c r="D587" s="4"/>
      <c r="E587" s="4"/>
      <c r="F587" s="4"/>
      <c r="G587" s="4"/>
    </row>
    <row r="588">
      <c r="A588" s="4"/>
      <c r="B588" s="4"/>
      <c r="C588" s="4"/>
      <c r="D588" s="4"/>
      <c r="E588" s="4"/>
      <c r="F588" s="4"/>
      <c r="G588" s="4"/>
    </row>
    <row r="589">
      <c r="A589" s="4"/>
      <c r="B589" s="4"/>
      <c r="C589" s="4"/>
      <c r="D589" s="4"/>
      <c r="E589" s="4"/>
      <c r="F589" s="4"/>
      <c r="G589" s="4"/>
    </row>
    <row r="590">
      <c r="A590" s="4"/>
      <c r="B590" s="4"/>
      <c r="C590" s="4"/>
      <c r="D590" s="4"/>
      <c r="E590" s="4"/>
      <c r="F590" s="4"/>
      <c r="G590" s="4"/>
    </row>
    <row r="591">
      <c r="A591" s="4"/>
      <c r="B591" s="4"/>
      <c r="C591" s="4"/>
      <c r="D591" s="4"/>
      <c r="E591" s="4"/>
      <c r="F591" s="4"/>
      <c r="G591" s="4"/>
    </row>
    <row r="592">
      <c r="A592" s="4"/>
      <c r="B592" s="4"/>
      <c r="C592" s="4"/>
      <c r="D592" s="4"/>
      <c r="E592" s="4"/>
      <c r="F592" s="4"/>
      <c r="G592" s="4"/>
    </row>
    <row r="593">
      <c r="A593" s="4"/>
      <c r="B593" s="4"/>
      <c r="C593" s="4"/>
      <c r="D593" s="4"/>
      <c r="E593" s="4"/>
      <c r="F593" s="4"/>
      <c r="G593" s="4"/>
    </row>
    <row r="594">
      <c r="A594" s="4"/>
      <c r="B594" s="4"/>
      <c r="C594" s="4"/>
      <c r="D594" s="4"/>
      <c r="E594" s="4"/>
      <c r="F594" s="4"/>
      <c r="G594" s="4"/>
    </row>
    <row r="595">
      <c r="A595" s="4"/>
      <c r="B595" s="4"/>
      <c r="C595" s="4"/>
      <c r="D595" s="4"/>
      <c r="E595" s="4"/>
      <c r="F595" s="4"/>
      <c r="G595" s="4"/>
    </row>
    <row r="596">
      <c r="A596" s="4"/>
      <c r="B596" s="4"/>
      <c r="C596" s="4"/>
      <c r="D596" s="4"/>
      <c r="E596" s="4"/>
      <c r="F596" s="4"/>
      <c r="G596" s="4"/>
    </row>
    <row r="597">
      <c r="A597" s="4"/>
      <c r="B597" s="4"/>
      <c r="C597" s="4"/>
      <c r="D597" s="4"/>
      <c r="E597" s="4"/>
      <c r="F597" s="4"/>
      <c r="G597" s="4"/>
    </row>
    <row r="598">
      <c r="A598" s="4"/>
      <c r="B598" s="4"/>
      <c r="C598" s="4"/>
      <c r="D598" s="4"/>
      <c r="E598" s="4"/>
      <c r="F598" s="4"/>
      <c r="G598" s="4"/>
    </row>
    <row r="599">
      <c r="A599" s="4"/>
      <c r="B599" s="4"/>
      <c r="C599" s="4"/>
      <c r="D599" s="4"/>
      <c r="E599" s="4"/>
      <c r="F599" s="4"/>
      <c r="G599" s="4"/>
    </row>
    <row r="600">
      <c r="A600" s="4"/>
      <c r="B600" s="4"/>
      <c r="C600" s="4"/>
      <c r="D600" s="4"/>
      <c r="E600" s="4"/>
      <c r="F600" s="4"/>
      <c r="G600" s="4"/>
    </row>
    <row r="601">
      <c r="A601" s="4"/>
      <c r="B601" s="4"/>
      <c r="C601" s="4"/>
      <c r="D601" s="4"/>
      <c r="E601" s="4"/>
      <c r="F601" s="4"/>
      <c r="G601" s="4"/>
    </row>
    <row r="602">
      <c r="A602" s="4"/>
      <c r="B602" s="4"/>
      <c r="C602" s="4"/>
      <c r="D602" s="4"/>
      <c r="E602" s="4"/>
      <c r="F602" s="4"/>
      <c r="G602" s="4"/>
    </row>
    <row r="603">
      <c r="A603" s="4"/>
      <c r="B603" s="4"/>
      <c r="C603" s="4"/>
      <c r="D603" s="4"/>
      <c r="E603" s="4"/>
      <c r="F603" s="4"/>
      <c r="G603" s="4"/>
    </row>
    <row r="604">
      <c r="A604" s="4"/>
      <c r="B604" s="4"/>
      <c r="C604" s="4"/>
      <c r="D604" s="4"/>
      <c r="E604" s="4"/>
      <c r="F604" s="4"/>
      <c r="G604" s="4"/>
    </row>
    <row r="605">
      <c r="A605" s="4"/>
      <c r="B605" s="4"/>
      <c r="C605" s="4"/>
      <c r="D605" s="4"/>
      <c r="E605" s="4"/>
      <c r="F605" s="4"/>
      <c r="G605" s="4"/>
    </row>
    <row r="606">
      <c r="A606" s="4"/>
      <c r="B606" s="4"/>
      <c r="C606" s="4"/>
      <c r="D606" s="4"/>
      <c r="E606" s="4"/>
      <c r="F606" s="4"/>
      <c r="G606" s="4"/>
    </row>
    <row r="607">
      <c r="A607" s="4"/>
      <c r="B607" s="4"/>
      <c r="C607" s="4"/>
      <c r="D607" s="4"/>
      <c r="E607" s="4"/>
      <c r="F607" s="4"/>
      <c r="G607" s="4"/>
    </row>
    <row r="608">
      <c r="A608" s="4"/>
      <c r="B608" s="4"/>
      <c r="C608" s="4"/>
      <c r="D608" s="4"/>
      <c r="E608" s="4"/>
      <c r="F608" s="4"/>
      <c r="G608" s="4"/>
    </row>
    <row r="609">
      <c r="A609" s="4"/>
      <c r="B609" s="4"/>
      <c r="C609" s="4"/>
      <c r="D609" s="4"/>
      <c r="E609" s="4"/>
      <c r="F609" s="4"/>
      <c r="G609" s="4"/>
    </row>
    <row r="610">
      <c r="A610" s="4"/>
      <c r="B610" s="4"/>
      <c r="C610" s="4"/>
      <c r="D610" s="4"/>
      <c r="E610" s="4"/>
      <c r="F610" s="4"/>
      <c r="G610" s="4"/>
    </row>
    <row r="611">
      <c r="A611" s="4"/>
      <c r="B611" s="4"/>
      <c r="C611" s="4"/>
      <c r="D611" s="4"/>
      <c r="E611" s="4"/>
      <c r="F611" s="4"/>
      <c r="G611" s="4"/>
    </row>
    <row r="612">
      <c r="A612" s="4"/>
      <c r="B612" s="4"/>
      <c r="C612" s="4"/>
      <c r="D612" s="4"/>
      <c r="E612" s="4"/>
      <c r="F612" s="4"/>
      <c r="G612" s="4"/>
    </row>
    <row r="613">
      <c r="A613" s="4"/>
      <c r="B613" s="4"/>
      <c r="C613" s="4"/>
      <c r="D613" s="4"/>
      <c r="E613" s="4"/>
      <c r="F613" s="4"/>
      <c r="G613" s="4"/>
    </row>
    <row r="614">
      <c r="A614" s="4"/>
      <c r="B614" s="4"/>
      <c r="C614" s="4"/>
      <c r="D614" s="4"/>
      <c r="E614" s="4"/>
      <c r="F614" s="4"/>
      <c r="G614" s="4"/>
    </row>
    <row r="615">
      <c r="A615" s="4"/>
      <c r="B615" s="4"/>
      <c r="C615" s="4"/>
      <c r="D615" s="4"/>
      <c r="E615" s="4"/>
      <c r="F615" s="4"/>
      <c r="G615" s="4"/>
    </row>
    <row r="616">
      <c r="A616" s="4"/>
      <c r="B616" s="4"/>
      <c r="C616" s="4"/>
      <c r="D616" s="4"/>
      <c r="E616" s="4"/>
      <c r="F616" s="4"/>
      <c r="G616" s="4"/>
    </row>
    <row r="617">
      <c r="A617" s="4"/>
      <c r="B617" s="4"/>
      <c r="C617" s="4"/>
      <c r="D617" s="4"/>
      <c r="E617" s="4"/>
      <c r="F617" s="4"/>
      <c r="G617" s="4"/>
    </row>
    <row r="618">
      <c r="A618" s="4"/>
      <c r="B618" s="4"/>
      <c r="C618" s="4"/>
      <c r="D618" s="4"/>
      <c r="E618" s="4"/>
      <c r="F618" s="4"/>
      <c r="G618" s="4"/>
    </row>
    <row r="619">
      <c r="A619" s="4"/>
      <c r="B619" s="4"/>
      <c r="C619" s="4"/>
      <c r="D619" s="4"/>
      <c r="E619" s="4"/>
      <c r="F619" s="4"/>
      <c r="G619" s="4"/>
    </row>
    <row r="620">
      <c r="A620" s="4"/>
      <c r="B620" s="4"/>
      <c r="C620" s="4"/>
      <c r="D620" s="4"/>
      <c r="E620" s="4"/>
      <c r="F620" s="4"/>
      <c r="G620" s="4"/>
    </row>
    <row r="621">
      <c r="A621" s="4"/>
      <c r="B621" s="4"/>
      <c r="C621" s="4"/>
      <c r="D621" s="4"/>
      <c r="E621" s="4"/>
      <c r="F621" s="4"/>
      <c r="G621" s="4"/>
    </row>
    <row r="622">
      <c r="A622" s="4"/>
      <c r="B622" s="4"/>
      <c r="C622" s="4"/>
      <c r="D622" s="4"/>
      <c r="E622" s="4"/>
      <c r="F622" s="4"/>
      <c r="G622" s="4"/>
    </row>
    <row r="623">
      <c r="A623" s="4"/>
      <c r="B623" s="4"/>
      <c r="C623" s="4"/>
      <c r="D623" s="4"/>
      <c r="E623" s="4"/>
      <c r="F623" s="4"/>
      <c r="G623" s="4"/>
    </row>
    <row r="624">
      <c r="A624" s="4"/>
      <c r="B624" s="4"/>
      <c r="C624" s="4"/>
      <c r="D624" s="4"/>
      <c r="E624" s="4"/>
      <c r="F624" s="4"/>
      <c r="G624" s="4"/>
    </row>
    <row r="625">
      <c r="A625" s="4"/>
      <c r="B625" s="4"/>
      <c r="C625" s="4"/>
      <c r="D625" s="4"/>
      <c r="E625" s="4"/>
      <c r="F625" s="4"/>
      <c r="G625" s="4"/>
    </row>
    <row r="626">
      <c r="A626" s="4"/>
      <c r="B626" s="4"/>
      <c r="C626" s="4"/>
      <c r="D626" s="4"/>
      <c r="E626" s="4"/>
      <c r="F626" s="4"/>
      <c r="G626" s="4"/>
    </row>
    <row r="627">
      <c r="A627" s="4"/>
      <c r="B627" s="4"/>
      <c r="C627" s="4"/>
      <c r="D627" s="4"/>
      <c r="E627" s="4"/>
      <c r="F627" s="4"/>
      <c r="G627" s="4"/>
    </row>
    <row r="628">
      <c r="A628" s="4"/>
      <c r="B628" s="4"/>
      <c r="C628" s="4"/>
      <c r="D628" s="4"/>
      <c r="E628" s="4"/>
      <c r="F628" s="4"/>
      <c r="G628" s="4"/>
    </row>
    <row r="629">
      <c r="A629" s="4"/>
      <c r="B629" s="4"/>
      <c r="C629" s="4"/>
      <c r="D629" s="4"/>
      <c r="E629" s="4"/>
      <c r="F629" s="4"/>
      <c r="G629" s="4"/>
    </row>
    <row r="630">
      <c r="A630" s="4"/>
      <c r="B630" s="4"/>
      <c r="C630" s="4"/>
      <c r="D630" s="4"/>
      <c r="E630" s="4"/>
      <c r="F630" s="4"/>
      <c r="G630" s="4"/>
    </row>
    <row r="631">
      <c r="A631" s="4"/>
      <c r="B631" s="4"/>
      <c r="C631" s="4"/>
      <c r="D631" s="4"/>
      <c r="E631" s="4"/>
      <c r="F631" s="4"/>
      <c r="G631" s="4"/>
    </row>
    <row r="632">
      <c r="A632" s="4"/>
      <c r="B632" s="4"/>
      <c r="C632" s="4"/>
      <c r="D632" s="4"/>
      <c r="E632" s="4"/>
      <c r="F632" s="4"/>
      <c r="G632" s="4"/>
    </row>
    <row r="633">
      <c r="A633" s="4"/>
      <c r="B633" s="4"/>
      <c r="C633" s="4"/>
      <c r="D633" s="4"/>
      <c r="E633" s="4"/>
      <c r="F633" s="4"/>
      <c r="G633" s="4"/>
    </row>
    <row r="634">
      <c r="A634" s="4"/>
      <c r="B634" s="4"/>
      <c r="C634" s="4"/>
      <c r="D634" s="4"/>
      <c r="E634" s="4"/>
      <c r="F634" s="4"/>
      <c r="G634" s="4"/>
    </row>
    <row r="635">
      <c r="A635" s="4"/>
      <c r="B635" s="4"/>
      <c r="C635" s="4"/>
      <c r="D635" s="4"/>
      <c r="E635" s="4"/>
      <c r="F635" s="4"/>
      <c r="G635" s="4"/>
    </row>
    <row r="636">
      <c r="A636" s="4"/>
      <c r="B636" s="4"/>
      <c r="C636" s="4"/>
      <c r="D636" s="4"/>
      <c r="E636" s="4"/>
      <c r="F636" s="4"/>
      <c r="G636" s="4"/>
    </row>
    <row r="637">
      <c r="A637" s="4"/>
      <c r="B637" s="4"/>
      <c r="C637" s="4"/>
      <c r="D637" s="4"/>
      <c r="E637" s="4"/>
      <c r="F637" s="4"/>
      <c r="G637" s="4"/>
    </row>
    <row r="638">
      <c r="A638" s="4"/>
      <c r="B638" s="4"/>
      <c r="C638" s="4"/>
      <c r="D638" s="4"/>
      <c r="E638" s="4"/>
      <c r="F638" s="4"/>
      <c r="G638" s="4"/>
    </row>
    <row r="639">
      <c r="A639" s="4"/>
      <c r="B639" s="4"/>
      <c r="C639" s="4"/>
      <c r="D639" s="4"/>
      <c r="E639" s="4"/>
      <c r="F639" s="4"/>
      <c r="G639" s="4"/>
    </row>
    <row r="640">
      <c r="A640" s="4"/>
      <c r="B640" s="4"/>
      <c r="C640" s="4"/>
      <c r="D640" s="4"/>
      <c r="E640" s="4"/>
      <c r="F640" s="4"/>
      <c r="G640" s="4"/>
    </row>
    <row r="641">
      <c r="A641" s="4"/>
      <c r="B641" s="4"/>
      <c r="C641" s="4"/>
      <c r="D641" s="4"/>
      <c r="E641" s="4"/>
      <c r="F641" s="4"/>
      <c r="G641" s="4"/>
    </row>
    <row r="642">
      <c r="A642" s="4"/>
      <c r="B642" s="4"/>
      <c r="C642" s="4"/>
      <c r="D642" s="4"/>
      <c r="E642" s="4"/>
      <c r="F642" s="4"/>
      <c r="G642" s="4"/>
    </row>
    <row r="643">
      <c r="A643" s="4"/>
      <c r="B643" s="4"/>
      <c r="C643" s="4"/>
      <c r="D643" s="4"/>
      <c r="E643" s="4"/>
      <c r="F643" s="4"/>
      <c r="G643" s="4"/>
    </row>
    <row r="644">
      <c r="A644" s="4"/>
      <c r="B644" s="4"/>
      <c r="C644" s="4"/>
      <c r="D644" s="4"/>
      <c r="E644" s="4"/>
      <c r="F644" s="4"/>
      <c r="G644" s="4"/>
    </row>
    <row r="645">
      <c r="A645" s="4"/>
      <c r="B645" s="4"/>
      <c r="C645" s="4"/>
      <c r="D645" s="4"/>
      <c r="E645" s="4"/>
      <c r="F645" s="4"/>
      <c r="G645" s="4"/>
    </row>
    <row r="646">
      <c r="A646" s="4"/>
      <c r="B646" s="4"/>
      <c r="C646" s="4"/>
      <c r="D646" s="4"/>
      <c r="E646" s="4"/>
      <c r="F646" s="4"/>
      <c r="G646" s="4"/>
    </row>
    <row r="647">
      <c r="A647" s="4"/>
      <c r="B647" s="4"/>
      <c r="C647" s="4"/>
      <c r="D647" s="4"/>
      <c r="E647" s="4"/>
      <c r="F647" s="4"/>
      <c r="G647" s="4"/>
    </row>
    <row r="648">
      <c r="A648" s="4"/>
      <c r="B648" s="4"/>
      <c r="C648" s="4"/>
      <c r="D648" s="4"/>
      <c r="E648" s="4"/>
      <c r="F648" s="4"/>
      <c r="G648" s="4"/>
    </row>
    <row r="649">
      <c r="A649" s="4"/>
      <c r="B649" s="4"/>
      <c r="C649" s="4"/>
      <c r="D649" s="4"/>
      <c r="E649" s="4"/>
      <c r="F649" s="4"/>
      <c r="G649" s="4"/>
    </row>
    <row r="650">
      <c r="A650" s="4"/>
      <c r="B650" s="4"/>
      <c r="C650" s="4"/>
      <c r="D650" s="4"/>
      <c r="E650" s="4"/>
      <c r="F650" s="4"/>
      <c r="G650" s="4"/>
    </row>
    <row r="651">
      <c r="A651" s="4"/>
      <c r="B651" s="4"/>
      <c r="C651" s="4"/>
      <c r="D651" s="4"/>
      <c r="E651" s="4"/>
      <c r="F651" s="4"/>
      <c r="G651" s="4"/>
    </row>
    <row r="652">
      <c r="A652" s="4"/>
      <c r="B652" s="4"/>
      <c r="C652" s="4"/>
      <c r="D652" s="4"/>
      <c r="E652" s="4"/>
      <c r="F652" s="4"/>
      <c r="G652" s="4"/>
    </row>
    <row r="653">
      <c r="A653" s="4"/>
      <c r="B653" s="4"/>
      <c r="C653" s="4"/>
      <c r="D653" s="4"/>
      <c r="E653" s="4"/>
      <c r="F653" s="4"/>
      <c r="G653" s="4"/>
    </row>
    <row r="654">
      <c r="A654" s="4"/>
      <c r="B654" s="4"/>
      <c r="C654" s="4"/>
      <c r="D654" s="4"/>
      <c r="E654" s="4"/>
      <c r="F654" s="4"/>
      <c r="G654" s="4"/>
    </row>
    <row r="655">
      <c r="A655" s="4"/>
      <c r="B655" s="4"/>
      <c r="C655" s="4"/>
      <c r="D655" s="4"/>
      <c r="E655" s="4"/>
      <c r="F655" s="4"/>
      <c r="G655" s="4"/>
    </row>
    <row r="656">
      <c r="A656" s="4"/>
      <c r="B656" s="4"/>
      <c r="C656" s="4"/>
      <c r="D656" s="4"/>
      <c r="E656" s="4"/>
      <c r="F656" s="4"/>
      <c r="G656" s="4"/>
    </row>
    <row r="657">
      <c r="A657" s="4"/>
      <c r="B657" s="4"/>
      <c r="C657" s="4"/>
      <c r="D657" s="4"/>
      <c r="E657" s="4"/>
      <c r="F657" s="4"/>
      <c r="G657" s="4"/>
    </row>
    <row r="658">
      <c r="A658" s="4"/>
      <c r="B658" s="4"/>
      <c r="C658" s="4"/>
      <c r="D658" s="4"/>
      <c r="E658" s="4"/>
      <c r="F658" s="4"/>
      <c r="G658" s="4"/>
    </row>
    <row r="659">
      <c r="A659" s="4"/>
      <c r="B659" s="4"/>
      <c r="C659" s="4"/>
      <c r="D659" s="4"/>
      <c r="E659" s="4"/>
      <c r="F659" s="4"/>
      <c r="G659" s="4"/>
    </row>
    <row r="660">
      <c r="A660" s="4"/>
      <c r="B660" s="4"/>
      <c r="C660" s="4"/>
      <c r="D660" s="4"/>
      <c r="E660" s="4"/>
      <c r="F660" s="4"/>
      <c r="G660" s="4"/>
    </row>
    <row r="661">
      <c r="A661" s="4"/>
      <c r="B661" s="4"/>
      <c r="C661" s="4"/>
      <c r="D661" s="4"/>
      <c r="E661" s="4"/>
      <c r="F661" s="4"/>
      <c r="G661" s="4"/>
    </row>
    <row r="662">
      <c r="A662" s="4"/>
      <c r="B662" s="4"/>
      <c r="C662" s="4"/>
      <c r="D662" s="4"/>
      <c r="E662" s="4"/>
      <c r="F662" s="4"/>
      <c r="G662" s="4"/>
    </row>
    <row r="663">
      <c r="A663" s="4"/>
      <c r="B663" s="4"/>
      <c r="C663" s="4"/>
      <c r="D663" s="4"/>
      <c r="E663" s="4"/>
      <c r="F663" s="4"/>
      <c r="G663" s="4"/>
    </row>
    <row r="664">
      <c r="A664" s="4"/>
      <c r="B664" s="4"/>
      <c r="C664" s="4"/>
      <c r="D664" s="4"/>
      <c r="E664" s="4"/>
      <c r="F664" s="4"/>
      <c r="G664" s="4"/>
    </row>
    <row r="665">
      <c r="A665" s="4"/>
      <c r="B665" s="4"/>
      <c r="C665" s="4"/>
      <c r="D665" s="4"/>
      <c r="E665" s="4"/>
      <c r="F665" s="4"/>
      <c r="G665" s="4"/>
    </row>
    <row r="666">
      <c r="A666" s="4"/>
      <c r="B666" s="4"/>
      <c r="C666" s="4"/>
      <c r="D666" s="4"/>
      <c r="E666" s="4"/>
      <c r="F666" s="4"/>
      <c r="G666" s="4"/>
    </row>
    <row r="667">
      <c r="A667" s="4"/>
      <c r="B667" s="4"/>
      <c r="C667" s="4"/>
      <c r="D667" s="4"/>
      <c r="E667" s="4"/>
      <c r="F667" s="4"/>
      <c r="G667" s="4"/>
    </row>
    <row r="668">
      <c r="A668" s="4"/>
      <c r="B668" s="4"/>
      <c r="C668" s="4"/>
      <c r="D668" s="4"/>
      <c r="E668" s="4"/>
      <c r="F668" s="4"/>
      <c r="G668" s="4"/>
    </row>
    <row r="669">
      <c r="A669" s="4"/>
      <c r="B669" s="4"/>
      <c r="C669" s="4"/>
      <c r="D669" s="4"/>
      <c r="E669" s="4"/>
      <c r="F669" s="4"/>
      <c r="G669" s="4"/>
    </row>
    <row r="670">
      <c r="A670" s="4"/>
      <c r="B670" s="4"/>
      <c r="C670" s="4"/>
      <c r="D670" s="4"/>
      <c r="E670" s="4"/>
      <c r="F670" s="4"/>
      <c r="G670" s="4"/>
    </row>
    <row r="671">
      <c r="A671" s="4"/>
      <c r="B671" s="4"/>
      <c r="C671" s="4"/>
      <c r="D671" s="4"/>
      <c r="E671" s="4"/>
      <c r="F671" s="4"/>
      <c r="G671" s="4"/>
    </row>
    <row r="672">
      <c r="A672" s="4"/>
      <c r="B672" s="4"/>
      <c r="C672" s="4"/>
      <c r="D672" s="4"/>
      <c r="E672" s="4"/>
      <c r="F672" s="4"/>
      <c r="G672" s="4"/>
    </row>
    <row r="673">
      <c r="A673" s="4"/>
      <c r="B673" s="4"/>
      <c r="C673" s="4"/>
      <c r="D673" s="4"/>
      <c r="E673" s="4"/>
      <c r="F673" s="4"/>
      <c r="G673" s="4"/>
    </row>
    <row r="674">
      <c r="A674" s="4"/>
      <c r="B674" s="4"/>
      <c r="C674" s="4"/>
      <c r="D674" s="4"/>
      <c r="E674" s="4"/>
      <c r="F674" s="4"/>
      <c r="G674" s="4"/>
    </row>
    <row r="675">
      <c r="A675" s="4"/>
      <c r="B675" s="4"/>
      <c r="C675" s="4"/>
      <c r="D675" s="4"/>
      <c r="E675" s="4"/>
      <c r="F675" s="4"/>
      <c r="G675" s="4"/>
    </row>
    <row r="676">
      <c r="A676" s="4"/>
      <c r="B676" s="4"/>
      <c r="C676" s="4"/>
      <c r="D676" s="4"/>
      <c r="E676" s="4"/>
      <c r="F676" s="4"/>
      <c r="G676" s="4"/>
    </row>
    <row r="677">
      <c r="A677" s="4"/>
      <c r="B677" s="4"/>
      <c r="C677" s="4"/>
      <c r="D677" s="4"/>
      <c r="E677" s="4"/>
      <c r="F677" s="4"/>
      <c r="G677" s="4"/>
    </row>
    <row r="678">
      <c r="A678" s="4"/>
      <c r="B678" s="4"/>
      <c r="C678" s="4"/>
      <c r="D678" s="4"/>
      <c r="E678" s="4"/>
      <c r="F678" s="4"/>
      <c r="G678" s="4"/>
    </row>
    <row r="679">
      <c r="A679" s="4"/>
      <c r="B679" s="4"/>
      <c r="C679" s="4"/>
      <c r="D679" s="4"/>
      <c r="E679" s="4"/>
      <c r="F679" s="4"/>
      <c r="G679" s="4"/>
    </row>
    <row r="680">
      <c r="A680" s="4"/>
      <c r="B680" s="4"/>
      <c r="C680" s="4"/>
      <c r="D680" s="4"/>
      <c r="E680" s="4"/>
      <c r="F680" s="4"/>
      <c r="G680" s="4"/>
    </row>
    <row r="681">
      <c r="A681" s="4"/>
      <c r="B681" s="4"/>
      <c r="C681" s="4"/>
      <c r="D681" s="4"/>
      <c r="E681" s="4"/>
      <c r="F681" s="4"/>
      <c r="G681" s="4"/>
    </row>
    <row r="682">
      <c r="A682" s="4"/>
      <c r="B682" s="4"/>
      <c r="C682" s="4"/>
      <c r="D682" s="4"/>
      <c r="E682" s="4"/>
      <c r="F682" s="4"/>
      <c r="G682" s="4"/>
    </row>
    <row r="683">
      <c r="A683" s="4"/>
      <c r="B683" s="4"/>
      <c r="C683" s="4"/>
      <c r="D683" s="4"/>
      <c r="E683" s="4"/>
      <c r="F683" s="4"/>
      <c r="G683" s="4"/>
    </row>
    <row r="684">
      <c r="A684" s="4"/>
      <c r="B684" s="4"/>
      <c r="C684" s="4"/>
      <c r="D684" s="4"/>
      <c r="E684" s="4"/>
      <c r="F684" s="4"/>
      <c r="G684" s="4"/>
    </row>
    <row r="685">
      <c r="A685" s="4"/>
      <c r="B685" s="4"/>
      <c r="C685" s="4"/>
      <c r="D685" s="4"/>
      <c r="E685" s="4"/>
      <c r="F685" s="4"/>
      <c r="G685" s="4"/>
    </row>
    <row r="686">
      <c r="A686" s="4"/>
      <c r="B686" s="4"/>
      <c r="C686" s="4"/>
      <c r="D686" s="4"/>
      <c r="E686" s="4"/>
      <c r="F686" s="4"/>
      <c r="G686" s="4"/>
    </row>
    <row r="687">
      <c r="A687" s="4"/>
      <c r="B687" s="4"/>
      <c r="C687" s="4"/>
      <c r="D687" s="4"/>
      <c r="E687" s="4"/>
      <c r="F687" s="4"/>
      <c r="G687" s="4"/>
    </row>
    <row r="688">
      <c r="A688" s="4"/>
      <c r="B688" s="4"/>
      <c r="C688" s="4"/>
      <c r="D688" s="4"/>
      <c r="E688" s="4"/>
      <c r="F688" s="4"/>
      <c r="G688" s="4"/>
    </row>
    <row r="689">
      <c r="A689" s="4"/>
      <c r="B689" s="4"/>
      <c r="C689" s="4"/>
      <c r="D689" s="4"/>
      <c r="E689" s="4"/>
      <c r="F689" s="4"/>
      <c r="G689" s="4"/>
    </row>
    <row r="690">
      <c r="A690" s="4"/>
      <c r="B690" s="4"/>
      <c r="C690" s="4"/>
      <c r="D690" s="4"/>
      <c r="E690" s="4"/>
      <c r="F690" s="4"/>
      <c r="G690" s="4"/>
    </row>
    <row r="691">
      <c r="A691" s="4"/>
      <c r="B691" s="4"/>
      <c r="C691" s="4"/>
      <c r="D691" s="4"/>
      <c r="E691" s="4"/>
      <c r="F691" s="4"/>
      <c r="G691" s="4"/>
    </row>
    <row r="692">
      <c r="A692" s="4"/>
      <c r="B692" s="4"/>
      <c r="C692" s="4"/>
      <c r="D692" s="4"/>
      <c r="E692" s="4"/>
      <c r="F692" s="4"/>
      <c r="G692" s="4"/>
    </row>
    <row r="693">
      <c r="A693" s="4"/>
      <c r="B693" s="4"/>
      <c r="C693" s="4"/>
      <c r="D693" s="4"/>
      <c r="E693" s="4"/>
      <c r="F693" s="4"/>
      <c r="G693" s="4"/>
    </row>
    <row r="694">
      <c r="A694" s="4"/>
      <c r="B694" s="4"/>
      <c r="C694" s="4"/>
      <c r="D694" s="4"/>
      <c r="E694" s="4"/>
      <c r="F694" s="4"/>
      <c r="G694" s="4"/>
    </row>
    <row r="695">
      <c r="A695" s="4"/>
      <c r="B695" s="4"/>
      <c r="C695" s="4"/>
      <c r="D695" s="4"/>
      <c r="E695" s="4"/>
      <c r="F695" s="4"/>
      <c r="G695" s="4"/>
    </row>
    <row r="696">
      <c r="A696" s="4"/>
      <c r="B696" s="4"/>
      <c r="C696" s="4"/>
      <c r="D696" s="4"/>
      <c r="E696" s="4"/>
      <c r="F696" s="4"/>
      <c r="G696" s="4"/>
    </row>
    <row r="697">
      <c r="A697" s="4"/>
      <c r="B697" s="4"/>
      <c r="C697" s="4"/>
      <c r="D697" s="4"/>
      <c r="E697" s="4"/>
      <c r="F697" s="4"/>
      <c r="G697" s="4"/>
    </row>
    <row r="698">
      <c r="A698" s="4"/>
      <c r="B698" s="4"/>
      <c r="C698" s="4"/>
      <c r="D698" s="4"/>
      <c r="E698" s="4"/>
      <c r="F698" s="4"/>
      <c r="G698" s="4"/>
    </row>
    <row r="699">
      <c r="A699" s="4"/>
      <c r="B699" s="4"/>
      <c r="C699" s="4"/>
      <c r="D699" s="4"/>
      <c r="E699" s="4"/>
      <c r="F699" s="4"/>
      <c r="G699" s="4"/>
    </row>
    <row r="700">
      <c r="A700" s="4"/>
      <c r="B700" s="4"/>
      <c r="C700" s="4"/>
      <c r="D700" s="4"/>
      <c r="E700" s="4"/>
      <c r="F700" s="4"/>
      <c r="G700" s="4"/>
    </row>
    <row r="701">
      <c r="A701" s="4"/>
      <c r="B701" s="4"/>
      <c r="C701" s="4"/>
      <c r="D701" s="4"/>
      <c r="E701" s="4"/>
      <c r="F701" s="4"/>
      <c r="G701" s="4"/>
    </row>
    <row r="702">
      <c r="A702" s="4"/>
      <c r="B702" s="4"/>
      <c r="C702" s="4"/>
      <c r="D702" s="4"/>
      <c r="E702" s="4"/>
      <c r="F702" s="4"/>
      <c r="G702" s="4"/>
    </row>
    <row r="703">
      <c r="A703" s="4"/>
      <c r="B703" s="4"/>
      <c r="C703" s="4"/>
      <c r="D703" s="4"/>
      <c r="E703" s="4"/>
      <c r="F703" s="4"/>
      <c r="G703" s="4"/>
    </row>
    <row r="704">
      <c r="A704" s="4"/>
      <c r="B704" s="4"/>
      <c r="C704" s="4"/>
      <c r="D704" s="4"/>
      <c r="E704" s="4"/>
      <c r="F704" s="4"/>
      <c r="G704" s="4"/>
    </row>
    <row r="705">
      <c r="A705" s="4"/>
      <c r="B705" s="4"/>
      <c r="C705" s="4"/>
      <c r="D705" s="4"/>
      <c r="E705" s="4"/>
      <c r="F705" s="4"/>
      <c r="G705" s="4"/>
    </row>
    <row r="706">
      <c r="A706" s="4"/>
      <c r="B706" s="4"/>
      <c r="C706" s="4"/>
      <c r="D706" s="4"/>
      <c r="E706" s="4"/>
      <c r="F706" s="4"/>
      <c r="G706" s="4"/>
    </row>
    <row r="707">
      <c r="A707" s="4"/>
      <c r="B707" s="4"/>
      <c r="C707" s="4"/>
      <c r="D707" s="4"/>
      <c r="E707" s="4"/>
      <c r="F707" s="4"/>
      <c r="G707" s="4"/>
    </row>
    <row r="708">
      <c r="A708" s="4"/>
      <c r="B708" s="4"/>
      <c r="C708" s="4"/>
      <c r="D708" s="4"/>
      <c r="E708" s="4"/>
      <c r="F708" s="4"/>
      <c r="G708" s="4"/>
    </row>
    <row r="709">
      <c r="A709" s="4"/>
      <c r="B709" s="4"/>
      <c r="C709" s="4"/>
      <c r="D709" s="4"/>
      <c r="E709" s="4"/>
      <c r="F709" s="4"/>
      <c r="G709" s="4"/>
    </row>
    <row r="710">
      <c r="A710" s="4"/>
      <c r="B710" s="4"/>
      <c r="C710" s="4"/>
      <c r="D710" s="4"/>
      <c r="E710" s="4"/>
      <c r="F710" s="4"/>
      <c r="G710" s="4"/>
    </row>
    <row r="711">
      <c r="A711" s="4"/>
      <c r="B711" s="4"/>
      <c r="C711" s="4"/>
      <c r="D711" s="4"/>
      <c r="E711" s="4"/>
      <c r="F711" s="4"/>
      <c r="G711" s="4"/>
    </row>
    <row r="712">
      <c r="A712" s="4"/>
      <c r="B712" s="4"/>
      <c r="C712" s="4"/>
      <c r="D712" s="4"/>
      <c r="E712" s="4"/>
      <c r="F712" s="4"/>
      <c r="G712" s="4"/>
    </row>
    <row r="713">
      <c r="A713" s="4"/>
      <c r="B713" s="4"/>
      <c r="C713" s="4"/>
      <c r="D713" s="4"/>
      <c r="E713" s="4"/>
      <c r="F713" s="4"/>
      <c r="G713" s="4"/>
    </row>
    <row r="714">
      <c r="A714" s="4"/>
      <c r="B714" s="4"/>
      <c r="C714" s="4"/>
      <c r="D714" s="4"/>
      <c r="E714" s="4"/>
      <c r="F714" s="4"/>
      <c r="G714" s="4"/>
    </row>
    <row r="715">
      <c r="A715" s="4"/>
      <c r="B715" s="4"/>
      <c r="C715" s="4"/>
      <c r="D715" s="4"/>
      <c r="E715" s="4"/>
      <c r="F715" s="4"/>
      <c r="G715" s="4"/>
    </row>
    <row r="716">
      <c r="A716" s="4"/>
      <c r="B716" s="4"/>
      <c r="C716" s="4"/>
      <c r="D716" s="4"/>
      <c r="E716" s="4"/>
      <c r="F716" s="4"/>
      <c r="G716" s="4"/>
    </row>
    <row r="717">
      <c r="A717" s="4"/>
      <c r="B717" s="4"/>
      <c r="C717" s="4"/>
      <c r="D717" s="4"/>
      <c r="E717" s="4"/>
      <c r="F717" s="4"/>
      <c r="G717" s="4"/>
    </row>
    <row r="718">
      <c r="A718" s="4"/>
      <c r="B718" s="4"/>
      <c r="C718" s="4"/>
      <c r="D718" s="4"/>
      <c r="E718" s="4"/>
      <c r="F718" s="4"/>
      <c r="G718" s="4"/>
    </row>
    <row r="719">
      <c r="A719" s="4"/>
      <c r="B719" s="4"/>
      <c r="C719" s="4"/>
      <c r="D719" s="4"/>
      <c r="E719" s="4"/>
      <c r="F719" s="4"/>
      <c r="G719" s="4"/>
    </row>
    <row r="720">
      <c r="A720" s="4"/>
      <c r="B720" s="4"/>
      <c r="C720" s="4"/>
      <c r="D720" s="4"/>
      <c r="E720" s="4"/>
      <c r="F720" s="4"/>
      <c r="G720" s="4"/>
    </row>
    <row r="721">
      <c r="A721" s="4"/>
      <c r="B721" s="4"/>
      <c r="C721" s="4"/>
      <c r="D721" s="4"/>
      <c r="E721" s="4"/>
      <c r="F721" s="4"/>
      <c r="G721" s="4"/>
    </row>
    <row r="722">
      <c r="A722" s="4"/>
      <c r="B722" s="4"/>
      <c r="C722" s="4"/>
      <c r="D722" s="4"/>
      <c r="E722" s="4"/>
      <c r="F722" s="4"/>
      <c r="G722" s="4"/>
    </row>
    <row r="723">
      <c r="A723" s="4"/>
      <c r="B723" s="4"/>
      <c r="C723" s="4"/>
      <c r="D723" s="4"/>
      <c r="E723" s="4"/>
      <c r="F723" s="4"/>
      <c r="G723" s="4"/>
    </row>
    <row r="724">
      <c r="A724" s="4"/>
      <c r="B724" s="4"/>
      <c r="C724" s="4"/>
      <c r="D724" s="4"/>
      <c r="E724" s="4"/>
      <c r="F724" s="4"/>
      <c r="G724" s="4"/>
    </row>
    <row r="725">
      <c r="A725" s="4"/>
      <c r="B725" s="4"/>
      <c r="C725" s="4"/>
      <c r="D725" s="4"/>
      <c r="E725" s="4"/>
      <c r="F725" s="4"/>
      <c r="G725" s="4"/>
    </row>
    <row r="726">
      <c r="A726" s="4"/>
      <c r="B726" s="4"/>
      <c r="C726" s="4"/>
      <c r="D726" s="4"/>
      <c r="E726" s="4"/>
      <c r="F726" s="4"/>
      <c r="G726" s="4"/>
    </row>
    <row r="727">
      <c r="A727" s="4"/>
      <c r="B727" s="4"/>
      <c r="C727" s="4"/>
      <c r="D727" s="4"/>
      <c r="E727" s="4"/>
      <c r="F727" s="4"/>
      <c r="G727" s="4"/>
    </row>
    <row r="728">
      <c r="A728" s="4"/>
      <c r="B728" s="4"/>
      <c r="C728" s="4"/>
      <c r="D728" s="4"/>
      <c r="E728" s="4"/>
      <c r="F728" s="4"/>
      <c r="G728" s="4"/>
    </row>
    <row r="729">
      <c r="A729" s="4"/>
      <c r="B729" s="4"/>
      <c r="C729" s="4"/>
      <c r="D729" s="4"/>
      <c r="E729" s="4"/>
      <c r="F729" s="4"/>
      <c r="G729" s="4"/>
    </row>
    <row r="730">
      <c r="A730" s="4"/>
      <c r="B730" s="4"/>
      <c r="C730" s="4"/>
      <c r="D730" s="4"/>
      <c r="E730" s="4"/>
      <c r="F730" s="4"/>
      <c r="G730" s="4"/>
    </row>
    <row r="731">
      <c r="A731" s="4"/>
      <c r="B731" s="4"/>
      <c r="C731" s="4"/>
      <c r="D731" s="4"/>
      <c r="E731" s="4"/>
      <c r="F731" s="4"/>
      <c r="G731" s="4"/>
    </row>
    <row r="732">
      <c r="A732" s="4"/>
      <c r="B732" s="4"/>
      <c r="C732" s="4"/>
      <c r="D732" s="4"/>
      <c r="E732" s="4"/>
      <c r="F732" s="4"/>
      <c r="G732" s="4"/>
    </row>
    <row r="733">
      <c r="A733" s="4"/>
      <c r="B733" s="4"/>
      <c r="C733" s="4"/>
      <c r="D733" s="4"/>
      <c r="E733" s="4"/>
      <c r="F733" s="4"/>
      <c r="G733" s="4"/>
    </row>
    <row r="734">
      <c r="A734" s="4"/>
      <c r="B734" s="4"/>
      <c r="C734" s="4"/>
      <c r="D734" s="4"/>
      <c r="E734" s="4"/>
      <c r="F734" s="4"/>
      <c r="G734" s="4"/>
    </row>
    <row r="735">
      <c r="A735" s="4"/>
      <c r="B735" s="4"/>
      <c r="C735" s="4"/>
      <c r="D735" s="4"/>
      <c r="E735" s="4"/>
      <c r="F735" s="4"/>
      <c r="G735" s="4"/>
    </row>
    <row r="736">
      <c r="A736" s="4"/>
      <c r="B736" s="4"/>
      <c r="C736" s="4"/>
      <c r="D736" s="4"/>
      <c r="E736" s="4"/>
      <c r="F736" s="4"/>
      <c r="G736" s="4"/>
    </row>
    <row r="737">
      <c r="A737" s="4"/>
      <c r="B737" s="4"/>
      <c r="C737" s="4"/>
      <c r="D737" s="4"/>
      <c r="E737" s="4"/>
      <c r="F737" s="4"/>
      <c r="G737" s="4"/>
    </row>
    <row r="738">
      <c r="A738" s="4"/>
      <c r="B738" s="4"/>
      <c r="C738" s="4"/>
      <c r="D738" s="4"/>
      <c r="E738" s="4"/>
      <c r="F738" s="4"/>
      <c r="G738" s="4"/>
    </row>
    <row r="739">
      <c r="A739" s="4"/>
      <c r="B739" s="4"/>
      <c r="C739" s="4"/>
      <c r="D739" s="4"/>
      <c r="E739" s="4"/>
      <c r="F739" s="4"/>
      <c r="G739" s="4"/>
    </row>
    <row r="740">
      <c r="A740" s="4"/>
      <c r="B740" s="4"/>
      <c r="C740" s="4"/>
      <c r="D740" s="4"/>
      <c r="E740" s="4"/>
      <c r="F740" s="4"/>
      <c r="G740" s="4"/>
    </row>
    <row r="741">
      <c r="A741" s="4"/>
      <c r="B741" s="4"/>
      <c r="C741" s="4"/>
      <c r="D741" s="4"/>
      <c r="E741" s="4"/>
      <c r="F741" s="4"/>
      <c r="G741" s="4"/>
    </row>
    <row r="742">
      <c r="A742" s="4"/>
      <c r="B742" s="4"/>
      <c r="C742" s="4"/>
      <c r="D742" s="4"/>
      <c r="E742" s="4"/>
      <c r="F742" s="4"/>
      <c r="G742" s="4"/>
    </row>
    <row r="743">
      <c r="A743" s="4"/>
      <c r="B743" s="4"/>
      <c r="C743" s="4"/>
      <c r="D743" s="4"/>
      <c r="E743" s="4"/>
      <c r="F743" s="4"/>
      <c r="G743" s="4"/>
    </row>
    <row r="744">
      <c r="A744" s="4"/>
      <c r="B744" s="4"/>
      <c r="C744" s="4"/>
      <c r="D744" s="4"/>
      <c r="E744" s="4"/>
      <c r="F744" s="4"/>
      <c r="G744" s="4"/>
    </row>
    <row r="745">
      <c r="A745" s="4"/>
      <c r="B745" s="4"/>
      <c r="C745" s="4"/>
      <c r="D745" s="4"/>
      <c r="E745" s="4"/>
      <c r="F745" s="4"/>
      <c r="G745" s="4"/>
    </row>
    <row r="746">
      <c r="A746" s="4"/>
      <c r="B746" s="4"/>
      <c r="C746" s="4"/>
      <c r="D746" s="4"/>
      <c r="E746" s="4"/>
      <c r="F746" s="4"/>
      <c r="G746" s="4"/>
    </row>
    <row r="747">
      <c r="A747" s="4"/>
      <c r="B747" s="4"/>
      <c r="C747" s="4"/>
      <c r="D747" s="4"/>
      <c r="E747" s="4"/>
      <c r="F747" s="4"/>
      <c r="G747" s="4"/>
    </row>
    <row r="748">
      <c r="A748" s="4"/>
      <c r="B748" s="4"/>
      <c r="C748" s="4"/>
      <c r="D748" s="4"/>
      <c r="E748" s="4"/>
      <c r="F748" s="4"/>
      <c r="G748" s="4"/>
    </row>
    <row r="749">
      <c r="A749" s="4"/>
      <c r="B749" s="4"/>
      <c r="C749" s="4"/>
      <c r="D749" s="4"/>
      <c r="E749" s="4"/>
      <c r="F749" s="4"/>
      <c r="G749" s="4"/>
    </row>
    <row r="750">
      <c r="A750" s="4"/>
      <c r="B750" s="4"/>
      <c r="C750" s="4"/>
      <c r="D750" s="4"/>
      <c r="E750" s="4"/>
      <c r="F750" s="4"/>
      <c r="G750" s="4"/>
    </row>
    <row r="751">
      <c r="A751" s="4"/>
      <c r="B751" s="4"/>
      <c r="C751" s="4"/>
      <c r="D751" s="4"/>
      <c r="E751" s="4"/>
      <c r="F751" s="4"/>
      <c r="G751" s="4"/>
    </row>
    <row r="752">
      <c r="A752" s="4"/>
      <c r="B752" s="4"/>
      <c r="C752" s="4"/>
      <c r="D752" s="4"/>
      <c r="E752" s="4"/>
      <c r="F752" s="4"/>
      <c r="G752" s="4"/>
    </row>
    <row r="753">
      <c r="A753" s="4"/>
      <c r="B753" s="4"/>
      <c r="C753" s="4"/>
      <c r="D753" s="4"/>
      <c r="E753" s="4"/>
      <c r="F753" s="4"/>
      <c r="G753" s="4"/>
    </row>
    <row r="754">
      <c r="A754" s="4"/>
      <c r="B754" s="4"/>
      <c r="C754" s="4"/>
      <c r="D754" s="4"/>
      <c r="E754" s="4"/>
      <c r="F754" s="4"/>
      <c r="G754" s="4"/>
    </row>
    <row r="755">
      <c r="A755" s="4"/>
      <c r="B755" s="4"/>
      <c r="C755" s="4"/>
      <c r="D755" s="4"/>
      <c r="E755" s="4"/>
      <c r="F755" s="4"/>
      <c r="G755" s="4"/>
    </row>
    <row r="756">
      <c r="A756" s="4"/>
      <c r="B756" s="4"/>
      <c r="C756" s="4"/>
      <c r="D756" s="4"/>
      <c r="E756" s="4"/>
      <c r="F756" s="4"/>
      <c r="G756" s="4"/>
    </row>
    <row r="757">
      <c r="A757" s="4"/>
      <c r="B757" s="4"/>
      <c r="C757" s="4"/>
      <c r="D757" s="4"/>
      <c r="E757" s="4"/>
      <c r="F757" s="4"/>
      <c r="G757" s="4"/>
    </row>
    <row r="758">
      <c r="A758" s="4"/>
      <c r="B758" s="4"/>
      <c r="C758" s="4"/>
      <c r="D758" s="4"/>
      <c r="E758" s="4"/>
      <c r="F758" s="4"/>
      <c r="G758" s="4"/>
    </row>
    <row r="759">
      <c r="A759" s="4"/>
      <c r="B759" s="4"/>
      <c r="C759" s="4"/>
      <c r="D759" s="4"/>
      <c r="E759" s="4"/>
      <c r="F759" s="4"/>
      <c r="G759" s="4"/>
    </row>
    <row r="760">
      <c r="A760" s="4"/>
      <c r="B760" s="4"/>
      <c r="C760" s="4"/>
      <c r="D760" s="4"/>
      <c r="E760" s="4"/>
      <c r="F760" s="4"/>
      <c r="G760" s="4"/>
    </row>
    <row r="761">
      <c r="A761" s="4"/>
      <c r="B761" s="4"/>
      <c r="C761" s="4"/>
      <c r="D761" s="4"/>
      <c r="E761" s="4"/>
      <c r="F761" s="4"/>
      <c r="G761" s="4"/>
    </row>
    <row r="762">
      <c r="A762" s="4"/>
      <c r="B762" s="4"/>
      <c r="C762" s="4"/>
      <c r="D762" s="4"/>
      <c r="E762" s="4"/>
      <c r="F762" s="4"/>
      <c r="G762" s="4"/>
    </row>
    <row r="763">
      <c r="A763" s="4"/>
      <c r="B763" s="4"/>
      <c r="C763" s="4"/>
      <c r="D763" s="4"/>
      <c r="E763" s="4"/>
      <c r="F763" s="4"/>
      <c r="G763" s="4"/>
    </row>
    <row r="764">
      <c r="A764" s="4"/>
      <c r="B764" s="4"/>
      <c r="C764" s="4"/>
      <c r="D764" s="4"/>
      <c r="E764" s="4"/>
      <c r="F764" s="4"/>
      <c r="G764" s="4"/>
    </row>
    <row r="765">
      <c r="A765" s="4"/>
      <c r="B765" s="4"/>
      <c r="C765" s="4"/>
      <c r="D765" s="4"/>
      <c r="E765" s="4"/>
      <c r="F765" s="4"/>
      <c r="G765" s="4"/>
    </row>
    <row r="766">
      <c r="A766" s="4"/>
      <c r="B766" s="4"/>
      <c r="C766" s="4"/>
      <c r="D766" s="4"/>
      <c r="E766" s="4"/>
      <c r="F766" s="4"/>
      <c r="G766" s="4"/>
    </row>
    <row r="767">
      <c r="A767" s="4"/>
      <c r="B767" s="4"/>
      <c r="C767" s="4"/>
      <c r="D767" s="4"/>
      <c r="E767" s="4"/>
      <c r="F767" s="4"/>
      <c r="G767" s="4"/>
    </row>
    <row r="768">
      <c r="A768" s="4"/>
      <c r="B768" s="4"/>
      <c r="C768" s="4"/>
      <c r="D768" s="4"/>
      <c r="E768" s="4"/>
      <c r="F768" s="4"/>
      <c r="G768" s="4"/>
    </row>
    <row r="769">
      <c r="A769" s="4"/>
      <c r="B769" s="4"/>
      <c r="C769" s="4"/>
      <c r="D769" s="4"/>
      <c r="E769" s="4"/>
      <c r="F769" s="4"/>
      <c r="G769" s="4"/>
    </row>
    <row r="770">
      <c r="A770" s="4"/>
      <c r="B770" s="4"/>
      <c r="C770" s="4"/>
      <c r="D770" s="4"/>
      <c r="E770" s="4"/>
      <c r="F770" s="4"/>
      <c r="G770" s="4"/>
    </row>
    <row r="771">
      <c r="A771" s="4"/>
      <c r="B771" s="4"/>
      <c r="C771" s="4"/>
      <c r="D771" s="4"/>
      <c r="E771" s="4"/>
      <c r="F771" s="4"/>
      <c r="G771" s="4"/>
    </row>
    <row r="772">
      <c r="A772" s="4"/>
      <c r="B772" s="4"/>
      <c r="C772" s="4"/>
      <c r="D772" s="4"/>
      <c r="E772" s="4"/>
      <c r="F772" s="4"/>
      <c r="G772" s="4"/>
    </row>
    <row r="773">
      <c r="A773" s="4"/>
      <c r="B773" s="4"/>
      <c r="C773" s="4"/>
      <c r="D773" s="4"/>
      <c r="E773" s="4"/>
      <c r="F773" s="4"/>
      <c r="G773" s="4"/>
    </row>
    <row r="774">
      <c r="A774" s="4"/>
      <c r="B774" s="4"/>
      <c r="C774" s="4"/>
      <c r="D774" s="4"/>
      <c r="E774" s="4"/>
      <c r="F774" s="4"/>
      <c r="G774" s="4"/>
    </row>
    <row r="775">
      <c r="A775" s="4"/>
      <c r="B775" s="4"/>
      <c r="C775" s="4"/>
      <c r="D775" s="4"/>
      <c r="E775" s="4"/>
      <c r="F775" s="4"/>
      <c r="G775" s="4"/>
    </row>
    <row r="776">
      <c r="A776" s="4"/>
      <c r="B776" s="4"/>
      <c r="C776" s="4"/>
      <c r="D776" s="4"/>
      <c r="E776" s="4"/>
      <c r="F776" s="4"/>
      <c r="G776" s="4"/>
    </row>
    <row r="777">
      <c r="A777" s="4"/>
      <c r="B777" s="4"/>
      <c r="C777" s="4"/>
      <c r="D777" s="4"/>
      <c r="E777" s="4"/>
      <c r="F777" s="4"/>
      <c r="G777" s="4"/>
    </row>
    <row r="778">
      <c r="A778" s="4"/>
      <c r="B778" s="4"/>
      <c r="C778" s="4"/>
      <c r="D778" s="4"/>
      <c r="E778" s="4"/>
      <c r="F778" s="4"/>
      <c r="G778" s="4"/>
    </row>
    <row r="779">
      <c r="A779" s="4"/>
      <c r="B779" s="4"/>
      <c r="C779" s="4"/>
      <c r="D779" s="4"/>
      <c r="E779" s="4"/>
      <c r="F779" s="4"/>
      <c r="G779" s="4"/>
    </row>
    <row r="780">
      <c r="A780" s="4"/>
      <c r="B780" s="4"/>
      <c r="C780" s="4"/>
      <c r="D780" s="4"/>
      <c r="E780" s="4"/>
      <c r="F780" s="4"/>
      <c r="G780" s="4"/>
    </row>
    <row r="781">
      <c r="A781" s="4"/>
      <c r="B781" s="4"/>
      <c r="C781" s="4"/>
      <c r="D781" s="4"/>
      <c r="E781" s="4"/>
      <c r="F781" s="4"/>
      <c r="G781" s="4"/>
    </row>
    <row r="782">
      <c r="A782" s="4"/>
      <c r="B782" s="4"/>
      <c r="C782" s="4"/>
      <c r="D782" s="4"/>
      <c r="E782" s="4"/>
      <c r="F782" s="4"/>
      <c r="G782" s="4"/>
    </row>
    <row r="783">
      <c r="A783" s="4"/>
      <c r="B783" s="4"/>
      <c r="C783" s="4"/>
      <c r="D783" s="4"/>
      <c r="E783" s="4"/>
      <c r="F783" s="4"/>
      <c r="G783" s="4"/>
    </row>
    <row r="784">
      <c r="A784" s="4"/>
      <c r="B784" s="4"/>
      <c r="C784" s="4"/>
      <c r="D784" s="4"/>
      <c r="E784" s="4"/>
      <c r="F784" s="4"/>
      <c r="G784" s="4"/>
    </row>
    <row r="785">
      <c r="A785" s="4"/>
      <c r="B785" s="4"/>
      <c r="C785" s="4"/>
      <c r="D785" s="4"/>
      <c r="E785" s="4"/>
      <c r="F785" s="4"/>
      <c r="G785" s="4"/>
    </row>
    <row r="786">
      <c r="A786" s="4"/>
      <c r="B786" s="4"/>
      <c r="C786" s="4"/>
      <c r="D786" s="4"/>
      <c r="E786" s="4"/>
      <c r="F786" s="4"/>
      <c r="G786" s="4"/>
    </row>
    <row r="787">
      <c r="A787" s="4"/>
      <c r="B787" s="4"/>
      <c r="C787" s="4"/>
      <c r="D787" s="4"/>
      <c r="E787" s="4"/>
      <c r="F787" s="4"/>
      <c r="G787" s="4"/>
    </row>
    <row r="788">
      <c r="A788" s="4"/>
      <c r="B788" s="4"/>
      <c r="C788" s="4"/>
      <c r="D788" s="4"/>
      <c r="E788" s="4"/>
      <c r="F788" s="4"/>
      <c r="G788" s="4"/>
    </row>
    <row r="789">
      <c r="A789" s="4"/>
      <c r="B789" s="4"/>
      <c r="C789" s="4"/>
      <c r="D789" s="4"/>
      <c r="E789" s="4"/>
      <c r="F789" s="4"/>
      <c r="G789" s="4"/>
    </row>
    <row r="790">
      <c r="A790" s="4"/>
      <c r="B790" s="4"/>
      <c r="C790" s="4"/>
      <c r="D790" s="4"/>
      <c r="E790" s="4"/>
      <c r="F790" s="4"/>
      <c r="G790" s="4"/>
    </row>
    <row r="791">
      <c r="A791" s="4"/>
      <c r="B791" s="4"/>
      <c r="C791" s="4"/>
      <c r="D791" s="4"/>
      <c r="E791" s="4"/>
      <c r="F791" s="4"/>
      <c r="G791" s="4"/>
    </row>
    <row r="792">
      <c r="A792" s="4"/>
      <c r="B792" s="4"/>
      <c r="C792" s="4"/>
      <c r="D792" s="4"/>
      <c r="E792" s="4"/>
      <c r="F792" s="4"/>
      <c r="G792" s="4"/>
    </row>
    <row r="793">
      <c r="A793" s="4"/>
      <c r="B793" s="4"/>
      <c r="C793" s="4"/>
      <c r="D793" s="4"/>
      <c r="E793" s="4"/>
      <c r="F793" s="4"/>
      <c r="G793" s="4"/>
    </row>
    <row r="794">
      <c r="A794" s="4"/>
      <c r="B794" s="4"/>
      <c r="C794" s="4"/>
      <c r="D794" s="4"/>
      <c r="E794" s="4"/>
      <c r="F794" s="4"/>
      <c r="G794" s="4"/>
    </row>
    <row r="795">
      <c r="A795" s="4"/>
      <c r="B795" s="4"/>
      <c r="C795" s="4"/>
      <c r="D795" s="4"/>
      <c r="E795" s="4"/>
      <c r="F795" s="4"/>
      <c r="G795" s="4"/>
    </row>
    <row r="796">
      <c r="A796" s="4"/>
      <c r="B796" s="4"/>
      <c r="C796" s="4"/>
      <c r="D796" s="4"/>
      <c r="E796" s="4"/>
      <c r="F796" s="4"/>
      <c r="G796" s="4"/>
    </row>
    <row r="797">
      <c r="A797" s="4"/>
      <c r="B797" s="4"/>
      <c r="C797" s="4"/>
      <c r="D797" s="4"/>
      <c r="E797" s="4"/>
      <c r="F797" s="4"/>
      <c r="G797" s="4"/>
    </row>
    <row r="798">
      <c r="A798" s="4"/>
      <c r="B798" s="4"/>
      <c r="C798" s="4"/>
      <c r="D798" s="4"/>
      <c r="E798" s="4"/>
      <c r="F798" s="4"/>
      <c r="G798" s="4"/>
    </row>
    <row r="799">
      <c r="A799" s="4"/>
      <c r="B799" s="4"/>
      <c r="C799" s="4"/>
      <c r="D799" s="4"/>
      <c r="E799" s="4"/>
      <c r="F799" s="4"/>
      <c r="G799" s="4"/>
    </row>
    <row r="800">
      <c r="A800" s="4"/>
      <c r="B800" s="4"/>
      <c r="C800" s="4"/>
      <c r="D800" s="4"/>
      <c r="E800" s="4"/>
      <c r="F800" s="4"/>
      <c r="G800" s="4"/>
    </row>
    <row r="801">
      <c r="A801" s="4"/>
      <c r="B801" s="4"/>
      <c r="C801" s="4"/>
      <c r="D801" s="4"/>
      <c r="E801" s="4"/>
      <c r="F801" s="4"/>
      <c r="G801" s="4"/>
    </row>
    <row r="802">
      <c r="A802" s="4"/>
      <c r="B802" s="4"/>
      <c r="C802" s="4"/>
      <c r="D802" s="4"/>
      <c r="E802" s="4"/>
      <c r="F802" s="4"/>
      <c r="G802" s="4"/>
    </row>
    <row r="803">
      <c r="A803" s="4"/>
      <c r="B803" s="4"/>
      <c r="C803" s="4"/>
      <c r="D803" s="4"/>
      <c r="E803" s="4"/>
      <c r="F803" s="4"/>
      <c r="G803" s="4"/>
    </row>
    <row r="804">
      <c r="A804" s="4"/>
      <c r="B804" s="4"/>
      <c r="C804" s="4"/>
      <c r="D804" s="4"/>
      <c r="E804" s="4"/>
      <c r="F804" s="4"/>
      <c r="G804" s="4"/>
    </row>
    <row r="805">
      <c r="A805" s="4"/>
      <c r="B805" s="4"/>
      <c r="C805" s="4"/>
      <c r="D805" s="4"/>
      <c r="E805" s="4"/>
      <c r="F805" s="4"/>
      <c r="G805" s="4"/>
    </row>
    <row r="806">
      <c r="A806" s="4"/>
      <c r="B806" s="4"/>
      <c r="C806" s="4"/>
      <c r="D806" s="4"/>
      <c r="E806" s="4"/>
      <c r="F806" s="4"/>
      <c r="G806" s="4"/>
    </row>
    <row r="807">
      <c r="A807" s="4"/>
      <c r="B807" s="4"/>
      <c r="C807" s="4"/>
      <c r="D807" s="4"/>
      <c r="E807" s="4"/>
      <c r="F807" s="4"/>
      <c r="G807" s="4"/>
    </row>
    <row r="808">
      <c r="A808" s="4"/>
      <c r="B808" s="4"/>
      <c r="C808" s="4"/>
      <c r="D808" s="4"/>
      <c r="E808" s="4"/>
      <c r="F808" s="4"/>
      <c r="G808" s="4"/>
    </row>
    <row r="809">
      <c r="A809" s="4"/>
      <c r="B809" s="4"/>
      <c r="C809" s="4"/>
      <c r="D809" s="4"/>
      <c r="E809" s="4"/>
      <c r="F809" s="4"/>
      <c r="G809" s="4"/>
    </row>
    <row r="810">
      <c r="A810" s="4"/>
      <c r="B810" s="4"/>
      <c r="C810" s="4"/>
      <c r="D810" s="4"/>
      <c r="E810" s="4"/>
      <c r="F810" s="4"/>
      <c r="G810" s="4"/>
    </row>
    <row r="811">
      <c r="A811" s="4"/>
      <c r="B811" s="4"/>
      <c r="C811" s="4"/>
      <c r="D811" s="4"/>
      <c r="E811" s="4"/>
      <c r="F811" s="4"/>
      <c r="G811" s="4"/>
    </row>
    <row r="812">
      <c r="A812" s="4"/>
      <c r="B812" s="4"/>
      <c r="C812" s="4"/>
      <c r="D812" s="4"/>
      <c r="E812" s="4"/>
      <c r="F812" s="4"/>
      <c r="G812" s="4"/>
    </row>
    <row r="813">
      <c r="A813" s="4"/>
      <c r="B813" s="4"/>
      <c r="C813" s="4"/>
      <c r="D813" s="4"/>
      <c r="E813" s="4"/>
      <c r="F813" s="4"/>
      <c r="G813" s="4"/>
    </row>
    <row r="814">
      <c r="A814" s="4"/>
      <c r="B814" s="4"/>
      <c r="C814" s="4"/>
      <c r="D814" s="4"/>
      <c r="E814" s="4"/>
      <c r="F814" s="4"/>
      <c r="G814" s="4"/>
    </row>
    <row r="815">
      <c r="A815" s="4"/>
      <c r="B815" s="4"/>
      <c r="C815" s="4"/>
      <c r="D815" s="4"/>
      <c r="E815" s="4"/>
      <c r="F815" s="4"/>
      <c r="G815" s="4"/>
    </row>
    <row r="816">
      <c r="A816" s="4"/>
      <c r="B816" s="4"/>
      <c r="C816" s="4"/>
      <c r="D816" s="4"/>
      <c r="E816" s="4"/>
      <c r="F816" s="4"/>
      <c r="G816" s="4"/>
    </row>
    <row r="817">
      <c r="A817" s="4"/>
      <c r="B817" s="4"/>
      <c r="C817" s="4"/>
      <c r="D817" s="4"/>
      <c r="E817" s="4"/>
      <c r="F817" s="4"/>
      <c r="G817" s="4"/>
    </row>
    <row r="818">
      <c r="A818" s="4"/>
      <c r="B818" s="4"/>
      <c r="C818" s="4"/>
      <c r="D818" s="4"/>
      <c r="E818" s="4"/>
      <c r="F818" s="4"/>
      <c r="G818" s="4"/>
    </row>
    <row r="819">
      <c r="A819" s="4"/>
      <c r="B819" s="4"/>
      <c r="C819" s="4"/>
      <c r="D819" s="4"/>
      <c r="E819" s="4"/>
      <c r="F819" s="4"/>
      <c r="G819" s="4"/>
    </row>
    <row r="820">
      <c r="A820" s="4"/>
      <c r="B820" s="4"/>
      <c r="C820" s="4"/>
      <c r="D820" s="4"/>
      <c r="E820" s="4"/>
      <c r="F820" s="4"/>
      <c r="G820" s="4"/>
    </row>
    <row r="821">
      <c r="A821" s="4"/>
      <c r="B821" s="4"/>
      <c r="C821" s="4"/>
      <c r="D821" s="4"/>
      <c r="E821" s="4"/>
      <c r="F821" s="4"/>
      <c r="G821" s="4"/>
    </row>
    <row r="822">
      <c r="A822" s="4"/>
      <c r="B822" s="4"/>
      <c r="C822" s="4"/>
      <c r="D822" s="4"/>
      <c r="E822" s="4"/>
      <c r="F822" s="4"/>
      <c r="G822" s="4"/>
    </row>
    <row r="823">
      <c r="A823" s="4"/>
      <c r="B823" s="4"/>
      <c r="C823" s="4"/>
      <c r="D823" s="4"/>
      <c r="E823" s="4"/>
      <c r="F823" s="4"/>
      <c r="G823" s="4"/>
    </row>
    <row r="824">
      <c r="A824" s="4"/>
      <c r="B824" s="4"/>
      <c r="C824" s="4"/>
      <c r="D824" s="4"/>
      <c r="E824" s="4"/>
      <c r="F824" s="4"/>
      <c r="G824" s="4"/>
    </row>
    <row r="825">
      <c r="A825" s="4"/>
      <c r="B825" s="4"/>
      <c r="C825" s="4"/>
      <c r="D825" s="4"/>
      <c r="E825" s="4"/>
      <c r="F825" s="4"/>
      <c r="G825" s="4"/>
    </row>
    <row r="826">
      <c r="A826" s="4"/>
      <c r="B826" s="4"/>
      <c r="C826" s="4"/>
      <c r="D826" s="4"/>
      <c r="E826" s="4"/>
      <c r="F826" s="4"/>
      <c r="G826" s="4"/>
    </row>
    <row r="827">
      <c r="A827" s="4"/>
      <c r="B827" s="4"/>
      <c r="C827" s="4"/>
      <c r="D827" s="4"/>
      <c r="E827" s="4"/>
      <c r="F827" s="4"/>
      <c r="G827" s="4"/>
    </row>
    <row r="828">
      <c r="A828" s="4"/>
      <c r="B828" s="4"/>
      <c r="C828" s="4"/>
      <c r="D828" s="4"/>
      <c r="E828" s="4"/>
      <c r="F828" s="4"/>
      <c r="G828" s="4"/>
    </row>
    <row r="829">
      <c r="A829" s="4"/>
      <c r="B829" s="4"/>
      <c r="C829" s="4"/>
      <c r="D829" s="4"/>
      <c r="E829" s="4"/>
      <c r="F829" s="4"/>
      <c r="G829" s="4"/>
    </row>
    <row r="830">
      <c r="A830" s="4"/>
      <c r="B830" s="4"/>
      <c r="C830" s="4"/>
      <c r="D830" s="4"/>
      <c r="E830" s="4"/>
      <c r="F830" s="4"/>
      <c r="G830" s="4"/>
    </row>
    <row r="831">
      <c r="A831" s="4"/>
      <c r="B831" s="4"/>
      <c r="C831" s="4"/>
      <c r="D831" s="4"/>
      <c r="E831" s="4"/>
      <c r="F831" s="4"/>
      <c r="G831" s="4"/>
    </row>
    <row r="832">
      <c r="A832" s="4"/>
      <c r="B832" s="4"/>
      <c r="C832" s="4"/>
      <c r="D832" s="4"/>
      <c r="E832" s="4"/>
      <c r="F832" s="4"/>
      <c r="G832" s="4"/>
    </row>
    <row r="833">
      <c r="A833" s="4"/>
      <c r="B833" s="4"/>
      <c r="C833" s="4"/>
      <c r="D833" s="4"/>
      <c r="E833" s="4"/>
      <c r="F833" s="4"/>
      <c r="G833" s="4"/>
    </row>
    <row r="834">
      <c r="A834" s="4"/>
      <c r="B834" s="4"/>
      <c r="C834" s="4"/>
      <c r="D834" s="4"/>
      <c r="E834" s="4"/>
      <c r="F834" s="4"/>
      <c r="G834" s="4"/>
    </row>
    <row r="835">
      <c r="A835" s="4"/>
      <c r="B835" s="4"/>
      <c r="C835" s="4"/>
      <c r="D835" s="4"/>
      <c r="E835" s="4"/>
      <c r="F835" s="4"/>
      <c r="G835" s="4"/>
    </row>
    <row r="836">
      <c r="A836" s="4"/>
      <c r="B836" s="4"/>
      <c r="C836" s="4"/>
      <c r="D836" s="4"/>
      <c r="E836" s="4"/>
      <c r="F836" s="4"/>
      <c r="G836" s="4"/>
    </row>
    <row r="837">
      <c r="A837" s="4"/>
      <c r="B837" s="4"/>
      <c r="C837" s="4"/>
      <c r="D837" s="4"/>
      <c r="E837" s="4"/>
      <c r="F837" s="4"/>
      <c r="G837" s="4"/>
    </row>
    <row r="838">
      <c r="A838" s="4"/>
      <c r="B838" s="4"/>
      <c r="C838" s="4"/>
      <c r="D838" s="4"/>
      <c r="E838" s="4"/>
      <c r="F838" s="4"/>
      <c r="G838" s="4"/>
    </row>
    <row r="839">
      <c r="A839" s="4"/>
      <c r="B839" s="4"/>
      <c r="C839" s="4"/>
      <c r="D839" s="4"/>
      <c r="E839" s="4"/>
      <c r="F839" s="4"/>
      <c r="G839" s="4"/>
    </row>
    <row r="840">
      <c r="A840" s="4"/>
      <c r="B840" s="4"/>
      <c r="C840" s="4"/>
      <c r="D840" s="4"/>
      <c r="E840" s="4"/>
      <c r="F840" s="4"/>
      <c r="G840" s="4"/>
    </row>
    <row r="841">
      <c r="A841" s="4"/>
      <c r="B841" s="4"/>
      <c r="C841" s="4"/>
      <c r="D841" s="4"/>
      <c r="E841" s="4"/>
      <c r="F841" s="4"/>
      <c r="G841" s="4"/>
    </row>
    <row r="842">
      <c r="A842" s="4"/>
      <c r="B842" s="4"/>
      <c r="C842" s="4"/>
      <c r="D842" s="4"/>
      <c r="E842" s="4"/>
      <c r="F842" s="4"/>
      <c r="G842" s="4"/>
    </row>
    <row r="843">
      <c r="A843" s="4"/>
      <c r="B843" s="4"/>
      <c r="C843" s="4"/>
      <c r="D843" s="4"/>
      <c r="E843" s="4"/>
      <c r="F843" s="4"/>
      <c r="G843" s="4"/>
    </row>
    <row r="844">
      <c r="A844" s="4"/>
      <c r="B844" s="4"/>
      <c r="C844" s="4"/>
      <c r="D844" s="4"/>
      <c r="E844" s="4"/>
      <c r="F844" s="4"/>
      <c r="G844" s="4"/>
    </row>
    <row r="845">
      <c r="A845" s="4"/>
      <c r="B845" s="4"/>
      <c r="C845" s="4"/>
      <c r="D845" s="4"/>
      <c r="E845" s="4"/>
      <c r="F845" s="4"/>
      <c r="G845" s="4"/>
    </row>
    <row r="846">
      <c r="A846" s="4"/>
      <c r="B846" s="4"/>
      <c r="C846" s="4"/>
      <c r="D846" s="4"/>
      <c r="E846" s="4"/>
      <c r="F846" s="4"/>
      <c r="G846" s="4"/>
    </row>
    <row r="847">
      <c r="A847" s="4"/>
      <c r="B847" s="4"/>
      <c r="C847" s="4"/>
      <c r="D847" s="4"/>
      <c r="E847" s="4"/>
      <c r="F847" s="4"/>
      <c r="G847" s="4"/>
    </row>
    <row r="848">
      <c r="A848" s="4"/>
      <c r="B848" s="4"/>
      <c r="C848" s="4"/>
      <c r="D848" s="4"/>
      <c r="E848" s="4"/>
      <c r="F848" s="4"/>
      <c r="G848" s="4"/>
    </row>
    <row r="849">
      <c r="A849" s="4"/>
      <c r="B849" s="4"/>
      <c r="C849" s="4"/>
      <c r="D849" s="4"/>
      <c r="E849" s="4"/>
      <c r="F849" s="4"/>
      <c r="G849" s="4"/>
    </row>
    <row r="850">
      <c r="A850" s="4"/>
      <c r="B850" s="4"/>
      <c r="C850" s="4"/>
      <c r="D850" s="4"/>
      <c r="E850" s="4"/>
      <c r="F850" s="4"/>
      <c r="G850" s="4"/>
    </row>
    <row r="851">
      <c r="A851" s="4"/>
      <c r="B851" s="4"/>
      <c r="C851" s="4"/>
      <c r="D851" s="4"/>
      <c r="E851" s="4"/>
      <c r="F851" s="4"/>
      <c r="G851" s="4"/>
    </row>
    <row r="852">
      <c r="A852" s="4"/>
      <c r="B852" s="4"/>
      <c r="C852" s="4"/>
      <c r="D852" s="4"/>
      <c r="E852" s="4"/>
      <c r="F852" s="4"/>
      <c r="G852" s="4"/>
    </row>
    <row r="853">
      <c r="A853" s="4"/>
      <c r="B853" s="4"/>
      <c r="C853" s="4"/>
      <c r="D853" s="4"/>
      <c r="E853" s="4"/>
      <c r="F853" s="4"/>
      <c r="G853" s="4"/>
    </row>
    <row r="854">
      <c r="A854" s="4"/>
      <c r="B854" s="4"/>
      <c r="C854" s="4"/>
      <c r="D854" s="4"/>
      <c r="E854" s="4"/>
      <c r="F854" s="4"/>
      <c r="G854" s="4"/>
    </row>
    <row r="855">
      <c r="A855" s="4"/>
      <c r="B855" s="4"/>
      <c r="C855" s="4"/>
      <c r="D855" s="4"/>
      <c r="E855" s="4"/>
      <c r="F855" s="4"/>
      <c r="G855" s="4"/>
    </row>
    <row r="856">
      <c r="A856" s="4"/>
      <c r="B856" s="4"/>
      <c r="C856" s="4"/>
      <c r="D856" s="4"/>
      <c r="E856" s="4"/>
      <c r="F856" s="4"/>
      <c r="G856" s="4"/>
    </row>
    <row r="857">
      <c r="A857" s="4"/>
      <c r="B857" s="4"/>
      <c r="C857" s="4"/>
      <c r="D857" s="4"/>
      <c r="E857" s="4"/>
      <c r="F857" s="4"/>
      <c r="G857" s="4"/>
    </row>
    <row r="858">
      <c r="A858" s="4"/>
      <c r="B858" s="4"/>
      <c r="C858" s="4"/>
      <c r="D858" s="4"/>
      <c r="E858" s="4"/>
      <c r="F858" s="4"/>
      <c r="G858" s="4"/>
    </row>
    <row r="859">
      <c r="A859" s="4"/>
      <c r="B859" s="4"/>
      <c r="C859" s="4"/>
      <c r="D859" s="4"/>
      <c r="E859" s="4"/>
      <c r="F859" s="4"/>
      <c r="G859" s="4"/>
    </row>
    <row r="860">
      <c r="A860" s="4"/>
      <c r="B860" s="4"/>
      <c r="C860" s="4"/>
      <c r="D860" s="4"/>
      <c r="E860" s="4"/>
      <c r="F860" s="4"/>
      <c r="G860" s="4"/>
    </row>
    <row r="861">
      <c r="A861" s="4"/>
      <c r="B861" s="4"/>
      <c r="C861" s="4"/>
      <c r="D861" s="4"/>
      <c r="E861" s="4"/>
      <c r="F861" s="4"/>
      <c r="G861" s="4"/>
    </row>
    <row r="862">
      <c r="A862" s="4"/>
      <c r="B862" s="4"/>
      <c r="C862" s="4"/>
      <c r="D862" s="4"/>
      <c r="E862" s="4"/>
      <c r="F862" s="4"/>
      <c r="G862" s="4"/>
    </row>
    <row r="863">
      <c r="A863" s="4"/>
      <c r="B863" s="4"/>
      <c r="C863" s="4"/>
      <c r="D863" s="4"/>
      <c r="E863" s="4"/>
      <c r="F863" s="4"/>
      <c r="G863" s="4"/>
    </row>
    <row r="864">
      <c r="A864" s="4"/>
      <c r="B864" s="4"/>
      <c r="C864" s="4"/>
      <c r="D864" s="4"/>
      <c r="E864" s="4"/>
      <c r="F864" s="4"/>
      <c r="G864" s="4"/>
    </row>
    <row r="865">
      <c r="A865" s="4"/>
      <c r="B865" s="4"/>
      <c r="C865" s="4"/>
      <c r="D865" s="4"/>
      <c r="E865" s="4"/>
      <c r="F865" s="4"/>
      <c r="G865" s="4"/>
    </row>
    <row r="866">
      <c r="A866" s="4"/>
      <c r="B866" s="4"/>
      <c r="C866" s="4"/>
      <c r="D866" s="4"/>
      <c r="E866" s="4"/>
      <c r="F866" s="4"/>
      <c r="G866" s="4"/>
    </row>
    <row r="867">
      <c r="A867" s="4"/>
      <c r="B867" s="4"/>
      <c r="C867" s="4"/>
      <c r="D867" s="4"/>
      <c r="E867" s="4"/>
      <c r="F867" s="4"/>
      <c r="G867" s="4"/>
    </row>
    <row r="868">
      <c r="A868" s="4"/>
      <c r="B868" s="4"/>
      <c r="C868" s="4"/>
      <c r="D868" s="4"/>
      <c r="E868" s="4"/>
      <c r="F868" s="4"/>
      <c r="G868" s="4"/>
    </row>
    <row r="869">
      <c r="A869" s="4"/>
      <c r="B869" s="4"/>
      <c r="C869" s="4"/>
      <c r="D869" s="4"/>
      <c r="E869" s="4"/>
      <c r="F869" s="4"/>
      <c r="G869" s="4"/>
    </row>
    <row r="870">
      <c r="A870" s="4"/>
      <c r="B870" s="4"/>
      <c r="C870" s="4"/>
      <c r="D870" s="4"/>
      <c r="E870" s="4"/>
      <c r="F870" s="4"/>
      <c r="G870" s="4"/>
    </row>
    <row r="871">
      <c r="A871" s="4"/>
      <c r="B871" s="4"/>
      <c r="C871" s="4"/>
      <c r="D871" s="4"/>
      <c r="E871" s="4"/>
      <c r="F871" s="4"/>
      <c r="G871" s="4"/>
    </row>
    <row r="872">
      <c r="A872" s="4"/>
      <c r="B872" s="4"/>
      <c r="C872" s="4"/>
      <c r="D872" s="4"/>
      <c r="E872" s="4"/>
      <c r="F872" s="4"/>
      <c r="G872" s="4"/>
    </row>
    <row r="873">
      <c r="A873" s="4"/>
      <c r="B873" s="4"/>
      <c r="C873" s="4"/>
      <c r="D873" s="4"/>
      <c r="E873" s="4"/>
      <c r="F873" s="4"/>
      <c r="G873" s="4"/>
    </row>
    <row r="874">
      <c r="A874" s="4"/>
      <c r="B874" s="4"/>
      <c r="C874" s="4"/>
      <c r="D874" s="4"/>
      <c r="E874" s="4"/>
      <c r="F874" s="4"/>
      <c r="G874" s="4"/>
    </row>
    <row r="875">
      <c r="A875" s="4"/>
      <c r="B875" s="4"/>
      <c r="C875" s="4"/>
      <c r="D875" s="4"/>
      <c r="E875" s="4"/>
      <c r="F875" s="4"/>
      <c r="G875" s="4"/>
    </row>
    <row r="876">
      <c r="A876" s="4"/>
      <c r="B876" s="4"/>
      <c r="C876" s="4"/>
      <c r="D876" s="4"/>
      <c r="E876" s="4"/>
      <c r="F876" s="4"/>
      <c r="G876" s="4"/>
    </row>
    <row r="877">
      <c r="A877" s="4"/>
      <c r="B877" s="4"/>
      <c r="C877" s="4"/>
      <c r="D877" s="4"/>
      <c r="E877" s="4"/>
      <c r="F877" s="4"/>
      <c r="G877" s="4"/>
    </row>
    <row r="878">
      <c r="A878" s="4"/>
      <c r="B878" s="4"/>
      <c r="C878" s="4"/>
      <c r="D878" s="4"/>
      <c r="E878" s="4"/>
      <c r="F878" s="4"/>
      <c r="G878" s="4"/>
    </row>
    <row r="879">
      <c r="A879" s="4"/>
      <c r="B879" s="4"/>
      <c r="C879" s="4"/>
      <c r="D879" s="4"/>
      <c r="E879" s="4"/>
      <c r="F879" s="4"/>
      <c r="G879" s="4"/>
    </row>
    <row r="880">
      <c r="A880" s="4"/>
      <c r="B880" s="4"/>
      <c r="C880" s="4"/>
      <c r="D880" s="4"/>
      <c r="E880" s="4"/>
      <c r="F880" s="4"/>
      <c r="G880" s="4"/>
    </row>
    <row r="881">
      <c r="A881" s="4"/>
      <c r="B881" s="4"/>
      <c r="C881" s="4"/>
      <c r="D881" s="4"/>
      <c r="E881" s="4"/>
      <c r="F881" s="4"/>
      <c r="G881" s="4"/>
    </row>
    <row r="882">
      <c r="A882" s="4"/>
      <c r="B882" s="4"/>
      <c r="C882" s="4"/>
      <c r="D882" s="4"/>
      <c r="E882" s="4"/>
      <c r="F882" s="4"/>
      <c r="G882" s="4"/>
    </row>
    <row r="883">
      <c r="A883" s="4"/>
      <c r="B883" s="4"/>
      <c r="C883" s="4"/>
      <c r="D883" s="4"/>
      <c r="E883" s="4"/>
      <c r="F883" s="4"/>
      <c r="G883" s="4"/>
    </row>
    <row r="884">
      <c r="A884" s="4"/>
      <c r="B884" s="4"/>
      <c r="C884" s="4"/>
      <c r="D884" s="4"/>
      <c r="E884" s="4"/>
      <c r="F884" s="4"/>
      <c r="G884" s="4"/>
    </row>
    <row r="885">
      <c r="A885" s="4"/>
      <c r="B885" s="4"/>
      <c r="C885" s="4"/>
      <c r="D885" s="4"/>
      <c r="E885" s="4"/>
      <c r="F885" s="4"/>
      <c r="G885" s="4"/>
    </row>
    <row r="886">
      <c r="A886" s="4"/>
      <c r="B886" s="4"/>
      <c r="C886" s="4"/>
      <c r="D886" s="4"/>
      <c r="E886" s="4"/>
      <c r="F886" s="4"/>
      <c r="G886" s="4"/>
    </row>
    <row r="887">
      <c r="A887" s="4"/>
      <c r="B887" s="4"/>
      <c r="C887" s="4"/>
      <c r="D887" s="4"/>
      <c r="E887" s="4"/>
      <c r="F887" s="4"/>
      <c r="G887" s="4"/>
    </row>
    <row r="888">
      <c r="A888" s="4"/>
      <c r="B888" s="4"/>
      <c r="C888" s="4"/>
      <c r="D888" s="4"/>
      <c r="E888" s="4"/>
      <c r="F888" s="4"/>
      <c r="G888" s="4"/>
    </row>
    <row r="889">
      <c r="A889" s="4"/>
      <c r="B889" s="4"/>
      <c r="C889" s="4"/>
      <c r="D889" s="4"/>
      <c r="E889" s="4"/>
      <c r="F889" s="4"/>
      <c r="G889" s="4"/>
    </row>
    <row r="890">
      <c r="A890" s="4"/>
      <c r="B890" s="4"/>
      <c r="C890" s="4"/>
      <c r="D890" s="4"/>
      <c r="E890" s="4"/>
      <c r="F890" s="4"/>
      <c r="G890" s="4"/>
    </row>
    <row r="891">
      <c r="A891" s="4"/>
      <c r="B891" s="4"/>
      <c r="C891" s="4"/>
      <c r="D891" s="4"/>
      <c r="E891" s="4"/>
      <c r="F891" s="4"/>
      <c r="G891" s="4"/>
    </row>
    <row r="892">
      <c r="A892" s="4"/>
      <c r="B892" s="4"/>
      <c r="C892" s="4"/>
      <c r="D892" s="4"/>
      <c r="E892" s="4"/>
      <c r="F892" s="4"/>
      <c r="G892" s="4"/>
    </row>
    <row r="893">
      <c r="A893" s="4"/>
      <c r="B893" s="4"/>
      <c r="C893" s="4"/>
      <c r="D893" s="4"/>
      <c r="E893" s="4"/>
      <c r="F893" s="4"/>
      <c r="G893" s="4"/>
    </row>
    <row r="894">
      <c r="A894" s="4"/>
      <c r="B894" s="4"/>
      <c r="C894" s="4"/>
      <c r="D894" s="4"/>
      <c r="E894" s="4"/>
      <c r="F894" s="4"/>
      <c r="G894" s="4"/>
    </row>
    <row r="895">
      <c r="A895" s="4"/>
      <c r="B895" s="4"/>
      <c r="C895" s="4"/>
      <c r="D895" s="4"/>
      <c r="E895" s="4"/>
      <c r="F895" s="4"/>
      <c r="G895" s="4"/>
    </row>
    <row r="896">
      <c r="A896" s="4"/>
      <c r="B896" s="4"/>
      <c r="C896" s="4"/>
      <c r="D896" s="4"/>
      <c r="E896" s="4"/>
      <c r="F896" s="4"/>
      <c r="G896" s="4"/>
    </row>
    <row r="897">
      <c r="A897" s="4"/>
      <c r="B897" s="4"/>
      <c r="C897" s="4"/>
      <c r="D897" s="4"/>
      <c r="E897" s="4"/>
      <c r="F897" s="4"/>
      <c r="G897" s="4"/>
    </row>
    <row r="898">
      <c r="A898" s="4"/>
      <c r="B898" s="4"/>
      <c r="C898" s="4"/>
      <c r="D898" s="4"/>
      <c r="E898" s="4"/>
      <c r="F898" s="4"/>
      <c r="G898" s="4"/>
    </row>
    <row r="899">
      <c r="A899" s="4"/>
      <c r="B899" s="4"/>
      <c r="C899" s="4"/>
      <c r="D899" s="4"/>
      <c r="E899" s="4"/>
      <c r="F899" s="4"/>
      <c r="G899" s="4"/>
    </row>
    <row r="900">
      <c r="A900" s="4"/>
      <c r="B900" s="4"/>
      <c r="C900" s="4"/>
      <c r="D900" s="4"/>
      <c r="E900" s="4"/>
      <c r="F900" s="4"/>
      <c r="G900" s="4"/>
    </row>
    <row r="901">
      <c r="A901" s="4"/>
      <c r="B901" s="4"/>
      <c r="C901" s="4"/>
      <c r="D901" s="4"/>
      <c r="E901" s="4"/>
      <c r="F901" s="4"/>
      <c r="G901" s="4"/>
    </row>
    <row r="902">
      <c r="A902" s="4"/>
      <c r="B902" s="4"/>
      <c r="C902" s="4"/>
      <c r="D902" s="4"/>
      <c r="E902" s="4"/>
      <c r="F902" s="4"/>
      <c r="G902" s="4"/>
    </row>
    <row r="903">
      <c r="A903" s="4"/>
      <c r="B903" s="4"/>
      <c r="C903" s="4"/>
      <c r="D903" s="4"/>
      <c r="E903" s="4"/>
      <c r="F903" s="4"/>
      <c r="G903" s="4"/>
    </row>
    <row r="904">
      <c r="A904" s="4"/>
      <c r="B904" s="4"/>
      <c r="C904" s="4"/>
      <c r="D904" s="4"/>
      <c r="E904" s="4"/>
      <c r="F904" s="4"/>
      <c r="G904" s="4"/>
    </row>
    <row r="905">
      <c r="A905" s="4"/>
      <c r="B905" s="4"/>
      <c r="C905" s="4"/>
      <c r="D905" s="4"/>
      <c r="E905" s="4"/>
      <c r="F905" s="4"/>
      <c r="G905" s="4"/>
    </row>
    <row r="906">
      <c r="A906" s="4"/>
      <c r="B906" s="4"/>
      <c r="C906" s="4"/>
      <c r="D906" s="4"/>
      <c r="E906" s="4"/>
      <c r="F906" s="4"/>
      <c r="G906" s="4"/>
    </row>
    <row r="907">
      <c r="A907" s="4"/>
      <c r="B907" s="4"/>
      <c r="C907" s="4"/>
      <c r="D907" s="4"/>
      <c r="E907" s="4"/>
      <c r="F907" s="4"/>
      <c r="G907" s="4"/>
    </row>
    <row r="908">
      <c r="A908" s="4"/>
      <c r="B908" s="4"/>
      <c r="C908" s="4"/>
      <c r="D908" s="4"/>
      <c r="E908" s="4"/>
      <c r="F908" s="4"/>
      <c r="G908" s="4"/>
    </row>
    <row r="909">
      <c r="A909" s="4"/>
      <c r="B909" s="4"/>
      <c r="C909" s="4"/>
      <c r="D909" s="4"/>
      <c r="E909" s="4"/>
      <c r="F909" s="4"/>
      <c r="G909" s="4"/>
    </row>
    <row r="910">
      <c r="A910" s="4"/>
      <c r="B910" s="4"/>
      <c r="C910" s="4"/>
      <c r="D910" s="4"/>
      <c r="E910" s="4"/>
      <c r="F910" s="4"/>
      <c r="G910" s="4"/>
    </row>
    <row r="911">
      <c r="A911" s="4"/>
      <c r="B911" s="4"/>
      <c r="C911" s="4"/>
      <c r="D911" s="4"/>
      <c r="E911" s="4"/>
      <c r="F911" s="4"/>
      <c r="G911" s="4"/>
    </row>
    <row r="912">
      <c r="A912" s="4"/>
      <c r="B912" s="4"/>
      <c r="C912" s="4"/>
      <c r="D912" s="4"/>
      <c r="E912" s="4"/>
      <c r="F912" s="4"/>
      <c r="G912" s="4"/>
    </row>
    <row r="913">
      <c r="A913" s="4"/>
      <c r="B913" s="4"/>
      <c r="C913" s="4"/>
      <c r="D913" s="4"/>
      <c r="E913" s="4"/>
      <c r="F913" s="4"/>
      <c r="G913" s="4"/>
    </row>
    <row r="914">
      <c r="A914" s="4"/>
      <c r="B914" s="4"/>
      <c r="C914" s="4"/>
      <c r="D914" s="4"/>
      <c r="E914" s="4"/>
      <c r="F914" s="4"/>
      <c r="G914" s="4"/>
    </row>
    <row r="915">
      <c r="A915" s="4"/>
      <c r="B915" s="4"/>
      <c r="C915" s="4"/>
      <c r="D915" s="4"/>
      <c r="E915" s="4"/>
      <c r="F915" s="4"/>
      <c r="G915" s="4"/>
    </row>
    <row r="916">
      <c r="A916" s="4"/>
      <c r="B916" s="4"/>
      <c r="C916" s="4"/>
      <c r="D916" s="4"/>
      <c r="E916" s="4"/>
      <c r="F916" s="4"/>
      <c r="G916" s="4"/>
    </row>
    <row r="917">
      <c r="A917" s="4"/>
      <c r="B917" s="4"/>
      <c r="C917" s="4"/>
      <c r="D917" s="4"/>
      <c r="E917" s="4"/>
      <c r="F917" s="4"/>
      <c r="G917" s="4"/>
    </row>
    <row r="918">
      <c r="A918" s="4"/>
      <c r="B918" s="4"/>
      <c r="C918" s="4"/>
      <c r="D918" s="4"/>
      <c r="E918" s="4"/>
      <c r="F918" s="4"/>
      <c r="G918" s="4"/>
    </row>
    <row r="919">
      <c r="A919" s="4"/>
      <c r="B919" s="4"/>
      <c r="C919" s="4"/>
      <c r="D919" s="4"/>
      <c r="E919" s="4"/>
      <c r="F919" s="4"/>
      <c r="G919" s="4"/>
    </row>
    <row r="920">
      <c r="A920" s="4"/>
      <c r="B920" s="4"/>
      <c r="C920" s="4"/>
      <c r="D920" s="4"/>
      <c r="E920" s="4"/>
      <c r="F920" s="4"/>
      <c r="G920" s="4"/>
    </row>
    <row r="921">
      <c r="A921" s="4"/>
      <c r="B921" s="4"/>
      <c r="C921" s="4"/>
      <c r="D921" s="4"/>
      <c r="E921" s="4"/>
      <c r="F921" s="4"/>
      <c r="G921" s="4"/>
    </row>
    <row r="922">
      <c r="A922" s="4"/>
      <c r="B922" s="4"/>
      <c r="C922" s="4"/>
      <c r="D922" s="4"/>
      <c r="E922" s="4"/>
      <c r="F922" s="4"/>
      <c r="G922" s="4"/>
    </row>
    <row r="923">
      <c r="A923" s="4"/>
      <c r="B923" s="4"/>
      <c r="C923" s="4"/>
      <c r="D923" s="4"/>
      <c r="E923" s="4"/>
      <c r="F923" s="4"/>
      <c r="G923" s="4"/>
    </row>
    <row r="924">
      <c r="A924" s="4"/>
      <c r="B924" s="4"/>
      <c r="C924" s="4"/>
      <c r="D924" s="4"/>
      <c r="E924" s="4"/>
      <c r="F924" s="4"/>
      <c r="G924" s="4"/>
    </row>
    <row r="925">
      <c r="A925" s="4"/>
      <c r="B925" s="4"/>
      <c r="C925" s="4"/>
      <c r="D925" s="4"/>
      <c r="E925" s="4"/>
      <c r="F925" s="4"/>
      <c r="G925" s="4"/>
    </row>
    <row r="926">
      <c r="A926" s="4"/>
      <c r="B926" s="4"/>
      <c r="C926" s="4"/>
      <c r="D926" s="4"/>
      <c r="E926" s="4"/>
      <c r="F926" s="4"/>
      <c r="G926" s="4"/>
    </row>
    <row r="927">
      <c r="A927" s="4"/>
      <c r="B927" s="4"/>
      <c r="C927" s="4"/>
      <c r="D927" s="4"/>
      <c r="E927" s="4"/>
      <c r="F927" s="4"/>
      <c r="G927" s="4"/>
    </row>
    <row r="928">
      <c r="A928" s="4"/>
      <c r="B928" s="4"/>
      <c r="C928" s="4"/>
      <c r="D928" s="4"/>
      <c r="E928" s="4"/>
      <c r="F928" s="4"/>
      <c r="G928" s="4"/>
    </row>
    <row r="929">
      <c r="A929" s="4"/>
      <c r="B929" s="4"/>
      <c r="C929" s="4"/>
      <c r="D929" s="4"/>
      <c r="E929" s="4"/>
      <c r="F929" s="4"/>
      <c r="G929" s="4"/>
    </row>
    <row r="930">
      <c r="A930" s="4"/>
      <c r="B930" s="4"/>
      <c r="C930" s="4"/>
      <c r="D930" s="4"/>
      <c r="E930" s="4"/>
      <c r="F930" s="4"/>
      <c r="G930" s="4"/>
    </row>
    <row r="931">
      <c r="A931" s="4"/>
      <c r="B931" s="4"/>
      <c r="C931" s="4"/>
      <c r="D931" s="4"/>
      <c r="E931" s="4"/>
      <c r="F931" s="4"/>
      <c r="G931" s="4"/>
    </row>
    <row r="932">
      <c r="A932" s="4"/>
      <c r="B932" s="4"/>
      <c r="C932" s="4"/>
      <c r="D932" s="4"/>
      <c r="E932" s="4"/>
      <c r="F932" s="4"/>
      <c r="G932" s="4"/>
    </row>
    <row r="933">
      <c r="A933" s="4"/>
      <c r="B933" s="4"/>
      <c r="C933" s="4"/>
      <c r="D933" s="4"/>
      <c r="E933" s="4"/>
      <c r="F933" s="4"/>
      <c r="G933" s="4"/>
    </row>
    <row r="934">
      <c r="A934" s="4"/>
      <c r="B934" s="4"/>
      <c r="C934" s="4"/>
      <c r="D934" s="4"/>
      <c r="E934" s="4"/>
      <c r="F934" s="4"/>
      <c r="G934" s="4"/>
    </row>
    <row r="935">
      <c r="A935" s="4"/>
      <c r="B935" s="4"/>
      <c r="C935" s="4"/>
      <c r="D935" s="4"/>
      <c r="E935" s="4"/>
      <c r="F935" s="4"/>
      <c r="G935" s="4"/>
    </row>
    <row r="936">
      <c r="A936" s="4"/>
      <c r="B936" s="4"/>
      <c r="C936" s="4"/>
      <c r="D936" s="4"/>
      <c r="E936" s="4"/>
      <c r="F936" s="4"/>
      <c r="G936" s="4"/>
    </row>
    <row r="937">
      <c r="A937" s="4"/>
      <c r="B937" s="4"/>
      <c r="C937" s="4"/>
      <c r="D937" s="4"/>
      <c r="E937" s="4"/>
      <c r="F937" s="4"/>
      <c r="G937" s="4"/>
    </row>
    <row r="938">
      <c r="A938" s="4"/>
      <c r="B938" s="4"/>
      <c r="C938" s="4"/>
      <c r="D938" s="4"/>
      <c r="E938" s="4"/>
      <c r="F938" s="4"/>
      <c r="G938" s="4"/>
    </row>
    <row r="939">
      <c r="A939" s="4"/>
      <c r="B939" s="4"/>
      <c r="C939" s="4"/>
      <c r="D939" s="4"/>
      <c r="E939" s="4"/>
      <c r="F939" s="4"/>
      <c r="G939" s="4"/>
    </row>
    <row r="940">
      <c r="A940" s="4"/>
      <c r="B940" s="4"/>
      <c r="C940" s="4"/>
      <c r="D940" s="4"/>
      <c r="E940" s="4"/>
      <c r="F940" s="4"/>
      <c r="G940" s="4"/>
    </row>
    <row r="941">
      <c r="A941" s="4"/>
      <c r="B941" s="4"/>
      <c r="C941" s="4"/>
      <c r="D941" s="4"/>
      <c r="E941" s="4"/>
      <c r="F941" s="4"/>
      <c r="G941" s="4"/>
    </row>
    <row r="942">
      <c r="A942" s="4"/>
      <c r="B942" s="4"/>
      <c r="C942" s="4"/>
      <c r="D942" s="4"/>
      <c r="E942" s="4"/>
      <c r="F942" s="4"/>
      <c r="G942" s="4"/>
    </row>
    <row r="943">
      <c r="A943" s="4"/>
      <c r="B943" s="4"/>
      <c r="C943" s="4"/>
      <c r="D943" s="4"/>
      <c r="E943" s="4"/>
      <c r="F943" s="4"/>
      <c r="G943" s="4"/>
    </row>
    <row r="944">
      <c r="A944" s="4"/>
      <c r="B944" s="4"/>
      <c r="C944" s="4"/>
      <c r="D944" s="4"/>
      <c r="E944" s="4"/>
      <c r="F944" s="4"/>
      <c r="G944" s="4"/>
    </row>
    <row r="945">
      <c r="A945" s="4"/>
      <c r="B945" s="4"/>
      <c r="C945" s="4"/>
      <c r="D945" s="4"/>
      <c r="E945" s="4"/>
      <c r="F945" s="4"/>
      <c r="G945" s="4"/>
    </row>
    <row r="946">
      <c r="A946" s="4"/>
      <c r="B946" s="4"/>
      <c r="C946" s="4"/>
      <c r="D946" s="4"/>
      <c r="E946" s="4"/>
      <c r="F946" s="4"/>
      <c r="G946" s="4"/>
    </row>
    <row r="947">
      <c r="A947" s="4"/>
      <c r="B947" s="4"/>
      <c r="C947" s="4"/>
      <c r="D947" s="4"/>
      <c r="E947" s="4"/>
      <c r="F947" s="4"/>
      <c r="G947" s="4"/>
    </row>
    <row r="948">
      <c r="A948" s="4"/>
      <c r="B948" s="4"/>
      <c r="C948" s="4"/>
      <c r="D948" s="4"/>
      <c r="E948" s="4"/>
      <c r="F948" s="4"/>
      <c r="G948" s="4"/>
    </row>
    <row r="949">
      <c r="A949" s="4"/>
      <c r="B949" s="4"/>
      <c r="C949" s="4"/>
      <c r="D949" s="4"/>
      <c r="E949" s="4"/>
      <c r="F949" s="4"/>
      <c r="G949" s="4"/>
    </row>
    <row r="950">
      <c r="A950" s="4"/>
      <c r="B950" s="4"/>
      <c r="C950" s="4"/>
      <c r="D950" s="4"/>
      <c r="E950" s="4"/>
      <c r="F950" s="4"/>
      <c r="G950" s="4"/>
    </row>
    <row r="951">
      <c r="A951" s="4"/>
      <c r="B951" s="4"/>
      <c r="C951" s="4"/>
      <c r="D951" s="4"/>
      <c r="E951" s="4"/>
      <c r="F951" s="4"/>
      <c r="G951" s="4"/>
    </row>
    <row r="952">
      <c r="A952" s="4"/>
      <c r="B952" s="4"/>
      <c r="C952" s="4"/>
      <c r="D952" s="4"/>
      <c r="E952" s="4"/>
      <c r="F952" s="4"/>
      <c r="G952" s="4"/>
    </row>
    <row r="953">
      <c r="A953" s="4"/>
      <c r="B953" s="4"/>
      <c r="C953" s="4"/>
      <c r="D953" s="4"/>
      <c r="E953" s="4"/>
      <c r="F953" s="4"/>
      <c r="G953" s="4"/>
    </row>
    <row r="954">
      <c r="A954" s="4"/>
      <c r="B954" s="4"/>
      <c r="C954" s="4"/>
      <c r="D954" s="4"/>
      <c r="E954" s="4"/>
      <c r="F954" s="4"/>
      <c r="G954" s="4"/>
    </row>
    <row r="955">
      <c r="A955" s="4"/>
      <c r="B955" s="4"/>
      <c r="C955" s="4"/>
      <c r="D955" s="4"/>
      <c r="E955" s="4"/>
      <c r="F955" s="4"/>
      <c r="G955" s="4"/>
    </row>
    <row r="956">
      <c r="A956" s="4"/>
      <c r="B956" s="4"/>
      <c r="C956" s="4"/>
      <c r="D956" s="4"/>
      <c r="E956" s="4"/>
      <c r="F956" s="4"/>
      <c r="G956" s="4"/>
    </row>
    <row r="957">
      <c r="A957" s="4"/>
      <c r="B957" s="4"/>
      <c r="C957" s="4"/>
      <c r="D957" s="4"/>
      <c r="E957" s="4"/>
      <c r="F957" s="4"/>
      <c r="G957" s="4"/>
    </row>
    <row r="958">
      <c r="A958" s="4"/>
      <c r="B958" s="4"/>
      <c r="C958" s="4"/>
      <c r="D958" s="4"/>
      <c r="E958" s="4"/>
      <c r="F958" s="4"/>
      <c r="G958" s="4"/>
    </row>
    <row r="959">
      <c r="A959" s="4"/>
      <c r="B959" s="4"/>
      <c r="C959" s="4"/>
      <c r="D959" s="4"/>
      <c r="E959" s="4"/>
      <c r="F959" s="4"/>
      <c r="G959" s="4"/>
    </row>
    <row r="960">
      <c r="A960" s="4"/>
      <c r="B960" s="4"/>
      <c r="C960" s="4"/>
      <c r="D960" s="4"/>
      <c r="E960" s="4"/>
      <c r="F960" s="4"/>
      <c r="G960" s="4"/>
    </row>
    <row r="961">
      <c r="A961" s="4"/>
      <c r="B961" s="4"/>
      <c r="C961" s="4"/>
      <c r="D961" s="4"/>
      <c r="E961" s="4"/>
      <c r="F961" s="4"/>
      <c r="G961" s="4"/>
    </row>
    <row r="962">
      <c r="A962" s="4"/>
      <c r="B962" s="4"/>
      <c r="C962" s="4"/>
      <c r="D962" s="4"/>
      <c r="E962" s="4"/>
      <c r="F962" s="4"/>
      <c r="G962" s="4"/>
    </row>
    <row r="963">
      <c r="A963" s="4"/>
      <c r="B963" s="4"/>
      <c r="C963" s="4"/>
      <c r="D963" s="4"/>
      <c r="E963" s="4"/>
      <c r="F963" s="4"/>
      <c r="G963" s="4"/>
    </row>
    <row r="964">
      <c r="A964" s="4"/>
      <c r="B964" s="4"/>
      <c r="C964" s="4"/>
      <c r="D964" s="4"/>
      <c r="E964" s="4"/>
      <c r="F964" s="4"/>
      <c r="G964" s="4"/>
    </row>
    <row r="965">
      <c r="A965" s="4"/>
      <c r="B965" s="4"/>
      <c r="C965" s="4"/>
      <c r="D965" s="4"/>
      <c r="E965" s="4"/>
      <c r="F965" s="4"/>
      <c r="G965" s="4"/>
    </row>
    <row r="966">
      <c r="A966" s="4"/>
      <c r="B966" s="4"/>
      <c r="C966" s="4"/>
      <c r="D966" s="4"/>
      <c r="E966" s="4"/>
      <c r="F966" s="4"/>
      <c r="G966" s="4"/>
    </row>
    <row r="967">
      <c r="A967" s="4"/>
      <c r="B967" s="4"/>
      <c r="C967" s="4"/>
      <c r="D967" s="4"/>
      <c r="E967" s="4"/>
      <c r="F967" s="4"/>
      <c r="G967" s="4"/>
    </row>
    <row r="968">
      <c r="A968" s="4"/>
      <c r="B968" s="4"/>
      <c r="C968" s="4"/>
      <c r="D968" s="4"/>
      <c r="E968" s="4"/>
      <c r="F968" s="4"/>
      <c r="G968" s="4"/>
    </row>
    <row r="969">
      <c r="A969" s="4"/>
      <c r="B969" s="4"/>
      <c r="C969" s="4"/>
      <c r="D969" s="4"/>
      <c r="E969" s="4"/>
      <c r="F969" s="4"/>
      <c r="G969" s="4"/>
    </row>
    <row r="970">
      <c r="A970" s="4"/>
      <c r="B970" s="4"/>
      <c r="C970" s="4"/>
      <c r="D970" s="4"/>
      <c r="E970" s="4"/>
      <c r="F970" s="4"/>
      <c r="G970" s="4"/>
    </row>
    <row r="971">
      <c r="A971" s="4"/>
      <c r="B971" s="4"/>
      <c r="C971" s="4"/>
      <c r="D971" s="4"/>
      <c r="E971" s="4"/>
      <c r="F971" s="4"/>
      <c r="G971" s="4"/>
    </row>
    <row r="972">
      <c r="A972" s="4"/>
      <c r="B972" s="4"/>
      <c r="C972" s="4"/>
      <c r="D972" s="4"/>
      <c r="E972" s="4"/>
      <c r="F972" s="4"/>
      <c r="G972" s="4"/>
    </row>
    <row r="973">
      <c r="A973" s="4"/>
      <c r="B973" s="4"/>
      <c r="C973" s="4"/>
      <c r="D973" s="4"/>
      <c r="E973" s="4"/>
      <c r="F973" s="4"/>
      <c r="G973" s="4"/>
    </row>
    <row r="974">
      <c r="A974" s="4"/>
      <c r="B974" s="4"/>
      <c r="C974" s="4"/>
      <c r="D974" s="4"/>
      <c r="E974" s="4"/>
      <c r="F974" s="4"/>
      <c r="G974" s="4"/>
    </row>
    <row r="975">
      <c r="A975" s="4"/>
      <c r="B975" s="4"/>
      <c r="C975" s="4"/>
      <c r="D975" s="4"/>
      <c r="E975" s="4"/>
      <c r="F975" s="4"/>
      <c r="G975" s="4"/>
    </row>
    <row r="976">
      <c r="A976" s="4"/>
      <c r="B976" s="4"/>
      <c r="C976" s="4"/>
      <c r="D976" s="4"/>
      <c r="E976" s="4"/>
      <c r="F976" s="4"/>
      <c r="G976" s="4"/>
    </row>
    <row r="977">
      <c r="A977" s="4"/>
      <c r="B977" s="4"/>
      <c r="C977" s="4"/>
      <c r="D977" s="4"/>
      <c r="E977" s="4"/>
      <c r="F977" s="4"/>
      <c r="G977" s="4"/>
    </row>
    <row r="978">
      <c r="A978" s="4"/>
      <c r="B978" s="4"/>
      <c r="C978" s="4"/>
      <c r="D978" s="4"/>
      <c r="E978" s="4"/>
      <c r="F978" s="4"/>
      <c r="G978" s="4"/>
    </row>
    <row r="979">
      <c r="A979" s="4"/>
      <c r="B979" s="4"/>
      <c r="C979" s="4"/>
      <c r="D979" s="4"/>
      <c r="E979" s="4"/>
      <c r="F979" s="4"/>
      <c r="G979" s="4"/>
    </row>
    <row r="980">
      <c r="A980" s="4"/>
      <c r="B980" s="4"/>
      <c r="C980" s="4"/>
      <c r="D980" s="4"/>
      <c r="E980" s="4"/>
      <c r="F980" s="4"/>
      <c r="G980" s="4"/>
    </row>
    <row r="981">
      <c r="A981" s="4"/>
      <c r="B981" s="4"/>
      <c r="C981" s="4"/>
      <c r="D981" s="4"/>
      <c r="E981" s="4"/>
      <c r="F981" s="4"/>
      <c r="G981" s="4"/>
    </row>
    <row r="982">
      <c r="A982" s="4"/>
      <c r="B982" s="4"/>
      <c r="C982" s="4"/>
      <c r="D982" s="4"/>
      <c r="E982" s="4"/>
      <c r="F982" s="4"/>
      <c r="G982" s="4"/>
    </row>
    <row r="983">
      <c r="A983" s="4"/>
      <c r="B983" s="4"/>
      <c r="C983" s="4"/>
      <c r="D983" s="4"/>
      <c r="E983" s="4"/>
      <c r="F983" s="4"/>
      <c r="G983" s="4"/>
    </row>
    <row r="984">
      <c r="A984" s="4"/>
      <c r="B984" s="4"/>
      <c r="C984" s="4"/>
      <c r="D984" s="4"/>
      <c r="E984" s="4"/>
      <c r="F984" s="4"/>
      <c r="G984" s="4"/>
    </row>
    <row r="985">
      <c r="A985" s="4"/>
      <c r="B985" s="4"/>
      <c r="C985" s="4"/>
      <c r="D985" s="4"/>
      <c r="E985" s="4"/>
      <c r="F985" s="4"/>
      <c r="G985" s="4"/>
    </row>
    <row r="986">
      <c r="A986" s="4"/>
      <c r="B986" s="4"/>
      <c r="C986" s="4"/>
      <c r="D986" s="4"/>
      <c r="E986" s="4"/>
      <c r="F986" s="4"/>
      <c r="G986" s="4"/>
    </row>
    <row r="987">
      <c r="A987" s="4"/>
      <c r="B987" s="4"/>
      <c r="C987" s="4"/>
      <c r="D987" s="4"/>
      <c r="E987" s="4"/>
      <c r="F987" s="4"/>
      <c r="G987" s="4"/>
    </row>
    <row r="988">
      <c r="A988" s="4"/>
      <c r="B988" s="4"/>
      <c r="C988" s="4"/>
      <c r="D988" s="4"/>
      <c r="E988" s="4"/>
      <c r="F988" s="4"/>
      <c r="G988" s="4"/>
    </row>
    <row r="989">
      <c r="A989" s="4"/>
      <c r="B989" s="4"/>
      <c r="C989" s="4"/>
      <c r="D989" s="4"/>
      <c r="E989" s="4"/>
      <c r="F989" s="4"/>
      <c r="G989" s="4"/>
    </row>
    <row r="990">
      <c r="A990" s="4"/>
      <c r="B990" s="4"/>
      <c r="C990" s="4"/>
      <c r="D990" s="4"/>
      <c r="E990" s="4"/>
      <c r="F990" s="4"/>
      <c r="G990" s="4"/>
    </row>
    <row r="991">
      <c r="A991" s="4"/>
      <c r="B991" s="4"/>
      <c r="C991" s="4"/>
      <c r="D991" s="4"/>
      <c r="E991" s="4"/>
      <c r="F991" s="4"/>
      <c r="G991" s="4"/>
    </row>
    <row r="992">
      <c r="A992" s="4"/>
      <c r="B992" s="4"/>
      <c r="C992" s="4"/>
      <c r="D992" s="4"/>
      <c r="E992" s="4"/>
      <c r="F992" s="4"/>
      <c r="G992" s="4"/>
    </row>
    <row r="993">
      <c r="A993" s="4"/>
      <c r="B993" s="4"/>
      <c r="C993" s="4"/>
      <c r="D993" s="4"/>
      <c r="E993" s="4"/>
      <c r="F993" s="4"/>
      <c r="G993" s="4"/>
    </row>
    <row r="994">
      <c r="A994" s="4"/>
      <c r="B994" s="4"/>
      <c r="C994" s="4"/>
      <c r="D994" s="4"/>
      <c r="E994" s="4"/>
      <c r="F994" s="4"/>
      <c r="G994" s="4"/>
    </row>
    <row r="995">
      <c r="A995" s="4"/>
      <c r="B995" s="4"/>
      <c r="C995" s="4"/>
      <c r="D995" s="4"/>
      <c r="E995" s="4"/>
      <c r="F995" s="4"/>
      <c r="G995" s="4"/>
    </row>
    <row r="996">
      <c r="A996" s="4"/>
      <c r="B996" s="4"/>
      <c r="C996" s="4"/>
      <c r="D996" s="4"/>
      <c r="E996" s="4"/>
      <c r="F996" s="4"/>
      <c r="G996" s="4"/>
    </row>
    <row r="997">
      <c r="A997" s="4"/>
      <c r="B997" s="4"/>
      <c r="C997" s="4"/>
      <c r="D997" s="4"/>
      <c r="E997" s="4"/>
      <c r="F997" s="4"/>
      <c r="G997" s="4"/>
    </row>
    <row r="998">
      <c r="A998" s="4"/>
      <c r="B998" s="4"/>
      <c r="C998" s="4"/>
      <c r="D998" s="4"/>
      <c r="E998" s="4"/>
      <c r="F998" s="4"/>
      <c r="G998" s="4"/>
    </row>
    <row r="999">
      <c r="A999" s="4"/>
      <c r="B999" s="4"/>
      <c r="C999" s="4"/>
      <c r="D999" s="4"/>
      <c r="E999" s="4"/>
      <c r="F999" s="4"/>
      <c r="G999" s="4"/>
    </row>
    <row r="1000">
      <c r="A1000" s="4"/>
      <c r="B1000" s="4"/>
      <c r="C1000" s="4"/>
      <c r="D1000" s="4"/>
      <c r="E1000" s="4"/>
      <c r="F1000" s="4"/>
      <c r="G1000" s="4"/>
    </row>
  </sheetData>
  <autoFilter ref="$A$2:$G$2"/>
  <mergeCells count="1">
    <mergeCell ref="A1:G1"/>
  </mergeCells>
  <printOptions/>
  <pageMargins bottom="1.0" footer="0.0" header="0.0" left="0.75" right="0.75" top="1.0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4.38"/>
    <col customWidth="1" min="2" max="2" width="28.0"/>
    <col customWidth="1" min="3" max="3" width="7.0"/>
    <col customWidth="1" min="4" max="4" width="15.75"/>
    <col customWidth="1" min="5" max="5" width="14.0"/>
    <col customWidth="1" min="6" max="6" width="21.88"/>
    <col customWidth="1" min="7" max="7" width="26.25"/>
    <col customWidth="1" min="8" max="26" width="7.63"/>
  </cols>
  <sheetData>
    <row r="1" ht="27.75" customHeight="1">
      <c r="A1" s="123" t="s">
        <v>5247</v>
      </c>
      <c r="B1" s="2"/>
      <c r="C1" s="2"/>
      <c r="D1" s="2"/>
      <c r="E1" s="2"/>
      <c r="F1" s="2"/>
      <c r="G1" s="3"/>
    </row>
    <row r="2" ht="19.5" customHeight="1">
      <c r="A2" s="124" t="s">
        <v>3</v>
      </c>
      <c r="B2" s="124" t="s">
        <v>5</v>
      </c>
      <c r="C2" s="124" t="s">
        <v>6</v>
      </c>
      <c r="D2" s="124" t="s">
        <v>7</v>
      </c>
      <c r="E2" s="124" t="s">
        <v>8</v>
      </c>
      <c r="F2" s="124" t="s">
        <v>9</v>
      </c>
      <c r="G2" s="124" t="s">
        <v>10</v>
      </c>
    </row>
    <row r="3" ht="31.5" customHeight="1">
      <c r="A3" s="125">
        <v>1.0</v>
      </c>
      <c r="B3" s="125" t="s">
        <v>1058</v>
      </c>
      <c r="C3" s="125"/>
      <c r="D3" s="125"/>
      <c r="E3" s="125"/>
      <c r="F3" s="125"/>
      <c r="G3" s="125"/>
    </row>
    <row r="4">
      <c r="A4" s="4"/>
      <c r="B4" s="4"/>
      <c r="C4" s="4"/>
      <c r="D4" s="4"/>
      <c r="E4" s="4"/>
      <c r="F4" s="4"/>
      <c r="G4" s="4"/>
    </row>
    <row r="5">
      <c r="A5" s="4"/>
      <c r="B5" s="4"/>
      <c r="C5" s="4"/>
      <c r="D5" s="4"/>
      <c r="E5" s="4"/>
      <c r="F5" s="4"/>
      <c r="G5" s="4"/>
    </row>
    <row r="6">
      <c r="A6" s="4"/>
      <c r="B6" s="4"/>
      <c r="C6" s="4"/>
      <c r="D6" s="4"/>
      <c r="E6" s="4"/>
      <c r="F6" s="4"/>
      <c r="G6" s="4"/>
    </row>
    <row r="7">
      <c r="A7" s="4"/>
      <c r="B7" s="4"/>
      <c r="C7" s="4"/>
      <c r="D7" s="4"/>
      <c r="E7" s="4"/>
      <c r="F7" s="4"/>
      <c r="G7" s="4"/>
    </row>
    <row r="8">
      <c r="A8" s="4"/>
      <c r="B8" s="4"/>
      <c r="C8" s="4"/>
      <c r="D8" s="4"/>
      <c r="E8" s="4"/>
      <c r="F8" s="4"/>
      <c r="G8" s="4"/>
    </row>
    <row r="9">
      <c r="A9" s="4"/>
      <c r="B9" s="4"/>
      <c r="C9" s="4"/>
      <c r="D9" s="4"/>
      <c r="E9" s="4"/>
      <c r="F9" s="4"/>
      <c r="G9" s="4"/>
    </row>
    <row r="10">
      <c r="A10" s="4"/>
      <c r="B10" s="4"/>
      <c r="C10" s="4"/>
      <c r="D10" s="4"/>
      <c r="E10" s="4"/>
      <c r="F10" s="4"/>
      <c r="G10" s="4"/>
    </row>
    <row r="11">
      <c r="A11" s="4"/>
      <c r="B11" s="4"/>
      <c r="C11" s="4"/>
      <c r="D11" s="4"/>
      <c r="E11" s="4"/>
      <c r="F11" s="4"/>
      <c r="G11" s="4"/>
    </row>
    <row r="12">
      <c r="A12" s="4"/>
      <c r="B12" s="4"/>
      <c r="C12" s="4"/>
      <c r="D12" s="4"/>
      <c r="E12" s="4"/>
      <c r="F12" s="4"/>
      <c r="G12" s="4"/>
    </row>
    <row r="13">
      <c r="A13" s="4"/>
      <c r="B13" s="4"/>
      <c r="C13" s="4"/>
      <c r="D13" s="4"/>
      <c r="E13" s="4"/>
      <c r="F13" s="4"/>
      <c r="G13" s="4"/>
    </row>
    <row r="14">
      <c r="A14" s="4"/>
      <c r="B14" s="4"/>
      <c r="C14" s="4"/>
      <c r="D14" s="4"/>
      <c r="E14" s="4"/>
      <c r="F14" s="4"/>
      <c r="G14" s="4"/>
    </row>
    <row r="15">
      <c r="A15" s="4"/>
      <c r="B15" s="4"/>
      <c r="C15" s="4"/>
      <c r="D15" s="4"/>
      <c r="E15" s="4"/>
      <c r="F15" s="4"/>
      <c r="G15" s="4"/>
    </row>
    <row r="16">
      <c r="A16" s="4"/>
      <c r="B16" s="4"/>
      <c r="C16" s="4"/>
      <c r="D16" s="4"/>
      <c r="E16" s="4"/>
      <c r="F16" s="4"/>
      <c r="G16" s="4"/>
    </row>
    <row r="17">
      <c r="A17" s="4"/>
      <c r="B17" s="4"/>
      <c r="C17" s="4"/>
      <c r="D17" s="4"/>
      <c r="E17" s="4"/>
      <c r="F17" s="4"/>
      <c r="G17" s="4"/>
    </row>
    <row r="18">
      <c r="A18" s="4"/>
      <c r="B18" s="4"/>
      <c r="C18" s="4"/>
      <c r="D18" s="4"/>
      <c r="E18" s="4"/>
      <c r="F18" s="4"/>
      <c r="G18" s="4"/>
    </row>
    <row r="19">
      <c r="A19" s="4"/>
      <c r="B19" s="4"/>
      <c r="C19" s="4"/>
      <c r="D19" s="4"/>
      <c r="E19" s="4"/>
      <c r="F19" s="4"/>
      <c r="G19" s="4"/>
    </row>
    <row r="20">
      <c r="A20" s="4"/>
      <c r="B20" s="4"/>
      <c r="C20" s="4"/>
      <c r="D20" s="4"/>
      <c r="E20" s="4"/>
      <c r="F20" s="4"/>
      <c r="G20" s="4"/>
    </row>
    <row r="21">
      <c r="A21" s="4"/>
      <c r="B21" s="4"/>
      <c r="C21" s="4"/>
      <c r="D21" s="4"/>
      <c r="E21" s="4"/>
      <c r="F21" s="4"/>
      <c r="G21" s="4"/>
    </row>
    <row r="22">
      <c r="A22" s="4"/>
      <c r="B22" s="4"/>
      <c r="C22" s="4"/>
      <c r="D22" s="4"/>
      <c r="E22" s="4"/>
      <c r="F22" s="4"/>
      <c r="G22" s="4"/>
    </row>
    <row r="23">
      <c r="A23" s="4"/>
      <c r="B23" s="4"/>
      <c r="C23" s="4"/>
      <c r="D23" s="4"/>
      <c r="E23" s="4"/>
      <c r="F23" s="4"/>
      <c r="G23" s="4"/>
    </row>
    <row r="24">
      <c r="A24" s="4"/>
      <c r="B24" s="4"/>
      <c r="C24" s="4"/>
      <c r="D24" s="4"/>
      <c r="E24" s="4"/>
      <c r="F24" s="4"/>
      <c r="G24" s="4"/>
    </row>
    <row r="25">
      <c r="A25" s="4"/>
      <c r="B25" s="4"/>
      <c r="C25" s="4"/>
      <c r="D25" s="4"/>
      <c r="E25" s="4"/>
      <c r="F25" s="4"/>
      <c r="G25" s="4"/>
    </row>
    <row r="26">
      <c r="A26" s="4"/>
      <c r="B26" s="4"/>
      <c r="C26" s="4"/>
      <c r="D26" s="4"/>
      <c r="E26" s="4"/>
      <c r="F26" s="4"/>
      <c r="G26" s="4"/>
    </row>
    <row r="27">
      <c r="A27" s="4"/>
      <c r="B27" s="4"/>
      <c r="C27" s="4"/>
      <c r="D27" s="4"/>
      <c r="E27" s="4"/>
      <c r="F27" s="4"/>
      <c r="G27" s="4"/>
    </row>
    <row r="28">
      <c r="A28" s="4"/>
      <c r="B28" s="4"/>
      <c r="C28" s="4"/>
      <c r="D28" s="4"/>
      <c r="E28" s="4"/>
      <c r="F28" s="4"/>
      <c r="G28" s="4"/>
    </row>
    <row r="29">
      <c r="A29" s="4"/>
      <c r="B29" s="4"/>
      <c r="C29" s="4"/>
      <c r="D29" s="4"/>
      <c r="E29" s="4"/>
      <c r="F29" s="4"/>
      <c r="G29" s="4"/>
    </row>
    <row r="30">
      <c r="A30" s="4"/>
      <c r="B30" s="4"/>
      <c r="C30" s="4"/>
      <c r="D30" s="4"/>
      <c r="E30" s="4"/>
      <c r="F30" s="4"/>
      <c r="G30" s="4"/>
    </row>
    <row r="31">
      <c r="A31" s="4"/>
      <c r="B31" s="4"/>
      <c r="C31" s="4"/>
      <c r="D31" s="4"/>
      <c r="E31" s="4"/>
      <c r="F31" s="4"/>
      <c r="G31" s="4"/>
    </row>
    <row r="32">
      <c r="A32" s="4"/>
      <c r="B32" s="4"/>
      <c r="C32" s="4"/>
      <c r="D32" s="4"/>
      <c r="E32" s="4"/>
      <c r="F32" s="4"/>
      <c r="G32" s="4"/>
    </row>
    <row r="33">
      <c r="A33" s="4"/>
      <c r="B33" s="4"/>
      <c r="C33" s="4"/>
      <c r="D33" s="4"/>
      <c r="E33" s="4"/>
      <c r="F33" s="4"/>
      <c r="G33" s="4"/>
    </row>
    <row r="34">
      <c r="A34" s="4"/>
      <c r="B34" s="4"/>
      <c r="C34" s="4"/>
      <c r="D34" s="4"/>
      <c r="E34" s="4"/>
      <c r="F34" s="4"/>
      <c r="G34" s="4"/>
    </row>
    <row r="35">
      <c r="A35" s="4"/>
      <c r="B35" s="4"/>
      <c r="C35" s="4"/>
      <c r="D35" s="4"/>
      <c r="E35" s="4"/>
      <c r="F35" s="4"/>
      <c r="G35" s="4"/>
    </row>
    <row r="36">
      <c r="A36" s="4"/>
      <c r="B36" s="4"/>
      <c r="C36" s="4"/>
      <c r="D36" s="4"/>
      <c r="E36" s="4"/>
      <c r="F36" s="4"/>
      <c r="G36" s="4"/>
    </row>
    <row r="37">
      <c r="A37" s="4"/>
      <c r="B37" s="4"/>
      <c r="C37" s="4"/>
      <c r="D37" s="4"/>
      <c r="E37" s="4"/>
      <c r="F37" s="4"/>
      <c r="G37" s="4"/>
    </row>
    <row r="38">
      <c r="A38" s="4"/>
      <c r="B38" s="4"/>
      <c r="C38" s="4"/>
      <c r="D38" s="4"/>
      <c r="E38" s="4"/>
      <c r="F38" s="4"/>
      <c r="G38" s="4"/>
    </row>
    <row r="39">
      <c r="A39" s="4"/>
      <c r="B39" s="4"/>
      <c r="C39" s="4"/>
      <c r="D39" s="4"/>
      <c r="E39" s="4"/>
      <c r="F39" s="4"/>
      <c r="G39" s="4"/>
    </row>
    <row r="40">
      <c r="A40" s="4"/>
      <c r="B40" s="4"/>
      <c r="C40" s="4"/>
      <c r="D40" s="4"/>
      <c r="E40" s="4"/>
      <c r="F40" s="4"/>
      <c r="G40" s="4"/>
    </row>
    <row r="41">
      <c r="A41" s="4"/>
      <c r="B41" s="4"/>
      <c r="C41" s="4"/>
      <c r="D41" s="4"/>
      <c r="E41" s="4"/>
      <c r="F41" s="4"/>
      <c r="G41" s="4"/>
    </row>
    <row r="42">
      <c r="A42" s="4"/>
      <c r="B42" s="4"/>
      <c r="C42" s="4"/>
      <c r="D42" s="4"/>
      <c r="E42" s="4"/>
      <c r="F42" s="4"/>
      <c r="G42" s="4"/>
    </row>
    <row r="43">
      <c r="A43" s="4"/>
      <c r="B43" s="4"/>
      <c r="C43" s="4"/>
      <c r="D43" s="4"/>
      <c r="E43" s="4"/>
      <c r="F43" s="4"/>
      <c r="G43" s="4"/>
    </row>
    <row r="44">
      <c r="A44" s="4"/>
      <c r="B44" s="4"/>
      <c r="C44" s="4"/>
      <c r="D44" s="4"/>
      <c r="E44" s="4"/>
      <c r="F44" s="4"/>
      <c r="G44" s="4"/>
    </row>
    <row r="45">
      <c r="A45" s="4"/>
      <c r="B45" s="4"/>
      <c r="C45" s="4"/>
      <c r="D45" s="4"/>
      <c r="E45" s="4"/>
      <c r="F45" s="4"/>
      <c r="G45" s="4"/>
    </row>
    <row r="46">
      <c r="A46" s="4"/>
      <c r="B46" s="4"/>
      <c r="C46" s="4"/>
      <c r="D46" s="4"/>
      <c r="E46" s="4"/>
      <c r="F46" s="4"/>
      <c r="G46" s="4"/>
    </row>
    <row r="47">
      <c r="A47" s="4"/>
      <c r="B47" s="4"/>
      <c r="C47" s="4"/>
      <c r="D47" s="4"/>
      <c r="E47" s="4"/>
      <c r="F47" s="4"/>
      <c r="G47" s="4"/>
    </row>
    <row r="48">
      <c r="A48" s="4"/>
      <c r="B48" s="4"/>
      <c r="C48" s="4"/>
      <c r="D48" s="4"/>
      <c r="E48" s="4"/>
      <c r="F48" s="4"/>
      <c r="G48" s="4"/>
    </row>
    <row r="49">
      <c r="A49" s="4"/>
      <c r="B49" s="4"/>
      <c r="C49" s="4"/>
      <c r="D49" s="4"/>
      <c r="E49" s="4"/>
      <c r="F49" s="4"/>
      <c r="G49" s="4"/>
    </row>
    <row r="50">
      <c r="A50" s="4"/>
      <c r="B50" s="4"/>
      <c r="C50" s="4"/>
      <c r="D50" s="4"/>
      <c r="E50" s="4"/>
      <c r="F50" s="4"/>
      <c r="G50" s="4"/>
    </row>
    <row r="51">
      <c r="A51" s="4"/>
      <c r="B51" s="4"/>
      <c r="C51" s="4"/>
      <c r="D51" s="4"/>
      <c r="E51" s="4"/>
      <c r="F51" s="4"/>
      <c r="G51" s="4"/>
    </row>
    <row r="52">
      <c r="A52" s="4"/>
      <c r="B52" s="4"/>
      <c r="C52" s="4"/>
      <c r="D52" s="4"/>
      <c r="E52" s="4"/>
      <c r="F52" s="4"/>
      <c r="G52" s="4"/>
    </row>
    <row r="53">
      <c r="A53" s="4"/>
      <c r="B53" s="4"/>
      <c r="C53" s="4"/>
      <c r="D53" s="4"/>
      <c r="E53" s="4"/>
      <c r="F53" s="4"/>
      <c r="G53" s="4"/>
    </row>
    <row r="54">
      <c r="A54" s="4"/>
      <c r="B54" s="4"/>
      <c r="C54" s="4"/>
      <c r="D54" s="4"/>
      <c r="E54" s="4"/>
      <c r="F54" s="4"/>
      <c r="G54" s="4"/>
    </row>
    <row r="55">
      <c r="A55" s="4"/>
      <c r="B55" s="4"/>
      <c r="C55" s="4"/>
      <c r="D55" s="4"/>
      <c r="E55" s="4"/>
      <c r="F55" s="4"/>
      <c r="G55" s="4"/>
    </row>
    <row r="56">
      <c r="A56" s="4"/>
      <c r="B56" s="4"/>
      <c r="C56" s="4"/>
      <c r="D56" s="4"/>
      <c r="E56" s="4"/>
      <c r="F56" s="4"/>
      <c r="G56" s="4"/>
    </row>
    <row r="57">
      <c r="A57" s="4"/>
      <c r="B57" s="4"/>
      <c r="C57" s="4"/>
      <c r="D57" s="4"/>
      <c r="E57" s="4"/>
      <c r="F57" s="4"/>
      <c r="G57" s="4"/>
    </row>
    <row r="58">
      <c r="A58" s="4"/>
      <c r="B58" s="4"/>
      <c r="C58" s="4"/>
      <c r="D58" s="4"/>
      <c r="E58" s="4"/>
      <c r="F58" s="4"/>
      <c r="G58" s="4"/>
    </row>
    <row r="59">
      <c r="A59" s="4"/>
      <c r="B59" s="4"/>
      <c r="C59" s="4"/>
      <c r="D59" s="4"/>
      <c r="E59" s="4"/>
      <c r="F59" s="4"/>
      <c r="G59" s="4"/>
    </row>
    <row r="60">
      <c r="A60" s="4"/>
      <c r="B60" s="4"/>
      <c r="C60" s="4"/>
      <c r="D60" s="4"/>
      <c r="E60" s="4"/>
      <c r="F60" s="4"/>
      <c r="G60" s="4"/>
    </row>
    <row r="61">
      <c r="A61" s="4"/>
      <c r="B61" s="4"/>
      <c r="C61" s="4"/>
      <c r="D61" s="4"/>
      <c r="E61" s="4"/>
      <c r="F61" s="4"/>
      <c r="G61" s="4"/>
    </row>
    <row r="62">
      <c r="A62" s="4"/>
      <c r="B62" s="4"/>
      <c r="C62" s="4"/>
      <c r="D62" s="4"/>
      <c r="E62" s="4"/>
      <c r="F62" s="4"/>
      <c r="G62" s="4"/>
    </row>
    <row r="63">
      <c r="A63" s="4"/>
      <c r="B63" s="4"/>
      <c r="C63" s="4"/>
      <c r="D63" s="4"/>
      <c r="E63" s="4"/>
      <c r="F63" s="4"/>
      <c r="G63" s="4"/>
    </row>
    <row r="64">
      <c r="A64" s="4"/>
      <c r="B64" s="4"/>
      <c r="C64" s="4"/>
      <c r="D64" s="4"/>
      <c r="E64" s="4"/>
      <c r="F64" s="4"/>
      <c r="G64" s="4"/>
    </row>
    <row r="65">
      <c r="A65" s="4"/>
      <c r="B65" s="4"/>
      <c r="C65" s="4"/>
      <c r="D65" s="4"/>
      <c r="E65" s="4"/>
      <c r="F65" s="4"/>
      <c r="G65" s="4"/>
    </row>
    <row r="66">
      <c r="A66" s="4"/>
      <c r="B66" s="4"/>
      <c r="C66" s="4"/>
      <c r="D66" s="4"/>
      <c r="E66" s="4"/>
      <c r="F66" s="4"/>
      <c r="G66" s="4"/>
    </row>
    <row r="67">
      <c r="A67" s="4"/>
      <c r="B67" s="4"/>
      <c r="C67" s="4"/>
      <c r="D67" s="4"/>
      <c r="E67" s="4"/>
      <c r="F67" s="4"/>
      <c r="G67" s="4"/>
    </row>
    <row r="68">
      <c r="A68" s="4"/>
      <c r="B68" s="4"/>
      <c r="C68" s="4"/>
      <c r="D68" s="4"/>
      <c r="E68" s="4"/>
      <c r="F68" s="4"/>
      <c r="G68" s="4"/>
    </row>
    <row r="69">
      <c r="A69" s="4"/>
      <c r="B69" s="4"/>
      <c r="C69" s="4"/>
      <c r="D69" s="4"/>
      <c r="E69" s="4"/>
      <c r="F69" s="4"/>
      <c r="G69" s="4"/>
    </row>
    <row r="70">
      <c r="A70" s="4"/>
      <c r="B70" s="4"/>
      <c r="C70" s="4"/>
      <c r="D70" s="4"/>
      <c r="E70" s="4"/>
      <c r="F70" s="4"/>
      <c r="G70" s="4"/>
    </row>
    <row r="71">
      <c r="A71" s="4"/>
      <c r="B71" s="4"/>
      <c r="C71" s="4"/>
      <c r="D71" s="4"/>
      <c r="E71" s="4"/>
      <c r="F71" s="4"/>
      <c r="G71" s="4"/>
    </row>
    <row r="72">
      <c r="A72" s="4"/>
      <c r="B72" s="4"/>
      <c r="C72" s="4"/>
      <c r="D72" s="4"/>
      <c r="E72" s="4"/>
      <c r="F72" s="4"/>
      <c r="G72" s="4"/>
    </row>
    <row r="73">
      <c r="A73" s="4"/>
      <c r="B73" s="4"/>
      <c r="C73" s="4"/>
      <c r="D73" s="4"/>
      <c r="E73" s="4"/>
      <c r="F73" s="4"/>
      <c r="G73" s="4"/>
    </row>
    <row r="74">
      <c r="A74" s="4"/>
      <c r="B74" s="4"/>
      <c r="C74" s="4"/>
      <c r="D74" s="4"/>
      <c r="E74" s="4"/>
      <c r="F74" s="4"/>
      <c r="G74" s="4"/>
    </row>
    <row r="75">
      <c r="A75" s="4"/>
      <c r="B75" s="4"/>
      <c r="C75" s="4"/>
      <c r="D75" s="4"/>
      <c r="E75" s="4"/>
      <c r="F75" s="4"/>
      <c r="G75" s="4"/>
    </row>
    <row r="76">
      <c r="A76" s="4"/>
      <c r="B76" s="4"/>
      <c r="C76" s="4"/>
      <c r="D76" s="4"/>
      <c r="E76" s="4"/>
      <c r="F76" s="4"/>
      <c r="G76" s="4"/>
    </row>
    <row r="77">
      <c r="A77" s="4"/>
      <c r="B77" s="4"/>
      <c r="C77" s="4"/>
      <c r="D77" s="4"/>
      <c r="E77" s="4"/>
      <c r="F77" s="4"/>
      <c r="G77" s="4"/>
    </row>
    <row r="78">
      <c r="A78" s="4"/>
      <c r="B78" s="4"/>
      <c r="C78" s="4"/>
      <c r="D78" s="4"/>
      <c r="E78" s="4"/>
      <c r="F78" s="4"/>
      <c r="G78" s="4"/>
    </row>
    <row r="79">
      <c r="A79" s="4"/>
      <c r="B79" s="4"/>
      <c r="C79" s="4"/>
      <c r="D79" s="4"/>
      <c r="E79" s="4"/>
      <c r="F79" s="4"/>
      <c r="G79" s="4"/>
    </row>
    <row r="80">
      <c r="A80" s="4"/>
      <c r="B80" s="4"/>
      <c r="C80" s="4"/>
      <c r="D80" s="4"/>
      <c r="E80" s="4"/>
      <c r="F80" s="4"/>
      <c r="G80" s="4"/>
    </row>
    <row r="81">
      <c r="A81" s="4"/>
      <c r="B81" s="4"/>
      <c r="C81" s="4"/>
      <c r="D81" s="4"/>
      <c r="E81" s="4"/>
      <c r="F81" s="4"/>
      <c r="G81" s="4"/>
    </row>
    <row r="82">
      <c r="A82" s="4"/>
      <c r="B82" s="4"/>
      <c r="C82" s="4"/>
      <c r="D82" s="4"/>
      <c r="E82" s="4"/>
      <c r="F82" s="4"/>
      <c r="G82" s="4"/>
    </row>
    <row r="83">
      <c r="A83" s="4"/>
      <c r="B83" s="4"/>
      <c r="C83" s="4"/>
      <c r="D83" s="4"/>
      <c r="E83" s="4"/>
      <c r="F83" s="4"/>
      <c r="G83" s="4"/>
    </row>
    <row r="84">
      <c r="A84" s="4"/>
      <c r="B84" s="4"/>
      <c r="C84" s="4"/>
      <c r="D84" s="4"/>
      <c r="E84" s="4"/>
      <c r="F84" s="4"/>
      <c r="G84" s="4"/>
    </row>
    <row r="85">
      <c r="A85" s="4"/>
      <c r="B85" s="4"/>
      <c r="C85" s="4"/>
      <c r="D85" s="4"/>
      <c r="E85" s="4"/>
      <c r="F85" s="4"/>
      <c r="G85" s="4"/>
    </row>
    <row r="86">
      <c r="A86" s="4"/>
      <c r="B86" s="4"/>
      <c r="C86" s="4"/>
      <c r="D86" s="4"/>
      <c r="E86" s="4"/>
      <c r="F86" s="4"/>
      <c r="G86" s="4"/>
    </row>
    <row r="87">
      <c r="A87" s="4"/>
      <c r="B87" s="4"/>
      <c r="C87" s="4"/>
      <c r="D87" s="4"/>
      <c r="E87" s="4"/>
      <c r="F87" s="4"/>
      <c r="G87" s="4"/>
    </row>
    <row r="88">
      <c r="A88" s="4"/>
      <c r="B88" s="4"/>
      <c r="C88" s="4"/>
      <c r="D88" s="4"/>
      <c r="E88" s="4"/>
      <c r="F88" s="4"/>
      <c r="G88" s="4"/>
    </row>
    <row r="89">
      <c r="A89" s="4"/>
      <c r="B89" s="4"/>
      <c r="C89" s="4"/>
      <c r="D89" s="4"/>
      <c r="E89" s="4"/>
      <c r="F89" s="4"/>
      <c r="G89" s="4"/>
    </row>
    <row r="90">
      <c r="A90" s="4"/>
      <c r="B90" s="4"/>
      <c r="C90" s="4"/>
      <c r="D90" s="4"/>
      <c r="E90" s="4"/>
      <c r="F90" s="4"/>
      <c r="G90" s="4"/>
    </row>
    <row r="91">
      <c r="A91" s="4"/>
      <c r="B91" s="4"/>
      <c r="C91" s="4"/>
      <c r="D91" s="4"/>
      <c r="E91" s="4"/>
      <c r="F91" s="4"/>
      <c r="G91" s="4"/>
    </row>
    <row r="92">
      <c r="A92" s="4"/>
      <c r="B92" s="4"/>
      <c r="C92" s="4"/>
      <c r="D92" s="4"/>
      <c r="E92" s="4"/>
      <c r="F92" s="4"/>
      <c r="G92" s="4"/>
    </row>
    <row r="93">
      <c r="A93" s="4"/>
      <c r="B93" s="4"/>
      <c r="C93" s="4"/>
      <c r="D93" s="4"/>
      <c r="E93" s="4"/>
      <c r="F93" s="4"/>
      <c r="G93" s="4"/>
    </row>
    <row r="94">
      <c r="A94" s="4"/>
      <c r="B94" s="4"/>
      <c r="C94" s="4"/>
      <c r="D94" s="4"/>
      <c r="E94" s="4"/>
      <c r="F94" s="4"/>
      <c r="G94" s="4"/>
    </row>
    <row r="95">
      <c r="A95" s="4"/>
      <c r="B95" s="4"/>
      <c r="C95" s="4"/>
      <c r="D95" s="4"/>
      <c r="E95" s="4"/>
      <c r="F95" s="4"/>
      <c r="G95" s="4"/>
    </row>
    <row r="96">
      <c r="A96" s="4"/>
      <c r="B96" s="4"/>
      <c r="C96" s="4"/>
      <c r="D96" s="4"/>
      <c r="E96" s="4"/>
      <c r="F96" s="4"/>
      <c r="G96" s="4"/>
    </row>
    <row r="97">
      <c r="A97" s="4"/>
      <c r="B97" s="4"/>
      <c r="C97" s="4"/>
      <c r="D97" s="4"/>
      <c r="E97" s="4"/>
      <c r="F97" s="4"/>
      <c r="G97" s="4"/>
    </row>
    <row r="98">
      <c r="A98" s="4"/>
      <c r="B98" s="4"/>
      <c r="C98" s="4"/>
      <c r="D98" s="4"/>
      <c r="E98" s="4"/>
      <c r="F98" s="4"/>
      <c r="G98" s="4"/>
    </row>
    <row r="99">
      <c r="A99" s="4"/>
      <c r="B99" s="4"/>
      <c r="C99" s="4"/>
      <c r="D99" s="4"/>
      <c r="E99" s="4"/>
      <c r="F99" s="4"/>
      <c r="G99" s="4"/>
    </row>
    <row r="100">
      <c r="A100" s="4"/>
      <c r="B100" s="4"/>
      <c r="C100" s="4"/>
      <c r="D100" s="4"/>
      <c r="E100" s="4"/>
      <c r="F100" s="4"/>
      <c r="G100" s="4"/>
    </row>
    <row r="101">
      <c r="A101" s="4"/>
      <c r="B101" s="4"/>
      <c r="C101" s="4"/>
      <c r="D101" s="4"/>
      <c r="E101" s="4"/>
      <c r="F101" s="4"/>
      <c r="G101" s="4"/>
    </row>
    <row r="102">
      <c r="A102" s="4"/>
      <c r="B102" s="4"/>
      <c r="C102" s="4"/>
      <c r="D102" s="4"/>
      <c r="E102" s="4"/>
      <c r="F102" s="4"/>
      <c r="G102" s="4"/>
    </row>
    <row r="103">
      <c r="A103" s="4"/>
      <c r="B103" s="4"/>
      <c r="C103" s="4"/>
      <c r="D103" s="4"/>
      <c r="E103" s="4"/>
      <c r="F103" s="4"/>
      <c r="G103" s="4"/>
    </row>
    <row r="104">
      <c r="A104" s="4"/>
      <c r="B104" s="4"/>
      <c r="C104" s="4"/>
      <c r="D104" s="4"/>
      <c r="E104" s="4"/>
      <c r="F104" s="4"/>
      <c r="G104" s="4"/>
    </row>
    <row r="105">
      <c r="A105" s="4"/>
      <c r="B105" s="4"/>
      <c r="C105" s="4"/>
      <c r="D105" s="4"/>
      <c r="E105" s="4"/>
      <c r="F105" s="4"/>
      <c r="G105" s="4"/>
    </row>
    <row r="106">
      <c r="A106" s="4"/>
      <c r="B106" s="4"/>
      <c r="C106" s="4"/>
      <c r="D106" s="4"/>
      <c r="E106" s="4"/>
      <c r="F106" s="4"/>
      <c r="G106" s="4"/>
    </row>
    <row r="107">
      <c r="A107" s="4"/>
      <c r="B107" s="4"/>
      <c r="C107" s="4"/>
      <c r="D107" s="4"/>
      <c r="E107" s="4"/>
      <c r="F107" s="4"/>
      <c r="G107" s="4"/>
    </row>
    <row r="108">
      <c r="A108" s="4"/>
      <c r="B108" s="4"/>
      <c r="C108" s="4"/>
      <c r="D108" s="4"/>
      <c r="E108" s="4"/>
      <c r="F108" s="4"/>
      <c r="G108" s="4"/>
    </row>
    <row r="109">
      <c r="A109" s="4"/>
      <c r="B109" s="4"/>
      <c r="C109" s="4"/>
      <c r="D109" s="4"/>
      <c r="E109" s="4"/>
      <c r="F109" s="4"/>
      <c r="G109" s="4"/>
    </row>
    <row r="110">
      <c r="A110" s="4"/>
      <c r="B110" s="4"/>
      <c r="C110" s="4"/>
      <c r="D110" s="4"/>
      <c r="E110" s="4"/>
      <c r="F110" s="4"/>
      <c r="G110" s="4"/>
    </row>
    <row r="111">
      <c r="A111" s="4"/>
      <c r="B111" s="4"/>
      <c r="C111" s="4"/>
      <c r="D111" s="4"/>
      <c r="E111" s="4"/>
      <c r="F111" s="4"/>
      <c r="G111" s="4"/>
    </row>
    <row r="112">
      <c r="A112" s="4"/>
      <c r="B112" s="4"/>
      <c r="C112" s="4"/>
      <c r="D112" s="4"/>
      <c r="E112" s="4"/>
      <c r="F112" s="4"/>
      <c r="G112" s="4"/>
    </row>
    <row r="113">
      <c r="A113" s="4"/>
      <c r="B113" s="4"/>
      <c r="C113" s="4"/>
      <c r="D113" s="4"/>
      <c r="E113" s="4"/>
      <c r="F113" s="4"/>
      <c r="G113" s="4"/>
    </row>
    <row r="114">
      <c r="A114" s="4"/>
      <c r="B114" s="4"/>
      <c r="C114" s="4"/>
      <c r="D114" s="4"/>
      <c r="E114" s="4"/>
      <c r="F114" s="4"/>
      <c r="G114" s="4"/>
    </row>
    <row r="115">
      <c r="A115" s="4"/>
      <c r="B115" s="4"/>
      <c r="C115" s="4"/>
      <c r="D115" s="4"/>
      <c r="E115" s="4"/>
      <c r="F115" s="4"/>
      <c r="G115" s="4"/>
    </row>
    <row r="116">
      <c r="A116" s="4"/>
      <c r="B116" s="4"/>
      <c r="C116" s="4"/>
      <c r="D116" s="4"/>
      <c r="E116" s="4"/>
      <c r="F116" s="4"/>
      <c r="G116" s="4"/>
    </row>
    <row r="117">
      <c r="A117" s="4"/>
      <c r="B117" s="4"/>
      <c r="C117" s="4"/>
      <c r="D117" s="4"/>
      <c r="E117" s="4"/>
      <c r="F117" s="4"/>
      <c r="G117" s="4"/>
    </row>
    <row r="118">
      <c r="A118" s="4"/>
      <c r="B118" s="4"/>
      <c r="C118" s="4"/>
      <c r="D118" s="4"/>
      <c r="E118" s="4"/>
      <c r="F118" s="4"/>
      <c r="G118" s="4"/>
    </row>
    <row r="119">
      <c r="A119" s="4"/>
      <c r="B119" s="4"/>
      <c r="C119" s="4"/>
      <c r="D119" s="4"/>
      <c r="E119" s="4"/>
      <c r="F119" s="4"/>
      <c r="G119" s="4"/>
    </row>
    <row r="120">
      <c r="A120" s="4"/>
      <c r="B120" s="4"/>
      <c r="C120" s="4"/>
      <c r="D120" s="4"/>
      <c r="E120" s="4"/>
      <c r="F120" s="4"/>
      <c r="G120" s="4"/>
    </row>
    <row r="121">
      <c r="A121" s="4"/>
      <c r="B121" s="4"/>
      <c r="C121" s="4"/>
      <c r="D121" s="4"/>
      <c r="E121" s="4"/>
      <c r="F121" s="4"/>
      <c r="G121" s="4"/>
    </row>
    <row r="122">
      <c r="A122" s="4"/>
      <c r="B122" s="4"/>
      <c r="C122" s="4"/>
      <c r="D122" s="4"/>
      <c r="E122" s="4"/>
      <c r="F122" s="4"/>
      <c r="G122" s="4"/>
    </row>
    <row r="123">
      <c r="A123" s="4"/>
      <c r="B123" s="4"/>
      <c r="C123" s="4"/>
      <c r="D123" s="4"/>
      <c r="E123" s="4"/>
      <c r="F123" s="4"/>
      <c r="G123" s="4"/>
    </row>
    <row r="124">
      <c r="A124" s="4"/>
      <c r="B124" s="4"/>
      <c r="C124" s="4"/>
      <c r="D124" s="4"/>
      <c r="E124" s="4"/>
      <c r="F124" s="4"/>
      <c r="G124" s="4"/>
    </row>
    <row r="125">
      <c r="A125" s="4"/>
      <c r="B125" s="4"/>
      <c r="C125" s="4"/>
      <c r="D125" s="4"/>
      <c r="E125" s="4"/>
      <c r="F125" s="4"/>
      <c r="G125" s="4"/>
    </row>
    <row r="126">
      <c r="A126" s="4"/>
      <c r="B126" s="4"/>
      <c r="C126" s="4"/>
      <c r="D126" s="4"/>
      <c r="E126" s="4"/>
      <c r="F126" s="4"/>
      <c r="G126" s="4"/>
    </row>
    <row r="127">
      <c r="A127" s="4"/>
      <c r="B127" s="4"/>
      <c r="C127" s="4"/>
      <c r="D127" s="4"/>
      <c r="E127" s="4"/>
      <c r="F127" s="4"/>
      <c r="G127" s="4"/>
    </row>
    <row r="128">
      <c r="A128" s="4"/>
      <c r="B128" s="4"/>
      <c r="C128" s="4"/>
      <c r="D128" s="4"/>
      <c r="E128" s="4"/>
      <c r="F128" s="4"/>
      <c r="G128" s="4"/>
    </row>
    <row r="129">
      <c r="A129" s="4"/>
      <c r="B129" s="4"/>
      <c r="C129" s="4"/>
      <c r="D129" s="4"/>
      <c r="E129" s="4"/>
      <c r="F129" s="4"/>
      <c r="G129" s="4"/>
    </row>
    <row r="130">
      <c r="A130" s="4"/>
      <c r="B130" s="4"/>
      <c r="C130" s="4"/>
      <c r="D130" s="4"/>
      <c r="E130" s="4"/>
      <c r="F130" s="4"/>
      <c r="G130" s="4"/>
    </row>
    <row r="131">
      <c r="A131" s="4"/>
      <c r="B131" s="4"/>
      <c r="C131" s="4"/>
      <c r="D131" s="4"/>
      <c r="E131" s="4"/>
      <c r="F131" s="4"/>
      <c r="G131" s="4"/>
    </row>
    <row r="132">
      <c r="A132" s="4"/>
      <c r="B132" s="4"/>
      <c r="C132" s="4"/>
      <c r="D132" s="4"/>
      <c r="E132" s="4"/>
      <c r="F132" s="4"/>
      <c r="G132" s="4"/>
    </row>
    <row r="133">
      <c r="A133" s="4"/>
      <c r="B133" s="4"/>
      <c r="C133" s="4"/>
      <c r="D133" s="4"/>
      <c r="E133" s="4"/>
      <c r="F133" s="4"/>
      <c r="G133" s="4"/>
    </row>
    <row r="134">
      <c r="A134" s="4"/>
      <c r="B134" s="4"/>
      <c r="C134" s="4"/>
      <c r="D134" s="4"/>
      <c r="E134" s="4"/>
      <c r="F134" s="4"/>
      <c r="G134" s="4"/>
    </row>
    <row r="135">
      <c r="A135" s="4"/>
      <c r="B135" s="4"/>
      <c r="C135" s="4"/>
      <c r="D135" s="4"/>
      <c r="E135" s="4"/>
      <c r="F135" s="4"/>
      <c r="G135" s="4"/>
    </row>
    <row r="136">
      <c r="A136" s="4"/>
      <c r="B136" s="4"/>
      <c r="C136" s="4"/>
      <c r="D136" s="4"/>
      <c r="E136" s="4"/>
      <c r="F136" s="4"/>
      <c r="G136" s="4"/>
    </row>
    <row r="137">
      <c r="A137" s="4"/>
      <c r="B137" s="4"/>
      <c r="C137" s="4"/>
      <c r="D137" s="4"/>
      <c r="E137" s="4"/>
      <c r="F137" s="4"/>
      <c r="G137" s="4"/>
    </row>
    <row r="138">
      <c r="A138" s="4"/>
      <c r="B138" s="4"/>
      <c r="C138" s="4"/>
      <c r="D138" s="4"/>
      <c r="E138" s="4"/>
      <c r="F138" s="4"/>
      <c r="G138" s="4"/>
    </row>
    <row r="139">
      <c r="A139" s="4"/>
      <c r="B139" s="4"/>
      <c r="C139" s="4"/>
      <c r="D139" s="4"/>
      <c r="E139" s="4"/>
      <c r="F139" s="4"/>
      <c r="G139" s="4"/>
    </row>
    <row r="140">
      <c r="A140" s="4"/>
      <c r="B140" s="4"/>
      <c r="C140" s="4"/>
      <c r="D140" s="4"/>
      <c r="E140" s="4"/>
      <c r="F140" s="4"/>
      <c r="G140" s="4"/>
    </row>
    <row r="141">
      <c r="A141" s="4"/>
      <c r="B141" s="4"/>
      <c r="C141" s="4"/>
      <c r="D141" s="4"/>
      <c r="E141" s="4"/>
      <c r="F141" s="4"/>
      <c r="G141" s="4"/>
    </row>
    <row r="142">
      <c r="A142" s="4"/>
      <c r="B142" s="4"/>
      <c r="C142" s="4"/>
      <c r="D142" s="4"/>
      <c r="E142" s="4"/>
      <c r="F142" s="4"/>
      <c r="G142" s="4"/>
    </row>
    <row r="143">
      <c r="A143" s="4"/>
      <c r="B143" s="4"/>
      <c r="C143" s="4"/>
      <c r="D143" s="4"/>
      <c r="E143" s="4"/>
      <c r="F143" s="4"/>
      <c r="G143" s="4"/>
    </row>
    <row r="144">
      <c r="A144" s="4"/>
      <c r="B144" s="4"/>
      <c r="C144" s="4"/>
      <c r="D144" s="4"/>
      <c r="E144" s="4"/>
      <c r="F144" s="4"/>
      <c r="G144" s="4"/>
    </row>
    <row r="145">
      <c r="A145" s="4"/>
      <c r="B145" s="4"/>
      <c r="C145" s="4"/>
      <c r="D145" s="4"/>
      <c r="E145" s="4"/>
      <c r="F145" s="4"/>
      <c r="G145" s="4"/>
    </row>
    <row r="146">
      <c r="A146" s="4"/>
      <c r="B146" s="4"/>
      <c r="C146" s="4"/>
      <c r="D146" s="4"/>
      <c r="E146" s="4"/>
      <c r="F146" s="4"/>
      <c r="G146" s="4"/>
    </row>
    <row r="147">
      <c r="A147" s="4"/>
      <c r="B147" s="4"/>
      <c r="C147" s="4"/>
      <c r="D147" s="4"/>
      <c r="E147" s="4"/>
      <c r="F147" s="4"/>
      <c r="G147" s="4"/>
    </row>
    <row r="148">
      <c r="A148" s="4"/>
      <c r="B148" s="4"/>
      <c r="C148" s="4"/>
      <c r="D148" s="4"/>
      <c r="E148" s="4"/>
      <c r="F148" s="4"/>
      <c r="G148" s="4"/>
    </row>
    <row r="149">
      <c r="A149" s="4"/>
      <c r="B149" s="4"/>
      <c r="C149" s="4"/>
      <c r="D149" s="4"/>
      <c r="E149" s="4"/>
      <c r="F149" s="4"/>
      <c r="G149" s="4"/>
    </row>
    <row r="150">
      <c r="A150" s="4"/>
      <c r="B150" s="4"/>
      <c r="C150" s="4"/>
      <c r="D150" s="4"/>
      <c r="E150" s="4"/>
      <c r="F150" s="4"/>
      <c r="G150" s="4"/>
    </row>
    <row r="151">
      <c r="A151" s="4"/>
      <c r="B151" s="4"/>
      <c r="C151" s="4"/>
      <c r="D151" s="4"/>
      <c r="E151" s="4"/>
      <c r="F151" s="4"/>
      <c r="G151" s="4"/>
    </row>
    <row r="152">
      <c r="A152" s="4"/>
      <c r="B152" s="4"/>
      <c r="C152" s="4"/>
      <c r="D152" s="4"/>
      <c r="E152" s="4"/>
      <c r="F152" s="4"/>
      <c r="G152" s="4"/>
    </row>
    <row r="153">
      <c r="A153" s="4"/>
      <c r="B153" s="4"/>
      <c r="C153" s="4"/>
      <c r="D153" s="4"/>
      <c r="E153" s="4"/>
      <c r="F153" s="4"/>
      <c r="G153" s="4"/>
    </row>
    <row r="154">
      <c r="A154" s="4"/>
      <c r="B154" s="4"/>
      <c r="C154" s="4"/>
      <c r="D154" s="4"/>
      <c r="E154" s="4"/>
      <c r="F154" s="4"/>
      <c r="G154" s="4"/>
    </row>
    <row r="155">
      <c r="A155" s="4"/>
      <c r="B155" s="4"/>
      <c r="C155" s="4"/>
      <c r="D155" s="4"/>
      <c r="E155" s="4"/>
      <c r="F155" s="4"/>
      <c r="G155" s="4"/>
    </row>
    <row r="156">
      <c r="A156" s="4"/>
      <c r="B156" s="4"/>
      <c r="C156" s="4"/>
      <c r="D156" s="4"/>
      <c r="E156" s="4"/>
      <c r="F156" s="4"/>
      <c r="G156" s="4"/>
    </row>
    <row r="157">
      <c r="A157" s="4"/>
      <c r="B157" s="4"/>
      <c r="C157" s="4"/>
      <c r="D157" s="4"/>
      <c r="E157" s="4"/>
      <c r="F157" s="4"/>
      <c r="G157" s="4"/>
    </row>
    <row r="158">
      <c r="A158" s="4"/>
      <c r="B158" s="4"/>
      <c r="C158" s="4"/>
      <c r="D158" s="4"/>
      <c r="E158" s="4"/>
      <c r="F158" s="4"/>
      <c r="G158" s="4"/>
    </row>
    <row r="159">
      <c r="A159" s="4"/>
      <c r="B159" s="4"/>
      <c r="C159" s="4"/>
      <c r="D159" s="4"/>
      <c r="E159" s="4"/>
      <c r="F159" s="4"/>
      <c r="G159" s="4"/>
    </row>
    <row r="160">
      <c r="A160" s="4"/>
      <c r="B160" s="4"/>
      <c r="C160" s="4"/>
      <c r="D160" s="4"/>
      <c r="E160" s="4"/>
      <c r="F160" s="4"/>
      <c r="G160" s="4"/>
    </row>
    <row r="161">
      <c r="A161" s="4"/>
      <c r="B161" s="4"/>
      <c r="C161" s="4"/>
      <c r="D161" s="4"/>
      <c r="E161" s="4"/>
      <c r="F161" s="4"/>
      <c r="G161" s="4"/>
    </row>
    <row r="162">
      <c r="A162" s="4"/>
      <c r="B162" s="4"/>
      <c r="C162" s="4"/>
      <c r="D162" s="4"/>
      <c r="E162" s="4"/>
      <c r="F162" s="4"/>
      <c r="G162" s="4"/>
    </row>
    <row r="163">
      <c r="A163" s="4"/>
      <c r="B163" s="4"/>
      <c r="C163" s="4"/>
      <c r="D163" s="4"/>
      <c r="E163" s="4"/>
      <c r="F163" s="4"/>
      <c r="G163" s="4"/>
    </row>
    <row r="164">
      <c r="A164" s="4"/>
      <c r="B164" s="4"/>
      <c r="C164" s="4"/>
      <c r="D164" s="4"/>
      <c r="E164" s="4"/>
      <c r="F164" s="4"/>
      <c r="G164" s="4"/>
    </row>
    <row r="165">
      <c r="A165" s="4"/>
      <c r="B165" s="4"/>
      <c r="C165" s="4"/>
      <c r="D165" s="4"/>
      <c r="E165" s="4"/>
      <c r="F165" s="4"/>
      <c r="G165" s="4"/>
    </row>
    <row r="166">
      <c r="A166" s="4"/>
      <c r="B166" s="4"/>
      <c r="C166" s="4"/>
      <c r="D166" s="4"/>
      <c r="E166" s="4"/>
      <c r="F166" s="4"/>
      <c r="G166" s="4"/>
    </row>
    <row r="167">
      <c r="A167" s="4"/>
      <c r="B167" s="4"/>
      <c r="C167" s="4"/>
      <c r="D167" s="4"/>
      <c r="E167" s="4"/>
      <c r="F167" s="4"/>
      <c r="G167" s="4"/>
    </row>
    <row r="168">
      <c r="A168" s="4"/>
      <c r="B168" s="4"/>
      <c r="C168" s="4"/>
      <c r="D168" s="4"/>
      <c r="E168" s="4"/>
      <c r="F168" s="4"/>
      <c r="G168" s="4"/>
    </row>
    <row r="169">
      <c r="A169" s="4"/>
      <c r="B169" s="4"/>
      <c r="C169" s="4"/>
      <c r="D169" s="4"/>
      <c r="E169" s="4"/>
      <c r="F169" s="4"/>
      <c r="G169" s="4"/>
    </row>
    <row r="170">
      <c r="A170" s="4"/>
      <c r="B170" s="4"/>
      <c r="C170" s="4"/>
      <c r="D170" s="4"/>
      <c r="E170" s="4"/>
      <c r="F170" s="4"/>
      <c r="G170" s="4"/>
    </row>
    <row r="171">
      <c r="A171" s="4"/>
      <c r="B171" s="4"/>
      <c r="C171" s="4"/>
      <c r="D171" s="4"/>
      <c r="E171" s="4"/>
      <c r="F171" s="4"/>
      <c r="G171" s="4"/>
    </row>
    <row r="172">
      <c r="A172" s="4"/>
      <c r="B172" s="4"/>
      <c r="C172" s="4"/>
      <c r="D172" s="4"/>
      <c r="E172" s="4"/>
      <c r="F172" s="4"/>
      <c r="G172" s="4"/>
    </row>
    <row r="173">
      <c r="A173" s="4"/>
      <c r="B173" s="4"/>
      <c r="C173" s="4"/>
      <c r="D173" s="4"/>
      <c r="E173" s="4"/>
      <c r="F173" s="4"/>
      <c r="G173" s="4"/>
    </row>
    <row r="174">
      <c r="A174" s="4"/>
      <c r="B174" s="4"/>
      <c r="C174" s="4"/>
      <c r="D174" s="4"/>
      <c r="E174" s="4"/>
      <c r="F174" s="4"/>
      <c r="G174" s="4"/>
    </row>
    <row r="175">
      <c r="A175" s="4"/>
      <c r="B175" s="4"/>
      <c r="C175" s="4"/>
      <c r="D175" s="4"/>
      <c r="E175" s="4"/>
      <c r="F175" s="4"/>
      <c r="G175" s="4"/>
    </row>
    <row r="176">
      <c r="A176" s="4"/>
      <c r="B176" s="4"/>
      <c r="C176" s="4"/>
      <c r="D176" s="4"/>
      <c r="E176" s="4"/>
      <c r="F176" s="4"/>
      <c r="G176" s="4"/>
    </row>
    <row r="177">
      <c r="A177" s="4"/>
      <c r="B177" s="4"/>
      <c r="C177" s="4"/>
      <c r="D177" s="4"/>
      <c r="E177" s="4"/>
      <c r="F177" s="4"/>
      <c r="G177" s="4"/>
    </row>
    <row r="178">
      <c r="A178" s="4"/>
      <c r="B178" s="4"/>
      <c r="C178" s="4"/>
      <c r="D178" s="4"/>
      <c r="E178" s="4"/>
      <c r="F178" s="4"/>
      <c r="G178" s="4"/>
    </row>
    <row r="179">
      <c r="A179" s="4"/>
      <c r="B179" s="4"/>
      <c r="C179" s="4"/>
      <c r="D179" s="4"/>
      <c r="E179" s="4"/>
      <c r="F179" s="4"/>
      <c r="G179" s="4"/>
    </row>
    <row r="180">
      <c r="A180" s="4"/>
      <c r="B180" s="4"/>
      <c r="C180" s="4"/>
      <c r="D180" s="4"/>
      <c r="E180" s="4"/>
      <c r="F180" s="4"/>
      <c r="G180" s="4"/>
    </row>
    <row r="181">
      <c r="A181" s="4"/>
      <c r="B181" s="4"/>
      <c r="C181" s="4"/>
      <c r="D181" s="4"/>
      <c r="E181" s="4"/>
      <c r="F181" s="4"/>
      <c r="G181" s="4"/>
    </row>
    <row r="182">
      <c r="A182" s="4"/>
      <c r="B182" s="4"/>
      <c r="C182" s="4"/>
      <c r="D182" s="4"/>
      <c r="E182" s="4"/>
      <c r="F182" s="4"/>
      <c r="G182" s="4"/>
    </row>
    <row r="183">
      <c r="A183" s="4"/>
      <c r="B183" s="4"/>
      <c r="C183" s="4"/>
      <c r="D183" s="4"/>
      <c r="E183" s="4"/>
      <c r="F183" s="4"/>
      <c r="G183" s="4"/>
    </row>
    <row r="184">
      <c r="A184" s="4"/>
      <c r="B184" s="4"/>
      <c r="C184" s="4"/>
      <c r="D184" s="4"/>
      <c r="E184" s="4"/>
      <c r="F184" s="4"/>
      <c r="G184" s="4"/>
    </row>
    <row r="185">
      <c r="A185" s="4"/>
      <c r="B185" s="4"/>
      <c r="C185" s="4"/>
      <c r="D185" s="4"/>
      <c r="E185" s="4"/>
      <c r="F185" s="4"/>
      <c r="G185" s="4"/>
    </row>
    <row r="186">
      <c r="A186" s="4"/>
      <c r="B186" s="4"/>
      <c r="C186" s="4"/>
      <c r="D186" s="4"/>
      <c r="E186" s="4"/>
      <c r="F186" s="4"/>
      <c r="G186" s="4"/>
    </row>
    <row r="187">
      <c r="A187" s="4"/>
      <c r="B187" s="4"/>
      <c r="C187" s="4"/>
      <c r="D187" s="4"/>
      <c r="E187" s="4"/>
      <c r="F187" s="4"/>
      <c r="G187" s="4"/>
    </row>
    <row r="188">
      <c r="A188" s="4"/>
      <c r="B188" s="4"/>
      <c r="C188" s="4"/>
      <c r="D188" s="4"/>
      <c r="E188" s="4"/>
      <c r="F188" s="4"/>
      <c r="G188" s="4"/>
    </row>
    <row r="189">
      <c r="A189" s="4"/>
      <c r="B189" s="4"/>
      <c r="C189" s="4"/>
      <c r="D189" s="4"/>
      <c r="E189" s="4"/>
      <c r="F189" s="4"/>
      <c r="G189" s="4"/>
    </row>
    <row r="190">
      <c r="A190" s="4"/>
      <c r="B190" s="4"/>
      <c r="C190" s="4"/>
      <c r="D190" s="4"/>
      <c r="E190" s="4"/>
      <c r="F190" s="4"/>
      <c r="G190" s="4"/>
    </row>
    <row r="191">
      <c r="A191" s="4"/>
      <c r="B191" s="4"/>
      <c r="C191" s="4"/>
      <c r="D191" s="4"/>
      <c r="E191" s="4"/>
      <c r="F191" s="4"/>
      <c r="G191" s="4"/>
    </row>
    <row r="192">
      <c r="A192" s="4"/>
      <c r="B192" s="4"/>
      <c r="C192" s="4"/>
      <c r="D192" s="4"/>
      <c r="E192" s="4"/>
      <c r="F192" s="4"/>
      <c r="G192" s="4"/>
    </row>
    <row r="193">
      <c r="A193" s="4"/>
      <c r="B193" s="4"/>
      <c r="C193" s="4"/>
      <c r="D193" s="4"/>
      <c r="E193" s="4"/>
      <c r="F193" s="4"/>
      <c r="G193" s="4"/>
    </row>
    <row r="194">
      <c r="A194" s="4"/>
      <c r="B194" s="4"/>
      <c r="C194" s="4"/>
      <c r="D194" s="4"/>
      <c r="E194" s="4"/>
      <c r="F194" s="4"/>
      <c r="G194" s="4"/>
    </row>
    <row r="195">
      <c r="A195" s="4"/>
      <c r="B195" s="4"/>
      <c r="C195" s="4"/>
      <c r="D195" s="4"/>
      <c r="E195" s="4"/>
      <c r="F195" s="4"/>
      <c r="G195" s="4"/>
    </row>
    <row r="196">
      <c r="A196" s="4"/>
      <c r="B196" s="4"/>
      <c r="C196" s="4"/>
      <c r="D196" s="4"/>
      <c r="E196" s="4"/>
      <c r="F196" s="4"/>
      <c r="G196" s="4"/>
    </row>
    <row r="197">
      <c r="A197" s="4"/>
      <c r="B197" s="4"/>
      <c r="C197" s="4"/>
      <c r="D197" s="4"/>
      <c r="E197" s="4"/>
      <c r="F197" s="4"/>
      <c r="G197" s="4"/>
    </row>
    <row r="198">
      <c r="A198" s="4"/>
      <c r="B198" s="4"/>
      <c r="C198" s="4"/>
      <c r="D198" s="4"/>
      <c r="E198" s="4"/>
      <c r="F198" s="4"/>
      <c r="G198" s="4"/>
    </row>
    <row r="199">
      <c r="A199" s="4"/>
      <c r="B199" s="4"/>
      <c r="C199" s="4"/>
      <c r="D199" s="4"/>
      <c r="E199" s="4"/>
      <c r="F199" s="4"/>
      <c r="G199" s="4"/>
    </row>
    <row r="200">
      <c r="A200" s="4"/>
      <c r="B200" s="4"/>
      <c r="C200" s="4"/>
      <c r="D200" s="4"/>
      <c r="E200" s="4"/>
      <c r="F200" s="4"/>
      <c r="G200" s="4"/>
    </row>
    <row r="201">
      <c r="A201" s="4"/>
      <c r="B201" s="4"/>
      <c r="C201" s="4"/>
      <c r="D201" s="4"/>
      <c r="E201" s="4"/>
      <c r="F201" s="4"/>
      <c r="G201" s="4"/>
    </row>
    <row r="202">
      <c r="A202" s="4"/>
      <c r="B202" s="4"/>
      <c r="C202" s="4"/>
      <c r="D202" s="4"/>
      <c r="E202" s="4"/>
      <c r="F202" s="4"/>
      <c r="G202" s="4"/>
    </row>
    <row r="203">
      <c r="A203" s="4"/>
      <c r="B203" s="4"/>
      <c r="C203" s="4"/>
      <c r="D203" s="4"/>
      <c r="E203" s="4"/>
      <c r="F203" s="4"/>
      <c r="G203" s="4"/>
    </row>
    <row r="204">
      <c r="A204" s="4"/>
      <c r="B204" s="4"/>
      <c r="C204" s="4"/>
      <c r="D204" s="4"/>
      <c r="E204" s="4"/>
      <c r="F204" s="4"/>
      <c r="G204" s="4"/>
    </row>
    <row r="205">
      <c r="A205" s="4"/>
      <c r="B205" s="4"/>
      <c r="C205" s="4"/>
      <c r="D205" s="4"/>
      <c r="E205" s="4"/>
      <c r="F205" s="4"/>
      <c r="G205" s="4"/>
    </row>
    <row r="206">
      <c r="A206" s="4"/>
      <c r="B206" s="4"/>
      <c r="C206" s="4"/>
      <c r="D206" s="4"/>
      <c r="E206" s="4"/>
      <c r="F206" s="4"/>
      <c r="G206" s="4"/>
    </row>
    <row r="207">
      <c r="A207" s="4"/>
      <c r="B207" s="4"/>
      <c r="C207" s="4"/>
      <c r="D207" s="4"/>
      <c r="E207" s="4"/>
      <c r="F207" s="4"/>
      <c r="G207" s="4"/>
    </row>
    <row r="208">
      <c r="A208" s="4"/>
      <c r="B208" s="4"/>
      <c r="C208" s="4"/>
      <c r="D208" s="4"/>
      <c r="E208" s="4"/>
      <c r="F208" s="4"/>
      <c r="G208" s="4"/>
    </row>
    <row r="209">
      <c r="A209" s="4"/>
      <c r="B209" s="4"/>
      <c r="C209" s="4"/>
      <c r="D209" s="4"/>
      <c r="E209" s="4"/>
      <c r="F209" s="4"/>
      <c r="G209" s="4"/>
    </row>
    <row r="210">
      <c r="A210" s="4"/>
      <c r="B210" s="4"/>
      <c r="C210" s="4"/>
      <c r="D210" s="4"/>
      <c r="E210" s="4"/>
      <c r="F210" s="4"/>
      <c r="G210" s="4"/>
    </row>
    <row r="211">
      <c r="A211" s="4"/>
      <c r="B211" s="4"/>
      <c r="C211" s="4"/>
      <c r="D211" s="4"/>
      <c r="E211" s="4"/>
      <c r="F211" s="4"/>
      <c r="G211" s="4"/>
    </row>
    <row r="212">
      <c r="A212" s="4"/>
      <c r="B212" s="4"/>
      <c r="C212" s="4"/>
      <c r="D212" s="4"/>
      <c r="E212" s="4"/>
      <c r="F212" s="4"/>
      <c r="G212" s="4"/>
    </row>
    <row r="213">
      <c r="A213" s="4"/>
      <c r="B213" s="4"/>
      <c r="C213" s="4"/>
      <c r="D213" s="4"/>
      <c r="E213" s="4"/>
      <c r="F213" s="4"/>
      <c r="G213" s="4"/>
    </row>
    <row r="214">
      <c r="A214" s="4"/>
      <c r="B214" s="4"/>
      <c r="C214" s="4"/>
      <c r="D214" s="4"/>
      <c r="E214" s="4"/>
      <c r="F214" s="4"/>
      <c r="G214" s="4"/>
    </row>
    <row r="215">
      <c r="A215" s="4"/>
      <c r="B215" s="4"/>
      <c r="C215" s="4"/>
      <c r="D215" s="4"/>
      <c r="E215" s="4"/>
      <c r="F215" s="4"/>
      <c r="G215" s="4"/>
    </row>
    <row r="216">
      <c r="A216" s="4"/>
      <c r="B216" s="4"/>
      <c r="C216" s="4"/>
      <c r="D216" s="4"/>
      <c r="E216" s="4"/>
      <c r="F216" s="4"/>
      <c r="G216" s="4"/>
    </row>
    <row r="217">
      <c r="A217" s="4"/>
      <c r="B217" s="4"/>
      <c r="C217" s="4"/>
      <c r="D217" s="4"/>
      <c r="E217" s="4"/>
      <c r="F217" s="4"/>
      <c r="G217" s="4"/>
    </row>
    <row r="218">
      <c r="A218" s="4"/>
      <c r="B218" s="4"/>
      <c r="C218" s="4"/>
      <c r="D218" s="4"/>
      <c r="E218" s="4"/>
      <c r="F218" s="4"/>
      <c r="G218" s="4"/>
    </row>
    <row r="219">
      <c r="A219" s="4"/>
      <c r="B219" s="4"/>
      <c r="C219" s="4"/>
      <c r="D219" s="4"/>
      <c r="E219" s="4"/>
      <c r="F219" s="4"/>
      <c r="G219" s="4"/>
    </row>
    <row r="220">
      <c r="A220" s="4"/>
      <c r="B220" s="4"/>
      <c r="C220" s="4"/>
      <c r="D220" s="4"/>
      <c r="E220" s="4"/>
      <c r="F220" s="4"/>
      <c r="G220" s="4"/>
    </row>
    <row r="221">
      <c r="A221" s="4"/>
      <c r="B221" s="4"/>
      <c r="C221" s="4"/>
      <c r="D221" s="4"/>
      <c r="E221" s="4"/>
      <c r="F221" s="4"/>
      <c r="G221" s="4"/>
    </row>
    <row r="222">
      <c r="A222" s="4"/>
      <c r="B222" s="4"/>
      <c r="C222" s="4"/>
      <c r="D222" s="4"/>
      <c r="E222" s="4"/>
      <c r="F222" s="4"/>
      <c r="G222" s="4"/>
    </row>
    <row r="223">
      <c r="A223" s="4"/>
      <c r="B223" s="4"/>
      <c r="C223" s="4"/>
      <c r="D223" s="4"/>
      <c r="E223" s="4"/>
      <c r="F223" s="4"/>
      <c r="G223" s="4"/>
    </row>
    <row r="224">
      <c r="A224" s="4"/>
      <c r="B224" s="4"/>
      <c r="C224" s="4"/>
      <c r="D224" s="4"/>
      <c r="E224" s="4"/>
      <c r="F224" s="4"/>
      <c r="G224" s="4"/>
    </row>
    <row r="225">
      <c r="A225" s="4"/>
      <c r="B225" s="4"/>
      <c r="C225" s="4"/>
      <c r="D225" s="4"/>
      <c r="E225" s="4"/>
      <c r="F225" s="4"/>
      <c r="G225" s="4"/>
    </row>
    <row r="226">
      <c r="A226" s="4"/>
      <c r="B226" s="4"/>
      <c r="C226" s="4"/>
      <c r="D226" s="4"/>
      <c r="E226" s="4"/>
      <c r="F226" s="4"/>
      <c r="G226" s="4"/>
    </row>
    <row r="227">
      <c r="A227" s="4"/>
      <c r="B227" s="4"/>
      <c r="C227" s="4"/>
      <c r="D227" s="4"/>
      <c r="E227" s="4"/>
      <c r="F227" s="4"/>
      <c r="G227" s="4"/>
    </row>
    <row r="228">
      <c r="A228" s="4"/>
      <c r="B228" s="4"/>
      <c r="C228" s="4"/>
      <c r="D228" s="4"/>
      <c r="E228" s="4"/>
      <c r="F228" s="4"/>
      <c r="G228" s="4"/>
    </row>
    <row r="229">
      <c r="A229" s="4"/>
      <c r="B229" s="4"/>
      <c r="C229" s="4"/>
      <c r="D229" s="4"/>
      <c r="E229" s="4"/>
      <c r="F229" s="4"/>
      <c r="G229" s="4"/>
    </row>
    <row r="230">
      <c r="A230" s="4"/>
      <c r="B230" s="4"/>
      <c r="C230" s="4"/>
      <c r="D230" s="4"/>
      <c r="E230" s="4"/>
      <c r="F230" s="4"/>
      <c r="G230" s="4"/>
    </row>
    <row r="231">
      <c r="A231" s="4"/>
      <c r="B231" s="4"/>
      <c r="C231" s="4"/>
      <c r="D231" s="4"/>
      <c r="E231" s="4"/>
      <c r="F231" s="4"/>
      <c r="G231" s="4"/>
    </row>
    <row r="232">
      <c r="A232" s="4"/>
      <c r="B232" s="4"/>
      <c r="C232" s="4"/>
      <c r="D232" s="4"/>
      <c r="E232" s="4"/>
      <c r="F232" s="4"/>
      <c r="G232" s="4"/>
    </row>
    <row r="233">
      <c r="A233" s="4"/>
      <c r="B233" s="4"/>
      <c r="C233" s="4"/>
      <c r="D233" s="4"/>
      <c r="E233" s="4"/>
      <c r="F233" s="4"/>
      <c r="G233" s="4"/>
    </row>
    <row r="234">
      <c r="A234" s="4"/>
      <c r="B234" s="4"/>
      <c r="C234" s="4"/>
      <c r="D234" s="4"/>
      <c r="E234" s="4"/>
      <c r="F234" s="4"/>
      <c r="G234" s="4"/>
    </row>
    <row r="235">
      <c r="A235" s="4"/>
      <c r="B235" s="4"/>
      <c r="C235" s="4"/>
      <c r="D235" s="4"/>
      <c r="E235" s="4"/>
      <c r="F235" s="4"/>
      <c r="G235" s="4"/>
    </row>
    <row r="236">
      <c r="A236" s="4"/>
      <c r="B236" s="4"/>
      <c r="C236" s="4"/>
      <c r="D236" s="4"/>
      <c r="E236" s="4"/>
      <c r="F236" s="4"/>
      <c r="G236" s="4"/>
    </row>
    <row r="237">
      <c r="A237" s="4"/>
      <c r="B237" s="4"/>
      <c r="C237" s="4"/>
      <c r="D237" s="4"/>
      <c r="E237" s="4"/>
      <c r="F237" s="4"/>
      <c r="G237" s="4"/>
    </row>
    <row r="238">
      <c r="A238" s="4"/>
      <c r="B238" s="4"/>
      <c r="C238" s="4"/>
      <c r="D238" s="4"/>
      <c r="E238" s="4"/>
      <c r="F238" s="4"/>
      <c r="G238" s="4"/>
    </row>
    <row r="239">
      <c r="A239" s="4"/>
      <c r="B239" s="4"/>
      <c r="C239" s="4"/>
      <c r="D239" s="4"/>
      <c r="E239" s="4"/>
      <c r="F239" s="4"/>
      <c r="G239" s="4"/>
    </row>
    <row r="240">
      <c r="A240" s="4"/>
      <c r="B240" s="4"/>
      <c r="C240" s="4"/>
      <c r="D240" s="4"/>
      <c r="E240" s="4"/>
      <c r="F240" s="4"/>
      <c r="G240" s="4"/>
    </row>
    <row r="241">
      <c r="A241" s="4"/>
      <c r="B241" s="4"/>
      <c r="C241" s="4"/>
      <c r="D241" s="4"/>
      <c r="E241" s="4"/>
      <c r="F241" s="4"/>
      <c r="G241" s="4"/>
    </row>
    <row r="242">
      <c r="A242" s="4"/>
      <c r="B242" s="4"/>
      <c r="C242" s="4"/>
      <c r="D242" s="4"/>
      <c r="E242" s="4"/>
      <c r="F242" s="4"/>
      <c r="G242" s="4"/>
    </row>
    <row r="243">
      <c r="A243" s="4"/>
      <c r="B243" s="4"/>
      <c r="C243" s="4"/>
      <c r="D243" s="4"/>
      <c r="E243" s="4"/>
      <c r="F243" s="4"/>
      <c r="G243" s="4"/>
    </row>
    <row r="244">
      <c r="A244" s="4"/>
      <c r="B244" s="4"/>
      <c r="C244" s="4"/>
      <c r="D244" s="4"/>
      <c r="E244" s="4"/>
      <c r="F244" s="4"/>
      <c r="G244" s="4"/>
    </row>
    <row r="245">
      <c r="A245" s="4"/>
      <c r="B245" s="4"/>
      <c r="C245" s="4"/>
      <c r="D245" s="4"/>
      <c r="E245" s="4"/>
      <c r="F245" s="4"/>
      <c r="G245" s="4"/>
    </row>
    <row r="246">
      <c r="A246" s="4"/>
      <c r="B246" s="4"/>
      <c r="C246" s="4"/>
      <c r="D246" s="4"/>
      <c r="E246" s="4"/>
      <c r="F246" s="4"/>
      <c r="G246" s="4"/>
    </row>
    <row r="247">
      <c r="A247" s="4"/>
      <c r="B247" s="4"/>
      <c r="C247" s="4"/>
      <c r="D247" s="4"/>
      <c r="E247" s="4"/>
      <c r="F247" s="4"/>
      <c r="G247" s="4"/>
    </row>
    <row r="248">
      <c r="A248" s="4"/>
      <c r="B248" s="4"/>
      <c r="C248" s="4"/>
      <c r="D248" s="4"/>
      <c r="E248" s="4"/>
      <c r="F248" s="4"/>
      <c r="G248" s="4"/>
    </row>
    <row r="249">
      <c r="A249" s="4"/>
      <c r="B249" s="4"/>
      <c r="C249" s="4"/>
      <c r="D249" s="4"/>
      <c r="E249" s="4"/>
      <c r="F249" s="4"/>
      <c r="G249" s="4"/>
    </row>
    <row r="250">
      <c r="A250" s="4"/>
      <c r="B250" s="4"/>
      <c r="C250" s="4"/>
      <c r="D250" s="4"/>
      <c r="E250" s="4"/>
      <c r="F250" s="4"/>
      <c r="G250" s="4"/>
    </row>
    <row r="251">
      <c r="A251" s="4"/>
      <c r="B251" s="4"/>
      <c r="C251" s="4"/>
      <c r="D251" s="4"/>
      <c r="E251" s="4"/>
      <c r="F251" s="4"/>
      <c r="G251" s="4"/>
    </row>
    <row r="252">
      <c r="A252" s="4"/>
      <c r="B252" s="4"/>
      <c r="C252" s="4"/>
      <c r="D252" s="4"/>
      <c r="E252" s="4"/>
      <c r="F252" s="4"/>
      <c r="G252" s="4"/>
    </row>
    <row r="253">
      <c r="A253" s="4"/>
      <c r="B253" s="4"/>
      <c r="C253" s="4"/>
      <c r="D253" s="4"/>
      <c r="E253" s="4"/>
      <c r="F253" s="4"/>
      <c r="G253" s="4"/>
    </row>
    <row r="254">
      <c r="A254" s="4"/>
      <c r="B254" s="4"/>
      <c r="C254" s="4"/>
      <c r="D254" s="4"/>
      <c r="E254" s="4"/>
      <c r="F254" s="4"/>
      <c r="G254" s="4"/>
    </row>
    <row r="255">
      <c r="A255" s="4"/>
      <c r="B255" s="4"/>
      <c r="C255" s="4"/>
      <c r="D255" s="4"/>
      <c r="E255" s="4"/>
      <c r="F255" s="4"/>
      <c r="G255" s="4"/>
    </row>
    <row r="256">
      <c r="A256" s="4"/>
      <c r="B256" s="4"/>
      <c r="C256" s="4"/>
      <c r="D256" s="4"/>
      <c r="E256" s="4"/>
      <c r="F256" s="4"/>
      <c r="G256" s="4"/>
    </row>
    <row r="257">
      <c r="A257" s="4"/>
      <c r="B257" s="4"/>
      <c r="C257" s="4"/>
      <c r="D257" s="4"/>
      <c r="E257" s="4"/>
      <c r="F257" s="4"/>
      <c r="G257" s="4"/>
    </row>
    <row r="258">
      <c r="A258" s="4"/>
      <c r="B258" s="4"/>
      <c r="C258" s="4"/>
      <c r="D258" s="4"/>
      <c r="E258" s="4"/>
      <c r="F258" s="4"/>
      <c r="G258" s="4"/>
    </row>
    <row r="259">
      <c r="A259" s="4"/>
      <c r="B259" s="4"/>
      <c r="C259" s="4"/>
      <c r="D259" s="4"/>
      <c r="E259" s="4"/>
      <c r="F259" s="4"/>
      <c r="G259" s="4"/>
    </row>
    <row r="260">
      <c r="A260" s="4"/>
      <c r="B260" s="4"/>
      <c r="C260" s="4"/>
      <c r="D260" s="4"/>
      <c r="E260" s="4"/>
      <c r="F260" s="4"/>
      <c r="G260" s="4"/>
    </row>
    <row r="261">
      <c r="A261" s="4"/>
      <c r="B261" s="4"/>
      <c r="C261" s="4"/>
      <c r="D261" s="4"/>
      <c r="E261" s="4"/>
      <c r="F261" s="4"/>
      <c r="G261" s="4"/>
    </row>
    <row r="262">
      <c r="A262" s="4"/>
      <c r="B262" s="4"/>
      <c r="C262" s="4"/>
      <c r="D262" s="4"/>
      <c r="E262" s="4"/>
      <c r="F262" s="4"/>
      <c r="G262" s="4"/>
    </row>
    <row r="263">
      <c r="A263" s="4"/>
      <c r="B263" s="4"/>
      <c r="C263" s="4"/>
      <c r="D263" s="4"/>
      <c r="E263" s="4"/>
      <c r="F263" s="4"/>
      <c r="G263" s="4"/>
    </row>
    <row r="264">
      <c r="A264" s="4"/>
      <c r="B264" s="4"/>
      <c r="C264" s="4"/>
      <c r="D264" s="4"/>
      <c r="E264" s="4"/>
      <c r="F264" s="4"/>
      <c r="G264" s="4"/>
    </row>
    <row r="265">
      <c r="A265" s="4"/>
      <c r="B265" s="4"/>
      <c r="C265" s="4"/>
      <c r="D265" s="4"/>
      <c r="E265" s="4"/>
      <c r="F265" s="4"/>
      <c r="G265" s="4"/>
    </row>
    <row r="266">
      <c r="A266" s="4"/>
      <c r="B266" s="4"/>
      <c r="C266" s="4"/>
      <c r="D266" s="4"/>
      <c r="E266" s="4"/>
      <c r="F266" s="4"/>
      <c r="G266" s="4"/>
    </row>
    <row r="267">
      <c r="A267" s="4"/>
      <c r="B267" s="4"/>
      <c r="C267" s="4"/>
      <c r="D267" s="4"/>
      <c r="E267" s="4"/>
      <c r="F267" s="4"/>
      <c r="G267" s="4"/>
    </row>
    <row r="268">
      <c r="A268" s="4"/>
      <c r="B268" s="4"/>
      <c r="C268" s="4"/>
      <c r="D268" s="4"/>
      <c r="E268" s="4"/>
      <c r="F268" s="4"/>
      <c r="G268" s="4"/>
    </row>
    <row r="269">
      <c r="A269" s="4"/>
      <c r="B269" s="4"/>
      <c r="C269" s="4"/>
      <c r="D269" s="4"/>
      <c r="E269" s="4"/>
      <c r="F269" s="4"/>
      <c r="G269" s="4"/>
    </row>
    <row r="270">
      <c r="A270" s="4"/>
      <c r="B270" s="4"/>
      <c r="C270" s="4"/>
      <c r="D270" s="4"/>
      <c r="E270" s="4"/>
      <c r="F270" s="4"/>
      <c r="G270" s="4"/>
    </row>
    <row r="271">
      <c r="A271" s="4"/>
      <c r="B271" s="4"/>
      <c r="C271" s="4"/>
      <c r="D271" s="4"/>
      <c r="E271" s="4"/>
      <c r="F271" s="4"/>
      <c r="G271" s="4"/>
    </row>
    <row r="272">
      <c r="A272" s="4"/>
      <c r="B272" s="4"/>
      <c r="C272" s="4"/>
      <c r="D272" s="4"/>
      <c r="E272" s="4"/>
      <c r="F272" s="4"/>
      <c r="G272" s="4"/>
    </row>
    <row r="273">
      <c r="A273" s="4"/>
      <c r="B273" s="4"/>
      <c r="C273" s="4"/>
      <c r="D273" s="4"/>
      <c r="E273" s="4"/>
      <c r="F273" s="4"/>
      <c r="G273" s="4"/>
    </row>
    <row r="274">
      <c r="A274" s="4"/>
      <c r="B274" s="4"/>
      <c r="C274" s="4"/>
      <c r="D274" s="4"/>
      <c r="E274" s="4"/>
      <c r="F274" s="4"/>
      <c r="G274" s="4"/>
    </row>
    <row r="275">
      <c r="A275" s="4"/>
      <c r="B275" s="4"/>
      <c r="C275" s="4"/>
      <c r="D275" s="4"/>
      <c r="E275" s="4"/>
      <c r="F275" s="4"/>
      <c r="G275" s="4"/>
    </row>
    <row r="276">
      <c r="A276" s="4"/>
      <c r="B276" s="4"/>
      <c r="C276" s="4"/>
      <c r="D276" s="4"/>
      <c r="E276" s="4"/>
      <c r="F276" s="4"/>
      <c r="G276" s="4"/>
    </row>
    <row r="277">
      <c r="A277" s="4"/>
      <c r="B277" s="4"/>
      <c r="C277" s="4"/>
      <c r="D277" s="4"/>
      <c r="E277" s="4"/>
      <c r="F277" s="4"/>
      <c r="G277" s="4"/>
    </row>
    <row r="278">
      <c r="A278" s="4"/>
      <c r="B278" s="4"/>
      <c r="C278" s="4"/>
      <c r="D278" s="4"/>
      <c r="E278" s="4"/>
      <c r="F278" s="4"/>
      <c r="G278" s="4"/>
    </row>
    <row r="279">
      <c r="A279" s="4"/>
      <c r="B279" s="4"/>
      <c r="C279" s="4"/>
      <c r="D279" s="4"/>
      <c r="E279" s="4"/>
      <c r="F279" s="4"/>
      <c r="G279" s="4"/>
    </row>
    <row r="280">
      <c r="A280" s="4"/>
      <c r="B280" s="4"/>
      <c r="C280" s="4"/>
      <c r="D280" s="4"/>
      <c r="E280" s="4"/>
      <c r="F280" s="4"/>
      <c r="G280" s="4"/>
    </row>
    <row r="281">
      <c r="A281" s="4"/>
      <c r="B281" s="4"/>
      <c r="C281" s="4"/>
      <c r="D281" s="4"/>
      <c r="E281" s="4"/>
      <c r="F281" s="4"/>
      <c r="G281" s="4"/>
    </row>
    <row r="282">
      <c r="A282" s="4"/>
      <c r="B282" s="4"/>
      <c r="C282" s="4"/>
      <c r="D282" s="4"/>
      <c r="E282" s="4"/>
      <c r="F282" s="4"/>
      <c r="G282" s="4"/>
    </row>
    <row r="283">
      <c r="A283" s="4"/>
      <c r="B283" s="4"/>
      <c r="C283" s="4"/>
      <c r="D283" s="4"/>
      <c r="E283" s="4"/>
      <c r="F283" s="4"/>
      <c r="G283" s="4"/>
    </row>
    <row r="284">
      <c r="A284" s="4"/>
      <c r="B284" s="4"/>
      <c r="C284" s="4"/>
      <c r="D284" s="4"/>
      <c r="E284" s="4"/>
      <c r="F284" s="4"/>
      <c r="G284" s="4"/>
    </row>
    <row r="285">
      <c r="A285" s="4"/>
      <c r="B285" s="4"/>
      <c r="C285" s="4"/>
      <c r="D285" s="4"/>
      <c r="E285" s="4"/>
      <c r="F285" s="4"/>
      <c r="G285" s="4"/>
    </row>
    <row r="286">
      <c r="A286" s="4"/>
      <c r="B286" s="4"/>
      <c r="C286" s="4"/>
      <c r="D286" s="4"/>
      <c r="E286" s="4"/>
      <c r="F286" s="4"/>
      <c r="G286" s="4"/>
    </row>
    <row r="287">
      <c r="A287" s="4"/>
      <c r="B287" s="4"/>
      <c r="C287" s="4"/>
      <c r="D287" s="4"/>
      <c r="E287" s="4"/>
      <c r="F287" s="4"/>
      <c r="G287" s="4"/>
    </row>
    <row r="288">
      <c r="A288" s="4"/>
      <c r="B288" s="4"/>
      <c r="C288" s="4"/>
      <c r="D288" s="4"/>
      <c r="E288" s="4"/>
      <c r="F288" s="4"/>
      <c r="G288" s="4"/>
    </row>
    <row r="289">
      <c r="A289" s="4"/>
      <c r="B289" s="4"/>
      <c r="C289" s="4"/>
      <c r="D289" s="4"/>
      <c r="E289" s="4"/>
      <c r="F289" s="4"/>
      <c r="G289" s="4"/>
    </row>
    <row r="290">
      <c r="A290" s="4"/>
      <c r="B290" s="4"/>
      <c r="C290" s="4"/>
      <c r="D290" s="4"/>
      <c r="E290" s="4"/>
      <c r="F290" s="4"/>
      <c r="G290" s="4"/>
    </row>
    <row r="291">
      <c r="A291" s="4"/>
      <c r="B291" s="4"/>
      <c r="C291" s="4"/>
      <c r="D291" s="4"/>
      <c r="E291" s="4"/>
      <c r="F291" s="4"/>
      <c r="G291" s="4"/>
    </row>
    <row r="292">
      <c r="A292" s="4"/>
      <c r="B292" s="4"/>
      <c r="C292" s="4"/>
      <c r="D292" s="4"/>
      <c r="E292" s="4"/>
      <c r="F292" s="4"/>
      <c r="G292" s="4"/>
    </row>
    <row r="293">
      <c r="A293" s="4"/>
      <c r="B293" s="4"/>
      <c r="C293" s="4"/>
      <c r="D293" s="4"/>
      <c r="E293" s="4"/>
      <c r="F293" s="4"/>
      <c r="G293" s="4"/>
    </row>
    <row r="294">
      <c r="A294" s="4"/>
      <c r="B294" s="4"/>
      <c r="C294" s="4"/>
      <c r="D294" s="4"/>
      <c r="E294" s="4"/>
      <c r="F294" s="4"/>
      <c r="G294" s="4"/>
    </row>
    <row r="295">
      <c r="A295" s="4"/>
      <c r="B295" s="4"/>
      <c r="C295" s="4"/>
      <c r="D295" s="4"/>
      <c r="E295" s="4"/>
      <c r="F295" s="4"/>
      <c r="G295" s="4"/>
    </row>
    <row r="296">
      <c r="A296" s="4"/>
      <c r="B296" s="4"/>
      <c r="C296" s="4"/>
      <c r="D296" s="4"/>
      <c r="E296" s="4"/>
      <c r="F296" s="4"/>
      <c r="G296" s="4"/>
    </row>
    <row r="297">
      <c r="A297" s="4"/>
      <c r="B297" s="4"/>
      <c r="C297" s="4"/>
      <c r="D297" s="4"/>
      <c r="E297" s="4"/>
      <c r="F297" s="4"/>
      <c r="G297" s="4"/>
    </row>
    <row r="298">
      <c r="A298" s="4"/>
      <c r="B298" s="4"/>
      <c r="C298" s="4"/>
      <c r="D298" s="4"/>
      <c r="E298" s="4"/>
      <c r="F298" s="4"/>
      <c r="G298" s="4"/>
    </row>
    <row r="299">
      <c r="A299" s="4"/>
      <c r="B299" s="4"/>
      <c r="C299" s="4"/>
      <c r="D299" s="4"/>
      <c r="E299" s="4"/>
      <c r="F299" s="4"/>
      <c r="G299" s="4"/>
    </row>
    <row r="300">
      <c r="A300" s="4"/>
      <c r="B300" s="4"/>
      <c r="C300" s="4"/>
      <c r="D300" s="4"/>
      <c r="E300" s="4"/>
      <c r="F300" s="4"/>
      <c r="G300" s="4"/>
    </row>
    <row r="301">
      <c r="A301" s="4"/>
      <c r="B301" s="4"/>
      <c r="C301" s="4"/>
      <c r="D301" s="4"/>
      <c r="E301" s="4"/>
      <c r="F301" s="4"/>
      <c r="G301" s="4"/>
    </row>
    <row r="302">
      <c r="A302" s="4"/>
      <c r="B302" s="4"/>
      <c r="C302" s="4"/>
      <c r="D302" s="4"/>
      <c r="E302" s="4"/>
      <c r="F302" s="4"/>
      <c r="G302" s="4"/>
    </row>
    <row r="303">
      <c r="A303" s="4"/>
      <c r="B303" s="4"/>
      <c r="C303" s="4"/>
      <c r="D303" s="4"/>
      <c r="E303" s="4"/>
      <c r="F303" s="4"/>
      <c r="G303" s="4"/>
    </row>
    <row r="304">
      <c r="A304" s="4"/>
      <c r="B304" s="4"/>
      <c r="C304" s="4"/>
      <c r="D304" s="4"/>
      <c r="E304" s="4"/>
      <c r="F304" s="4"/>
      <c r="G304" s="4"/>
    </row>
    <row r="305">
      <c r="A305" s="4"/>
      <c r="B305" s="4"/>
      <c r="C305" s="4"/>
      <c r="D305" s="4"/>
      <c r="E305" s="4"/>
      <c r="F305" s="4"/>
      <c r="G305" s="4"/>
    </row>
    <row r="306">
      <c r="A306" s="4"/>
      <c r="B306" s="4"/>
      <c r="C306" s="4"/>
      <c r="D306" s="4"/>
      <c r="E306" s="4"/>
      <c r="F306" s="4"/>
      <c r="G306" s="4"/>
    </row>
    <row r="307">
      <c r="A307" s="4"/>
      <c r="B307" s="4"/>
      <c r="C307" s="4"/>
      <c r="D307" s="4"/>
      <c r="E307" s="4"/>
      <c r="F307" s="4"/>
      <c r="G307" s="4"/>
    </row>
    <row r="308">
      <c r="A308" s="4"/>
      <c r="B308" s="4"/>
      <c r="C308" s="4"/>
      <c r="D308" s="4"/>
      <c r="E308" s="4"/>
      <c r="F308" s="4"/>
      <c r="G308" s="4"/>
    </row>
    <row r="309">
      <c r="A309" s="4"/>
      <c r="B309" s="4"/>
      <c r="C309" s="4"/>
      <c r="D309" s="4"/>
      <c r="E309" s="4"/>
      <c r="F309" s="4"/>
      <c r="G309" s="4"/>
    </row>
    <row r="310">
      <c r="A310" s="4"/>
      <c r="B310" s="4"/>
      <c r="C310" s="4"/>
      <c r="D310" s="4"/>
      <c r="E310" s="4"/>
      <c r="F310" s="4"/>
      <c r="G310" s="4"/>
    </row>
    <row r="311">
      <c r="A311" s="4"/>
      <c r="B311" s="4"/>
      <c r="C311" s="4"/>
      <c r="D311" s="4"/>
      <c r="E311" s="4"/>
      <c r="F311" s="4"/>
      <c r="G311" s="4"/>
    </row>
    <row r="312">
      <c r="A312" s="4"/>
      <c r="B312" s="4"/>
      <c r="C312" s="4"/>
      <c r="D312" s="4"/>
      <c r="E312" s="4"/>
      <c r="F312" s="4"/>
      <c r="G312" s="4"/>
    </row>
    <row r="313">
      <c r="A313" s="4"/>
      <c r="B313" s="4"/>
      <c r="C313" s="4"/>
      <c r="D313" s="4"/>
      <c r="E313" s="4"/>
      <c r="F313" s="4"/>
      <c r="G313" s="4"/>
    </row>
    <row r="314">
      <c r="A314" s="4"/>
      <c r="B314" s="4"/>
      <c r="C314" s="4"/>
      <c r="D314" s="4"/>
      <c r="E314" s="4"/>
      <c r="F314" s="4"/>
      <c r="G314" s="4"/>
    </row>
    <row r="315">
      <c r="A315" s="4"/>
      <c r="B315" s="4"/>
      <c r="C315" s="4"/>
      <c r="D315" s="4"/>
      <c r="E315" s="4"/>
      <c r="F315" s="4"/>
      <c r="G315" s="4"/>
    </row>
    <row r="316">
      <c r="A316" s="4"/>
      <c r="B316" s="4"/>
      <c r="C316" s="4"/>
      <c r="D316" s="4"/>
      <c r="E316" s="4"/>
      <c r="F316" s="4"/>
      <c r="G316" s="4"/>
    </row>
    <row r="317">
      <c r="A317" s="4"/>
      <c r="B317" s="4"/>
      <c r="C317" s="4"/>
      <c r="D317" s="4"/>
      <c r="E317" s="4"/>
      <c r="F317" s="4"/>
      <c r="G317" s="4"/>
    </row>
    <row r="318">
      <c r="A318" s="4"/>
      <c r="B318" s="4"/>
      <c r="C318" s="4"/>
      <c r="D318" s="4"/>
      <c r="E318" s="4"/>
      <c r="F318" s="4"/>
      <c r="G318" s="4"/>
    </row>
    <row r="319">
      <c r="A319" s="4"/>
      <c r="B319" s="4"/>
      <c r="C319" s="4"/>
      <c r="D319" s="4"/>
      <c r="E319" s="4"/>
      <c r="F319" s="4"/>
      <c r="G319" s="4"/>
    </row>
    <row r="320">
      <c r="A320" s="4"/>
      <c r="B320" s="4"/>
      <c r="C320" s="4"/>
      <c r="D320" s="4"/>
      <c r="E320" s="4"/>
      <c r="F320" s="4"/>
      <c r="G320" s="4"/>
    </row>
    <row r="321">
      <c r="A321" s="4"/>
      <c r="B321" s="4"/>
      <c r="C321" s="4"/>
      <c r="D321" s="4"/>
      <c r="E321" s="4"/>
      <c r="F321" s="4"/>
      <c r="G321" s="4"/>
    </row>
    <row r="322">
      <c r="A322" s="4"/>
      <c r="B322" s="4"/>
      <c r="C322" s="4"/>
      <c r="D322" s="4"/>
      <c r="E322" s="4"/>
      <c r="F322" s="4"/>
      <c r="G322" s="4"/>
    </row>
    <row r="323">
      <c r="A323" s="4"/>
      <c r="B323" s="4"/>
      <c r="C323" s="4"/>
      <c r="D323" s="4"/>
      <c r="E323" s="4"/>
      <c r="F323" s="4"/>
      <c r="G323" s="4"/>
    </row>
    <row r="324">
      <c r="A324" s="4"/>
      <c r="B324" s="4"/>
      <c r="C324" s="4"/>
      <c r="D324" s="4"/>
      <c r="E324" s="4"/>
      <c r="F324" s="4"/>
      <c r="G324" s="4"/>
    </row>
    <row r="325">
      <c r="A325" s="4"/>
      <c r="B325" s="4"/>
      <c r="C325" s="4"/>
      <c r="D325" s="4"/>
      <c r="E325" s="4"/>
      <c r="F325" s="4"/>
      <c r="G325" s="4"/>
    </row>
    <row r="326">
      <c r="A326" s="4"/>
      <c r="B326" s="4"/>
      <c r="C326" s="4"/>
      <c r="D326" s="4"/>
      <c r="E326" s="4"/>
      <c r="F326" s="4"/>
      <c r="G326" s="4"/>
    </row>
    <row r="327">
      <c r="A327" s="4"/>
      <c r="B327" s="4"/>
      <c r="C327" s="4"/>
      <c r="D327" s="4"/>
      <c r="E327" s="4"/>
      <c r="F327" s="4"/>
      <c r="G327" s="4"/>
    </row>
    <row r="328">
      <c r="A328" s="4"/>
      <c r="B328" s="4"/>
      <c r="C328" s="4"/>
      <c r="D328" s="4"/>
      <c r="E328" s="4"/>
      <c r="F328" s="4"/>
      <c r="G328" s="4"/>
    </row>
    <row r="329">
      <c r="A329" s="4"/>
      <c r="B329" s="4"/>
      <c r="C329" s="4"/>
      <c r="D329" s="4"/>
      <c r="E329" s="4"/>
      <c r="F329" s="4"/>
      <c r="G329" s="4"/>
    </row>
    <row r="330">
      <c r="A330" s="4"/>
      <c r="B330" s="4"/>
      <c r="C330" s="4"/>
      <c r="D330" s="4"/>
      <c r="E330" s="4"/>
      <c r="F330" s="4"/>
      <c r="G330" s="4"/>
    </row>
    <row r="331">
      <c r="A331" s="4"/>
      <c r="B331" s="4"/>
      <c r="C331" s="4"/>
      <c r="D331" s="4"/>
      <c r="E331" s="4"/>
      <c r="F331" s="4"/>
      <c r="G331" s="4"/>
    </row>
    <row r="332">
      <c r="A332" s="4"/>
      <c r="B332" s="4"/>
      <c r="C332" s="4"/>
      <c r="D332" s="4"/>
      <c r="E332" s="4"/>
      <c r="F332" s="4"/>
      <c r="G332" s="4"/>
    </row>
    <row r="333">
      <c r="A333" s="4"/>
      <c r="B333" s="4"/>
      <c r="C333" s="4"/>
      <c r="D333" s="4"/>
      <c r="E333" s="4"/>
      <c r="F333" s="4"/>
      <c r="G333" s="4"/>
    </row>
    <row r="334">
      <c r="A334" s="4"/>
      <c r="B334" s="4"/>
      <c r="C334" s="4"/>
      <c r="D334" s="4"/>
      <c r="E334" s="4"/>
      <c r="F334" s="4"/>
      <c r="G334" s="4"/>
    </row>
    <row r="335">
      <c r="A335" s="4"/>
      <c r="B335" s="4"/>
      <c r="C335" s="4"/>
      <c r="D335" s="4"/>
      <c r="E335" s="4"/>
      <c r="F335" s="4"/>
      <c r="G335" s="4"/>
    </row>
    <row r="336">
      <c r="A336" s="4"/>
      <c r="B336" s="4"/>
      <c r="C336" s="4"/>
      <c r="D336" s="4"/>
      <c r="E336" s="4"/>
      <c r="F336" s="4"/>
      <c r="G336" s="4"/>
    </row>
    <row r="337">
      <c r="A337" s="4"/>
      <c r="B337" s="4"/>
      <c r="C337" s="4"/>
      <c r="D337" s="4"/>
      <c r="E337" s="4"/>
      <c r="F337" s="4"/>
      <c r="G337" s="4"/>
    </row>
    <row r="338">
      <c r="A338" s="4"/>
      <c r="B338" s="4"/>
      <c r="C338" s="4"/>
      <c r="D338" s="4"/>
      <c r="E338" s="4"/>
      <c r="F338" s="4"/>
      <c r="G338" s="4"/>
    </row>
    <row r="339">
      <c r="A339" s="4"/>
      <c r="B339" s="4"/>
      <c r="C339" s="4"/>
      <c r="D339" s="4"/>
      <c r="E339" s="4"/>
      <c r="F339" s="4"/>
      <c r="G339" s="4"/>
    </row>
    <row r="340">
      <c r="A340" s="4"/>
      <c r="B340" s="4"/>
      <c r="C340" s="4"/>
      <c r="D340" s="4"/>
      <c r="E340" s="4"/>
      <c r="F340" s="4"/>
      <c r="G340" s="4"/>
    </row>
    <row r="341">
      <c r="A341" s="4"/>
      <c r="B341" s="4"/>
      <c r="C341" s="4"/>
      <c r="D341" s="4"/>
      <c r="E341" s="4"/>
      <c r="F341" s="4"/>
      <c r="G341" s="4"/>
    </row>
    <row r="342">
      <c r="A342" s="4"/>
      <c r="B342" s="4"/>
      <c r="C342" s="4"/>
      <c r="D342" s="4"/>
      <c r="E342" s="4"/>
      <c r="F342" s="4"/>
      <c r="G342" s="4"/>
    </row>
    <row r="343">
      <c r="A343" s="4"/>
      <c r="B343" s="4"/>
      <c r="C343" s="4"/>
      <c r="D343" s="4"/>
      <c r="E343" s="4"/>
      <c r="F343" s="4"/>
      <c r="G343" s="4"/>
    </row>
    <row r="344">
      <c r="A344" s="4"/>
      <c r="B344" s="4"/>
      <c r="C344" s="4"/>
      <c r="D344" s="4"/>
      <c r="E344" s="4"/>
      <c r="F344" s="4"/>
      <c r="G344" s="4"/>
    </row>
    <row r="345">
      <c r="A345" s="4"/>
      <c r="B345" s="4"/>
      <c r="C345" s="4"/>
      <c r="D345" s="4"/>
      <c r="E345" s="4"/>
      <c r="F345" s="4"/>
      <c r="G345" s="4"/>
    </row>
    <row r="346">
      <c r="A346" s="4"/>
      <c r="B346" s="4"/>
      <c r="C346" s="4"/>
      <c r="D346" s="4"/>
      <c r="E346" s="4"/>
      <c r="F346" s="4"/>
      <c r="G346" s="4"/>
    </row>
    <row r="347">
      <c r="A347" s="4"/>
      <c r="B347" s="4"/>
      <c r="C347" s="4"/>
      <c r="D347" s="4"/>
      <c r="E347" s="4"/>
      <c r="F347" s="4"/>
      <c r="G347" s="4"/>
    </row>
    <row r="348">
      <c r="A348" s="4"/>
      <c r="B348" s="4"/>
      <c r="C348" s="4"/>
      <c r="D348" s="4"/>
      <c r="E348" s="4"/>
      <c r="F348" s="4"/>
      <c r="G348" s="4"/>
    </row>
    <row r="349">
      <c r="A349" s="4"/>
      <c r="B349" s="4"/>
      <c r="C349" s="4"/>
      <c r="D349" s="4"/>
      <c r="E349" s="4"/>
      <c r="F349" s="4"/>
      <c r="G349" s="4"/>
    </row>
    <row r="350">
      <c r="A350" s="4"/>
      <c r="B350" s="4"/>
      <c r="C350" s="4"/>
      <c r="D350" s="4"/>
      <c r="E350" s="4"/>
      <c r="F350" s="4"/>
      <c r="G350" s="4"/>
    </row>
    <row r="351">
      <c r="A351" s="4"/>
      <c r="B351" s="4"/>
      <c r="C351" s="4"/>
      <c r="D351" s="4"/>
      <c r="E351" s="4"/>
      <c r="F351" s="4"/>
      <c r="G351" s="4"/>
    </row>
    <row r="352">
      <c r="A352" s="4"/>
      <c r="B352" s="4"/>
      <c r="C352" s="4"/>
      <c r="D352" s="4"/>
      <c r="E352" s="4"/>
      <c r="F352" s="4"/>
      <c r="G352" s="4"/>
    </row>
    <row r="353">
      <c r="A353" s="4"/>
      <c r="B353" s="4"/>
      <c r="C353" s="4"/>
      <c r="D353" s="4"/>
      <c r="E353" s="4"/>
      <c r="F353" s="4"/>
      <c r="G353" s="4"/>
    </row>
    <row r="354">
      <c r="A354" s="4"/>
      <c r="B354" s="4"/>
      <c r="C354" s="4"/>
      <c r="D354" s="4"/>
      <c r="E354" s="4"/>
      <c r="F354" s="4"/>
      <c r="G354" s="4"/>
    </row>
    <row r="355">
      <c r="A355" s="4"/>
      <c r="B355" s="4"/>
      <c r="C355" s="4"/>
      <c r="D355" s="4"/>
      <c r="E355" s="4"/>
      <c r="F355" s="4"/>
      <c r="G355" s="4"/>
    </row>
    <row r="356">
      <c r="A356" s="4"/>
      <c r="B356" s="4"/>
      <c r="C356" s="4"/>
      <c r="D356" s="4"/>
      <c r="E356" s="4"/>
      <c r="F356" s="4"/>
      <c r="G356" s="4"/>
    </row>
    <row r="357">
      <c r="A357" s="4"/>
      <c r="B357" s="4"/>
      <c r="C357" s="4"/>
      <c r="D357" s="4"/>
      <c r="E357" s="4"/>
      <c r="F357" s="4"/>
      <c r="G357" s="4"/>
    </row>
    <row r="358">
      <c r="A358" s="4"/>
      <c r="B358" s="4"/>
      <c r="C358" s="4"/>
      <c r="D358" s="4"/>
      <c r="E358" s="4"/>
      <c r="F358" s="4"/>
      <c r="G358" s="4"/>
    </row>
    <row r="359">
      <c r="A359" s="4"/>
      <c r="B359" s="4"/>
      <c r="C359" s="4"/>
      <c r="D359" s="4"/>
      <c r="E359" s="4"/>
      <c r="F359" s="4"/>
      <c r="G359" s="4"/>
    </row>
    <row r="360">
      <c r="A360" s="4"/>
      <c r="B360" s="4"/>
      <c r="C360" s="4"/>
      <c r="D360" s="4"/>
      <c r="E360" s="4"/>
      <c r="F360" s="4"/>
      <c r="G360" s="4"/>
    </row>
    <row r="361">
      <c r="A361" s="4"/>
      <c r="B361" s="4"/>
      <c r="C361" s="4"/>
      <c r="D361" s="4"/>
      <c r="E361" s="4"/>
      <c r="F361" s="4"/>
      <c r="G361" s="4"/>
    </row>
    <row r="362">
      <c r="A362" s="4"/>
      <c r="B362" s="4"/>
      <c r="C362" s="4"/>
      <c r="D362" s="4"/>
      <c r="E362" s="4"/>
      <c r="F362" s="4"/>
      <c r="G362" s="4"/>
    </row>
    <row r="363">
      <c r="A363" s="4"/>
      <c r="B363" s="4"/>
      <c r="C363" s="4"/>
      <c r="D363" s="4"/>
      <c r="E363" s="4"/>
      <c r="F363" s="4"/>
      <c r="G363" s="4"/>
    </row>
    <row r="364">
      <c r="A364" s="4"/>
      <c r="B364" s="4"/>
      <c r="C364" s="4"/>
      <c r="D364" s="4"/>
      <c r="E364" s="4"/>
      <c r="F364" s="4"/>
      <c r="G364" s="4"/>
    </row>
    <row r="365">
      <c r="A365" s="4"/>
      <c r="B365" s="4"/>
      <c r="C365" s="4"/>
      <c r="D365" s="4"/>
      <c r="E365" s="4"/>
      <c r="F365" s="4"/>
      <c r="G365" s="4"/>
    </row>
    <row r="366">
      <c r="A366" s="4"/>
      <c r="B366" s="4"/>
      <c r="C366" s="4"/>
      <c r="D366" s="4"/>
      <c r="E366" s="4"/>
      <c r="F366" s="4"/>
      <c r="G366" s="4"/>
    </row>
    <row r="367">
      <c r="A367" s="4"/>
      <c r="B367" s="4"/>
      <c r="C367" s="4"/>
      <c r="D367" s="4"/>
      <c r="E367" s="4"/>
      <c r="F367" s="4"/>
      <c r="G367" s="4"/>
    </row>
    <row r="368">
      <c r="A368" s="4"/>
      <c r="B368" s="4"/>
      <c r="C368" s="4"/>
      <c r="D368" s="4"/>
      <c r="E368" s="4"/>
      <c r="F368" s="4"/>
      <c r="G368" s="4"/>
    </row>
    <row r="369">
      <c r="A369" s="4"/>
      <c r="B369" s="4"/>
      <c r="C369" s="4"/>
      <c r="D369" s="4"/>
      <c r="E369" s="4"/>
      <c r="F369" s="4"/>
      <c r="G369" s="4"/>
    </row>
    <row r="370">
      <c r="A370" s="4"/>
      <c r="B370" s="4"/>
      <c r="C370" s="4"/>
      <c r="D370" s="4"/>
      <c r="E370" s="4"/>
      <c r="F370" s="4"/>
      <c r="G370" s="4"/>
    </row>
    <row r="371">
      <c r="A371" s="4"/>
      <c r="B371" s="4"/>
      <c r="C371" s="4"/>
      <c r="D371" s="4"/>
      <c r="E371" s="4"/>
      <c r="F371" s="4"/>
      <c r="G371" s="4"/>
    </row>
    <row r="372">
      <c r="A372" s="4"/>
      <c r="B372" s="4"/>
      <c r="C372" s="4"/>
      <c r="D372" s="4"/>
      <c r="E372" s="4"/>
      <c r="F372" s="4"/>
      <c r="G372" s="4"/>
    </row>
    <row r="373">
      <c r="A373" s="4"/>
      <c r="B373" s="4"/>
      <c r="C373" s="4"/>
      <c r="D373" s="4"/>
      <c r="E373" s="4"/>
      <c r="F373" s="4"/>
      <c r="G373" s="4"/>
    </row>
    <row r="374">
      <c r="A374" s="4"/>
      <c r="B374" s="4"/>
      <c r="C374" s="4"/>
      <c r="D374" s="4"/>
      <c r="E374" s="4"/>
      <c r="F374" s="4"/>
      <c r="G374" s="4"/>
    </row>
    <row r="375">
      <c r="A375" s="4"/>
      <c r="B375" s="4"/>
      <c r="C375" s="4"/>
      <c r="D375" s="4"/>
      <c r="E375" s="4"/>
      <c r="F375" s="4"/>
      <c r="G375" s="4"/>
    </row>
    <row r="376">
      <c r="A376" s="4"/>
      <c r="B376" s="4"/>
      <c r="C376" s="4"/>
      <c r="D376" s="4"/>
      <c r="E376" s="4"/>
      <c r="F376" s="4"/>
      <c r="G376" s="4"/>
    </row>
    <row r="377">
      <c r="A377" s="4"/>
      <c r="B377" s="4"/>
      <c r="C377" s="4"/>
      <c r="D377" s="4"/>
      <c r="E377" s="4"/>
      <c r="F377" s="4"/>
      <c r="G377" s="4"/>
    </row>
    <row r="378">
      <c r="A378" s="4"/>
      <c r="B378" s="4"/>
      <c r="C378" s="4"/>
      <c r="D378" s="4"/>
      <c r="E378" s="4"/>
      <c r="F378" s="4"/>
      <c r="G378" s="4"/>
    </row>
    <row r="379">
      <c r="A379" s="4"/>
      <c r="B379" s="4"/>
      <c r="C379" s="4"/>
      <c r="D379" s="4"/>
      <c r="E379" s="4"/>
      <c r="F379" s="4"/>
      <c r="G379" s="4"/>
    </row>
    <row r="380">
      <c r="A380" s="4"/>
      <c r="B380" s="4"/>
      <c r="C380" s="4"/>
      <c r="D380" s="4"/>
      <c r="E380" s="4"/>
      <c r="F380" s="4"/>
      <c r="G380" s="4"/>
    </row>
    <row r="381">
      <c r="A381" s="4"/>
      <c r="B381" s="4"/>
      <c r="C381" s="4"/>
      <c r="D381" s="4"/>
      <c r="E381" s="4"/>
      <c r="F381" s="4"/>
      <c r="G381" s="4"/>
    </row>
    <row r="382">
      <c r="A382" s="4"/>
      <c r="B382" s="4"/>
      <c r="C382" s="4"/>
      <c r="D382" s="4"/>
      <c r="E382" s="4"/>
      <c r="F382" s="4"/>
      <c r="G382" s="4"/>
    </row>
    <row r="383">
      <c r="A383" s="4"/>
      <c r="B383" s="4"/>
      <c r="C383" s="4"/>
      <c r="D383" s="4"/>
      <c r="E383" s="4"/>
      <c r="F383" s="4"/>
      <c r="G383" s="4"/>
    </row>
    <row r="384">
      <c r="A384" s="4"/>
      <c r="B384" s="4"/>
      <c r="C384" s="4"/>
      <c r="D384" s="4"/>
      <c r="E384" s="4"/>
      <c r="F384" s="4"/>
      <c r="G384" s="4"/>
    </row>
    <row r="385">
      <c r="A385" s="4"/>
      <c r="B385" s="4"/>
      <c r="C385" s="4"/>
      <c r="D385" s="4"/>
      <c r="E385" s="4"/>
      <c r="F385" s="4"/>
      <c r="G385" s="4"/>
    </row>
    <row r="386">
      <c r="A386" s="4"/>
      <c r="B386" s="4"/>
      <c r="C386" s="4"/>
      <c r="D386" s="4"/>
      <c r="E386" s="4"/>
      <c r="F386" s="4"/>
      <c r="G386" s="4"/>
    </row>
    <row r="387">
      <c r="A387" s="4"/>
      <c r="B387" s="4"/>
      <c r="C387" s="4"/>
      <c r="D387" s="4"/>
      <c r="E387" s="4"/>
      <c r="F387" s="4"/>
      <c r="G387" s="4"/>
    </row>
    <row r="388">
      <c r="A388" s="4"/>
      <c r="B388" s="4"/>
      <c r="C388" s="4"/>
      <c r="D388" s="4"/>
      <c r="E388" s="4"/>
      <c r="F388" s="4"/>
      <c r="G388" s="4"/>
    </row>
    <row r="389">
      <c r="A389" s="4"/>
      <c r="B389" s="4"/>
      <c r="C389" s="4"/>
      <c r="D389" s="4"/>
      <c r="E389" s="4"/>
      <c r="F389" s="4"/>
      <c r="G389" s="4"/>
    </row>
    <row r="390">
      <c r="A390" s="4"/>
      <c r="B390" s="4"/>
      <c r="C390" s="4"/>
      <c r="D390" s="4"/>
      <c r="E390" s="4"/>
      <c r="F390" s="4"/>
      <c r="G390" s="4"/>
    </row>
    <row r="391">
      <c r="A391" s="4"/>
      <c r="B391" s="4"/>
      <c r="C391" s="4"/>
      <c r="D391" s="4"/>
      <c r="E391" s="4"/>
      <c r="F391" s="4"/>
      <c r="G391" s="4"/>
    </row>
    <row r="392">
      <c r="A392" s="4"/>
      <c r="B392" s="4"/>
      <c r="C392" s="4"/>
      <c r="D392" s="4"/>
      <c r="E392" s="4"/>
      <c r="F392" s="4"/>
      <c r="G392" s="4"/>
    </row>
    <row r="393">
      <c r="A393" s="4"/>
      <c r="B393" s="4"/>
      <c r="C393" s="4"/>
      <c r="D393" s="4"/>
      <c r="E393" s="4"/>
      <c r="F393" s="4"/>
      <c r="G393" s="4"/>
    </row>
    <row r="394">
      <c r="A394" s="4"/>
      <c r="B394" s="4"/>
      <c r="C394" s="4"/>
      <c r="D394" s="4"/>
      <c r="E394" s="4"/>
      <c r="F394" s="4"/>
      <c r="G394" s="4"/>
    </row>
    <row r="395">
      <c r="A395" s="4"/>
      <c r="B395" s="4"/>
      <c r="C395" s="4"/>
      <c r="D395" s="4"/>
      <c r="E395" s="4"/>
      <c r="F395" s="4"/>
      <c r="G395" s="4"/>
    </row>
    <row r="396">
      <c r="A396" s="4"/>
      <c r="B396" s="4"/>
      <c r="C396" s="4"/>
      <c r="D396" s="4"/>
      <c r="E396" s="4"/>
      <c r="F396" s="4"/>
      <c r="G396" s="4"/>
    </row>
    <row r="397">
      <c r="A397" s="4"/>
      <c r="B397" s="4"/>
      <c r="C397" s="4"/>
      <c r="D397" s="4"/>
      <c r="E397" s="4"/>
      <c r="F397" s="4"/>
      <c r="G397" s="4"/>
    </row>
    <row r="398">
      <c r="A398" s="4"/>
      <c r="B398" s="4"/>
      <c r="C398" s="4"/>
      <c r="D398" s="4"/>
      <c r="E398" s="4"/>
      <c r="F398" s="4"/>
      <c r="G398" s="4"/>
    </row>
    <row r="399">
      <c r="A399" s="4"/>
      <c r="B399" s="4"/>
      <c r="C399" s="4"/>
      <c r="D399" s="4"/>
      <c r="E399" s="4"/>
      <c r="F399" s="4"/>
      <c r="G399" s="4"/>
    </row>
    <row r="400">
      <c r="A400" s="4"/>
      <c r="B400" s="4"/>
      <c r="C400" s="4"/>
      <c r="D400" s="4"/>
      <c r="E400" s="4"/>
      <c r="F400" s="4"/>
      <c r="G400" s="4"/>
    </row>
    <row r="401">
      <c r="A401" s="4"/>
      <c r="B401" s="4"/>
      <c r="C401" s="4"/>
      <c r="D401" s="4"/>
      <c r="E401" s="4"/>
      <c r="F401" s="4"/>
      <c r="G401" s="4"/>
    </row>
    <row r="402">
      <c r="A402" s="4"/>
      <c r="B402" s="4"/>
      <c r="C402" s="4"/>
      <c r="D402" s="4"/>
      <c r="E402" s="4"/>
      <c r="F402" s="4"/>
      <c r="G402" s="4"/>
    </row>
    <row r="403">
      <c r="A403" s="4"/>
      <c r="B403" s="4"/>
      <c r="C403" s="4"/>
      <c r="D403" s="4"/>
      <c r="E403" s="4"/>
      <c r="F403" s="4"/>
      <c r="G403" s="4"/>
    </row>
    <row r="404">
      <c r="A404" s="4"/>
      <c r="B404" s="4"/>
      <c r="C404" s="4"/>
      <c r="D404" s="4"/>
      <c r="E404" s="4"/>
      <c r="F404" s="4"/>
      <c r="G404" s="4"/>
    </row>
    <row r="405">
      <c r="A405" s="4"/>
      <c r="B405" s="4"/>
      <c r="C405" s="4"/>
      <c r="D405" s="4"/>
      <c r="E405" s="4"/>
      <c r="F405" s="4"/>
      <c r="G405" s="4"/>
    </row>
    <row r="406">
      <c r="A406" s="4"/>
      <c r="B406" s="4"/>
      <c r="C406" s="4"/>
      <c r="D406" s="4"/>
      <c r="E406" s="4"/>
      <c r="F406" s="4"/>
      <c r="G406" s="4"/>
    </row>
    <row r="407">
      <c r="A407" s="4"/>
      <c r="B407" s="4"/>
      <c r="C407" s="4"/>
      <c r="D407" s="4"/>
      <c r="E407" s="4"/>
      <c r="F407" s="4"/>
      <c r="G407" s="4"/>
    </row>
    <row r="408">
      <c r="A408" s="4"/>
      <c r="B408" s="4"/>
      <c r="C408" s="4"/>
      <c r="D408" s="4"/>
      <c r="E408" s="4"/>
      <c r="F408" s="4"/>
      <c r="G408" s="4"/>
    </row>
    <row r="409">
      <c r="A409" s="4"/>
      <c r="B409" s="4"/>
      <c r="C409" s="4"/>
      <c r="D409" s="4"/>
      <c r="E409" s="4"/>
      <c r="F409" s="4"/>
      <c r="G409" s="4"/>
    </row>
    <row r="410">
      <c r="A410" s="4"/>
      <c r="B410" s="4"/>
      <c r="C410" s="4"/>
      <c r="D410" s="4"/>
      <c r="E410" s="4"/>
      <c r="F410" s="4"/>
      <c r="G410" s="4"/>
    </row>
    <row r="411">
      <c r="A411" s="4"/>
      <c r="B411" s="4"/>
      <c r="C411" s="4"/>
      <c r="D411" s="4"/>
      <c r="E411" s="4"/>
      <c r="F411" s="4"/>
      <c r="G411" s="4"/>
    </row>
    <row r="412">
      <c r="A412" s="4"/>
      <c r="B412" s="4"/>
      <c r="C412" s="4"/>
      <c r="D412" s="4"/>
      <c r="E412" s="4"/>
      <c r="F412" s="4"/>
      <c r="G412" s="4"/>
    </row>
    <row r="413">
      <c r="A413" s="4"/>
      <c r="B413" s="4"/>
      <c r="C413" s="4"/>
      <c r="D413" s="4"/>
      <c r="E413" s="4"/>
      <c r="F413" s="4"/>
      <c r="G413" s="4"/>
    </row>
    <row r="414">
      <c r="A414" s="4"/>
      <c r="B414" s="4"/>
      <c r="C414" s="4"/>
      <c r="D414" s="4"/>
      <c r="E414" s="4"/>
      <c r="F414" s="4"/>
      <c r="G414" s="4"/>
    </row>
    <row r="415">
      <c r="A415" s="4"/>
      <c r="B415" s="4"/>
      <c r="C415" s="4"/>
      <c r="D415" s="4"/>
      <c r="E415" s="4"/>
      <c r="F415" s="4"/>
      <c r="G415" s="4"/>
    </row>
    <row r="416">
      <c r="A416" s="4"/>
      <c r="B416" s="4"/>
      <c r="C416" s="4"/>
      <c r="D416" s="4"/>
      <c r="E416" s="4"/>
      <c r="F416" s="4"/>
      <c r="G416" s="4"/>
    </row>
    <row r="417">
      <c r="A417" s="4"/>
      <c r="B417" s="4"/>
      <c r="C417" s="4"/>
      <c r="D417" s="4"/>
      <c r="E417" s="4"/>
      <c r="F417" s="4"/>
      <c r="G417" s="4"/>
    </row>
    <row r="418">
      <c r="A418" s="4"/>
      <c r="B418" s="4"/>
      <c r="C418" s="4"/>
      <c r="D418" s="4"/>
      <c r="E418" s="4"/>
      <c r="F418" s="4"/>
      <c r="G418" s="4"/>
    </row>
    <row r="419">
      <c r="A419" s="4"/>
      <c r="B419" s="4"/>
      <c r="C419" s="4"/>
      <c r="D419" s="4"/>
      <c r="E419" s="4"/>
      <c r="F419" s="4"/>
      <c r="G419" s="4"/>
    </row>
    <row r="420">
      <c r="A420" s="4"/>
      <c r="B420" s="4"/>
      <c r="C420" s="4"/>
      <c r="D420" s="4"/>
      <c r="E420" s="4"/>
      <c r="F420" s="4"/>
      <c r="G420" s="4"/>
    </row>
    <row r="421">
      <c r="A421" s="4"/>
      <c r="B421" s="4"/>
      <c r="C421" s="4"/>
      <c r="D421" s="4"/>
      <c r="E421" s="4"/>
      <c r="F421" s="4"/>
      <c r="G421" s="4"/>
    </row>
    <row r="422">
      <c r="A422" s="4"/>
      <c r="B422" s="4"/>
      <c r="C422" s="4"/>
      <c r="D422" s="4"/>
      <c r="E422" s="4"/>
      <c r="F422" s="4"/>
      <c r="G422" s="4"/>
    </row>
    <row r="423">
      <c r="A423" s="4"/>
      <c r="B423" s="4"/>
      <c r="C423" s="4"/>
      <c r="D423" s="4"/>
      <c r="E423" s="4"/>
      <c r="F423" s="4"/>
      <c r="G423" s="4"/>
    </row>
    <row r="424">
      <c r="A424" s="4"/>
      <c r="B424" s="4"/>
      <c r="C424" s="4"/>
      <c r="D424" s="4"/>
      <c r="E424" s="4"/>
      <c r="F424" s="4"/>
      <c r="G424" s="4"/>
    </row>
    <row r="425">
      <c r="A425" s="4"/>
      <c r="B425" s="4"/>
      <c r="C425" s="4"/>
      <c r="D425" s="4"/>
      <c r="E425" s="4"/>
      <c r="F425" s="4"/>
      <c r="G425" s="4"/>
    </row>
    <row r="426">
      <c r="A426" s="4"/>
      <c r="B426" s="4"/>
      <c r="C426" s="4"/>
      <c r="D426" s="4"/>
      <c r="E426" s="4"/>
      <c r="F426" s="4"/>
      <c r="G426" s="4"/>
    </row>
    <row r="427">
      <c r="A427" s="4"/>
      <c r="B427" s="4"/>
      <c r="C427" s="4"/>
      <c r="D427" s="4"/>
      <c r="E427" s="4"/>
      <c r="F427" s="4"/>
      <c r="G427" s="4"/>
    </row>
    <row r="428">
      <c r="A428" s="4"/>
      <c r="B428" s="4"/>
      <c r="C428" s="4"/>
      <c r="D428" s="4"/>
      <c r="E428" s="4"/>
      <c r="F428" s="4"/>
      <c r="G428" s="4"/>
    </row>
    <row r="429">
      <c r="A429" s="4"/>
      <c r="B429" s="4"/>
      <c r="C429" s="4"/>
      <c r="D429" s="4"/>
      <c r="E429" s="4"/>
      <c r="F429" s="4"/>
      <c r="G429" s="4"/>
    </row>
    <row r="430">
      <c r="A430" s="4"/>
      <c r="B430" s="4"/>
      <c r="C430" s="4"/>
      <c r="D430" s="4"/>
      <c r="E430" s="4"/>
      <c r="F430" s="4"/>
      <c r="G430" s="4"/>
    </row>
    <row r="431">
      <c r="A431" s="4"/>
      <c r="B431" s="4"/>
      <c r="C431" s="4"/>
      <c r="D431" s="4"/>
      <c r="E431" s="4"/>
      <c r="F431" s="4"/>
      <c r="G431" s="4"/>
    </row>
    <row r="432">
      <c r="A432" s="4"/>
      <c r="B432" s="4"/>
      <c r="C432" s="4"/>
      <c r="D432" s="4"/>
      <c r="E432" s="4"/>
      <c r="F432" s="4"/>
      <c r="G432" s="4"/>
    </row>
    <row r="433">
      <c r="A433" s="4"/>
      <c r="B433" s="4"/>
      <c r="C433" s="4"/>
      <c r="D433" s="4"/>
      <c r="E433" s="4"/>
      <c r="F433" s="4"/>
      <c r="G433" s="4"/>
    </row>
    <row r="434">
      <c r="A434" s="4"/>
      <c r="B434" s="4"/>
      <c r="C434" s="4"/>
      <c r="D434" s="4"/>
      <c r="E434" s="4"/>
      <c r="F434" s="4"/>
      <c r="G434" s="4"/>
    </row>
    <row r="435">
      <c r="A435" s="4"/>
      <c r="B435" s="4"/>
      <c r="C435" s="4"/>
      <c r="D435" s="4"/>
      <c r="E435" s="4"/>
      <c r="F435" s="4"/>
      <c r="G435" s="4"/>
    </row>
    <row r="436">
      <c r="A436" s="4"/>
      <c r="B436" s="4"/>
      <c r="C436" s="4"/>
      <c r="D436" s="4"/>
      <c r="E436" s="4"/>
      <c r="F436" s="4"/>
      <c r="G436" s="4"/>
    </row>
    <row r="437">
      <c r="A437" s="4"/>
      <c r="B437" s="4"/>
      <c r="C437" s="4"/>
      <c r="D437" s="4"/>
      <c r="E437" s="4"/>
      <c r="F437" s="4"/>
      <c r="G437" s="4"/>
    </row>
    <row r="438">
      <c r="A438" s="4"/>
      <c r="B438" s="4"/>
      <c r="C438" s="4"/>
      <c r="D438" s="4"/>
      <c r="E438" s="4"/>
      <c r="F438" s="4"/>
      <c r="G438" s="4"/>
    </row>
    <row r="439">
      <c r="A439" s="4"/>
      <c r="B439" s="4"/>
      <c r="C439" s="4"/>
      <c r="D439" s="4"/>
      <c r="E439" s="4"/>
      <c r="F439" s="4"/>
      <c r="G439" s="4"/>
    </row>
    <row r="440">
      <c r="A440" s="4"/>
      <c r="B440" s="4"/>
      <c r="C440" s="4"/>
      <c r="D440" s="4"/>
      <c r="E440" s="4"/>
      <c r="F440" s="4"/>
      <c r="G440" s="4"/>
    </row>
    <row r="441">
      <c r="A441" s="4"/>
      <c r="B441" s="4"/>
      <c r="C441" s="4"/>
      <c r="D441" s="4"/>
      <c r="E441" s="4"/>
      <c r="F441" s="4"/>
      <c r="G441" s="4"/>
    </row>
    <row r="442">
      <c r="A442" s="4"/>
      <c r="B442" s="4"/>
      <c r="C442" s="4"/>
      <c r="D442" s="4"/>
      <c r="E442" s="4"/>
      <c r="F442" s="4"/>
      <c r="G442" s="4"/>
    </row>
    <row r="443">
      <c r="A443" s="4"/>
      <c r="B443" s="4"/>
      <c r="C443" s="4"/>
      <c r="D443" s="4"/>
      <c r="E443" s="4"/>
      <c r="F443" s="4"/>
      <c r="G443" s="4"/>
    </row>
    <row r="444">
      <c r="A444" s="4"/>
      <c r="B444" s="4"/>
      <c r="C444" s="4"/>
      <c r="D444" s="4"/>
      <c r="E444" s="4"/>
      <c r="F444" s="4"/>
      <c r="G444" s="4"/>
    </row>
    <row r="445">
      <c r="A445" s="4"/>
      <c r="B445" s="4"/>
      <c r="C445" s="4"/>
      <c r="D445" s="4"/>
      <c r="E445" s="4"/>
      <c r="F445" s="4"/>
      <c r="G445" s="4"/>
    </row>
    <row r="446">
      <c r="A446" s="4"/>
      <c r="B446" s="4"/>
      <c r="C446" s="4"/>
      <c r="D446" s="4"/>
      <c r="E446" s="4"/>
      <c r="F446" s="4"/>
      <c r="G446" s="4"/>
    </row>
    <row r="447">
      <c r="A447" s="4"/>
      <c r="B447" s="4"/>
      <c r="C447" s="4"/>
      <c r="D447" s="4"/>
      <c r="E447" s="4"/>
      <c r="F447" s="4"/>
      <c r="G447" s="4"/>
    </row>
    <row r="448">
      <c r="A448" s="4"/>
      <c r="B448" s="4"/>
      <c r="C448" s="4"/>
      <c r="D448" s="4"/>
      <c r="E448" s="4"/>
      <c r="F448" s="4"/>
      <c r="G448" s="4"/>
    </row>
    <row r="449">
      <c r="A449" s="4"/>
      <c r="B449" s="4"/>
      <c r="C449" s="4"/>
      <c r="D449" s="4"/>
      <c r="E449" s="4"/>
      <c r="F449" s="4"/>
      <c r="G449" s="4"/>
    </row>
    <row r="450">
      <c r="A450" s="4"/>
      <c r="B450" s="4"/>
      <c r="C450" s="4"/>
      <c r="D450" s="4"/>
      <c r="E450" s="4"/>
      <c r="F450" s="4"/>
      <c r="G450" s="4"/>
    </row>
    <row r="451">
      <c r="A451" s="4"/>
      <c r="B451" s="4"/>
      <c r="C451" s="4"/>
      <c r="D451" s="4"/>
      <c r="E451" s="4"/>
      <c r="F451" s="4"/>
      <c r="G451" s="4"/>
    </row>
    <row r="452">
      <c r="A452" s="4"/>
      <c r="B452" s="4"/>
      <c r="C452" s="4"/>
      <c r="D452" s="4"/>
      <c r="E452" s="4"/>
      <c r="F452" s="4"/>
      <c r="G452" s="4"/>
    </row>
    <row r="453">
      <c r="A453" s="4"/>
      <c r="B453" s="4"/>
      <c r="C453" s="4"/>
      <c r="D453" s="4"/>
      <c r="E453" s="4"/>
      <c r="F453" s="4"/>
      <c r="G453" s="4"/>
    </row>
    <row r="454">
      <c r="A454" s="4"/>
      <c r="B454" s="4"/>
      <c r="C454" s="4"/>
      <c r="D454" s="4"/>
      <c r="E454" s="4"/>
      <c r="F454" s="4"/>
      <c r="G454" s="4"/>
    </row>
    <row r="455">
      <c r="A455" s="4"/>
      <c r="B455" s="4"/>
      <c r="C455" s="4"/>
      <c r="D455" s="4"/>
      <c r="E455" s="4"/>
      <c r="F455" s="4"/>
      <c r="G455" s="4"/>
    </row>
    <row r="456">
      <c r="A456" s="4"/>
      <c r="B456" s="4"/>
      <c r="C456" s="4"/>
      <c r="D456" s="4"/>
      <c r="E456" s="4"/>
      <c r="F456" s="4"/>
      <c r="G456" s="4"/>
    </row>
    <row r="457">
      <c r="A457" s="4"/>
      <c r="B457" s="4"/>
      <c r="C457" s="4"/>
      <c r="D457" s="4"/>
      <c r="E457" s="4"/>
      <c r="F457" s="4"/>
      <c r="G457" s="4"/>
    </row>
    <row r="458">
      <c r="A458" s="4"/>
      <c r="B458" s="4"/>
      <c r="C458" s="4"/>
      <c r="D458" s="4"/>
      <c r="E458" s="4"/>
      <c r="F458" s="4"/>
      <c r="G458" s="4"/>
    </row>
    <row r="459">
      <c r="A459" s="4"/>
      <c r="B459" s="4"/>
      <c r="C459" s="4"/>
      <c r="D459" s="4"/>
      <c r="E459" s="4"/>
      <c r="F459" s="4"/>
      <c r="G459" s="4"/>
    </row>
    <row r="460">
      <c r="A460" s="4"/>
      <c r="B460" s="4"/>
      <c r="C460" s="4"/>
      <c r="D460" s="4"/>
      <c r="E460" s="4"/>
      <c r="F460" s="4"/>
      <c r="G460" s="4"/>
    </row>
    <row r="461">
      <c r="A461" s="4"/>
      <c r="B461" s="4"/>
      <c r="C461" s="4"/>
      <c r="D461" s="4"/>
      <c r="E461" s="4"/>
      <c r="F461" s="4"/>
      <c r="G461" s="4"/>
    </row>
    <row r="462">
      <c r="A462" s="4"/>
      <c r="B462" s="4"/>
      <c r="C462" s="4"/>
      <c r="D462" s="4"/>
      <c r="E462" s="4"/>
      <c r="F462" s="4"/>
      <c r="G462" s="4"/>
    </row>
    <row r="463">
      <c r="A463" s="4"/>
      <c r="B463" s="4"/>
      <c r="C463" s="4"/>
      <c r="D463" s="4"/>
      <c r="E463" s="4"/>
      <c r="F463" s="4"/>
      <c r="G463" s="4"/>
    </row>
    <row r="464">
      <c r="A464" s="4"/>
      <c r="B464" s="4"/>
      <c r="C464" s="4"/>
      <c r="D464" s="4"/>
      <c r="E464" s="4"/>
      <c r="F464" s="4"/>
      <c r="G464" s="4"/>
    </row>
    <row r="465">
      <c r="A465" s="4"/>
      <c r="B465" s="4"/>
      <c r="C465" s="4"/>
      <c r="D465" s="4"/>
      <c r="E465" s="4"/>
      <c r="F465" s="4"/>
      <c r="G465" s="4"/>
    </row>
    <row r="466">
      <c r="A466" s="4"/>
      <c r="B466" s="4"/>
      <c r="C466" s="4"/>
      <c r="D466" s="4"/>
      <c r="E466" s="4"/>
      <c r="F466" s="4"/>
      <c r="G466" s="4"/>
    </row>
    <row r="467">
      <c r="A467" s="4"/>
      <c r="B467" s="4"/>
      <c r="C467" s="4"/>
      <c r="D467" s="4"/>
      <c r="E467" s="4"/>
      <c r="F467" s="4"/>
      <c r="G467" s="4"/>
    </row>
    <row r="468">
      <c r="A468" s="4"/>
      <c r="B468" s="4"/>
      <c r="C468" s="4"/>
      <c r="D468" s="4"/>
      <c r="E468" s="4"/>
      <c r="F468" s="4"/>
      <c r="G468" s="4"/>
    </row>
    <row r="469">
      <c r="A469" s="4"/>
      <c r="B469" s="4"/>
      <c r="C469" s="4"/>
      <c r="D469" s="4"/>
      <c r="E469" s="4"/>
      <c r="F469" s="4"/>
      <c r="G469" s="4"/>
    </row>
    <row r="470">
      <c r="A470" s="4"/>
      <c r="B470" s="4"/>
      <c r="C470" s="4"/>
      <c r="D470" s="4"/>
      <c r="E470" s="4"/>
      <c r="F470" s="4"/>
      <c r="G470" s="4"/>
    </row>
    <row r="471">
      <c r="A471" s="4"/>
      <c r="B471" s="4"/>
      <c r="C471" s="4"/>
      <c r="D471" s="4"/>
      <c r="E471" s="4"/>
      <c r="F471" s="4"/>
      <c r="G471" s="4"/>
    </row>
    <row r="472">
      <c r="A472" s="4"/>
      <c r="B472" s="4"/>
      <c r="C472" s="4"/>
      <c r="D472" s="4"/>
      <c r="E472" s="4"/>
      <c r="F472" s="4"/>
      <c r="G472" s="4"/>
    </row>
    <row r="473">
      <c r="A473" s="4"/>
      <c r="B473" s="4"/>
      <c r="C473" s="4"/>
      <c r="D473" s="4"/>
      <c r="E473" s="4"/>
      <c r="F473" s="4"/>
      <c r="G473" s="4"/>
    </row>
    <row r="474">
      <c r="A474" s="4"/>
      <c r="B474" s="4"/>
      <c r="C474" s="4"/>
      <c r="D474" s="4"/>
      <c r="E474" s="4"/>
      <c r="F474" s="4"/>
      <c r="G474" s="4"/>
    </row>
    <row r="475">
      <c r="A475" s="4"/>
      <c r="B475" s="4"/>
      <c r="C475" s="4"/>
      <c r="D475" s="4"/>
      <c r="E475" s="4"/>
      <c r="F475" s="4"/>
      <c r="G475" s="4"/>
    </row>
    <row r="476">
      <c r="A476" s="4"/>
      <c r="B476" s="4"/>
      <c r="C476" s="4"/>
      <c r="D476" s="4"/>
      <c r="E476" s="4"/>
      <c r="F476" s="4"/>
      <c r="G476" s="4"/>
    </row>
    <row r="477">
      <c r="A477" s="4"/>
      <c r="B477" s="4"/>
      <c r="C477" s="4"/>
      <c r="D477" s="4"/>
      <c r="E477" s="4"/>
      <c r="F477" s="4"/>
      <c r="G477" s="4"/>
    </row>
    <row r="478">
      <c r="A478" s="4"/>
      <c r="B478" s="4"/>
      <c r="C478" s="4"/>
      <c r="D478" s="4"/>
      <c r="E478" s="4"/>
      <c r="F478" s="4"/>
      <c r="G478" s="4"/>
    </row>
    <row r="479">
      <c r="A479" s="4"/>
      <c r="B479" s="4"/>
      <c r="C479" s="4"/>
      <c r="D479" s="4"/>
      <c r="E479" s="4"/>
      <c r="F479" s="4"/>
      <c r="G479" s="4"/>
    </row>
    <row r="480">
      <c r="A480" s="4"/>
      <c r="B480" s="4"/>
      <c r="C480" s="4"/>
      <c r="D480" s="4"/>
      <c r="E480" s="4"/>
      <c r="F480" s="4"/>
      <c r="G480" s="4"/>
    </row>
    <row r="481">
      <c r="A481" s="4"/>
      <c r="B481" s="4"/>
      <c r="C481" s="4"/>
      <c r="D481" s="4"/>
      <c r="E481" s="4"/>
      <c r="F481" s="4"/>
      <c r="G481" s="4"/>
    </row>
    <row r="482">
      <c r="A482" s="4"/>
      <c r="B482" s="4"/>
      <c r="C482" s="4"/>
      <c r="D482" s="4"/>
      <c r="E482" s="4"/>
      <c r="F482" s="4"/>
      <c r="G482" s="4"/>
    </row>
    <row r="483">
      <c r="A483" s="4"/>
      <c r="B483" s="4"/>
      <c r="C483" s="4"/>
      <c r="D483" s="4"/>
      <c r="E483" s="4"/>
      <c r="F483" s="4"/>
      <c r="G483" s="4"/>
    </row>
    <row r="484">
      <c r="A484" s="4"/>
      <c r="B484" s="4"/>
      <c r="C484" s="4"/>
      <c r="D484" s="4"/>
      <c r="E484" s="4"/>
      <c r="F484" s="4"/>
      <c r="G484" s="4"/>
    </row>
    <row r="485">
      <c r="A485" s="4"/>
      <c r="B485" s="4"/>
      <c r="C485" s="4"/>
      <c r="D485" s="4"/>
      <c r="E485" s="4"/>
      <c r="F485" s="4"/>
      <c r="G485" s="4"/>
    </row>
    <row r="486">
      <c r="A486" s="4"/>
      <c r="B486" s="4"/>
      <c r="C486" s="4"/>
      <c r="D486" s="4"/>
      <c r="E486" s="4"/>
      <c r="F486" s="4"/>
      <c r="G486" s="4"/>
    </row>
    <row r="487">
      <c r="A487" s="4"/>
      <c r="B487" s="4"/>
      <c r="C487" s="4"/>
      <c r="D487" s="4"/>
      <c r="E487" s="4"/>
      <c r="F487" s="4"/>
      <c r="G487" s="4"/>
    </row>
    <row r="488">
      <c r="A488" s="4"/>
      <c r="B488" s="4"/>
      <c r="C488" s="4"/>
      <c r="D488" s="4"/>
      <c r="E488" s="4"/>
      <c r="F488" s="4"/>
      <c r="G488" s="4"/>
    </row>
    <row r="489">
      <c r="A489" s="4"/>
      <c r="B489" s="4"/>
      <c r="C489" s="4"/>
      <c r="D489" s="4"/>
      <c r="E489" s="4"/>
      <c r="F489" s="4"/>
      <c r="G489" s="4"/>
    </row>
    <row r="490">
      <c r="A490" s="4"/>
      <c r="B490" s="4"/>
      <c r="C490" s="4"/>
      <c r="D490" s="4"/>
      <c r="E490" s="4"/>
      <c r="F490" s="4"/>
      <c r="G490" s="4"/>
    </row>
    <row r="491">
      <c r="A491" s="4"/>
      <c r="B491" s="4"/>
      <c r="C491" s="4"/>
      <c r="D491" s="4"/>
      <c r="E491" s="4"/>
      <c r="F491" s="4"/>
      <c r="G491" s="4"/>
    </row>
    <row r="492">
      <c r="A492" s="4"/>
      <c r="B492" s="4"/>
      <c r="C492" s="4"/>
      <c r="D492" s="4"/>
      <c r="E492" s="4"/>
      <c r="F492" s="4"/>
      <c r="G492" s="4"/>
    </row>
    <row r="493">
      <c r="A493" s="4"/>
      <c r="B493" s="4"/>
      <c r="C493" s="4"/>
      <c r="D493" s="4"/>
      <c r="E493" s="4"/>
      <c r="F493" s="4"/>
      <c r="G493" s="4"/>
    </row>
    <row r="494">
      <c r="A494" s="4"/>
      <c r="B494" s="4"/>
      <c r="C494" s="4"/>
      <c r="D494" s="4"/>
      <c r="E494" s="4"/>
      <c r="F494" s="4"/>
      <c r="G494" s="4"/>
    </row>
    <row r="495">
      <c r="A495" s="4"/>
      <c r="B495" s="4"/>
      <c r="C495" s="4"/>
      <c r="D495" s="4"/>
      <c r="E495" s="4"/>
      <c r="F495" s="4"/>
      <c r="G495" s="4"/>
    </row>
    <row r="496">
      <c r="A496" s="4"/>
      <c r="B496" s="4"/>
      <c r="C496" s="4"/>
      <c r="D496" s="4"/>
      <c r="E496" s="4"/>
      <c r="F496" s="4"/>
      <c r="G496" s="4"/>
    </row>
    <row r="497">
      <c r="A497" s="4"/>
      <c r="B497" s="4"/>
      <c r="C497" s="4"/>
      <c r="D497" s="4"/>
      <c r="E497" s="4"/>
      <c r="F497" s="4"/>
      <c r="G497" s="4"/>
    </row>
    <row r="498">
      <c r="A498" s="4"/>
      <c r="B498" s="4"/>
      <c r="C498" s="4"/>
      <c r="D498" s="4"/>
      <c r="E498" s="4"/>
      <c r="F498" s="4"/>
      <c r="G498" s="4"/>
    </row>
    <row r="499">
      <c r="A499" s="4"/>
      <c r="B499" s="4"/>
      <c r="C499" s="4"/>
      <c r="D499" s="4"/>
      <c r="E499" s="4"/>
      <c r="F499" s="4"/>
      <c r="G499" s="4"/>
    </row>
    <row r="500">
      <c r="A500" s="4"/>
      <c r="B500" s="4"/>
      <c r="C500" s="4"/>
      <c r="D500" s="4"/>
      <c r="E500" s="4"/>
      <c r="F500" s="4"/>
      <c r="G500" s="4"/>
    </row>
    <row r="501">
      <c r="A501" s="4"/>
      <c r="B501" s="4"/>
      <c r="C501" s="4"/>
      <c r="D501" s="4"/>
      <c r="E501" s="4"/>
      <c r="F501" s="4"/>
      <c r="G501" s="4"/>
    </row>
    <row r="502">
      <c r="A502" s="4"/>
      <c r="B502" s="4"/>
      <c r="C502" s="4"/>
      <c r="D502" s="4"/>
      <c r="E502" s="4"/>
      <c r="F502" s="4"/>
      <c r="G502" s="4"/>
    </row>
    <row r="503">
      <c r="A503" s="4"/>
      <c r="B503" s="4"/>
      <c r="C503" s="4"/>
      <c r="D503" s="4"/>
      <c r="E503" s="4"/>
      <c r="F503" s="4"/>
      <c r="G503" s="4"/>
    </row>
    <row r="504">
      <c r="A504" s="4"/>
      <c r="B504" s="4"/>
      <c r="C504" s="4"/>
      <c r="D504" s="4"/>
      <c r="E504" s="4"/>
      <c r="F504" s="4"/>
      <c r="G504" s="4"/>
    </row>
    <row r="505">
      <c r="A505" s="4"/>
      <c r="B505" s="4"/>
      <c r="C505" s="4"/>
      <c r="D505" s="4"/>
      <c r="E505" s="4"/>
      <c r="F505" s="4"/>
      <c r="G505" s="4"/>
    </row>
    <row r="506">
      <c r="A506" s="4"/>
      <c r="B506" s="4"/>
      <c r="C506" s="4"/>
      <c r="D506" s="4"/>
      <c r="E506" s="4"/>
      <c r="F506" s="4"/>
      <c r="G506" s="4"/>
    </row>
    <row r="507">
      <c r="A507" s="4"/>
      <c r="B507" s="4"/>
      <c r="C507" s="4"/>
      <c r="D507" s="4"/>
      <c r="E507" s="4"/>
      <c r="F507" s="4"/>
      <c r="G507" s="4"/>
    </row>
    <row r="508">
      <c r="A508" s="4"/>
      <c r="B508" s="4"/>
      <c r="C508" s="4"/>
      <c r="D508" s="4"/>
      <c r="E508" s="4"/>
      <c r="F508" s="4"/>
      <c r="G508" s="4"/>
    </row>
    <row r="509">
      <c r="A509" s="4"/>
      <c r="B509" s="4"/>
      <c r="C509" s="4"/>
      <c r="D509" s="4"/>
      <c r="E509" s="4"/>
      <c r="F509" s="4"/>
      <c r="G509" s="4"/>
    </row>
    <row r="510">
      <c r="A510" s="4"/>
      <c r="B510" s="4"/>
      <c r="C510" s="4"/>
      <c r="D510" s="4"/>
      <c r="E510" s="4"/>
      <c r="F510" s="4"/>
      <c r="G510" s="4"/>
    </row>
    <row r="511">
      <c r="A511" s="4"/>
      <c r="B511" s="4"/>
      <c r="C511" s="4"/>
      <c r="D511" s="4"/>
      <c r="E511" s="4"/>
      <c r="F511" s="4"/>
      <c r="G511" s="4"/>
    </row>
    <row r="512">
      <c r="A512" s="4"/>
      <c r="B512" s="4"/>
      <c r="C512" s="4"/>
      <c r="D512" s="4"/>
      <c r="E512" s="4"/>
      <c r="F512" s="4"/>
      <c r="G512" s="4"/>
    </row>
    <row r="513">
      <c r="A513" s="4"/>
      <c r="B513" s="4"/>
      <c r="C513" s="4"/>
      <c r="D513" s="4"/>
      <c r="E513" s="4"/>
      <c r="F513" s="4"/>
      <c r="G513" s="4"/>
    </row>
    <row r="514">
      <c r="A514" s="4"/>
      <c r="B514" s="4"/>
      <c r="C514" s="4"/>
      <c r="D514" s="4"/>
      <c r="E514" s="4"/>
      <c r="F514" s="4"/>
      <c r="G514" s="4"/>
    </row>
    <row r="515">
      <c r="A515" s="4"/>
      <c r="B515" s="4"/>
      <c r="C515" s="4"/>
      <c r="D515" s="4"/>
      <c r="E515" s="4"/>
      <c r="F515" s="4"/>
      <c r="G515" s="4"/>
    </row>
    <row r="516">
      <c r="A516" s="4"/>
      <c r="B516" s="4"/>
      <c r="C516" s="4"/>
      <c r="D516" s="4"/>
      <c r="E516" s="4"/>
      <c r="F516" s="4"/>
      <c r="G516" s="4"/>
    </row>
    <row r="517">
      <c r="A517" s="4"/>
      <c r="B517" s="4"/>
      <c r="C517" s="4"/>
      <c r="D517" s="4"/>
      <c r="E517" s="4"/>
      <c r="F517" s="4"/>
      <c r="G517" s="4"/>
    </row>
    <row r="518">
      <c r="A518" s="4"/>
      <c r="B518" s="4"/>
      <c r="C518" s="4"/>
      <c r="D518" s="4"/>
      <c r="E518" s="4"/>
      <c r="F518" s="4"/>
      <c r="G518" s="4"/>
    </row>
    <row r="519">
      <c r="A519" s="4"/>
      <c r="B519" s="4"/>
      <c r="C519" s="4"/>
      <c r="D519" s="4"/>
      <c r="E519" s="4"/>
      <c r="F519" s="4"/>
      <c r="G519" s="4"/>
    </row>
    <row r="520">
      <c r="A520" s="4"/>
      <c r="B520" s="4"/>
      <c r="C520" s="4"/>
      <c r="D520" s="4"/>
      <c r="E520" s="4"/>
      <c r="F520" s="4"/>
      <c r="G520" s="4"/>
    </row>
    <row r="521">
      <c r="A521" s="4"/>
      <c r="B521" s="4"/>
      <c r="C521" s="4"/>
      <c r="D521" s="4"/>
      <c r="E521" s="4"/>
      <c r="F521" s="4"/>
      <c r="G521" s="4"/>
    </row>
    <row r="522">
      <c r="A522" s="4"/>
      <c r="B522" s="4"/>
      <c r="C522" s="4"/>
      <c r="D522" s="4"/>
      <c r="E522" s="4"/>
      <c r="F522" s="4"/>
      <c r="G522" s="4"/>
    </row>
    <row r="523">
      <c r="A523" s="4"/>
      <c r="B523" s="4"/>
      <c r="C523" s="4"/>
      <c r="D523" s="4"/>
      <c r="E523" s="4"/>
      <c r="F523" s="4"/>
      <c r="G523" s="4"/>
    </row>
    <row r="524">
      <c r="A524" s="4"/>
      <c r="B524" s="4"/>
      <c r="C524" s="4"/>
      <c r="D524" s="4"/>
      <c r="E524" s="4"/>
      <c r="F524" s="4"/>
      <c r="G524" s="4"/>
    </row>
    <row r="525">
      <c r="A525" s="4"/>
      <c r="B525" s="4"/>
      <c r="C525" s="4"/>
      <c r="D525" s="4"/>
      <c r="E525" s="4"/>
      <c r="F525" s="4"/>
      <c r="G525" s="4"/>
    </row>
    <row r="526">
      <c r="A526" s="4"/>
      <c r="B526" s="4"/>
      <c r="C526" s="4"/>
      <c r="D526" s="4"/>
      <c r="E526" s="4"/>
      <c r="F526" s="4"/>
      <c r="G526" s="4"/>
    </row>
    <row r="527">
      <c r="A527" s="4"/>
      <c r="B527" s="4"/>
      <c r="C527" s="4"/>
      <c r="D527" s="4"/>
      <c r="E527" s="4"/>
      <c r="F527" s="4"/>
      <c r="G527" s="4"/>
    </row>
    <row r="528">
      <c r="A528" s="4"/>
      <c r="B528" s="4"/>
      <c r="C528" s="4"/>
      <c r="D528" s="4"/>
      <c r="E528" s="4"/>
      <c r="F528" s="4"/>
      <c r="G528" s="4"/>
    </row>
    <row r="529">
      <c r="A529" s="4"/>
      <c r="B529" s="4"/>
      <c r="C529" s="4"/>
      <c r="D529" s="4"/>
      <c r="E529" s="4"/>
      <c r="F529" s="4"/>
      <c r="G529" s="4"/>
    </row>
    <row r="530">
      <c r="A530" s="4"/>
      <c r="B530" s="4"/>
      <c r="C530" s="4"/>
      <c r="D530" s="4"/>
      <c r="E530" s="4"/>
      <c r="F530" s="4"/>
      <c r="G530" s="4"/>
    </row>
    <row r="531">
      <c r="A531" s="4"/>
      <c r="B531" s="4"/>
      <c r="C531" s="4"/>
      <c r="D531" s="4"/>
      <c r="E531" s="4"/>
      <c r="F531" s="4"/>
      <c r="G531" s="4"/>
    </row>
    <row r="532">
      <c r="A532" s="4"/>
      <c r="B532" s="4"/>
      <c r="C532" s="4"/>
      <c r="D532" s="4"/>
      <c r="E532" s="4"/>
      <c r="F532" s="4"/>
      <c r="G532" s="4"/>
    </row>
    <row r="533">
      <c r="A533" s="4"/>
      <c r="B533" s="4"/>
      <c r="C533" s="4"/>
      <c r="D533" s="4"/>
      <c r="E533" s="4"/>
      <c r="F533" s="4"/>
      <c r="G533" s="4"/>
    </row>
    <row r="534">
      <c r="A534" s="4"/>
      <c r="B534" s="4"/>
      <c r="C534" s="4"/>
      <c r="D534" s="4"/>
      <c r="E534" s="4"/>
      <c r="F534" s="4"/>
      <c r="G534" s="4"/>
    </row>
    <row r="535">
      <c r="A535" s="4"/>
      <c r="B535" s="4"/>
      <c r="C535" s="4"/>
      <c r="D535" s="4"/>
      <c r="E535" s="4"/>
      <c r="F535" s="4"/>
      <c r="G535" s="4"/>
    </row>
    <row r="536">
      <c r="A536" s="4"/>
      <c r="B536" s="4"/>
      <c r="C536" s="4"/>
      <c r="D536" s="4"/>
      <c r="E536" s="4"/>
      <c r="F536" s="4"/>
      <c r="G536" s="4"/>
    </row>
    <row r="537">
      <c r="A537" s="4"/>
      <c r="B537" s="4"/>
      <c r="C537" s="4"/>
      <c r="D537" s="4"/>
      <c r="E537" s="4"/>
      <c r="F537" s="4"/>
      <c r="G537" s="4"/>
    </row>
    <row r="538">
      <c r="A538" s="4"/>
      <c r="B538" s="4"/>
      <c r="C538" s="4"/>
      <c r="D538" s="4"/>
      <c r="E538" s="4"/>
      <c r="F538" s="4"/>
      <c r="G538" s="4"/>
    </row>
    <row r="539">
      <c r="A539" s="4"/>
      <c r="B539" s="4"/>
      <c r="C539" s="4"/>
      <c r="D539" s="4"/>
      <c r="E539" s="4"/>
      <c r="F539" s="4"/>
      <c r="G539" s="4"/>
    </row>
    <row r="540">
      <c r="A540" s="4"/>
      <c r="B540" s="4"/>
      <c r="C540" s="4"/>
      <c r="D540" s="4"/>
      <c r="E540" s="4"/>
      <c r="F540" s="4"/>
      <c r="G540" s="4"/>
    </row>
    <row r="541">
      <c r="A541" s="4"/>
      <c r="B541" s="4"/>
      <c r="C541" s="4"/>
      <c r="D541" s="4"/>
      <c r="E541" s="4"/>
      <c r="F541" s="4"/>
      <c r="G541" s="4"/>
    </row>
    <row r="542">
      <c r="A542" s="4"/>
      <c r="B542" s="4"/>
      <c r="C542" s="4"/>
      <c r="D542" s="4"/>
      <c r="E542" s="4"/>
      <c r="F542" s="4"/>
      <c r="G542" s="4"/>
    </row>
    <row r="543">
      <c r="A543" s="4"/>
      <c r="B543" s="4"/>
      <c r="C543" s="4"/>
      <c r="D543" s="4"/>
      <c r="E543" s="4"/>
      <c r="F543" s="4"/>
      <c r="G543" s="4"/>
    </row>
    <row r="544">
      <c r="A544" s="4"/>
      <c r="B544" s="4"/>
      <c r="C544" s="4"/>
      <c r="D544" s="4"/>
      <c r="E544" s="4"/>
      <c r="F544" s="4"/>
      <c r="G544" s="4"/>
    </row>
    <row r="545">
      <c r="A545" s="4"/>
      <c r="B545" s="4"/>
      <c r="C545" s="4"/>
      <c r="D545" s="4"/>
      <c r="E545" s="4"/>
      <c r="F545" s="4"/>
      <c r="G545" s="4"/>
    </row>
    <row r="546">
      <c r="A546" s="4"/>
      <c r="B546" s="4"/>
      <c r="C546" s="4"/>
      <c r="D546" s="4"/>
      <c r="E546" s="4"/>
      <c r="F546" s="4"/>
      <c r="G546" s="4"/>
    </row>
    <row r="547">
      <c r="A547" s="4"/>
      <c r="B547" s="4"/>
      <c r="C547" s="4"/>
      <c r="D547" s="4"/>
      <c r="E547" s="4"/>
      <c r="F547" s="4"/>
      <c r="G547" s="4"/>
    </row>
    <row r="548">
      <c r="A548" s="4"/>
      <c r="B548" s="4"/>
      <c r="C548" s="4"/>
      <c r="D548" s="4"/>
      <c r="E548" s="4"/>
      <c r="F548" s="4"/>
      <c r="G548" s="4"/>
    </row>
    <row r="549">
      <c r="A549" s="4"/>
      <c r="B549" s="4"/>
      <c r="C549" s="4"/>
      <c r="D549" s="4"/>
      <c r="E549" s="4"/>
      <c r="F549" s="4"/>
      <c r="G549" s="4"/>
    </row>
    <row r="550">
      <c r="A550" s="4"/>
      <c r="B550" s="4"/>
      <c r="C550" s="4"/>
      <c r="D550" s="4"/>
      <c r="E550" s="4"/>
      <c r="F550" s="4"/>
      <c r="G550" s="4"/>
    </row>
    <row r="551">
      <c r="A551" s="4"/>
      <c r="B551" s="4"/>
      <c r="C551" s="4"/>
      <c r="D551" s="4"/>
      <c r="E551" s="4"/>
      <c r="F551" s="4"/>
      <c r="G551" s="4"/>
    </row>
    <row r="552">
      <c r="A552" s="4"/>
      <c r="B552" s="4"/>
      <c r="C552" s="4"/>
      <c r="D552" s="4"/>
      <c r="E552" s="4"/>
      <c r="F552" s="4"/>
      <c r="G552" s="4"/>
    </row>
    <row r="553">
      <c r="A553" s="4"/>
      <c r="B553" s="4"/>
      <c r="C553" s="4"/>
      <c r="D553" s="4"/>
      <c r="E553" s="4"/>
      <c r="F553" s="4"/>
      <c r="G553" s="4"/>
    </row>
    <row r="554">
      <c r="A554" s="4"/>
      <c r="B554" s="4"/>
      <c r="C554" s="4"/>
      <c r="D554" s="4"/>
      <c r="E554" s="4"/>
      <c r="F554" s="4"/>
      <c r="G554" s="4"/>
    </row>
    <row r="555">
      <c r="A555" s="4"/>
      <c r="B555" s="4"/>
      <c r="C555" s="4"/>
      <c r="D555" s="4"/>
      <c r="E555" s="4"/>
      <c r="F555" s="4"/>
      <c r="G555" s="4"/>
    </row>
    <row r="556">
      <c r="A556" s="4"/>
      <c r="B556" s="4"/>
      <c r="C556" s="4"/>
      <c r="D556" s="4"/>
      <c r="E556" s="4"/>
      <c r="F556" s="4"/>
      <c r="G556" s="4"/>
    </row>
    <row r="557">
      <c r="A557" s="4"/>
      <c r="B557" s="4"/>
      <c r="C557" s="4"/>
      <c r="D557" s="4"/>
      <c r="E557" s="4"/>
      <c r="F557" s="4"/>
      <c r="G557" s="4"/>
    </row>
    <row r="558">
      <c r="A558" s="4"/>
      <c r="B558" s="4"/>
      <c r="C558" s="4"/>
      <c r="D558" s="4"/>
      <c r="E558" s="4"/>
      <c r="F558" s="4"/>
      <c r="G558" s="4"/>
    </row>
    <row r="559">
      <c r="A559" s="4"/>
      <c r="B559" s="4"/>
      <c r="C559" s="4"/>
      <c r="D559" s="4"/>
      <c r="E559" s="4"/>
      <c r="F559" s="4"/>
      <c r="G559" s="4"/>
    </row>
    <row r="560">
      <c r="A560" s="4"/>
      <c r="B560" s="4"/>
      <c r="C560" s="4"/>
      <c r="D560" s="4"/>
      <c r="E560" s="4"/>
      <c r="F560" s="4"/>
      <c r="G560" s="4"/>
    </row>
    <row r="561">
      <c r="A561" s="4"/>
      <c r="B561" s="4"/>
      <c r="C561" s="4"/>
      <c r="D561" s="4"/>
      <c r="E561" s="4"/>
      <c r="F561" s="4"/>
      <c r="G561" s="4"/>
    </row>
    <row r="562">
      <c r="A562" s="4"/>
      <c r="B562" s="4"/>
      <c r="C562" s="4"/>
      <c r="D562" s="4"/>
      <c r="E562" s="4"/>
      <c r="F562" s="4"/>
      <c r="G562" s="4"/>
    </row>
    <row r="563">
      <c r="A563" s="4"/>
      <c r="B563" s="4"/>
      <c r="C563" s="4"/>
      <c r="D563" s="4"/>
      <c r="E563" s="4"/>
      <c r="F563" s="4"/>
      <c r="G563" s="4"/>
    </row>
    <row r="564">
      <c r="A564" s="4"/>
      <c r="B564" s="4"/>
      <c r="C564" s="4"/>
      <c r="D564" s="4"/>
      <c r="E564" s="4"/>
      <c r="F564" s="4"/>
      <c r="G564" s="4"/>
    </row>
    <row r="565">
      <c r="A565" s="4"/>
      <c r="B565" s="4"/>
      <c r="C565" s="4"/>
      <c r="D565" s="4"/>
      <c r="E565" s="4"/>
      <c r="F565" s="4"/>
      <c r="G565" s="4"/>
    </row>
    <row r="566">
      <c r="A566" s="4"/>
      <c r="B566" s="4"/>
      <c r="C566" s="4"/>
      <c r="D566" s="4"/>
      <c r="E566" s="4"/>
      <c r="F566" s="4"/>
      <c r="G566" s="4"/>
    </row>
    <row r="567">
      <c r="A567" s="4"/>
      <c r="B567" s="4"/>
      <c r="C567" s="4"/>
      <c r="D567" s="4"/>
      <c r="E567" s="4"/>
      <c r="F567" s="4"/>
      <c r="G567" s="4"/>
    </row>
    <row r="568">
      <c r="A568" s="4"/>
      <c r="B568" s="4"/>
      <c r="C568" s="4"/>
      <c r="D568" s="4"/>
      <c r="E568" s="4"/>
      <c r="F568" s="4"/>
      <c r="G568" s="4"/>
    </row>
    <row r="569">
      <c r="A569" s="4"/>
      <c r="B569" s="4"/>
      <c r="C569" s="4"/>
      <c r="D569" s="4"/>
      <c r="E569" s="4"/>
      <c r="F569" s="4"/>
      <c r="G569" s="4"/>
    </row>
    <row r="570">
      <c r="A570" s="4"/>
      <c r="B570" s="4"/>
      <c r="C570" s="4"/>
      <c r="D570" s="4"/>
      <c r="E570" s="4"/>
      <c r="F570" s="4"/>
      <c r="G570" s="4"/>
    </row>
    <row r="571">
      <c r="A571" s="4"/>
      <c r="B571" s="4"/>
      <c r="C571" s="4"/>
      <c r="D571" s="4"/>
      <c r="E571" s="4"/>
      <c r="F571" s="4"/>
      <c r="G571" s="4"/>
    </row>
    <row r="572">
      <c r="A572" s="4"/>
      <c r="B572" s="4"/>
      <c r="C572" s="4"/>
      <c r="D572" s="4"/>
      <c r="E572" s="4"/>
      <c r="F572" s="4"/>
      <c r="G572" s="4"/>
    </row>
    <row r="573">
      <c r="A573" s="4"/>
      <c r="B573" s="4"/>
      <c r="C573" s="4"/>
      <c r="D573" s="4"/>
      <c r="E573" s="4"/>
      <c r="F573" s="4"/>
      <c r="G573" s="4"/>
    </row>
    <row r="574">
      <c r="A574" s="4"/>
      <c r="B574" s="4"/>
      <c r="C574" s="4"/>
      <c r="D574" s="4"/>
      <c r="E574" s="4"/>
      <c r="F574" s="4"/>
      <c r="G574" s="4"/>
    </row>
    <row r="575">
      <c r="A575" s="4"/>
      <c r="B575" s="4"/>
      <c r="C575" s="4"/>
      <c r="D575" s="4"/>
      <c r="E575" s="4"/>
      <c r="F575" s="4"/>
      <c r="G575" s="4"/>
    </row>
    <row r="576">
      <c r="A576" s="4"/>
      <c r="B576" s="4"/>
      <c r="C576" s="4"/>
      <c r="D576" s="4"/>
      <c r="E576" s="4"/>
      <c r="F576" s="4"/>
      <c r="G576" s="4"/>
    </row>
    <row r="577">
      <c r="A577" s="4"/>
      <c r="B577" s="4"/>
      <c r="C577" s="4"/>
      <c r="D577" s="4"/>
      <c r="E577" s="4"/>
      <c r="F577" s="4"/>
      <c r="G577" s="4"/>
    </row>
    <row r="578">
      <c r="A578" s="4"/>
      <c r="B578" s="4"/>
      <c r="C578" s="4"/>
      <c r="D578" s="4"/>
      <c r="E578" s="4"/>
      <c r="F578" s="4"/>
      <c r="G578" s="4"/>
    </row>
    <row r="579">
      <c r="A579" s="4"/>
      <c r="B579" s="4"/>
      <c r="C579" s="4"/>
      <c r="D579" s="4"/>
      <c r="E579" s="4"/>
      <c r="F579" s="4"/>
      <c r="G579" s="4"/>
    </row>
    <row r="580">
      <c r="A580" s="4"/>
      <c r="B580" s="4"/>
      <c r="C580" s="4"/>
      <c r="D580" s="4"/>
      <c r="E580" s="4"/>
      <c r="F580" s="4"/>
      <c r="G580" s="4"/>
    </row>
    <row r="581">
      <c r="A581" s="4"/>
      <c r="B581" s="4"/>
      <c r="C581" s="4"/>
      <c r="D581" s="4"/>
      <c r="E581" s="4"/>
      <c r="F581" s="4"/>
      <c r="G581" s="4"/>
    </row>
    <row r="582">
      <c r="A582" s="4"/>
      <c r="B582" s="4"/>
      <c r="C582" s="4"/>
      <c r="D582" s="4"/>
      <c r="E582" s="4"/>
      <c r="F582" s="4"/>
      <c r="G582" s="4"/>
    </row>
    <row r="583">
      <c r="A583" s="4"/>
      <c r="B583" s="4"/>
      <c r="C583" s="4"/>
      <c r="D583" s="4"/>
      <c r="E583" s="4"/>
      <c r="F583" s="4"/>
      <c r="G583" s="4"/>
    </row>
    <row r="584">
      <c r="A584" s="4"/>
      <c r="B584" s="4"/>
      <c r="C584" s="4"/>
      <c r="D584" s="4"/>
      <c r="E584" s="4"/>
      <c r="F584" s="4"/>
      <c r="G584" s="4"/>
    </row>
    <row r="585">
      <c r="A585" s="4"/>
      <c r="B585" s="4"/>
      <c r="C585" s="4"/>
      <c r="D585" s="4"/>
      <c r="E585" s="4"/>
      <c r="F585" s="4"/>
      <c r="G585" s="4"/>
    </row>
    <row r="586">
      <c r="A586" s="4"/>
      <c r="B586" s="4"/>
      <c r="C586" s="4"/>
      <c r="D586" s="4"/>
      <c r="E586" s="4"/>
      <c r="F586" s="4"/>
      <c r="G586" s="4"/>
    </row>
    <row r="587">
      <c r="A587" s="4"/>
      <c r="B587" s="4"/>
      <c r="C587" s="4"/>
      <c r="D587" s="4"/>
      <c r="E587" s="4"/>
      <c r="F587" s="4"/>
      <c r="G587" s="4"/>
    </row>
    <row r="588">
      <c r="A588" s="4"/>
      <c r="B588" s="4"/>
      <c r="C588" s="4"/>
      <c r="D588" s="4"/>
      <c r="E588" s="4"/>
      <c r="F588" s="4"/>
      <c r="G588" s="4"/>
    </row>
    <row r="589">
      <c r="A589" s="4"/>
      <c r="B589" s="4"/>
      <c r="C589" s="4"/>
      <c r="D589" s="4"/>
      <c r="E589" s="4"/>
      <c r="F589" s="4"/>
      <c r="G589" s="4"/>
    </row>
    <row r="590">
      <c r="A590" s="4"/>
      <c r="B590" s="4"/>
      <c r="C590" s="4"/>
      <c r="D590" s="4"/>
      <c r="E590" s="4"/>
      <c r="F590" s="4"/>
      <c r="G590" s="4"/>
    </row>
    <row r="591">
      <c r="A591" s="4"/>
      <c r="B591" s="4"/>
      <c r="C591" s="4"/>
      <c r="D591" s="4"/>
      <c r="E591" s="4"/>
      <c r="F591" s="4"/>
      <c r="G591" s="4"/>
    </row>
    <row r="592">
      <c r="A592" s="4"/>
      <c r="B592" s="4"/>
      <c r="C592" s="4"/>
      <c r="D592" s="4"/>
      <c r="E592" s="4"/>
      <c r="F592" s="4"/>
      <c r="G592" s="4"/>
    </row>
    <row r="593">
      <c r="A593" s="4"/>
      <c r="B593" s="4"/>
      <c r="C593" s="4"/>
      <c r="D593" s="4"/>
      <c r="E593" s="4"/>
      <c r="F593" s="4"/>
      <c r="G593" s="4"/>
    </row>
    <row r="594">
      <c r="A594" s="4"/>
      <c r="B594" s="4"/>
      <c r="C594" s="4"/>
      <c r="D594" s="4"/>
      <c r="E594" s="4"/>
      <c r="F594" s="4"/>
      <c r="G594" s="4"/>
    </row>
    <row r="595">
      <c r="A595" s="4"/>
      <c r="B595" s="4"/>
      <c r="C595" s="4"/>
      <c r="D595" s="4"/>
      <c r="E595" s="4"/>
      <c r="F595" s="4"/>
      <c r="G595" s="4"/>
    </row>
    <row r="596">
      <c r="A596" s="4"/>
      <c r="B596" s="4"/>
      <c r="C596" s="4"/>
      <c r="D596" s="4"/>
      <c r="E596" s="4"/>
      <c r="F596" s="4"/>
      <c r="G596" s="4"/>
    </row>
    <row r="597">
      <c r="A597" s="4"/>
      <c r="B597" s="4"/>
      <c r="C597" s="4"/>
      <c r="D597" s="4"/>
      <c r="E597" s="4"/>
      <c r="F597" s="4"/>
      <c r="G597" s="4"/>
    </row>
    <row r="598">
      <c r="A598" s="4"/>
      <c r="B598" s="4"/>
      <c r="C598" s="4"/>
      <c r="D598" s="4"/>
      <c r="E598" s="4"/>
      <c r="F598" s="4"/>
      <c r="G598" s="4"/>
    </row>
    <row r="599">
      <c r="A599" s="4"/>
      <c r="B599" s="4"/>
      <c r="C599" s="4"/>
      <c r="D599" s="4"/>
      <c r="E599" s="4"/>
      <c r="F599" s="4"/>
      <c r="G599" s="4"/>
    </row>
    <row r="600">
      <c r="A600" s="4"/>
      <c r="B600" s="4"/>
      <c r="C600" s="4"/>
      <c r="D600" s="4"/>
      <c r="E600" s="4"/>
      <c r="F600" s="4"/>
      <c r="G600" s="4"/>
    </row>
    <row r="601">
      <c r="A601" s="4"/>
      <c r="B601" s="4"/>
      <c r="C601" s="4"/>
      <c r="D601" s="4"/>
      <c r="E601" s="4"/>
      <c r="F601" s="4"/>
      <c r="G601" s="4"/>
    </row>
    <row r="602">
      <c r="A602" s="4"/>
      <c r="B602" s="4"/>
      <c r="C602" s="4"/>
      <c r="D602" s="4"/>
      <c r="E602" s="4"/>
      <c r="F602" s="4"/>
      <c r="G602" s="4"/>
    </row>
    <row r="603">
      <c r="A603" s="4"/>
      <c r="B603" s="4"/>
      <c r="C603" s="4"/>
      <c r="D603" s="4"/>
      <c r="E603" s="4"/>
      <c r="F603" s="4"/>
      <c r="G603" s="4"/>
    </row>
    <row r="604">
      <c r="A604" s="4"/>
      <c r="B604" s="4"/>
      <c r="C604" s="4"/>
      <c r="D604" s="4"/>
      <c r="E604" s="4"/>
      <c r="F604" s="4"/>
      <c r="G604" s="4"/>
    </row>
    <row r="605">
      <c r="A605" s="4"/>
      <c r="B605" s="4"/>
      <c r="C605" s="4"/>
      <c r="D605" s="4"/>
      <c r="E605" s="4"/>
      <c r="F605" s="4"/>
      <c r="G605" s="4"/>
    </row>
    <row r="606">
      <c r="A606" s="4"/>
      <c r="B606" s="4"/>
      <c r="C606" s="4"/>
      <c r="D606" s="4"/>
      <c r="E606" s="4"/>
      <c r="F606" s="4"/>
      <c r="G606" s="4"/>
    </row>
    <row r="607">
      <c r="A607" s="4"/>
      <c r="B607" s="4"/>
      <c r="C607" s="4"/>
      <c r="D607" s="4"/>
      <c r="E607" s="4"/>
      <c r="F607" s="4"/>
      <c r="G607" s="4"/>
    </row>
    <row r="608">
      <c r="A608" s="4"/>
      <c r="B608" s="4"/>
      <c r="C608" s="4"/>
      <c r="D608" s="4"/>
      <c r="E608" s="4"/>
      <c r="F608" s="4"/>
      <c r="G608" s="4"/>
    </row>
    <row r="609">
      <c r="A609" s="4"/>
      <c r="B609" s="4"/>
      <c r="C609" s="4"/>
      <c r="D609" s="4"/>
      <c r="E609" s="4"/>
      <c r="F609" s="4"/>
      <c r="G609" s="4"/>
    </row>
    <row r="610">
      <c r="A610" s="4"/>
      <c r="B610" s="4"/>
      <c r="C610" s="4"/>
      <c r="D610" s="4"/>
      <c r="E610" s="4"/>
      <c r="F610" s="4"/>
      <c r="G610" s="4"/>
    </row>
    <row r="611">
      <c r="A611" s="4"/>
      <c r="B611" s="4"/>
      <c r="C611" s="4"/>
      <c r="D611" s="4"/>
      <c r="E611" s="4"/>
      <c r="F611" s="4"/>
      <c r="G611" s="4"/>
    </row>
    <row r="612">
      <c r="A612" s="4"/>
      <c r="B612" s="4"/>
      <c r="C612" s="4"/>
      <c r="D612" s="4"/>
      <c r="E612" s="4"/>
      <c r="F612" s="4"/>
      <c r="G612" s="4"/>
    </row>
    <row r="613">
      <c r="A613" s="4"/>
      <c r="B613" s="4"/>
      <c r="C613" s="4"/>
      <c r="D613" s="4"/>
      <c r="E613" s="4"/>
      <c r="F613" s="4"/>
      <c r="G613" s="4"/>
    </row>
    <row r="614">
      <c r="A614" s="4"/>
      <c r="B614" s="4"/>
      <c r="C614" s="4"/>
      <c r="D614" s="4"/>
      <c r="E614" s="4"/>
      <c r="F614" s="4"/>
      <c r="G614" s="4"/>
    </row>
    <row r="615">
      <c r="A615" s="4"/>
      <c r="B615" s="4"/>
      <c r="C615" s="4"/>
      <c r="D615" s="4"/>
      <c r="E615" s="4"/>
      <c r="F615" s="4"/>
      <c r="G615" s="4"/>
    </row>
    <row r="616">
      <c r="A616" s="4"/>
      <c r="B616" s="4"/>
      <c r="C616" s="4"/>
      <c r="D616" s="4"/>
      <c r="E616" s="4"/>
      <c r="F616" s="4"/>
      <c r="G616" s="4"/>
    </row>
    <row r="617">
      <c r="A617" s="4"/>
      <c r="B617" s="4"/>
      <c r="C617" s="4"/>
      <c r="D617" s="4"/>
      <c r="E617" s="4"/>
      <c r="F617" s="4"/>
      <c r="G617" s="4"/>
    </row>
    <row r="618">
      <c r="A618" s="4"/>
      <c r="B618" s="4"/>
      <c r="C618" s="4"/>
      <c r="D618" s="4"/>
      <c r="E618" s="4"/>
      <c r="F618" s="4"/>
      <c r="G618" s="4"/>
    </row>
    <row r="619">
      <c r="A619" s="4"/>
      <c r="B619" s="4"/>
      <c r="C619" s="4"/>
      <c r="D619" s="4"/>
      <c r="E619" s="4"/>
      <c r="F619" s="4"/>
      <c r="G619" s="4"/>
    </row>
    <row r="620">
      <c r="A620" s="4"/>
      <c r="B620" s="4"/>
      <c r="C620" s="4"/>
      <c r="D620" s="4"/>
      <c r="E620" s="4"/>
      <c r="F620" s="4"/>
      <c r="G620" s="4"/>
    </row>
    <row r="621">
      <c r="A621" s="4"/>
      <c r="B621" s="4"/>
      <c r="C621" s="4"/>
      <c r="D621" s="4"/>
      <c r="E621" s="4"/>
      <c r="F621" s="4"/>
      <c r="G621" s="4"/>
    </row>
    <row r="622">
      <c r="A622" s="4"/>
      <c r="B622" s="4"/>
      <c r="C622" s="4"/>
      <c r="D622" s="4"/>
      <c r="E622" s="4"/>
      <c r="F622" s="4"/>
      <c r="G622" s="4"/>
    </row>
    <row r="623">
      <c r="A623" s="4"/>
      <c r="B623" s="4"/>
      <c r="C623" s="4"/>
      <c r="D623" s="4"/>
      <c r="E623" s="4"/>
      <c r="F623" s="4"/>
      <c r="G623" s="4"/>
    </row>
    <row r="624">
      <c r="A624" s="4"/>
      <c r="B624" s="4"/>
      <c r="C624" s="4"/>
      <c r="D624" s="4"/>
      <c r="E624" s="4"/>
      <c r="F624" s="4"/>
      <c r="G624" s="4"/>
    </row>
    <row r="625">
      <c r="A625" s="4"/>
      <c r="B625" s="4"/>
      <c r="C625" s="4"/>
      <c r="D625" s="4"/>
      <c r="E625" s="4"/>
      <c r="F625" s="4"/>
      <c r="G625" s="4"/>
    </row>
    <row r="626">
      <c r="A626" s="4"/>
      <c r="B626" s="4"/>
      <c r="C626" s="4"/>
      <c r="D626" s="4"/>
      <c r="E626" s="4"/>
      <c r="F626" s="4"/>
      <c r="G626" s="4"/>
    </row>
    <row r="627">
      <c r="A627" s="4"/>
      <c r="B627" s="4"/>
      <c r="C627" s="4"/>
      <c r="D627" s="4"/>
      <c r="E627" s="4"/>
      <c r="F627" s="4"/>
      <c r="G627" s="4"/>
    </row>
    <row r="628">
      <c r="A628" s="4"/>
      <c r="B628" s="4"/>
      <c r="C628" s="4"/>
      <c r="D628" s="4"/>
      <c r="E628" s="4"/>
      <c r="F628" s="4"/>
      <c r="G628" s="4"/>
    </row>
    <row r="629">
      <c r="A629" s="4"/>
      <c r="B629" s="4"/>
      <c r="C629" s="4"/>
      <c r="D629" s="4"/>
      <c r="E629" s="4"/>
      <c r="F629" s="4"/>
      <c r="G629" s="4"/>
    </row>
    <row r="630">
      <c r="A630" s="4"/>
      <c r="B630" s="4"/>
      <c r="C630" s="4"/>
      <c r="D630" s="4"/>
      <c r="E630" s="4"/>
      <c r="F630" s="4"/>
      <c r="G630" s="4"/>
    </row>
    <row r="631">
      <c r="A631" s="4"/>
      <c r="B631" s="4"/>
      <c r="C631" s="4"/>
      <c r="D631" s="4"/>
      <c r="E631" s="4"/>
      <c r="F631" s="4"/>
      <c r="G631" s="4"/>
    </row>
    <row r="632">
      <c r="A632" s="4"/>
      <c r="B632" s="4"/>
      <c r="C632" s="4"/>
      <c r="D632" s="4"/>
      <c r="E632" s="4"/>
      <c r="F632" s="4"/>
      <c r="G632" s="4"/>
    </row>
    <row r="633">
      <c r="A633" s="4"/>
      <c r="B633" s="4"/>
      <c r="C633" s="4"/>
      <c r="D633" s="4"/>
      <c r="E633" s="4"/>
      <c r="F633" s="4"/>
      <c r="G633" s="4"/>
    </row>
    <row r="634">
      <c r="A634" s="4"/>
      <c r="B634" s="4"/>
      <c r="C634" s="4"/>
      <c r="D634" s="4"/>
      <c r="E634" s="4"/>
      <c r="F634" s="4"/>
      <c r="G634" s="4"/>
    </row>
    <row r="635">
      <c r="A635" s="4"/>
      <c r="B635" s="4"/>
      <c r="C635" s="4"/>
      <c r="D635" s="4"/>
      <c r="E635" s="4"/>
      <c r="F635" s="4"/>
      <c r="G635" s="4"/>
    </row>
    <row r="636">
      <c r="A636" s="4"/>
      <c r="B636" s="4"/>
      <c r="C636" s="4"/>
      <c r="D636" s="4"/>
      <c r="E636" s="4"/>
      <c r="F636" s="4"/>
      <c r="G636" s="4"/>
    </row>
    <row r="637">
      <c r="A637" s="4"/>
      <c r="B637" s="4"/>
      <c r="C637" s="4"/>
      <c r="D637" s="4"/>
      <c r="E637" s="4"/>
      <c r="F637" s="4"/>
      <c r="G637" s="4"/>
    </row>
    <row r="638">
      <c r="A638" s="4"/>
      <c r="B638" s="4"/>
      <c r="C638" s="4"/>
      <c r="D638" s="4"/>
      <c r="E638" s="4"/>
      <c r="F638" s="4"/>
      <c r="G638" s="4"/>
    </row>
    <row r="639">
      <c r="A639" s="4"/>
      <c r="B639" s="4"/>
      <c r="C639" s="4"/>
      <c r="D639" s="4"/>
      <c r="E639" s="4"/>
      <c r="F639" s="4"/>
      <c r="G639" s="4"/>
    </row>
    <row r="640">
      <c r="A640" s="4"/>
      <c r="B640" s="4"/>
      <c r="C640" s="4"/>
      <c r="D640" s="4"/>
      <c r="E640" s="4"/>
      <c r="F640" s="4"/>
      <c r="G640" s="4"/>
    </row>
    <row r="641">
      <c r="A641" s="4"/>
      <c r="B641" s="4"/>
      <c r="C641" s="4"/>
      <c r="D641" s="4"/>
      <c r="E641" s="4"/>
      <c r="F641" s="4"/>
      <c r="G641" s="4"/>
    </row>
    <row r="642">
      <c r="A642" s="4"/>
      <c r="B642" s="4"/>
      <c r="C642" s="4"/>
      <c r="D642" s="4"/>
      <c r="E642" s="4"/>
      <c r="F642" s="4"/>
      <c r="G642" s="4"/>
    </row>
    <row r="643">
      <c r="A643" s="4"/>
      <c r="B643" s="4"/>
      <c r="C643" s="4"/>
      <c r="D643" s="4"/>
      <c r="E643" s="4"/>
      <c r="F643" s="4"/>
      <c r="G643" s="4"/>
    </row>
    <row r="644">
      <c r="A644" s="4"/>
      <c r="B644" s="4"/>
      <c r="C644" s="4"/>
      <c r="D644" s="4"/>
      <c r="E644" s="4"/>
      <c r="F644" s="4"/>
      <c r="G644" s="4"/>
    </row>
    <row r="645">
      <c r="A645" s="4"/>
      <c r="B645" s="4"/>
      <c r="C645" s="4"/>
      <c r="D645" s="4"/>
      <c r="E645" s="4"/>
      <c r="F645" s="4"/>
      <c r="G645" s="4"/>
    </row>
    <row r="646">
      <c r="A646" s="4"/>
      <c r="B646" s="4"/>
      <c r="C646" s="4"/>
      <c r="D646" s="4"/>
      <c r="E646" s="4"/>
      <c r="F646" s="4"/>
      <c r="G646" s="4"/>
    </row>
    <row r="647">
      <c r="A647" s="4"/>
      <c r="B647" s="4"/>
      <c r="C647" s="4"/>
      <c r="D647" s="4"/>
      <c r="E647" s="4"/>
      <c r="F647" s="4"/>
      <c r="G647" s="4"/>
    </row>
    <row r="648">
      <c r="A648" s="4"/>
      <c r="B648" s="4"/>
      <c r="C648" s="4"/>
      <c r="D648" s="4"/>
      <c r="E648" s="4"/>
      <c r="F648" s="4"/>
      <c r="G648" s="4"/>
    </row>
    <row r="649">
      <c r="A649" s="4"/>
      <c r="B649" s="4"/>
      <c r="C649" s="4"/>
      <c r="D649" s="4"/>
      <c r="E649" s="4"/>
      <c r="F649" s="4"/>
      <c r="G649" s="4"/>
    </row>
    <row r="650">
      <c r="A650" s="4"/>
      <c r="B650" s="4"/>
      <c r="C650" s="4"/>
      <c r="D650" s="4"/>
      <c r="E650" s="4"/>
      <c r="F650" s="4"/>
      <c r="G650" s="4"/>
    </row>
    <row r="651">
      <c r="A651" s="4"/>
      <c r="B651" s="4"/>
      <c r="C651" s="4"/>
      <c r="D651" s="4"/>
      <c r="E651" s="4"/>
      <c r="F651" s="4"/>
      <c r="G651" s="4"/>
    </row>
    <row r="652">
      <c r="A652" s="4"/>
      <c r="B652" s="4"/>
      <c r="C652" s="4"/>
      <c r="D652" s="4"/>
      <c r="E652" s="4"/>
      <c r="F652" s="4"/>
      <c r="G652" s="4"/>
    </row>
    <row r="653">
      <c r="A653" s="4"/>
      <c r="B653" s="4"/>
      <c r="C653" s="4"/>
      <c r="D653" s="4"/>
      <c r="E653" s="4"/>
      <c r="F653" s="4"/>
      <c r="G653" s="4"/>
    </row>
    <row r="654">
      <c r="A654" s="4"/>
      <c r="B654" s="4"/>
      <c r="C654" s="4"/>
      <c r="D654" s="4"/>
      <c r="E654" s="4"/>
      <c r="F654" s="4"/>
      <c r="G654" s="4"/>
    </row>
    <row r="655">
      <c r="A655" s="4"/>
      <c r="B655" s="4"/>
      <c r="C655" s="4"/>
      <c r="D655" s="4"/>
      <c r="E655" s="4"/>
      <c r="F655" s="4"/>
      <c r="G655" s="4"/>
    </row>
    <row r="656">
      <c r="A656" s="4"/>
      <c r="B656" s="4"/>
      <c r="C656" s="4"/>
      <c r="D656" s="4"/>
      <c r="E656" s="4"/>
      <c r="F656" s="4"/>
      <c r="G656" s="4"/>
    </row>
    <row r="657">
      <c r="A657" s="4"/>
      <c r="B657" s="4"/>
      <c r="C657" s="4"/>
      <c r="D657" s="4"/>
      <c r="E657" s="4"/>
      <c r="F657" s="4"/>
      <c r="G657" s="4"/>
    </row>
    <row r="658">
      <c r="A658" s="4"/>
      <c r="B658" s="4"/>
      <c r="C658" s="4"/>
      <c r="D658" s="4"/>
      <c r="E658" s="4"/>
      <c r="F658" s="4"/>
      <c r="G658" s="4"/>
    </row>
    <row r="659">
      <c r="A659" s="4"/>
      <c r="B659" s="4"/>
      <c r="C659" s="4"/>
      <c r="D659" s="4"/>
      <c r="E659" s="4"/>
      <c r="F659" s="4"/>
      <c r="G659" s="4"/>
    </row>
    <row r="660">
      <c r="A660" s="4"/>
      <c r="B660" s="4"/>
      <c r="C660" s="4"/>
      <c r="D660" s="4"/>
      <c r="E660" s="4"/>
      <c r="F660" s="4"/>
      <c r="G660" s="4"/>
    </row>
    <row r="661">
      <c r="A661" s="4"/>
      <c r="B661" s="4"/>
      <c r="C661" s="4"/>
      <c r="D661" s="4"/>
      <c r="E661" s="4"/>
      <c r="F661" s="4"/>
      <c r="G661" s="4"/>
    </row>
    <row r="662">
      <c r="A662" s="4"/>
      <c r="B662" s="4"/>
      <c r="C662" s="4"/>
      <c r="D662" s="4"/>
      <c r="E662" s="4"/>
      <c r="F662" s="4"/>
      <c r="G662" s="4"/>
    </row>
    <row r="663">
      <c r="A663" s="4"/>
      <c r="B663" s="4"/>
      <c r="C663" s="4"/>
      <c r="D663" s="4"/>
      <c r="E663" s="4"/>
      <c r="F663" s="4"/>
      <c r="G663" s="4"/>
    </row>
    <row r="664">
      <c r="A664" s="4"/>
      <c r="B664" s="4"/>
      <c r="C664" s="4"/>
      <c r="D664" s="4"/>
      <c r="E664" s="4"/>
      <c r="F664" s="4"/>
      <c r="G664" s="4"/>
    </row>
    <row r="665">
      <c r="A665" s="4"/>
      <c r="B665" s="4"/>
      <c r="C665" s="4"/>
      <c r="D665" s="4"/>
      <c r="E665" s="4"/>
      <c r="F665" s="4"/>
      <c r="G665" s="4"/>
    </row>
    <row r="666">
      <c r="A666" s="4"/>
      <c r="B666" s="4"/>
      <c r="C666" s="4"/>
      <c r="D666" s="4"/>
      <c r="E666" s="4"/>
      <c r="F666" s="4"/>
      <c r="G666" s="4"/>
    </row>
    <row r="667">
      <c r="A667" s="4"/>
      <c r="B667" s="4"/>
      <c r="C667" s="4"/>
      <c r="D667" s="4"/>
      <c r="E667" s="4"/>
      <c r="F667" s="4"/>
      <c r="G667" s="4"/>
    </row>
    <row r="668">
      <c r="A668" s="4"/>
      <c r="B668" s="4"/>
      <c r="C668" s="4"/>
      <c r="D668" s="4"/>
      <c r="E668" s="4"/>
      <c r="F668" s="4"/>
      <c r="G668" s="4"/>
    </row>
    <row r="669">
      <c r="A669" s="4"/>
      <c r="B669" s="4"/>
      <c r="C669" s="4"/>
      <c r="D669" s="4"/>
      <c r="E669" s="4"/>
      <c r="F669" s="4"/>
      <c r="G669" s="4"/>
    </row>
    <row r="670">
      <c r="A670" s="4"/>
      <c r="B670" s="4"/>
      <c r="C670" s="4"/>
      <c r="D670" s="4"/>
      <c r="E670" s="4"/>
      <c r="F670" s="4"/>
      <c r="G670" s="4"/>
    </row>
    <row r="671">
      <c r="A671" s="4"/>
      <c r="B671" s="4"/>
      <c r="C671" s="4"/>
      <c r="D671" s="4"/>
      <c r="E671" s="4"/>
      <c r="F671" s="4"/>
      <c r="G671" s="4"/>
    </row>
    <row r="672">
      <c r="A672" s="4"/>
      <c r="B672" s="4"/>
      <c r="C672" s="4"/>
      <c r="D672" s="4"/>
      <c r="E672" s="4"/>
      <c r="F672" s="4"/>
      <c r="G672" s="4"/>
    </row>
    <row r="673">
      <c r="A673" s="4"/>
      <c r="B673" s="4"/>
      <c r="C673" s="4"/>
      <c r="D673" s="4"/>
      <c r="E673" s="4"/>
      <c r="F673" s="4"/>
      <c r="G673" s="4"/>
    </row>
    <row r="674">
      <c r="A674" s="4"/>
      <c r="B674" s="4"/>
      <c r="C674" s="4"/>
      <c r="D674" s="4"/>
      <c r="E674" s="4"/>
      <c r="F674" s="4"/>
      <c r="G674" s="4"/>
    </row>
    <row r="675">
      <c r="A675" s="4"/>
      <c r="B675" s="4"/>
      <c r="C675" s="4"/>
      <c r="D675" s="4"/>
      <c r="E675" s="4"/>
      <c r="F675" s="4"/>
      <c r="G675" s="4"/>
    </row>
    <row r="676">
      <c r="A676" s="4"/>
      <c r="B676" s="4"/>
      <c r="C676" s="4"/>
      <c r="D676" s="4"/>
      <c r="E676" s="4"/>
      <c r="F676" s="4"/>
      <c r="G676" s="4"/>
    </row>
    <row r="677">
      <c r="A677" s="4"/>
      <c r="B677" s="4"/>
      <c r="C677" s="4"/>
      <c r="D677" s="4"/>
      <c r="E677" s="4"/>
      <c r="F677" s="4"/>
      <c r="G677" s="4"/>
    </row>
    <row r="678">
      <c r="A678" s="4"/>
      <c r="B678" s="4"/>
      <c r="C678" s="4"/>
      <c r="D678" s="4"/>
      <c r="E678" s="4"/>
      <c r="F678" s="4"/>
      <c r="G678" s="4"/>
    </row>
    <row r="679">
      <c r="A679" s="4"/>
      <c r="B679" s="4"/>
      <c r="C679" s="4"/>
      <c r="D679" s="4"/>
      <c r="E679" s="4"/>
      <c r="F679" s="4"/>
      <c r="G679" s="4"/>
    </row>
    <row r="680">
      <c r="A680" s="4"/>
      <c r="B680" s="4"/>
      <c r="C680" s="4"/>
      <c r="D680" s="4"/>
      <c r="E680" s="4"/>
      <c r="F680" s="4"/>
      <c r="G680" s="4"/>
    </row>
    <row r="681">
      <c r="A681" s="4"/>
      <c r="B681" s="4"/>
      <c r="C681" s="4"/>
      <c r="D681" s="4"/>
      <c r="E681" s="4"/>
      <c r="F681" s="4"/>
      <c r="G681" s="4"/>
    </row>
    <row r="682">
      <c r="A682" s="4"/>
      <c r="B682" s="4"/>
      <c r="C682" s="4"/>
      <c r="D682" s="4"/>
      <c r="E682" s="4"/>
      <c r="F682" s="4"/>
      <c r="G682" s="4"/>
    </row>
    <row r="683">
      <c r="A683" s="4"/>
      <c r="B683" s="4"/>
      <c r="C683" s="4"/>
      <c r="D683" s="4"/>
      <c r="E683" s="4"/>
      <c r="F683" s="4"/>
      <c r="G683" s="4"/>
    </row>
    <row r="684">
      <c r="A684" s="4"/>
      <c r="B684" s="4"/>
      <c r="C684" s="4"/>
      <c r="D684" s="4"/>
      <c r="E684" s="4"/>
      <c r="F684" s="4"/>
      <c r="G684" s="4"/>
    </row>
    <row r="685">
      <c r="A685" s="4"/>
      <c r="B685" s="4"/>
      <c r="C685" s="4"/>
      <c r="D685" s="4"/>
      <c r="E685" s="4"/>
      <c r="F685" s="4"/>
      <c r="G685" s="4"/>
    </row>
    <row r="686">
      <c r="A686" s="4"/>
      <c r="B686" s="4"/>
      <c r="C686" s="4"/>
      <c r="D686" s="4"/>
      <c r="E686" s="4"/>
      <c r="F686" s="4"/>
      <c r="G686" s="4"/>
    </row>
    <row r="687">
      <c r="A687" s="4"/>
      <c r="B687" s="4"/>
      <c r="C687" s="4"/>
      <c r="D687" s="4"/>
      <c r="E687" s="4"/>
      <c r="F687" s="4"/>
      <c r="G687" s="4"/>
    </row>
    <row r="688">
      <c r="A688" s="4"/>
      <c r="B688" s="4"/>
      <c r="C688" s="4"/>
      <c r="D688" s="4"/>
      <c r="E688" s="4"/>
      <c r="F688" s="4"/>
      <c r="G688" s="4"/>
    </row>
    <row r="689">
      <c r="A689" s="4"/>
      <c r="B689" s="4"/>
      <c r="C689" s="4"/>
      <c r="D689" s="4"/>
      <c r="E689" s="4"/>
      <c r="F689" s="4"/>
      <c r="G689" s="4"/>
    </row>
    <row r="690">
      <c r="A690" s="4"/>
      <c r="B690" s="4"/>
      <c r="C690" s="4"/>
      <c r="D690" s="4"/>
      <c r="E690" s="4"/>
      <c r="F690" s="4"/>
      <c r="G690" s="4"/>
    </row>
    <row r="691">
      <c r="A691" s="4"/>
      <c r="B691" s="4"/>
      <c r="C691" s="4"/>
      <c r="D691" s="4"/>
      <c r="E691" s="4"/>
      <c r="F691" s="4"/>
      <c r="G691" s="4"/>
    </row>
    <row r="692">
      <c r="A692" s="4"/>
      <c r="B692" s="4"/>
      <c r="C692" s="4"/>
      <c r="D692" s="4"/>
      <c r="E692" s="4"/>
      <c r="F692" s="4"/>
      <c r="G692" s="4"/>
    </row>
    <row r="693">
      <c r="A693" s="4"/>
      <c r="B693" s="4"/>
      <c r="C693" s="4"/>
      <c r="D693" s="4"/>
      <c r="E693" s="4"/>
      <c r="F693" s="4"/>
      <c r="G693" s="4"/>
    </row>
    <row r="694">
      <c r="A694" s="4"/>
      <c r="B694" s="4"/>
      <c r="C694" s="4"/>
      <c r="D694" s="4"/>
      <c r="E694" s="4"/>
      <c r="F694" s="4"/>
      <c r="G694" s="4"/>
    </row>
    <row r="695">
      <c r="A695" s="4"/>
      <c r="B695" s="4"/>
      <c r="C695" s="4"/>
      <c r="D695" s="4"/>
      <c r="E695" s="4"/>
      <c r="F695" s="4"/>
      <c r="G695" s="4"/>
    </row>
    <row r="696">
      <c r="A696" s="4"/>
      <c r="B696" s="4"/>
      <c r="C696" s="4"/>
      <c r="D696" s="4"/>
      <c r="E696" s="4"/>
      <c r="F696" s="4"/>
      <c r="G696" s="4"/>
    </row>
    <row r="697">
      <c r="A697" s="4"/>
      <c r="B697" s="4"/>
      <c r="C697" s="4"/>
      <c r="D697" s="4"/>
      <c r="E697" s="4"/>
      <c r="F697" s="4"/>
      <c r="G697" s="4"/>
    </row>
    <row r="698">
      <c r="A698" s="4"/>
      <c r="B698" s="4"/>
      <c r="C698" s="4"/>
      <c r="D698" s="4"/>
      <c r="E698" s="4"/>
      <c r="F698" s="4"/>
      <c r="G698" s="4"/>
    </row>
    <row r="699">
      <c r="A699" s="4"/>
      <c r="B699" s="4"/>
      <c r="C699" s="4"/>
      <c r="D699" s="4"/>
      <c r="E699" s="4"/>
      <c r="F699" s="4"/>
      <c r="G699" s="4"/>
    </row>
    <row r="700">
      <c r="A700" s="4"/>
      <c r="B700" s="4"/>
      <c r="C700" s="4"/>
      <c r="D700" s="4"/>
      <c r="E700" s="4"/>
      <c r="F700" s="4"/>
      <c r="G700" s="4"/>
    </row>
    <row r="701">
      <c r="A701" s="4"/>
      <c r="B701" s="4"/>
      <c r="C701" s="4"/>
      <c r="D701" s="4"/>
      <c r="E701" s="4"/>
      <c r="F701" s="4"/>
      <c r="G701" s="4"/>
    </row>
    <row r="702">
      <c r="A702" s="4"/>
      <c r="B702" s="4"/>
      <c r="C702" s="4"/>
      <c r="D702" s="4"/>
      <c r="E702" s="4"/>
      <c r="F702" s="4"/>
      <c r="G702" s="4"/>
    </row>
    <row r="703">
      <c r="A703" s="4"/>
      <c r="B703" s="4"/>
      <c r="C703" s="4"/>
      <c r="D703" s="4"/>
      <c r="E703" s="4"/>
      <c r="F703" s="4"/>
      <c r="G703" s="4"/>
    </row>
    <row r="704">
      <c r="A704" s="4"/>
      <c r="B704" s="4"/>
      <c r="C704" s="4"/>
      <c r="D704" s="4"/>
      <c r="E704" s="4"/>
      <c r="F704" s="4"/>
      <c r="G704" s="4"/>
    </row>
    <row r="705">
      <c r="A705" s="4"/>
      <c r="B705" s="4"/>
      <c r="C705" s="4"/>
      <c r="D705" s="4"/>
      <c r="E705" s="4"/>
      <c r="F705" s="4"/>
      <c r="G705" s="4"/>
    </row>
    <row r="706">
      <c r="A706" s="4"/>
      <c r="B706" s="4"/>
      <c r="C706" s="4"/>
      <c r="D706" s="4"/>
      <c r="E706" s="4"/>
      <c r="F706" s="4"/>
      <c r="G706" s="4"/>
    </row>
    <row r="707">
      <c r="A707" s="4"/>
      <c r="B707" s="4"/>
      <c r="C707" s="4"/>
      <c r="D707" s="4"/>
      <c r="E707" s="4"/>
      <c r="F707" s="4"/>
      <c r="G707" s="4"/>
    </row>
    <row r="708">
      <c r="A708" s="4"/>
      <c r="B708" s="4"/>
      <c r="C708" s="4"/>
      <c r="D708" s="4"/>
      <c r="E708" s="4"/>
      <c r="F708" s="4"/>
      <c r="G708" s="4"/>
    </row>
    <row r="709">
      <c r="A709" s="4"/>
      <c r="B709" s="4"/>
      <c r="C709" s="4"/>
      <c r="D709" s="4"/>
      <c r="E709" s="4"/>
      <c r="F709" s="4"/>
      <c r="G709" s="4"/>
    </row>
    <row r="710">
      <c r="A710" s="4"/>
      <c r="B710" s="4"/>
      <c r="C710" s="4"/>
      <c r="D710" s="4"/>
      <c r="E710" s="4"/>
      <c r="F710" s="4"/>
      <c r="G710" s="4"/>
    </row>
    <row r="711">
      <c r="A711" s="4"/>
      <c r="B711" s="4"/>
      <c r="C711" s="4"/>
      <c r="D711" s="4"/>
      <c r="E711" s="4"/>
      <c r="F711" s="4"/>
      <c r="G711" s="4"/>
    </row>
    <row r="712">
      <c r="A712" s="4"/>
      <c r="B712" s="4"/>
      <c r="C712" s="4"/>
      <c r="D712" s="4"/>
      <c r="E712" s="4"/>
      <c r="F712" s="4"/>
      <c r="G712" s="4"/>
    </row>
    <row r="713">
      <c r="A713" s="4"/>
      <c r="B713" s="4"/>
      <c r="C713" s="4"/>
      <c r="D713" s="4"/>
      <c r="E713" s="4"/>
      <c r="F713" s="4"/>
      <c r="G713" s="4"/>
    </row>
    <row r="714">
      <c r="A714" s="4"/>
      <c r="B714" s="4"/>
      <c r="C714" s="4"/>
      <c r="D714" s="4"/>
      <c r="E714" s="4"/>
      <c r="F714" s="4"/>
      <c r="G714" s="4"/>
    </row>
    <row r="715">
      <c r="A715" s="4"/>
      <c r="B715" s="4"/>
      <c r="C715" s="4"/>
      <c r="D715" s="4"/>
      <c r="E715" s="4"/>
      <c r="F715" s="4"/>
      <c r="G715" s="4"/>
    </row>
    <row r="716">
      <c r="A716" s="4"/>
      <c r="B716" s="4"/>
      <c r="C716" s="4"/>
      <c r="D716" s="4"/>
      <c r="E716" s="4"/>
      <c r="F716" s="4"/>
      <c r="G716" s="4"/>
    </row>
    <row r="717">
      <c r="A717" s="4"/>
      <c r="B717" s="4"/>
      <c r="C717" s="4"/>
      <c r="D717" s="4"/>
      <c r="E717" s="4"/>
      <c r="F717" s="4"/>
      <c r="G717" s="4"/>
    </row>
    <row r="718">
      <c r="A718" s="4"/>
      <c r="B718" s="4"/>
      <c r="C718" s="4"/>
      <c r="D718" s="4"/>
      <c r="E718" s="4"/>
      <c r="F718" s="4"/>
      <c r="G718" s="4"/>
    </row>
    <row r="719">
      <c r="A719" s="4"/>
      <c r="B719" s="4"/>
      <c r="C719" s="4"/>
      <c r="D719" s="4"/>
      <c r="E719" s="4"/>
      <c r="F719" s="4"/>
      <c r="G719" s="4"/>
    </row>
    <row r="720">
      <c r="A720" s="4"/>
      <c r="B720" s="4"/>
      <c r="C720" s="4"/>
      <c r="D720" s="4"/>
      <c r="E720" s="4"/>
      <c r="F720" s="4"/>
      <c r="G720" s="4"/>
    </row>
    <row r="721">
      <c r="A721" s="4"/>
      <c r="B721" s="4"/>
      <c r="C721" s="4"/>
      <c r="D721" s="4"/>
      <c r="E721" s="4"/>
      <c r="F721" s="4"/>
      <c r="G721" s="4"/>
    </row>
    <row r="722">
      <c r="A722" s="4"/>
      <c r="B722" s="4"/>
      <c r="C722" s="4"/>
      <c r="D722" s="4"/>
      <c r="E722" s="4"/>
      <c r="F722" s="4"/>
      <c r="G722" s="4"/>
    </row>
    <row r="723">
      <c r="A723" s="4"/>
      <c r="B723" s="4"/>
      <c r="C723" s="4"/>
      <c r="D723" s="4"/>
      <c r="E723" s="4"/>
      <c r="F723" s="4"/>
      <c r="G723" s="4"/>
    </row>
    <row r="724">
      <c r="A724" s="4"/>
      <c r="B724" s="4"/>
      <c r="C724" s="4"/>
      <c r="D724" s="4"/>
      <c r="E724" s="4"/>
      <c r="F724" s="4"/>
      <c r="G724" s="4"/>
    </row>
    <row r="725">
      <c r="A725" s="4"/>
      <c r="B725" s="4"/>
      <c r="C725" s="4"/>
      <c r="D725" s="4"/>
      <c r="E725" s="4"/>
      <c r="F725" s="4"/>
      <c r="G725" s="4"/>
    </row>
    <row r="726">
      <c r="A726" s="4"/>
      <c r="B726" s="4"/>
      <c r="C726" s="4"/>
      <c r="D726" s="4"/>
      <c r="E726" s="4"/>
      <c r="F726" s="4"/>
      <c r="G726" s="4"/>
    </row>
    <row r="727">
      <c r="A727" s="4"/>
      <c r="B727" s="4"/>
      <c r="C727" s="4"/>
      <c r="D727" s="4"/>
      <c r="E727" s="4"/>
      <c r="F727" s="4"/>
      <c r="G727" s="4"/>
    </row>
    <row r="728">
      <c r="A728" s="4"/>
      <c r="B728" s="4"/>
      <c r="C728" s="4"/>
      <c r="D728" s="4"/>
      <c r="E728" s="4"/>
      <c r="F728" s="4"/>
      <c r="G728" s="4"/>
    </row>
    <row r="729">
      <c r="A729" s="4"/>
      <c r="B729" s="4"/>
      <c r="C729" s="4"/>
      <c r="D729" s="4"/>
      <c r="E729" s="4"/>
      <c r="F729" s="4"/>
      <c r="G729" s="4"/>
    </row>
    <row r="730">
      <c r="A730" s="4"/>
      <c r="B730" s="4"/>
      <c r="C730" s="4"/>
      <c r="D730" s="4"/>
      <c r="E730" s="4"/>
      <c r="F730" s="4"/>
      <c r="G730" s="4"/>
    </row>
    <row r="731">
      <c r="A731" s="4"/>
      <c r="B731" s="4"/>
      <c r="C731" s="4"/>
      <c r="D731" s="4"/>
      <c r="E731" s="4"/>
      <c r="F731" s="4"/>
      <c r="G731" s="4"/>
    </row>
    <row r="732">
      <c r="A732" s="4"/>
      <c r="B732" s="4"/>
      <c r="C732" s="4"/>
      <c r="D732" s="4"/>
      <c r="E732" s="4"/>
      <c r="F732" s="4"/>
      <c r="G732" s="4"/>
    </row>
    <row r="733">
      <c r="A733" s="4"/>
      <c r="B733" s="4"/>
      <c r="C733" s="4"/>
      <c r="D733" s="4"/>
      <c r="E733" s="4"/>
      <c r="F733" s="4"/>
      <c r="G733" s="4"/>
    </row>
    <row r="734">
      <c r="A734" s="4"/>
      <c r="B734" s="4"/>
      <c r="C734" s="4"/>
      <c r="D734" s="4"/>
      <c r="E734" s="4"/>
      <c r="F734" s="4"/>
      <c r="G734" s="4"/>
    </row>
    <row r="735">
      <c r="A735" s="4"/>
      <c r="B735" s="4"/>
      <c r="C735" s="4"/>
      <c r="D735" s="4"/>
      <c r="E735" s="4"/>
      <c r="F735" s="4"/>
      <c r="G735" s="4"/>
    </row>
    <row r="736">
      <c r="A736" s="4"/>
      <c r="B736" s="4"/>
      <c r="C736" s="4"/>
      <c r="D736" s="4"/>
      <c r="E736" s="4"/>
      <c r="F736" s="4"/>
      <c r="G736" s="4"/>
    </row>
    <row r="737">
      <c r="A737" s="4"/>
      <c r="B737" s="4"/>
      <c r="C737" s="4"/>
      <c r="D737" s="4"/>
      <c r="E737" s="4"/>
      <c r="F737" s="4"/>
      <c r="G737" s="4"/>
    </row>
    <row r="738">
      <c r="A738" s="4"/>
      <c r="B738" s="4"/>
      <c r="C738" s="4"/>
      <c r="D738" s="4"/>
      <c r="E738" s="4"/>
      <c r="F738" s="4"/>
      <c r="G738" s="4"/>
    </row>
    <row r="739">
      <c r="A739" s="4"/>
      <c r="B739" s="4"/>
      <c r="C739" s="4"/>
      <c r="D739" s="4"/>
      <c r="E739" s="4"/>
      <c r="F739" s="4"/>
      <c r="G739" s="4"/>
    </row>
    <row r="740">
      <c r="A740" s="4"/>
      <c r="B740" s="4"/>
      <c r="C740" s="4"/>
      <c r="D740" s="4"/>
      <c r="E740" s="4"/>
      <c r="F740" s="4"/>
      <c r="G740" s="4"/>
    </row>
    <row r="741">
      <c r="A741" s="4"/>
      <c r="B741" s="4"/>
      <c r="C741" s="4"/>
      <c r="D741" s="4"/>
      <c r="E741" s="4"/>
      <c r="F741" s="4"/>
      <c r="G741" s="4"/>
    </row>
    <row r="742">
      <c r="A742" s="4"/>
      <c r="B742" s="4"/>
      <c r="C742" s="4"/>
      <c r="D742" s="4"/>
      <c r="E742" s="4"/>
      <c r="F742" s="4"/>
      <c r="G742" s="4"/>
    </row>
    <row r="743">
      <c r="A743" s="4"/>
      <c r="B743" s="4"/>
      <c r="C743" s="4"/>
      <c r="D743" s="4"/>
      <c r="E743" s="4"/>
      <c r="F743" s="4"/>
      <c r="G743" s="4"/>
    </row>
    <row r="744">
      <c r="A744" s="4"/>
      <c r="B744" s="4"/>
      <c r="C744" s="4"/>
      <c r="D744" s="4"/>
      <c r="E744" s="4"/>
      <c r="F744" s="4"/>
      <c r="G744" s="4"/>
    </row>
    <row r="745">
      <c r="A745" s="4"/>
      <c r="B745" s="4"/>
      <c r="C745" s="4"/>
      <c r="D745" s="4"/>
      <c r="E745" s="4"/>
      <c r="F745" s="4"/>
      <c r="G745" s="4"/>
    </row>
    <row r="746">
      <c r="A746" s="4"/>
      <c r="B746" s="4"/>
      <c r="C746" s="4"/>
      <c r="D746" s="4"/>
      <c r="E746" s="4"/>
      <c r="F746" s="4"/>
      <c r="G746" s="4"/>
    </row>
    <row r="747">
      <c r="A747" s="4"/>
      <c r="B747" s="4"/>
      <c r="C747" s="4"/>
      <c r="D747" s="4"/>
      <c r="E747" s="4"/>
      <c r="F747" s="4"/>
      <c r="G747" s="4"/>
    </row>
    <row r="748">
      <c r="A748" s="4"/>
      <c r="B748" s="4"/>
      <c r="C748" s="4"/>
      <c r="D748" s="4"/>
      <c r="E748" s="4"/>
      <c r="F748" s="4"/>
      <c r="G748" s="4"/>
    </row>
    <row r="749">
      <c r="A749" s="4"/>
      <c r="B749" s="4"/>
      <c r="C749" s="4"/>
      <c r="D749" s="4"/>
      <c r="E749" s="4"/>
      <c r="F749" s="4"/>
      <c r="G749" s="4"/>
    </row>
    <row r="750">
      <c r="A750" s="4"/>
      <c r="B750" s="4"/>
      <c r="C750" s="4"/>
      <c r="D750" s="4"/>
      <c r="E750" s="4"/>
      <c r="F750" s="4"/>
      <c r="G750" s="4"/>
    </row>
    <row r="751">
      <c r="A751" s="4"/>
      <c r="B751" s="4"/>
      <c r="C751" s="4"/>
      <c r="D751" s="4"/>
      <c r="E751" s="4"/>
      <c r="F751" s="4"/>
      <c r="G751" s="4"/>
    </row>
    <row r="752">
      <c r="A752" s="4"/>
      <c r="B752" s="4"/>
      <c r="C752" s="4"/>
      <c r="D752" s="4"/>
      <c r="E752" s="4"/>
      <c r="F752" s="4"/>
      <c r="G752" s="4"/>
    </row>
    <row r="753">
      <c r="A753" s="4"/>
      <c r="B753" s="4"/>
      <c r="C753" s="4"/>
      <c r="D753" s="4"/>
      <c r="E753" s="4"/>
      <c r="F753" s="4"/>
      <c r="G753" s="4"/>
    </row>
    <row r="754">
      <c r="A754" s="4"/>
      <c r="B754" s="4"/>
      <c r="C754" s="4"/>
      <c r="D754" s="4"/>
      <c r="E754" s="4"/>
      <c r="F754" s="4"/>
      <c r="G754" s="4"/>
    </row>
    <row r="755">
      <c r="A755" s="4"/>
      <c r="B755" s="4"/>
      <c r="C755" s="4"/>
      <c r="D755" s="4"/>
      <c r="E755" s="4"/>
      <c r="F755" s="4"/>
      <c r="G755" s="4"/>
    </row>
    <row r="756">
      <c r="A756" s="4"/>
      <c r="B756" s="4"/>
      <c r="C756" s="4"/>
      <c r="D756" s="4"/>
      <c r="E756" s="4"/>
      <c r="F756" s="4"/>
      <c r="G756" s="4"/>
    </row>
    <row r="757">
      <c r="A757" s="4"/>
      <c r="B757" s="4"/>
      <c r="C757" s="4"/>
      <c r="D757" s="4"/>
      <c r="E757" s="4"/>
      <c r="F757" s="4"/>
      <c r="G757" s="4"/>
    </row>
    <row r="758">
      <c r="A758" s="4"/>
      <c r="B758" s="4"/>
      <c r="C758" s="4"/>
      <c r="D758" s="4"/>
      <c r="E758" s="4"/>
      <c r="F758" s="4"/>
      <c r="G758" s="4"/>
    </row>
    <row r="759">
      <c r="A759" s="4"/>
      <c r="B759" s="4"/>
      <c r="C759" s="4"/>
      <c r="D759" s="4"/>
      <c r="E759" s="4"/>
      <c r="F759" s="4"/>
      <c r="G759" s="4"/>
    </row>
    <row r="760">
      <c r="A760" s="4"/>
      <c r="B760" s="4"/>
      <c r="C760" s="4"/>
      <c r="D760" s="4"/>
      <c r="E760" s="4"/>
      <c r="F760" s="4"/>
      <c r="G760" s="4"/>
    </row>
    <row r="761">
      <c r="A761" s="4"/>
      <c r="B761" s="4"/>
      <c r="C761" s="4"/>
      <c r="D761" s="4"/>
      <c r="E761" s="4"/>
      <c r="F761" s="4"/>
      <c r="G761" s="4"/>
    </row>
    <row r="762">
      <c r="A762" s="4"/>
      <c r="B762" s="4"/>
      <c r="C762" s="4"/>
      <c r="D762" s="4"/>
      <c r="E762" s="4"/>
      <c r="F762" s="4"/>
      <c r="G762" s="4"/>
    </row>
    <row r="763">
      <c r="A763" s="4"/>
      <c r="B763" s="4"/>
      <c r="C763" s="4"/>
      <c r="D763" s="4"/>
      <c r="E763" s="4"/>
      <c r="F763" s="4"/>
      <c r="G763" s="4"/>
    </row>
    <row r="764">
      <c r="A764" s="4"/>
      <c r="B764" s="4"/>
      <c r="C764" s="4"/>
      <c r="D764" s="4"/>
      <c r="E764" s="4"/>
      <c r="F764" s="4"/>
      <c r="G764" s="4"/>
    </row>
    <row r="765">
      <c r="A765" s="4"/>
      <c r="B765" s="4"/>
      <c r="C765" s="4"/>
      <c r="D765" s="4"/>
      <c r="E765" s="4"/>
      <c r="F765" s="4"/>
      <c r="G765" s="4"/>
    </row>
    <row r="766">
      <c r="A766" s="4"/>
      <c r="B766" s="4"/>
      <c r="C766" s="4"/>
      <c r="D766" s="4"/>
      <c r="E766" s="4"/>
      <c r="F766" s="4"/>
      <c r="G766" s="4"/>
    </row>
    <row r="767">
      <c r="A767" s="4"/>
      <c r="B767" s="4"/>
      <c r="C767" s="4"/>
      <c r="D767" s="4"/>
      <c r="E767" s="4"/>
      <c r="F767" s="4"/>
      <c r="G767" s="4"/>
    </row>
    <row r="768">
      <c r="A768" s="4"/>
      <c r="B768" s="4"/>
      <c r="C768" s="4"/>
      <c r="D768" s="4"/>
      <c r="E768" s="4"/>
      <c r="F768" s="4"/>
      <c r="G768" s="4"/>
    </row>
    <row r="769">
      <c r="A769" s="4"/>
      <c r="B769" s="4"/>
      <c r="C769" s="4"/>
      <c r="D769" s="4"/>
      <c r="E769" s="4"/>
      <c r="F769" s="4"/>
      <c r="G769" s="4"/>
    </row>
    <row r="770">
      <c r="A770" s="4"/>
      <c r="B770" s="4"/>
      <c r="C770" s="4"/>
      <c r="D770" s="4"/>
      <c r="E770" s="4"/>
      <c r="F770" s="4"/>
      <c r="G770" s="4"/>
    </row>
    <row r="771">
      <c r="A771" s="4"/>
      <c r="B771" s="4"/>
      <c r="C771" s="4"/>
      <c r="D771" s="4"/>
      <c r="E771" s="4"/>
      <c r="F771" s="4"/>
      <c r="G771" s="4"/>
    </row>
    <row r="772">
      <c r="A772" s="4"/>
      <c r="B772" s="4"/>
      <c r="C772" s="4"/>
      <c r="D772" s="4"/>
      <c r="E772" s="4"/>
      <c r="F772" s="4"/>
      <c r="G772" s="4"/>
    </row>
    <row r="773">
      <c r="A773" s="4"/>
      <c r="B773" s="4"/>
      <c r="C773" s="4"/>
      <c r="D773" s="4"/>
      <c r="E773" s="4"/>
      <c r="F773" s="4"/>
      <c r="G773" s="4"/>
    </row>
    <row r="774">
      <c r="A774" s="4"/>
      <c r="B774" s="4"/>
      <c r="C774" s="4"/>
      <c r="D774" s="4"/>
      <c r="E774" s="4"/>
      <c r="F774" s="4"/>
      <c r="G774" s="4"/>
    </row>
    <row r="775">
      <c r="A775" s="4"/>
      <c r="B775" s="4"/>
      <c r="C775" s="4"/>
      <c r="D775" s="4"/>
      <c r="E775" s="4"/>
      <c r="F775" s="4"/>
      <c r="G775" s="4"/>
    </row>
    <row r="776">
      <c r="A776" s="4"/>
      <c r="B776" s="4"/>
      <c r="C776" s="4"/>
      <c r="D776" s="4"/>
      <c r="E776" s="4"/>
      <c r="F776" s="4"/>
      <c r="G776" s="4"/>
    </row>
    <row r="777">
      <c r="A777" s="4"/>
      <c r="B777" s="4"/>
      <c r="C777" s="4"/>
      <c r="D777" s="4"/>
      <c r="E777" s="4"/>
      <c r="F777" s="4"/>
      <c r="G777" s="4"/>
    </row>
    <row r="778">
      <c r="A778" s="4"/>
      <c r="B778" s="4"/>
      <c r="C778" s="4"/>
      <c r="D778" s="4"/>
      <c r="E778" s="4"/>
      <c r="F778" s="4"/>
      <c r="G778" s="4"/>
    </row>
    <row r="779">
      <c r="A779" s="4"/>
      <c r="B779" s="4"/>
      <c r="C779" s="4"/>
      <c r="D779" s="4"/>
      <c r="E779" s="4"/>
      <c r="F779" s="4"/>
      <c r="G779" s="4"/>
    </row>
    <row r="780">
      <c r="A780" s="4"/>
      <c r="B780" s="4"/>
      <c r="C780" s="4"/>
      <c r="D780" s="4"/>
      <c r="E780" s="4"/>
      <c r="F780" s="4"/>
      <c r="G780" s="4"/>
    </row>
    <row r="781">
      <c r="A781" s="4"/>
      <c r="B781" s="4"/>
      <c r="C781" s="4"/>
      <c r="D781" s="4"/>
      <c r="E781" s="4"/>
      <c r="F781" s="4"/>
      <c r="G781" s="4"/>
    </row>
    <row r="782">
      <c r="A782" s="4"/>
      <c r="B782" s="4"/>
      <c r="C782" s="4"/>
      <c r="D782" s="4"/>
      <c r="E782" s="4"/>
      <c r="F782" s="4"/>
      <c r="G782" s="4"/>
    </row>
    <row r="783">
      <c r="A783" s="4"/>
      <c r="B783" s="4"/>
      <c r="C783" s="4"/>
      <c r="D783" s="4"/>
      <c r="E783" s="4"/>
      <c r="F783" s="4"/>
      <c r="G783" s="4"/>
    </row>
    <row r="784">
      <c r="A784" s="4"/>
      <c r="B784" s="4"/>
      <c r="C784" s="4"/>
      <c r="D784" s="4"/>
      <c r="E784" s="4"/>
      <c r="F784" s="4"/>
      <c r="G784" s="4"/>
    </row>
    <row r="785">
      <c r="A785" s="4"/>
      <c r="B785" s="4"/>
      <c r="C785" s="4"/>
      <c r="D785" s="4"/>
      <c r="E785" s="4"/>
      <c r="F785" s="4"/>
      <c r="G785" s="4"/>
    </row>
    <row r="786">
      <c r="A786" s="4"/>
      <c r="B786" s="4"/>
      <c r="C786" s="4"/>
      <c r="D786" s="4"/>
      <c r="E786" s="4"/>
      <c r="F786" s="4"/>
      <c r="G786" s="4"/>
    </row>
    <row r="787">
      <c r="A787" s="4"/>
      <c r="B787" s="4"/>
      <c r="C787" s="4"/>
      <c r="D787" s="4"/>
      <c r="E787" s="4"/>
      <c r="F787" s="4"/>
      <c r="G787" s="4"/>
    </row>
    <row r="788">
      <c r="A788" s="4"/>
      <c r="B788" s="4"/>
      <c r="C788" s="4"/>
      <c r="D788" s="4"/>
      <c r="E788" s="4"/>
      <c r="F788" s="4"/>
      <c r="G788" s="4"/>
    </row>
    <row r="789">
      <c r="A789" s="4"/>
      <c r="B789" s="4"/>
      <c r="C789" s="4"/>
      <c r="D789" s="4"/>
      <c r="E789" s="4"/>
      <c r="F789" s="4"/>
      <c r="G789" s="4"/>
    </row>
    <row r="790">
      <c r="A790" s="4"/>
      <c r="B790" s="4"/>
      <c r="C790" s="4"/>
      <c r="D790" s="4"/>
      <c r="E790" s="4"/>
      <c r="F790" s="4"/>
      <c r="G790" s="4"/>
    </row>
    <row r="791">
      <c r="A791" s="4"/>
      <c r="B791" s="4"/>
      <c r="C791" s="4"/>
      <c r="D791" s="4"/>
      <c r="E791" s="4"/>
      <c r="F791" s="4"/>
      <c r="G791" s="4"/>
    </row>
    <row r="792">
      <c r="A792" s="4"/>
      <c r="B792" s="4"/>
      <c r="C792" s="4"/>
      <c r="D792" s="4"/>
      <c r="E792" s="4"/>
      <c r="F792" s="4"/>
      <c r="G792" s="4"/>
    </row>
    <row r="793">
      <c r="A793" s="4"/>
      <c r="B793" s="4"/>
      <c r="C793" s="4"/>
      <c r="D793" s="4"/>
      <c r="E793" s="4"/>
      <c r="F793" s="4"/>
      <c r="G793" s="4"/>
    </row>
    <row r="794">
      <c r="A794" s="4"/>
      <c r="B794" s="4"/>
      <c r="C794" s="4"/>
      <c r="D794" s="4"/>
      <c r="E794" s="4"/>
      <c r="F794" s="4"/>
      <c r="G794" s="4"/>
    </row>
    <row r="795">
      <c r="A795" s="4"/>
      <c r="B795" s="4"/>
      <c r="C795" s="4"/>
      <c r="D795" s="4"/>
      <c r="E795" s="4"/>
      <c r="F795" s="4"/>
      <c r="G795" s="4"/>
    </row>
    <row r="796">
      <c r="A796" s="4"/>
      <c r="B796" s="4"/>
      <c r="C796" s="4"/>
      <c r="D796" s="4"/>
      <c r="E796" s="4"/>
      <c r="F796" s="4"/>
      <c r="G796" s="4"/>
    </row>
    <row r="797">
      <c r="A797" s="4"/>
      <c r="B797" s="4"/>
      <c r="C797" s="4"/>
      <c r="D797" s="4"/>
      <c r="E797" s="4"/>
      <c r="F797" s="4"/>
      <c r="G797" s="4"/>
    </row>
    <row r="798">
      <c r="A798" s="4"/>
      <c r="B798" s="4"/>
      <c r="C798" s="4"/>
      <c r="D798" s="4"/>
      <c r="E798" s="4"/>
      <c r="F798" s="4"/>
      <c r="G798" s="4"/>
    </row>
    <row r="799">
      <c r="A799" s="4"/>
      <c r="B799" s="4"/>
      <c r="C799" s="4"/>
      <c r="D799" s="4"/>
      <c r="E799" s="4"/>
      <c r="F799" s="4"/>
      <c r="G799" s="4"/>
    </row>
    <row r="800">
      <c r="A800" s="4"/>
      <c r="B800" s="4"/>
      <c r="C800" s="4"/>
      <c r="D800" s="4"/>
      <c r="E800" s="4"/>
      <c r="F800" s="4"/>
      <c r="G800" s="4"/>
    </row>
    <row r="801">
      <c r="A801" s="4"/>
      <c r="B801" s="4"/>
      <c r="C801" s="4"/>
      <c r="D801" s="4"/>
      <c r="E801" s="4"/>
      <c r="F801" s="4"/>
      <c r="G801" s="4"/>
    </row>
    <row r="802">
      <c r="A802" s="4"/>
      <c r="B802" s="4"/>
      <c r="C802" s="4"/>
      <c r="D802" s="4"/>
      <c r="E802" s="4"/>
      <c r="F802" s="4"/>
      <c r="G802" s="4"/>
    </row>
    <row r="803">
      <c r="A803" s="4"/>
      <c r="B803" s="4"/>
      <c r="C803" s="4"/>
      <c r="D803" s="4"/>
      <c r="E803" s="4"/>
      <c r="F803" s="4"/>
      <c r="G803" s="4"/>
    </row>
    <row r="804">
      <c r="A804" s="4"/>
      <c r="B804" s="4"/>
      <c r="C804" s="4"/>
      <c r="D804" s="4"/>
      <c r="E804" s="4"/>
      <c r="F804" s="4"/>
      <c r="G804" s="4"/>
    </row>
    <row r="805">
      <c r="A805" s="4"/>
      <c r="B805" s="4"/>
      <c r="C805" s="4"/>
      <c r="D805" s="4"/>
      <c r="E805" s="4"/>
      <c r="F805" s="4"/>
      <c r="G805" s="4"/>
    </row>
    <row r="806">
      <c r="A806" s="4"/>
      <c r="B806" s="4"/>
      <c r="C806" s="4"/>
      <c r="D806" s="4"/>
      <c r="E806" s="4"/>
      <c r="F806" s="4"/>
      <c r="G806" s="4"/>
    </row>
    <row r="807">
      <c r="A807" s="4"/>
      <c r="B807" s="4"/>
      <c r="C807" s="4"/>
      <c r="D807" s="4"/>
      <c r="E807" s="4"/>
      <c r="F807" s="4"/>
      <c r="G807" s="4"/>
    </row>
    <row r="808">
      <c r="A808" s="4"/>
      <c r="B808" s="4"/>
      <c r="C808" s="4"/>
      <c r="D808" s="4"/>
      <c r="E808" s="4"/>
      <c r="F808" s="4"/>
      <c r="G808" s="4"/>
    </row>
    <row r="809">
      <c r="A809" s="4"/>
      <c r="B809" s="4"/>
      <c r="C809" s="4"/>
      <c r="D809" s="4"/>
      <c r="E809" s="4"/>
      <c r="F809" s="4"/>
      <c r="G809" s="4"/>
    </row>
    <row r="810">
      <c r="A810" s="4"/>
      <c r="B810" s="4"/>
      <c r="C810" s="4"/>
      <c r="D810" s="4"/>
      <c r="E810" s="4"/>
      <c r="F810" s="4"/>
      <c r="G810" s="4"/>
    </row>
    <row r="811">
      <c r="A811" s="4"/>
      <c r="B811" s="4"/>
      <c r="C811" s="4"/>
      <c r="D811" s="4"/>
      <c r="E811" s="4"/>
      <c r="F811" s="4"/>
      <c r="G811" s="4"/>
    </row>
    <row r="812">
      <c r="A812" s="4"/>
      <c r="B812" s="4"/>
      <c r="C812" s="4"/>
      <c r="D812" s="4"/>
      <c r="E812" s="4"/>
      <c r="F812" s="4"/>
      <c r="G812" s="4"/>
    </row>
    <row r="813">
      <c r="A813" s="4"/>
      <c r="B813" s="4"/>
      <c r="C813" s="4"/>
      <c r="D813" s="4"/>
      <c r="E813" s="4"/>
      <c r="F813" s="4"/>
      <c r="G813" s="4"/>
    </row>
    <row r="814">
      <c r="A814" s="4"/>
      <c r="B814" s="4"/>
      <c r="C814" s="4"/>
      <c r="D814" s="4"/>
      <c r="E814" s="4"/>
      <c r="F814" s="4"/>
      <c r="G814" s="4"/>
    </row>
    <row r="815">
      <c r="A815" s="4"/>
      <c r="B815" s="4"/>
      <c r="C815" s="4"/>
      <c r="D815" s="4"/>
      <c r="E815" s="4"/>
      <c r="F815" s="4"/>
      <c r="G815" s="4"/>
    </row>
    <row r="816">
      <c r="A816" s="4"/>
      <c r="B816" s="4"/>
      <c r="C816" s="4"/>
      <c r="D816" s="4"/>
      <c r="E816" s="4"/>
      <c r="F816" s="4"/>
      <c r="G816" s="4"/>
    </row>
    <row r="817">
      <c r="A817" s="4"/>
      <c r="B817" s="4"/>
      <c r="C817" s="4"/>
      <c r="D817" s="4"/>
      <c r="E817" s="4"/>
      <c r="F817" s="4"/>
      <c r="G817" s="4"/>
    </row>
    <row r="818">
      <c r="A818" s="4"/>
      <c r="B818" s="4"/>
      <c r="C818" s="4"/>
      <c r="D818" s="4"/>
      <c r="E818" s="4"/>
      <c r="F818" s="4"/>
      <c r="G818" s="4"/>
    </row>
    <row r="819">
      <c r="A819" s="4"/>
      <c r="B819" s="4"/>
      <c r="C819" s="4"/>
      <c r="D819" s="4"/>
      <c r="E819" s="4"/>
      <c r="F819" s="4"/>
      <c r="G819" s="4"/>
    </row>
    <row r="820">
      <c r="A820" s="4"/>
      <c r="B820" s="4"/>
      <c r="C820" s="4"/>
      <c r="D820" s="4"/>
      <c r="E820" s="4"/>
      <c r="F820" s="4"/>
      <c r="G820" s="4"/>
    </row>
    <row r="821">
      <c r="A821" s="4"/>
      <c r="B821" s="4"/>
      <c r="C821" s="4"/>
      <c r="D821" s="4"/>
      <c r="E821" s="4"/>
      <c r="F821" s="4"/>
      <c r="G821" s="4"/>
    </row>
    <row r="822">
      <c r="A822" s="4"/>
      <c r="B822" s="4"/>
      <c r="C822" s="4"/>
      <c r="D822" s="4"/>
      <c r="E822" s="4"/>
      <c r="F822" s="4"/>
      <c r="G822" s="4"/>
    </row>
    <row r="823">
      <c r="A823" s="4"/>
      <c r="B823" s="4"/>
      <c r="C823" s="4"/>
      <c r="D823" s="4"/>
      <c r="E823" s="4"/>
      <c r="F823" s="4"/>
      <c r="G823" s="4"/>
    </row>
    <row r="824">
      <c r="A824" s="4"/>
      <c r="B824" s="4"/>
      <c r="C824" s="4"/>
      <c r="D824" s="4"/>
      <c r="E824" s="4"/>
      <c r="F824" s="4"/>
      <c r="G824" s="4"/>
    </row>
    <row r="825">
      <c r="A825" s="4"/>
      <c r="B825" s="4"/>
      <c r="C825" s="4"/>
      <c r="D825" s="4"/>
      <c r="E825" s="4"/>
      <c r="F825" s="4"/>
      <c r="G825" s="4"/>
    </row>
    <row r="826">
      <c r="A826" s="4"/>
      <c r="B826" s="4"/>
      <c r="C826" s="4"/>
      <c r="D826" s="4"/>
      <c r="E826" s="4"/>
      <c r="F826" s="4"/>
      <c r="G826" s="4"/>
    </row>
    <row r="827">
      <c r="A827" s="4"/>
      <c r="B827" s="4"/>
      <c r="C827" s="4"/>
      <c r="D827" s="4"/>
      <c r="E827" s="4"/>
      <c r="F827" s="4"/>
      <c r="G827" s="4"/>
    </row>
    <row r="828">
      <c r="A828" s="4"/>
      <c r="B828" s="4"/>
      <c r="C828" s="4"/>
      <c r="D828" s="4"/>
      <c r="E828" s="4"/>
      <c r="F828" s="4"/>
      <c r="G828" s="4"/>
    </row>
    <row r="829">
      <c r="A829" s="4"/>
      <c r="B829" s="4"/>
      <c r="C829" s="4"/>
      <c r="D829" s="4"/>
      <c r="E829" s="4"/>
      <c r="F829" s="4"/>
      <c r="G829" s="4"/>
    </row>
    <row r="830">
      <c r="A830" s="4"/>
      <c r="B830" s="4"/>
      <c r="C830" s="4"/>
      <c r="D830" s="4"/>
      <c r="E830" s="4"/>
      <c r="F830" s="4"/>
      <c r="G830" s="4"/>
    </row>
    <row r="831">
      <c r="A831" s="4"/>
      <c r="B831" s="4"/>
      <c r="C831" s="4"/>
      <c r="D831" s="4"/>
      <c r="E831" s="4"/>
      <c r="F831" s="4"/>
      <c r="G831" s="4"/>
    </row>
    <row r="832">
      <c r="A832" s="4"/>
      <c r="B832" s="4"/>
      <c r="C832" s="4"/>
      <c r="D832" s="4"/>
      <c r="E832" s="4"/>
      <c r="F832" s="4"/>
      <c r="G832" s="4"/>
    </row>
    <row r="833">
      <c r="A833" s="4"/>
      <c r="B833" s="4"/>
      <c r="C833" s="4"/>
      <c r="D833" s="4"/>
      <c r="E833" s="4"/>
      <c r="F833" s="4"/>
      <c r="G833" s="4"/>
    </row>
    <row r="834">
      <c r="A834" s="4"/>
      <c r="B834" s="4"/>
      <c r="C834" s="4"/>
      <c r="D834" s="4"/>
      <c r="E834" s="4"/>
      <c r="F834" s="4"/>
      <c r="G834" s="4"/>
    </row>
    <row r="835">
      <c r="A835" s="4"/>
      <c r="B835" s="4"/>
      <c r="C835" s="4"/>
      <c r="D835" s="4"/>
      <c r="E835" s="4"/>
      <c r="F835" s="4"/>
      <c r="G835" s="4"/>
    </row>
    <row r="836">
      <c r="A836" s="4"/>
      <c r="B836" s="4"/>
      <c r="C836" s="4"/>
      <c r="D836" s="4"/>
      <c r="E836" s="4"/>
      <c r="F836" s="4"/>
      <c r="G836" s="4"/>
    </row>
    <row r="837">
      <c r="A837" s="4"/>
      <c r="B837" s="4"/>
      <c r="C837" s="4"/>
      <c r="D837" s="4"/>
      <c r="E837" s="4"/>
      <c r="F837" s="4"/>
      <c r="G837" s="4"/>
    </row>
    <row r="838">
      <c r="A838" s="4"/>
      <c r="B838" s="4"/>
      <c r="C838" s="4"/>
      <c r="D838" s="4"/>
      <c r="E838" s="4"/>
      <c r="F838" s="4"/>
      <c r="G838" s="4"/>
    </row>
    <row r="839">
      <c r="A839" s="4"/>
      <c r="B839" s="4"/>
      <c r="C839" s="4"/>
      <c r="D839" s="4"/>
      <c r="E839" s="4"/>
      <c r="F839" s="4"/>
      <c r="G839" s="4"/>
    </row>
    <row r="840">
      <c r="A840" s="4"/>
      <c r="B840" s="4"/>
      <c r="C840" s="4"/>
      <c r="D840" s="4"/>
      <c r="E840" s="4"/>
      <c r="F840" s="4"/>
      <c r="G840" s="4"/>
    </row>
    <row r="841">
      <c r="A841" s="4"/>
      <c r="B841" s="4"/>
      <c r="C841" s="4"/>
      <c r="D841" s="4"/>
      <c r="E841" s="4"/>
      <c r="F841" s="4"/>
      <c r="G841" s="4"/>
    </row>
    <row r="842">
      <c r="A842" s="4"/>
      <c r="B842" s="4"/>
      <c r="C842" s="4"/>
      <c r="D842" s="4"/>
      <c r="E842" s="4"/>
      <c r="F842" s="4"/>
      <c r="G842" s="4"/>
    </row>
    <row r="843">
      <c r="A843" s="4"/>
      <c r="B843" s="4"/>
      <c r="C843" s="4"/>
      <c r="D843" s="4"/>
      <c r="E843" s="4"/>
      <c r="F843" s="4"/>
      <c r="G843" s="4"/>
    </row>
    <row r="844">
      <c r="A844" s="4"/>
      <c r="B844" s="4"/>
      <c r="C844" s="4"/>
      <c r="D844" s="4"/>
      <c r="E844" s="4"/>
      <c r="F844" s="4"/>
      <c r="G844" s="4"/>
    </row>
    <row r="845">
      <c r="A845" s="4"/>
      <c r="B845" s="4"/>
      <c r="C845" s="4"/>
      <c r="D845" s="4"/>
      <c r="E845" s="4"/>
      <c r="F845" s="4"/>
      <c r="G845" s="4"/>
    </row>
    <row r="846">
      <c r="A846" s="4"/>
      <c r="B846" s="4"/>
      <c r="C846" s="4"/>
      <c r="D846" s="4"/>
      <c r="E846" s="4"/>
      <c r="F846" s="4"/>
      <c r="G846" s="4"/>
    </row>
    <row r="847">
      <c r="A847" s="4"/>
      <c r="B847" s="4"/>
      <c r="C847" s="4"/>
      <c r="D847" s="4"/>
      <c r="E847" s="4"/>
      <c r="F847" s="4"/>
      <c r="G847" s="4"/>
    </row>
    <row r="848">
      <c r="A848" s="4"/>
      <c r="B848" s="4"/>
      <c r="C848" s="4"/>
      <c r="D848" s="4"/>
      <c r="E848" s="4"/>
      <c r="F848" s="4"/>
      <c r="G848" s="4"/>
    </row>
    <row r="849">
      <c r="A849" s="4"/>
      <c r="B849" s="4"/>
      <c r="C849" s="4"/>
      <c r="D849" s="4"/>
      <c r="E849" s="4"/>
      <c r="F849" s="4"/>
      <c r="G849" s="4"/>
    </row>
    <row r="850">
      <c r="A850" s="4"/>
      <c r="B850" s="4"/>
      <c r="C850" s="4"/>
      <c r="D850" s="4"/>
      <c r="E850" s="4"/>
      <c r="F850" s="4"/>
      <c r="G850" s="4"/>
    </row>
    <row r="851">
      <c r="A851" s="4"/>
      <c r="B851" s="4"/>
      <c r="C851" s="4"/>
      <c r="D851" s="4"/>
      <c r="E851" s="4"/>
      <c r="F851" s="4"/>
      <c r="G851" s="4"/>
    </row>
    <row r="852">
      <c r="A852" s="4"/>
      <c r="B852" s="4"/>
      <c r="C852" s="4"/>
      <c r="D852" s="4"/>
      <c r="E852" s="4"/>
      <c r="F852" s="4"/>
      <c r="G852" s="4"/>
    </row>
    <row r="853">
      <c r="A853" s="4"/>
      <c r="B853" s="4"/>
      <c r="C853" s="4"/>
      <c r="D853" s="4"/>
      <c r="E853" s="4"/>
      <c r="F853" s="4"/>
      <c r="G853" s="4"/>
    </row>
    <row r="854">
      <c r="A854" s="4"/>
      <c r="B854" s="4"/>
      <c r="C854" s="4"/>
      <c r="D854" s="4"/>
      <c r="E854" s="4"/>
      <c r="F854" s="4"/>
      <c r="G854" s="4"/>
    </row>
    <row r="855">
      <c r="A855" s="4"/>
      <c r="B855" s="4"/>
      <c r="C855" s="4"/>
      <c r="D855" s="4"/>
      <c r="E855" s="4"/>
      <c r="F855" s="4"/>
      <c r="G855" s="4"/>
    </row>
    <row r="856">
      <c r="A856" s="4"/>
      <c r="B856" s="4"/>
      <c r="C856" s="4"/>
      <c r="D856" s="4"/>
      <c r="E856" s="4"/>
      <c r="F856" s="4"/>
      <c r="G856" s="4"/>
    </row>
    <row r="857">
      <c r="A857" s="4"/>
      <c r="B857" s="4"/>
      <c r="C857" s="4"/>
      <c r="D857" s="4"/>
      <c r="E857" s="4"/>
      <c r="F857" s="4"/>
      <c r="G857" s="4"/>
    </row>
    <row r="858">
      <c r="A858" s="4"/>
      <c r="B858" s="4"/>
      <c r="C858" s="4"/>
      <c r="D858" s="4"/>
      <c r="E858" s="4"/>
      <c r="F858" s="4"/>
      <c r="G858" s="4"/>
    </row>
    <row r="859">
      <c r="A859" s="4"/>
      <c r="B859" s="4"/>
      <c r="C859" s="4"/>
      <c r="D859" s="4"/>
      <c r="E859" s="4"/>
      <c r="F859" s="4"/>
      <c r="G859" s="4"/>
    </row>
    <row r="860">
      <c r="A860" s="4"/>
      <c r="B860" s="4"/>
      <c r="C860" s="4"/>
      <c r="D860" s="4"/>
      <c r="E860" s="4"/>
      <c r="F860" s="4"/>
      <c r="G860" s="4"/>
    </row>
    <row r="861">
      <c r="A861" s="4"/>
      <c r="B861" s="4"/>
      <c r="C861" s="4"/>
      <c r="D861" s="4"/>
      <c r="E861" s="4"/>
      <c r="F861" s="4"/>
      <c r="G861" s="4"/>
    </row>
    <row r="862">
      <c r="A862" s="4"/>
      <c r="B862" s="4"/>
      <c r="C862" s="4"/>
      <c r="D862" s="4"/>
      <c r="E862" s="4"/>
      <c r="F862" s="4"/>
      <c r="G862" s="4"/>
    </row>
    <row r="863">
      <c r="A863" s="4"/>
      <c r="B863" s="4"/>
      <c r="C863" s="4"/>
      <c r="D863" s="4"/>
      <c r="E863" s="4"/>
      <c r="F863" s="4"/>
      <c r="G863" s="4"/>
    </row>
    <row r="864">
      <c r="A864" s="4"/>
      <c r="B864" s="4"/>
      <c r="C864" s="4"/>
      <c r="D864" s="4"/>
      <c r="E864" s="4"/>
      <c r="F864" s="4"/>
      <c r="G864" s="4"/>
    </row>
    <row r="865">
      <c r="A865" s="4"/>
      <c r="B865" s="4"/>
      <c r="C865" s="4"/>
      <c r="D865" s="4"/>
      <c r="E865" s="4"/>
      <c r="F865" s="4"/>
      <c r="G865" s="4"/>
    </row>
    <row r="866">
      <c r="A866" s="4"/>
      <c r="B866" s="4"/>
      <c r="C866" s="4"/>
      <c r="D866" s="4"/>
      <c r="E866" s="4"/>
      <c r="F866" s="4"/>
      <c r="G866" s="4"/>
    </row>
    <row r="867">
      <c r="A867" s="4"/>
      <c r="B867" s="4"/>
      <c r="C867" s="4"/>
      <c r="D867" s="4"/>
      <c r="E867" s="4"/>
      <c r="F867" s="4"/>
      <c r="G867" s="4"/>
    </row>
    <row r="868">
      <c r="A868" s="4"/>
      <c r="B868" s="4"/>
      <c r="C868" s="4"/>
      <c r="D868" s="4"/>
      <c r="E868" s="4"/>
      <c r="F868" s="4"/>
      <c r="G868" s="4"/>
    </row>
    <row r="869">
      <c r="A869" s="4"/>
      <c r="B869" s="4"/>
      <c r="C869" s="4"/>
      <c r="D869" s="4"/>
      <c r="E869" s="4"/>
      <c r="F869" s="4"/>
      <c r="G869" s="4"/>
    </row>
    <row r="870">
      <c r="A870" s="4"/>
      <c r="B870" s="4"/>
      <c r="C870" s="4"/>
      <c r="D870" s="4"/>
      <c r="E870" s="4"/>
      <c r="F870" s="4"/>
      <c r="G870" s="4"/>
    </row>
    <row r="871">
      <c r="A871" s="4"/>
      <c r="B871" s="4"/>
      <c r="C871" s="4"/>
      <c r="D871" s="4"/>
      <c r="E871" s="4"/>
      <c r="F871" s="4"/>
      <c r="G871" s="4"/>
    </row>
    <row r="872">
      <c r="A872" s="4"/>
      <c r="B872" s="4"/>
      <c r="C872" s="4"/>
      <c r="D872" s="4"/>
      <c r="E872" s="4"/>
      <c r="F872" s="4"/>
      <c r="G872" s="4"/>
    </row>
    <row r="873">
      <c r="A873" s="4"/>
      <c r="B873" s="4"/>
      <c r="C873" s="4"/>
      <c r="D873" s="4"/>
      <c r="E873" s="4"/>
      <c r="F873" s="4"/>
      <c r="G873" s="4"/>
    </row>
    <row r="874">
      <c r="A874" s="4"/>
      <c r="B874" s="4"/>
      <c r="C874" s="4"/>
      <c r="D874" s="4"/>
      <c r="E874" s="4"/>
      <c r="F874" s="4"/>
      <c r="G874" s="4"/>
    </row>
    <row r="875">
      <c r="A875" s="4"/>
      <c r="B875" s="4"/>
      <c r="C875" s="4"/>
      <c r="D875" s="4"/>
      <c r="E875" s="4"/>
      <c r="F875" s="4"/>
      <c r="G875" s="4"/>
    </row>
    <row r="876">
      <c r="A876" s="4"/>
      <c r="B876" s="4"/>
      <c r="C876" s="4"/>
      <c r="D876" s="4"/>
      <c r="E876" s="4"/>
      <c r="F876" s="4"/>
      <c r="G876" s="4"/>
    </row>
    <row r="877">
      <c r="A877" s="4"/>
      <c r="B877" s="4"/>
      <c r="C877" s="4"/>
      <c r="D877" s="4"/>
      <c r="E877" s="4"/>
      <c r="F877" s="4"/>
      <c r="G877" s="4"/>
    </row>
    <row r="878">
      <c r="A878" s="4"/>
      <c r="B878" s="4"/>
      <c r="C878" s="4"/>
      <c r="D878" s="4"/>
      <c r="E878" s="4"/>
      <c r="F878" s="4"/>
      <c r="G878" s="4"/>
    </row>
    <row r="879">
      <c r="A879" s="4"/>
      <c r="B879" s="4"/>
      <c r="C879" s="4"/>
      <c r="D879" s="4"/>
      <c r="E879" s="4"/>
      <c r="F879" s="4"/>
      <c r="G879" s="4"/>
    </row>
    <row r="880">
      <c r="A880" s="4"/>
      <c r="B880" s="4"/>
      <c r="C880" s="4"/>
      <c r="D880" s="4"/>
      <c r="E880" s="4"/>
      <c r="F880" s="4"/>
      <c r="G880" s="4"/>
    </row>
    <row r="881">
      <c r="A881" s="4"/>
      <c r="B881" s="4"/>
      <c r="C881" s="4"/>
      <c r="D881" s="4"/>
      <c r="E881" s="4"/>
      <c r="F881" s="4"/>
      <c r="G881" s="4"/>
    </row>
    <row r="882">
      <c r="A882" s="4"/>
      <c r="B882" s="4"/>
      <c r="C882" s="4"/>
      <c r="D882" s="4"/>
      <c r="E882" s="4"/>
      <c r="F882" s="4"/>
      <c r="G882" s="4"/>
    </row>
    <row r="883">
      <c r="A883" s="4"/>
      <c r="B883" s="4"/>
      <c r="C883" s="4"/>
      <c r="D883" s="4"/>
      <c r="E883" s="4"/>
      <c r="F883" s="4"/>
      <c r="G883" s="4"/>
    </row>
    <row r="884">
      <c r="A884" s="4"/>
      <c r="B884" s="4"/>
      <c r="C884" s="4"/>
      <c r="D884" s="4"/>
      <c r="E884" s="4"/>
      <c r="F884" s="4"/>
      <c r="G884" s="4"/>
    </row>
    <row r="885">
      <c r="A885" s="4"/>
      <c r="B885" s="4"/>
      <c r="C885" s="4"/>
      <c r="D885" s="4"/>
      <c r="E885" s="4"/>
      <c r="F885" s="4"/>
      <c r="G885" s="4"/>
    </row>
    <row r="886">
      <c r="A886" s="4"/>
      <c r="B886" s="4"/>
      <c r="C886" s="4"/>
      <c r="D886" s="4"/>
      <c r="E886" s="4"/>
      <c r="F886" s="4"/>
      <c r="G886" s="4"/>
    </row>
    <row r="887">
      <c r="A887" s="4"/>
      <c r="B887" s="4"/>
      <c r="C887" s="4"/>
      <c r="D887" s="4"/>
      <c r="E887" s="4"/>
      <c r="F887" s="4"/>
      <c r="G887" s="4"/>
    </row>
    <row r="888">
      <c r="A888" s="4"/>
      <c r="B888" s="4"/>
      <c r="C888" s="4"/>
      <c r="D888" s="4"/>
      <c r="E888" s="4"/>
      <c r="F888" s="4"/>
      <c r="G888" s="4"/>
    </row>
    <row r="889">
      <c r="A889" s="4"/>
      <c r="B889" s="4"/>
      <c r="C889" s="4"/>
      <c r="D889" s="4"/>
      <c r="E889" s="4"/>
      <c r="F889" s="4"/>
      <c r="G889" s="4"/>
    </row>
    <row r="890">
      <c r="A890" s="4"/>
      <c r="B890" s="4"/>
      <c r="C890" s="4"/>
      <c r="D890" s="4"/>
      <c r="E890" s="4"/>
      <c r="F890" s="4"/>
      <c r="G890" s="4"/>
    </row>
    <row r="891">
      <c r="A891" s="4"/>
      <c r="B891" s="4"/>
      <c r="C891" s="4"/>
      <c r="D891" s="4"/>
      <c r="E891" s="4"/>
      <c r="F891" s="4"/>
      <c r="G891" s="4"/>
    </row>
    <row r="892">
      <c r="A892" s="4"/>
      <c r="B892" s="4"/>
      <c r="C892" s="4"/>
      <c r="D892" s="4"/>
      <c r="E892" s="4"/>
      <c r="F892" s="4"/>
      <c r="G892" s="4"/>
    </row>
    <row r="893">
      <c r="A893" s="4"/>
      <c r="B893" s="4"/>
      <c r="C893" s="4"/>
      <c r="D893" s="4"/>
      <c r="E893" s="4"/>
      <c r="F893" s="4"/>
      <c r="G893" s="4"/>
    </row>
    <row r="894">
      <c r="A894" s="4"/>
      <c r="B894" s="4"/>
      <c r="C894" s="4"/>
      <c r="D894" s="4"/>
      <c r="E894" s="4"/>
      <c r="F894" s="4"/>
      <c r="G894" s="4"/>
    </row>
    <row r="895">
      <c r="A895" s="4"/>
      <c r="B895" s="4"/>
      <c r="C895" s="4"/>
      <c r="D895" s="4"/>
      <c r="E895" s="4"/>
      <c r="F895" s="4"/>
      <c r="G895" s="4"/>
    </row>
    <row r="896">
      <c r="A896" s="4"/>
      <c r="B896" s="4"/>
      <c r="C896" s="4"/>
      <c r="D896" s="4"/>
      <c r="E896" s="4"/>
      <c r="F896" s="4"/>
      <c r="G896" s="4"/>
    </row>
    <row r="897">
      <c r="A897" s="4"/>
      <c r="B897" s="4"/>
      <c r="C897" s="4"/>
      <c r="D897" s="4"/>
      <c r="E897" s="4"/>
      <c r="F897" s="4"/>
      <c r="G897" s="4"/>
    </row>
    <row r="898">
      <c r="A898" s="4"/>
      <c r="B898" s="4"/>
      <c r="C898" s="4"/>
      <c r="D898" s="4"/>
      <c r="E898" s="4"/>
      <c r="F898" s="4"/>
      <c r="G898" s="4"/>
    </row>
    <row r="899">
      <c r="A899" s="4"/>
      <c r="B899" s="4"/>
      <c r="C899" s="4"/>
      <c r="D899" s="4"/>
      <c r="E899" s="4"/>
      <c r="F899" s="4"/>
      <c r="G899" s="4"/>
    </row>
    <row r="900">
      <c r="A900" s="4"/>
      <c r="B900" s="4"/>
      <c r="C900" s="4"/>
      <c r="D900" s="4"/>
      <c r="E900" s="4"/>
      <c r="F900" s="4"/>
      <c r="G900" s="4"/>
    </row>
    <row r="901">
      <c r="A901" s="4"/>
      <c r="B901" s="4"/>
      <c r="C901" s="4"/>
      <c r="D901" s="4"/>
      <c r="E901" s="4"/>
      <c r="F901" s="4"/>
      <c r="G901" s="4"/>
    </row>
    <row r="902">
      <c r="A902" s="4"/>
      <c r="B902" s="4"/>
      <c r="C902" s="4"/>
      <c r="D902" s="4"/>
      <c r="E902" s="4"/>
      <c r="F902" s="4"/>
      <c r="G902" s="4"/>
    </row>
    <row r="903">
      <c r="A903" s="4"/>
      <c r="B903" s="4"/>
      <c r="C903" s="4"/>
      <c r="D903" s="4"/>
      <c r="E903" s="4"/>
      <c r="F903" s="4"/>
      <c r="G903" s="4"/>
    </row>
    <row r="904">
      <c r="A904" s="4"/>
      <c r="B904" s="4"/>
      <c r="C904" s="4"/>
      <c r="D904" s="4"/>
      <c r="E904" s="4"/>
      <c r="F904" s="4"/>
      <c r="G904" s="4"/>
    </row>
    <row r="905">
      <c r="A905" s="4"/>
      <c r="B905" s="4"/>
      <c r="C905" s="4"/>
      <c r="D905" s="4"/>
      <c r="E905" s="4"/>
      <c r="F905" s="4"/>
      <c r="G905" s="4"/>
    </row>
    <row r="906">
      <c r="A906" s="4"/>
      <c r="B906" s="4"/>
      <c r="C906" s="4"/>
      <c r="D906" s="4"/>
      <c r="E906" s="4"/>
      <c r="F906" s="4"/>
      <c r="G906" s="4"/>
    </row>
    <row r="907">
      <c r="A907" s="4"/>
      <c r="B907" s="4"/>
      <c r="C907" s="4"/>
      <c r="D907" s="4"/>
      <c r="E907" s="4"/>
      <c r="F907" s="4"/>
      <c r="G907" s="4"/>
    </row>
    <row r="908">
      <c r="A908" s="4"/>
      <c r="B908" s="4"/>
      <c r="C908" s="4"/>
      <c r="D908" s="4"/>
      <c r="E908" s="4"/>
      <c r="F908" s="4"/>
      <c r="G908" s="4"/>
    </row>
    <row r="909">
      <c r="A909" s="4"/>
      <c r="B909" s="4"/>
      <c r="C909" s="4"/>
      <c r="D909" s="4"/>
      <c r="E909" s="4"/>
      <c r="F909" s="4"/>
      <c r="G909" s="4"/>
    </row>
    <row r="910">
      <c r="A910" s="4"/>
      <c r="B910" s="4"/>
      <c r="C910" s="4"/>
      <c r="D910" s="4"/>
      <c r="E910" s="4"/>
      <c r="F910" s="4"/>
      <c r="G910" s="4"/>
    </row>
    <row r="911">
      <c r="A911" s="4"/>
      <c r="B911" s="4"/>
      <c r="C911" s="4"/>
      <c r="D911" s="4"/>
      <c r="E911" s="4"/>
      <c r="F911" s="4"/>
      <c r="G911" s="4"/>
    </row>
    <row r="912">
      <c r="A912" s="4"/>
      <c r="B912" s="4"/>
      <c r="C912" s="4"/>
      <c r="D912" s="4"/>
      <c r="E912" s="4"/>
      <c r="F912" s="4"/>
      <c r="G912" s="4"/>
    </row>
    <row r="913">
      <c r="A913" s="4"/>
      <c r="B913" s="4"/>
      <c r="C913" s="4"/>
      <c r="D913" s="4"/>
      <c r="E913" s="4"/>
      <c r="F913" s="4"/>
      <c r="G913" s="4"/>
    </row>
    <row r="914">
      <c r="A914" s="4"/>
      <c r="B914" s="4"/>
      <c r="C914" s="4"/>
      <c r="D914" s="4"/>
      <c r="E914" s="4"/>
      <c r="F914" s="4"/>
      <c r="G914" s="4"/>
    </row>
    <row r="915">
      <c r="A915" s="4"/>
      <c r="B915" s="4"/>
      <c r="C915" s="4"/>
      <c r="D915" s="4"/>
      <c r="E915" s="4"/>
      <c r="F915" s="4"/>
      <c r="G915" s="4"/>
    </row>
    <row r="916">
      <c r="A916" s="4"/>
      <c r="B916" s="4"/>
      <c r="C916" s="4"/>
      <c r="D916" s="4"/>
      <c r="E916" s="4"/>
      <c r="F916" s="4"/>
      <c r="G916" s="4"/>
    </row>
    <row r="917">
      <c r="A917" s="4"/>
      <c r="B917" s="4"/>
      <c r="C917" s="4"/>
      <c r="D917" s="4"/>
      <c r="E917" s="4"/>
      <c r="F917" s="4"/>
      <c r="G917" s="4"/>
    </row>
    <row r="918">
      <c r="A918" s="4"/>
      <c r="B918" s="4"/>
      <c r="C918" s="4"/>
      <c r="D918" s="4"/>
      <c r="E918" s="4"/>
      <c r="F918" s="4"/>
      <c r="G918" s="4"/>
    </row>
    <row r="919">
      <c r="A919" s="4"/>
      <c r="B919" s="4"/>
      <c r="C919" s="4"/>
      <c r="D919" s="4"/>
      <c r="E919" s="4"/>
      <c r="F919" s="4"/>
      <c r="G919" s="4"/>
    </row>
    <row r="920">
      <c r="A920" s="4"/>
      <c r="B920" s="4"/>
      <c r="C920" s="4"/>
      <c r="D920" s="4"/>
      <c r="E920" s="4"/>
      <c r="F920" s="4"/>
      <c r="G920" s="4"/>
    </row>
    <row r="921">
      <c r="A921" s="4"/>
      <c r="B921" s="4"/>
      <c r="C921" s="4"/>
      <c r="D921" s="4"/>
      <c r="E921" s="4"/>
      <c r="F921" s="4"/>
      <c r="G921" s="4"/>
    </row>
    <row r="922">
      <c r="A922" s="4"/>
      <c r="B922" s="4"/>
      <c r="C922" s="4"/>
      <c r="D922" s="4"/>
      <c r="E922" s="4"/>
      <c r="F922" s="4"/>
      <c r="G922" s="4"/>
    </row>
    <row r="923">
      <c r="A923" s="4"/>
      <c r="B923" s="4"/>
      <c r="C923" s="4"/>
      <c r="D923" s="4"/>
      <c r="E923" s="4"/>
      <c r="F923" s="4"/>
      <c r="G923" s="4"/>
    </row>
    <row r="924">
      <c r="A924" s="4"/>
      <c r="B924" s="4"/>
      <c r="C924" s="4"/>
      <c r="D924" s="4"/>
      <c r="E924" s="4"/>
      <c r="F924" s="4"/>
      <c r="G924" s="4"/>
    </row>
    <row r="925">
      <c r="A925" s="4"/>
      <c r="B925" s="4"/>
      <c r="C925" s="4"/>
      <c r="D925" s="4"/>
      <c r="E925" s="4"/>
      <c r="F925" s="4"/>
      <c r="G925" s="4"/>
    </row>
    <row r="926">
      <c r="A926" s="4"/>
      <c r="B926" s="4"/>
      <c r="C926" s="4"/>
      <c r="D926" s="4"/>
      <c r="E926" s="4"/>
      <c r="F926" s="4"/>
      <c r="G926" s="4"/>
    </row>
    <row r="927">
      <c r="A927" s="4"/>
      <c r="B927" s="4"/>
      <c r="C927" s="4"/>
      <c r="D927" s="4"/>
      <c r="E927" s="4"/>
      <c r="F927" s="4"/>
      <c r="G927" s="4"/>
    </row>
    <row r="928">
      <c r="A928" s="4"/>
      <c r="B928" s="4"/>
      <c r="C928" s="4"/>
      <c r="D928" s="4"/>
      <c r="E928" s="4"/>
      <c r="F928" s="4"/>
      <c r="G928" s="4"/>
    </row>
    <row r="929">
      <c r="A929" s="4"/>
      <c r="B929" s="4"/>
      <c r="C929" s="4"/>
      <c r="D929" s="4"/>
      <c r="E929" s="4"/>
      <c r="F929" s="4"/>
      <c r="G929" s="4"/>
    </row>
    <row r="930">
      <c r="A930" s="4"/>
      <c r="B930" s="4"/>
      <c r="C930" s="4"/>
      <c r="D930" s="4"/>
      <c r="E930" s="4"/>
      <c r="F930" s="4"/>
      <c r="G930" s="4"/>
    </row>
    <row r="931">
      <c r="A931" s="4"/>
      <c r="B931" s="4"/>
      <c r="C931" s="4"/>
      <c r="D931" s="4"/>
      <c r="E931" s="4"/>
      <c r="F931" s="4"/>
      <c r="G931" s="4"/>
    </row>
    <row r="932">
      <c r="A932" s="4"/>
      <c r="B932" s="4"/>
      <c r="C932" s="4"/>
      <c r="D932" s="4"/>
      <c r="E932" s="4"/>
      <c r="F932" s="4"/>
      <c r="G932" s="4"/>
    </row>
    <row r="933">
      <c r="A933" s="4"/>
      <c r="B933" s="4"/>
      <c r="C933" s="4"/>
      <c r="D933" s="4"/>
      <c r="E933" s="4"/>
      <c r="F933" s="4"/>
      <c r="G933" s="4"/>
    </row>
    <row r="934">
      <c r="A934" s="4"/>
      <c r="B934" s="4"/>
      <c r="C934" s="4"/>
      <c r="D934" s="4"/>
      <c r="E934" s="4"/>
      <c r="F934" s="4"/>
      <c r="G934" s="4"/>
    </row>
    <row r="935">
      <c r="A935" s="4"/>
      <c r="B935" s="4"/>
      <c r="C935" s="4"/>
      <c r="D935" s="4"/>
      <c r="E935" s="4"/>
      <c r="F935" s="4"/>
      <c r="G935" s="4"/>
    </row>
    <row r="936">
      <c r="A936" s="4"/>
      <c r="B936" s="4"/>
      <c r="C936" s="4"/>
      <c r="D936" s="4"/>
      <c r="E936" s="4"/>
      <c r="F936" s="4"/>
      <c r="G936" s="4"/>
    </row>
    <row r="937">
      <c r="A937" s="4"/>
      <c r="B937" s="4"/>
      <c r="C937" s="4"/>
      <c r="D937" s="4"/>
      <c r="E937" s="4"/>
      <c r="F937" s="4"/>
      <c r="G937" s="4"/>
    </row>
    <row r="938">
      <c r="A938" s="4"/>
      <c r="B938" s="4"/>
      <c r="C938" s="4"/>
      <c r="D938" s="4"/>
      <c r="E938" s="4"/>
      <c r="F938" s="4"/>
      <c r="G938" s="4"/>
    </row>
    <row r="939">
      <c r="A939" s="4"/>
      <c r="B939" s="4"/>
      <c r="C939" s="4"/>
      <c r="D939" s="4"/>
      <c r="E939" s="4"/>
      <c r="F939" s="4"/>
      <c r="G939" s="4"/>
    </row>
    <row r="940">
      <c r="A940" s="4"/>
      <c r="B940" s="4"/>
      <c r="C940" s="4"/>
      <c r="D940" s="4"/>
      <c r="E940" s="4"/>
      <c r="F940" s="4"/>
      <c r="G940" s="4"/>
    </row>
    <row r="941">
      <c r="A941" s="4"/>
      <c r="B941" s="4"/>
      <c r="C941" s="4"/>
      <c r="D941" s="4"/>
      <c r="E941" s="4"/>
      <c r="F941" s="4"/>
      <c r="G941" s="4"/>
    </row>
    <row r="942">
      <c r="A942" s="4"/>
      <c r="B942" s="4"/>
      <c r="C942" s="4"/>
      <c r="D942" s="4"/>
      <c r="E942" s="4"/>
      <c r="F942" s="4"/>
      <c r="G942" s="4"/>
    </row>
    <row r="943">
      <c r="A943" s="4"/>
      <c r="B943" s="4"/>
      <c r="C943" s="4"/>
      <c r="D943" s="4"/>
      <c r="E943" s="4"/>
      <c r="F943" s="4"/>
      <c r="G943" s="4"/>
    </row>
    <row r="944">
      <c r="A944" s="4"/>
      <c r="B944" s="4"/>
      <c r="C944" s="4"/>
      <c r="D944" s="4"/>
      <c r="E944" s="4"/>
      <c r="F944" s="4"/>
      <c r="G944" s="4"/>
    </row>
    <row r="945">
      <c r="A945" s="4"/>
      <c r="B945" s="4"/>
      <c r="C945" s="4"/>
      <c r="D945" s="4"/>
      <c r="E945" s="4"/>
      <c r="F945" s="4"/>
      <c r="G945" s="4"/>
    </row>
    <row r="946">
      <c r="A946" s="4"/>
      <c r="B946" s="4"/>
      <c r="C946" s="4"/>
      <c r="D946" s="4"/>
      <c r="E946" s="4"/>
      <c r="F946" s="4"/>
      <c r="G946" s="4"/>
    </row>
    <row r="947">
      <c r="A947" s="4"/>
      <c r="B947" s="4"/>
      <c r="C947" s="4"/>
      <c r="D947" s="4"/>
      <c r="E947" s="4"/>
      <c r="F947" s="4"/>
      <c r="G947" s="4"/>
    </row>
    <row r="948">
      <c r="A948" s="4"/>
      <c r="B948" s="4"/>
      <c r="C948" s="4"/>
      <c r="D948" s="4"/>
      <c r="E948" s="4"/>
      <c r="F948" s="4"/>
      <c r="G948" s="4"/>
    </row>
    <row r="949">
      <c r="A949" s="4"/>
      <c r="B949" s="4"/>
      <c r="C949" s="4"/>
      <c r="D949" s="4"/>
      <c r="E949" s="4"/>
      <c r="F949" s="4"/>
      <c r="G949" s="4"/>
    </row>
    <row r="950">
      <c r="A950" s="4"/>
      <c r="B950" s="4"/>
      <c r="C950" s="4"/>
      <c r="D950" s="4"/>
      <c r="E950" s="4"/>
      <c r="F950" s="4"/>
      <c r="G950" s="4"/>
    </row>
    <row r="951">
      <c r="A951" s="4"/>
      <c r="B951" s="4"/>
      <c r="C951" s="4"/>
      <c r="D951" s="4"/>
      <c r="E951" s="4"/>
      <c r="F951" s="4"/>
      <c r="G951" s="4"/>
    </row>
    <row r="952">
      <c r="A952" s="4"/>
      <c r="B952" s="4"/>
      <c r="C952" s="4"/>
      <c r="D952" s="4"/>
      <c r="E952" s="4"/>
      <c r="F952" s="4"/>
      <c r="G952" s="4"/>
    </row>
    <row r="953">
      <c r="A953" s="4"/>
      <c r="B953" s="4"/>
      <c r="C953" s="4"/>
      <c r="D953" s="4"/>
      <c r="E953" s="4"/>
      <c r="F953" s="4"/>
      <c r="G953" s="4"/>
    </row>
    <row r="954">
      <c r="A954" s="4"/>
      <c r="B954" s="4"/>
      <c r="C954" s="4"/>
      <c r="D954" s="4"/>
      <c r="E954" s="4"/>
      <c r="F954" s="4"/>
      <c r="G954" s="4"/>
    </row>
    <row r="955">
      <c r="A955" s="4"/>
      <c r="B955" s="4"/>
      <c r="C955" s="4"/>
      <c r="D955" s="4"/>
      <c r="E955" s="4"/>
      <c r="F955" s="4"/>
      <c r="G955" s="4"/>
    </row>
    <row r="956">
      <c r="A956" s="4"/>
      <c r="B956" s="4"/>
      <c r="C956" s="4"/>
      <c r="D956" s="4"/>
      <c r="E956" s="4"/>
      <c r="F956" s="4"/>
      <c r="G956" s="4"/>
    </row>
    <row r="957">
      <c r="A957" s="4"/>
      <c r="B957" s="4"/>
      <c r="C957" s="4"/>
      <c r="D957" s="4"/>
      <c r="E957" s="4"/>
      <c r="F957" s="4"/>
      <c r="G957" s="4"/>
    </row>
    <row r="958">
      <c r="A958" s="4"/>
      <c r="B958" s="4"/>
      <c r="C958" s="4"/>
      <c r="D958" s="4"/>
      <c r="E958" s="4"/>
      <c r="F958" s="4"/>
      <c r="G958" s="4"/>
    </row>
    <row r="959">
      <c r="A959" s="4"/>
      <c r="B959" s="4"/>
      <c r="C959" s="4"/>
      <c r="D959" s="4"/>
      <c r="E959" s="4"/>
      <c r="F959" s="4"/>
      <c r="G959" s="4"/>
    </row>
    <row r="960">
      <c r="A960" s="4"/>
      <c r="B960" s="4"/>
      <c r="C960" s="4"/>
      <c r="D960" s="4"/>
      <c r="E960" s="4"/>
      <c r="F960" s="4"/>
      <c r="G960" s="4"/>
    </row>
    <row r="961">
      <c r="A961" s="4"/>
      <c r="B961" s="4"/>
      <c r="C961" s="4"/>
      <c r="D961" s="4"/>
      <c r="E961" s="4"/>
      <c r="F961" s="4"/>
      <c r="G961" s="4"/>
    </row>
    <row r="962">
      <c r="A962" s="4"/>
      <c r="B962" s="4"/>
      <c r="C962" s="4"/>
      <c r="D962" s="4"/>
      <c r="E962" s="4"/>
      <c r="F962" s="4"/>
      <c r="G962" s="4"/>
    </row>
    <row r="963">
      <c r="A963" s="4"/>
      <c r="B963" s="4"/>
      <c r="C963" s="4"/>
      <c r="D963" s="4"/>
      <c r="E963" s="4"/>
      <c r="F963" s="4"/>
      <c r="G963" s="4"/>
    </row>
    <row r="964">
      <c r="A964" s="4"/>
      <c r="B964" s="4"/>
      <c r="C964" s="4"/>
      <c r="D964" s="4"/>
      <c r="E964" s="4"/>
      <c r="F964" s="4"/>
      <c r="G964" s="4"/>
    </row>
    <row r="965">
      <c r="A965" s="4"/>
      <c r="B965" s="4"/>
      <c r="C965" s="4"/>
      <c r="D965" s="4"/>
      <c r="E965" s="4"/>
      <c r="F965" s="4"/>
      <c r="G965" s="4"/>
    </row>
    <row r="966">
      <c r="A966" s="4"/>
      <c r="B966" s="4"/>
      <c r="C966" s="4"/>
      <c r="D966" s="4"/>
      <c r="E966" s="4"/>
      <c r="F966" s="4"/>
      <c r="G966" s="4"/>
    </row>
    <row r="967">
      <c r="A967" s="4"/>
      <c r="B967" s="4"/>
      <c r="C967" s="4"/>
      <c r="D967" s="4"/>
      <c r="E967" s="4"/>
      <c r="F967" s="4"/>
      <c r="G967" s="4"/>
    </row>
    <row r="968">
      <c r="A968" s="4"/>
      <c r="B968" s="4"/>
      <c r="C968" s="4"/>
      <c r="D968" s="4"/>
      <c r="E968" s="4"/>
      <c r="F968" s="4"/>
      <c r="G968" s="4"/>
    </row>
    <row r="969">
      <c r="A969" s="4"/>
      <c r="B969" s="4"/>
      <c r="C969" s="4"/>
      <c r="D969" s="4"/>
      <c r="E969" s="4"/>
      <c r="F969" s="4"/>
      <c r="G969" s="4"/>
    </row>
    <row r="970">
      <c r="A970" s="4"/>
      <c r="B970" s="4"/>
      <c r="C970" s="4"/>
      <c r="D970" s="4"/>
      <c r="E970" s="4"/>
      <c r="F970" s="4"/>
      <c r="G970" s="4"/>
    </row>
    <row r="971">
      <c r="A971" s="4"/>
      <c r="B971" s="4"/>
      <c r="C971" s="4"/>
      <c r="D971" s="4"/>
      <c r="E971" s="4"/>
      <c r="F971" s="4"/>
      <c r="G971" s="4"/>
    </row>
    <row r="972">
      <c r="A972" s="4"/>
      <c r="B972" s="4"/>
      <c r="C972" s="4"/>
      <c r="D972" s="4"/>
      <c r="E972" s="4"/>
      <c r="F972" s="4"/>
      <c r="G972" s="4"/>
    </row>
    <row r="973">
      <c r="A973" s="4"/>
      <c r="B973" s="4"/>
      <c r="C973" s="4"/>
      <c r="D973" s="4"/>
      <c r="E973" s="4"/>
      <c r="F973" s="4"/>
      <c r="G973" s="4"/>
    </row>
    <row r="974">
      <c r="A974" s="4"/>
      <c r="B974" s="4"/>
      <c r="C974" s="4"/>
      <c r="D974" s="4"/>
      <c r="E974" s="4"/>
      <c r="F974" s="4"/>
      <c r="G974" s="4"/>
    </row>
    <row r="975">
      <c r="A975" s="4"/>
      <c r="B975" s="4"/>
      <c r="C975" s="4"/>
      <c r="D975" s="4"/>
      <c r="E975" s="4"/>
      <c r="F975" s="4"/>
      <c r="G975" s="4"/>
    </row>
    <row r="976">
      <c r="A976" s="4"/>
      <c r="B976" s="4"/>
      <c r="C976" s="4"/>
      <c r="D976" s="4"/>
      <c r="E976" s="4"/>
      <c r="F976" s="4"/>
      <c r="G976" s="4"/>
    </row>
    <row r="977">
      <c r="A977" s="4"/>
      <c r="B977" s="4"/>
      <c r="C977" s="4"/>
      <c r="D977" s="4"/>
      <c r="E977" s="4"/>
      <c r="F977" s="4"/>
      <c r="G977" s="4"/>
    </row>
    <row r="978">
      <c r="A978" s="4"/>
      <c r="B978" s="4"/>
      <c r="C978" s="4"/>
      <c r="D978" s="4"/>
      <c r="E978" s="4"/>
      <c r="F978" s="4"/>
      <c r="G978" s="4"/>
    </row>
    <row r="979">
      <c r="A979" s="4"/>
      <c r="B979" s="4"/>
      <c r="C979" s="4"/>
      <c r="D979" s="4"/>
      <c r="E979" s="4"/>
      <c r="F979" s="4"/>
      <c r="G979" s="4"/>
    </row>
    <row r="980">
      <c r="A980" s="4"/>
      <c r="B980" s="4"/>
      <c r="C980" s="4"/>
      <c r="D980" s="4"/>
      <c r="E980" s="4"/>
      <c r="F980" s="4"/>
      <c r="G980" s="4"/>
    </row>
    <row r="981">
      <c r="A981" s="4"/>
      <c r="B981" s="4"/>
      <c r="C981" s="4"/>
      <c r="D981" s="4"/>
      <c r="E981" s="4"/>
      <c r="F981" s="4"/>
      <c r="G981" s="4"/>
    </row>
    <row r="982">
      <c r="A982" s="4"/>
      <c r="B982" s="4"/>
      <c r="C982" s="4"/>
      <c r="D982" s="4"/>
      <c r="E982" s="4"/>
      <c r="F982" s="4"/>
      <c r="G982" s="4"/>
    </row>
    <row r="983">
      <c r="A983" s="4"/>
      <c r="B983" s="4"/>
      <c r="C983" s="4"/>
      <c r="D983" s="4"/>
      <c r="E983" s="4"/>
      <c r="F983" s="4"/>
      <c r="G983" s="4"/>
    </row>
    <row r="984">
      <c r="A984" s="4"/>
      <c r="B984" s="4"/>
      <c r="C984" s="4"/>
      <c r="D984" s="4"/>
      <c r="E984" s="4"/>
      <c r="F984" s="4"/>
      <c r="G984" s="4"/>
    </row>
    <row r="985">
      <c r="A985" s="4"/>
      <c r="B985" s="4"/>
      <c r="C985" s="4"/>
      <c r="D985" s="4"/>
      <c r="E985" s="4"/>
      <c r="F985" s="4"/>
      <c r="G985" s="4"/>
    </row>
    <row r="986">
      <c r="A986" s="4"/>
      <c r="B986" s="4"/>
      <c r="C986" s="4"/>
      <c r="D986" s="4"/>
      <c r="E986" s="4"/>
      <c r="F986" s="4"/>
      <c r="G986" s="4"/>
    </row>
    <row r="987">
      <c r="A987" s="4"/>
      <c r="B987" s="4"/>
      <c r="C987" s="4"/>
      <c r="D987" s="4"/>
      <c r="E987" s="4"/>
      <c r="F987" s="4"/>
      <c r="G987" s="4"/>
    </row>
    <row r="988">
      <c r="A988" s="4"/>
      <c r="B988" s="4"/>
      <c r="C988" s="4"/>
      <c r="D988" s="4"/>
      <c r="E988" s="4"/>
      <c r="F988" s="4"/>
      <c r="G988" s="4"/>
    </row>
    <row r="989">
      <c r="A989" s="4"/>
      <c r="B989" s="4"/>
      <c r="C989" s="4"/>
      <c r="D989" s="4"/>
      <c r="E989" s="4"/>
      <c r="F989" s="4"/>
      <c r="G989" s="4"/>
    </row>
    <row r="990">
      <c r="A990" s="4"/>
      <c r="B990" s="4"/>
      <c r="C990" s="4"/>
      <c r="D990" s="4"/>
      <c r="E990" s="4"/>
      <c r="F990" s="4"/>
      <c r="G990" s="4"/>
    </row>
    <row r="991">
      <c r="A991" s="4"/>
      <c r="B991" s="4"/>
      <c r="C991" s="4"/>
      <c r="D991" s="4"/>
      <c r="E991" s="4"/>
      <c r="F991" s="4"/>
      <c r="G991" s="4"/>
    </row>
    <row r="992">
      <c r="A992" s="4"/>
      <c r="B992" s="4"/>
      <c r="C992" s="4"/>
      <c r="D992" s="4"/>
      <c r="E992" s="4"/>
      <c r="F992" s="4"/>
      <c r="G992" s="4"/>
    </row>
    <row r="993">
      <c r="A993" s="4"/>
      <c r="B993" s="4"/>
      <c r="C993" s="4"/>
      <c r="D993" s="4"/>
      <c r="E993" s="4"/>
      <c r="F993" s="4"/>
      <c r="G993" s="4"/>
    </row>
    <row r="994">
      <c r="A994" s="4"/>
      <c r="B994" s="4"/>
      <c r="C994" s="4"/>
      <c r="D994" s="4"/>
      <c r="E994" s="4"/>
      <c r="F994" s="4"/>
      <c r="G994" s="4"/>
    </row>
    <row r="995">
      <c r="A995" s="4"/>
      <c r="B995" s="4"/>
      <c r="C995" s="4"/>
      <c r="D995" s="4"/>
      <c r="E995" s="4"/>
      <c r="F995" s="4"/>
      <c r="G995" s="4"/>
    </row>
    <row r="996">
      <c r="A996" s="4"/>
      <c r="B996" s="4"/>
      <c r="C996" s="4"/>
      <c r="D996" s="4"/>
      <c r="E996" s="4"/>
      <c r="F996" s="4"/>
      <c r="G996" s="4"/>
    </row>
    <row r="997">
      <c r="A997" s="4"/>
      <c r="B997" s="4"/>
      <c r="C997" s="4"/>
      <c r="D997" s="4"/>
      <c r="E997" s="4"/>
      <c r="F997" s="4"/>
      <c r="G997" s="4"/>
    </row>
    <row r="998">
      <c r="A998" s="4"/>
      <c r="B998" s="4"/>
      <c r="C998" s="4"/>
      <c r="D998" s="4"/>
      <c r="E998" s="4"/>
      <c r="F998" s="4"/>
      <c r="G998" s="4"/>
    </row>
    <row r="999">
      <c r="A999" s="4"/>
      <c r="B999" s="4"/>
      <c r="C999" s="4"/>
      <c r="D999" s="4"/>
      <c r="E999" s="4"/>
      <c r="F999" s="4"/>
      <c r="G999" s="4"/>
    </row>
    <row r="1000">
      <c r="A1000" s="4"/>
      <c r="B1000" s="4"/>
      <c r="C1000" s="4"/>
      <c r="D1000" s="4"/>
      <c r="E1000" s="4"/>
      <c r="F1000" s="4"/>
      <c r="G1000" s="4"/>
    </row>
  </sheetData>
  <mergeCells count="1">
    <mergeCell ref="A1:G1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8.75"/>
    <col customWidth="1" min="3" max="3" width="33.0"/>
    <col customWidth="1" min="5" max="5" width="15.13"/>
    <col customWidth="1" min="8" max="8" width="15.38"/>
    <col customWidth="1" min="9" max="9" width="16.13"/>
    <col hidden="1" min="11" max="11" width="12.63"/>
  </cols>
  <sheetData>
    <row r="1" ht="25.5" customHeight="1">
      <c r="A1" s="39" t="s">
        <v>3414</v>
      </c>
    </row>
    <row r="2" ht="21.75" customHeight="1">
      <c r="A2" s="40" t="s">
        <v>3</v>
      </c>
      <c r="B2" s="41" t="str">
        <f>IFERROR(__xludf.DUMMYFUNCTION("LET(raw,{IFERROR(FILTER({IF('Hospital Universitario de Carac'!B3:B7276="""",""Hospital Universitario de Carac"",""Hospital Universitario de Carac""), 'Hospital Universitario de Carac'!B3:B7276, 'Hospital Universitario de Carac'!C3:C7276, 'Hospital Univers"&amp;"itario de Carac'!D3:D7276, IF('Hospital Universitario de Carac'!B3:B7276="""","""",""""), 'Hospital Universitario de Carac'!E3:E7276, 'Hospital Universitario de Carac'!F3:F7276, 'Hospital Universitario de Carac'!G3:G7276, IF('Hospital Universitario de Car"&amp;"ac'!B3:B7276="""","""",""""), IF('Hospital Universitario de Carac'!B3:B7276="""",""Hospital Universitario de Carac"",""Hospital Universitario de Carac"")}, LEN('Hospital Universitario de Carac'!B3:B7276&amp;'Hospital Universitario de Carac'!D3:D7276)&gt;0), {"""&amp;""","""","""","""","""","""","""","""","""",""""}); IFERROR(FILTER({IF('Cruz Roja'!B3:B7276="""",""Cruz Roja"",""Cruz Roja""), 'Cruz Roja'!B3:B7276, 'Cruz Roja'!C3:C7276, 'Cruz Roja'!D3:D7276, IF('Cruz Roja'!B3:B7276="""","""",""""), 'Cruz Roja'!E3:E7276, "&amp;"'Cruz Roja'!F3:F7276, 'Cruz Roja'!G3:G7276, IF('Cruz Roja'!B3:B7276="""","""",""""), IF('Cruz Roja'!B3:B7276="""",""Cruz Roja"",""Cruz Roja"")}, LEN('Cruz Roja'!B3:B7276&amp;'Cruz Roja'!D3:D7276)&gt;0), {"""","""","""","""","""","""","""","""","""",""""}); IFERR"&amp;"OR(FILTER({IF('Hospital General del Oeste'!B3:B7276="""",""Hospital General del Oeste"",""Hospital General del Oeste""), 'Hospital General del Oeste'!B3:B7276, 'Hospital General del Oeste'!C3:C7276, 'Hospital General del Oeste'!D3:D7276, IF('Hospital Gene"&amp;"ral del Oeste'!B3:B7276="""","""",""""), 'Hospital General del Oeste'!E3:E7276, 'Hospital General del Oeste'!F3:F7276, 'Hospital General del Oeste'!G3:G7276, IF('Hospital General del Oeste'!B3:B7276="""","""",""""), IF('Hospital General del Oeste'!B3:B727"&amp;"6="""",""Hospital General del Oeste"",""Hospital General del Oeste"")}, LEN('Hospital General del Oeste'!B3:B7276&amp;'Hospital General del Oeste'!D3:D7276)&gt;0), {"""","""","""","""","""","""","""","""","""",""""}); IFERROR(FILTER({IF('H. Ricardo Baquero Gonza"&amp;"lez'!B3:B7276="""",""H. Ricardo Baquero Gonzalez"",""H. Ricardo Baquero Gonzalez""), 'H. Ricardo Baquero Gonzalez'!B3:B7276, 'H. Ricardo Baquero Gonzalez'!C3:C7276, 'H. Ricardo Baquero Gonzalez'!D3:D7276, IF('H. Ricardo Baquero Gonzalez'!B3:B7276="""","""&amp;""",""""), 'H. Ricardo Baquero Gonzalez'!E3:E7276, 'H. Ricardo Baquero Gonzalez'!F3:F7276, 'H. Ricardo Baquero Gonzalez'!G3:G7276, IF('H. Ricardo Baquero Gonzalez'!B3:B7276="""","""",""""), IF('H. Ricardo Baquero Gonzalez'!B3:B7276="""",""H. Ricardo Baquer"&amp;"o Gonzalez"",""H. Ricardo Baquero Gonzalez"")}, LEN('H. Ricardo Baquero Gonzalez'!B3:B7276&amp;'H. Ricardo Baquero Gonzalez'!D3:D7276)&gt;0), {"""","""","""","""","""","""","""","""","""",""""}); IFERROR(FILTER({IF('Centro de Acopio Caraballeda'!B3:B7276="""","""&amp;"Centro de Acopio Caraballeda"",""Centro de Acopio Caraballeda""), 'Centro de Acopio Caraballeda'!B3:B7276, 'Centro de Acopio Caraballeda'!C3:C7276, 'Centro de Acopio Caraballeda'!D3:D7276, IF('Centro de Acopio Caraballeda'!B3:B7276="""","""",""""), 'Centr"&amp;"o de Acopio Caraballeda'!E3:E7276, 'Centro de Acopio Caraballeda'!F3:F7276, 'Centro de Acopio Caraballeda'!G3:G7276, IF('Centro de Acopio Caraballeda'!B3:B7276="""","""",""""), IF('Centro de Acopio Caraballeda'!B3:B7276="""",""Centro de Acopio Caraballeda"&amp;""",""Centro de Acopio Caraballeda"")}, LEN('Centro de Acopio Caraballeda'!B3:B7276&amp;'Centro de Acopio Caraballeda'!D3:D7276)&gt;0), {"""","""","""","""","""","""","""","""","""",""""}); IFERROR(FILTER({IF('Hospital Dr. José Gregorio Hern'!B3:B7276="""",""Hosp"&amp;"ital Dr. José Gregorio Hern"",""Hospital Dr. José Gregorio Hern""), 'Hospital Dr. José Gregorio Hern'!B3:B7276, 'Hospital Dr. José Gregorio Hern'!C3:C7276, 'Hospital Dr. José Gregorio Hern'!D3:D7276, IF('Hospital Dr. José Gregorio Hern'!B3:B7276="""","""""&amp;",""""), 'Hospital Dr. José Gregorio Hern'!E3:E7276, 'Hospital Dr. José Gregorio Hern'!F3:F7276, 'Hospital Dr. José Gregorio Hern'!G3:G7276, IF('Hospital Dr. José Gregorio Hern'!B3:B7276="""","""",""""), IF('Hospital Dr. José Gregorio Hern'!B3:B7276="""","&amp;"""Hospital Dr. José Gregorio Hern"",""Hospital Dr. José Gregorio Hern"")}, LEN('Hospital Dr. José Gregorio Hern'!B3:B7276&amp;'Hospital Dr. José Gregorio Hern'!D3:D7276)&gt;0), {"""","""","""","""","""","""","""","""","""",""""}); IFERROR(FILTER({IF('Clínica El "&amp;"Ávila'!B3:B7276="""",""Clínica El Ávila"",""Clínica El Ávila""), 'Clínica El Ávila'!B3:B7276, 'Clínica El Ávila'!C3:C7276, 'Clínica El Ávila'!D3:D7276, IF('Clínica El Ávila'!B3:B7276="""","""",""""), 'Clínica El Ávila'!E3:E7276, 'Clínica El Ávila'!F3:F727"&amp;"6, 'Clínica El Ávila'!G3:G7276, IF('Clínica El Ávila'!B3:B7276="""","""",""""), IF('Clínica El Ávila'!B3:B7276="""",""Clínica El Ávila"",""Clínica El Ávila"")}, LEN('Clínica El Ávila'!B3:B7276&amp;'Clínica El Ávila'!D3:D7276)&gt;0), {"""","""","""","""","""","""&amp;""","""","""","""",""""}); IFERROR(FILTER({IF('Hospital J.M. de los Ríos'!B3:B7276="""",""Hospital J.M. de los Ríos"",""Hospital J.M. de los Ríos""), 'Hospital J.M. de los Ríos'!B3:B7276, 'Hospital J.M. de los Ríos'!C3:C7276, 'Hospital J.M. de los Ríos'!D3"&amp;":D7276, IF('Hospital J.M. de los Ríos'!B3:B7276="""","""",""""), 'Hospital J.M. de los Ríos'!E3:E7276, 'Hospital J.M. de los Ríos'!F3:F7276, 'Hospital J.M. de los Ríos'!G3:G7276, IF('Hospital J.M. de los Ríos'!B3:B7276="""","""",""""), IF('Hospital J.M. d"&amp;"e los Ríos'!B3:B7276="""",""Hospital J.M. de los Ríos"",""Hospital J.M. de los Ríos"")}, LEN('Hospital J.M. de los Ríos'!B3:B7276&amp;'Hospital J.M. de los Ríos'!D3:D7276)&gt;0), {"""","""","""","""","""","""","""","""","""",""""}); IFERROR(FILTER({IF('Seguro So"&amp;"cial La Guaira'!B3:B7276="""",""Seguro Social La Guaira"",""Seguro Social La Guaira""), 'Seguro Social La Guaira'!B3:B7276, 'Seguro Social La Guaira'!C3:C7276, 'Seguro Social La Guaira'!D3:D7276, IF('Seguro Social La Guaira'!B3:B7276="""","""",""""), 'Seg"&amp;"uro Social La Guaira'!E3:E7276, 'Seguro Social La Guaira'!F3:F7276, 'Seguro Social La Guaira'!G3:G7276, IF('Seguro Social La Guaira'!B3:B7276="""","""",""""), IF('Seguro Social La Guaira'!B3:B7276="""",""Seguro Social La Guaira"",""Seguro Social La Guaira"&amp;""")}, LEN('Seguro Social La Guaira'!B3:B7276&amp;'Seguro Social La Guaira'!D3:D7276)&gt;0), {"""","""","""","""","""","""","""","""","""",""""}); IFERROR(FILTER({IF('H. Jose Maria Vargas LG'!B3:B7276="""",""H. Jose Maria Vargas LG"",""H. Jose Maria Vargas LG""),"&amp;" 'H. Jose Maria Vargas LG'!B3:B7276, 'H. Jose Maria Vargas LG'!C3:C7276, 'H. Jose Maria Vargas LG'!D3:D7276, IF('H. Jose Maria Vargas LG'!B3:B7276="""","""",""""), 'H. Jose Maria Vargas LG'!E3:E7276, 'H. Jose Maria Vargas LG'!F3:F7276, 'H. Jose Maria Varg"&amp;"as LG'!G3:G7276, IF('H. Jose Maria Vargas LG'!B3:B7276="""","""",""""), IF('H. Jose Maria Vargas LG'!B3:B7276="""",""H. Jose Maria Vargas LG"",""H. Jose Maria Vargas LG"")}, LEN('H. Jose Maria Vargas LG'!B3:B7276&amp;'H. Jose Maria Vargas LG'!D3:D7276)&gt;0), {"&amp;""""","""","""","""","""","""","""","""","""",""""}); IFERROR(FILTER({IF('Periférico de Catia'!B3:B7276="""",""Periférico de Catia"",""Periférico de Catia""), 'Periférico de Catia'!B3:B7276, 'Periférico de Catia'!C3:C7276, 'Periférico de Catia'!D3:D7276, I"&amp;"F('Periférico de Catia'!B3:B7276="""","""",""""), 'Periférico de Catia'!E3:E7276, 'Periférico de Catia'!F3:F7276, 'Periférico de Catia'!G3:G7276, IF('Periférico de Catia'!B3:B7276="""","""",""""), IF('Periférico de Catia'!B3:B7276="""",""Periférico de Cat"&amp;"ia"",""Periférico de Catia"")}, LEN('Periférico de Catia'!B3:B7276&amp;'Periférico de Catia'!D3:D7276)&gt;0), {"""","""","""","""","""","""","""","""","""",""""}); IFERROR(FILTER({IF('Hospital Ana Francisca Pérez de'!B3:B7276="""",""Hospital Ana Francisca Pérez "&amp;"de"",""Hospital Ana Francisca Pérez de""), 'Hospital Ana Francisca Pérez de'!B3:B7276, 'Hospital Ana Francisca Pérez de'!C3:C7276, 'Hospital Ana Francisca Pérez de'!D3:D7276, IF('Hospital Ana Francisca Pérez de'!B3:B7276="""","""",""""), 'Hospital Ana Fra"&amp;"ncisca Pérez de'!E3:E7276, 'Hospital Ana Francisca Pérez de'!F3:F7276, 'Hospital Ana Francisca Pérez de'!G3:G7276, IF('Hospital Ana Francisca Pérez de'!B3:B7276="""","""",""""), IF('Hospital Ana Francisca Pérez de'!B3:B7276="""",""Hospital Ana Francisca P"&amp;"érez de"",""Hospital Ana Francisca Pérez de"")}, LEN('Hospital Ana Francisca Pérez de'!B3:B7276&amp;'Hospital Ana Francisca Pérez de'!D3:D7276)&gt;0), {"""","""","""","""","""","""","""","""","""",""""}); IFERROR(FILTER({IF('Hospital Pérez Carreño'!B3:B7276="""""&amp;",""Hospital Pérez Carreño"",""Hospital Pérez Carreño""), 'Hospital Pérez Carreño'!B3:B7276, 'Hospital Pérez Carreño'!C3:C7276, 'Hospital Pérez Carreño'!D3:D7276, IF('Hospital Pérez Carreño'!B3:B7276="""","""",""""), 'Hospital Pérez Carreño'!E3:E7276, 'Hos"&amp;"pital Pérez Carreño'!F3:F7276, 'Hospital Pérez Carreño'!G3:G7276, 'Hospital Pérez Carreño'!H3:H7276, IF('Hospital Pérez Carreño'!B3:B7276="""",""Hospital Pérez Carreño"",""Hospital Pérez Carreño"")}, LEN('Hospital Pérez Carreño'!B3:B7276&amp;'Hospital Pérez C"&amp;"arreño'!D3:D7276)&gt;0), {"""","""","""","""","""","""","""","""","""",""""}); IFERROR(FILTER({IF('Hospital Domingo Luciani'!C3:C7276="""",""Hospital Domingo Luciani"",""Hospital Domingo Luciani""), 'Hospital Domingo Luciani'!C3:C7276, 'Hospital Domingo Luci"&amp;"ani'!D3:D7276, 'Hospital Domingo Luciani'!E3:E7276, IF('Hospital Domingo Luciani'!C3:C7276="""","""",""""), 'Hospital Domingo Luciani'!F3:F7276, 'Hospital Domingo Luciani'!G3:G7276, 'Hospital Domingo Luciani'!H3:H7276, IF('Hospital Domingo Luciani'!C3:C72"&amp;"76="""","""",""""), IF('Hospital Domingo Luciani'!C3:C7276="""",""Hospital Domingo Luciani"",""Hospital Domingo Luciani"")}, LEN('Hospital Domingo Luciani'!C3:C7276&amp;'Hospital Domingo Luciani'!E3:E7276)&gt;0), {"""","""","""","""","""","""","""","""","""","""&amp;"""}); IFERROR(FILTER({IF('Hospital Vargas de Caracas'!B3:B7276="""",""Hospital Vargas de Caracas"",""Hospital Vargas de Caracas""), 'Hospital Vargas de Caracas'!B3:B7276, 'Hospital Vargas de Caracas'!C3:C7276, 'Hospital Vargas de Caracas'!D3:D7276, 'Hospi"&amp;"tal Vargas de Caracas'!E3:E7276, IF('Hospital Vargas de Caracas'!B3:B7276="""","""",""""), 'Hospital Vargas de Caracas'!F3:F7276, 'Hospital Vargas de Caracas'!G3:G7276, IF('Hospital Vargas de Caracas'!B3:B7276="""","""",""""), IF('Hospital Vargas de Carac"&amp;"as'!B3:B7276="""",""Hospital Vargas de Caracas"",""Hospital Vargas de Caracas"")}, LEN('Hospital Vargas de Caracas'!B3:B7276&amp;'Hospital Vargas de Caracas'!D3:D7276)&gt;0), {"""","""","""","""","""","""","""","""","""",""""}); IFERROR(FILTER({IF('Hospital Mili"&amp;"tar Dr. C. Arvelo'!B3:B7276="""",""Hospital Militar Dr. C. Arvelo"",""Hospital Militar Dr. C. Arvelo""), 'Hospital Militar Dr. C. Arvelo'!B3:B7276, 'Hospital Militar Dr. C. Arvelo'!C3:C7276, 'Hospital Militar Dr. C. Arvelo'!D3:D7276, IF('Hospital Militar "&amp;"Dr. C. Arvelo'!B3:B7276="""","""",""""), IF('Hospital Militar Dr. C. Arvelo'!B3:B7276="""","""",""""), 'Hospital Militar Dr. C. Arvelo'!E3:E7276, ARRAYFORMULA(TRIM('Hospital Militar Dr. C. Arvelo'!F3:F7276&amp;"" ""&amp;'Hospital Militar Dr. C. Arvelo'!G3:G7276))"&amp;", 'Hospital Militar Dr. C. Arvelo'!H3:H7276, IF('Hospital Militar Dr. C. Arvelo'!B3:B7276="""",""Hospital Militar Dr. C. Arvelo"",""Hospital Militar Dr. C. Arvelo"")}, LEN('Hospital Militar Dr. C. Arvelo'!B3:B7276&amp;'Hospital Militar Dr. C. Arvelo'!D3:D7276"&amp;")&gt;0), {"""","""","""","""","""","""","""","""","""",""""}); IFERROR(FILTER({'🔍 BUSCAR PACIENTES'!B5:B7276, '🔍 BUSCAR PACIENTES'!C5:C7276, '🔍 BUSCAR PACIENTES'!D5:D7276, '🔍 BUSCAR PACIENTES'!E5:E7276, IF('🔍 BUSCAR PACIENTES'!C5:C7276="""","""",""""), "&amp;"'🔍 BUSCAR PACIENTES'!F5:F7276, '🔍 BUSCAR PACIENTES'!G5:G7276, '🔍 BUSCAR PACIENTES'!H5:H7276, IF('🔍 BUSCAR PACIENTES'!C5:C7276="""","""",""""), IF('🔍 BUSCAR PACIENTES'!C5:C7276="""",""🔍 BUSCAR PACIENTES"",""🔍 BUSCAR PACIENTES"")}, LEN('🔍 BUSCAR PAC"&amp;"IENTES'!C5:C7276&amp;'🔍 BUSCAR PACIENTES'!E5:E7276)&gt;0), {"""","""","""","""","""","""","""","""","""",""""}); IFERROR(FILTER({'Pérez Carreño 26062026'!F4:F7276, 'Pérez Carreño 26062026'!B4:B7276, 'Pérez Carreño 26062026'!C4:C7276, 'Pérez Carreño 26062026'!D4"&amp;":D7276, IF('Pérez Carreño 26062026'!B4:B7276="""","""",""""), IF('Pérez Carreño 26062026'!B4:B7276="""","""",""""), IF('Pérez Carreño 26062026'!B4:B7276="""","""",""""), ARRAYFORMULA(TRIM('Pérez Carreño 26062026'!E4:E7276&amp;"" ""&amp;'Pérez Carreño 26062026'!I4"&amp;":I7276&amp;"" ""&amp;'Pérez Carreño 26062026'!J4:J7276)), ARRAYFORMULA(TRIM('Pérez Carreño 26062026'!G4:G7276&amp;"" ""&amp;'Pérez Carreño 26062026'!H4:H7276)), IF('Pérez Carreño 26062026'!B4:B7276="""",""Pérez Carreño 26062026"",""Pérez Carreño 26062026"")}, LEN('Pérez "&amp;"Carreño 26062026'!B4:B7276&amp;'Pérez Carreño 26062026'!D4:D7276)&gt;0), {"""","""","""","""","""","""","""","""","""",""""}); IFERROR(FILTER({'Consolidado 25062026'!G4:G7276, 'Consolidado 25062026'!B4:B7276, 'Consolidado 25062026'!D4:D7276, 'Consolidado 2506202"&amp;"6'!C4:C7276, 'Consolidado 25062026'!E4:E7276, IF('Consolidado 25062026'!B4:B7276="""","""",""""), 'Consolidado 25062026'!F4:F7276, 'Consolidado 25062026'!I4:I7276, 'Consolidado 25062026'!H4:H7276, IF('Consolidado 25062026'!B4:B7276="""",""Consolidado 2506"&amp;"2026"",""Consolidado 25062026"")}, LEN('Consolidado 25062026'!B4:B7276&amp;'Consolidado 25062026'!C4:C7276)&gt;0), {"""","""","""","""","""","""","""","""","""",""""}); IFERROR(FILTER({IF('HOSPITAL VARGAS'!B3:B7276="""",""HOSPITAL VARGAS"",""HOSPITAL VARGAS""), "&amp;"'HOSPITAL VARGAS'!B3:B7276, 'HOSPITAL VARGAS'!C3:C7276, 'HOSPITAL VARGAS'!D3:D7276, IF('HOSPITAL VARGAS'!B3:B7276="""","""",""""), IF('HOSPITAL VARGAS'!B3:B7276="""","""",""""), IF('HOSPITAL VARGAS'!B3:B7276="""","""",""""), ARRAYFORMULA(TRIM('HOSPITAL VA"&amp;"RGAS'!E3:E7276&amp;"" ""&amp;'HOSPITAL VARGAS'!F3:F7276)), 'HOSPITAL VARGAS'!G3:G7276, IF('HOSPITAL VARGAS'!B3:B7276="""",""HOSPITAL VARGAS"",""HOSPITAL VARGAS"")}, LEN('HOSPITAL VARGAS'!B3:B7276&amp;'HOSPITAL VARGAS'!D3:D7276)&gt;0), {"""","""","""","""","""","""","""""&amp;","""","""",""""}); IFERROR(FILTER({IF('La Guaira Sin Hospital '!A2:A7276="""",""La Guaira Sin Hospital"",""La Guaira Sin Hospital""), ARRAYFORMULA(TRIM('La Guaira Sin Hospital '!A2:A7276&amp;"" ""&amp;'La Guaira Sin Hospital '!B2:B7276)), IF('La Guaira Sin Hospit"&amp;"al '!A2:A7276="""","""",""""), 'La Guaira Sin Hospital '!C2:C7276, IF('La Guaira Sin Hospital '!A2:A7276="""","""",""""), IF('La Guaira Sin Hospital '!A2:A7276="""","""",""""), 'La Guaira Sin Hospital '!D2:D7276, 'La Guaira Sin Hospital '!E2:E7276, IF('La"&amp;" Guaira Sin Hospital '!A2:A7276="""","""",""""), IF('La Guaira Sin Hospital '!A2:A7276="""",""La Guaira Sin Hospital"",""La Guaira Sin Hospital"")}, LEN('La Guaira Sin Hospital '!A2:A7276&amp;'La Guaira Sin Hospital '!C2:C7276)&gt;0), {"""","""","""","""","""","&amp;""""","""","""","""",""""}); IFERROR(FILTER({IF('Campo de Golf Playa los Cocos '!A2:A7276="""",""Campo de Golf Playa los Cocos"",""Campo de Golf Playa los Cocos""), 'Campo de Golf Playa los Cocos '!A2:A7276, IF('Campo de Golf Playa los Cocos '!A2:A7276="""&amp;""","""",""""), IF('Campo de Golf Playa los Cocos '!A2:A7276="""","""",""""), IF('Campo de Golf Playa los Cocos '!A2:A7276="""","""",""""), IF('Campo de Golf Playa los Cocos '!A2:A7276="""","""",""""), IF('Campo de Golf Playa los Cocos '!A2:A7276="""","""""&amp;",""""), 'Campo de Golf Playa los Cocos '!B2:B7276, IF('Campo de Golf Playa los Cocos '!A2:A7276="""","""",""""), IF('Campo de Golf Playa los Cocos '!A2:A7276="""",""Campo de Golf Playa los Cocos"",""Campo de Golf Playa los Cocos"")}, LEN('Campo de Golf Pl"&amp;"aya los Cocos '!A2:A7276)&gt;0), {"""","""","""","""","""","""","""","""","""",""""})},nmA,INDEX(raw,0,2),cedR,INDEX(raw,0,4),cedD,ARRAYFORMULA(IF(LEN(REGEXREPLACE(TO_TEXT(cedR),""[^0-9]"",""""))&gt;=6,REGEXREPLACE(TO_TEXT(cedR),""[^0-9]"",""""),"""")),edA,INDE"&amp;"X(raw,0,3),sxA,INDEX(raw,0,5),tlA,INDEX(raw,0,6),drA,INDEX(raw,0,7),obA,INDEX(raw,0,8),fcA,INDEX(raw,0,9),hsA,INDEX(raw,0,1),tbA,INDEX(raw,0,10),keyA,ARRAYFORMULA(IF(cedD&lt;&gt;"""",""C:""&amp;cedD,""N:""&amp;UPPER(TRIM(REGEXREPLACE(TO_TEXT(nmA),""[^A-Za-zÀ-ÿ]+"","" "&amp;"""))))),scA,ARRAYFORMULA(((LEN(edA)&gt;0)+(LEN(cedD)&gt;0)+(LEN(sxA)&gt;0)+(LEN(tlA)&gt;0)+(LEN(drA)&gt;0)+(LEN(obA)&gt;0)+(LEN(fcA)&gt;0))*100000+(LEN(edA)+LEN(cedD)+LEN(sxA)+LEN(tlA)+LEN(drA)+LEN(obA)+LEN(fcA))),reb,{hsA,nmA,edA,cedD,sxA,tlA,drA,obA,fcA,tbA,keyA,scA},srt,SO"&amp;"RT(reb,11,TRUE,12,FALSE),ddp,SORTN(srt,ROWS(srt),2,11,TRUE),out,CHOOSECOLS(ddp,1,2,3,4,5,6,7,8,9,10),{{""HOSPITAL"",""APELLIDOS Y NOMBRES"",""EDAD"",""CÉDULA / ID"",""SEXO"",""TELÉFONO"",""DIRECCIÓN / PROCEDENCIA"",""OBSERVACIONES"",""FECHA"",""TAB DE ORI"&amp;"GEN""};out})"),"HOSPITAL")</f>
        <v>HOSPITAL</v>
      </c>
      <c r="C2" s="41" t="str">
        <f>IFERROR(__xludf.DUMMYFUNCTION("""COMPUTED_VALUE"""),"APELLIDOS Y NOMBRES")</f>
        <v>APELLIDOS Y NOMBRES</v>
      </c>
      <c r="D2" s="41" t="str">
        <f>IFERROR(__xludf.DUMMYFUNCTION("""COMPUTED_VALUE"""),"EDAD")</f>
        <v>EDAD</v>
      </c>
      <c r="E2" s="41" t="str">
        <f>IFERROR(__xludf.DUMMYFUNCTION("""COMPUTED_VALUE"""),"CÉDULA / ID")</f>
        <v>CÉDULA / ID</v>
      </c>
      <c r="F2" s="41" t="str">
        <f>IFERROR(__xludf.DUMMYFUNCTION("""COMPUTED_VALUE"""),"SEXO")</f>
        <v>SEXO</v>
      </c>
      <c r="G2" s="41" t="str">
        <f>IFERROR(__xludf.DUMMYFUNCTION("""COMPUTED_VALUE"""),"TELÉFONO")</f>
        <v>TELÉFONO</v>
      </c>
      <c r="H2" s="41" t="str">
        <f>IFERROR(__xludf.DUMMYFUNCTION("""COMPUTED_VALUE"""),"DIRECCIÓN / PROCEDENCIA")</f>
        <v>DIRECCIÓN / PROCEDENCIA</v>
      </c>
      <c r="I2" s="41" t="str">
        <f>IFERROR(__xludf.DUMMYFUNCTION("""COMPUTED_VALUE"""),"OBSERVACIONES")</f>
        <v>OBSERVACIONES</v>
      </c>
      <c r="J2" s="41" t="str">
        <f>IFERROR(__xludf.DUMMYFUNCTION("""COMPUTED_VALUE"""),"FECHA")</f>
        <v>FECHA</v>
      </c>
      <c r="K2" s="42" t="str">
        <f>IFERROR(__xludf.DUMMYFUNCTION("""COMPUTED_VALUE"""),"TAB DE ORIGEN")</f>
        <v>TAB DE ORIGEN</v>
      </c>
    </row>
    <row r="3">
      <c r="A3" s="43">
        <f t="array" ref="A3:A7276">IF(LEN(B3:B7276),ROW(B3:B7276)-1,"")</f>
        <v>2</v>
      </c>
      <c r="B3" s="44" t="str">
        <f>IFERROR(__xludf.DUMMYFUNCTION("""COMPUTED_VALUE"""),"Hospital Universitario de Carac")</f>
        <v>Hospital Universitario de Carac</v>
      </c>
      <c r="C3" s="45" t="str">
        <f>IFERROR(__xludf.DUMMYFUNCTION("""COMPUTED_VALUE"""),"DIAZ DANIEL")</f>
        <v>DIAZ DANIEL</v>
      </c>
      <c r="D3" s="44">
        <f>IFERROR(__xludf.DUMMYFUNCTION("""COMPUTED_VALUE"""),57.0)</f>
        <v>57</v>
      </c>
      <c r="E3" s="44" t="str">
        <f>IFERROR(__xludf.DUMMYFUNCTION("""COMPUTED_VALUE"""),"10001561")</f>
        <v>10001561</v>
      </c>
      <c r="F3" s="44" t="str">
        <f>IFERROR(__xludf.DUMMYFUNCTION("""COMPUTED_VALUE"""),"")</f>
        <v/>
      </c>
      <c r="G3" s="44" t="str">
        <f>IFERROR(__xludf.DUMMYFUNCTION("""COMPUTED_VALUE""")," ")</f>
        <v> </v>
      </c>
      <c r="H3" s="44" t="str">
        <f>IFERROR(__xludf.DUMMYFUNCTION("""COMPUTED_VALUE""")," ")</f>
        <v> </v>
      </c>
      <c r="I3" s="44" t="str">
        <f>IFERROR(__xludf.DUMMYFUNCTION("""COMPUTED_VALUE"""),"Politraumatismo")</f>
        <v>Politraumatismo</v>
      </c>
      <c r="J3" s="44" t="str">
        <f>IFERROR(__xludf.DUMMYFUNCTION("""COMPUTED_VALUE"""),"")</f>
        <v/>
      </c>
      <c r="K3" s="42" t="str">
        <f>IFERROR(__xludf.DUMMYFUNCTION("""COMPUTED_VALUE"""),"Hospital Universitario de Carac")</f>
        <v>Hospital Universitario de Carac</v>
      </c>
    </row>
    <row r="4">
      <c r="A4" s="44">
        <v>3.0</v>
      </c>
      <c r="B4" s="44" t="str">
        <f>IFERROR(__xludf.DUMMYFUNCTION("""COMPUTED_VALUE"""),"Periférico de Catia")</f>
        <v>Periférico de Catia</v>
      </c>
      <c r="C4" s="45" t="str">
        <f>IFERROR(__xludf.DUMMYFUNCTION("""COMPUTED_VALUE"""),"RIO DUQUES MIGUEL")</f>
        <v>RIO DUQUES MIGUEL</v>
      </c>
      <c r="D4" s="44">
        <f>IFERROR(__xludf.DUMMYFUNCTION("""COMPUTED_VALUE"""),56.0)</f>
        <v>56</v>
      </c>
      <c r="E4" s="44" t="str">
        <f>IFERROR(__xludf.DUMMYFUNCTION("""COMPUTED_VALUE"""),"10073429")</f>
        <v>10073429</v>
      </c>
      <c r="F4" s="44" t="str">
        <f>IFERROR(__xludf.DUMMYFUNCTION("""COMPUTED_VALUE"""),"")</f>
        <v/>
      </c>
      <c r="G4" s="44" t="str">
        <f>IFERROR(__xludf.DUMMYFUNCTION("""COMPUTED_VALUE""")," ")</f>
        <v> </v>
      </c>
      <c r="H4" s="44" t="str">
        <f>IFERROR(__xludf.DUMMYFUNCTION("""COMPUTED_VALUE""")," ")</f>
        <v> </v>
      </c>
      <c r="I4" s="44" t="str">
        <f>IFERROR(__xludf.DUMMYFUNCTION("""COMPUTED_VALUE"""),"Cirugía/Trauma")</f>
        <v>Cirugía/Trauma</v>
      </c>
      <c r="J4" s="44" t="str">
        <f>IFERROR(__xludf.DUMMYFUNCTION("""COMPUTED_VALUE"""),"")</f>
        <v/>
      </c>
      <c r="K4" s="42" t="str">
        <f>IFERROR(__xludf.DUMMYFUNCTION("""COMPUTED_VALUE"""),"Periférico de Catia")</f>
        <v>Periférico de Catia</v>
      </c>
    </row>
    <row r="5">
      <c r="A5" s="44">
        <v>4.0</v>
      </c>
      <c r="B5" s="44" t="str">
        <f>IFERROR(__xludf.DUMMYFUNCTION("""COMPUTED_VALUE"""),"Periférico de Catia")</f>
        <v>Periférico de Catia</v>
      </c>
      <c r="C5" s="45" t="str">
        <f>IFERROR(__xludf.DUMMYFUNCTION("""COMPUTED_VALUE"""),"MIGUEL ANEZ")</f>
        <v>MIGUEL ANEZ</v>
      </c>
      <c r="D5" s="44">
        <f>IFERROR(__xludf.DUMMYFUNCTION("""COMPUTED_VALUE"""),57.0)</f>
        <v>57</v>
      </c>
      <c r="E5" s="44" t="str">
        <f>IFERROR(__xludf.DUMMYFUNCTION("""COMPUTED_VALUE"""),"100734290")</f>
        <v>100734290</v>
      </c>
      <c r="F5" s="44" t="str">
        <f>IFERROR(__xludf.DUMMYFUNCTION("""COMPUTED_VALUE"""),"")</f>
        <v/>
      </c>
      <c r="G5" s="44" t="str">
        <f>IFERROR(__xludf.DUMMYFUNCTION("""COMPUTED_VALUE""")," ")</f>
        <v> </v>
      </c>
      <c r="H5" s="44" t="str">
        <f>IFERROR(__xludf.DUMMYFUNCTION("""COMPUTED_VALUE"""),"Sin información")</f>
        <v>Sin información</v>
      </c>
      <c r="I5" s="44" t="str">
        <f>IFERROR(__xludf.DUMMYFUNCTION("""COMPUTED_VALUE"""),"Emergencia")</f>
        <v>Emergencia</v>
      </c>
      <c r="J5" s="44" t="str">
        <f>IFERROR(__xludf.DUMMYFUNCTION("""COMPUTED_VALUE"""),"")</f>
        <v/>
      </c>
      <c r="K5" s="42" t="str">
        <f>IFERROR(__xludf.DUMMYFUNCTION("""COMPUTED_VALUE"""),"Periférico de Catia")</f>
        <v>Periférico de Catia</v>
      </c>
    </row>
    <row r="6">
      <c r="A6" s="44">
        <v>5.0</v>
      </c>
      <c r="B6" s="44" t="str">
        <f>IFERROR(__xludf.DUMMYFUNCTION("""COMPUTED_VALUE"""),"Hospital Vargas de Caracas")</f>
        <v>Hospital Vargas de Caracas</v>
      </c>
      <c r="C6" s="45" t="str">
        <f>IFERROR(__xludf.DUMMYFUNCTION("""COMPUTED_VALUE"""),"DANIELA CLIMENT")</f>
        <v>DANIELA CLIMENT</v>
      </c>
      <c r="D6" s="44" t="str">
        <f>IFERROR(__xludf.DUMMYFUNCTION("""COMPUTED_VALUE""")," ")</f>
        <v> </v>
      </c>
      <c r="E6" s="44" t="str">
        <f>IFERROR(__xludf.DUMMYFUNCTION("""COMPUTED_VALUE"""),"10213915")</f>
        <v>10213915</v>
      </c>
      <c r="F6" s="44" t="str">
        <f>IFERROR(__xludf.DUMMYFUNCTION("""COMPUTED_VALUE""")," ")</f>
        <v> </v>
      </c>
      <c r="G6" s="44" t="str">
        <f>IFERROR(__xludf.DUMMYFUNCTION("""COMPUTED_VALUE"""),"")</f>
        <v/>
      </c>
      <c r="H6" s="44" t="str">
        <f>IFERROR(__xludf.DUMMYFUNCTION("""COMPUTED_VALUE"""),"Sala 19")</f>
        <v>Sala 19</v>
      </c>
      <c r="I6" s="44" t="str">
        <f>IFERROR(__xludf.DUMMYFUNCTION("""COMPUTED_VALUE"""),"Tapado – Trauma")</f>
        <v>Tapado – Trauma</v>
      </c>
      <c r="J6" s="44" t="str">
        <f>IFERROR(__xludf.DUMMYFUNCTION("""COMPUTED_VALUE"""),"")</f>
        <v/>
      </c>
      <c r="K6" s="42" t="str">
        <f>IFERROR(__xludf.DUMMYFUNCTION("""COMPUTED_VALUE"""),"Hospital Vargas de Caracas")</f>
        <v>Hospital Vargas de Caracas</v>
      </c>
    </row>
    <row r="7">
      <c r="A7" s="44">
        <v>6.0</v>
      </c>
      <c r="B7" s="44" t="str">
        <f>IFERROR(__xludf.DUMMYFUNCTION("""COMPUTED_VALUE"""),"Hospital Universitario de Carac")</f>
        <v>Hospital Universitario de Carac</v>
      </c>
      <c r="C7" s="45" t="str">
        <f>IFERROR(__xludf.DUMMYFUNCTION("""COMPUTED_VALUE"""),"CUYAN FRAN")</f>
        <v>CUYAN FRAN</v>
      </c>
      <c r="D7" s="44">
        <f>IFERROR(__xludf.DUMMYFUNCTION("""COMPUTED_VALUE"""),60.0)</f>
        <v>60</v>
      </c>
      <c r="E7" s="44" t="str">
        <f>IFERROR(__xludf.DUMMYFUNCTION("""COMPUTED_VALUE"""),"10235290")</f>
        <v>10235290</v>
      </c>
      <c r="F7" s="44" t="str">
        <f>IFERROR(__xludf.DUMMYFUNCTION("""COMPUTED_VALUE"""),"")</f>
        <v/>
      </c>
      <c r="G7" s="44" t="str">
        <f>IFERROR(__xludf.DUMMYFUNCTION("""COMPUTED_VALUE"""),"0424-2927910")</f>
        <v>0424-2927910</v>
      </c>
      <c r="H7" s="44" t="str">
        <f>IFERROR(__xludf.DUMMYFUNCTION("""COMPUTED_VALUE""")," ")</f>
        <v> </v>
      </c>
      <c r="I7" s="44" t="str">
        <f>IFERROR(__xludf.DUMMYFUNCTION("""COMPUTED_VALUE""")," ")</f>
        <v> </v>
      </c>
      <c r="J7" s="44" t="str">
        <f>IFERROR(__xludf.DUMMYFUNCTION("""COMPUTED_VALUE"""),"")</f>
        <v/>
      </c>
      <c r="K7" s="42" t="str">
        <f>IFERROR(__xludf.DUMMYFUNCTION("""COMPUTED_VALUE"""),"Hospital Universitario de Carac")</f>
        <v>Hospital Universitario de Carac</v>
      </c>
    </row>
    <row r="8">
      <c r="A8" s="44">
        <v>7.0</v>
      </c>
      <c r="B8" s="44" t="str">
        <f>IFERROR(__xludf.DUMMYFUNCTION("""COMPUTED_VALUE"""),"Periférico de Catia")</f>
        <v>Periférico de Catia</v>
      </c>
      <c r="C8" s="45" t="str">
        <f>IFERROR(__xludf.DUMMYFUNCTION("""COMPUTED_VALUE"""),"GONZALEZ ACOSTA MARCO ANTONIO")</f>
        <v>GONZALEZ ACOSTA MARCO ANTONIO</v>
      </c>
      <c r="D8" s="44">
        <f>IFERROR(__xludf.DUMMYFUNCTION("""COMPUTED_VALUE"""),52.0)</f>
        <v>52</v>
      </c>
      <c r="E8" s="44" t="str">
        <f>IFERROR(__xludf.DUMMYFUNCTION("""COMPUTED_VALUE"""),"10279036")</f>
        <v>10279036</v>
      </c>
      <c r="F8" s="44" t="str">
        <f>IFERROR(__xludf.DUMMYFUNCTION("""COMPUTED_VALUE"""),"")</f>
        <v/>
      </c>
      <c r="G8" s="44" t="str">
        <f>IFERROR(__xludf.DUMMYFUNCTION("""COMPUTED_VALUE""")," ")</f>
        <v> </v>
      </c>
      <c r="H8" s="44" t="str">
        <f>IFERROR(__xludf.DUMMYFUNCTION("""COMPUTED_VALUE""")," ")</f>
        <v> </v>
      </c>
      <c r="I8" s="44" t="str">
        <f>IFERROR(__xludf.DUMMYFUNCTION("""COMPUTED_VALUE"""),"Cirugía/Trauma")</f>
        <v>Cirugía/Trauma</v>
      </c>
      <c r="J8" s="44" t="str">
        <f>IFERROR(__xludf.DUMMYFUNCTION("""COMPUTED_VALUE"""),"")</f>
        <v/>
      </c>
      <c r="K8" s="42" t="str">
        <f>IFERROR(__xludf.DUMMYFUNCTION("""COMPUTED_VALUE"""),"Periférico de Catia")</f>
        <v>Periférico de Catia</v>
      </c>
    </row>
    <row r="9">
      <c r="A9" s="44">
        <v>8.0</v>
      </c>
      <c r="B9" s="44" t="str">
        <f>IFERROR(__xludf.DUMMYFUNCTION("""COMPUTED_VALUE"""),"Periférico de Catia")</f>
        <v>Periférico de Catia</v>
      </c>
      <c r="C9" s="45" t="str">
        <f>IFERROR(__xludf.DUMMYFUNCTION("""COMPUTED_VALUE"""),"MARCÓ MORTALES")</f>
        <v>MARCÓ MORTALES</v>
      </c>
      <c r="D9" s="44">
        <f>IFERROR(__xludf.DUMMYFUNCTION("""COMPUTED_VALUE"""),77.0)</f>
        <v>77</v>
      </c>
      <c r="E9" s="44" t="str">
        <f>IFERROR(__xludf.DUMMYFUNCTION("""COMPUTED_VALUE"""),"102790360")</f>
        <v>102790360</v>
      </c>
      <c r="F9" s="44" t="str">
        <f>IFERROR(__xludf.DUMMYFUNCTION("""COMPUTED_VALUE"""),"")</f>
        <v/>
      </c>
      <c r="G9" s="44" t="str">
        <f>IFERROR(__xludf.DUMMYFUNCTION("""COMPUTED_VALUE""")," ")</f>
        <v> </v>
      </c>
      <c r="H9" s="44" t="str">
        <f>IFERROR(__xludf.DUMMYFUNCTION("""COMPUTED_VALUE"""),"Sin información")</f>
        <v>Sin información</v>
      </c>
      <c r="I9" s="44" t="str">
        <f>IFERROR(__xludf.DUMMYFUNCTION("""COMPUTED_VALUE"""),"Cirugía General")</f>
        <v>Cirugía General</v>
      </c>
      <c r="J9" s="44" t="str">
        <f>IFERROR(__xludf.DUMMYFUNCTION("""COMPUTED_VALUE"""),"")</f>
        <v/>
      </c>
      <c r="K9" s="42" t="str">
        <f>IFERROR(__xludf.DUMMYFUNCTION("""COMPUTED_VALUE"""),"Periférico de Catia")</f>
        <v>Periférico de Catia</v>
      </c>
    </row>
    <row r="10">
      <c r="A10" s="44">
        <v>9.0</v>
      </c>
      <c r="B10" s="44" t="str">
        <f>IFERROR(__xludf.DUMMYFUNCTION("""COMPUTED_VALUE"""),"Hospital Pérez Carreño")</f>
        <v>Hospital Pérez Carreño</v>
      </c>
      <c r="C10" s="45" t="str">
        <f>IFERROR(__xludf.DUMMYFUNCTION("""COMPUTED_VALUE"""),"MARCANO VENNI")</f>
        <v>MARCANO VENNI</v>
      </c>
      <c r="D10" s="44" t="str">
        <f>IFERROR(__xludf.DUMMYFUNCTION("""COMPUTED_VALUE""")," ")</f>
        <v> </v>
      </c>
      <c r="E10" s="44" t="str">
        <f>IFERROR(__xludf.DUMMYFUNCTION("""COMPUTED_VALUE"""),"10384289")</f>
        <v>10384289</v>
      </c>
      <c r="F10" s="44" t="str">
        <f>IFERROR(__xludf.DUMMYFUNCTION("""COMPUTED_VALUE"""),"")</f>
        <v/>
      </c>
      <c r="G10" s="44" t="str">
        <f>IFERROR(__xludf.DUMMYFUNCTION("""COMPUTED_VALUE""")," ")</f>
        <v> </v>
      </c>
      <c r="H10" s="44" t="str">
        <f>IFERROR(__xludf.DUMMYFUNCTION("""COMPUTED_VALUE""")," ")</f>
        <v> </v>
      </c>
      <c r="I10" s="44" t="str">
        <f>IFERROR(__xludf.DUMMYFUNCTION("""COMPUTED_VALUE"""),"Triaje")</f>
        <v>Triaje</v>
      </c>
      <c r="J10" s="44" t="str">
        <f>IFERROR(__xludf.DUMMYFUNCTION("""COMPUTED_VALUE"""),"25/06/2026")</f>
        <v>25/06/2026</v>
      </c>
      <c r="K10" s="42" t="str">
        <f>IFERROR(__xludf.DUMMYFUNCTION("""COMPUTED_VALUE"""),"Hospital Pérez Carreño")</f>
        <v>Hospital Pérez Carreño</v>
      </c>
    </row>
    <row r="11">
      <c r="A11" s="44">
        <v>10.0</v>
      </c>
      <c r="B11" s="44" t="str">
        <f>IFERROR(__xludf.DUMMYFUNCTION("""COMPUTED_VALUE"""),"Hospital Pérez Carreño")</f>
        <v>Hospital Pérez Carreño</v>
      </c>
      <c r="C11" s="45" t="str">
        <f>IFERROR(__xludf.DUMMYFUNCTION("""COMPUTED_VALUE"""),"YENNI MARCANO")</f>
        <v>YENNI MARCANO</v>
      </c>
      <c r="D11" s="44" t="str">
        <f>IFERROR(__xludf.DUMMYFUNCTION("""COMPUTED_VALUE""")," ")</f>
        <v> </v>
      </c>
      <c r="E11" s="44" t="str">
        <f>IFERROR(__xludf.DUMMYFUNCTION("""COMPUTED_VALUE"""),"103842890")</f>
        <v>103842890</v>
      </c>
      <c r="F11" s="44" t="str">
        <f>IFERROR(__xludf.DUMMYFUNCTION("""COMPUTED_VALUE"""),"")</f>
        <v/>
      </c>
      <c r="G11" s="44" t="str">
        <f>IFERROR(__xludf.DUMMYFUNCTION("""COMPUTED_VALUE""")," ")</f>
        <v> </v>
      </c>
      <c r="H11" s="44" t="str">
        <f>IFERROR(__xludf.DUMMYFUNCTION("""COMPUTED_VALUE""")," ")</f>
        <v> </v>
      </c>
      <c r="I11" s="44" t="str">
        <f>IFERROR(__xludf.DUMMYFUNCTION("""COMPUTED_VALUE""")," ")</f>
        <v> </v>
      </c>
      <c r="J11" s="44" t="str">
        <f>IFERROR(__xludf.DUMMYFUNCTION("""COMPUTED_VALUE"""),"25/06/2026")</f>
        <v>25/06/2026</v>
      </c>
      <c r="K11" s="42" t="str">
        <f>IFERROR(__xludf.DUMMYFUNCTION("""COMPUTED_VALUE"""),"Hospital Pérez Carreño")</f>
        <v>Hospital Pérez Carreño</v>
      </c>
    </row>
    <row r="12">
      <c r="A12" s="44">
        <v>11.0</v>
      </c>
      <c r="B12" s="44" t="str">
        <f>IFERROR(__xludf.DUMMYFUNCTION("""COMPUTED_VALUE"""),"Hospital Militar Dr. C. Arvelo")</f>
        <v>Hospital Militar Dr. C. Arvelo</v>
      </c>
      <c r="C12" s="45" t="str">
        <f>IFERROR(__xludf.DUMMYFUNCTION("""COMPUTED_VALUE"""),"Yakelin Santana")</f>
        <v>Yakelin Santana</v>
      </c>
      <c r="D12" s="44">
        <f>IFERROR(__xludf.DUMMYFUNCTION("""COMPUTED_VALUE"""),56.0)</f>
        <v>56</v>
      </c>
      <c r="E12" s="44" t="str">
        <f>IFERROR(__xludf.DUMMYFUNCTION("""COMPUTED_VALUE"""),"10398248")</f>
        <v>10398248</v>
      </c>
      <c r="F12" s="44" t="str">
        <f>IFERROR(__xludf.DUMMYFUNCTION("""COMPUTED_VALUE"""),"")</f>
        <v/>
      </c>
      <c r="G12" s="44" t="str">
        <f>IFERROR(__xludf.DUMMYFUNCTION("""COMPUTED_VALUE"""),"")</f>
        <v/>
      </c>
      <c r="H12" s="44" t="str">
        <f>IFERROR(__xludf.DUMMYFUNCTION("""COMPUTED_VALUE"""),"F")</f>
        <v>F</v>
      </c>
      <c r="I12" s="44" t="str">
        <f>IFERROR(__xludf.DUMMYFUNCTION("""COMPUTED_VALUE"""),"Los Corales PNA")</f>
        <v>Los Corales PNA</v>
      </c>
      <c r="J12" s="44" t="str">
        <f>IFERROR(__xludf.DUMMYFUNCTION("""COMPUTED_VALUE"""),"24/6/2026")</f>
        <v>24/6/2026</v>
      </c>
      <c r="K12" s="42" t="str">
        <f>IFERROR(__xludf.DUMMYFUNCTION("""COMPUTED_VALUE"""),"Hospital Militar Dr. C. Arvelo")</f>
        <v>Hospital Militar Dr. C. Arvelo</v>
      </c>
    </row>
    <row r="13">
      <c r="A13" s="44">
        <v>12.0</v>
      </c>
      <c r="B13" s="44" t="str">
        <f>IFERROR(__xludf.DUMMYFUNCTION("""COMPUTED_VALUE"""),"Hospital Ana Francisca Pérez de")</f>
        <v>Hospital Ana Francisca Pérez de</v>
      </c>
      <c r="C13" s="45" t="str">
        <f>IFERROR(__xludf.DUMMYFUNCTION("""COMPUTED_VALUE"""),"SAO BURLIS")</f>
        <v>SAO BURLIS</v>
      </c>
      <c r="D13" s="44">
        <f>IFERROR(__xludf.DUMMYFUNCTION("""COMPUTED_VALUE"""),53.0)</f>
        <v>53</v>
      </c>
      <c r="E13" s="44" t="str">
        <f>IFERROR(__xludf.DUMMYFUNCTION("""COMPUTED_VALUE"""),"10481980")</f>
        <v>10481980</v>
      </c>
      <c r="F13" s="44" t="str">
        <f>IFERROR(__xludf.DUMMYFUNCTION("""COMPUTED_VALUE"""),"")</f>
        <v/>
      </c>
      <c r="G13" s="44" t="str">
        <f>IFERROR(__xludf.DUMMYFUNCTION("""COMPUTED_VALUE""")," ")</f>
        <v> </v>
      </c>
      <c r="H13" s="44" t="str">
        <f>IFERROR(__xludf.DUMMYFUNCTION("""COMPUTED_VALUE"""),"La Guaira")</f>
        <v>La Guaira</v>
      </c>
      <c r="I13" s="44" t="str">
        <f>IFERROR(__xludf.DUMMYFUNCTION("""COMPUTED_VALUE""")," ")</f>
        <v> </v>
      </c>
      <c r="J13" s="44" t="str">
        <f>IFERROR(__xludf.DUMMYFUNCTION("""COMPUTED_VALUE"""),"")</f>
        <v/>
      </c>
      <c r="K13" s="42" t="str">
        <f>IFERROR(__xludf.DUMMYFUNCTION("""COMPUTED_VALUE"""),"Hospital Ana Francisca Pérez de")</f>
        <v>Hospital Ana Francisca Pérez de</v>
      </c>
    </row>
    <row r="14">
      <c r="A14" s="44">
        <v>13.0</v>
      </c>
      <c r="B14" s="44" t="str">
        <f>IFERROR(__xludf.DUMMYFUNCTION("""COMPUTED_VALUE"""),"Hospital Ana Francisca Pérez de")</f>
        <v>Hospital Ana Francisca Pérez de</v>
      </c>
      <c r="C14" s="45" t="str">
        <f>IFERROR(__xludf.DUMMYFUNCTION("""COMPUTED_VALUE"""),"BERLIS SSO")</f>
        <v>BERLIS SSO</v>
      </c>
      <c r="D14" s="44">
        <f>IFERROR(__xludf.DUMMYFUNCTION("""COMPUTED_VALUE"""),53.0)</f>
        <v>53</v>
      </c>
      <c r="E14" s="44" t="str">
        <f>IFERROR(__xludf.DUMMYFUNCTION("""COMPUTED_VALUE"""),"104819800")</f>
        <v>104819800</v>
      </c>
      <c r="F14" s="44" t="str">
        <f>IFERROR(__xludf.DUMMYFUNCTION("""COMPUTED_VALUE"""),"")</f>
        <v/>
      </c>
      <c r="G14" s="44" t="str">
        <f>IFERROR(__xludf.DUMMYFUNCTION("""COMPUTED_VALUE""")," ")</f>
        <v> </v>
      </c>
      <c r="H14" s="44" t="str">
        <f>IFERROR(__xludf.DUMMYFUNCTION("""COMPUTED_VALUE"""),"La Guaira")</f>
        <v>La Guaira</v>
      </c>
      <c r="I14" s="44" t="str">
        <f>IFERROR(__xludf.DUMMYFUNCTION("""COMPUTED_VALUE""")," ")</f>
        <v> </v>
      </c>
      <c r="J14" s="44" t="str">
        <f>IFERROR(__xludf.DUMMYFUNCTION("""COMPUTED_VALUE"""),"")</f>
        <v/>
      </c>
      <c r="K14" s="42" t="str">
        <f>IFERROR(__xludf.DUMMYFUNCTION("""COMPUTED_VALUE"""),"🔍 BUSCAR PACIENTES")</f>
        <v>🔍 BUSCAR PACIENTES</v>
      </c>
    </row>
    <row r="15">
      <c r="A15" s="44">
        <v>14.0</v>
      </c>
      <c r="B15" s="44" t="str">
        <f>IFERROR(__xludf.DUMMYFUNCTION("""COMPUTED_VALUE"""),"Hospital Vargas de Caracas")</f>
        <v>Hospital Vargas de Caracas</v>
      </c>
      <c r="C15" s="45" t="str">
        <f>IFERROR(__xludf.DUMMYFUNCTION("""COMPUTED_VALUE"""),"GOMEZ WILMER")</f>
        <v>GOMEZ WILMER</v>
      </c>
      <c r="D15" s="44" t="str">
        <f>IFERROR(__xludf.DUMMYFUNCTION("""COMPUTED_VALUE""")," ")</f>
        <v> </v>
      </c>
      <c r="E15" s="44" t="str">
        <f>IFERROR(__xludf.DUMMYFUNCTION("""COMPUTED_VALUE"""),"10482646")</f>
        <v>10482646</v>
      </c>
      <c r="F15" s="44" t="str">
        <f>IFERROR(__xludf.DUMMYFUNCTION("""COMPUTED_VALUE""")," ")</f>
        <v> </v>
      </c>
      <c r="G15" s="44" t="str">
        <f>IFERROR(__xludf.DUMMYFUNCTION("""COMPUTED_VALUE"""),"")</f>
        <v/>
      </c>
      <c r="H15" s="44" t="str">
        <f>IFERROR(__xludf.DUMMYFUNCTION("""COMPUTED_VALUE""")," ")</f>
        <v> </v>
      </c>
      <c r="I15" s="44" t="str">
        <f>IFERROR(__xludf.DUMMYFUNCTION("""COMPUTED_VALUE""")," ")</f>
        <v> </v>
      </c>
      <c r="J15" s="44" t="str">
        <f>IFERROR(__xludf.DUMMYFUNCTION("""COMPUTED_VALUE"""),"")</f>
        <v/>
      </c>
      <c r="K15" s="42" t="str">
        <f>IFERROR(__xludf.DUMMYFUNCTION("""COMPUTED_VALUE"""),"Hospital Vargas de Caracas")</f>
        <v>Hospital Vargas de Caracas</v>
      </c>
    </row>
    <row r="16">
      <c r="A16" s="44">
        <v>15.0</v>
      </c>
      <c r="B16" s="44" t="str">
        <f>IFERROR(__xludf.DUMMYFUNCTION("""COMPUTED_VALUE"""),"Hospital Universitario de Carac")</f>
        <v>Hospital Universitario de Carac</v>
      </c>
      <c r="C16" s="45" t="str">
        <f>IFERROR(__xludf.DUMMYFUNCTION("""COMPUTED_VALUE"""),"Nancy Montilla")</f>
        <v>Nancy Montilla</v>
      </c>
      <c r="D16" s="44">
        <f>IFERROR(__xludf.DUMMYFUNCTION("""COMPUTED_VALUE"""),57.0)</f>
        <v>57</v>
      </c>
      <c r="E16" s="44" t="str">
        <f>IFERROR(__xludf.DUMMYFUNCTION("""COMPUTED_VALUE"""),"10513576")</f>
        <v>10513576</v>
      </c>
      <c r="F16" s="44" t="str">
        <f>IFERROR(__xludf.DUMMYFUNCTION("""COMPUTED_VALUE"""),"")</f>
        <v/>
      </c>
      <c r="G16" s="44"/>
      <c r="H16" s="44" t="str">
        <f>IFERROR(__xludf.DUMMYFUNCTION("""COMPUTED_VALUE"""),"El Cementerio")</f>
        <v>El Cementerio</v>
      </c>
      <c r="I16" s="44" t="str">
        <f>IFERROR(__xludf.DUMMYFUNCTION("""COMPUTED_VALUE"""),"Politraumatismo")</f>
        <v>Politraumatismo</v>
      </c>
      <c r="J16" s="44" t="str">
        <f>IFERROR(__xludf.DUMMYFUNCTION("""COMPUTED_VALUE"""),"")</f>
        <v/>
      </c>
      <c r="K16" s="42" t="str">
        <f>IFERROR(__xludf.DUMMYFUNCTION("""COMPUTED_VALUE"""),"Hospital Universitario de Carac")</f>
        <v>Hospital Universitario de Carac</v>
      </c>
    </row>
    <row r="17">
      <c r="A17" s="44">
        <v>16.0</v>
      </c>
      <c r="B17" s="44" t="str">
        <f>IFERROR(__xludf.DUMMYFUNCTION("""COMPUTED_VALUE"""),"Hospital Pérez Carreño")</f>
        <v>Hospital Pérez Carreño</v>
      </c>
      <c r="C17" s="45" t="str">
        <f>IFERROR(__xludf.DUMMYFUNCTION("""COMPUTED_VALUE"""),"Amilcar Nastao")</f>
        <v>Amilcar Nastao</v>
      </c>
      <c r="D17" s="44"/>
      <c r="E17" s="44" t="str">
        <f>IFERROR(__xludf.DUMMYFUNCTION("""COMPUTED_VALUE"""),"10514238")</f>
        <v>10514238</v>
      </c>
      <c r="F17" s="44" t="str">
        <f>IFERROR(__xludf.DUMMYFUNCTION("""COMPUTED_VALUE"""),"")</f>
        <v/>
      </c>
      <c r="G17" s="44" t="str">
        <f>IFERROR(__xludf.DUMMYFUNCTION("""COMPUTED_VALUE"""),"Traumashock ")</f>
        <v>Traumashock </v>
      </c>
      <c r="H17" s="44" t="str">
        <f>IFERROR(__xludf.DUMMYFUNCTION("""COMPUTED_VALUE"""),"Hospital Miguel Perez Carreño")</f>
        <v>Hospital Miguel Perez Carreño</v>
      </c>
      <c r="I17" s="44"/>
      <c r="J17" s="44" t="str">
        <f>IFERROR(__xludf.DUMMYFUNCTION("""COMPUTED_VALUE"""),"26/6/26")</f>
        <v>26/6/26</v>
      </c>
      <c r="K17" s="42" t="str">
        <f>IFERROR(__xludf.DUMMYFUNCTION("""COMPUTED_VALUE"""),"Hospital Pérez Carreño")</f>
        <v>Hospital Pérez Carreño</v>
      </c>
    </row>
    <row r="18">
      <c r="A18" s="44">
        <v>17.0</v>
      </c>
      <c r="B18" s="44" t="str">
        <f>IFERROR(__xludf.DUMMYFUNCTION("""COMPUTED_VALUE"""),"Periférico de Catia")</f>
        <v>Periférico de Catia</v>
      </c>
      <c r="C18" s="45" t="str">
        <f>IFERROR(__xludf.DUMMYFUNCTION("""COMPUTED_VALUE"""),"LOPEZ INGRID")</f>
        <v>LOPEZ INGRID</v>
      </c>
      <c r="D18" s="44">
        <f>IFERROR(__xludf.DUMMYFUNCTION("""COMPUTED_VALUE"""),38.0)</f>
        <v>38</v>
      </c>
      <c r="E18" s="44" t="str">
        <f>IFERROR(__xludf.DUMMYFUNCTION("""COMPUTED_VALUE"""),"10528878")</f>
        <v>10528878</v>
      </c>
      <c r="F18" s="44" t="str">
        <f>IFERROR(__xludf.DUMMYFUNCTION("""COMPUTED_VALUE"""),"")</f>
        <v/>
      </c>
      <c r="G18" s="44" t="str">
        <f>IFERROR(__xludf.DUMMYFUNCTION("""COMPUTED_VALUE""")," ")</f>
        <v> </v>
      </c>
      <c r="H18" s="44" t="str">
        <f>IFERROR(__xludf.DUMMYFUNCTION("""COMPUTED_VALUE""")," ")</f>
        <v> </v>
      </c>
      <c r="I18" s="44" t="str">
        <f>IFERROR(__xludf.DUMMYFUNCTION("""COMPUTED_VALUE"""),"Cirugía/Trauma")</f>
        <v>Cirugía/Trauma</v>
      </c>
      <c r="J18" s="44" t="str">
        <f>IFERROR(__xludf.DUMMYFUNCTION("""COMPUTED_VALUE"""),"")</f>
        <v/>
      </c>
      <c r="K18" s="42" t="str">
        <f>IFERROR(__xludf.DUMMYFUNCTION("""COMPUTED_VALUE"""),"Periférico de Catia")</f>
        <v>Periférico de Catia</v>
      </c>
    </row>
    <row r="19">
      <c r="A19" s="44">
        <v>18.0</v>
      </c>
      <c r="B19" s="44" t="str">
        <f>IFERROR(__xludf.DUMMYFUNCTION("""COMPUTED_VALUE"""),"Periférico de Catia")</f>
        <v>Periférico de Catia</v>
      </c>
      <c r="C19" s="45" t="str">
        <f>IFERROR(__xludf.DUMMYFUNCTION("""COMPUTED_VALUE"""),"INGRID LOPEZ")</f>
        <v>INGRID LOPEZ</v>
      </c>
      <c r="D19" s="44">
        <f>IFERROR(__xludf.DUMMYFUNCTION("""COMPUTED_VALUE"""),58.0)</f>
        <v>58</v>
      </c>
      <c r="E19" s="44" t="str">
        <f>IFERROR(__xludf.DUMMYFUNCTION("""COMPUTED_VALUE"""),"105288780")</f>
        <v>105288780</v>
      </c>
      <c r="F19" s="44" t="str">
        <f>IFERROR(__xludf.DUMMYFUNCTION("""COMPUTED_VALUE"""),"")</f>
        <v/>
      </c>
      <c r="G19" s="44" t="str">
        <f>IFERROR(__xludf.DUMMYFUNCTION("""COMPUTED_VALUE""")," ")</f>
        <v> </v>
      </c>
      <c r="H19" s="44" t="str">
        <f>IFERROR(__xludf.DUMMYFUNCTION("""COMPUTED_VALUE"""),"Sin información")</f>
        <v>Sin información</v>
      </c>
      <c r="I19" s="44" t="str">
        <f>IFERROR(__xludf.DUMMYFUNCTION("""COMPUTED_VALUE"""),"Cirugía / Trauma")</f>
        <v>Cirugía / Trauma</v>
      </c>
      <c r="J19" s="44" t="str">
        <f>IFERROR(__xludf.DUMMYFUNCTION("""COMPUTED_VALUE"""),"")</f>
        <v/>
      </c>
      <c r="K19" s="42" t="str">
        <f>IFERROR(__xludf.DUMMYFUNCTION("""COMPUTED_VALUE"""),"Periférico de Catia")</f>
        <v>Periférico de Catia</v>
      </c>
    </row>
    <row r="20">
      <c r="A20" s="44">
        <v>19.0</v>
      </c>
      <c r="B20" s="44" t="str">
        <f>IFERROR(__xludf.DUMMYFUNCTION("""COMPUTED_VALUE"""),"Hospital Dr. José Gregorio Hern")</f>
        <v>Hospital Dr. José Gregorio Hern</v>
      </c>
      <c r="C20" s="45" t="str">
        <f>IFERROR(__xludf.DUMMYFUNCTION("""COMPUTED_VALUE"""),"MARQUEZ GABRIEL")</f>
        <v>MARQUEZ GABRIEL</v>
      </c>
      <c r="D20" s="44">
        <f>IFERROR(__xludf.DUMMYFUNCTION("""COMPUTED_VALUE"""),65.0)</f>
        <v>65</v>
      </c>
      <c r="E20" s="44" t="str">
        <f>IFERROR(__xludf.DUMMYFUNCTION("""COMPUTED_VALUE"""),"10535710")</f>
        <v>10535710</v>
      </c>
      <c r="F20" s="44" t="str">
        <f>IFERROR(__xludf.DUMMYFUNCTION("""COMPUTED_VALUE"""),"")</f>
        <v/>
      </c>
      <c r="G20" s="44" t="str">
        <f>IFERROR(__xludf.DUMMYFUNCTION("""COMPUTED_VALUE""")," ")</f>
        <v> </v>
      </c>
      <c r="H20" s="44" t="str">
        <f>IFERROR(__xludf.DUMMYFUNCTION("""COMPUTED_VALUE""")," ")</f>
        <v> </v>
      </c>
      <c r="I20" s="44" t="str">
        <f>IFERROR(__xludf.DUMMYFUNCTION("""COMPUTED_VALUE"""),"Internado")</f>
        <v>Internado</v>
      </c>
      <c r="J20" s="44" t="str">
        <f>IFERROR(__xludf.DUMMYFUNCTION("""COMPUTED_VALUE"""),"")</f>
        <v/>
      </c>
      <c r="K20" s="42" t="str">
        <f>IFERROR(__xludf.DUMMYFUNCTION("""COMPUTED_VALUE"""),"Hospital Dr. José Gregorio Hern")</f>
        <v>Hospital Dr. José Gregorio Hern</v>
      </c>
    </row>
    <row r="21">
      <c r="A21" s="44">
        <v>20.0</v>
      </c>
      <c r="B21" s="44" t="str">
        <f>IFERROR(__xludf.DUMMYFUNCTION("""COMPUTED_VALUE"""),"Hospital Militar Dr. C. Arvelo")</f>
        <v>Hospital Militar Dr. C. Arvelo</v>
      </c>
      <c r="C21" s="45" t="str">
        <f>IFERROR(__xludf.DUMMYFUNCTION("""COMPUTED_VALUE"""),"Durán José")</f>
        <v>Durán José</v>
      </c>
      <c r="D21" s="44">
        <f>IFERROR(__xludf.DUMMYFUNCTION("""COMPUTED_VALUE"""),59.0)</f>
        <v>59</v>
      </c>
      <c r="E21" s="44" t="str">
        <f>IFERROR(__xludf.DUMMYFUNCTION("""COMPUTED_VALUE"""),"10549929")</f>
        <v>10549929</v>
      </c>
      <c r="F21" s="44" t="str">
        <f>IFERROR(__xludf.DUMMYFUNCTION("""COMPUTED_VALUE"""),"")</f>
        <v/>
      </c>
      <c r="G21" s="44" t="str">
        <f>IFERROR(__xludf.DUMMYFUNCTION("""COMPUTED_VALUE"""),"")</f>
        <v/>
      </c>
      <c r="H21" s="44" t="str">
        <f>IFERROR(__xludf.DUMMYFUNCTION("""COMPUTED_VALUE"""),"M")</f>
        <v>M</v>
      </c>
      <c r="I21" s="44" t="str">
        <f>IFERROR(__xludf.DUMMYFUNCTION("""COMPUTED_VALUE"""),"Artigas PNA")</f>
        <v>Artigas PNA</v>
      </c>
      <c r="J21" s="44" t="str">
        <f>IFERROR(__xludf.DUMMYFUNCTION("""COMPUTED_VALUE"""),"24/6/2026")</f>
        <v>24/6/2026</v>
      </c>
      <c r="K21" s="42" t="str">
        <f>IFERROR(__xludf.DUMMYFUNCTION("""COMPUTED_VALUE"""),"Hospital Militar Dr. C. Arvelo")</f>
        <v>Hospital Militar Dr. C. Arvelo</v>
      </c>
    </row>
    <row r="22">
      <c r="A22" s="44">
        <v>21.0</v>
      </c>
      <c r="B22" s="44" t="str">
        <f>IFERROR(__xludf.DUMMYFUNCTION("""COMPUTED_VALUE"""),"Hospital Pérez Carreño")</f>
        <v>Hospital Pérez Carreño</v>
      </c>
      <c r="C22" s="45" t="str">
        <f>IFERROR(__xludf.DUMMYFUNCTION("""COMPUTED_VALUE"""),"DIAZ ANA")</f>
        <v>DIAZ ANA</v>
      </c>
      <c r="D22" s="44" t="str">
        <f>IFERROR(__xludf.DUMMYFUNCTION("""COMPUTED_VALUE""")," ")</f>
        <v> </v>
      </c>
      <c r="E22" s="44" t="str">
        <f>IFERROR(__xludf.DUMMYFUNCTION("""COMPUTED_VALUE"""),"10576803")</f>
        <v>10576803</v>
      </c>
      <c r="F22" s="44" t="str">
        <f>IFERROR(__xludf.DUMMYFUNCTION("""COMPUTED_VALUE"""),"")</f>
        <v/>
      </c>
      <c r="G22" s="44" t="str">
        <f>IFERROR(__xludf.DUMMYFUNCTION("""COMPUTED_VALUE""")," ")</f>
        <v> </v>
      </c>
      <c r="H22" s="44" t="str">
        <f>IFERROR(__xludf.DUMMYFUNCTION("""COMPUTED_VALUE""")," ")</f>
        <v> </v>
      </c>
      <c r="I22" s="44" t="str">
        <f>IFERROR(__xludf.DUMMYFUNCTION("""COMPUTED_VALUE""")," ")</f>
        <v> </v>
      </c>
      <c r="J22" s="44" t="str">
        <f>IFERROR(__xludf.DUMMYFUNCTION("""COMPUTED_VALUE"""),"25/06/2026")</f>
        <v>25/06/2026</v>
      </c>
      <c r="K22" s="42" t="str">
        <f>IFERROR(__xludf.DUMMYFUNCTION("""COMPUTED_VALUE"""),"Hospital Pérez Carreño")</f>
        <v>Hospital Pérez Carreño</v>
      </c>
    </row>
    <row r="23">
      <c r="A23" s="44">
        <v>22.0</v>
      </c>
      <c r="B23" s="44" t="str">
        <f>IFERROR(__xludf.DUMMYFUNCTION("""COMPUTED_VALUE"""),"Hospital Pérez Carreño")</f>
        <v>Hospital Pérez Carreño</v>
      </c>
      <c r="C23" s="45" t="str">
        <f>IFERROR(__xludf.DUMMYFUNCTION("""COMPUTED_VALUE"""),"DIAS LOZADA ANA FELICIA")</f>
        <v>DIAS LOZADA ANA FELICIA</v>
      </c>
      <c r="D23" s="44" t="str">
        <f>IFERROR(__xludf.DUMMYFUNCTION("""COMPUTED_VALUE"""),"Sin información")</f>
        <v>Sin información</v>
      </c>
      <c r="E23" s="44" t="str">
        <f>IFERROR(__xludf.DUMMYFUNCTION("""COMPUTED_VALUE"""),"105768030")</f>
        <v>105768030</v>
      </c>
      <c r="F23" s="44" t="str">
        <f>IFERROR(__xludf.DUMMYFUNCTION("""COMPUTED_VALUE"""),"")</f>
        <v/>
      </c>
      <c r="G23" s="44" t="str">
        <f>IFERROR(__xludf.DUMMYFUNCTION("""COMPUTED_VALUE""")," ")</f>
        <v> </v>
      </c>
      <c r="H23" s="44" t="str">
        <f>IFERROR(__xludf.DUMMYFUNCTION("""COMPUTED_VALUE"""),"Sin información")</f>
        <v>Sin información</v>
      </c>
      <c r="I23" s="44" t="str">
        <f>IFERROR(__xludf.DUMMYFUNCTION("""COMPUTED_VALUE"""),"Sin información")</f>
        <v>Sin información</v>
      </c>
      <c r="J23" s="44" t="str">
        <f>IFERROR(__xludf.DUMMYFUNCTION("""COMPUTED_VALUE"""),"25/06/2026")</f>
        <v>25/06/2026</v>
      </c>
      <c r="K23" s="42" t="str">
        <f>IFERROR(__xludf.DUMMYFUNCTION("""COMPUTED_VALUE"""),"Hospital Pérez Carreño")</f>
        <v>Hospital Pérez Carreño</v>
      </c>
    </row>
    <row r="24">
      <c r="A24" s="44">
        <v>23.0</v>
      </c>
      <c r="B24" s="44" t="str">
        <f>IFERROR(__xludf.DUMMYFUNCTION("""COMPUTED_VALUE"""),"La Guaira Sin Hospital")</f>
        <v>La Guaira Sin Hospital</v>
      </c>
      <c r="C24" s="45" t="str">
        <f>IFERROR(__xludf.DUMMYFUNCTION("""COMPUTED_VALUE"""),"Martinez Marlin")</f>
        <v>Martinez Marlin</v>
      </c>
      <c r="D24" s="44" t="str">
        <f>IFERROR(__xludf.DUMMYFUNCTION("""COMPUTED_VALUE"""),"")</f>
        <v/>
      </c>
      <c r="E24" s="44" t="str">
        <f>IFERROR(__xludf.DUMMYFUNCTION("""COMPUTED_VALUE"""),"10576891")</f>
        <v>10576891</v>
      </c>
      <c r="F24" s="44" t="str">
        <f>IFERROR(__xludf.DUMMYFUNCTION("""COMPUTED_VALUE"""),"")</f>
        <v/>
      </c>
      <c r="G24" s="44" t="str">
        <f>IFERROR(__xludf.DUMMYFUNCTION("""COMPUTED_VALUE"""),"")</f>
        <v/>
      </c>
      <c r="H24" s="44"/>
      <c r="I24" s="44" t="str">
        <f>IFERROR(__xludf.DUMMYFUNCTION("""COMPUTED_VALUE"""),"Listas con cédula")</f>
        <v>Listas con cédula</v>
      </c>
      <c r="J24" s="44" t="str">
        <f>IFERROR(__xludf.DUMMYFUNCTION("""COMPUTED_VALUE"""),"")</f>
        <v/>
      </c>
      <c r="K24" s="42" t="str">
        <f>IFERROR(__xludf.DUMMYFUNCTION("""COMPUTED_VALUE"""),"La Guaira Sin Hospital")</f>
        <v>La Guaira Sin Hospital</v>
      </c>
    </row>
    <row r="25">
      <c r="A25" s="44">
        <v>24.0</v>
      </c>
      <c r="B25" s="44" t="str">
        <f>IFERROR(__xludf.DUMMYFUNCTION("""COMPUTED_VALUE"""),"Hospital Pérez Carreño")</f>
        <v>Hospital Pérez Carreño</v>
      </c>
      <c r="C25" s="45" t="str">
        <f>IFERROR(__xludf.DUMMYFUNCTION("""COMPUTED_VALUE"""),"MARTINEZ MARLIN")</f>
        <v>MARTINEZ MARLIN</v>
      </c>
      <c r="D25" s="44" t="str">
        <f>IFERROR(__xludf.DUMMYFUNCTION("""COMPUTED_VALUE""")," ")</f>
        <v> </v>
      </c>
      <c r="E25" s="44" t="str">
        <f>IFERROR(__xludf.DUMMYFUNCTION("""COMPUTED_VALUE"""),"10576899")</f>
        <v>10576899</v>
      </c>
      <c r="F25" s="44" t="str">
        <f>IFERROR(__xludf.DUMMYFUNCTION("""COMPUTED_VALUE"""),"")</f>
        <v/>
      </c>
      <c r="G25" s="44" t="str">
        <f>IFERROR(__xludf.DUMMYFUNCTION("""COMPUTED_VALUE""")," ")</f>
        <v> </v>
      </c>
      <c r="H25" s="44" t="str">
        <f>IFERROR(__xludf.DUMMYFUNCTION("""COMPUTED_VALUE""")," ")</f>
        <v> </v>
      </c>
      <c r="I25" s="44" t="str">
        <f>IFERROR(__xludf.DUMMYFUNCTION("""COMPUTED_VALUE""")," ")</f>
        <v> </v>
      </c>
      <c r="J25" s="44" t="str">
        <f>IFERROR(__xludf.DUMMYFUNCTION("""COMPUTED_VALUE"""),"25/06/2026")</f>
        <v>25/06/2026</v>
      </c>
      <c r="K25" s="42" t="str">
        <f>IFERROR(__xludf.DUMMYFUNCTION("""COMPUTED_VALUE"""),"Hospital Pérez Carreño")</f>
        <v>Hospital Pérez Carreño</v>
      </c>
    </row>
    <row r="26">
      <c r="A26" s="44">
        <v>25.0</v>
      </c>
      <c r="B26" s="44" t="str">
        <f>IFERROR(__xludf.DUMMYFUNCTION("""COMPUTED_VALUE"""),"Hospital Pérez Carreño")</f>
        <v>Hospital Pérez Carreño</v>
      </c>
      <c r="C26" s="45" t="str">
        <f>IFERROR(__xludf.DUMMYFUNCTION("""COMPUTED_VALUE"""),"MARLIN MARTINEZ")</f>
        <v>MARLIN MARTINEZ</v>
      </c>
      <c r="D26" s="44" t="str">
        <f>IFERROR(__xludf.DUMMYFUNCTION("""COMPUTED_VALUE""")," ")</f>
        <v> </v>
      </c>
      <c r="E26" s="44" t="str">
        <f>IFERROR(__xludf.DUMMYFUNCTION("""COMPUTED_VALUE"""),"105768990")</f>
        <v>105768990</v>
      </c>
      <c r="F26" s="44" t="str">
        <f>IFERROR(__xludf.DUMMYFUNCTION("""COMPUTED_VALUE"""),"")</f>
        <v/>
      </c>
      <c r="G26" s="44" t="str">
        <f>IFERROR(__xludf.DUMMYFUNCTION("""COMPUTED_VALUE""")," ")</f>
        <v> </v>
      </c>
      <c r="H26" s="44" t="str">
        <f>IFERROR(__xludf.DUMMYFUNCTION("""COMPUTED_VALUE""")," ")</f>
        <v> </v>
      </c>
      <c r="I26" s="44" t="str">
        <f>IFERROR(__xludf.DUMMYFUNCTION("""COMPUTED_VALUE""")," ")</f>
        <v> </v>
      </c>
      <c r="J26" s="44" t="str">
        <f>IFERROR(__xludf.DUMMYFUNCTION("""COMPUTED_VALUE"""),"25/06/2026")</f>
        <v>25/06/2026</v>
      </c>
      <c r="K26" s="42" t="str">
        <f>IFERROR(__xludf.DUMMYFUNCTION("""COMPUTED_VALUE"""),"Hospital Pérez Carreño")</f>
        <v>Hospital Pérez Carreño</v>
      </c>
    </row>
    <row r="27">
      <c r="A27" s="44">
        <v>26.0</v>
      </c>
      <c r="B27" s="44" t="str">
        <f>IFERROR(__xludf.DUMMYFUNCTION("""COMPUTED_VALUE"""),"Hospital Pérez Carreño")</f>
        <v>Hospital Pérez Carreño</v>
      </c>
      <c r="C27" s="45" t="str">
        <f>IFERROR(__xludf.DUMMYFUNCTION("""COMPUTED_VALUE"""),"MARLIN MARTINEZ")</f>
        <v>MARLIN MARTINEZ</v>
      </c>
      <c r="D27" s="44" t="str">
        <f>IFERROR(__xludf.DUMMYFUNCTION("""COMPUTED_VALUE"""),"Sin información")</f>
        <v>Sin información</v>
      </c>
      <c r="E27" s="44" t="str">
        <f>IFERROR(__xludf.DUMMYFUNCTION("""COMPUTED_VALUE"""),"105769990")</f>
        <v>105769990</v>
      </c>
      <c r="F27" s="44" t="str">
        <f>IFERROR(__xludf.DUMMYFUNCTION("""COMPUTED_VALUE"""),"")</f>
        <v/>
      </c>
      <c r="G27" s="44" t="str">
        <f>IFERROR(__xludf.DUMMYFUNCTION("""COMPUTED_VALUE""")," ")</f>
        <v> </v>
      </c>
      <c r="H27" s="44" t="str">
        <f>IFERROR(__xludf.DUMMYFUNCTION("""COMPUTED_VALUE"""),"Sin información")</f>
        <v>Sin información</v>
      </c>
      <c r="I27" s="44" t="str">
        <f>IFERROR(__xludf.DUMMYFUNCTION("""COMPUTED_VALUE"""),"Sin información")</f>
        <v>Sin información</v>
      </c>
      <c r="J27" s="44" t="str">
        <f>IFERROR(__xludf.DUMMYFUNCTION("""COMPUTED_VALUE"""),"25/06/2026")</f>
        <v>25/06/2026</v>
      </c>
      <c r="K27" s="42" t="str">
        <f>IFERROR(__xludf.DUMMYFUNCTION("""COMPUTED_VALUE"""),"Hospital Pérez Carreño")</f>
        <v>Hospital Pérez Carreño</v>
      </c>
    </row>
    <row r="28">
      <c r="A28" s="44">
        <v>27.0</v>
      </c>
      <c r="B28" s="44" t="str">
        <f>IFERROR(__xludf.DUMMYFUNCTION("""COMPUTED_VALUE"""),"Hospital Militar Dr. C. Arvelo")</f>
        <v>Hospital Militar Dr. C. Arvelo</v>
      </c>
      <c r="C28" s="45" t="str">
        <f>IFERROR(__xludf.DUMMYFUNCTION("""COMPUTED_VALUE"""),"Marcano Odalis")</f>
        <v>Marcano Odalis</v>
      </c>
      <c r="D28" s="44">
        <f>IFERROR(__xludf.DUMMYFUNCTION("""COMPUTED_VALUE"""),57.0)</f>
        <v>57</v>
      </c>
      <c r="E28" s="44" t="str">
        <f>IFERROR(__xludf.DUMMYFUNCTION("""COMPUTED_VALUE"""),"10581191")</f>
        <v>10581191</v>
      </c>
      <c r="F28" s="44" t="str">
        <f>IFERROR(__xludf.DUMMYFUNCTION("""COMPUTED_VALUE"""),"")</f>
        <v/>
      </c>
      <c r="G28" s="44" t="str">
        <f>IFERROR(__xludf.DUMMYFUNCTION("""COMPUTED_VALUE"""),"")</f>
        <v/>
      </c>
      <c r="H28" s="44" t="str">
        <f>IFERROR(__xludf.DUMMYFUNCTION("""COMPUTED_VALUE"""),"F")</f>
        <v>F</v>
      </c>
      <c r="I28" s="44" t="str">
        <f>IFERROR(__xludf.DUMMYFUNCTION("""COMPUTED_VALUE"""),"La Guaira PNA")</f>
        <v>La Guaira PNA</v>
      </c>
      <c r="J28" s="44" t="str">
        <f>IFERROR(__xludf.DUMMYFUNCTION("""COMPUTED_VALUE"""),"24/6/2026")</f>
        <v>24/6/2026</v>
      </c>
      <c r="K28" s="42" t="str">
        <f>IFERROR(__xludf.DUMMYFUNCTION("""COMPUTED_VALUE"""),"Hospital Militar Dr. C. Arvelo")</f>
        <v>Hospital Militar Dr. C. Arvelo</v>
      </c>
    </row>
    <row r="29">
      <c r="A29" s="44">
        <v>28.0</v>
      </c>
      <c r="B29" s="44" t="str">
        <f>IFERROR(__xludf.DUMMYFUNCTION("""COMPUTED_VALUE"""),"Hospital Vargas de Caracas")</f>
        <v>Hospital Vargas de Caracas</v>
      </c>
      <c r="C29" s="45" t="str">
        <f>IFERROR(__xludf.DUMMYFUNCTION("""COMPUTED_VALUE"""),"BARAS ESMERALDA")</f>
        <v>BARAS ESMERALDA</v>
      </c>
      <c r="D29" s="44">
        <f>IFERROR(__xludf.DUMMYFUNCTION("""COMPUTED_VALUE"""),54.0)</f>
        <v>54</v>
      </c>
      <c r="E29" s="44" t="str">
        <f>IFERROR(__xludf.DUMMYFUNCTION("""COMPUTED_VALUE"""),"10582063")</f>
        <v>10582063</v>
      </c>
      <c r="F29" s="44" t="str">
        <f>IFERROR(__xludf.DUMMYFUNCTION("""COMPUTED_VALUE""")," ")</f>
        <v> </v>
      </c>
      <c r="G29" s="44" t="str">
        <f>IFERROR(__xludf.DUMMYFUNCTION("""COMPUTED_VALUE"""),"")</f>
        <v/>
      </c>
      <c r="H29" s="44" t="str">
        <f>IFERROR(__xludf.DUMMYFUNCTION("""COMPUTED_VALUE"""),"La Guaira")</f>
        <v>La Guaira</v>
      </c>
      <c r="I29" s="44" t="str">
        <f>IFERROR(__xludf.DUMMYFUNCTION("""COMPUTED_VALUE"""),"UPT")</f>
        <v>UPT</v>
      </c>
      <c r="J29" s="44" t="str">
        <f>IFERROR(__xludf.DUMMYFUNCTION("""COMPUTED_VALUE"""),"")</f>
        <v/>
      </c>
      <c r="K29" s="42" t="str">
        <f>IFERROR(__xludf.DUMMYFUNCTION("""COMPUTED_VALUE"""),"Hospital Vargas de Caracas")</f>
        <v>Hospital Vargas de Caracas</v>
      </c>
    </row>
    <row r="30">
      <c r="A30" s="44">
        <v>29.0</v>
      </c>
      <c r="B30" s="44" t="str">
        <f>IFERROR(__xludf.DUMMYFUNCTION("""COMPUTED_VALUE"""),"Hospital Pérez Carreño")</f>
        <v>Hospital Pérez Carreño</v>
      </c>
      <c r="C30" s="45" t="str">
        <f>IFERROR(__xludf.DUMMYFUNCTION("""COMPUTED_VALUE"""),"ADIAN MILAGRO")</f>
        <v>ADIAN MILAGRO</v>
      </c>
      <c r="D30" s="44" t="str">
        <f>IFERROR(__xludf.DUMMYFUNCTION("""COMPUTED_VALUE""")," ")</f>
        <v> </v>
      </c>
      <c r="E30" s="44" t="str">
        <f>IFERROR(__xludf.DUMMYFUNCTION("""COMPUTED_VALUE"""),"10583198")</f>
        <v>10583198</v>
      </c>
      <c r="F30" s="44" t="str">
        <f>IFERROR(__xludf.DUMMYFUNCTION("""COMPUTED_VALUE"""),"")</f>
        <v/>
      </c>
      <c r="G30" s="44" t="str">
        <f>IFERROR(__xludf.DUMMYFUNCTION("""COMPUTED_VALUE""")," ")</f>
        <v> </v>
      </c>
      <c r="H30" s="44" t="str">
        <f>IFERROR(__xludf.DUMMYFUNCTION("""COMPUTED_VALUE""")," ")</f>
        <v> </v>
      </c>
      <c r="I30" s="44" t="str">
        <f>IFERROR(__xludf.DUMMYFUNCTION("""COMPUTED_VALUE"""),"Nuevos Ingresos")</f>
        <v>Nuevos Ingresos</v>
      </c>
      <c r="J30" s="44" t="str">
        <f>IFERROR(__xludf.DUMMYFUNCTION("""COMPUTED_VALUE"""),"25/06/2026")</f>
        <v>25/06/2026</v>
      </c>
      <c r="K30" s="42" t="str">
        <f>IFERROR(__xludf.DUMMYFUNCTION("""COMPUTED_VALUE"""),"Hospital Pérez Carreño")</f>
        <v>Hospital Pérez Carreño</v>
      </c>
    </row>
    <row r="31">
      <c r="A31" s="44">
        <v>30.0</v>
      </c>
      <c r="B31" s="44" t="str">
        <f>IFERROR(__xludf.DUMMYFUNCTION("""COMPUTED_VALUE"""),"Hospital Dr. José Gregorio Hern")</f>
        <v>Hospital Dr. José Gregorio Hern</v>
      </c>
      <c r="C31" s="45" t="str">
        <f>IFERROR(__xludf.DUMMYFUNCTION("""COMPUTED_VALUE"""),"MORALES ZULEMA")</f>
        <v>MORALES ZULEMA</v>
      </c>
      <c r="D31" s="44">
        <f>IFERROR(__xludf.DUMMYFUNCTION("""COMPUTED_VALUE"""),55.0)</f>
        <v>55</v>
      </c>
      <c r="E31" s="44" t="str">
        <f>IFERROR(__xludf.DUMMYFUNCTION("""COMPUTED_VALUE"""),"10627590")</f>
        <v>10627590</v>
      </c>
      <c r="F31" s="44" t="str">
        <f>IFERROR(__xludf.DUMMYFUNCTION("""COMPUTED_VALUE"""),"")</f>
        <v/>
      </c>
      <c r="G31" s="44" t="str">
        <f>IFERROR(__xludf.DUMMYFUNCTION("""COMPUTED_VALUE""")," ")</f>
        <v> </v>
      </c>
      <c r="H31" s="44" t="str">
        <f>IFERROR(__xludf.DUMMYFUNCTION("""COMPUTED_VALUE"""),"Catia")</f>
        <v>Catia</v>
      </c>
      <c r="I31" s="44" t="str">
        <f>IFERROR(__xludf.DUMMYFUNCTION("""COMPUTED_VALUE""")," ")</f>
        <v> </v>
      </c>
      <c r="J31" s="44" t="str">
        <f>IFERROR(__xludf.DUMMYFUNCTION("""COMPUTED_VALUE"""),"")</f>
        <v/>
      </c>
      <c r="K31" s="42" t="str">
        <f>IFERROR(__xludf.DUMMYFUNCTION("""COMPUTED_VALUE"""),"Hospital Dr. José Gregorio Hern")</f>
        <v>Hospital Dr. José Gregorio Hern</v>
      </c>
    </row>
    <row r="32">
      <c r="A32" s="44">
        <v>31.0</v>
      </c>
      <c r="B32" s="44" t="str">
        <f>IFERROR(__xludf.DUMMYFUNCTION("""COMPUTED_VALUE"""),"Hospital Militar Dr. C. Arvelo")</f>
        <v>Hospital Militar Dr. C. Arvelo</v>
      </c>
      <c r="C32" s="45" t="str">
        <f>IFERROR(__xludf.DUMMYFUNCTION("""COMPUTED_VALUE"""),"Luis Martínez")</f>
        <v>Luis Martínez</v>
      </c>
      <c r="D32" s="44">
        <f>IFERROR(__xludf.DUMMYFUNCTION("""COMPUTED_VALUE"""),49.0)</f>
        <v>49</v>
      </c>
      <c r="E32" s="44" t="str">
        <f>IFERROR(__xludf.DUMMYFUNCTION("""COMPUTED_VALUE"""),"10683348")</f>
        <v>10683348</v>
      </c>
      <c r="F32" s="44" t="str">
        <f>IFERROR(__xludf.DUMMYFUNCTION("""COMPUTED_VALUE"""),"")</f>
        <v/>
      </c>
      <c r="G32" s="44" t="str">
        <f>IFERROR(__xludf.DUMMYFUNCTION("""COMPUTED_VALUE"""),"")</f>
        <v/>
      </c>
      <c r="H32" s="44" t="str">
        <f>IFERROR(__xludf.DUMMYFUNCTION("""COMPUTED_VALUE"""),"M")</f>
        <v>M</v>
      </c>
      <c r="I32" s="44" t="str">
        <f>IFERROR(__xludf.DUMMYFUNCTION("""COMPUTED_VALUE"""),"La Guaira PNA")</f>
        <v>La Guaira PNA</v>
      </c>
      <c r="J32" s="44" t="str">
        <f>IFERROR(__xludf.DUMMYFUNCTION("""COMPUTED_VALUE"""),"24/6/2026")</f>
        <v>24/6/2026</v>
      </c>
      <c r="K32" s="42" t="str">
        <f>IFERROR(__xludf.DUMMYFUNCTION("""COMPUTED_VALUE"""),"Hospital Militar Dr. C. Arvelo")</f>
        <v>Hospital Militar Dr. C. Arvelo</v>
      </c>
    </row>
    <row r="33">
      <c r="A33" s="44">
        <v>32.0</v>
      </c>
      <c r="B33" s="44" t="str">
        <f>IFERROR(__xludf.DUMMYFUNCTION("""COMPUTED_VALUE"""),"Hospital Vargas de Caracas")</f>
        <v>Hospital Vargas de Caracas</v>
      </c>
      <c r="C33" s="45" t="str">
        <f>IFERROR(__xludf.DUMMYFUNCTION("""COMPUTED_VALUE"""),"GARCIA JOSE")</f>
        <v>GARCIA JOSE</v>
      </c>
      <c r="D33" s="44">
        <f>IFERROR(__xludf.DUMMYFUNCTION("""COMPUTED_VALUE"""),34.0)</f>
        <v>34</v>
      </c>
      <c r="E33" s="44" t="str">
        <f>IFERROR(__xludf.DUMMYFUNCTION("""COMPUTED_VALUE"""),"10801488")</f>
        <v>10801488</v>
      </c>
      <c r="F33" s="44" t="str">
        <f>IFERROR(__xludf.DUMMYFUNCTION("""COMPUTED_VALUE""")," ")</f>
        <v> </v>
      </c>
      <c r="G33" s="44" t="str">
        <f>IFERROR(__xludf.DUMMYFUNCTION("""COMPUTED_VALUE"""),"")</f>
        <v/>
      </c>
      <c r="H33" s="44" t="str">
        <f>IFERROR(__xludf.DUMMYFUNCTION("""COMPUTED_VALUE"""),"La Guaira")</f>
        <v>La Guaira</v>
      </c>
      <c r="I33" s="44" t="str">
        <f>IFERROR(__xludf.DUMMYFUNCTION("""COMPUTED_VALUE"""),"UPT")</f>
        <v>UPT</v>
      </c>
      <c r="J33" s="44" t="str">
        <f>IFERROR(__xludf.DUMMYFUNCTION("""COMPUTED_VALUE"""),"")</f>
        <v/>
      </c>
      <c r="K33" s="42" t="str">
        <f>IFERROR(__xludf.DUMMYFUNCTION("""COMPUTED_VALUE"""),"Hospital Vargas de Caracas")</f>
        <v>Hospital Vargas de Caracas</v>
      </c>
    </row>
    <row r="34">
      <c r="A34" s="44">
        <v>33.0</v>
      </c>
      <c r="B34" s="44" t="str">
        <f>IFERROR(__xludf.DUMMYFUNCTION("""COMPUTED_VALUE"""),"Hospital Militar Dr. C. Arvelo")</f>
        <v>Hospital Militar Dr. C. Arvelo</v>
      </c>
      <c r="C34" s="45" t="str">
        <f>IFERROR(__xludf.DUMMYFUNCTION("""COMPUTED_VALUE"""),"Espinoza Germán")</f>
        <v>Espinoza Germán</v>
      </c>
      <c r="D34" s="44">
        <f>IFERROR(__xludf.DUMMYFUNCTION("""COMPUTED_VALUE"""),57.0)</f>
        <v>57</v>
      </c>
      <c r="E34" s="44" t="str">
        <f>IFERROR(__xludf.DUMMYFUNCTION("""COMPUTED_VALUE"""),"10810746")</f>
        <v>10810746</v>
      </c>
      <c r="F34" s="44" t="str">
        <f>IFERROR(__xludf.DUMMYFUNCTION("""COMPUTED_VALUE"""),"")</f>
        <v/>
      </c>
      <c r="G34" s="44" t="str">
        <f>IFERROR(__xludf.DUMMYFUNCTION("""COMPUTED_VALUE"""),"")</f>
        <v/>
      </c>
      <c r="H34" s="44" t="str">
        <f>IFERROR(__xludf.DUMMYFUNCTION("""COMPUTED_VALUE"""),"M")</f>
        <v>M</v>
      </c>
      <c r="I34" s="44" t="str">
        <f>IFERROR(__xludf.DUMMYFUNCTION("""COMPUTED_VALUE"""),"Paraíso PNA")</f>
        <v>Paraíso PNA</v>
      </c>
      <c r="J34" s="44" t="str">
        <f>IFERROR(__xludf.DUMMYFUNCTION("""COMPUTED_VALUE"""),"24/6/2026")</f>
        <v>24/6/2026</v>
      </c>
      <c r="K34" s="42" t="str">
        <f>IFERROR(__xludf.DUMMYFUNCTION("""COMPUTED_VALUE"""),"Hospital Militar Dr. C. Arvelo")</f>
        <v>Hospital Militar Dr. C. Arvelo</v>
      </c>
    </row>
    <row r="35">
      <c r="A35" s="44">
        <v>34.0</v>
      </c>
      <c r="B35" s="44" t="str">
        <f>IFERROR(__xludf.DUMMYFUNCTION("""COMPUTED_VALUE"""),"Hospital Universitario de Carac")</f>
        <v>Hospital Universitario de Carac</v>
      </c>
      <c r="C35" s="45" t="str">
        <f>IFERROR(__xludf.DUMMYFUNCTION("""COMPUTED_VALUE"""),"MONTILLA NANCY")</f>
        <v>MONTILLA NANCY</v>
      </c>
      <c r="D35" s="44">
        <f>IFERROR(__xludf.DUMMYFUNCTION("""COMPUTED_VALUE"""),57.0)</f>
        <v>57</v>
      </c>
      <c r="E35" s="44" t="str">
        <f>IFERROR(__xludf.DUMMYFUNCTION("""COMPUTED_VALUE"""),"10813576")</f>
        <v>10813576</v>
      </c>
      <c r="F35" s="44" t="str">
        <f>IFERROR(__xludf.DUMMYFUNCTION("""COMPUTED_VALUE"""),"")</f>
        <v/>
      </c>
      <c r="G35" s="44" t="str">
        <f>IFERROR(__xludf.DUMMYFUNCTION("""COMPUTED_VALUE"""),"0414-1878802 / 0414-1878803")</f>
        <v>0414-1878802 / 0414-1878803</v>
      </c>
      <c r="H35" s="44" t="str">
        <f>IFERROR(__xludf.DUMMYFUNCTION("""COMPUTED_VALUE""")," ")</f>
        <v> </v>
      </c>
      <c r="I35" s="44" t="str">
        <f>IFERROR(__xludf.DUMMYFUNCTION("""COMPUTED_VALUE"""),"Politraumatismo")</f>
        <v>Politraumatismo</v>
      </c>
      <c r="J35" s="44" t="str">
        <f>IFERROR(__xludf.DUMMYFUNCTION("""COMPUTED_VALUE"""),"")</f>
        <v/>
      </c>
      <c r="K35" s="42" t="str">
        <f>IFERROR(__xludf.DUMMYFUNCTION("""COMPUTED_VALUE"""),"Hospital Universitario de Carac")</f>
        <v>Hospital Universitario de Carac</v>
      </c>
    </row>
    <row r="36">
      <c r="A36" s="44">
        <v>35.0</v>
      </c>
      <c r="B36" s="44" t="str">
        <f>IFERROR(__xludf.DUMMYFUNCTION("""COMPUTED_VALUE"""),"Hospital Vargas de Caracas")</f>
        <v>Hospital Vargas de Caracas</v>
      </c>
      <c r="C36" s="45" t="str">
        <f>IFERROR(__xludf.DUMMYFUNCTION("""COMPUTED_VALUE"""),"FERNANDEZ JUAN")</f>
        <v>FERNANDEZ JUAN</v>
      </c>
      <c r="D36" s="44" t="str">
        <f>IFERROR(__xludf.DUMMYFUNCTION("""COMPUTED_VALUE""")," ")</f>
        <v> </v>
      </c>
      <c r="E36" s="44" t="str">
        <f>IFERROR(__xludf.DUMMYFUNCTION("""COMPUTED_VALUE"""),"10815359")</f>
        <v>10815359</v>
      </c>
      <c r="F36" s="44" t="str">
        <f>IFERROR(__xludf.DUMMYFUNCTION("""COMPUTED_VALUE""")," ")</f>
        <v> </v>
      </c>
      <c r="G36" s="44" t="str">
        <f>IFERROR(__xludf.DUMMYFUNCTION("""COMPUTED_VALUE"""),"")</f>
        <v/>
      </c>
      <c r="H36" s="44" t="str">
        <f>IFERROR(__xludf.DUMMYFUNCTION("""COMPUTED_VALUE""")," ")</f>
        <v> </v>
      </c>
      <c r="I36" s="44" t="str">
        <f>IFERROR(__xludf.DUMMYFUNCTION("""COMPUTED_VALUE""")," ")</f>
        <v> </v>
      </c>
      <c r="J36" s="44" t="str">
        <f>IFERROR(__xludf.DUMMYFUNCTION("""COMPUTED_VALUE"""),"")</f>
        <v/>
      </c>
      <c r="K36" s="42" t="str">
        <f>IFERROR(__xludf.DUMMYFUNCTION("""COMPUTED_VALUE"""),"Hospital Vargas de Caracas")</f>
        <v>Hospital Vargas de Caracas</v>
      </c>
    </row>
    <row r="37">
      <c r="A37" s="44">
        <v>36.0</v>
      </c>
      <c r="B37" s="44" t="str">
        <f>IFERROR(__xludf.DUMMYFUNCTION("""COMPUTED_VALUE"""),"Hospital Militar Dr. C. Arvelo")</f>
        <v>Hospital Militar Dr. C. Arvelo</v>
      </c>
      <c r="C37" s="45" t="str">
        <f>IFERROR(__xludf.DUMMYFUNCTION("""COMPUTED_VALUE"""),"Nelda Bello")</f>
        <v>Nelda Bello</v>
      </c>
      <c r="D37" s="44">
        <f>IFERROR(__xludf.DUMMYFUNCTION("""COMPUTED_VALUE"""),47.0)</f>
        <v>47</v>
      </c>
      <c r="E37" s="44" t="str">
        <f>IFERROR(__xludf.DUMMYFUNCTION("""COMPUTED_VALUE"""),"11015849")</f>
        <v>11015849</v>
      </c>
      <c r="F37" s="44" t="str">
        <f>IFERROR(__xludf.DUMMYFUNCTION("""COMPUTED_VALUE"""),"")</f>
        <v/>
      </c>
      <c r="G37" s="44" t="str">
        <f>IFERROR(__xludf.DUMMYFUNCTION("""COMPUTED_VALUE"""),"")</f>
        <v/>
      </c>
      <c r="H37" s="44" t="str">
        <f>IFERROR(__xludf.DUMMYFUNCTION("""COMPUTED_VALUE"""),"F")</f>
        <v>F</v>
      </c>
      <c r="I37" s="44" t="str">
        <f>IFERROR(__xludf.DUMMYFUNCTION("""COMPUTED_VALUE"""),"San Martín PNA")</f>
        <v>San Martín PNA</v>
      </c>
      <c r="J37" s="44" t="str">
        <f>IFERROR(__xludf.DUMMYFUNCTION("""COMPUTED_VALUE"""),"24/6/2026")</f>
        <v>24/6/2026</v>
      </c>
      <c r="K37" s="42" t="str">
        <f>IFERROR(__xludf.DUMMYFUNCTION("""COMPUTED_VALUE"""),"Hospital Militar Dr. C. Arvelo")</f>
        <v>Hospital Militar Dr. C. Arvelo</v>
      </c>
    </row>
    <row r="38">
      <c r="A38" s="44">
        <v>37.0</v>
      </c>
      <c r="B38" s="44" t="str">
        <f>IFERROR(__xludf.DUMMYFUNCTION("""COMPUTED_VALUE"""),"Periférico de Catia")</f>
        <v>Periférico de Catia</v>
      </c>
      <c r="C38" s="45" t="str">
        <f>IFERROR(__xludf.DUMMYFUNCTION("""COMPUTED_VALUE"""),"TERAN AUDIA")</f>
        <v>TERAN AUDIA</v>
      </c>
      <c r="D38" s="44">
        <f>IFERROR(__xludf.DUMMYFUNCTION("""COMPUTED_VALUE"""),54.0)</f>
        <v>54</v>
      </c>
      <c r="E38" s="44" t="str">
        <f>IFERROR(__xludf.DUMMYFUNCTION("""COMPUTED_VALUE"""),"11055173")</f>
        <v>11055173</v>
      </c>
      <c r="F38" s="44" t="str">
        <f>IFERROR(__xludf.DUMMYFUNCTION("""COMPUTED_VALUE"""),"")</f>
        <v/>
      </c>
      <c r="G38" s="44" t="str">
        <f>IFERROR(__xludf.DUMMYFUNCTION("""COMPUTED_VALUE""")," ")</f>
        <v> </v>
      </c>
      <c r="H38" s="44" t="str">
        <f>IFERROR(__xludf.DUMMYFUNCTION("""COMPUTED_VALUE"""),"Sin información")</f>
        <v>Sin información</v>
      </c>
      <c r="I38" s="44" t="str">
        <f>IFERROR(__xludf.DUMMYFUNCTION("""COMPUTED_VALUE"""),"Cirugía General")</f>
        <v>Cirugía General</v>
      </c>
      <c r="J38" s="44" t="str">
        <f>IFERROR(__xludf.DUMMYFUNCTION("""COMPUTED_VALUE"""),"")</f>
        <v/>
      </c>
      <c r="K38" s="42" t="str">
        <f>IFERROR(__xludf.DUMMYFUNCTION("""COMPUTED_VALUE"""),"Periférico de Catia")</f>
        <v>Periférico de Catia</v>
      </c>
    </row>
    <row r="39">
      <c r="A39" s="44">
        <v>38.0</v>
      </c>
      <c r="B39" s="44" t="str">
        <f>IFERROR(__xludf.DUMMYFUNCTION("""COMPUTED_VALUE"""),"Hospital Vargas de Caracas")</f>
        <v>Hospital Vargas de Caracas</v>
      </c>
      <c r="C39" s="45" t="str">
        <f>IFERROR(__xludf.DUMMYFUNCTION("""COMPUTED_VALUE"""),"SANDOVAL NELLY")</f>
        <v>SANDOVAL NELLY</v>
      </c>
      <c r="D39" s="44">
        <f>IFERROR(__xludf.DUMMYFUNCTION("""COMPUTED_VALUE"""),62.0)</f>
        <v>62</v>
      </c>
      <c r="E39" s="44" t="str">
        <f>IFERROR(__xludf.DUMMYFUNCTION("""COMPUTED_VALUE"""),"11057636")</f>
        <v>11057636</v>
      </c>
      <c r="F39" s="44" t="str">
        <f>IFERROR(__xludf.DUMMYFUNCTION("""COMPUTED_VALUE""")," ")</f>
        <v> </v>
      </c>
      <c r="G39" s="44" t="str">
        <f>IFERROR(__xludf.DUMMYFUNCTION("""COMPUTED_VALUE"""),"")</f>
        <v/>
      </c>
      <c r="H39" s="44" t="str">
        <f>IFERROR(__xludf.DUMMYFUNCTION("""COMPUTED_VALUE"""),"La Guaira")</f>
        <v>La Guaira</v>
      </c>
      <c r="I39" s="44" t="str">
        <f>IFERROR(__xludf.DUMMYFUNCTION("""COMPUTED_VALUE"""),"UPT")</f>
        <v>UPT</v>
      </c>
      <c r="J39" s="44" t="str">
        <f>IFERROR(__xludf.DUMMYFUNCTION("""COMPUTED_VALUE"""),"")</f>
        <v/>
      </c>
      <c r="K39" s="42" t="str">
        <f>IFERROR(__xludf.DUMMYFUNCTION("""COMPUTED_VALUE"""),"Hospital Vargas de Caracas")</f>
        <v>Hospital Vargas de Caracas</v>
      </c>
    </row>
    <row r="40">
      <c r="A40" s="44">
        <v>39.0</v>
      </c>
      <c r="B40" s="44" t="str">
        <f>IFERROR(__xludf.DUMMYFUNCTION("""COMPUTED_VALUE"""),"Hospital Domingo Luciani")</f>
        <v>Hospital Domingo Luciani</v>
      </c>
      <c r="C40" s="45" t="str">
        <f>IFERROR(__xludf.DUMMYFUNCTION("""COMPUTED_VALUE"""),"FARIÑA ARELIS")</f>
        <v>FARIÑA ARELIS</v>
      </c>
      <c r="D40" s="44">
        <f>IFERROR(__xludf.DUMMYFUNCTION("""COMPUTED_VALUE"""),53.0)</f>
        <v>53</v>
      </c>
      <c r="E40" s="44" t="str">
        <f>IFERROR(__xludf.DUMMYFUNCTION("""COMPUTED_VALUE"""),"11058065")</f>
        <v>11058065</v>
      </c>
      <c r="F40" s="44" t="str">
        <f>IFERROR(__xludf.DUMMYFUNCTION("""COMPUTED_VALUE"""),"")</f>
        <v/>
      </c>
      <c r="G40" s="44" t="str">
        <f>IFERROR(__xludf.DUMMYFUNCTION("""COMPUTED_VALUE""")," ")</f>
        <v> </v>
      </c>
      <c r="H40" s="44" t="str">
        <f>IFERROR(__xludf.DUMMYFUNCTION("""COMPUTED_VALUE""")," ")</f>
        <v> </v>
      </c>
      <c r="I40" s="44" t="str">
        <f>IFERROR(__xludf.DUMMYFUNCTION("""COMPUTED_VALUE"""),"Internado; Rx")</f>
        <v>Internado; Rx</v>
      </c>
      <c r="J40" s="44" t="str">
        <f>IFERROR(__xludf.DUMMYFUNCTION("""COMPUTED_VALUE"""),"")</f>
        <v/>
      </c>
      <c r="K40" s="42" t="str">
        <f>IFERROR(__xludf.DUMMYFUNCTION("""COMPUTED_VALUE"""),"🔍 BUSCAR PACIENTES")</f>
        <v>🔍 BUSCAR PACIENTES</v>
      </c>
    </row>
    <row r="41">
      <c r="A41" s="44">
        <v>40.0</v>
      </c>
      <c r="B41" s="44" t="str">
        <f>IFERROR(__xludf.DUMMYFUNCTION("""COMPUTED_VALUE"""),"H. Jose Maria Vargas LG")</f>
        <v>H. Jose Maria Vargas LG</v>
      </c>
      <c r="C41" s="45" t="str">
        <f>IFERROR(__xludf.DUMMYFUNCTION("""COMPUTED_VALUE"""),"IRIARTE MAIGUALIDED")</f>
        <v>IRIARTE MAIGUALIDED</v>
      </c>
      <c r="D41" s="44" t="str">
        <f>IFERROR(__xludf.DUMMYFUNCTION("""COMPUTED_VALUE""")," ")</f>
        <v> </v>
      </c>
      <c r="E41" s="44" t="str">
        <f>IFERROR(__xludf.DUMMYFUNCTION("""COMPUTED_VALUE"""),"11058667")</f>
        <v>11058667</v>
      </c>
      <c r="F41" s="44" t="str">
        <f>IFERROR(__xludf.DUMMYFUNCTION("""COMPUTED_VALUE"""),"")</f>
        <v/>
      </c>
      <c r="G41" s="44" t="str">
        <f>IFERROR(__xludf.DUMMYFUNCTION("""COMPUTED_VALUE""")," ")</f>
        <v> </v>
      </c>
      <c r="H41" s="44" t="str">
        <f>IFERROR(__xludf.DUMMYFUNCTION("""COMPUTED_VALUE"""),"OPPE 27")</f>
        <v>OPPE 27</v>
      </c>
      <c r="I41" s="44" t="str">
        <f>IFERROR(__xludf.DUMMYFUNCTION("""COMPUTED_VALUE""")," ")</f>
        <v> </v>
      </c>
      <c r="J41" s="44" t="str">
        <f>IFERROR(__xludf.DUMMYFUNCTION("""COMPUTED_VALUE"""),"")</f>
        <v/>
      </c>
      <c r="K41" s="42" t="str">
        <f>IFERROR(__xludf.DUMMYFUNCTION("""COMPUTED_VALUE"""),"H. Jose Maria Vargas LG")</f>
        <v>H. Jose Maria Vargas LG</v>
      </c>
    </row>
    <row r="42">
      <c r="A42" s="44">
        <v>41.0</v>
      </c>
      <c r="B42" s="44" t="str">
        <f>IFERROR(__xludf.DUMMYFUNCTION("""COMPUTED_VALUE"""),"Seguro Social La Guaira")</f>
        <v>Seguro Social La Guaira</v>
      </c>
      <c r="C42" s="45" t="str">
        <f>IFERROR(__xludf.DUMMYFUNCTION("""COMPUTED_VALUE"""),"MAIGUALIDA IRIARTE")</f>
        <v>MAIGUALIDA IRIARTE</v>
      </c>
      <c r="D42" s="44" t="str">
        <f>IFERROR(__xludf.DUMMYFUNCTION("""COMPUTED_VALUE""")," ")</f>
        <v> </v>
      </c>
      <c r="E42" s="44" t="str">
        <f>IFERROR(__xludf.DUMMYFUNCTION("""COMPUTED_VALUE"""),"110596670")</f>
        <v>110596670</v>
      </c>
      <c r="F42" s="44" t="str">
        <f>IFERROR(__xludf.DUMMYFUNCTION("""COMPUTED_VALUE"""),"")</f>
        <v/>
      </c>
      <c r="G42" s="44" t="str">
        <f>IFERROR(__xludf.DUMMYFUNCTION("""COMPUTED_VALUE""")," ")</f>
        <v> </v>
      </c>
      <c r="H42" s="44" t="str">
        <f>IFERROR(__xludf.DUMMYFUNCTION("""COMPUTED_VALUE"""),"OPP 27")</f>
        <v>OPP 27</v>
      </c>
      <c r="I42" s="44" t="str">
        <f>IFERROR(__xludf.DUMMYFUNCTION("""COMPUTED_VALUE""")," ")</f>
        <v> </v>
      </c>
      <c r="J42" s="44" t="str">
        <f>IFERROR(__xludf.DUMMYFUNCTION("""COMPUTED_VALUE"""),"")</f>
        <v/>
      </c>
      <c r="K42" s="42" t="str">
        <f>IFERROR(__xludf.DUMMYFUNCTION("""COMPUTED_VALUE"""),"Seguro Social La Guaira")</f>
        <v>Seguro Social La Guaira</v>
      </c>
    </row>
    <row r="43">
      <c r="A43" s="44">
        <v>42.0</v>
      </c>
      <c r="B43" s="44" t="str">
        <f>IFERROR(__xludf.DUMMYFUNCTION("""COMPUTED_VALUE"""),"Hospital Universitario de Carac")</f>
        <v>Hospital Universitario de Carac</v>
      </c>
      <c r="C43" s="45" t="str">
        <f>IFERROR(__xludf.DUMMYFUNCTION("""COMPUTED_VALUE"""),"CACERES JOSE")</f>
        <v>CACERES JOSE</v>
      </c>
      <c r="D43" s="44">
        <f>IFERROR(__xludf.DUMMYFUNCTION("""COMPUTED_VALUE"""),55.0)</f>
        <v>55</v>
      </c>
      <c r="E43" s="44" t="str">
        <f>IFERROR(__xludf.DUMMYFUNCTION("""COMPUTED_VALUE"""),"11061147")</f>
        <v>11061147</v>
      </c>
      <c r="F43" s="44" t="str">
        <f>IFERROR(__xludf.DUMMYFUNCTION("""COMPUTED_VALUE"""),"")</f>
        <v/>
      </c>
      <c r="G43" s="44" t="str">
        <f>IFERROR(__xludf.DUMMYFUNCTION("""COMPUTED_VALUE""")," ")</f>
        <v> </v>
      </c>
      <c r="H43" s="44" t="str">
        <f>IFERROR(__xludf.DUMMYFUNCTION("""COMPUTED_VALUE""")," ")</f>
        <v> </v>
      </c>
      <c r="I43" s="44" t="str">
        <f>IFERROR(__xludf.DUMMYFUNCTION("""COMPUTED_VALUE"""),"Politraumatismo")</f>
        <v>Politraumatismo</v>
      </c>
      <c r="J43" s="44" t="str">
        <f>IFERROR(__xludf.DUMMYFUNCTION("""COMPUTED_VALUE"""),"")</f>
        <v/>
      </c>
      <c r="K43" s="42" t="str">
        <f>IFERROR(__xludf.DUMMYFUNCTION("""COMPUTED_VALUE"""),"Hospital Universitario de Carac")</f>
        <v>Hospital Universitario de Carac</v>
      </c>
    </row>
    <row r="44">
      <c r="A44" s="44">
        <v>43.0</v>
      </c>
      <c r="B44" s="44" t="str">
        <f>IFERROR(__xludf.DUMMYFUNCTION("""COMPUTED_VALUE"""),"Hospital Universitario de Carac")</f>
        <v>Hospital Universitario de Carac</v>
      </c>
      <c r="C44" s="45" t="str">
        <f>IFERROR(__xludf.DUMMYFUNCTION("""COMPUTED_VALUE"""),"CACERES ELOISE")</f>
        <v>CACERES ELOISE</v>
      </c>
      <c r="D44" s="44">
        <f>IFERROR(__xludf.DUMMYFUNCTION("""COMPUTED_VALUE"""),55.0)</f>
        <v>55</v>
      </c>
      <c r="E44" s="44" t="str">
        <f>IFERROR(__xludf.DUMMYFUNCTION("""COMPUTED_VALUE"""),"11061197")</f>
        <v>11061197</v>
      </c>
      <c r="F44" s="44" t="str">
        <f>IFERROR(__xludf.DUMMYFUNCTION("""COMPUTED_VALUE"""),"")</f>
        <v/>
      </c>
      <c r="G44" s="44" t="str">
        <f>IFERROR(__xludf.DUMMYFUNCTION("""COMPUTED_VALUE"""),"0426-1507138")</f>
        <v>0426-1507138</v>
      </c>
      <c r="H44" s="44" t="str">
        <f>IFERROR(__xludf.DUMMYFUNCTION("""COMPUTED_VALUE""")," ")</f>
        <v> </v>
      </c>
      <c r="I44" s="44" t="str">
        <f>IFERROR(__xludf.DUMMYFUNCTION("""COMPUTED_VALUE""")," ")</f>
        <v> </v>
      </c>
      <c r="J44" s="44" t="str">
        <f>IFERROR(__xludf.DUMMYFUNCTION("""COMPUTED_VALUE"""),"")</f>
        <v/>
      </c>
      <c r="K44" s="42" t="str">
        <f>IFERROR(__xludf.DUMMYFUNCTION("""COMPUTED_VALUE"""),"Hospital Universitario de Carac")</f>
        <v>Hospital Universitario de Carac</v>
      </c>
    </row>
    <row r="45">
      <c r="A45" s="44">
        <v>44.0</v>
      </c>
      <c r="B45" s="44" t="str">
        <f>IFERROR(__xludf.DUMMYFUNCTION("""COMPUTED_VALUE"""),"Hospital Dr. José Gregorio Hern")</f>
        <v>Hospital Dr. José Gregorio Hern</v>
      </c>
      <c r="C45" s="45" t="str">
        <f>IFERROR(__xludf.DUMMYFUNCTION("""COMPUTED_VALUE"""),"RIVAS JOSE")</f>
        <v>RIVAS JOSE</v>
      </c>
      <c r="D45" s="44">
        <f>IFERROR(__xludf.DUMMYFUNCTION("""COMPUTED_VALUE"""),53.0)</f>
        <v>53</v>
      </c>
      <c r="E45" s="44" t="str">
        <f>IFERROR(__xludf.DUMMYFUNCTION("""COMPUTED_VALUE"""),"11061254")</f>
        <v>11061254</v>
      </c>
      <c r="F45" s="44" t="str">
        <f>IFERROR(__xludf.DUMMYFUNCTION("""COMPUTED_VALUE"""),"")</f>
        <v/>
      </c>
      <c r="G45" s="44" t="str">
        <f>IFERROR(__xludf.DUMMYFUNCTION("""COMPUTED_VALUE""")," ")</f>
        <v> </v>
      </c>
      <c r="H45" s="44" t="str">
        <f>IFERROR(__xludf.DUMMYFUNCTION("""COMPUTED_VALUE"""),"Caribe")</f>
        <v>Caribe</v>
      </c>
      <c r="I45" s="44" t="str">
        <f>IFERROR(__xludf.DUMMYFUNCTION("""COMPUTED_VALUE""")," ")</f>
        <v> </v>
      </c>
      <c r="J45" s="44" t="str">
        <f>IFERROR(__xludf.DUMMYFUNCTION("""COMPUTED_VALUE"""),"")</f>
        <v/>
      </c>
      <c r="K45" s="42" t="str">
        <f>IFERROR(__xludf.DUMMYFUNCTION("""COMPUTED_VALUE"""),"Hospital Dr. José Gregorio Hern")</f>
        <v>Hospital Dr. José Gregorio Hern</v>
      </c>
    </row>
    <row r="46">
      <c r="A46" s="44">
        <v>45.0</v>
      </c>
      <c r="B46" s="44" t="str">
        <f>IFERROR(__xludf.DUMMYFUNCTION("""COMPUTED_VALUE"""),"Hospital Militar Dr. C. Arvelo")</f>
        <v>Hospital Militar Dr. C. Arvelo</v>
      </c>
      <c r="C46" s="45" t="str">
        <f>IFERROR(__xludf.DUMMYFUNCTION("""COMPUTED_VALUE"""),"Jiménez Víctor")</f>
        <v>Jiménez Víctor</v>
      </c>
      <c r="D46" s="44">
        <f>IFERROR(__xludf.DUMMYFUNCTION("""COMPUTED_VALUE"""),53.0)</f>
        <v>53</v>
      </c>
      <c r="E46" s="44" t="str">
        <f>IFERROR(__xludf.DUMMYFUNCTION("""COMPUTED_VALUE"""),"11139889")</f>
        <v>11139889</v>
      </c>
      <c r="F46" s="44" t="str">
        <f>IFERROR(__xludf.DUMMYFUNCTION("""COMPUTED_VALUE"""),"")</f>
        <v/>
      </c>
      <c r="G46" s="44" t="str">
        <f>IFERROR(__xludf.DUMMYFUNCTION("""COMPUTED_VALUE"""),"")</f>
        <v/>
      </c>
      <c r="H46" s="44" t="str">
        <f>IFERROR(__xludf.DUMMYFUNCTION("""COMPUTED_VALUE"""),"M")</f>
        <v>M</v>
      </c>
      <c r="I46" s="44" t="str">
        <f>IFERROR(__xludf.DUMMYFUNCTION("""COMPUTED_VALUE"""),"La Guaira PNA")</f>
        <v>La Guaira PNA</v>
      </c>
      <c r="J46" s="44" t="str">
        <f>IFERROR(__xludf.DUMMYFUNCTION("""COMPUTED_VALUE"""),"24/6/2026")</f>
        <v>24/6/2026</v>
      </c>
      <c r="K46" s="42" t="str">
        <f>IFERROR(__xludf.DUMMYFUNCTION("""COMPUTED_VALUE"""),"Hospital Militar Dr. C. Arvelo")</f>
        <v>Hospital Militar Dr. C. Arvelo</v>
      </c>
    </row>
    <row r="47">
      <c r="A47" s="44">
        <v>46.0</v>
      </c>
      <c r="B47" s="44" t="str">
        <f>IFERROR(__xludf.DUMMYFUNCTION("""COMPUTED_VALUE"""),"Hospital Militar Dr. C. Arvelo")</f>
        <v>Hospital Militar Dr. C. Arvelo</v>
      </c>
      <c r="C47" s="45" t="str">
        <f>IFERROR(__xludf.DUMMYFUNCTION("""COMPUTED_VALUE"""),"Maite Coa")</f>
        <v>Maite Coa</v>
      </c>
      <c r="D47" s="44">
        <f>IFERROR(__xludf.DUMMYFUNCTION("""COMPUTED_VALUE"""),48.0)</f>
        <v>48</v>
      </c>
      <c r="E47" s="44" t="str">
        <f>IFERROR(__xludf.DUMMYFUNCTION("""COMPUTED_VALUE"""),"11165265")</f>
        <v>11165265</v>
      </c>
      <c r="F47" s="44" t="str">
        <f>IFERROR(__xludf.DUMMYFUNCTION("""COMPUTED_VALUE"""),"")</f>
        <v/>
      </c>
      <c r="G47" s="44" t="str">
        <f>IFERROR(__xludf.DUMMYFUNCTION("""COMPUTED_VALUE"""),"")</f>
        <v/>
      </c>
      <c r="H47" s="44" t="str">
        <f>IFERROR(__xludf.DUMMYFUNCTION("""COMPUTED_VALUE"""),"F")</f>
        <v>F</v>
      </c>
      <c r="I47" s="44" t="str">
        <f>IFERROR(__xludf.DUMMYFUNCTION("""COMPUTED_VALUE"""),"PNA")</f>
        <v>PNA</v>
      </c>
      <c r="J47" s="44" t="str">
        <f>IFERROR(__xludf.DUMMYFUNCTION("""COMPUTED_VALUE"""),"24/6/2026")</f>
        <v>24/6/2026</v>
      </c>
      <c r="K47" s="42" t="str">
        <f>IFERROR(__xludf.DUMMYFUNCTION("""COMPUTED_VALUE"""),"Hospital Militar Dr. C. Arvelo")</f>
        <v>Hospital Militar Dr. C. Arvelo</v>
      </c>
    </row>
    <row r="48">
      <c r="A48" s="44">
        <v>47.0</v>
      </c>
      <c r="B48" s="44" t="str">
        <f>IFERROR(__xludf.DUMMYFUNCTION("""COMPUTED_VALUE"""),"Periférico de Catia")</f>
        <v>Periférico de Catia</v>
      </c>
      <c r="C48" s="45" t="str">
        <f>IFERROR(__xludf.DUMMYFUNCTION("""COMPUTED_VALUE"""),"YARITZA CAVARGAS")</f>
        <v>YARITZA CAVARGAS</v>
      </c>
      <c r="D48" s="44">
        <f>IFERROR(__xludf.DUMMYFUNCTION("""COMPUTED_VALUE"""),54.0)</f>
        <v>54</v>
      </c>
      <c r="E48" s="44" t="str">
        <f>IFERROR(__xludf.DUMMYFUNCTION("""COMPUTED_VALUE"""),"111662370")</f>
        <v>111662370</v>
      </c>
      <c r="F48" s="44" t="str">
        <f>IFERROR(__xludf.DUMMYFUNCTION("""COMPUTED_VALUE"""),"")</f>
        <v/>
      </c>
      <c r="G48" s="44" t="str">
        <f>IFERROR(__xludf.DUMMYFUNCTION("""COMPUTED_VALUE""")," ")</f>
        <v> </v>
      </c>
      <c r="H48" s="44" t="str">
        <f>IFERROR(__xludf.DUMMYFUNCTION("""COMPUTED_VALUE"""),"Sin información")</f>
        <v>Sin información</v>
      </c>
      <c r="I48" s="44" t="str">
        <f>IFERROR(__xludf.DUMMYFUNCTION("""COMPUTED_VALUE"""),"Cirugía General")</f>
        <v>Cirugía General</v>
      </c>
      <c r="J48" s="44" t="str">
        <f>IFERROR(__xludf.DUMMYFUNCTION("""COMPUTED_VALUE"""),"")</f>
        <v/>
      </c>
      <c r="K48" s="42" t="str">
        <f>IFERROR(__xludf.DUMMYFUNCTION("""COMPUTED_VALUE"""),"Periférico de Catia")</f>
        <v>Periférico de Catia</v>
      </c>
    </row>
    <row r="49">
      <c r="A49" s="44">
        <v>48.0</v>
      </c>
      <c r="B49" s="44" t="str">
        <f>IFERROR(__xludf.DUMMYFUNCTION("""COMPUTED_VALUE"""),"Hospital Militar Dr. C. Arvelo")</f>
        <v>Hospital Militar Dr. C. Arvelo</v>
      </c>
      <c r="C49" s="45" t="str">
        <f>IFERROR(__xludf.DUMMYFUNCTION("""COMPUTED_VALUE"""),"González Martínez María Cristina")</f>
        <v>González Martínez María Cristina</v>
      </c>
      <c r="D49" s="44">
        <f>IFERROR(__xludf.DUMMYFUNCTION("""COMPUTED_VALUE"""),55.0)</f>
        <v>55</v>
      </c>
      <c r="E49" s="44" t="str">
        <f>IFERROR(__xludf.DUMMYFUNCTION("""COMPUTED_VALUE"""),"11192750")</f>
        <v>11192750</v>
      </c>
      <c r="F49" s="44" t="str">
        <f>IFERROR(__xludf.DUMMYFUNCTION("""COMPUTED_VALUE"""),"")</f>
        <v/>
      </c>
      <c r="G49" s="44" t="str">
        <f>IFERROR(__xludf.DUMMYFUNCTION("""COMPUTED_VALUE"""),"")</f>
        <v/>
      </c>
      <c r="H49" s="44" t="str">
        <f>IFERROR(__xludf.DUMMYFUNCTION("""COMPUTED_VALUE"""),"F")</f>
        <v>F</v>
      </c>
      <c r="I49" s="44" t="str">
        <f>IFERROR(__xludf.DUMMYFUNCTION("""COMPUTED_VALUE"""),"La Guaira PNA")</f>
        <v>La Guaira PNA</v>
      </c>
      <c r="J49" s="44" t="str">
        <f>IFERROR(__xludf.DUMMYFUNCTION("""COMPUTED_VALUE"""),"24/6/2026")</f>
        <v>24/6/2026</v>
      </c>
      <c r="K49" s="42" t="str">
        <f>IFERROR(__xludf.DUMMYFUNCTION("""COMPUTED_VALUE"""),"Hospital Militar Dr. C. Arvelo")</f>
        <v>Hospital Militar Dr. C. Arvelo</v>
      </c>
    </row>
    <row r="50">
      <c r="A50" s="44">
        <v>49.0</v>
      </c>
      <c r="B50" s="44" t="str">
        <f>IFERROR(__xludf.DUMMYFUNCTION("""COMPUTED_VALUE"""),"Hospital Dr. José Gregorio Hern")</f>
        <v>Hospital Dr. José Gregorio Hern</v>
      </c>
      <c r="C50" s="45" t="str">
        <f>IFERROR(__xludf.DUMMYFUNCTION("""COMPUTED_VALUE"""),"ANDRES BEKELA")</f>
        <v>ANDRES BEKELA</v>
      </c>
      <c r="D50" s="44">
        <f>IFERROR(__xludf.DUMMYFUNCTION("""COMPUTED_VALUE"""),53.0)</f>
        <v>53</v>
      </c>
      <c r="E50" s="44" t="str">
        <f>IFERROR(__xludf.DUMMYFUNCTION("""COMPUTED_VALUE"""),"11201504")</f>
        <v>11201504</v>
      </c>
      <c r="F50" s="44" t="str">
        <f>IFERROR(__xludf.DUMMYFUNCTION("""COMPUTED_VALUE"""),"")</f>
        <v/>
      </c>
      <c r="G50" s="44" t="str">
        <f>IFERROR(__xludf.DUMMYFUNCTION("""COMPUTED_VALUE""")," ")</f>
        <v> </v>
      </c>
      <c r="H50" s="44" t="str">
        <f>IFERROR(__xludf.DUMMYFUNCTION("""COMPUTED_VALUE"""),"Catia")</f>
        <v>Catia</v>
      </c>
      <c r="I50" s="44" t="str">
        <f>IFERROR(__xludf.DUMMYFUNCTION("""COMPUTED_VALUE""")," ")</f>
        <v> </v>
      </c>
      <c r="J50" s="44" t="str">
        <f>IFERROR(__xludf.DUMMYFUNCTION("""COMPUTED_VALUE"""),"")</f>
        <v/>
      </c>
      <c r="K50" s="42" t="str">
        <f>IFERROR(__xludf.DUMMYFUNCTION("""COMPUTED_VALUE"""),"Hospital Dr. José Gregorio Hern")</f>
        <v>Hospital Dr. José Gregorio Hern</v>
      </c>
    </row>
    <row r="51">
      <c r="A51" s="44">
        <v>50.0</v>
      </c>
      <c r="B51" s="44" t="str">
        <f>IFERROR(__xludf.DUMMYFUNCTION("""COMPUTED_VALUE"""),"Hospital Militar Dr. C. Arvelo")</f>
        <v>Hospital Militar Dr. C. Arvelo</v>
      </c>
      <c r="C51" s="45" t="str">
        <f>IFERROR(__xludf.DUMMYFUNCTION("""COMPUTED_VALUE"""),"Rangel Yesenia")</f>
        <v>Rangel Yesenia</v>
      </c>
      <c r="D51" s="44">
        <f>IFERROR(__xludf.DUMMYFUNCTION("""COMPUTED_VALUE"""),54.0)</f>
        <v>54</v>
      </c>
      <c r="E51" s="44" t="str">
        <f>IFERROR(__xludf.DUMMYFUNCTION("""COMPUTED_VALUE"""),"11380548")</f>
        <v>11380548</v>
      </c>
      <c r="F51" s="44" t="str">
        <f>IFERROR(__xludf.DUMMYFUNCTION("""COMPUTED_VALUE"""),"")</f>
        <v/>
      </c>
      <c r="G51" s="44" t="str">
        <f>IFERROR(__xludf.DUMMYFUNCTION("""COMPUTED_VALUE"""),"")</f>
        <v/>
      </c>
      <c r="H51" s="44" t="str">
        <f>IFERROR(__xludf.DUMMYFUNCTION("""COMPUTED_VALUE"""),"F")</f>
        <v>F</v>
      </c>
      <c r="I51" s="44" t="str">
        <f>IFERROR(__xludf.DUMMYFUNCTION("""COMPUTED_VALUE"""),"Catia PNA")</f>
        <v>Catia PNA</v>
      </c>
      <c r="J51" s="44" t="str">
        <f>IFERROR(__xludf.DUMMYFUNCTION("""COMPUTED_VALUE"""),"24/6/2026")</f>
        <v>24/6/2026</v>
      </c>
      <c r="K51" s="42" t="str">
        <f>IFERROR(__xludf.DUMMYFUNCTION("""COMPUTED_VALUE"""),"Hospital Militar Dr. C. Arvelo")</f>
        <v>Hospital Militar Dr. C. Arvelo</v>
      </c>
    </row>
    <row r="52">
      <c r="A52" s="44">
        <v>51.0</v>
      </c>
      <c r="B52" s="44" t="str">
        <f>IFERROR(__xludf.DUMMYFUNCTION("""COMPUTED_VALUE"""),"Hospital Militar Dr. C. Arvelo")</f>
        <v>Hospital Militar Dr. C. Arvelo</v>
      </c>
      <c r="C52" s="45" t="str">
        <f>IFERROR(__xludf.DUMMYFUNCTION("""COMPUTED_VALUE"""),"Jiménez Víctor")</f>
        <v>Jiménez Víctor</v>
      </c>
      <c r="D52" s="44">
        <f>IFERROR(__xludf.DUMMYFUNCTION("""COMPUTED_VALUE"""),58.0)</f>
        <v>58</v>
      </c>
      <c r="E52" s="44" t="str">
        <f>IFERROR(__xludf.DUMMYFUNCTION("""COMPUTED_VALUE"""),"11398889")</f>
        <v>11398889</v>
      </c>
      <c r="F52" s="44" t="str">
        <f>IFERROR(__xludf.DUMMYFUNCTION("""COMPUTED_VALUE"""),"")</f>
        <v/>
      </c>
      <c r="G52" s="44" t="str">
        <f>IFERROR(__xludf.DUMMYFUNCTION("""COMPUTED_VALUE"""),"")</f>
        <v/>
      </c>
      <c r="H52" s="44" t="str">
        <f>IFERROR(__xludf.DUMMYFUNCTION("""COMPUTED_VALUE"""),"M")</f>
        <v>M</v>
      </c>
      <c r="I52" s="44" t="str">
        <f>IFERROR(__xludf.DUMMYFUNCTION("""COMPUTED_VALUE"""),"La Guaira PNA")</f>
        <v>La Guaira PNA</v>
      </c>
      <c r="J52" s="44" t="str">
        <f>IFERROR(__xludf.DUMMYFUNCTION("""COMPUTED_VALUE"""),"24/6/2026")</f>
        <v>24/6/2026</v>
      </c>
      <c r="K52" s="42" t="str">
        <f>IFERROR(__xludf.DUMMYFUNCTION("""COMPUTED_VALUE"""),"Hospital Militar Dr. C. Arvelo")</f>
        <v>Hospital Militar Dr. C. Arvelo</v>
      </c>
    </row>
    <row r="53">
      <c r="A53" s="44">
        <v>52.0</v>
      </c>
      <c r="B53" s="44" t="str">
        <f>IFERROR(__xludf.DUMMYFUNCTION("""COMPUTED_VALUE"""),"H. Jose Maria Vargas LG")</f>
        <v>H. Jose Maria Vargas LG</v>
      </c>
      <c r="C53" s="45" t="str">
        <f>IFERROR(__xludf.DUMMYFUNCTION("""COMPUTED_VALUE"""),"PAZ LISS")</f>
        <v>PAZ LISS</v>
      </c>
      <c r="D53" s="44" t="str">
        <f>IFERROR(__xludf.DUMMYFUNCTION("""COMPUTED_VALUE""")," ")</f>
        <v> </v>
      </c>
      <c r="E53" s="44" t="str">
        <f>IFERROR(__xludf.DUMMYFUNCTION("""COMPUTED_VALUE"""),"11406882")</f>
        <v>11406882</v>
      </c>
      <c r="F53" s="44" t="str">
        <f>IFERROR(__xludf.DUMMYFUNCTION("""COMPUTED_VALUE"""),"")</f>
        <v/>
      </c>
      <c r="G53" s="44" t="str">
        <f>IFERROR(__xludf.DUMMYFUNCTION("""COMPUTED_VALUE""")," ")</f>
        <v> </v>
      </c>
      <c r="H53" s="44" t="str">
        <f>IFERROR(__xludf.DUMMYFUNCTION("""COMPUTED_VALUE"""),"Caribe")</f>
        <v>Caribe</v>
      </c>
      <c r="I53" s="44" t="str">
        <f>IFERROR(__xludf.DUMMYFUNCTION("""COMPUTED_VALUE""")," ")</f>
        <v> </v>
      </c>
      <c r="J53" s="44" t="str">
        <f>IFERROR(__xludf.DUMMYFUNCTION("""COMPUTED_VALUE"""),"")</f>
        <v/>
      </c>
      <c r="K53" s="42" t="str">
        <f>IFERROR(__xludf.DUMMYFUNCTION("""COMPUTED_VALUE"""),"H. Jose Maria Vargas LG")</f>
        <v>H. Jose Maria Vargas LG</v>
      </c>
    </row>
    <row r="54">
      <c r="A54" s="44">
        <v>53.0</v>
      </c>
      <c r="B54" s="44" t="str">
        <f>IFERROR(__xludf.DUMMYFUNCTION("""COMPUTED_VALUE"""),"Periférico de Catia")</f>
        <v>Periférico de Catia</v>
      </c>
      <c r="C54" s="45" t="str">
        <f>IFERROR(__xludf.DUMMYFUNCTION("""COMPUTED_VALUE"""),"TERAN TENIA")</f>
        <v>TERAN TENIA</v>
      </c>
      <c r="D54" s="44">
        <f>IFERROR(__xludf.DUMMYFUNCTION("""COMPUTED_VALUE"""),55.0)</f>
        <v>55</v>
      </c>
      <c r="E54" s="44" t="str">
        <f>IFERROR(__xludf.DUMMYFUNCTION("""COMPUTED_VALUE"""),"11409997")</f>
        <v>11409997</v>
      </c>
      <c r="F54" s="44" t="str">
        <f>IFERROR(__xludf.DUMMYFUNCTION("""COMPUTED_VALUE"""),"")</f>
        <v/>
      </c>
      <c r="G54" s="44" t="str">
        <f>IFERROR(__xludf.DUMMYFUNCTION("""COMPUTED_VALUE""")," ")</f>
        <v> </v>
      </c>
      <c r="H54" s="44" t="str">
        <f>IFERROR(__xludf.DUMMYFUNCTION("""COMPUTED_VALUE""")," ")</f>
        <v> </v>
      </c>
      <c r="I54" s="44" t="str">
        <f>IFERROR(__xludf.DUMMYFUNCTION("""COMPUTED_VALUE"""),"Cirugía General")</f>
        <v>Cirugía General</v>
      </c>
      <c r="J54" s="44" t="str">
        <f>IFERROR(__xludf.DUMMYFUNCTION("""COMPUTED_VALUE"""),"")</f>
        <v/>
      </c>
      <c r="K54" s="42" t="str">
        <f>IFERROR(__xludf.DUMMYFUNCTION("""COMPUTED_VALUE"""),"Periférico de Catia")</f>
        <v>Periférico de Catia</v>
      </c>
    </row>
    <row r="55">
      <c r="A55" s="44">
        <v>54.0</v>
      </c>
      <c r="B55" s="44" t="str">
        <f>IFERROR(__xludf.DUMMYFUNCTION("""COMPUTED_VALUE"""),"Periférico de Catia")</f>
        <v>Periférico de Catia</v>
      </c>
      <c r="C55" s="45" t="str">
        <f>IFERROR(__xludf.DUMMYFUNCTION("""COMPUTED_VALUE"""),"TANIA TERÁN")</f>
        <v>TANIA TERÁN</v>
      </c>
      <c r="D55" s="44">
        <f>IFERROR(__xludf.DUMMYFUNCTION("""COMPUTED_VALUE"""),55.0)</f>
        <v>55</v>
      </c>
      <c r="E55" s="44" t="str">
        <f>IFERROR(__xludf.DUMMYFUNCTION("""COMPUTED_VALUE"""),"114099970")</f>
        <v>114099970</v>
      </c>
      <c r="F55" s="44" t="str">
        <f>IFERROR(__xludf.DUMMYFUNCTION("""COMPUTED_VALUE"""),"")</f>
        <v/>
      </c>
      <c r="G55" s="44" t="str">
        <f>IFERROR(__xludf.DUMMYFUNCTION("""COMPUTED_VALUE""")," ")</f>
        <v> </v>
      </c>
      <c r="H55" s="44" t="str">
        <f>IFERROR(__xludf.DUMMYFUNCTION("""COMPUTED_VALUE"""),"Sin información")</f>
        <v>Sin información</v>
      </c>
      <c r="I55" s="44" t="str">
        <f>IFERROR(__xludf.DUMMYFUNCTION("""COMPUTED_VALUE"""),"Cirugía General")</f>
        <v>Cirugía General</v>
      </c>
      <c r="J55" s="44" t="str">
        <f>IFERROR(__xludf.DUMMYFUNCTION("""COMPUTED_VALUE"""),"")</f>
        <v/>
      </c>
      <c r="K55" s="42" t="str">
        <f>IFERROR(__xludf.DUMMYFUNCTION("""COMPUTED_VALUE"""),"Periférico de Catia")</f>
        <v>Periférico de Catia</v>
      </c>
    </row>
    <row r="56">
      <c r="A56" s="44">
        <v>55.0</v>
      </c>
      <c r="B56" s="44" t="str">
        <f>IFERROR(__xludf.DUMMYFUNCTION("""COMPUTED_VALUE"""),"Hospital Pérez Carreño")</f>
        <v>Hospital Pérez Carreño</v>
      </c>
      <c r="C56" s="45" t="str">
        <f>IFERROR(__xludf.DUMMYFUNCTION("""COMPUTED_VALUE"""),"Victor Dias")</f>
        <v>Victor Dias</v>
      </c>
      <c r="D56" s="44"/>
      <c r="E56" s="44" t="str">
        <f>IFERROR(__xludf.DUMMYFUNCTION("""COMPUTED_VALUE"""),"11517536")</f>
        <v>11517536</v>
      </c>
      <c r="F56" s="44" t="str">
        <f>IFERROR(__xludf.DUMMYFUNCTION("""COMPUTED_VALUE"""),"")</f>
        <v/>
      </c>
      <c r="G56" s="44" t="str">
        <f>IFERROR(__xludf.DUMMYFUNCTION("""COMPUTED_VALUE"""),"Listado de nombres")</f>
        <v>Listado de nombres</v>
      </c>
      <c r="H56" s="44" t="str">
        <f>IFERROR(__xludf.DUMMYFUNCTION("""COMPUTED_VALUE"""),"Hospital Miguel Perez Carreño")</f>
        <v>Hospital Miguel Perez Carreño</v>
      </c>
      <c r="I56" s="44"/>
      <c r="J56" s="44" t="str">
        <f>IFERROR(__xludf.DUMMYFUNCTION("""COMPUTED_VALUE"""),"26/6/26")</f>
        <v>26/6/26</v>
      </c>
      <c r="K56" s="42" t="str">
        <f>IFERROR(__xludf.DUMMYFUNCTION("""COMPUTED_VALUE"""),"Hospital Pérez Carreño")</f>
        <v>Hospital Pérez Carreño</v>
      </c>
    </row>
    <row r="57">
      <c r="A57" s="44">
        <v>56.0</v>
      </c>
      <c r="B57" s="44" t="str">
        <f>IFERROR(__xludf.DUMMYFUNCTION("""COMPUTED_VALUE"""),"Hospital Pérez Carreño")</f>
        <v>Hospital Pérez Carreño</v>
      </c>
      <c r="C57" s="45" t="str">
        <f>IFERROR(__xludf.DUMMYFUNCTION("""COMPUTED_VALUE"""),"VICTOR DIAS")</f>
        <v>VICTOR DIAS</v>
      </c>
      <c r="D57" s="44" t="str">
        <f>IFERROR(__xludf.DUMMYFUNCTION("""COMPUTED_VALUE""")," ")</f>
        <v> </v>
      </c>
      <c r="E57" s="44" t="str">
        <f>IFERROR(__xludf.DUMMYFUNCTION("""COMPUTED_VALUE"""),"115175360")</f>
        <v>115175360</v>
      </c>
      <c r="F57" s="44" t="str">
        <f>IFERROR(__xludf.DUMMYFUNCTION("""COMPUTED_VALUE"""),"")</f>
        <v/>
      </c>
      <c r="G57" s="44" t="str">
        <f>IFERROR(__xludf.DUMMYFUNCTION("""COMPUTED_VALUE""")," ")</f>
        <v> </v>
      </c>
      <c r="H57" s="44" t="str">
        <f>IFERROR(__xludf.DUMMYFUNCTION("""COMPUTED_VALUE""")," ")</f>
        <v> </v>
      </c>
      <c r="I57" s="44" t="str">
        <f>IFERROR(__xludf.DUMMYFUNCTION("""COMPUTED_VALUE""")," ")</f>
        <v> </v>
      </c>
      <c r="J57" s="44" t="str">
        <f>IFERROR(__xludf.DUMMYFUNCTION("""COMPUTED_VALUE"""),"25/06/2026")</f>
        <v>25/06/2026</v>
      </c>
      <c r="K57" s="42" t="str">
        <f>IFERROR(__xludf.DUMMYFUNCTION("""COMPUTED_VALUE"""),"Hospital Pérez Carreño")</f>
        <v>Hospital Pérez Carreño</v>
      </c>
    </row>
    <row r="58">
      <c r="A58" s="44">
        <v>57.0</v>
      </c>
      <c r="B58" s="44" t="str">
        <f>IFERROR(__xludf.DUMMYFUNCTION("""COMPUTED_VALUE"""),"Hospital Pérez Carreño")</f>
        <v>Hospital Pérez Carreño</v>
      </c>
      <c r="C58" s="45" t="str">
        <f>IFERROR(__xludf.DUMMYFUNCTION("""COMPUTED_VALUE"""),"DIAZ VICTOR")</f>
        <v>DIAZ VICTOR</v>
      </c>
      <c r="D58" s="44" t="str">
        <f>IFERROR(__xludf.DUMMYFUNCTION("""COMPUTED_VALUE""")," ")</f>
        <v> </v>
      </c>
      <c r="E58" s="44" t="str">
        <f>IFERROR(__xludf.DUMMYFUNCTION("""COMPUTED_VALUE"""),"11537536")</f>
        <v>11537536</v>
      </c>
      <c r="F58" s="44" t="str">
        <f>IFERROR(__xludf.DUMMYFUNCTION("""COMPUTED_VALUE"""),"")</f>
        <v/>
      </c>
      <c r="G58" s="44" t="str">
        <f>IFERROR(__xludf.DUMMYFUNCTION("""COMPUTED_VALUE""")," ")</f>
        <v> </v>
      </c>
      <c r="H58" s="44" t="str">
        <f>IFERROR(__xludf.DUMMYFUNCTION("""COMPUTED_VALUE""")," ")</f>
        <v> </v>
      </c>
      <c r="I58" s="44" t="str">
        <f>IFERROR(__xludf.DUMMYFUNCTION("""COMPUTED_VALUE""")," ")</f>
        <v> </v>
      </c>
      <c r="J58" s="44" t="str">
        <f>IFERROR(__xludf.DUMMYFUNCTION("""COMPUTED_VALUE"""),"25/06/2026")</f>
        <v>25/06/2026</v>
      </c>
      <c r="K58" s="42" t="str">
        <f>IFERROR(__xludf.DUMMYFUNCTION("""COMPUTED_VALUE"""),"Hospital Pérez Carreño")</f>
        <v>Hospital Pérez Carreño</v>
      </c>
    </row>
    <row r="59">
      <c r="A59" s="44">
        <v>58.0</v>
      </c>
      <c r="B59" s="44" t="str">
        <f>IFERROR(__xludf.DUMMYFUNCTION("""COMPUTED_VALUE"""),"Hospital Vargas de Caracas")</f>
        <v>Hospital Vargas de Caracas</v>
      </c>
      <c r="C59" s="45" t="str">
        <f>IFERROR(__xludf.DUMMYFUNCTION("""COMPUTED_VALUE"""),"ALEXIS BERDECIA")</f>
        <v>ALEXIS BERDECIA</v>
      </c>
      <c r="D59" s="44" t="str">
        <f>IFERROR(__xludf.DUMMYFUNCTION("""COMPUTED_VALUE""")," ")</f>
        <v> </v>
      </c>
      <c r="E59" s="44" t="str">
        <f>IFERROR(__xludf.DUMMYFUNCTION("""COMPUTED_VALUE"""),"11546371")</f>
        <v>11546371</v>
      </c>
      <c r="F59" s="44" t="str">
        <f>IFERROR(__xludf.DUMMYFUNCTION("""COMPUTED_VALUE""")," ")</f>
        <v> </v>
      </c>
      <c r="G59" s="44" t="str">
        <f>IFERROR(__xludf.DUMMYFUNCTION("""COMPUTED_VALUE"""),"")</f>
        <v/>
      </c>
      <c r="H59" s="44" t="str">
        <f>IFERROR(__xludf.DUMMYFUNCTION("""COMPUTED_VALUE""")," ")</f>
        <v> </v>
      </c>
      <c r="I59" s="44" t="str">
        <f>IFERROR(__xludf.DUMMYFUNCTION("""COMPUTED_VALUE""")," ")</f>
        <v> </v>
      </c>
      <c r="J59" s="44" t="str">
        <f>IFERROR(__xludf.DUMMYFUNCTION("""COMPUTED_VALUE"""),"")</f>
        <v/>
      </c>
      <c r="K59" s="42" t="str">
        <f>IFERROR(__xludf.DUMMYFUNCTION("""COMPUTED_VALUE"""),"Hospital Vargas de Caracas")</f>
        <v>Hospital Vargas de Caracas</v>
      </c>
    </row>
    <row r="60">
      <c r="A60" s="44">
        <v>59.0</v>
      </c>
      <c r="B60" s="44" t="str">
        <f>IFERROR(__xludf.DUMMYFUNCTION("""COMPUTED_VALUE"""),"Hospital Vargas de Caracas")</f>
        <v>Hospital Vargas de Caracas</v>
      </c>
      <c r="C60" s="45" t="str">
        <f>IFERROR(__xludf.DUMMYFUNCTION("""COMPUTED_VALUE"""),"GONZALEZ WINSTON")</f>
        <v>GONZALEZ WINSTON</v>
      </c>
      <c r="D60" s="44" t="str">
        <f>IFERROR(__xludf.DUMMYFUNCTION("""COMPUTED_VALUE""")," ")</f>
        <v> </v>
      </c>
      <c r="E60" s="44" t="str">
        <f>IFERROR(__xludf.DUMMYFUNCTION("""COMPUTED_VALUE"""),"11563403")</f>
        <v>11563403</v>
      </c>
      <c r="F60" s="44" t="str">
        <f>IFERROR(__xludf.DUMMYFUNCTION("""COMPUTED_VALUE""")," ")</f>
        <v> </v>
      </c>
      <c r="G60" s="44" t="str">
        <f>IFERROR(__xludf.DUMMYFUNCTION("""COMPUTED_VALUE"""),"")</f>
        <v/>
      </c>
      <c r="H60" s="44" t="str">
        <f>IFERROR(__xludf.DUMMYFUNCTION("""COMPUTED_VALUE""")," ")</f>
        <v> </v>
      </c>
      <c r="I60" s="44" t="str">
        <f>IFERROR(__xludf.DUMMYFUNCTION("""COMPUTED_VALUE""")," ")</f>
        <v> </v>
      </c>
      <c r="J60" s="44" t="str">
        <f>IFERROR(__xludf.DUMMYFUNCTION("""COMPUTED_VALUE"""),"")</f>
        <v/>
      </c>
      <c r="K60" s="42" t="str">
        <f>IFERROR(__xludf.DUMMYFUNCTION("""COMPUTED_VALUE"""),"Hospital Vargas de Caracas")</f>
        <v>Hospital Vargas de Caracas</v>
      </c>
    </row>
    <row r="61">
      <c r="A61" s="44">
        <v>60.0</v>
      </c>
      <c r="B61" s="44" t="str">
        <f>IFERROR(__xludf.DUMMYFUNCTION("""COMPUTED_VALUE"""),"Hospital Vargas de Caracas")</f>
        <v>Hospital Vargas de Caracas</v>
      </c>
      <c r="C61" s="45" t="str">
        <f>IFERROR(__xludf.DUMMYFUNCTION("""COMPUTED_VALUE"""),"CASTRO ERICK")</f>
        <v>CASTRO ERICK</v>
      </c>
      <c r="D61" s="44">
        <f>IFERROR(__xludf.DUMMYFUNCTION("""COMPUTED_VALUE"""),5.0)</f>
        <v>5</v>
      </c>
      <c r="E61" s="44" t="str">
        <f>IFERROR(__xludf.DUMMYFUNCTION("""COMPUTED_VALUE"""),"11631045")</f>
        <v>11631045</v>
      </c>
      <c r="F61" s="44" t="str">
        <f>IFERROR(__xludf.DUMMYFUNCTION("""COMPUTED_VALUE""")," ")</f>
        <v> </v>
      </c>
      <c r="G61" s="44" t="str">
        <f>IFERROR(__xludf.DUMMYFUNCTION("""COMPUTED_VALUE"""),"")</f>
        <v/>
      </c>
      <c r="H61" s="44" t="str">
        <f>IFERROR(__xludf.DUMMYFUNCTION("""COMPUTED_VALUE"""),"La Guaira")</f>
        <v>La Guaira</v>
      </c>
      <c r="I61" s="44" t="str">
        <f>IFERROR(__xludf.DUMMYFUNCTION("""COMPUTED_VALUE"""),"UPT")</f>
        <v>UPT</v>
      </c>
      <c r="J61" s="44" t="str">
        <f>IFERROR(__xludf.DUMMYFUNCTION("""COMPUTED_VALUE"""),"")</f>
        <v/>
      </c>
      <c r="K61" s="42" t="str">
        <f>IFERROR(__xludf.DUMMYFUNCTION("""COMPUTED_VALUE"""),"Hospital Vargas de Caracas")</f>
        <v>Hospital Vargas de Caracas</v>
      </c>
    </row>
    <row r="62">
      <c r="A62" s="44">
        <v>61.0</v>
      </c>
      <c r="B62" s="44" t="str">
        <f>IFERROR(__xludf.DUMMYFUNCTION("""COMPUTED_VALUE"""),"Hospital Domingo Luciani")</f>
        <v>Hospital Domingo Luciani</v>
      </c>
      <c r="C62" s="45" t="str">
        <f>IFERROR(__xludf.DUMMYFUNCTION("""COMPUTED_VALUE"""),"CASTRO ERICK")</f>
        <v>CASTRO ERICK</v>
      </c>
      <c r="D62" s="44">
        <f>IFERROR(__xludf.DUMMYFUNCTION("""COMPUTED_VALUE"""),51.0)</f>
        <v>51</v>
      </c>
      <c r="E62" s="44" t="str">
        <f>IFERROR(__xludf.DUMMYFUNCTION("""COMPUTED_VALUE"""),"11635045")</f>
        <v>11635045</v>
      </c>
      <c r="F62" s="44" t="str">
        <f>IFERROR(__xludf.DUMMYFUNCTION("""COMPUTED_VALUE"""),"")</f>
        <v/>
      </c>
      <c r="G62" s="44" t="str">
        <f>IFERROR(__xludf.DUMMYFUNCTION("""COMPUTED_VALUE""")," ")</f>
        <v> </v>
      </c>
      <c r="H62" s="44" t="str">
        <f>IFERROR(__xludf.DUMMYFUNCTION("""COMPUTED_VALUE""")," ")</f>
        <v> </v>
      </c>
      <c r="I62" s="44" t="str">
        <f>IFERROR(__xludf.DUMMYFUNCTION("""COMPUTED_VALUE"""),"Internado; POLITRAUMA")</f>
        <v>Internado; POLITRAUMA</v>
      </c>
      <c r="J62" s="44" t="str">
        <f>IFERROR(__xludf.DUMMYFUNCTION("""COMPUTED_VALUE"""),"")</f>
        <v/>
      </c>
      <c r="K62" s="42" t="str">
        <f>IFERROR(__xludf.DUMMYFUNCTION("""COMPUTED_VALUE"""),"🔍 BUSCAR PACIENTES")</f>
        <v>🔍 BUSCAR PACIENTES</v>
      </c>
    </row>
    <row r="63">
      <c r="A63" s="44">
        <v>62.0</v>
      </c>
      <c r="B63" s="44" t="str">
        <f>IFERROR(__xludf.DUMMYFUNCTION("""COMPUTED_VALUE"""),"Hospital Universitario de Carac")</f>
        <v>Hospital Universitario de Carac</v>
      </c>
      <c r="C63" s="45" t="str">
        <f>IFERROR(__xludf.DUMMYFUNCTION("""COMPUTED_VALUE"""),"Sobeida Oropeza")</f>
        <v>Sobeida Oropeza</v>
      </c>
      <c r="D63" s="44">
        <f>IFERROR(__xludf.DUMMYFUNCTION("""COMPUTED_VALUE"""),53.0)</f>
        <v>53</v>
      </c>
      <c r="E63" s="44" t="str">
        <f>IFERROR(__xludf.DUMMYFUNCTION("""COMPUTED_VALUE"""),"11635518")</f>
        <v>11635518</v>
      </c>
      <c r="F63" s="44" t="str">
        <f>IFERROR(__xludf.DUMMYFUNCTION("""COMPUTED_VALUE"""),"")</f>
        <v/>
      </c>
      <c r="G63" s="44"/>
      <c r="H63" s="44" t="str">
        <f>IFERROR(__xludf.DUMMYFUNCTION("""COMPUTED_VALUE"""),"La Guaira")</f>
        <v>La Guaira</v>
      </c>
      <c r="I63" s="44" t="str">
        <f>IFERROR(__xludf.DUMMYFUNCTION("""COMPUTED_VALUE"""),"Politraumatismo")</f>
        <v>Politraumatismo</v>
      </c>
      <c r="J63" s="44" t="str">
        <f>IFERROR(__xludf.DUMMYFUNCTION("""COMPUTED_VALUE"""),"")</f>
        <v/>
      </c>
      <c r="K63" s="42" t="str">
        <f>IFERROR(__xludf.DUMMYFUNCTION("""COMPUTED_VALUE"""),"Hospital Universitario de Carac")</f>
        <v>Hospital Universitario de Carac</v>
      </c>
    </row>
    <row r="64">
      <c r="A64" s="44">
        <v>63.0</v>
      </c>
      <c r="B64" s="44" t="str">
        <f>IFERROR(__xludf.DUMMYFUNCTION("""COMPUTED_VALUE"""),"Hospital Domingo Luciani")</f>
        <v>Hospital Domingo Luciani</v>
      </c>
      <c r="C64" s="45" t="str">
        <f>IFERROR(__xludf.DUMMYFUNCTION("""COMPUTED_VALUE"""),"BOADA MENDEZ EVELYN LUISA")</f>
        <v>BOADA MENDEZ EVELYN LUISA</v>
      </c>
      <c r="D64" s="44">
        <f>IFERROR(__xludf.DUMMYFUNCTION("""COMPUTED_VALUE"""),54.0)</f>
        <v>54</v>
      </c>
      <c r="E64" s="44" t="str">
        <f>IFERROR(__xludf.DUMMYFUNCTION("""COMPUTED_VALUE"""),"11636506")</f>
        <v>11636506</v>
      </c>
      <c r="F64" s="44" t="str">
        <f>IFERROR(__xludf.DUMMYFUNCTION("""COMPUTED_VALUE"""),"")</f>
        <v/>
      </c>
      <c r="G64" s="44" t="str">
        <f>IFERROR(__xludf.DUMMYFUNCTION("""COMPUTED_VALUE""")," ")</f>
        <v> </v>
      </c>
      <c r="H64" s="44" t="str">
        <f>IFERROR(__xludf.DUMMYFUNCTION("""COMPUTED_VALUE""")," ")</f>
        <v> </v>
      </c>
      <c r="I64" s="44" t="str">
        <f>IFERROR(__xludf.DUMMYFUNCTION("""COMPUTED_VALUE"""),"Internado")</f>
        <v>Internado</v>
      </c>
      <c r="J64" s="44" t="str">
        <f>IFERROR(__xludf.DUMMYFUNCTION("""COMPUTED_VALUE"""),"")</f>
        <v/>
      </c>
      <c r="K64" s="42" t="str">
        <f>IFERROR(__xludf.DUMMYFUNCTION("""COMPUTED_VALUE"""),"🔍 BUSCAR PACIENTES")</f>
        <v>🔍 BUSCAR PACIENTES</v>
      </c>
    </row>
    <row r="65">
      <c r="A65" s="44">
        <v>64.0</v>
      </c>
      <c r="B65" s="44" t="str">
        <f>IFERROR(__xludf.DUMMYFUNCTION("""COMPUTED_VALUE"""),"Hospital Ana Francisca Pérez de")</f>
        <v>Hospital Ana Francisca Pérez de</v>
      </c>
      <c r="C65" s="45" t="str">
        <f>IFERROR(__xludf.DUMMYFUNCTION("""COMPUTED_VALUE"""),"MANRIQUE MANUEL")</f>
        <v>MANRIQUE MANUEL</v>
      </c>
      <c r="D65" s="44">
        <f>IFERROR(__xludf.DUMMYFUNCTION("""COMPUTED_VALUE"""),56.0)</f>
        <v>56</v>
      </c>
      <c r="E65" s="44" t="str">
        <f>IFERROR(__xludf.DUMMYFUNCTION("""COMPUTED_VALUE"""),"11637469")</f>
        <v>11637469</v>
      </c>
      <c r="F65" s="44" t="str">
        <f>IFERROR(__xludf.DUMMYFUNCTION("""COMPUTED_VALUE"""),"")</f>
        <v/>
      </c>
      <c r="G65" s="44" t="str">
        <f>IFERROR(__xludf.DUMMYFUNCTION("""COMPUTED_VALUE""")," ")</f>
        <v> </v>
      </c>
      <c r="H65" s="44" t="str">
        <f>IFERROR(__xludf.DUMMYFUNCTION("""COMPUTED_VALUE""")," ")</f>
        <v> </v>
      </c>
      <c r="I65" s="44" t="str">
        <f>IFERROR(__xludf.DUMMYFUNCTION("""COMPUTED_VALUE"""),"Internado")</f>
        <v>Internado</v>
      </c>
      <c r="J65" s="44" t="str">
        <f>IFERROR(__xludf.DUMMYFUNCTION("""COMPUTED_VALUE"""),"")</f>
        <v/>
      </c>
      <c r="K65" s="42" t="str">
        <f>IFERROR(__xludf.DUMMYFUNCTION("""COMPUTED_VALUE"""),"Hospital Ana Francisca Pérez de")</f>
        <v>Hospital Ana Francisca Pérez de</v>
      </c>
    </row>
    <row r="66">
      <c r="A66" s="44">
        <v>65.0</v>
      </c>
      <c r="B66" s="44" t="str">
        <f>IFERROR(__xludf.DUMMYFUNCTION("""COMPUTED_VALUE"""),"Hospital Pérez Carreño")</f>
        <v>Hospital Pérez Carreño</v>
      </c>
      <c r="C66" s="45" t="str">
        <f>IFERROR(__xludf.DUMMYFUNCTION("""COMPUTED_VALUE"""),"DIAZ SANDRA")</f>
        <v>DIAZ SANDRA</v>
      </c>
      <c r="D66" s="44" t="str">
        <f>IFERROR(__xludf.DUMMYFUNCTION("""COMPUTED_VALUE""")," ")</f>
        <v> </v>
      </c>
      <c r="E66" s="44" t="str">
        <f>IFERROR(__xludf.DUMMYFUNCTION("""COMPUTED_VALUE"""),"11638321")</f>
        <v>11638321</v>
      </c>
      <c r="F66" s="44" t="str">
        <f>IFERROR(__xludf.DUMMYFUNCTION("""COMPUTED_VALUE"""),"")</f>
        <v/>
      </c>
      <c r="G66" s="44" t="str">
        <f>IFERROR(__xludf.DUMMYFUNCTION("""COMPUTED_VALUE""")," ")</f>
        <v> </v>
      </c>
      <c r="H66" s="44" t="str">
        <f>IFERROR(__xludf.DUMMYFUNCTION("""COMPUTED_VALUE""")," ")</f>
        <v> </v>
      </c>
      <c r="I66" s="44" t="str">
        <f>IFERROR(__xludf.DUMMYFUNCTION("""COMPUTED_VALUE""")," ")</f>
        <v> </v>
      </c>
      <c r="J66" s="44" t="str">
        <f>IFERROR(__xludf.DUMMYFUNCTION("""COMPUTED_VALUE"""),"25/06/2026")</f>
        <v>25/06/2026</v>
      </c>
      <c r="K66" s="42" t="str">
        <f>IFERROR(__xludf.DUMMYFUNCTION("""COMPUTED_VALUE"""),"Hospital Pérez Carreño")</f>
        <v>Hospital Pérez Carreño</v>
      </c>
    </row>
    <row r="67">
      <c r="A67" s="44">
        <v>66.0</v>
      </c>
      <c r="B67" s="44" t="str">
        <f>IFERROR(__xludf.DUMMYFUNCTION("""COMPUTED_VALUE"""),"Hospital Pérez Carreño")</f>
        <v>Hospital Pérez Carreño</v>
      </c>
      <c r="C67" s="45" t="str">
        <f>IFERROR(__xludf.DUMMYFUNCTION("""COMPUTED_VALUE"""),"SANDRA DIAS")</f>
        <v>SANDRA DIAS</v>
      </c>
      <c r="D67" s="44" t="str">
        <f>IFERROR(__xludf.DUMMYFUNCTION("""COMPUTED_VALUE""")," ")</f>
        <v> </v>
      </c>
      <c r="E67" s="44" t="str">
        <f>IFERROR(__xludf.DUMMYFUNCTION("""COMPUTED_VALUE"""),"116383210")</f>
        <v>116383210</v>
      </c>
      <c r="F67" s="44" t="str">
        <f>IFERROR(__xludf.DUMMYFUNCTION("""COMPUTED_VALUE"""),"")</f>
        <v/>
      </c>
      <c r="G67" s="44" t="str">
        <f>IFERROR(__xludf.DUMMYFUNCTION("""COMPUTED_VALUE""")," ")</f>
        <v> </v>
      </c>
      <c r="H67" s="44" t="str">
        <f>IFERROR(__xludf.DUMMYFUNCTION("""COMPUTED_VALUE""")," ")</f>
        <v> </v>
      </c>
      <c r="I67" s="44" t="str">
        <f>IFERROR(__xludf.DUMMYFUNCTION("""COMPUTED_VALUE""")," ")</f>
        <v> </v>
      </c>
      <c r="J67" s="44" t="str">
        <f>IFERROR(__xludf.DUMMYFUNCTION("""COMPUTED_VALUE"""),"25/06/2026")</f>
        <v>25/06/2026</v>
      </c>
      <c r="K67" s="42" t="str">
        <f>IFERROR(__xludf.DUMMYFUNCTION("""COMPUTED_VALUE"""),"Hospital Pérez Carreño")</f>
        <v>Hospital Pérez Carreño</v>
      </c>
    </row>
    <row r="68">
      <c r="A68" s="44">
        <v>67.0</v>
      </c>
      <c r="B68" s="44" t="str">
        <f>IFERROR(__xludf.DUMMYFUNCTION("""COMPUTED_VALUE"""),"Hospital Militar Dr. C. Arvelo")</f>
        <v>Hospital Militar Dr. C. Arvelo</v>
      </c>
      <c r="C68" s="45" t="str">
        <f>IFERROR(__xludf.DUMMYFUNCTION("""COMPUTED_VALUE"""),"Velásquez Jolimar")</f>
        <v>Velásquez Jolimar</v>
      </c>
      <c r="D68" s="44">
        <f>IFERROR(__xludf.DUMMYFUNCTION("""COMPUTED_VALUE"""),53.0)</f>
        <v>53</v>
      </c>
      <c r="E68" s="44" t="str">
        <f>IFERROR(__xludf.DUMMYFUNCTION("""COMPUTED_VALUE"""),"11638401")</f>
        <v>11638401</v>
      </c>
      <c r="F68" s="44" t="str">
        <f>IFERROR(__xludf.DUMMYFUNCTION("""COMPUTED_VALUE"""),"")</f>
        <v/>
      </c>
      <c r="G68" s="44" t="str">
        <f>IFERROR(__xludf.DUMMYFUNCTION("""COMPUTED_VALUE"""),"")</f>
        <v/>
      </c>
      <c r="H68" s="44" t="str">
        <f>IFERROR(__xludf.DUMMYFUNCTION("""COMPUTED_VALUE"""),"F")</f>
        <v>F</v>
      </c>
      <c r="I68" s="44" t="str">
        <f>IFERROR(__xludf.DUMMYFUNCTION("""COMPUTED_VALUE"""),"La Guaira AFILIADO")</f>
        <v>La Guaira AFILIADO</v>
      </c>
      <c r="J68" s="44" t="str">
        <f>IFERROR(__xludf.DUMMYFUNCTION("""COMPUTED_VALUE"""),"24/6/2026")</f>
        <v>24/6/2026</v>
      </c>
      <c r="K68" s="42" t="str">
        <f>IFERROR(__xludf.DUMMYFUNCTION("""COMPUTED_VALUE"""),"Hospital Militar Dr. C. Arvelo")</f>
        <v>Hospital Militar Dr. C. Arvelo</v>
      </c>
    </row>
    <row r="69">
      <c r="A69" s="44">
        <v>68.0</v>
      </c>
      <c r="B69" s="44" t="str">
        <f>IFERROR(__xludf.DUMMYFUNCTION("""COMPUTED_VALUE"""),"Hospital Pérez Carreño")</f>
        <v>Hospital Pérez Carreño</v>
      </c>
      <c r="C69" s="45" t="str">
        <f>IFERROR(__xludf.DUMMYFUNCTION("""COMPUTED_VALUE"""),"JUANA DE SANTIAGO")</f>
        <v>JUANA DE SANTIAGO</v>
      </c>
      <c r="D69" s="44" t="str">
        <f>IFERROR(__xludf.DUMMYFUNCTION("""COMPUTED_VALUE""")," ")</f>
        <v> </v>
      </c>
      <c r="E69" s="44" t="str">
        <f>IFERROR(__xludf.DUMMYFUNCTION("""COMPUTED_VALUE"""),"116388340")</f>
        <v>116388340</v>
      </c>
      <c r="F69" s="44" t="str">
        <f>IFERROR(__xludf.DUMMYFUNCTION("""COMPUTED_VALUE"""),"")</f>
        <v/>
      </c>
      <c r="G69" s="44" t="str">
        <f>IFERROR(__xludf.DUMMYFUNCTION("""COMPUTED_VALUE""")," ")</f>
        <v> </v>
      </c>
      <c r="H69" s="44" t="str">
        <f>IFERROR(__xludf.DUMMYFUNCTION("""COMPUTED_VALUE""")," ")</f>
        <v> </v>
      </c>
      <c r="I69" s="44" t="str">
        <f>IFERROR(__xludf.DUMMYFUNCTION("""COMPUTED_VALUE""")," ")</f>
        <v> </v>
      </c>
      <c r="J69" s="44" t="str">
        <f>IFERROR(__xludf.DUMMYFUNCTION("""COMPUTED_VALUE"""),"25/06/2026")</f>
        <v>25/06/2026</v>
      </c>
      <c r="K69" s="42" t="str">
        <f>IFERROR(__xludf.DUMMYFUNCTION("""COMPUTED_VALUE"""),"Hospital Pérez Carreño")</f>
        <v>Hospital Pérez Carreño</v>
      </c>
    </row>
    <row r="70">
      <c r="A70" s="44">
        <v>69.0</v>
      </c>
      <c r="B70" s="44" t="str">
        <f>IFERROR(__xludf.DUMMYFUNCTION("""COMPUTED_VALUE"""),"Hospital Universitario de Carac")</f>
        <v>Hospital Universitario de Carac</v>
      </c>
      <c r="C70" s="45" t="str">
        <f>IFERROR(__xludf.DUMMYFUNCTION("""COMPUTED_VALUE"""),"OROPEZA CYNTHIA")</f>
        <v>OROPEZA CYNTHIA</v>
      </c>
      <c r="D70" s="44">
        <f>IFERROR(__xludf.DUMMYFUNCTION("""COMPUTED_VALUE"""),52.0)</f>
        <v>52</v>
      </c>
      <c r="E70" s="44" t="str">
        <f>IFERROR(__xludf.DUMMYFUNCTION("""COMPUTED_VALUE"""),"11639511")</f>
        <v>11639511</v>
      </c>
      <c r="F70" s="44" t="str">
        <f>IFERROR(__xludf.DUMMYFUNCTION("""COMPUTED_VALUE"""),"")</f>
        <v/>
      </c>
      <c r="G70" s="44" t="str">
        <f>IFERROR(__xludf.DUMMYFUNCTION("""COMPUTED_VALUE"""),"0412-2928549")</f>
        <v>0412-2928549</v>
      </c>
      <c r="H70" s="44" t="str">
        <f>IFERROR(__xludf.DUMMYFUNCTION("""COMPUTED_VALUE""")," ")</f>
        <v> </v>
      </c>
      <c r="I70" s="44" t="str">
        <f>IFERROR(__xludf.DUMMYFUNCTION("""COMPUTED_VALUE"""),"Sala Cirugía 28-C – Fx cadera izquierda")</f>
        <v>Sala Cirugía 28-C – Fx cadera izquierda</v>
      </c>
      <c r="J70" s="44" t="str">
        <f>IFERROR(__xludf.DUMMYFUNCTION("""COMPUTED_VALUE"""),"")</f>
        <v/>
      </c>
      <c r="K70" s="42" t="str">
        <f>IFERROR(__xludf.DUMMYFUNCTION("""COMPUTED_VALUE"""),"Hospital Universitario de Carac")</f>
        <v>Hospital Universitario de Carac</v>
      </c>
    </row>
    <row r="71">
      <c r="A71" s="44">
        <v>70.0</v>
      </c>
      <c r="B71" s="44" t="str">
        <f>IFERROR(__xludf.DUMMYFUNCTION("""COMPUTED_VALUE"""),"Hospital Universitario de Carac")</f>
        <v>Hospital Universitario de Carac</v>
      </c>
      <c r="C71" s="45" t="str">
        <f>IFERROR(__xludf.DUMMYFUNCTION("""COMPUTED_VALUE"""),"OROPEZA SOCORRO / SOBEIDA / ZOBEIDA")</f>
        <v>OROPEZA SOCORRO / SOBEIDA / ZOBEIDA</v>
      </c>
      <c r="D71" s="44">
        <f>IFERROR(__xludf.DUMMYFUNCTION("""COMPUTED_VALUE"""),53.0)</f>
        <v>53</v>
      </c>
      <c r="E71" s="44" t="str">
        <f>IFERROR(__xludf.DUMMYFUNCTION("""COMPUTED_VALUE"""),"11639518")</f>
        <v>11639518</v>
      </c>
      <c r="F71" s="44" t="str">
        <f>IFERROR(__xludf.DUMMYFUNCTION("""COMPUTED_VALUE"""),"")</f>
        <v/>
      </c>
      <c r="G71" s="44" t="str">
        <f>IFERROR(__xludf.DUMMYFUNCTION("""COMPUTED_VALUE"""),"0412-2728549")</f>
        <v>0412-2728549</v>
      </c>
      <c r="H71" s="44" t="str">
        <f>IFERROR(__xludf.DUMMYFUNCTION("""COMPUTED_VALUE""")," ")</f>
        <v> </v>
      </c>
      <c r="I71" s="44" t="str">
        <f>IFERROR(__xludf.DUMMYFUNCTION("""COMPUTED_VALUE"""),"Sala Cirugía 28-D – TCE moderado; Tx músculo esquelético")</f>
        <v>Sala Cirugía 28-D – TCE moderado; Tx músculo esquelético</v>
      </c>
      <c r="J71" s="44" t="str">
        <f>IFERROR(__xludf.DUMMYFUNCTION("""COMPUTED_VALUE"""),"")</f>
        <v/>
      </c>
      <c r="K71" s="42" t="str">
        <f>IFERROR(__xludf.DUMMYFUNCTION("""COMPUTED_VALUE"""),"Hospital Universitario de Carac")</f>
        <v>Hospital Universitario de Carac</v>
      </c>
    </row>
    <row r="72">
      <c r="A72" s="44">
        <v>71.0</v>
      </c>
      <c r="B72" s="44" t="str">
        <f>IFERROR(__xludf.DUMMYFUNCTION("""COMPUTED_VALUE"""),"Hospital Vargas de Caracas")</f>
        <v>Hospital Vargas de Caracas</v>
      </c>
      <c r="C72" s="45" t="str">
        <f>IFERROR(__xludf.DUMMYFUNCTION("""COMPUTED_VALUE"""),"JOSE ALI")</f>
        <v>JOSE ALI</v>
      </c>
      <c r="D72" s="44" t="str">
        <f>IFERROR(__xludf.DUMMYFUNCTION("""COMPUTED_VALUE""")," ")</f>
        <v> </v>
      </c>
      <c r="E72" s="44" t="str">
        <f>IFERROR(__xludf.DUMMYFUNCTION("""COMPUTED_VALUE"""),"11640596")</f>
        <v>11640596</v>
      </c>
      <c r="F72" s="44" t="str">
        <f>IFERROR(__xludf.DUMMYFUNCTION("""COMPUTED_VALUE""")," ")</f>
        <v> </v>
      </c>
      <c r="G72" s="44" t="str">
        <f>IFERROR(__xludf.DUMMYFUNCTION("""COMPUTED_VALUE"""),"")</f>
        <v/>
      </c>
      <c r="H72" s="44" t="str">
        <f>IFERROR(__xludf.DUMMYFUNCTION("""COMPUTED_VALUE"""),"Guaira")</f>
        <v>Guaira</v>
      </c>
      <c r="I72" s="44" t="str">
        <f>IFERROR(__xludf.DUMMYFUNCTION("""COMPUTED_VALUE""")," ")</f>
        <v> </v>
      </c>
      <c r="J72" s="44" t="str">
        <f>IFERROR(__xludf.DUMMYFUNCTION("""COMPUTED_VALUE"""),"")</f>
        <v/>
      </c>
      <c r="K72" s="42" t="str">
        <f>IFERROR(__xludf.DUMMYFUNCTION("""COMPUTED_VALUE"""),"Hospital Vargas de Caracas")</f>
        <v>Hospital Vargas de Caracas</v>
      </c>
    </row>
    <row r="73">
      <c r="A73" s="44">
        <v>72.0</v>
      </c>
      <c r="B73" s="44" t="str">
        <f>IFERROR(__xludf.DUMMYFUNCTION("""COMPUTED_VALUE"""),"HOSPITAL VARGAS")</f>
        <v>HOSPITAL VARGAS</v>
      </c>
      <c r="C73" s="45" t="str">
        <f>IFERROR(__xludf.DUMMYFUNCTION("""COMPUTED_VALUE"""),"Maria Olivares")</f>
        <v>Maria Olivares</v>
      </c>
      <c r="D73" s="44"/>
      <c r="E73" s="44" t="str">
        <f>IFERROR(__xludf.DUMMYFUNCTION("""COMPUTED_VALUE"""),"11640976")</f>
        <v>11640976</v>
      </c>
      <c r="F73" s="44" t="str">
        <f>IFERROR(__xludf.DUMMYFUNCTION("""COMPUTED_VALUE"""),"")</f>
        <v/>
      </c>
      <c r="G73" s="44" t="str">
        <f>IFERROR(__xludf.DUMMYFUNCTION("""COMPUTED_VALUE"""),"")</f>
        <v/>
      </c>
      <c r="H73" s="44" t="str">
        <f>IFERROR(__xludf.DUMMYFUNCTION("""COMPUTED_VALUE"""),"")</f>
        <v/>
      </c>
      <c r="I73" s="44" t="str">
        <f>IFERROR(__xludf.DUMMYFUNCTION("""COMPUTED_VALUE"""),"Herido / atendido")</f>
        <v>Herido / atendido</v>
      </c>
      <c r="J73" s="44" t="str">
        <f>IFERROR(__xludf.DUMMYFUNCTION("""COMPUTED_VALUE"""),"24.06.2026 ")</f>
        <v>24.06.2026 </v>
      </c>
      <c r="K73" s="42" t="str">
        <f>IFERROR(__xludf.DUMMYFUNCTION("""COMPUTED_VALUE"""),"HOSPITAL VARGAS")</f>
        <v>HOSPITAL VARGAS</v>
      </c>
    </row>
    <row r="74">
      <c r="A74" s="44">
        <v>73.0</v>
      </c>
      <c r="B74" s="44" t="str">
        <f>IFERROR(__xludf.DUMMYFUNCTION("""COMPUTED_VALUE"""),"Hospital Militar Dr. C. Arvelo")</f>
        <v>Hospital Militar Dr. C. Arvelo</v>
      </c>
      <c r="C74" s="45" t="str">
        <f>IFERROR(__xludf.DUMMYFUNCTION("""COMPUTED_VALUE"""),"Delia de Guerrero Peña")</f>
        <v>Delia de Guerrero Peña</v>
      </c>
      <c r="D74" s="44">
        <f>IFERROR(__xludf.DUMMYFUNCTION("""COMPUTED_VALUE"""),50.0)</f>
        <v>50</v>
      </c>
      <c r="E74" s="44" t="str">
        <f>IFERROR(__xludf.DUMMYFUNCTION("""COMPUTED_VALUE"""),"11642518")</f>
        <v>11642518</v>
      </c>
      <c r="F74" s="44" t="str">
        <f>IFERROR(__xludf.DUMMYFUNCTION("""COMPUTED_VALUE"""),"")</f>
        <v/>
      </c>
      <c r="G74" s="44" t="str">
        <f>IFERROR(__xludf.DUMMYFUNCTION("""COMPUTED_VALUE"""),"")</f>
        <v/>
      </c>
      <c r="H74" s="44" t="str">
        <f>IFERROR(__xludf.DUMMYFUNCTION("""COMPUTED_VALUE"""),"F")</f>
        <v>F</v>
      </c>
      <c r="I74" s="44" t="str">
        <f>IFERROR(__xludf.DUMMYFUNCTION("""COMPUTED_VALUE"""),"Catia PNA")</f>
        <v>Catia PNA</v>
      </c>
      <c r="J74" s="44" t="str">
        <f>IFERROR(__xludf.DUMMYFUNCTION("""COMPUTED_VALUE"""),"24/6/2026")</f>
        <v>24/6/2026</v>
      </c>
      <c r="K74" s="42" t="str">
        <f>IFERROR(__xludf.DUMMYFUNCTION("""COMPUTED_VALUE"""),"Hospital Militar Dr. C. Arvelo")</f>
        <v>Hospital Militar Dr. C. Arvelo</v>
      </c>
    </row>
    <row r="75">
      <c r="A75" s="44">
        <v>74.0</v>
      </c>
      <c r="B75" s="44" t="str">
        <f>IFERROR(__xludf.DUMMYFUNCTION("""COMPUTED_VALUE"""),"Periférico de Catia")</f>
        <v>Periférico de Catia</v>
      </c>
      <c r="C75" s="45" t="str">
        <f>IFERROR(__xludf.DUMMYFUNCTION("""COMPUTED_VALUE"""),"MAYORA GUSTAVO")</f>
        <v>MAYORA GUSTAVO</v>
      </c>
      <c r="D75" s="44">
        <f>IFERROR(__xludf.DUMMYFUNCTION("""COMPUTED_VALUE"""),52.0)</f>
        <v>52</v>
      </c>
      <c r="E75" s="44" t="str">
        <f>IFERROR(__xludf.DUMMYFUNCTION("""COMPUTED_VALUE"""),"11643841")</f>
        <v>11643841</v>
      </c>
      <c r="F75" s="44" t="str">
        <f>IFERROR(__xludf.DUMMYFUNCTION("""COMPUTED_VALUE"""),"")</f>
        <v/>
      </c>
      <c r="G75" s="44" t="str">
        <f>IFERROR(__xludf.DUMMYFUNCTION("""COMPUTED_VALUE""")," ")</f>
        <v> </v>
      </c>
      <c r="H75" s="44" t="str">
        <f>IFERROR(__xludf.DUMMYFUNCTION("""COMPUTED_VALUE""")," ")</f>
        <v> </v>
      </c>
      <c r="I75" s="44" t="str">
        <f>IFERROR(__xludf.DUMMYFUNCTION("""COMPUTED_VALUE"""),"Cirugía General")</f>
        <v>Cirugía General</v>
      </c>
      <c r="J75" s="44" t="str">
        <f>IFERROR(__xludf.DUMMYFUNCTION("""COMPUTED_VALUE"""),"")</f>
        <v/>
      </c>
      <c r="K75" s="42" t="str">
        <f>IFERROR(__xludf.DUMMYFUNCTION("""COMPUTED_VALUE"""),"Periférico de Catia")</f>
        <v>Periférico de Catia</v>
      </c>
    </row>
    <row r="76">
      <c r="A76" s="44">
        <v>75.0</v>
      </c>
      <c r="B76" s="44" t="str">
        <f>IFERROR(__xludf.DUMMYFUNCTION("""COMPUTED_VALUE"""),"Periférico de Catia")</f>
        <v>Periférico de Catia</v>
      </c>
      <c r="C76" s="45" t="str">
        <f>IFERROR(__xludf.DUMMYFUNCTION("""COMPUTED_VALUE"""),"GUSTAVO MAYORES")</f>
        <v>GUSTAVO MAYORES</v>
      </c>
      <c r="D76" s="44">
        <f>IFERROR(__xludf.DUMMYFUNCTION("""COMPUTED_VALUE"""),52.0)</f>
        <v>52</v>
      </c>
      <c r="E76" s="44" t="str">
        <f>IFERROR(__xludf.DUMMYFUNCTION("""COMPUTED_VALUE"""),"116438410")</f>
        <v>116438410</v>
      </c>
      <c r="F76" s="44" t="str">
        <f>IFERROR(__xludf.DUMMYFUNCTION("""COMPUTED_VALUE"""),"")</f>
        <v/>
      </c>
      <c r="G76" s="44" t="str">
        <f>IFERROR(__xludf.DUMMYFUNCTION("""COMPUTED_VALUE""")," ")</f>
        <v> </v>
      </c>
      <c r="H76" s="44" t="str">
        <f>IFERROR(__xludf.DUMMYFUNCTION("""COMPUTED_VALUE"""),"Sin información")</f>
        <v>Sin información</v>
      </c>
      <c r="I76" s="44" t="str">
        <f>IFERROR(__xludf.DUMMYFUNCTION("""COMPUTED_VALUE"""),"Cirugía General")</f>
        <v>Cirugía General</v>
      </c>
      <c r="J76" s="44" t="str">
        <f>IFERROR(__xludf.DUMMYFUNCTION("""COMPUTED_VALUE"""),"")</f>
        <v/>
      </c>
      <c r="K76" s="42" t="str">
        <f>IFERROR(__xludf.DUMMYFUNCTION("""COMPUTED_VALUE"""),"Periférico de Catia")</f>
        <v>Periférico de Catia</v>
      </c>
    </row>
    <row r="77">
      <c r="A77" s="44">
        <v>76.0</v>
      </c>
      <c r="B77" s="44" t="str">
        <f>IFERROR(__xludf.DUMMYFUNCTION("""COMPUTED_VALUE"""),"Hospital Militar Dr. C. Arvelo")</f>
        <v>Hospital Militar Dr. C. Arvelo</v>
      </c>
      <c r="C77" s="45" t="str">
        <f>IFERROR(__xludf.DUMMYFUNCTION("""COMPUTED_VALUE"""),"Mora Yosmar")</f>
        <v>Mora Yosmar</v>
      </c>
      <c r="D77" s="44">
        <f>IFERROR(__xludf.DUMMYFUNCTION("""COMPUTED_VALUE"""),52.0)</f>
        <v>52</v>
      </c>
      <c r="E77" s="44" t="str">
        <f>IFERROR(__xludf.DUMMYFUNCTION("""COMPUTED_VALUE"""),"11649384")</f>
        <v>11649384</v>
      </c>
      <c r="F77" s="44" t="str">
        <f>IFERROR(__xludf.DUMMYFUNCTION("""COMPUTED_VALUE"""),"")</f>
        <v/>
      </c>
      <c r="G77" s="44" t="str">
        <f>IFERROR(__xludf.DUMMYFUNCTION("""COMPUTED_VALUE"""),"")</f>
        <v/>
      </c>
      <c r="H77" s="44" t="str">
        <f>IFERROR(__xludf.DUMMYFUNCTION("""COMPUTED_VALUE"""),"F")</f>
        <v>F</v>
      </c>
      <c r="I77" s="44" t="str">
        <f>IFERROR(__xludf.DUMMYFUNCTION("""COMPUTED_VALUE"""),"Artigas PNA")</f>
        <v>Artigas PNA</v>
      </c>
      <c r="J77" s="44" t="str">
        <f>IFERROR(__xludf.DUMMYFUNCTION("""COMPUTED_VALUE"""),"24/6/2026")</f>
        <v>24/6/2026</v>
      </c>
      <c r="K77" s="42" t="str">
        <f>IFERROR(__xludf.DUMMYFUNCTION("""COMPUTED_VALUE"""),"Hospital Militar Dr. C. Arvelo")</f>
        <v>Hospital Militar Dr. C. Arvelo</v>
      </c>
    </row>
    <row r="78">
      <c r="A78" s="44">
        <v>77.0</v>
      </c>
      <c r="B78" s="44" t="str">
        <f>IFERROR(__xludf.DUMMYFUNCTION("""COMPUTED_VALUE"""),"Periférico de Catia")</f>
        <v>Periférico de Catia</v>
      </c>
      <c r="C78" s="45" t="str">
        <f>IFERROR(__xludf.DUMMYFUNCTION("""COMPUTED_VALUE"""),"ANGELA GALAVIZ")</f>
        <v>ANGELA GALAVIZ</v>
      </c>
      <c r="D78" s="44">
        <f>IFERROR(__xludf.DUMMYFUNCTION("""COMPUTED_VALUE"""),53.0)</f>
        <v>53</v>
      </c>
      <c r="E78" s="44" t="str">
        <f>IFERROR(__xludf.DUMMYFUNCTION("""COMPUTED_VALUE"""),"116660620")</f>
        <v>116660620</v>
      </c>
      <c r="F78" s="44" t="str">
        <f>IFERROR(__xludf.DUMMYFUNCTION("""COMPUTED_VALUE"""),"")</f>
        <v/>
      </c>
      <c r="G78" s="44" t="str">
        <f>IFERROR(__xludf.DUMMYFUNCTION("""COMPUTED_VALUE""")," ")</f>
        <v> </v>
      </c>
      <c r="H78" s="44" t="str">
        <f>IFERROR(__xludf.DUMMYFUNCTION("""COMPUTED_VALUE"""),"Sin información")</f>
        <v>Sin información</v>
      </c>
      <c r="I78" s="44" t="str">
        <f>IFERROR(__xludf.DUMMYFUNCTION("""COMPUTED_VALUE"""),"Emergencia")</f>
        <v>Emergencia</v>
      </c>
      <c r="J78" s="44" t="str">
        <f>IFERROR(__xludf.DUMMYFUNCTION("""COMPUTED_VALUE"""),"")</f>
        <v/>
      </c>
      <c r="K78" s="42" t="str">
        <f>IFERROR(__xludf.DUMMYFUNCTION("""COMPUTED_VALUE"""),"Periférico de Catia")</f>
        <v>Periférico de Catia</v>
      </c>
    </row>
    <row r="79">
      <c r="A79" s="44">
        <v>78.0</v>
      </c>
      <c r="B79" s="44" t="str">
        <f>IFERROR(__xludf.DUMMYFUNCTION("""COMPUTED_VALUE"""),"Hospital Pérez Carreño")</f>
        <v>Hospital Pérez Carreño</v>
      </c>
      <c r="C79" s="45" t="str">
        <f>IFERROR(__xludf.DUMMYFUNCTION("""COMPUTED_VALUE"""),"DE SANTIAGO JUANA")</f>
        <v>DE SANTIAGO JUANA</v>
      </c>
      <c r="D79" s="44" t="str">
        <f>IFERROR(__xludf.DUMMYFUNCTION("""COMPUTED_VALUE""")," ")</f>
        <v> </v>
      </c>
      <c r="E79" s="44" t="str">
        <f>IFERROR(__xludf.DUMMYFUNCTION("""COMPUTED_VALUE"""),"11688834")</f>
        <v>11688834</v>
      </c>
      <c r="F79" s="44" t="str">
        <f>IFERROR(__xludf.DUMMYFUNCTION("""COMPUTED_VALUE"""),"")</f>
        <v/>
      </c>
      <c r="G79" s="44" t="str">
        <f>IFERROR(__xludf.DUMMYFUNCTION("""COMPUTED_VALUE""")," ")</f>
        <v> </v>
      </c>
      <c r="H79" s="44" t="str">
        <f>IFERROR(__xludf.DUMMYFUNCTION("""COMPUTED_VALUE""")," ")</f>
        <v> </v>
      </c>
      <c r="I79" s="44" t="str">
        <f>IFERROR(__xludf.DUMMYFUNCTION("""COMPUTED_VALUE""")," ")</f>
        <v> </v>
      </c>
      <c r="J79" s="44" t="str">
        <f>IFERROR(__xludf.DUMMYFUNCTION("""COMPUTED_VALUE"""),"25/06/2026")</f>
        <v>25/06/2026</v>
      </c>
      <c r="K79" s="42" t="str">
        <f>IFERROR(__xludf.DUMMYFUNCTION("""COMPUTED_VALUE"""),"Hospital Pérez Carreño")</f>
        <v>Hospital Pérez Carreño</v>
      </c>
    </row>
    <row r="80">
      <c r="A80" s="44">
        <v>79.0</v>
      </c>
      <c r="B80" s="44" t="str">
        <f>IFERROR(__xludf.DUMMYFUNCTION("""COMPUTED_VALUE"""),"Hospital Pérez Carreño")</f>
        <v>Hospital Pérez Carreño</v>
      </c>
      <c r="C80" s="45" t="str">
        <f>IFERROR(__xludf.DUMMYFUNCTION("""COMPUTED_VALUE"""),"JUANA DE SANTIAGO")</f>
        <v>JUANA DE SANTIAGO</v>
      </c>
      <c r="D80" s="44" t="str">
        <f>IFERROR(__xludf.DUMMYFUNCTION("""COMPUTED_VALUE"""),"Sin información")</f>
        <v>Sin información</v>
      </c>
      <c r="E80" s="44" t="str">
        <f>IFERROR(__xludf.DUMMYFUNCTION("""COMPUTED_VALUE"""),"116888340")</f>
        <v>116888340</v>
      </c>
      <c r="F80" s="44" t="str">
        <f>IFERROR(__xludf.DUMMYFUNCTION("""COMPUTED_VALUE"""),"")</f>
        <v/>
      </c>
      <c r="G80" s="44" t="str">
        <f>IFERROR(__xludf.DUMMYFUNCTION("""COMPUTED_VALUE""")," ")</f>
        <v> </v>
      </c>
      <c r="H80" s="44" t="str">
        <f>IFERROR(__xludf.DUMMYFUNCTION("""COMPUTED_VALUE"""),"Sin información")</f>
        <v>Sin información</v>
      </c>
      <c r="I80" s="44" t="str">
        <f>IFERROR(__xludf.DUMMYFUNCTION("""COMPUTED_VALUE"""),"Sin información")</f>
        <v>Sin información</v>
      </c>
      <c r="J80" s="44" t="str">
        <f>IFERROR(__xludf.DUMMYFUNCTION("""COMPUTED_VALUE"""),"25/06/2026")</f>
        <v>25/06/2026</v>
      </c>
      <c r="K80" s="42" t="str">
        <f>IFERROR(__xludf.DUMMYFUNCTION("""COMPUTED_VALUE"""),"Hospital Pérez Carreño")</f>
        <v>Hospital Pérez Carreño</v>
      </c>
    </row>
    <row r="81">
      <c r="A81" s="44">
        <v>80.0</v>
      </c>
      <c r="B81" s="44" t="str">
        <f>IFERROR(__xludf.DUMMYFUNCTION("""COMPUTED_VALUE"""),"H. Jose Maria Vargas LG")</f>
        <v>H. Jose Maria Vargas LG</v>
      </c>
      <c r="C81" s="45" t="str">
        <f>IFERROR(__xludf.DUMMYFUNCTION("""COMPUTED_VALUE"""),"SOSA DANY")</f>
        <v>SOSA DANY</v>
      </c>
      <c r="D81" s="44">
        <f>IFERROR(__xludf.DUMMYFUNCTION("""COMPUTED_VALUE"""),54.0)</f>
        <v>54</v>
      </c>
      <c r="E81" s="44" t="str">
        <f>IFERROR(__xludf.DUMMYFUNCTION("""COMPUTED_VALUE"""),"11692456")</f>
        <v>11692456</v>
      </c>
      <c r="F81" s="44" t="str">
        <f>IFERROR(__xludf.DUMMYFUNCTION("""COMPUTED_VALUE"""),"")</f>
        <v/>
      </c>
      <c r="G81" s="44" t="str">
        <f>IFERROR(__xludf.DUMMYFUNCTION("""COMPUTED_VALUE""")," ")</f>
        <v> </v>
      </c>
      <c r="H81" s="44" t="str">
        <f>IFERROR(__xludf.DUMMYFUNCTION("""COMPUTED_VALUE"""),"Caribe")</f>
        <v>Caribe</v>
      </c>
      <c r="I81" s="44" t="str">
        <f>IFERROR(__xludf.DUMMYFUNCTION("""COMPUTED_VALUE""")," ")</f>
        <v> </v>
      </c>
      <c r="J81" s="44" t="str">
        <f>IFERROR(__xludf.DUMMYFUNCTION("""COMPUTED_VALUE"""),"")</f>
        <v/>
      </c>
      <c r="K81" s="42" t="str">
        <f>IFERROR(__xludf.DUMMYFUNCTION("""COMPUTED_VALUE"""),"H. Jose Maria Vargas LG")</f>
        <v>H. Jose Maria Vargas LG</v>
      </c>
    </row>
    <row r="82">
      <c r="A82" s="44">
        <v>81.0</v>
      </c>
      <c r="B82" s="44" t="str">
        <f>IFERROR(__xludf.DUMMYFUNCTION("""COMPUTED_VALUE"""),"Seguro Social La Guaira")</f>
        <v>Seguro Social La Guaira</v>
      </c>
      <c r="C82" s="45" t="str">
        <f>IFERROR(__xludf.DUMMYFUNCTION("""COMPUTED_VALUE"""),"DANY SOSA")</f>
        <v>DANY SOSA</v>
      </c>
      <c r="D82" s="44" t="str">
        <f>IFERROR(__xludf.DUMMYFUNCTION("""COMPUTED_VALUE""")," ")</f>
        <v> </v>
      </c>
      <c r="E82" s="44" t="str">
        <f>IFERROR(__xludf.DUMMYFUNCTION("""COMPUTED_VALUE"""),"116924560")</f>
        <v>116924560</v>
      </c>
      <c r="F82" s="44" t="str">
        <f>IFERROR(__xludf.DUMMYFUNCTION("""COMPUTED_VALUE"""),"")</f>
        <v/>
      </c>
      <c r="G82" s="44" t="str">
        <f>IFERROR(__xludf.DUMMYFUNCTION("""COMPUTED_VALUE""")," ")</f>
        <v> </v>
      </c>
      <c r="H82" s="44" t="str">
        <f>IFERROR(__xludf.DUMMYFUNCTION("""COMPUTED_VALUE"""),"Caribe")</f>
        <v>Caribe</v>
      </c>
      <c r="I82" s="44" t="str">
        <f>IFERROR(__xludf.DUMMYFUNCTION("""COMPUTED_VALUE""")," ")</f>
        <v> </v>
      </c>
      <c r="J82" s="44" t="str">
        <f>IFERROR(__xludf.DUMMYFUNCTION("""COMPUTED_VALUE"""),"")</f>
        <v/>
      </c>
      <c r="K82" s="42" t="str">
        <f>IFERROR(__xludf.DUMMYFUNCTION("""COMPUTED_VALUE"""),"Seguro Social La Guaira")</f>
        <v>Seguro Social La Guaira</v>
      </c>
    </row>
    <row r="83">
      <c r="A83" s="44">
        <v>82.0</v>
      </c>
      <c r="B83" s="44" t="str">
        <f>IFERROR(__xludf.DUMMYFUNCTION("""COMPUTED_VALUE"""),"Hospital Militar Dr. C. Arvelo")</f>
        <v>Hospital Militar Dr. C. Arvelo</v>
      </c>
      <c r="C83" s="45" t="str">
        <f>IFERROR(__xludf.DUMMYFUNCTION("""COMPUTED_VALUE"""),"Álvarez Bermo Elsy")</f>
        <v>Álvarez Bermo Elsy</v>
      </c>
      <c r="D83" s="44">
        <f>IFERROR(__xludf.DUMMYFUNCTION("""COMPUTED_VALUE"""),53.0)</f>
        <v>53</v>
      </c>
      <c r="E83" s="44" t="str">
        <f>IFERROR(__xludf.DUMMYFUNCTION("""COMPUTED_VALUE"""),"11697809")</f>
        <v>11697809</v>
      </c>
      <c r="F83" s="44" t="str">
        <f>IFERROR(__xludf.DUMMYFUNCTION("""COMPUTED_VALUE"""),"")</f>
        <v/>
      </c>
      <c r="G83" s="44" t="str">
        <f>IFERROR(__xludf.DUMMYFUNCTION("""COMPUTED_VALUE"""),"")</f>
        <v/>
      </c>
      <c r="H83" s="44" t="str">
        <f>IFERROR(__xludf.DUMMYFUNCTION("""COMPUTED_VALUE"""),"F")</f>
        <v>F</v>
      </c>
      <c r="I83" s="44" t="str">
        <f>IFERROR(__xludf.DUMMYFUNCTION("""COMPUTED_VALUE"""),"San Martín PNA")</f>
        <v>San Martín PNA</v>
      </c>
      <c r="J83" s="44" t="str">
        <f>IFERROR(__xludf.DUMMYFUNCTION("""COMPUTED_VALUE"""),"24/6/2026")</f>
        <v>24/6/2026</v>
      </c>
      <c r="K83" s="42" t="str">
        <f>IFERROR(__xludf.DUMMYFUNCTION("""COMPUTED_VALUE"""),"Hospital Militar Dr. C. Arvelo")</f>
        <v>Hospital Militar Dr. C. Arvelo</v>
      </c>
    </row>
    <row r="84">
      <c r="A84" s="44">
        <v>83.0</v>
      </c>
      <c r="B84" s="44" t="str">
        <f>IFERROR(__xludf.DUMMYFUNCTION("""COMPUTED_VALUE"""),"Hospital Pérez Carreño")</f>
        <v>Hospital Pérez Carreño</v>
      </c>
      <c r="C84" s="45" t="str">
        <f>IFERROR(__xludf.DUMMYFUNCTION("""COMPUTED_VALUE"""),"MARYURI SEDENO")</f>
        <v>MARYURI SEDENO</v>
      </c>
      <c r="D84" s="44" t="str">
        <f>IFERROR(__xludf.DUMMYFUNCTION("""COMPUTED_VALUE"""),"Sin información")</f>
        <v>Sin información</v>
      </c>
      <c r="E84" s="44" t="str">
        <f>IFERROR(__xludf.DUMMYFUNCTION("""COMPUTED_VALUE"""),"119140210")</f>
        <v>119140210</v>
      </c>
      <c r="F84" s="44" t="str">
        <f>IFERROR(__xludf.DUMMYFUNCTION("""COMPUTED_VALUE"""),"")</f>
        <v/>
      </c>
      <c r="G84" s="44" t="str">
        <f>IFERROR(__xludf.DUMMYFUNCTION("""COMPUTED_VALUE""")," ")</f>
        <v> </v>
      </c>
      <c r="H84" s="44" t="str">
        <f>IFERROR(__xludf.DUMMYFUNCTION("""COMPUTED_VALUE"""),"Sin información")</f>
        <v>Sin información</v>
      </c>
      <c r="I84" s="44" t="str">
        <f>IFERROR(__xludf.DUMMYFUNCTION("""COMPUTED_VALUE"""),"Sin información")</f>
        <v>Sin información</v>
      </c>
      <c r="J84" s="44" t="str">
        <f>IFERROR(__xludf.DUMMYFUNCTION("""COMPUTED_VALUE"""),"25/06/2026")</f>
        <v>25/06/2026</v>
      </c>
      <c r="K84" s="42" t="str">
        <f>IFERROR(__xludf.DUMMYFUNCTION("""COMPUTED_VALUE"""),"Hospital Pérez Carreño")</f>
        <v>Hospital Pérez Carreño</v>
      </c>
    </row>
    <row r="85">
      <c r="A85" s="44">
        <v>84.0</v>
      </c>
      <c r="B85" s="44" t="str">
        <f>IFERROR(__xludf.DUMMYFUNCTION("""COMPUTED_VALUE"""),"Hospital Universitario de Carac")</f>
        <v>Hospital Universitario de Carac</v>
      </c>
      <c r="C85" s="45" t="str">
        <f>IFERROR(__xludf.DUMMYFUNCTION("""COMPUTED_VALUE"""),"CAMARGO DIEGO")</f>
        <v>CAMARGO DIEGO</v>
      </c>
      <c r="D85" s="44">
        <f>IFERROR(__xludf.DUMMYFUNCTION("""COMPUTED_VALUE"""),29.0)</f>
        <v>29</v>
      </c>
      <c r="E85" s="44" t="str">
        <f>IFERROR(__xludf.DUMMYFUNCTION("""COMPUTED_VALUE"""),"11926425")</f>
        <v>11926425</v>
      </c>
      <c r="F85" s="44" t="str">
        <f>IFERROR(__xludf.DUMMYFUNCTION("""COMPUTED_VALUE"""),"")</f>
        <v/>
      </c>
      <c r="G85" s="44" t="str">
        <f>IFERROR(__xludf.DUMMYFUNCTION("""COMPUTED_VALUE""")," ")</f>
        <v> </v>
      </c>
      <c r="H85" s="44" t="str">
        <f>IFERROR(__xludf.DUMMYFUNCTION("""COMPUTED_VALUE""")," ")</f>
        <v> </v>
      </c>
      <c r="I85" s="44" t="str">
        <f>IFERROR(__xludf.DUMMYFUNCTION("""COMPUTED_VALUE"""),"Politraumatismo")</f>
        <v>Politraumatismo</v>
      </c>
      <c r="J85" s="44" t="str">
        <f>IFERROR(__xludf.DUMMYFUNCTION("""COMPUTED_VALUE"""),"")</f>
        <v/>
      </c>
      <c r="K85" s="42" t="str">
        <f>IFERROR(__xludf.DUMMYFUNCTION("""COMPUTED_VALUE"""),"Hospital Universitario de Carac")</f>
        <v>Hospital Universitario de Carac</v>
      </c>
    </row>
    <row r="86">
      <c r="A86" s="44">
        <v>85.0</v>
      </c>
      <c r="B86" s="44" t="str">
        <f>IFERROR(__xludf.DUMMYFUNCTION("""COMPUTED_VALUE"""),"Hospital Ana Francisca Pérez de")</f>
        <v>Hospital Ana Francisca Pérez de</v>
      </c>
      <c r="C86" s="45" t="str">
        <f>IFERROR(__xludf.DUMMYFUNCTION("""COMPUTED_VALUE"""),"VASQUIOLE MAURO")</f>
        <v>VASQUIOLE MAURO</v>
      </c>
      <c r="D86" s="44">
        <f>IFERROR(__xludf.DUMMYFUNCTION("""COMPUTED_VALUE"""),52.0)</f>
        <v>52</v>
      </c>
      <c r="E86" s="44" t="str">
        <f>IFERROR(__xludf.DUMMYFUNCTION("""COMPUTED_VALUE"""),"11934645")</f>
        <v>11934645</v>
      </c>
      <c r="F86" s="44" t="str">
        <f>IFERROR(__xludf.DUMMYFUNCTION("""COMPUTED_VALUE"""),"")</f>
        <v/>
      </c>
      <c r="G86" s="44" t="str">
        <f>IFERROR(__xludf.DUMMYFUNCTION("""COMPUTED_VALUE""")," ")</f>
        <v> </v>
      </c>
      <c r="H86" s="44" t="str">
        <f>IFERROR(__xludf.DUMMYFUNCTION("""COMPUTED_VALUE"""),"La Guaira")</f>
        <v>La Guaira</v>
      </c>
      <c r="I86" s="44" t="str">
        <f>IFERROR(__xludf.DUMMYFUNCTION("""COMPUTED_VALUE""")," ")</f>
        <v> </v>
      </c>
      <c r="J86" s="44" t="str">
        <f>IFERROR(__xludf.DUMMYFUNCTION("""COMPUTED_VALUE"""),"")</f>
        <v/>
      </c>
      <c r="K86" s="42" t="str">
        <f>IFERROR(__xludf.DUMMYFUNCTION("""COMPUTED_VALUE"""),"Hospital Ana Francisca Pérez de")</f>
        <v>Hospital Ana Francisca Pérez de</v>
      </c>
    </row>
    <row r="87">
      <c r="A87" s="44">
        <v>86.0</v>
      </c>
      <c r="B87" s="44" t="str">
        <f>IFERROR(__xludf.DUMMYFUNCTION("""COMPUTED_VALUE"""),"H. Jose Maria Vargas LG")</f>
        <v>H. Jose Maria Vargas LG</v>
      </c>
      <c r="C87" s="45" t="str">
        <f>IFERROR(__xludf.DUMMYFUNCTION("""COMPUTED_VALUE"""),"UGAS MARIA")</f>
        <v>UGAS MARIA</v>
      </c>
      <c r="D87" s="44" t="str">
        <f>IFERROR(__xludf.DUMMYFUNCTION("""COMPUTED_VALUE""")," ")</f>
        <v> </v>
      </c>
      <c r="E87" s="44" t="str">
        <f>IFERROR(__xludf.DUMMYFUNCTION("""COMPUTED_VALUE"""),"11966827")</f>
        <v>11966827</v>
      </c>
      <c r="F87" s="44" t="str">
        <f>IFERROR(__xludf.DUMMYFUNCTION("""COMPUTED_VALUE"""),"")</f>
        <v/>
      </c>
      <c r="G87" s="44" t="str">
        <f>IFERROR(__xludf.DUMMYFUNCTION("""COMPUTED_VALUE""")," ")</f>
        <v> </v>
      </c>
      <c r="H87" s="44" t="str">
        <f>IFERROR(__xludf.DUMMYFUNCTION("""COMPUTED_VALUE"""),"Playa Grande")</f>
        <v>Playa Grande</v>
      </c>
      <c r="I87" s="44" t="str">
        <f>IFERROR(__xludf.DUMMYFUNCTION("""COMPUTED_VALUE""")," ")</f>
        <v> </v>
      </c>
      <c r="J87" s="44" t="str">
        <f>IFERROR(__xludf.DUMMYFUNCTION("""COMPUTED_VALUE"""),"")</f>
        <v/>
      </c>
      <c r="K87" s="42" t="str">
        <f>IFERROR(__xludf.DUMMYFUNCTION("""COMPUTED_VALUE"""),"H. Jose Maria Vargas LG")</f>
        <v>H. Jose Maria Vargas LG</v>
      </c>
    </row>
    <row r="88">
      <c r="A88" s="44">
        <v>87.0</v>
      </c>
      <c r="B88" s="44" t="str">
        <f>IFERROR(__xludf.DUMMYFUNCTION("""COMPUTED_VALUE"""),"Seguro Social La Guaira")</f>
        <v>Seguro Social La Guaira</v>
      </c>
      <c r="C88" s="45" t="str">
        <f>IFERROR(__xludf.DUMMYFUNCTION("""COMPUTED_VALUE"""),"MARIA UGAS")</f>
        <v>MARIA UGAS</v>
      </c>
      <c r="D88" s="44" t="str">
        <f>IFERROR(__xludf.DUMMYFUNCTION("""COMPUTED_VALUE""")," ")</f>
        <v> </v>
      </c>
      <c r="E88" s="44" t="str">
        <f>IFERROR(__xludf.DUMMYFUNCTION("""COMPUTED_VALUE"""),"119668270")</f>
        <v>119668270</v>
      </c>
      <c r="F88" s="44" t="str">
        <f>IFERROR(__xludf.DUMMYFUNCTION("""COMPUTED_VALUE"""),"")</f>
        <v/>
      </c>
      <c r="G88" s="44" t="str">
        <f>IFERROR(__xludf.DUMMYFUNCTION("""COMPUTED_VALUE""")," ")</f>
        <v> </v>
      </c>
      <c r="H88" s="44" t="str">
        <f>IFERROR(__xludf.DUMMYFUNCTION("""COMPUTED_VALUE"""),"Playa Grande")</f>
        <v>Playa Grande</v>
      </c>
      <c r="I88" s="44" t="str">
        <f>IFERROR(__xludf.DUMMYFUNCTION("""COMPUTED_VALUE""")," ")</f>
        <v> </v>
      </c>
      <c r="J88" s="44" t="str">
        <f>IFERROR(__xludf.DUMMYFUNCTION("""COMPUTED_VALUE"""),"")</f>
        <v/>
      </c>
      <c r="K88" s="42" t="str">
        <f>IFERROR(__xludf.DUMMYFUNCTION("""COMPUTED_VALUE"""),"Seguro Social La Guaira")</f>
        <v>Seguro Social La Guaira</v>
      </c>
    </row>
    <row r="89">
      <c r="A89" s="44">
        <v>88.0</v>
      </c>
      <c r="B89" s="44" t="str">
        <f>IFERROR(__xludf.DUMMYFUNCTION("""COMPUTED_VALUE"""),"Hospital Ana Francisca Pérez de")</f>
        <v>Hospital Ana Francisca Pérez de</v>
      </c>
      <c r="C89" s="45" t="str">
        <f>IFERROR(__xludf.DUMMYFUNCTION("""COMPUTED_VALUE"""),"BERLEZZA JOSE GREGORIO")</f>
        <v>BERLEZZA JOSE GREGORIO</v>
      </c>
      <c r="D89" s="44">
        <f>IFERROR(__xludf.DUMMYFUNCTION("""COMPUTED_VALUE"""),52.0)</f>
        <v>52</v>
      </c>
      <c r="E89" s="44" t="str">
        <f>IFERROR(__xludf.DUMMYFUNCTION("""COMPUTED_VALUE"""),"11990934")</f>
        <v>11990934</v>
      </c>
      <c r="F89" s="44" t="str">
        <f>IFERROR(__xludf.DUMMYFUNCTION("""COMPUTED_VALUE"""),"")</f>
        <v/>
      </c>
      <c r="G89" s="44" t="str">
        <f>IFERROR(__xludf.DUMMYFUNCTION("""COMPUTED_VALUE""")," ")</f>
        <v> </v>
      </c>
      <c r="H89" s="44" t="str">
        <f>IFERROR(__xludf.DUMMYFUNCTION("""COMPUTED_VALUE""")," ")</f>
        <v> </v>
      </c>
      <c r="I89" s="44" t="str">
        <f>IFERROR(__xludf.DUMMYFUNCTION("""COMPUTED_VALUE"""),"Internado; QUIROFANO")</f>
        <v>Internado; QUIROFANO</v>
      </c>
      <c r="J89" s="44" t="str">
        <f>IFERROR(__xludf.DUMMYFUNCTION("""COMPUTED_VALUE"""),"")</f>
        <v/>
      </c>
      <c r="K89" s="42" t="str">
        <f>IFERROR(__xludf.DUMMYFUNCTION("""COMPUTED_VALUE"""),"Hospital Ana Francisca Pérez de")</f>
        <v>Hospital Ana Francisca Pérez de</v>
      </c>
    </row>
    <row r="90">
      <c r="A90" s="44">
        <v>89.0</v>
      </c>
      <c r="B90" s="44" t="str">
        <f>IFERROR(__xludf.DUMMYFUNCTION("""COMPUTED_VALUE"""),"Hospital Ana Francisca Pérez de")</f>
        <v>Hospital Ana Francisca Pérez de</v>
      </c>
      <c r="C90" s="45" t="str">
        <f>IFERROR(__xludf.DUMMYFUNCTION("""COMPUTED_VALUE"""),"MAURO VEQUIOLE")</f>
        <v>MAURO VEQUIOLE</v>
      </c>
      <c r="D90" s="44">
        <f>IFERROR(__xludf.DUMMYFUNCTION("""COMPUTED_VALUE"""),52.0)</f>
        <v>52</v>
      </c>
      <c r="E90" s="44" t="str">
        <f>IFERROR(__xludf.DUMMYFUNCTION("""COMPUTED_VALUE"""),"119946450")</f>
        <v>119946450</v>
      </c>
      <c r="F90" s="44" t="str">
        <f>IFERROR(__xludf.DUMMYFUNCTION("""COMPUTED_VALUE"""),"")</f>
        <v/>
      </c>
      <c r="G90" s="44" t="str">
        <f>IFERROR(__xludf.DUMMYFUNCTION("""COMPUTED_VALUE""")," ")</f>
        <v> </v>
      </c>
      <c r="H90" s="44" t="str">
        <f>IFERROR(__xludf.DUMMYFUNCTION("""COMPUTED_VALUE"""),"La Guaira")</f>
        <v>La Guaira</v>
      </c>
      <c r="I90" s="44" t="str">
        <f>IFERROR(__xludf.DUMMYFUNCTION("""COMPUTED_VALUE""")," ")</f>
        <v> </v>
      </c>
      <c r="J90" s="44" t="str">
        <f>IFERROR(__xludf.DUMMYFUNCTION("""COMPUTED_VALUE"""),"")</f>
        <v/>
      </c>
      <c r="K90" s="42" t="str">
        <f>IFERROR(__xludf.DUMMYFUNCTION("""COMPUTED_VALUE"""),"🔍 BUSCAR PACIENTES")</f>
        <v>🔍 BUSCAR PACIENTES</v>
      </c>
    </row>
    <row r="91">
      <c r="A91" s="44">
        <v>90.0</v>
      </c>
      <c r="B91" s="44" t="str">
        <f>IFERROR(__xludf.DUMMYFUNCTION("""COMPUTED_VALUE"""),"Hospital Pérez Carreño")</f>
        <v>Hospital Pérez Carreño</v>
      </c>
      <c r="C91" s="45" t="str">
        <f>IFERROR(__xludf.DUMMYFUNCTION("""COMPUTED_VALUE"""),"Carmen Anganta")</f>
        <v>Carmen Anganta</v>
      </c>
      <c r="D91" s="44"/>
      <c r="E91" s="44" t="str">
        <f>IFERROR(__xludf.DUMMYFUNCTION("""COMPUTED_VALUE"""),"12060080")</f>
        <v>12060080</v>
      </c>
      <c r="F91" s="44" t="str">
        <f>IFERROR(__xludf.DUMMYFUNCTION("""COMPUTED_VALUE"""),"")</f>
        <v/>
      </c>
      <c r="G91" s="44" t="str">
        <f>IFERROR(__xludf.DUMMYFUNCTION("""COMPUTED_VALUE"""),"Listado de nombres")</f>
        <v>Listado de nombres</v>
      </c>
      <c r="H91" s="44" t="str">
        <f>IFERROR(__xludf.DUMMYFUNCTION("""COMPUTED_VALUE"""),"Hospital Miguel Perez Carreño")</f>
        <v>Hospital Miguel Perez Carreño</v>
      </c>
      <c r="I91" s="44"/>
      <c r="J91" s="44" t="str">
        <f>IFERROR(__xludf.DUMMYFUNCTION("""COMPUTED_VALUE"""),"26/6/26")</f>
        <v>26/6/26</v>
      </c>
      <c r="K91" s="42" t="str">
        <f>IFERROR(__xludf.DUMMYFUNCTION("""COMPUTED_VALUE"""),"Hospital Pérez Carreño")</f>
        <v>Hospital Pérez Carreño</v>
      </c>
    </row>
    <row r="92">
      <c r="A92" s="44">
        <v>91.0</v>
      </c>
      <c r="B92" s="44" t="str">
        <f>IFERROR(__xludf.DUMMYFUNCTION("""COMPUTED_VALUE"""),"Hospital Pérez Carreño")</f>
        <v>Hospital Pérez Carreño</v>
      </c>
      <c r="C92" s="45" t="str">
        <f>IFERROR(__xludf.DUMMYFUNCTION("""COMPUTED_VALUE"""),"CARMEN ANGARITA")</f>
        <v>CARMEN ANGARITA</v>
      </c>
      <c r="D92" s="44" t="str">
        <f>IFERROR(__xludf.DUMMYFUNCTION("""COMPUTED_VALUE""")," ")</f>
        <v> </v>
      </c>
      <c r="E92" s="44" t="str">
        <f>IFERROR(__xludf.DUMMYFUNCTION("""COMPUTED_VALUE"""),"120600800")</f>
        <v>120600800</v>
      </c>
      <c r="F92" s="44" t="str">
        <f>IFERROR(__xludf.DUMMYFUNCTION("""COMPUTED_VALUE"""),"")</f>
        <v/>
      </c>
      <c r="G92" s="44" t="str">
        <f>IFERROR(__xludf.DUMMYFUNCTION("""COMPUTED_VALUE""")," ")</f>
        <v> </v>
      </c>
      <c r="H92" s="44" t="str">
        <f>IFERROR(__xludf.DUMMYFUNCTION("""COMPUTED_VALUE""")," ")</f>
        <v> </v>
      </c>
      <c r="I92" s="44" t="str">
        <f>IFERROR(__xludf.DUMMYFUNCTION("""COMPUTED_VALUE""")," ")</f>
        <v> </v>
      </c>
      <c r="J92" s="44" t="str">
        <f>IFERROR(__xludf.DUMMYFUNCTION("""COMPUTED_VALUE"""),"25/06/2026")</f>
        <v>25/06/2026</v>
      </c>
      <c r="K92" s="42" t="str">
        <f>IFERROR(__xludf.DUMMYFUNCTION("""COMPUTED_VALUE"""),"Hospital Pérez Carreño")</f>
        <v>Hospital Pérez Carreño</v>
      </c>
    </row>
    <row r="93">
      <c r="A93" s="44">
        <v>92.0</v>
      </c>
      <c r="B93" s="44" t="str">
        <f>IFERROR(__xludf.DUMMYFUNCTION("""COMPUTED_VALUE"""),"Hospital Universitario de Carac")</f>
        <v>Hospital Universitario de Carac</v>
      </c>
      <c r="C93" s="45" t="str">
        <f>IFERROR(__xludf.DUMMYFUNCTION("""COMPUTED_VALUE"""),"OJEDA CARLOS")</f>
        <v>OJEDA CARLOS</v>
      </c>
      <c r="D93" s="44">
        <f>IFERROR(__xludf.DUMMYFUNCTION("""COMPUTED_VALUE"""),51.0)</f>
        <v>51</v>
      </c>
      <c r="E93" s="44" t="str">
        <f>IFERROR(__xludf.DUMMYFUNCTION("""COMPUTED_VALUE"""),"12066889")</f>
        <v>12066889</v>
      </c>
      <c r="F93" s="44" t="str">
        <f>IFERROR(__xludf.DUMMYFUNCTION("""COMPUTED_VALUE"""),"")</f>
        <v/>
      </c>
      <c r="G93" s="44" t="str">
        <f>IFERROR(__xludf.DUMMYFUNCTION("""COMPUTED_VALUE"""),"0424-4437142")</f>
        <v>0424-4437142</v>
      </c>
      <c r="H93" s="44" t="str">
        <f>IFERROR(__xludf.DUMMYFUNCTION("""COMPUTED_VALUE""")," ")</f>
        <v> </v>
      </c>
      <c r="I93" s="44" t="str">
        <f>IFERROR(__xludf.DUMMYFUNCTION("""COMPUTED_VALUE""")," ")</f>
        <v> </v>
      </c>
      <c r="J93" s="44" t="str">
        <f>IFERROR(__xludf.DUMMYFUNCTION("""COMPUTED_VALUE"""),"")</f>
        <v/>
      </c>
      <c r="K93" s="42" t="str">
        <f>IFERROR(__xludf.DUMMYFUNCTION("""COMPUTED_VALUE"""),"Hospital Universitario de Carac")</f>
        <v>Hospital Universitario de Carac</v>
      </c>
    </row>
    <row r="94">
      <c r="A94" s="44">
        <v>93.0</v>
      </c>
      <c r="B94" s="44" t="str">
        <f>IFERROR(__xludf.DUMMYFUNCTION("""COMPUTED_VALUE"""),"Hospital Vargas de Caracas")</f>
        <v>Hospital Vargas de Caracas</v>
      </c>
      <c r="C94" s="45" t="str">
        <f>IFERROR(__xludf.DUMMYFUNCTION("""COMPUTED_VALUE"""),"REQUJON DE ABREU GERALDIN")</f>
        <v>REQUJON DE ABREU GERALDIN</v>
      </c>
      <c r="D94" s="44" t="str">
        <f>IFERROR(__xludf.DUMMYFUNCTION("""COMPUTED_VALUE""")," ")</f>
        <v> </v>
      </c>
      <c r="E94" s="44" t="str">
        <f>IFERROR(__xludf.DUMMYFUNCTION("""COMPUTED_VALUE"""),"12094993")</f>
        <v>12094993</v>
      </c>
      <c r="F94" s="44" t="str">
        <f>IFERROR(__xludf.DUMMYFUNCTION("""COMPUTED_VALUE""")," ")</f>
        <v> </v>
      </c>
      <c r="G94" s="44" t="str">
        <f>IFERROR(__xludf.DUMMYFUNCTION("""COMPUTED_VALUE"""),"")</f>
        <v/>
      </c>
      <c r="H94" s="44" t="str">
        <f>IFERROR(__xludf.DUMMYFUNCTION("""COMPUTED_VALUE"""),"Guaira")</f>
        <v>Guaira</v>
      </c>
      <c r="I94" s="44" t="str">
        <f>IFERROR(__xludf.DUMMYFUNCTION("""COMPUTED_VALUE""")," ")</f>
        <v> </v>
      </c>
      <c r="J94" s="44" t="str">
        <f>IFERROR(__xludf.DUMMYFUNCTION("""COMPUTED_VALUE"""),"")</f>
        <v/>
      </c>
      <c r="K94" s="42" t="str">
        <f>IFERROR(__xludf.DUMMYFUNCTION("""COMPUTED_VALUE"""),"Hospital Vargas de Caracas")</f>
        <v>Hospital Vargas de Caracas</v>
      </c>
    </row>
    <row r="95">
      <c r="A95" s="44">
        <v>94.0</v>
      </c>
      <c r="B95" s="44" t="str">
        <f>IFERROR(__xludf.DUMMYFUNCTION("""COMPUTED_VALUE"""),"Hospital Pérez Carreño")</f>
        <v>Hospital Pérez Carreño</v>
      </c>
      <c r="C95" s="45" t="str">
        <f>IFERROR(__xludf.DUMMYFUNCTION("""COMPUTED_VALUE"""),"URBINA EDWIN")</f>
        <v>URBINA EDWIN</v>
      </c>
      <c r="D95" s="44" t="str">
        <f>IFERROR(__xludf.DUMMYFUNCTION("""COMPUTED_VALUE""")," ")</f>
        <v> </v>
      </c>
      <c r="E95" s="44" t="str">
        <f>IFERROR(__xludf.DUMMYFUNCTION("""COMPUTED_VALUE"""),"12113971")</f>
        <v>12113971</v>
      </c>
      <c r="F95" s="44" t="str">
        <f>IFERROR(__xludf.DUMMYFUNCTION("""COMPUTED_VALUE"""),"")</f>
        <v/>
      </c>
      <c r="G95" s="44" t="str">
        <f>IFERROR(__xludf.DUMMYFUNCTION("""COMPUTED_VALUE""")," ")</f>
        <v> </v>
      </c>
      <c r="H95" s="44" t="str">
        <f>IFERROR(__xludf.DUMMYFUNCTION("""COMPUTED_VALUE""")," ")</f>
        <v> </v>
      </c>
      <c r="I95" s="44" t="str">
        <f>IFERROR(__xludf.DUMMYFUNCTION("""COMPUTED_VALUE"""),"Nuevos Ingresos")</f>
        <v>Nuevos Ingresos</v>
      </c>
      <c r="J95" s="44" t="str">
        <f>IFERROR(__xludf.DUMMYFUNCTION("""COMPUTED_VALUE"""),"25/06/2026")</f>
        <v>25/06/2026</v>
      </c>
      <c r="K95" s="42" t="str">
        <f>IFERROR(__xludf.DUMMYFUNCTION("""COMPUTED_VALUE"""),"Hospital Pérez Carreño")</f>
        <v>Hospital Pérez Carreño</v>
      </c>
    </row>
    <row r="96">
      <c r="A96" s="44">
        <v>95.0</v>
      </c>
      <c r="B96" s="44" t="str">
        <f>IFERROR(__xludf.DUMMYFUNCTION("""COMPUTED_VALUE"""),"Hospital Pérez Carreño")</f>
        <v>Hospital Pérez Carreño</v>
      </c>
      <c r="C96" s="45" t="str">
        <f>IFERROR(__xludf.DUMMYFUNCTION("""COMPUTED_VALUE"""),"LOPO FUFIAR")</f>
        <v>LOPO FUFIAR</v>
      </c>
      <c r="D96" s="44" t="str">
        <f>IFERROR(__xludf.DUMMYFUNCTION("""COMPUTED_VALUE""")," ")</f>
        <v> </v>
      </c>
      <c r="E96" s="44" t="str">
        <f>IFERROR(__xludf.DUMMYFUNCTION("""COMPUTED_VALUE"""),"12115323")</f>
        <v>12115323</v>
      </c>
      <c r="F96" s="44" t="str">
        <f>IFERROR(__xludf.DUMMYFUNCTION("""COMPUTED_VALUE"""),"")</f>
        <v/>
      </c>
      <c r="G96" s="44" t="str">
        <f>IFERROR(__xludf.DUMMYFUNCTION("""COMPUTED_VALUE""")," ")</f>
        <v> </v>
      </c>
      <c r="H96" s="44" t="str">
        <f>IFERROR(__xludf.DUMMYFUNCTION("""COMPUTED_VALUE""")," ")</f>
        <v> </v>
      </c>
      <c r="I96" s="44" t="str">
        <f>IFERROR(__xludf.DUMMYFUNCTION("""COMPUTED_VALUE""")," ")</f>
        <v> </v>
      </c>
      <c r="J96" s="44" t="str">
        <f>IFERROR(__xludf.DUMMYFUNCTION("""COMPUTED_VALUE"""),"25/06/2026")</f>
        <v>25/06/2026</v>
      </c>
      <c r="K96" s="42" t="str">
        <f>IFERROR(__xludf.DUMMYFUNCTION("""COMPUTED_VALUE"""),"Hospital Pérez Carreño")</f>
        <v>Hospital Pérez Carreño</v>
      </c>
    </row>
    <row r="97">
      <c r="A97" s="44">
        <v>96.0</v>
      </c>
      <c r="B97" s="44" t="str">
        <f>IFERROR(__xludf.DUMMYFUNCTION("""COMPUTED_VALUE"""),"Hospital Pérez Carreño")</f>
        <v>Hospital Pérez Carreño</v>
      </c>
      <c r="C97" s="45" t="str">
        <f>IFERROR(__xludf.DUMMYFUNCTION("""COMPUTED_VALUE"""),"DUÑAR LOPEZ")</f>
        <v>DUÑAR LOPEZ</v>
      </c>
      <c r="D97" s="44" t="str">
        <f>IFERROR(__xludf.DUMMYFUNCTION("""COMPUTED_VALUE""")," ")</f>
        <v> </v>
      </c>
      <c r="E97" s="44" t="str">
        <f>IFERROR(__xludf.DUMMYFUNCTION("""COMPUTED_VALUE"""),"121153230")</f>
        <v>121153230</v>
      </c>
      <c r="F97" s="44" t="str">
        <f>IFERROR(__xludf.DUMMYFUNCTION("""COMPUTED_VALUE"""),"")</f>
        <v/>
      </c>
      <c r="G97" s="44" t="str">
        <f>IFERROR(__xludf.DUMMYFUNCTION("""COMPUTED_VALUE""")," ")</f>
        <v> </v>
      </c>
      <c r="H97" s="44" t="str">
        <f>IFERROR(__xludf.DUMMYFUNCTION("""COMPUTED_VALUE""")," ")</f>
        <v> </v>
      </c>
      <c r="I97" s="44" t="str">
        <f>IFERROR(__xludf.DUMMYFUNCTION("""COMPUTED_VALUE"""),"Triaje")</f>
        <v>Triaje</v>
      </c>
      <c r="J97" s="44" t="str">
        <f>IFERROR(__xludf.DUMMYFUNCTION("""COMPUTED_VALUE"""),"25/06/2026")</f>
        <v>25/06/2026</v>
      </c>
      <c r="K97" s="42" t="str">
        <f>IFERROR(__xludf.DUMMYFUNCTION("""COMPUTED_VALUE"""),"Hospital Pérez Carreño")</f>
        <v>Hospital Pérez Carreño</v>
      </c>
    </row>
    <row r="98">
      <c r="A98" s="44">
        <v>97.0</v>
      </c>
      <c r="B98" s="44" t="str">
        <f>IFERROR(__xludf.DUMMYFUNCTION("""COMPUTED_VALUE"""),"Hospital Vargas de Caracas")</f>
        <v>Hospital Vargas de Caracas</v>
      </c>
      <c r="C98" s="45" t="str">
        <f>IFERROR(__xludf.DUMMYFUNCTION("""COMPUTED_VALUE"""),"ELITA HAYORE")</f>
        <v>ELITA HAYORE</v>
      </c>
      <c r="D98" s="44" t="str">
        <f>IFERROR(__xludf.DUMMYFUNCTION("""COMPUTED_VALUE""")," ")</f>
        <v> </v>
      </c>
      <c r="E98" s="44" t="str">
        <f>IFERROR(__xludf.DUMMYFUNCTION("""COMPUTED_VALUE"""),"12150067")</f>
        <v>12150067</v>
      </c>
      <c r="F98" s="44" t="str">
        <f>IFERROR(__xludf.DUMMYFUNCTION("""COMPUTED_VALUE""")," ")</f>
        <v> </v>
      </c>
      <c r="G98" s="44" t="str">
        <f>IFERROR(__xludf.DUMMYFUNCTION("""COMPUTED_VALUE"""),"")</f>
        <v/>
      </c>
      <c r="H98" s="44" t="str">
        <f>IFERROR(__xludf.DUMMYFUNCTION("""COMPUTED_VALUE""")," ")</f>
        <v> </v>
      </c>
      <c r="I98" s="44" t="str">
        <f>IFERROR(__xludf.DUMMYFUNCTION("""COMPUTED_VALUE""")," ")</f>
        <v> </v>
      </c>
      <c r="J98" s="44" t="str">
        <f>IFERROR(__xludf.DUMMYFUNCTION("""COMPUTED_VALUE"""),"")</f>
        <v/>
      </c>
      <c r="K98" s="42" t="str">
        <f>IFERROR(__xludf.DUMMYFUNCTION("""COMPUTED_VALUE"""),"Hospital Vargas de Caracas")</f>
        <v>Hospital Vargas de Caracas</v>
      </c>
    </row>
    <row r="99">
      <c r="A99" s="44">
        <v>98.0</v>
      </c>
      <c r="B99" s="44" t="str">
        <f>IFERROR(__xludf.DUMMYFUNCTION("""COMPUTED_VALUE"""),"H. Jose Maria Vargas LG")</f>
        <v>H. Jose Maria Vargas LG</v>
      </c>
      <c r="C99" s="45" t="str">
        <f>IFERROR(__xludf.DUMMYFUNCTION("""COMPUTED_VALUE"""),"RIVERO JOSE DANIEL")</f>
        <v>RIVERO JOSE DANIEL</v>
      </c>
      <c r="D99" s="44" t="str">
        <f>IFERROR(__xludf.DUMMYFUNCTION("""COMPUTED_VALUE""")," ")</f>
        <v> </v>
      </c>
      <c r="E99" s="44" t="str">
        <f>IFERROR(__xludf.DUMMYFUNCTION("""COMPUTED_VALUE"""),"12162900")</f>
        <v>12162900</v>
      </c>
      <c r="F99" s="44" t="str">
        <f>IFERROR(__xludf.DUMMYFUNCTION("""COMPUTED_VALUE"""),"")</f>
        <v/>
      </c>
      <c r="G99" s="44" t="str">
        <f>IFERROR(__xludf.DUMMYFUNCTION("""COMPUTED_VALUE""")," ")</f>
        <v> </v>
      </c>
      <c r="H99" s="44" t="str">
        <f>IFERROR(__xludf.DUMMYFUNCTION("""COMPUTED_VALUE"""),"La Guaira")</f>
        <v>La Guaira</v>
      </c>
      <c r="I99" s="44" t="str">
        <f>IFERROR(__xludf.DUMMYFUNCTION("""COMPUTED_VALUE""")," ")</f>
        <v> </v>
      </c>
      <c r="J99" s="44" t="str">
        <f>IFERROR(__xludf.DUMMYFUNCTION("""COMPUTED_VALUE"""),"")</f>
        <v/>
      </c>
      <c r="K99" s="42" t="str">
        <f>IFERROR(__xludf.DUMMYFUNCTION("""COMPUTED_VALUE"""),"H. Jose Maria Vargas LG")</f>
        <v>H. Jose Maria Vargas LG</v>
      </c>
    </row>
    <row r="100">
      <c r="A100" s="44">
        <v>99.0</v>
      </c>
      <c r="B100" s="44" t="str">
        <f>IFERROR(__xludf.DUMMYFUNCTION("""COMPUTED_VALUE"""),"Periférico de Catia")</f>
        <v>Periférico de Catia</v>
      </c>
      <c r="C100" s="45" t="str">
        <f>IFERROR(__xludf.DUMMYFUNCTION("""COMPUTED_VALUE"""),"PLANAS JOSE")</f>
        <v>PLANAS JOSE</v>
      </c>
      <c r="D100" s="44">
        <f>IFERROR(__xludf.DUMMYFUNCTION("""COMPUTED_VALUE"""),52.0)</f>
        <v>52</v>
      </c>
      <c r="E100" s="44" t="str">
        <f>IFERROR(__xludf.DUMMYFUNCTION("""COMPUTED_VALUE"""),"12163470")</f>
        <v>12163470</v>
      </c>
      <c r="F100" s="44" t="str">
        <f>IFERROR(__xludf.DUMMYFUNCTION("""COMPUTED_VALUE"""),"")</f>
        <v/>
      </c>
      <c r="G100" s="44" t="str">
        <f>IFERROR(__xludf.DUMMYFUNCTION("""COMPUTED_VALUE""")," ")</f>
        <v> </v>
      </c>
      <c r="H100" s="44" t="str">
        <f>IFERROR(__xludf.DUMMYFUNCTION("""COMPUTED_VALUE""")," ")</f>
        <v> </v>
      </c>
      <c r="I100" s="44" t="str">
        <f>IFERROR(__xludf.DUMMYFUNCTION("""COMPUTED_VALUE"""),"Cirugía General")</f>
        <v>Cirugía General</v>
      </c>
      <c r="J100" s="44" t="str">
        <f>IFERROR(__xludf.DUMMYFUNCTION("""COMPUTED_VALUE"""),"")</f>
        <v/>
      </c>
      <c r="K100" s="42" t="str">
        <f>IFERROR(__xludf.DUMMYFUNCTION("""COMPUTED_VALUE"""),"Periférico de Catia")</f>
        <v>Periférico de Catia</v>
      </c>
    </row>
    <row r="101">
      <c r="A101" s="44">
        <v>100.0</v>
      </c>
      <c r="B101" s="44" t="str">
        <f>IFERROR(__xludf.DUMMYFUNCTION("""COMPUTED_VALUE"""),"Periférico de Catia")</f>
        <v>Periférico de Catia</v>
      </c>
      <c r="C101" s="45" t="str">
        <f>IFERROR(__xludf.DUMMYFUNCTION("""COMPUTED_VALUE"""),"PLANAS JOSE")</f>
        <v>PLANAS JOSE</v>
      </c>
      <c r="D101" s="44">
        <f>IFERROR(__xludf.DUMMYFUNCTION("""COMPUTED_VALUE"""),52.0)</f>
        <v>52</v>
      </c>
      <c r="E101" s="44" t="str">
        <f>IFERROR(__xludf.DUMMYFUNCTION("""COMPUTED_VALUE"""),"121634700")</f>
        <v>121634700</v>
      </c>
      <c r="F101" s="44" t="str">
        <f>IFERROR(__xludf.DUMMYFUNCTION("""COMPUTED_VALUE"""),"")</f>
        <v/>
      </c>
      <c r="G101" s="44" t="str">
        <f>IFERROR(__xludf.DUMMYFUNCTION("""COMPUTED_VALUE""")," ")</f>
        <v> </v>
      </c>
      <c r="H101" s="44" t="str">
        <f>IFERROR(__xludf.DUMMYFUNCTION("""COMPUTED_VALUE""")," ")</f>
        <v> </v>
      </c>
      <c r="I101" s="44" t="str">
        <f>IFERROR(__xludf.DUMMYFUNCTION("""COMPUTED_VALUE"""),"Cirugía General")</f>
        <v>Cirugía General</v>
      </c>
      <c r="J101" s="44" t="str">
        <f>IFERROR(__xludf.DUMMYFUNCTION("""COMPUTED_VALUE"""),"")</f>
        <v/>
      </c>
      <c r="K101" s="42" t="str">
        <f>IFERROR(__xludf.DUMMYFUNCTION("""COMPUTED_VALUE"""),"Periférico de Catia")</f>
        <v>Periférico de Catia</v>
      </c>
    </row>
    <row r="102">
      <c r="A102" s="44">
        <v>101.0</v>
      </c>
      <c r="B102" s="44" t="str">
        <f>IFERROR(__xludf.DUMMYFUNCTION("""COMPUTED_VALUE"""),"Hospital Dr. José Gregorio Hern")</f>
        <v>Hospital Dr. José Gregorio Hern</v>
      </c>
      <c r="C102" s="45" t="str">
        <f>IFERROR(__xludf.DUMMYFUNCTION("""COMPUTED_VALUE"""),"MORENO ERASMO")</f>
        <v>MORENO ERASMO</v>
      </c>
      <c r="D102" s="44">
        <f>IFERROR(__xludf.DUMMYFUNCTION("""COMPUTED_VALUE"""),50.0)</f>
        <v>50</v>
      </c>
      <c r="E102" s="44" t="str">
        <f>IFERROR(__xludf.DUMMYFUNCTION("""COMPUTED_VALUE"""),"12232756")</f>
        <v>12232756</v>
      </c>
      <c r="F102" s="44" t="str">
        <f>IFERROR(__xludf.DUMMYFUNCTION("""COMPUTED_VALUE"""),"")</f>
        <v/>
      </c>
      <c r="G102" s="44" t="str">
        <f>IFERROR(__xludf.DUMMYFUNCTION("""COMPUTED_VALUE""")," ")</f>
        <v> </v>
      </c>
      <c r="H102" s="44" t="str">
        <f>IFERROR(__xludf.DUMMYFUNCTION("""COMPUTED_VALUE""")," ")</f>
        <v> </v>
      </c>
      <c r="I102" s="44" t="str">
        <f>IFERROR(__xludf.DUMMYFUNCTION("""COMPUTED_VALUE"""),"Internado; Politraumatismo")</f>
        <v>Internado; Politraumatismo</v>
      </c>
      <c r="J102" s="44" t="str">
        <f>IFERROR(__xludf.DUMMYFUNCTION("""COMPUTED_VALUE"""),"")</f>
        <v/>
      </c>
      <c r="K102" s="42" t="str">
        <f>IFERROR(__xludf.DUMMYFUNCTION("""COMPUTED_VALUE"""),"Hospital Dr. José Gregorio Hern")</f>
        <v>Hospital Dr. José Gregorio Hern</v>
      </c>
    </row>
    <row r="103">
      <c r="A103" s="44">
        <v>102.0</v>
      </c>
      <c r="B103" s="44" t="str">
        <f>IFERROR(__xludf.DUMMYFUNCTION("""COMPUTED_VALUE"""),"Hospital Vargas de Caracas")</f>
        <v>Hospital Vargas de Caracas</v>
      </c>
      <c r="C103" s="45" t="str">
        <f>IFERROR(__xludf.DUMMYFUNCTION("""COMPUTED_VALUE"""),"ITALBIS DELGADO")</f>
        <v>ITALBIS DELGADO</v>
      </c>
      <c r="D103" s="44" t="str">
        <f>IFERROR(__xludf.DUMMYFUNCTION("""COMPUTED_VALUE""")," ")</f>
        <v> </v>
      </c>
      <c r="E103" s="44" t="str">
        <f>IFERROR(__xludf.DUMMYFUNCTION("""COMPUTED_VALUE"""),"12346891")</f>
        <v>12346891</v>
      </c>
      <c r="F103" s="44" t="str">
        <f>IFERROR(__xludf.DUMMYFUNCTION("""COMPUTED_VALUE""")," ")</f>
        <v> </v>
      </c>
      <c r="G103" s="44" t="str">
        <f>IFERROR(__xludf.DUMMYFUNCTION("""COMPUTED_VALUE"""),"")</f>
        <v/>
      </c>
      <c r="H103" s="44" t="str">
        <f>IFERROR(__xludf.DUMMYFUNCTION("""COMPUTED_VALUE"""),"Cueva")</f>
        <v>Cueva</v>
      </c>
      <c r="I103" s="44" t="str">
        <f>IFERROR(__xludf.DUMMYFUNCTION("""COMPUTED_VALUE""")," ")</f>
        <v> </v>
      </c>
      <c r="J103" s="44" t="str">
        <f>IFERROR(__xludf.DUMMYFUNCTION("""COMPUTED_VALUE"""),"")</f>
        <v/>
      </c>
      <c r="K103" s="42" t="str">
        <f>IFERROR(__xludf.DUMMYFUNCTION("""COMPUTED_VALUE"""),"Hospital Vargas de Caracas")</f>
        <v>Hospital Vargas de Caracas</v>
      </c>
    </row>
    <row r="104">
      <c r="A104" s="44">
        <v>103.0</v>
      </c>
      <c r="B104" s="44" t="str">
        <f>IFERROR(__xludf.DUMMYFUNCTION("""COMPUTED_VALUE"""),"Hospital Pérez Carreño")</f>
        <v>Hospital Pérez Carreño</v>
      </c>
      <c r="C104" s="45" t="str">
        <f>IFERROR(__xludf.DUMMYFUNCTION("""COMPUTED_VALUE"""),"YADIRA CORDERO")</f>
        <v>YADIRA CORDERO</v>
      </c>
      <c r="D104" s="44" t="str">
        <f>IFERROR(__xludf.DUMMYFUNCTION("""COMPUTED_VALUE"""),"Sin información")</f>
        <v>Sin información</v>
      </c>
      <c r="E104" s="44" t="str">
        <f>IFERROR(__xludf.DUMMYFUNCTION("""COMPUTED_VALUE"""),"123638370")</f>
        <v>123638370</v>
      </c>
      <c r="F104" s="44" t="str">
        <f>IFERROR(__xludf.DUMMYFUNCTION("""COMPUTED_VALUE"""),"")</f>
        <v/>
      </c>
      <c r="G104" s="44" t="str">
        <f>IFERROR(__xludf.DUMMYFUNCTION("""COMPUTED_VALUE""")," ")</f>
        <v> </v>
      </c>
      <c r="H104" s="44" t="str">
        <f>IFERROR(__xludf.DUMMYFUNCTION("""COMPUTED_VALUE"""),"Sin información")</f>
        <v>Sin información</v>
      </c>
      <c r="I104" s="44" t="str">
        <f>IFERROR(__xludf.DUMMYFUNCTION("""COMPUTED_VALUE"""),"Sin información")</f>
        <v>Sin información</v>
      </c>
      <c r="J104" s="44" t="str">
        <f>IFERROR(__xludf.DUMMYFUNCTION("""COMPUTED_VALUE"""),"25/06/2026")</f>
        <v>25/06/2026</v>
      </c>
      <c r="K104" s="42" t="str">
        <f>IFERROR(__xludf.DUMMYFUNCTION("""COMPUTED_VALUE"""),"Hospital Pérez Carreño")</f>
        <v>Hospital Pérez Carreño</v>
      </c>
    </row>
    <row r="105">
      <c r="A105" s="44">
        <v>104.0</v>
      </c>
      <c r="B105" s="44" t="str">
        <f>IFERROR(__xludf.DUMMYFUNCTION("""COMPUTED_VALUE"""),"Hospital Vargas de Caracas")</f>
        <v>Hospital Vargas de Caracas</v>
      </c>
      <c r="C105" s="45" t="str">
        <f>IFERROR(__xludf.DUMMYFUNCTION("""COMPUTED_VALUE"""),"LARA INON")</f>
        <v>LARA INON</v>
      </c>
      <c r="D105" s="44" t="str">
        <f>IFERROR(__xludf.DUMMYFUNCTION("""COMPUTED_VALUE""")," ")</f>
        <v> </v>
      </c>
      <c r="E105" s="44" t="str">
        <f>IFERROR(__xludf.DUMMYFUNCTION("""COMPUTED_VALUE"""),"12485868")</f>
        <v>12485868</v>
      </c>
      <c r="F105" s="44" t="str">
        <f>IFERROR(__xludf.DUMMYFUNCTION("""COMPUTED_VALUE""")," ")</f>
        <v> </v>
      </c>
      <c r="G105" s="44" t="str">
        <f>IFERROR(__xludf.DUMMYFUNCTION("""COMPUTED_VALUE"""),"")</f>
        <v/>
      </c>
      <c r="H105" s="44" t="str">
        <f>IFERROR(__xludf.DUMMYFUNCTION("""COMPUTED_VALUE"""),"Guaira")</f>
        <v>Guaira</v>
      </c>
      <c r="I105" s="44" t="str">
        <f>IFERROR(__xludf.DUMMYFUNCTION("""COMPUTED_VALUE""")," ")</f>
        <v> </v>
      </c>
      <c r="J105" s="44" t="str">
        <f>IFERROR(__xludf.DUMMYFUNCTION("""COMPUTED_VALUE"""),"")</f>
        <v/>
      </c>
      <c r="K105" s="42" t="str">
        <f>IFERROR(__xludf.DUMMYFUNCTION("""COMPUTED_VALUE"""),"Hospital Vargas de Caracas")</f>
        <v>Hospital Vargas de Caracas</v>
      </c>
    </row>
    <row r="106">
      <c r="A106" s="44">
        <v>105.0</v>
      </c>
      <c r="B106" s="44" t="str">
        <f>IFERROR(__xludf.DUMMYFUNCTION("""COMPUTED_VALUE"""),"Hospital Vargas de Caracas")</f>
        <v>Hospital Vargas de Caracas</v>
      </c>
      <c r="C106" s="45" t="str">
        <f>IFERROR(__xludf.DUMMYFUNCTION("""COMPUTED_VALUE"""),"JANITZA GIOIA")</f>
        <v>JANITZA GIOIA</v>
      </c>
      <c r="D106" s="44" t="str">
        <f>IFERROR(__xludf.DUMMYFUNCTION("""COMPUTED_VALUE""")," ")</f>
        <v> </v>
      </c>
      <c r="E106" s="44" t="str">
        <f>IFERROR(__xludf.DUMMYFUNCTION("""COMPUTED_VALUE"""),"12500467")</f>
        <v>12500467</v>
      </c>
      <c r="F106" s="44" t="str">
        <f>IFERROR(__xludf.DUMMYFUNCTION("""COMPUTED_VALUE""")," ")</f>
        <v> </v>
      </c>
      <c r="G106" s="44" t="str">
        <f>IFERROR(__xludf.DUMMYFUNCTION("""COMPUTED_VALUE"""),"")</f>
        <v/>
      </c>
      <c r="H106" s="44" t="str">
        <f>IFERROR(__xludf.DUMMYFUNCTION("""COMPUTED_VALUE"""),"Cueva")</f>
        <v>Cueva</v>
      </c>
      <c r="I106" s="44" t="str">
        <f>IFERROR(__xludf.DUMMYFUNCTION("""COMPUTED_VALUE""")," ")</f>
        <v> </v>
      </c>
      <c r="J106" s="44" t="str">
        <f>IFERROR(__xludf.DUMMYFUNCTION("""COMPUTED_VALUE"""),"")</f>
        <v/>
      </c>
      <c r="K106" s="42" t="str">
        <f>IFERROR(__xludf.DUMMYFUNCTION("""COMPUTED_VALUE"""),"Hospital Vargas de Caracas")</f>
        <v>Hospital Vargas de Caracas</v>
      </c>
    </row>
    <row r="107">
      <c r="A107" s="44">
        <v>106.0</v>
      </c>
      <c r="B107" s="44" t="str">
        <f>IFERROR(__xludf.DUMMYFUNCTION("""COMPUTED_VALUE"""),"Periférico de Catia")</f>
        <v>Periférico de Catia</v>
      </c>
      <c r="C107" s="45" t="str">
        <f>IFERROR(__xludf.DUMMYFUNCTION("""COMPUTED_VALUE"""),"DILCIA LEMUS")</f>
        <v>DILCIA LEMUS</v>
      </c>
      <c r="D107" s="44">
        <f>IFERROR(__xludf.DUMMYFUNCTION("""COMPUTED_VALUE"""),49.0)</f>
        <v>49</v>
      </c>
      <c r="E107" s="44" t="str">
        <f>IFERROR(__xludf.DUMMYFUNCTION("""COMPUTED_VALUE"""),"125316640")</f>
        <v>125316640</v>
      </c>
      <c r="F107" s="44" t="str">
        <f>IFERROR(__xludf.DUMMYFUNCTION("""COMPUTED_VALUE"""),"")</f>
        <v/>
      </c>
      <c r="G107" s="44" t="str">
        <f>IFERROR(__xludf.DUMMYFUNCTION("""COMPUTED_VALUE""")," ")</f>
        <v> </v>
      </c>
      <c r="H107" s="44" t="str">
        <f>IFERROR(__xludf.DUMMYFUNCTION("""COMPUTED_VALUE"""),"Sin información")</f>
        <v>Sin información</v>
      </c>
      <c r="I107" s="44" t="str">
        <f>IFERROR(__xludf.DUMMYFUNCTION("""COMPUTED_VALUE"""),"Cirugía General")</f>
        <v>Cirugía General</v>
      </c>
      <c r="J107" s="44" t="str">
        <f>IFERROR(__xludf.DUMMYFUNCTION("""COMPUTED_VALUE"""),"")</f>
        <v/>
      </c>
      <c r="K107" s="42" t="str">
        <f>IFERROR(__xludf.DUMMYFUNCTION("""COMPUTED_VALUE"""),"Periférico de Catia")</f>
        <v>Periférico de Catia</v>
      </c>
    </row>
    <row r="108">
      <c r="A108" s="44">
        <v>107.0</v>
      </c>
      <c r="B108" s="44" t="str">
        <f>IFERROR(__xludf.DUMMYFUNCTION("""COMPUTED_VALUE"""),"Hospital Militar Dr. C. Arvelo")</f>
        <v>Hospital Militar Dr. C. Arvelo</v>
      </c>
      <c r="C108" s="45" t="str">
        <f>IFERROR(__xludf.DUMMYFUNCTION("""COMPUTED_VALUE"""),"González Viviana")</f>
        <v>González Viviana</v>
      </c>
      <c r="D108" s="44">
        <f>IFERROR(__xludf.DUMMYFUNCTION("""COMPUTED_VALUE"""),58.0)</f>
        <v>58</v>
      </c>
      <c r="E108" s="44" t="str">
        <f>IFERROR(__xludf.DUMMYFUNCTION("""COMPUTED_VALUE"""),"12540389")</f>
        <v>12540389</v>
      </c>
      <c r="F108" s="44" t="str">
        <f>IFERROR(__xludf.DUMMYFUNCTION("""COMPUTED_VALUE"""),"")</f>
        <v/>
      </c>
      <c r="G108" s="44" t="str">
        <f>IFERROR(__xludf.DUMMYFUNCTION("""COMPUTED_VALUE"""),"")</f>
        <v/>
      </c>
      <c r="H108" s="44" t="str">
        <f>IFERROR(__xludf.DUMMYFUNCTION("""COMPUTED_VALUE"""),"F")</f>
        <v>F</v>
      </c>
      <c r="I108" s="44" t="str">
        <f>IFERROR(__xludf.DUMMYFUNCTION("""COMPUTED_VALUE"""),"La Guaira PNA")</f>
        <v>La Guaira PNA</v>
      </c>
      <c r="J108" s="44" t="str">
        <f>IFERROR(__xludf.DUMMYFUNCTION("""COMPUTED_VALUE"""),"24/6/2026")</f>
        <v>24/6/2026</v>
      </c>
      <c r="K108" s="42" t="str">
        <f>IFERROR(__xludf.DUMMYFUNCTION("""COMPUTED_VALUE"""),"Hospital Militar Dr. C. Arvelo")</f>
        <v>Hospital Militar Dr. C. Arvelo</v>
      </c>
    </row>
    <row r="109">
      <c r="A109" s="44">
        <v>108.0</v>
      </c>
      <c r="B109" s="44" t="str">
        <f>IFERROR(__xludf.DUMMYFUNCTION("""COMPUTED_VALUE"""),"Hospital Militar Dr. C. Arvelo")</f>
        <v>Hospital Militar Dr. C. Arvelo</v>
      </c>
      <c r="C109" s="45" t="str">
        <f>IFERROR(__xludf.DUMMYFUNCTION("""COMPUTED_VALUE"""),"Delgado Marisela")</f>
        <v>Delgado Marisela</v>
      </c>
      <c r="D109" s="44">
        <f>IFERROR(__xludf.DUMMYFUNCTION("""COMPUTED_VALUE"""),50.0)</f>
        <v>50</v>
      </c>
      <c r="E109" s="44" t="str">
        <f>IFERROR(__xludf.DUMMYFUNCTION("""COMPUTED_VALUE"""),"12635625")</f>
        <v>12635625</v>
      </c>
      <c r="F109" s="44" t="str">
        <f>IFERROR(__xludf.DUMMYFUNCTION("""COMPUTED_VALUE"""),"")</f>
        <v/>
      </c>
      <c r="G109" s="44" t="str">
        <f>IFERROR(__xludf.DUMMYFUNCTION("""COMPUTED_VALUE"""),"")</f>
        <v/>
      </c>
      <c r="H109" s="44" t="str">
        <f>IFERROR(__xludf.DUMMYFUNCTION("""COMPUTED_VALUE"""),"F")</f>
        <v>F</v>
      </c>
      <c r="I109" s="44" t="str">
        <f>IFERROR(__xludf.DUMMYFUNCTION("""COMPUTED_VALUE"""),"Filas de Mariche PNA")</f>
        <v>Filas de Mariche PNA</v>
      </c>
      <c r="J109" s="44" t="str">
        <f>IFERROR(__xludf.DUMMYFUNCTION("""COMPUTED_VALUE"""),"24/6/2026")</f>
        <v>24/6/2026</v>
      </c>
      <c r="K109" s="42" t="str">
        <f>IFERROR(__xludf.DUMMYFUNCTION("""COMPUTED_VALUE"""),"Hospital Militar Dr. C. Arvelo")</f>
        <v>Hospital Militar Dr. C. Arvelo</v>
      </c>
    </row>
    <row r="110">
      <c r="A110" s="44">
        <v>109.0</v>
      </c>
      <c r="B110" s="44" t="str">
        <f>IFERROR(__xludf.DUMMYFUNCTION("""COMPUTED_VALUE"""),"Hospital Pérez Carreño")</f>
        <v>Hospital Pérez Carreño</v>
      </c>
      <c r="C110" s="45" t="str">
        <f>IFERROR(__xludf.DUMMYFUNCTION("""COMPUTED_VALUE"""),"ANGARITA CARRILLO CARMEN VICTORIA")</f>
        <v>ANGARITA CARRILLO CARMEN VICTORIA</v>
      </c>
      <c r="D110" s="44" t="str">
        <f>IFERROR(__xludf.DUMMYFUNCTION("""COMPUTED_VALUE""")," ")</f>
        <v> </v>
      </c>
      <c r="E110" s="44" t="str">
        <f>IFERROR(__xludf.DUMMYFUNCTION("""COMPUTED_VALUE"""),"12660680")</f>
        <v>12660680</v>
      </c>
      <c r="F110" s="44" t="str">
        <f>IFERROR(__xludf.DUMMYFUNCTION("""COMPUTED_VALUE"""),"")</f>
        <v/>
      </c>
      <c r="G110" s="44" t="str">
        <f>IFERROR(__xludf.DUMMYFUNCTION("""COMPUTED_VALUE""")," ")</f>
        <v> </v>
      </c>
      <c r="H110" s="44" t="str">
        <f>IFERROR(__xludf.DUMMYFUNCTION("""COMPUTED_VALUE""")," ")</f>
        <v> </v>
      </c>
      <c r="I110" s="44" t="str">
        <f>IFERROR(__xludf.DUMMYFUNCTION("""COMPUTED_VALUE""")," ")</f>
        <v> </v>
      </c>
      <c r="J110" s="44" t="str">
        <f>IFERROR(__xludf.DUMMYFUNCTION("""COMPUTED_VALUE"""),"25/06/2026")</f>
        <v>25/06/2026</v>
      </c>
      <c r="K110" s="42" t="str">
        <f>IFERROR(__xludf.DUMMYFUNCTION("""COMPUTED_VALUE"""),"Hospital Pérez Carreño")</f>
        <v>Hospital Pérez Carreño</v>
      </c>
    </row>
    <row r="111">
      <c r="A111" s="44">
        <v>110.0</v>
      </c>
      <c r="B111" s="44" t="str">
        <f>IFERROR(__xludf.DUMMYFUNCTION("""COMPUTED_VALUE"""),"Hospital Pérez Carreño")</f>
        <v>Hospital Pérez Carreño</v>
      </c>
      <c r="C111" s="45" t="str">
        <f>IFERROR(__xludf.DUMMYFUNCTION("""COMPUTED_VALUE"""),"CARMEN ANGARITA")</f>
        <v>CARMEN ANGARITA</v>
      </c>
      <c r="D111" s="44" t="str">
        <f>IFERROR(__xludf.DUMMYFUNCTION("""COMPUTED_VALUE"""),"Sin información")</f>
        <v>Sin información</v>
      </c>
      <c r="E111" s="44" t="str">
        <f>IFERROR(__xludf.DUMMYFUNCTION("""COMPUTED_VALUE"""),"126608800")</f>
        <v>126608800</v>
      </c>
      <c r="F111" s="44" t="str">
        <f>IFERROR(__xludf.DUMMYFUNCTION("""COMPUTED_VALUE"""),"")</f>
        <v/>
      </c>
      <c r="G111" s="44" t="str">
        <f>IFERROR(__xludf.DUMMYFUNCTION("""COMPUTED_VALUE""")," ")</f>
        <v> </v>
      </c>
      <c r="H111" s="44" t="str">
        <f>IFERROR(__xludf.DUMMYFUNCTION("""COMPUTED_VALUE"""),"Sin información")</f>
        <v>Sin información</v>
      </c>
      <c r="I111" s="44" t="str">
        <f>IFERROR(__xludf.DUMMYFUNCTION("""COMPUTED_VALUE"""),"Sin información")</f>
        <v>Sin información</v>
      </c>
      <c r="J111" s="44" t="str">
        <f>IFERROR(__xludf.DUMMYFUNCTION("""COMPUTED_VALUE"""),"25/06/2026")</f>
        <v>25/06/2026</v>
      </c>
      <c r="K111" s="42" t="str">
        <f>IFERROR(__xludf.DUMMYFUNCTION("""COMPUTED_VALUE"""),"Hospital Pérez Carreño")</f>
        <v>Hospital Pérez Carreño</v>
      </c>
    </row>
    <row r="112">
      <c r="A112" s="44">
        <v>111.0</v>
      </c>
      <c r="B112" s="44" t="str">
        <f>IFERROR(__xludf.DUMMYFUNCTION("""COMPUTED_VALUE"""),"Periférico de Catia")</f>
        <v>Periférico de Catia</v>
      </c>
      <c r="C112" s="45" t="str">
        <f>IFERROR(__xludf.DUMMYFUNCTION("""COMPUTED_VALUE"""),"CARLA LEÓN")</f>
        <v>CARLA LEÓN</v>
      </c>
      <c r="D112" s="44">
        <f>IFERROR(__xludf.DUMMYFUNCTION("""COMPUTED_VALUE"""),44.0)</f>
        <v>44</v>
      </c>
      <c r="E112" s="44" t="str">
        <f>IFERROR(__xludf.DUMMYFUNCTION("""COMPUTED_VALUE"""),"127003550")</f>
        <v>127003550</v>
      </c>
      <c r="F112" s="44" t="str">
        <f>IFERROR(__xludf.DUMMYFUNCTION("""COMPUTED_VALUE"""),"")</f>
        <v/>
      </c>
      <c r="G112" s="44" t="str">
        <f>IFERROR(__xludf.DUMMYFUNCTION("""COMPUTED_VALUE""")," ")</f>
        <v> </v>
      </c>
      <c r="H112" s="44" t="str">
        <f>IFERROR(__xludf.DUMMYFUNCTION("""COMPUTED_VALUE"""),"Sin información")</f>
        <v>Sin información</v>
      </c>
      <c r="I112" s="44" t="str">
        <f>IFERROR(__xludf.DUMMYFUNCTION("""COMPUTED_VALUE"""),"Cirugía General")</f>
        <v>Cirugía General</v>
      </c>
      <c r="J112" s="44" t="str">
        <f>IFERROR(__xludf.DUMMYFUNCTION("""COMPUTED_VALUE"""),"")</f>
        <v/>
      </c>
      <c r="K112" s="42" t="str">
        <f>IFERROR(__xludf.DUMMYFUNCTION("""COMPUTED_VALUE"""),"Periférico de Catia")</f>
        <v>Periférico de Catia</v>
      </c>
    </row>
    <row r="113">
      <c r="A113" s="44">
        <v>112.0</v>
      </c>
      <c r="B113" s="44" t="str">
        <f>IFERROR(__xludf.DUMMYFUNCTION("""COMPUTED_VALUE"""),"Hospital Pérez Carreño")</f>
        <v>Hospital Pérez Carreño</v>
      </c>
      <c r="C113" s="45" t="str">
        <f>IFERROR(__xludf.DUMMYFUNCTION("""COMPUTED_VALUE"""),"VIERA ROSALINDA")</f>
        <v>VIERA ROSALINDA</v>
      </c>
      <c r="D113" s="44" t="str">
        <f>IFERROR(__xludf.DUMMYFUNCTION("""COMPUTED_VALUE""")," ")</f>
        <v> </v>
      </c>
      <c r="E113" s="44" t="str">
        <f>IFERROR(__xludf.DUMMYFUNCTION("""COMPUTED_VALUE"""),"12717087")</f>
        <v>12717087</v>
      </c>
      <c r="F113" s="44" t="str">
        <f>IFERROR(__xludf.DUMMYFUNCTION("""COMPUTED_VALUE"""),"")</f>
        <v/>
      </c>
      <c r="G113" s="44" t="str">
        <f>IFERROR(__xludf.DUMMYFUNCTION("""COMPUTED_VALUE""")," ")</f>
        <v> </v>
      </c>
      <c r="H113" s="44" t="str">
        <f>IFERROR(__xludf.DUMMYFUNCTION("""COMPUTED_VALUE""")," ")</f>
        <v> </v>
      </c>
      <c r="I113" s="44" t="str">
        <f>IFERROR(__xludf.DUMMYFUNCTION("""COMPUTED_VALUE""")," ")</f>
        <v> </v>
      </c>
      <c r="J113" s="44" t="str">
        <f>IFERROR(__xludf.DUMMYFUNCTION("""COMPUTED_VALUE"""),"25/06/2026")</f>
        <v>25/06/2026</v>
      </c>
      <c r="K113" s="42" t="str">
        <f>IFERROR(__xludf.DUMMYFUNCTION("""COMPUTED_VALUE"""),"Hospital Pérez Carreño")</f>
        <v>Hospital Pérez Carreño</v>
      </c>
    </row>
    <row r="114">
      <c r="A114" s="44">
        <v>113.0</v>
      </c>
      <c r="B114" s="44" t="str">
        <f>IFERROR(__xludf.DUMMYFUNCTION("""COMPUTED_VALUE"""),"Hospital Pérez Carreño")</f>
        <v>Hospital Pérez Carreño</v>
      </c>
      <c r="C114" s="45" t="str">
        <f>IFERROR(__xludf.DUMMYFUNCTION("""COMPUTED_VALUE"""),"ROSALINDA VIERA")</f>
        <v>ROSALINDA VIERA</v>
      </c>
      <c r="D114" s="44" t="str">
        <f>IFERROR(__xludf.DUMMYFUNCTION("""COMPUTED_VALUE""")," ")</f>
        <v> </v>
      </c>
      <c r="E114" s="44" t="str">
        <f>IFERROR(__xludf.DUMMYFUNCTION("""COMPUTED_VALUE"""),"127170870")</f>
        <v>127170870</v>
      </c>
      <c r="F114" s="44" t="str">
        <f>IFERROR(__xludf.DUMMYFUNCTION("""COMPUTED_VALUE"""),"")</f>
        <v/>
      </c>
      <c r="G114" s="44" t="str">
        <f>IFERROR(__xludf.DUMMYFUNCTION("""COMPUTED_VALUE""")," ")</f>
        <v> </v>
      </c>
      <c r="H114" s="44" t="str">
        <f>IFERROR(__xludf.DUMMYFUNCTION("""COMPUTED_VALUE""")," ")</f>
        <v> </v>
      </c>
      <c r="I114" s="44" t="str">
        <f>IFERROR(__xludf.DUMMYFUNCTION("""COMPUTED_VALUE""")," ")</f>
        <v> </v>
      </c>
      <c r="J114" s="44" t="str">
        <f>IFERROR(__xludf.DUMMYFUNCTION("""COMPUTED_VALUE"""),"25/06/2026")</f>
        <v>25/06/2026</v>
      </c>
      <c r="K114" s="42" t="str">
        <f>IFERROR(__xludf.DUMMYFUNCTION("""COMPUTED_VALUE"""),"Hospital Pérez Carreño")</f>
        <v>Hospital Pérez Carreño</v>
      </c>
    </row>
    <row r="115">
      <c r="A115" s="44">
        <v>114.0</v>
      </c>
      <c r="B115" s="44" t="str">
        <f>IFERROR(__xludf.DUMMYFUNCTION("""COMPUTED_VALUE"""),"H. Jose Maria Vargas LG")</f>
        <v>H. Jose Maria Vargas LG</v>
      </c>
      <c r="C115" s="45" t="str">
        <f>IFERROR(__xludf.DUMMYFUNCTION("""COMPUTED_VALUE"""),"RAMIREZ RADE LENNY")</f>
        <v>RAMIREZ RADE LENNY</v>
      </c>
      <c r="D115" s="44" t="str">
        <f>IFERROR(__xludf.DUMMYFUNCTION("""COMPUTED_VALUE""")," ")</f>
        <v> </v>
      </c>
      <c r="E115" s="44" t="str">
        <f>IFERROR(__xludf.DUMMYFUNCTION("""COMPUTED_VALUE"""),"12717464")</f>
        <v>12717464</v>
      </c>
      <c r="F115" s="44" t="str">
        <f>IFERROR(__xludf.DUMMYFUNCTION("""COMPUTED_VALUE"""),"")</f>
        <v/>
      </c>
      <c r="G115" s="44" t="str">
        <f>IFERROR(__xludf.DUMMYFUNCTION("""COMPUTED_VALUE""")," ")</f>
        <v> </v>
      </c>
      <c r="H115" s="44" t="str">
        <f>IFERROR(__xludf.DUMMYFUNCTION("""COMPUTED_VALUE"""),"Caribe")</f>
        <v>Caribe</v>
      </c>
      <c r="I115" s="44" t="str">
        <f>IFERROR(__xludf.DUMMYFUNCTION("""COMPUTED_VALUE""")," ")</f>
        <v> </v>
      </c>
      <c r="J115" s="44" t="str">
        <f>IFERROR(__xludf.DUMMYFUNCTION("""COMPUTED_VALUE"""),"")</f>
        <v/>
      </c>
      <c r="K115" s="42" t="str">
        <f>IFERROR(__xludf.DUMMYFUNCTION("""COMPUTED_VALUE"""),"H. Jose Maria Vargas LG")</f>
        <v>H. Jose Maria Vargas LG</v>
      </c>
    </row>
    <row r="116">
      <c r="A116" s="44">
        <v>115.0</v>
      </c>
      <c r="B116" s="44" t="str">
        <f>IFERROR(__xludf.DUMMYFUNCTION("""COMPUTED_VALUE"""),"Seguro Social La Guaira")</f>
        <v>Seguro Social La Guaira</v>
      </c>
      <c r="C116" s="45" t="str">
        <f>IFERROR(__xludf.DUMMYFUNCTION("""COMPUTED_VALUE"""),"SENNY RAMIREZ PRADO")</f>
        <v>SENNY RAMIREZ PRADO</v>
      </c>
      <c r="D116" s="44" t="str">
        <f>IFERROR(__xludf.DUMMYFUNCTION("""COMPUTED_VALUE""")," ")</f>
        <v> </v>
      </c>
      <c r="E116" s="44" t="str">
        <f>IFERROR(__xludf.DUMMYFUNCTION("""COMPUTED_VALUE"""),"127174640")</f>
        <v>127174640</v>
      </c>
      <c r="F116" s="44" t="str">
        <f>IFERROR(__xludf.DUMMYFUNCTION("""COMPUTED_VALUE"""),"")</f>
        <v/>
      </c>
      <c r="G116" s="44" t="str">
        <f>IFERROR(__xludf.DUMMYFUNCTION("""COMPUTED_VALUE""")," ")</f>
        <v> </v>
      </c>
      <c r="H116" s="44" t="str">
        <f>IFERROR(__xludf.DUMMYFUNCTION("""COMPUTED_VALUE"""),"Caribe")</f>
        <v>Caribe</v>
      </c>
      <c r="I116" s="44" t="str">
        <f>IFERROR(__xludf.DUMMYFUNCTION("""COMPUTED_VALUE""")," ")</f>
        <v> </v>
      </c>
      <c r="J116" s="44" t="str">
        <f>IFERROR(__xludf.DUMMYFUNCTION("""COMPUTED_VALUE"""),"")</f>
        <v/>
      </c>
      <c r="K116" s="42" t="str">
        <f>IFERROR(__xludf.DUMMYFUNCTION("""COMPUTED_VALUE"""),"Seguro Social La Guaira")</f>
        <v>Seguro Social La Guaira</v>
      </c>
    </row>
    <row r="117">
      <c r="A117" s="44">
        <v>116.0</v>
      </c>
      <c r="B117" s="44" t="str">
        <f>IFERROR(__xludf.DUMMYFUNCTION("""COMPUTED_VALUE"""),"Hospital Pérez Carreño")</f>
        <v>Hospital Pérez Carreño</v>
      </c>
      <c r="C117" s="45" t="str">
        <f>IFERROR(__xludf.DUMMYFUNCTION("""COMPUTED_VALUE"""),"CORDERO YADIRA")</f>
        <v>CORDERO YADIRA</v>
      </c>
      <c r="D117" s="44" t="str">
        <f>IFERROR(__xludf.DUMMYFUNCTION("""COMPUTED_VALUE""")," ")</f>
        <v> </v>
      </c>
      <c r="E117" s="44" t="str">
        <f>IFERROR(__xludf.DUMMYFUNCTION("""COMPUTED_VALUE"""),"12763837")</f>
        <v>12763837</v>
      </c>
      <c r="F117" s="44" t="str">
        <f>IFERROR(__xludf.DUMMYFUNCTION("""COMPUTED_VALUE"""),"")</f>
        <v/>
      </c>
      <c r="G117" s="44" t="str">
        <f>IFERROR(__xludf.DUMMYFUNCTION("""COMPUTED_VALUE""")," ")</f>
        <v> </v>
      </c>
      <c r="H117" s="44" t="str">
        <f>IFERROR(__xludf.DUMMYFUNCTION("""COMPUTED_VALUE""")," ")</f>
        <v> </v>
      </c>
      <c r="I117" s="44" t="str">
        <f>IFERROR(__xludf.DUMMYFUNCTION("""COMPUTED_VALUE""")," ")</f>
        <v> </v>
      </c>
      <c r="J117" s="44" t="str">
        <f>IFERROR(__xludf.DUMMYFUNCTION("""COMPUTED_VALUE"""),"25/06/2026")</f>
        <v>25/06/2026</v>
      </c>
      <c r="K117" s="42" t="str">
        <f>IFERROR(__xludf.DUMMYFUNCTION("""COMPUTED_VALUE"""),"Hospital Pérez Carreño")</f>
        <v>Hospital Pérez Carreño</v>
      </c>
    </row>
    <row r="118">
      <c r="A118" s="44">
        <v>117.0</v>
      </c>
      <c r="B118" s="44" t="str">
        <f>IFERROR(__xludf.DUMMYFUNCTION("""COMPUTED_VALUE"""),"Hospital Pérez Carreño")</f>
        <v>Hospital Pérez Carreño</v>
      </c>
      <c r="C118" s="45" t="str">
        <f>IFERROR(__xludf.DUMMYFUNCTION("""COMPUTED_VALUE"""),"CORDERO YADIRA")</f>
        <v>CORDERO YADIRA</v>
      </c>
      <c r="D118" s="44" t="str">
        <f>IFERROR(__xludf.DUMMYFUNCTION("""COMPUTED_VALUE"""),"Sin información")</f>
        <v>Sin información</v>
      </c>
      <c r="E118" s="44" t="str">
        <f>IFERROR(__xludf.DUMMYFUNCTION("""COMPUTED_VALUE"""),"127638370")</f>
        <v>127638370</v>
      </c>
      <c r="F118" s="44" t="str">
        <f>IFERROR(__xludf.DUMMYFUNCTION("""COMPUTED_VALUE"""),"")</f>
        <v/>
      </c>
      <c r="G118" s="44" t="str">
        <f>IFERROR(__xludf.DUMMYFUNCTION("""COMPUTED_VALUE""")," ")</f>
        <v> </v>
      </c>
      <c r="H118" s="44" t="str">
        <f>IFERROR(__xludf.DUMMYFUNCTION("""COMPUTED_VALUE"""),"Sin información")</f>
        <v>Sin información</v>
      </c>
      <c r="I118" s="44" t="str">
        <f>IFERROR(__xludf.DUMMYFUNCTION("""COMPUTED_VALUE"""),"Sin información")</f>
        <v>Sin información</v>
      </c>
      <c r="J118" s="44" t="str">
        <f>IFERROR(__xludf.DUMMYFUNCTION("""COMPUTED_VALUE"""),"25/06/2026")</f>
        <v>25/06/2026</v>
      </c>
      <c r="K118" s="42" t="str">
        <f>IFERROR(__xludf.DUMMYFUNCTION("""COMPUTED_VALUE"""),"Hospital Pérez Carreño")</f>
        <v>Hospital Pérez Carreño</v>
      </c>
    </row>
    <row r="119">
      <c r="A119" s="44">
        <v>118.0</v>
      </c>
      <c r="B119" s="44" t="str">
        <f>IFERROR(__xludf.DUMMYFUNCTION("""COMPUTED_VALUE"""),"Hospital Universitario de Carac")</f>
        <v>Hospital Universitario de Carac</v>
      </c>
      <c r="C119" s="45" t="str">
        <f>IFERROR(__xludf.DUMMYFUNCTION("""COMPUTED_VALUE"""),"ANTEQUIA MAYULI")</f>
        <v>ANTEQUIA MAYULI</v>
      </c>
      <c r="D119" s="44">
        <f>IFERROR(__xludf.DUMMYFUNCTION("""COMPUTED_VALUE"""),50.0)</f>
        <v>50</v>
      </c>
      <c r="E119" s="44" t="str">
        <f>IFERROR(__xludf.DUMMYFUNCTION("""COMPUTED_VALUE"""),"12882457")</f>
        <v>12882457</v>
      </c>
      <c r="F119" s="44" t="str">
        <f>IFERROR(__xludf.DUMMYFUNCTION("""COMPUTED_VALUE"""),"")</f>
        <v/>
      </c>
      <c r="G119" s="44" t="str">
        <f>IFERROR(__xludf.DUMMYFUNCTION("""COMPUTED_VALUE"""),"0424-5860106")</f>
        <v>0424-5860106</v>
      </c>
      <c r="H119" s="44" t="str">
        <f>IFERROR(__xludf.DUMMYFUNCTION("""COMPUTED_VALUE""")," ")</f>
        <v> </v>
      </c>
      <c r="I119" s="44" t="str">
        <f>IFERROR(__xludf.DUMMYFUNCTION("""COMPUTED_VALUE""")," ")</f>
        <v> </v>
      </c>
      <c r="J119" s="44" t="str">
        <f>IFERROR(__xludf.DUMMYFUNCTION("""COMPUTED_VALUE"""),"")</f>
        <v/>
      </c>
      <c r="K119" s="42" t="str">
        <f>IFERROR(__xludf.DUMMYFUNCTION("""COMPUTED_VALUE"""),"Hospital Universitario de Carac")</f>
        <v>Hospital Universitario de Carac</v>
      </c>
    </row>
    <row r="120">
      <c r="A120" s="44">
        <v>119.0</v>
      </c>
      <c r="B120" s="44" t="str">
        <f>IFERROR(__xludf.DUMMYFUNCTION("""COMPUTED_VALUE"""),"Hospital Vargas de Caracas")</f>
        <v>Hospital Vargas de Caracas</v>
      </c>
      <c r="C120" s="45" t="str">
        <f>IFERROR(__xludf.DUMMYFUNCTION("""COMPUTED_VALUE"""),"GOMEZ YARITZA")</f>
        <v>GOMEZ YARITZA</v>
      </c>
      <c r="D120" s="44" t="str">
        <f>IFERROR(__xludf.DUMMYFUNCTION("""COMPUTED_VALUE""")," ")</f>
        <v> </v>
      </c>
      <c r="E120" s="44" t="str">
        <f>IFERROR(__xludf.DUMMYFUNCTION("""COMPUTED_VALUE"""),"12950267")</f>
        <v>12950267</v>
      </c>
      <c r="F120" s="44" t="str">
        <f>IFERROR(__xludf.DUMMYFUNCTION("""COMPUTED_VALUE""")," ")</f>
        <v> </v>
      </c>
      <c r="G120" s="44" t="str">
        <f>IFERROR(__xludf.DUMMYFUNCTION("""COMPUTED_VALUE"""),"")</f>
        <v/>
      </c>
      <c r="H120" s="44" t="str">
        <f>IFERROR(__xludf.DUMMYFUNCTION("""COMPUTED_VALUE""")," ")</f>
        <v> </v>
      </c>
      <c r="I120" s="44" t="str">
        <f>IFERROR(__xludf.DUMMYFUNCTION("""COMPUTED_VALUE""")," ")</f>
        <v> </v>
      </c>
      <c r="J120" s="44" t="str">
        <f>IFERROR(__xludf.DUMMYFUNCTION("""COMPUTED_VALUE"""),"")</f>
        <v/>
      </c>
      <c r="K120" s="42" t="str">
        <f>IFERROR(__xludf.DUMMYFUNCTION("""COMPUTED_VALUE"""),"Hospital Vargas de Caracas")</f>
        <v>Hospital Vargas de Caracas</v>
      </c>
    </row>
    <row r="121">
      <c r="A121" s="44">
        <v>120.0</v>
      </c>
      <c r="B121" s="44" t="str">
        <f>IFERROR(__xludf.DUMMYFUNCTION("""COMPUTED_VALUE"""),"H. Jose Maria Vargas LG")</f>
        <v>H. Jose Maria Vargas LG</v>
      </c>
      <c r="C121" s="45" t="str">
        <f>IFERROR(__xludf.DUMMYFUNCTION("""COMPUTED_VALUE"""),"GARCIA JESUS")</f>
        <v>GARCIA JESUS</v>
      </c>
      <c r="D121" s="44">
        <f>IFERROR(__xludf.DUMMYFUNCTION("""COMPUTED_VALUE"""),50.0)</f>
        <v>50</v>
      </c>
      <c r="E121" s="44" t="str">
        <f>IFERROR(__xludf.DUMMYFUNCTION("""COMPUTED_VALUE"""),"13044495")</f>
        <v>13044495</v>
      </c>
      <c r="F121" s="44" t="str">
        <f>IFERROR(__xludf.DUMMYFUNCTION("""COMPUTED_VALUE"""),"")</f>
        <v/>
      </c>
      <c r="G121" s="44" t="str">
        <f>IFERROR(__xludf.DUMMYFUNCTION("""COMPUTED_VALUE""")," ")</f>
        <v> </v>
      </c>
      <c r="H121" s="44" t="str">
        <f>IFERROR(__xludf.DUMMYFUNCTION("""COMPUTED_VALUE"""),"Caribe")</f>
        <v>Caribe</v>
      </c>
      <c r="I121" s="44" t="str">
        <f>IFERROR(__xludf.DUMMYFUNCTION("""COMPUTED_VALUE""")," ")</f>
        <v> </v>
      </c>
      <c r="J121" s="44" t="str">
        <f>IFERROR(__xludf.DUMMYFUNCTION("""COMPUTED_VALUE"""),"")</f>
        <v/>
      </c>
      <c r="K121" s="42" t="str">
        <f>IFERROR(__xludf.DUMMYFUNCTION("""COMPUTED_VALUE"""),"H. Jose Maria Vargas LG")</f>
        <v>H. Jose Maria Vargas LG</v>
      </c>
    </row>
    <row r="122">
      <c r="A122" s="44">
        <v>121.0</v>
      </c>
      <c r="B122" s="44" t="str">
        <f>IFERROR(__xludf.DUMMYFUNCTION("""COMPUTED_VALUE"""),"Hospital Dr. José Gregorio Hern")</f>
        <v>Hospital Dr. José Gregorio Hern</v>
      </c>
      <c r="C122" s="45" t="str">
        <f>IFERROR(__xludf.DUMMYFUNCTION("""COMPUTED_VALUE"""),"JIMENEZ LUIS JOSE")</f>
        <v>JIMENEZ LUIS JOSE</v>
      </c>
      <c r="D122" s="44">
        <f>IFERROR(__xludf.DUMMYFUNCTION("""COMPUTED_VALUE"""),47.0)</f>
        <v>47</v>
      </c>
      <c r="E122" s="44" t="str">
        <f>IFERROR(__xludf.DUMMYFUNCTION("""COMPUTED_VALUE"""),"13044965")</f>
        <v>13044965</v>
      </c>
      <c r="F122" s="44" t="str">
        <f>IFERROR(__xludf.DUMMYFUNCTION("""COMPUTED_VALUE"""),"")</f>
        <v/>
      </c>
      <c r="G122" s="44" t="str">
        <f>IFERROR(__xludf.DUMMYFUNCTION("""COMPUTED_VALUE""")," ")</f>
        <v> </v>
      </c>
      <c r="H122" s="44" t="str">
        <f>IFERROR(__xludf.DUMMYFUNCTION("""COMPUTED_VALUE""")," ")</f>
        <v> </v>
      </c>
      <c r="I122" s="44" t="str">
        <f>IFERROR(__xludf.DUMMYFUNCTION("""COMPUTED_VALUE"""),"Internado; Politraumatismo")</f>
        <v>Internado; Politraumatismo</v>
      </c>
      <c r="J122" s="44" t="str">
        <f>IFERROR(__xludf.DUMMYFUNCTION("""COMPUTED_VALUE"""),"")</f>
        <v/>
      </c>
      <c r="K122" s="42" t="str">
        <f>IFERROR(__xludf.DUMMYFUNCTION("""COMPUTED_VALUE"""),"Hospital Dr. José Gregorio Hern")</f>
        <v>Hospital Dr. José Gregorio Hern</v>
      </c>
    </row>
    <row r="123">
      <c r="A123" s="44">
        <v>122.0</v>
      </c>
      <c r="B123" s="44" t="str">
        <f>IFERROR(__xludf.DUMMYFUNCTION("""COMPUTED_VALUE"""),"Hospital Vargas de Caracas")</f>
        <v>Hospital Vargas de Caracas</v>
      </c>
      <c r="C123" s="45" t="str">
        <f>IFERROR(__xludf.DUMMYFUNCTION("""COMPUTED_VALUE"""),"MAYORE ELITA")</f>
        <v>MAYORE ELITA</v>
      </c>
      <c r="D123" s="44" t="str">
        <f>IFERROR(__xludf.DUMMYFUNCTION("""COMPUTED_VALUE""")," ")</f>
        <v> </v>
      </c>
      <c r="E123" s="44" t="str">
        <f>IFERROR(__xludf.DUMMYFUNCTION("""COMPUTED_VALUE"""),"13069223")</f>
        <v>13069223</v>
      </c>
      <c r="F123" s="44" t="str">
        <f>IFERROR(__xludf.DUMMYFUNCTION("""COMPUTED_VALUE""")," ")</f>
        <v> </v>
      </c>
      <c r="G123" s="44" t="str">
        <f>IFERROR(__xludf.DUMMYFUNCTION("""COMPUTED_VALUE"""),"")</f>
        <v/>
      </c>
      <c r="H123" s="44" t="str">
        <f>IFERROR(__xludf.DUMMYFUNCTION("""COMPUTED_VALUE"""),"Junquito")</f>
        <v>Junquito</v>
      </c>
      <c r="I123" s="44" t="str">
        <f>IFERROR(__xludf.DUMMYFUNCTION("""COMPUTED_VALUE""")," ")</f>
        <v> </v>
      </c>
      <c r="J123" s="44" t="str">
        <f>IFERROR(__xludf.DUMMYFUNCTION("""COMPUTED_VALUE"""),"")</f>
        <v/>
      </c>
      <c r="K123" s="42" t="str">
        <f>IFERROR(__xludf.DUMMYFUNCTION("""COMPUTED_VALUE"""),"Hospital Vargas de Caracas")</f>
        <v>Hospital Vargas de Caracas</v>
      </c>
    </row>
    <row r="124">
      <c r="A124" s="44">
        <v>123.0</v>
      </c>
      <c r="B124" s="44" t="str">
        <f>IFERROR(__xludf.DUMMYFUNCTION("""COMPUTED_VALUE"""),"Hospital Vargas de Caracas")</f>
        <v>Hospital Vargas de Caracas</v>
      </c>
      <c r="C124" s="45" t="str">
        <f>IFERROR(__xludf.DUMMYFUNCTION("""COMPUTED_VALUE"""),"MAYORE ELITA")</f>
        <v>MAYORE ELITA</v>
      </c>
      <c r="D124" s="44" t="str">
        <f>IFERROR(__xludf.DUMMYFUNCTION("""COMPUTED_VALUE"""),"Sin información")</f>
        <v>Sin información</v>
      </c>
      <c r="E124" s="44" t="str">
        <f>IFERROR(__xludf.DUMMYFUNCTION("""COMPUTED_VALUE"""),"130692230")</f>
        <v>130692230</v>
      </c>
      <c r="F124" s="44" t="str">
        <f>IFERROR(__xludf.DUMMYFUNCTION("""COMPUTED_VALUE""")," ")</f>
        <v> </v>
      </c>
      <c r="G124" s="44" t="str">
        <f>IFERROR(__xludf.DUMMYFUNCTION("""COMPUTED_VALUE"""),"")</f>
        <v/>
      </c>
      <c r="H124" s="44" t="str">
        <f>IFERROR(__xludf.DUMMYFUNCTION("""COMPUTED_VALUE"""),"El Junquito")</f>
        <v>El Junquito</v>
      </c>
      <c r="I124" s="44" t="str">
        <f>IFERROR(__xludf.DUMMYFUNCTION("""COMPUTED_VALUE"""),"Sin información")</f>
        <v>Sin información</v>
      </c>
      <c r="J124" s="44" t="str">
        <f>IFERROR(__xludf.DUMMYFUNCTION("""COMPUTED_VALUE"""),"")</f>
        <v/>
      </c>
      <c r="K124" s="42" t="str">
        <f>IFERROR(__xludf.DUMMYFUNCTION("""COMPUTED_VALUE"""),"Hospital Vargas de Caracas")</f>
        <v>Hospital Vargas de Caracas</v>
      </c>
    </row>
    <row r="125">
      <c r="A125" s="44">
        <v>124.0</v>
      </c>
      <c r="B125" s="44" t="str">
        <f>IFERROR(__xludf.DUMMYFUNCTION("""COMPUTED_VALUE"""),"Hospital Ana Francisca Pérez de")</f>
        <v>Hospital Ana Francisca Pérez de</v>
      </c>
      <c r="C125" s="45" t="str">
        <f>IFERROR(__xludf.DUMMYFUNCTION("""COMPUTED_VALUE"""),"ACOSTA ELMANUEL")</f>
        <v>ACOSTA ELMANUEL</v>
      </c>
      <c r="D125" s="44">
        <f>IFERROR(__xludf.DUMMYFUNCTION("""COMPUTED_VALUE"""),49.0)</f>
        <v>49</v>
      </c>
      <c r="E125" s="44" t="str">
        <f>IFERROR(__xludf.DUMMYFUNCTION("""COMPUTED_VALUE"""),"13133322")</f>
        <v>13133322</v>
      </c>
      <c r="F125" s="44" t="str">
        <f>IFERROR(__xludf.DUMMYFUNCTION("""COMPUTED_VALUE"""),"")</f>
        <v/>
      </c>
      <c r="G125" s="44" t="str">
        <f>IFERROR(__xludf.DUMMYFUNCTION("""COMPUTED_VALUE""")," ")</f>
        <v> </v>
      </c>
      <c r="H125" s="44" t="str">
        <f>IFERROR(__xludf.DUMMYFUNCTION("""COMPUTED_VALUE"""),"La Guaira")</f>
        <v>La Guaira</v>
      </c>
      <c r="I125" s="44" t="str">
        <f>IFERROR(__xludf.DUMMYFUNCTION("""COMPUTED_VALUE""")," ")</f>
        <v> </v>
      </c>
      <c r="J125" s="44" t="str">
        <f>IFERROR(__xludf.DUMMYFUNCTION("""COMPUTED_VALUE"""),"")</f>
        <v/>
      </c>
      <c r="K125" s="42" t="str">
        <f>IFERROR(__xludf.DUMMYFUNCTION("""COMPUTED_VALUE"""),"Hospital Ana Francisca Pérez de")</f>
        <v>Hospital Ana Francisca Pérez de</v>
      </c>
    </row>
    <row r="126">
      <c r="A126" s="44">
        <v>125.0</v>
      </c>
      <c r="B126" s="44" t="str">
        <f>IFERROR(__xludf.DUMMYFUNCTION("""COMPUTED_VALUE"""),"H. Jose Maria Vargas LG")</f>
        <v>H. Jose Maria Vargas LG</v>
      </c>
      <c r="C126" s="45" t="str">
        <f>IFERROR(__xludf.DUMMYFUNCTION("""COMPUTED_VALUE"""),"MOYER HERNESTO")</f>
        <v>MOYER HERNESTO</v>
      </c>
      <c r="D126" s="44" t="str">
        <f>IFERROR(__xludf.DUMMYFUNCTION("""COMPUTED_VALUE""")," ")</f>
        <v> </v>
      </c>
      <c r="E126" s="44" t="str">
        <f>IFERROR(__xludf.DUMMYFUNCTION("""COMPUTED_VALUE"""),"13223654")</f>
        <v>13223654</v>
      </c>
      <c r="F126" s="44" t="str">
        <f>IFERROR(__xludf.DUMMYFUNCTION("""COMPUTED_VALUE"""),"")</f>
        <v/>
      </c>
      <c r="G126" s="44" t="str">
        <f>IFERROR(__xludf.DUMMYFUNCTION("""COMPUTED_VALUE""")," ")</f>
        <v> </v>
      </c>
      <c r="H126" s="44" t="str">
        <f>IFERROR(__xludf.DUMMYFUNCTION("""COMPUTED_VALUE""")," ")</f>
        <v> </v>
      </c>
      <c r="I126" s="44" t="str">
        <f>IFERROR(__xludf.DUMMYFUNCTION("""COMPUTED_VALUE""")," ")</f>
        <v> </v>
      </c>
      <c r="J126" s="44" t="str">
        <f>IFERROR(__xludf.DUMMYFUNCTION("""COMPUTED_VALUE"""),"")</f>
        <v/>
      </c>
      <c r="K126" s="42" t="str">
        <f>IFERROR(__xludf.DUMMYFUNCTION("""COMPUTED_VALUE"""),"H. Jose Maria Vargas LG")</f>
        <v>H. Jose Maria Vargas LG</v>
      </c>
    </row>
    <row r="127">
      <c r="A127" s="44">
        <v>126.0</v>
      </c>
      <c r="B127" s="44" t="str">
        <f>IFERROR(__xludf.DUMMYFUNCTION("""COMPUTED_VALUE"""),"H. Jose Maria Vargas LG")</f>
        <v>H. Jose Maria Vargas LG</v>
      </c>
      <c r="C127" s="45" t="str">
        <f>IFERROR(__xludf.DUMMYFUNCTION("""COMPUTED_VALUE"""),"MANUEL JUAN")</f>
        <v>MANUEL JUAN</v>
      </c>
      <c r="D127" s="44" t="str">
        <f>IFERROR(__xludf.DUMMYFUNCTION("""COMPUTED_VALUE""")," ")</f>
        <v> </v>
      </c>
      <c r="E127" s="44" t="str">
        <f>IFERROR(__xludf.DUMMYFUNCTION("""COMPUTED_VALUE"""),"13315025")</f>
        <v>13315025</v>
      </c>
      <c r="F127" s="44" t="str">
        <f>IFERROR(__xludf.DUMMYFUNCTION("""COMPUTED_VALUE"""),"")</f>
        <v/>
      </c>
      <c r="G127" s="44" t="str">
        <f>IFERROR(__xludf.DUMMYFUNCTION("""COMPUTED_VALUE""")," ")</f>
        <v> </v>
      </c>
      <c r="H127" s="44" t="str">
        <f>IFERROR(__xludf.DUMMYFUNCTION("""COMPUTED_VALUE""")," ")</f>
        <v> </v>
      </c>
      <c r="I127" s="44" t="str">
        <f>IFERROR(__xludf.DUMMYFUNCTION("""COMPUTED_VALUE""")," ")</f>
        <v> </v>
      </c>
      <c r="J127" s="44" t="str">
        <f>IFERROR(__xludf.DUMMYFUNCTION("""COMPUTED_VALUE"""),"")</f>
        <v/>
      </c>
      <c r="K127" s="42" t="str">
        <f>IFERROR(__xludf.DUMMYFUNCTION("""COMPUTED_VALUE"""),"H. Jose Maria Vargas LG")</f>
        <v>H. Jose Maria Vargas LG</v>
      </c>
    </row>
    <row r="128">
      <c r="A128" s="44">
        <v>127.0</v>
      </c>
      <c r="B128" s="44" t="str">
        <f>IFERROR(__xludf.DUMMYFUNCTION("""COMPUTED_VALUE"""),"H. Jose Maria Vargas LG")</f>
        <v>H. Jose Maria Vargas LG</v>
      </c>
      <c r="C128" s="45" t="str">
        <f>IFERROR(__xludf.DUMMYFUNCTION("""COMPUTED_VALUE"""),"MERRA DOUGLAS")</f>
        <v>MERRA DOUGLAS</v>
      </c>
      <c r="D128" s="44">
        <f>IFERROR(__xludf.DUMMYFUNCTION("""COMPUTED_VALUE"""),47.0)</f>
        <v>47</v>
      </c>
      <c r="E128" s="44" t="str">
        <f>IFERROR(__xludf.DUMMYFUNCTION("""COMPUTED_VALUE"""),"13326786")</f>
        <v>13326786</v>
      </c>
      <c r="F128" s="44" t="str">
        <f>IFERROR(__xludf.DUMMYFUNCTION("""COMPUTED_VALUE"""),"")</f>
        <v/>
      </c>
      <c r="G128" s="44" t="str">
        <f>IFERROR(__xludf.DUMMYFUNCTION("""COMPUTED_VALUE""")," ")</f>
        <v> </v>
      </c>
      <c r="H128" s="44" t="str">
        <f>IFERROR(__xludf.DUMMYFUNCTION("""COMPUTED_VALUE"""),"Caribe")</f>
        <v>Caribe</v>
      </c>
      <c r="I128" s="44" t="str">
        <f>IFERROR(__xludf.DUMMYFUNCTION("""COMPUTED_VALUE""")," ")</f>
        <v> </v>
      </c>
      <c r="J128" s="44" t="str">
        <f>IFERROR(__xludf.DUMMYFUNCTION("""COMPUTED_VALUE"""),"")</f>
        <v/>
      </c>
      <c r="K128" s="42" t="str">
        <f>IFERROR(__xludf.DUMMYFUNCTION("""COMPUTED_VALUE"""),"H. Jose Maria Vargas LG")</f>
        <v>H. Jose Maria Vargas LG</v>
      </c>
    </row>
    <row r="129">
      <c r="A129" s="44">
        <v>128.0</v>
      </c>
      <c r="B129" s="44" t="str">
        <f>IFERROR(__xludf.DUMMYFUNCTION("""COMPUTED_VALUE"""),"Hospital Ana Francisca Pérez de")</f>
        <v>Hospital Ana Francisca Pérez de</v>
      </c>
      <c r="C129" s="45" t="str">
        <f>IFERROR(__xludf.DUMMYFUNCTION("""COMPUTED_VALUE"""),"EMAREL ACOSTA")</f>
        <v>EMAREL ACOSTA</v>
      </c>
      <c r="D129" s="44">
        <f>IFERROR(__xludf.DUMMYFUNCTION("""COMPUTED_VALUE"""),49.0)</f>
        <v>49</v>
      </c>
      <c r="E129" s="44" t="str">
        <f>IFERROR(__xludf.DUMMYFUNCTION("""COMPUTED_VALUE"""),"133333420")</f>
        <v>133333420</v>
      </c>
      <c r="F129" s="44" t="str">
        <f>IFERROR(__xludf.DUMMYFUNCTION("""COMPUTED_VALUE"""),"")</f>
        <v/>
      </c>
      <c r="G129" s="44" t="str">
        <f>IFERROR(__xludf.DUMMYFUNCTION("""COMPUTED_VALUE""")," ")</f>
        <v> </v>
      </c>
      <c r="H129" s="44" t="str">
        <f>IFERROR(__xludf.DUMMYFUNCTION("""COMPUTED_VALUE"""),"La Guaira (Monte Sano)")</f>
        <v>La Guaira (Monte Sano)</v>
      </c>
      <c r="I129" s="44" t="str">
        <f>IFERROR(__xludf.DUMMYFUNCTION("""COMPUTED_VALUE""")," ")</f>
        <v> </v>
      </c>
      <c r="J129" s="44" t="str">
        <f>IFERROR(__xludf.DUMMYFUNCTION("""COMPUTED_VALUE"""),"")</f>
        <v/>
      </c>
      <c r="K129" s="42" t="str">
        <f>IFERROR(__xludf.DUMMYFUNCTION("""COMPUTED_VALUE"""),"🔍 BUSCAR PACIENTES")</f>
        <v>🔍 BUSCAR PACIENTES</v>
      </c>
    </row>
    <row r="130">
      <c r="A130" s="44">
        <v>129.0</v>
      </c>
      <c r="B130" s="44" t="str">
        <f>IFERROR(__xludf.DUMMYFUNCTION("""COMPUTED_VALUE"""),"Periférico de Catia")</f>
        <v>Periférico de Catia</v>
      </c>
      <c r="C130" s="45" t="str">
        <f>IFERROR(__xludf.DUMMYFUNCTION("""COMPUTED_VALUE"""),"CAROLINA SALAZAR")</f>
        <v>CAROLINA SALAZAR</v>
      </c>
      <c r="D130" s="44">
        <f>IFERROR(__xludf.DUMMYFUNCTION("""COMPUTED_VALUE"""),49.0)</f>
        <v>49</v>
      </c>
      <c r="E130" s="44" t="str">
        <f>IFERROR(__xludf.DUMMYFUNCTION("""COMPUTED_VALUE"""),"133333590")</f>
        <v>133333590</v>
      </c>
      <c r="F130" s="44" t="str">
        <f>IFERROR(__xludf.DUMMYFUNCTION("""COMPUTED_VALUE"""),"")</f>
        <v/>
      </c>
      <c r="G130" s="44" t="str">
        <f>IFERROR(__xludf.DUMMYFUNCTION("""COMPUTED_VALUE""")," ")</f>
        <v> </v>
      </c>
      <c r="H130" s="44" t="str">
        <f>IFERROR(__xludf.DUMMYFUNCTION("""COMPUTED_VALUE"""),"Sin información")</f>
        <v>Sin información</v>
      </c>
      <c r="I130" s="44" t="str">
        <f>IFERROR(__xludf.DUMMYFUNCTION("""COMPUTED_VALUE"""),"Cirugía General")</f>
        <v>Cirugía General</v>
      </c>
      <c r="J130" s="44" t="str">
        <f>IFERROR(__xludf.DUMMYFUNCTION("""COMPUTED_VALUE"""),"")</f>
        <v/>
      </c>
      <c r="K130" s="42" t="str">
        <f>IFERROR(__xludf.DUMMYFUNCTION("""COMPUTED_VALUE"""),"Periférico de Catia")</f>
        <v>Periférico de Catia</v>
      </c>
    </row>
    <row r="131">
      <c r="A131" s="44">
        <v>130.0</v>
      </c>
      <c r="B131" s="44" t="str">
        <f>IFERROR(__xludf.DUMMYFUNCTION("""COMPUTED_VALUE"""),"Hospital Vargas de Caracas")</f>
        <v>Hospital Vargas de Caracas</v>
      </c>
      <c r="C131" s="45" t="str">
        <f>IFERROR(__xludf.DUMMYFUNCTION("""COMPUTED_VALUE"""),"RIVAS BRICET")</f>
        <v>RIVAS BRICET</v>
      </c>
      <c r="D131" s="44">
        <f>IFERROR(__xludf.DUMMYFUNCTION("""COMPUTED_VALUE"""),47.0)</f>
        <v>47</v>
      </c>
      <c r="E131" s="44" t="str">
        <f>IFERROR(__xludf.DUMMYFUNCTION("""COMPUTED_VALUE"""),"13357989")</f>
        <v>13357989</v>
      </c>
      <c r="F131" s="44" t="str">
        <f>IFERROR(__xludf.DUMMYFUNCTION("""COMPUTED_VALUE""")," ")</f>
        <v> </v>
      </c>
      <c r="G131" s="44" t="str">
        <f>IFERROR(__xludf.DUMMYFUNCTION("""COMPUTED_VALUE"""),"")</f>
        <v/>
      </c>
      <c r="H131" s="44" t="str">
        <f>IFERROR(__xludf.DUMMYFUNCTION("""COMPUTED_VALUE"""),"La Guaira")</f>
        <v>La Guaira</v>
      </c>
      <c r="I131" s="44" t="str">
        <f>IFERROR(__xludf.DUMMYFUNCTION("""COMPUTED_VALUE"""),"UPT")</f>
        <v>UPT</v>
      </c>
      <c r="J131" s="44" t="str">
        <f>IFERROR(__xludf.DUMMYFUNCTION("""COMPUTED_VALUE"""),"")</f>
        <v/>
      </c>
      <c r="K131" s="42" t="str">
        <f>IFERROR(__xludf.DUMMYFUNCTION("""COMPUTED_VALUE"""),"Hospital Vargas de Caracas")</f>
        <v>Hospital Vargas de Caracas</v>
      </c>
    </row>
    <row r="132">
      <c r="A132" s="44">
        <v>131.0</v>
      </c>
      <c r="B132" s="44" t="str">
        <f>IFERROR(__xludf.DUMMYFUNCTION("""COMPUTED_VALUE"""),"Periférico de Catia")</f>
        <v>Periférico de Catia</v>
      </c>
      <c r="C132" s="45" t="str">
        <f>IFERROR(__xludf.DUMMYFUNCTION("""COMPUTED_VALUE"""),"DEAGRELA JOSE")</f>
        <v>DEAGRELA JOSE</v>
      </c>
      <c r="D132" s="44">
        <f>IFERROR(__xludf.DUMMYFUNCTION("""COMPUTED_VALUE"""),48.0)</f>
        <v>48</v>
      </c>
      <c r="E132" s="44" t="str">
        <f>IFERROR(__xludf.DUMMYFUNCTION("""COMPUTED_VALUE"""),"13373135")</f>
        <v>13373135</v>
      </c>
      <c r="F132" s="44" t="str">
        <f>IFERROR(__xludf.DUMMYFUNCTION("""COMPUTED_VALUE"""),"")</f>
        <v/>
      </c>
      <c r="G132" s="44" t="str">
        <f>IFERROR(__xludf.DUMMYFUNCTION("""COMPUTED_VALUE""")," ")</f>
        <v> </v>
      </c>
      <c r="H132" s="44" t="str">
        <f>IFERROR(__xludf.DUMMYFUNCTION("""COMPUTED_VALUE""")," ")</f>
        <v> </v>
      </c>
      <c r="I132" s="44" t="str">
        <f>IFERROR(__xludf.DUMMYFUNCTION("""COMPUTED_VALUE"""),"Cirugía General")</f>
        <v>Cirugía General</v>
      </c>
      <c r="J132" s="44" t="str">
        <f>IFERROR(__xludf.DUMMYFUNCTION("""COMPUTED_VALUE"""),"")</f>
        <v/>
      </c>
      <c r="K132" s="42" t="str">
        <f>IFERROR(__xludf.DUMMYFUNCTION("""COMPUTED_VALUE"""),"Periférico de Catia")</f>
        <v>Periférico de Catia</v>
      </c>
    </row>
    <row r="133">
      <c r="A133" s="44">
        <v>132.0</v>
      </c>
      <c r="B133" s="44" t="str">
        <f>IFERROR(__xludf.DUMMYFUNCTION("""COMPUTED_VALUE"""),"Periférico de Catia")</f>
        <v>Periférico de Catia</v>
      </c>
      <c r="C133" s="45" t="str">
        <f>IFERROR(__xludf.DUMMYFUNCTION("""COMPUTED_VALUE"""),"JOSÉ DEAGRELA")</f>
        <v>JOSÉ DEAGRELA</v>
      </c>
      <c r="D133" s="44">
        <f>IFERROR(__xludf.DUMMYFUNCTION("""COMPUTED_VALUE"""),48.0)</f>
        <v>48</v>
      </c>
      <c r="E133" s="44" t="str">
        <f>IFERROR(__xludf.DUMMYFUNCTION("""COMPUTED_VALUE"""),"133731350")</f>
        <v>133731350</v>
      </c>
      <c r="F133" s="44" t="str">
        <f>IFERROR(__xludf.DUMMYFUNCTION("""COMPUTED_VALUE"""),"")</f>
        <v/>
      </c>
      <c r="G133" s="44" t="str">
        <f>IFERROR(__xludf.DUMMYFUNCTION("""COMPUTED_VALUE""")," ")</f>
        <v> </v>
      </c>
      <c r="H133" s="44" t="str">
        <f>IFERROR(__xludf.DUMMYFUNCTION("""COMPUTED_VALUE"""),"Sin información")</f>
        <v>Sin información</v>
      </c>
      <c r="I133" s="44" t="str">
        <f>IFERROR(__xludf.DUMMYFUNCTION("""COMPUTED_VALUE"""),"Cirugía General")</f>
        <v>Cirugía General</v>
      </c>
      <c r="J133" s="44" t="str">
        <f>IFERROR(__xludf.DUMMYFUNCTION("""COMPUTED_VALUE"""),"")</f>
        <v/>
      </c>
      <c r="K133" s="42" t="str">
        <f>IFERROR(__xludf.DUMMYFUNCTION("""COMPUTED_VALUE"""),"Periférico de Catia")</f>
        <v>Periférico de Catia</v>
      </c>
    </row>
    <row r="134">
      <c r="A134" s="44">
        <v>133.0</v>
      </c>
      <c r="B134" s="44" t="str">
        <f>IFERROR(__xludf.DUMMYFUNCTION("""COMPUTED_VALUE"""),"H. Jose Maria Vargas LG")</f>
        <v>H. Jose Maria Vargas LG</v>
      </c>
      <c r="C134" s="45" t="str">
        <f>IFERROR(__xludf.DUMMYFUNCTION("""COMPUTED_VALUE"""),"CALZADILLA YARILIS")</f>
        <v>CALZADILLA YARILIS</v>
      </c>
      <c r="D134" s="44">
        <f>IFERROR(__xludf.DUMMYFUNCTION("""COMPUTED_VALUE"""),50.0)</f>
        <v>50</v>
      </c>
      <c r="E134" s="44" t="str">
        <f>IFERROR(__xludf.DUMMYFUNCTION("""COMPUTED_VALUE"""),"13373379")</f>
        <v>13373379</v>
      </c>
      <c r="F134" s="44" t="str">
        <f>IFERROR(__xludf.DUMMYFUNCTION("""COMPUTED_VALUE"""),"")</f>
        <v/>
      </c>
      <c r="G134" s="44" t="str">
        <f>IFERROR(__xludf.DUMMYFUNCTION("""COMPUTED_VALUE""")," ")</f>
        <v> </v>
      </c>
      <c r="H134" s="44" t="str">
        <f>IFERROR(__xludf.DUMMYFUNCTION("""COMPUTED_VALUE"""),"Tanaguarena")</f>
        <v>Tanaguarena</v>
      </c>
      <c r="I134" s="44" t="str">
        <f>IFERROR(__xludf.DUMMYFUNCTION("""COMPUTED_VALUE""")," ")</f>
        <v> </v>
      </c>
      <c r="J134" s="44" t="str">
        <f>IFERROR(__xludf.DUMMYFUNCTION("""COMPUTED_VALUE"""),"")</f>
        <v/>
      </c>
      <c r="K134" s="42" t="str">
        <f>IFERROR(__xludf.DUMMYFUNCTION("""COMPUTED_VALUE"""),"H. Jose Maria Vargas LG")</f>
        <v>H. Jose Maria Vargas LG</v>
      </c>
    </row>
    <row r="135">
      <c r="A135" s="44">
        <v>134.0</v>
      </c>
      <c r="B135" s="44" t="str">
        <f>IFERROR(__xludf.DUMMYFUNCTION("""COMPUTED_VALUE"""),"Hospital Pérez Carreño")</f>
        <v>Hospital Pérez Carreño</v>
      </c>
      <c r="C135" s="45" t="str">
        <f>IFERROR(__xludf.DUMMYFUNCTION("""COMPUTED_VALUE"""),"VALERO FLEICI")</f>
        <v>VALERO FLEICI</v>
      </c>
      <c r="D135" s="44" t="str">
        <f>IFERROR(__xludf.DUMMYFUNCTION("""COMPUTED_VALUE"""),"Sin información")</f>
        <v>Sin información</v>
      </c>
      <c r="E135" s="44" t="str">
        <f>IFERROR(__xludf.DUMMYFUNCTION("""COMPUTED_VALUE"""),"133747540")</f>
        <v>133747540</v>
      </c>
      <c r="F135" s="44" t="str">
        <f>IFERROR(__xludf.DUMMYFUNCTION("""COMPUTED_VALUE"""),"")</f>
        <v/>
      </c>
      <c r="G135" s="44" t="str">
        <f>IFERROR(__xludf.DUMMYFUNCTION("""COMPUTED_VALUE""")," ")</f>
        <v> </v>
      </c>
      <c r="H135" s="44" t="str">
        <f>IFERROR(__xludf.DUMMYFUNCTION("""COMPUTED_VALUE"""),"Sin información")</f>
        <v>Sin información</v>
      </c>
      <c r="I135" s="44" t="str">
        <f>IFERROR(__xludf.DUMMYFUNCTION("""COMPUTED_VALUE"""),"Sin información")</f>
        <v>Sin información</v>
      </c>
      <c r="J135" s="44" t="str">
        <f>IFERROR(__xludf.DUMMYFUNCTION("""COMPUTED_VALUE"""),"25/06/2026")</f>
        <v>25/06/2026</v>
      </c>
      <c r="K135" s="42" t="str">
        <f>IFERROR(__xludf.DUMMYFUNCTION("""COMPUTED_VALUE"""),"Hospital Pérez Carreño")</f>
        <v>Hospital Pérez Carreño</v>
      </c>
    </row>
    <row r="136">
      <c r="A136" s="44">
        <v>135.0</v>
      </c>
      <c r="B136" s="44" t="str">
        <f>IFERROR(__xludf.DUMMYFUNCTION("""COMPUTED_VALUE"""),"Hospital Pérez Carreño")</f>
        <v>Hospital Pérez Carreño</v>
      </c>
      <c r="C136" s="45" t="str">
        <f>IFERROR(__xludf.DUMMYFUNCTION("""COMPUTED_VALUE"""),"VALERO MARIA FELICIA")</f>
        <v>VALERO MARIA FELICIA</v>
      </c>
      <c r="D136" s="44" t="str">
        <f>IFERROR(__xludf.DUMMYFUNCTION("""COMPUTED_VALUE""")," ")</f>
        <v> </v>
      </c>
      <c r="E136" s="44" t="str">
        <f>IFERROR(__xludf.DUMMYFUNCTION("""COMPUTED_VALUE"""),"13374764")</f>
        <v>13374764</v>
      </c>
      <c r="F136" s="44" t="str">
        <f>IFERROR(__xludf.DUMMYFUNCTION("""COMPUTED_VALUE"""),"")</f>
        <v/>
      </c>
      <c r="G136" s="44" t="str">
        <f>IFERROR(__xludf.DUMMYFUNCTION("""COMPUTED_VALUE""")," ")</f>
        <v> </v>
      </c>
      <c r="H136" s="44" t="str">
        <f>IFERROR(__xludf.DUMMYFUNCTION("""COMPUTED_VALUE""")," ")</f>
        <v> </v>
      </c>
      <c r="I136" s="44" t="str">
        <f>IFERROR(__xludf.DUMMYFUNCTION("""COMPUTED_VALUE""")," ")</f>
        <v> </v>
      </c>
      <c r="J136" s="44" t="str">
        <f>IFERROR(__xludf.DUMMYFUNCTION("""COMPUTED_VALUE"""),"25/06/2026")</f>
        <v>25/06/2026</v>
      </c>
      <c r="K136" s="42" t="str">
        <f>IFERROR(__xludf.DUMMYFUNCTION("""COMPUTED_VALUE"""),"Hospital Pérez Carreño")</f>
        <v>Hospital Pérez Carreño</v>
      </c>
    </row>
    <row r="137">
      <c r="A137" s="44">
        <v>136.0</v>
      </c>
      <c r="B137" s="44" t="str">
        <f>IFERROR(__xludf.DUMMYFUNCTION("""COMPUTED_VALUE"""),"Hospital Pérez Carreño")</f>
        <v>Hospital Pérez Carreño</v>
      </c>
      <c r="C137" s="45" t="str">
        <f>IFERROR(__xludf.DUMMYFUNCTION("""COMPUTED_VALUE"""),"VALERO FLEICI")</f>
        <v>VALERO FLEICI</v>
      </c>
      <c r="D137" s="44" t="str">
        <f>IFERROR(__xludf.DUMMYFUNCTION("""COMPUTED_VALUE""")," ")</f>
        <v> </v>
      </c>
      <c r="E137" s="44" t="str">
        <f>IFERROR(__xludf.DUMMYFUNCTION("""COMPUTED_VALUE"""),"133747640")</f>
        <v>133747640</v>
      </c>
      <c r="F137" s="44" t="str">
        <f>IFERROR(__xludf.DUMMYFUNCTION("""COMPUTED_VALUE"""),"")</f>
        <v/>
      </c>
      <c r="G137" s="44" t="str">
        <f>IFERROR(__xludf.DUMMYFUNCTION("""COMPUTED_VALUE""")," ")</f>
        <v> </v>
      </c>
      <c r="H137" s="44" t="str">
        <f>IFERROR(__xludf.DUMMYFUNCTION("""COMPUTED_VALUE""")," ")</f>
        <v> </v>
      </c>
      <c r="I137" s="44" t="str">
        <f>IFERROR(__xludf.DUMMYFUNCTION("""COMPUTED_VALUE""")," ")</f>
        <v> </v>
      </c>
      <c r="J137" s="44" t="str">
        <f>IFERROR(__xludf.DUMMYFUNCTION("""COMPUTED_VALUE"""),"25/06/2026")</f>
        <v>25/06/2026</v>
      </c>
      <c r="K137" s="42" t="str">
        <f>IFERROR(__xludf.DUMMYFUNCTION("""COMPUTED_VALUE"""),"Hospital Pérez Carreño")</f>
        <v>Hospital Pérez Carreño</v>
      </c>
    </row>
    <row r="138">
      <c r="A138" s="44">
        <v>137.0</v>
      </c>
      <c r="B138" s="44" t="str">
        <f>IFERROR(__xludf.DUMMYFUNCTION("""COMPUTED_VALUE"""),"H. Jose Maria Vargas LG")</f>
        <v>H. Jose Maria Vargas LG</v>
      </c>
      <c r="C138" s="45" t="str">
        <f>IFERROR(__xludf.DUMMYFUNCTION("""COMPUTED_VALUE"""),"MORON JUAN LUIS")</f>
        <v>MORON JUAN LUIS</v>
      </c>
      <c r="D138" s="44" t="str">
        <f>IFERROR(__xludf.DUMMYFUNCTION("""COMPUTED_VALUE""")," ")</f>
        <v> </v>
      </c>
      <c r="E138" s="44" t="str">
        <f>IFERROR(__xludf.DUMMYFUNCTION("""COMPUTED_VALUE"""),"13374907")</f>
        <v>13374907</v>
      </c>
      <c r="F138" s="44" t="str">
        <f>IFERROR(__xludf.DUMMYFUNCTION("""COMPUTED_VALUE"""),"")</f>
        <v/>
      </c>
      <c r="G138" s="44" t="str">
        <f>IFERROR(__xludf.DUMMYFUNCTION("""COMPUTED_VALUE""")," ")</f>
        <v> </v>
      </c>
      <c r="H138" s="44" t="str">
        <f>IFERROR(__xludf.DUMMYFUNCTION("""COMPUTED_VALUE"""),"Los Corales")</f>
        <v>Los Corales</v>
      </c>
      <c r="I138" s="44" t="str">
        <f>IFERROR(__xludf.DUMMYFUNCTION("""COMPUTED_VALUE""")," ")</f>
        <v> </v>
      </c>
      <c r="J138" s="44" t="str">
        <f>IFERROR(__xludf.DUMMYFUNCTION("""COMPUTED_VALUE"""),"")</f>
        <v/>
      </c>
      <c r="K138" s="42" t="str">
        <f>IFERROR(__xludf.DUMMYFUNCTION("""COMPUTED_VALUE"""),"H. Jose Maria Vargas LG")</f>
        <v>H. Jose Maria Vargas LG</v>
      </c>
    </row>
    <row r="139">
      <c r="A139" s="44">
        <v>138.0</v>
      </c>
      <c r="B139" s="44" t="str">
        <f>IFERROR(__xludf.DUMMYFUNCTION("""COMPUTED_VALUE"""),"Hospital Militar Dr. C. Arvelo")</f>
        <v>Hospital Militar Dr. C. Arvelo</v>
      </c>
      <c r="C139" s="45" t="str">
        <f>IFERROR(__xludf.DUMMYFUNCTION("""COMPUTED_VALUE"""),"Pericaguan Miliba")</f>
        <v>Pericaguan Miliba</v>
      </c>
      <c r="D139" s="44">
        <f>IFERROR(__xludf.DUMMYFUNCTION("""COMPUTED_VALUE"""),49.0)</f>
        <v>49</v>
      </c>
      <c r="E139" s="44" t="str">
        <f>IFERROR(__xludf.DUMMYFUNCTION("""COMPUTED_VALUE"""),"13375459")</f>
        <v>13375459</v>
      </c>
      <c r="F139" s="44" t="str">
        <f>IFERROR(__xludf.DUMMYFUNCTION("""COMPUTED_VALUE"""),"")</f>
        <v/>
      </c>
      <c r="G139" s="44" t="str">
        <f>IFERROR(__xludf.DUMMYFUNCTION("""COMPUTED_VALUE"""),"")</f>
        <v/>
      </c>
      <c r="H139" s="44" t="str">
        <f>IFERROR(__xludf.DUMMYFUNCTION("""COMPUTED_VALUE"""),"F")</f>
        <v>F</v>
      </c>
      <c r="I139" s="44" t="str">
        <f>IFERROR(__xludf.DUMMYFUNCTION("""COMPUTED_VALUE"""),"San Martín PNA")</f>
        <v>San Martín PNA</v>
      </c>
      <c r="J139" s="44" t="str">
        <f>IFERROR(__xludf.DUMMYFUNCTION("""COMPUTED_VALUE"""),"24/6/2026")</f>
        <v>24/6/2026</v>
      </c>
      <c r="K139" s="42" t="str">
        <f>IFERROR(__xludf.DUMMYFUNCTION("""COMPUTED_VALUE"""),"Hospital Militar Dr. C. Arvelo")</f>
        <v>Hospital Militar Dr. C. Arvelo</v>
      </c>
    </row>
    <row r="140">
      <c r="A140" s="44">
        <v>139.0</v>
      </c>
      <c r="B140" s="44" t="str">
        <f>IFERROR(__xludf.DUMMYFUNCTION("""COMPUTED_VALUE"""),"Hospital Universitario de Carac")</f>
        <v>Hospital Universitario de Carac</v>
      </c>
      <c r="C140" s="45" t="str">
        <f>IFERROR(__xludf.DUMMYFUNCTION("""COMPUTED_VALUE"""),"PANTOJA TONI")</f>
        <v>PANTOJA TONI</v>
      </c>
      <c r="D140" s="44">
        <f>IFERROR(__xludf.DUMMYFUNCTION("""COMPUTED_VALUE"""),47.0)</f>
        <v>47</v>
      </c>
      <c r="E140" s="44" t="str">
        <f>IFERROR(__xludf.DUMMYFUNCTION("""COMPUTED_VALUE"""),"13409559")</f>
        <v>13409559</v>
      </c>
      <c r="F140" s="44" t="str">
        <f>IFERROR(__xludf.DUMMYFUNCTION("""COMPUTED_VALUE"""),"")</f>
        <v/>
      </c>
      <c r="G140" s="44" t="str">
        <f>IFERROR(__xludf.DUMMYFUNCTION("""COMPUTED_VALUE"""),"0424-2562305")</f>
        <v>0424-2562305</v>
      </c>
      <c r="H140" s="44" t="str">
        <f>IFERROR(__xludf.DUMMYFUNCTION("""COMPUTED_VALUE""")," ")</f>
        <v> </v>
      </c>
      <c r="I140" s="44" t="str">
        <f>IFERROR(__xludf.DUMMYFUNCTION("""COMPUTED_VALUE""")," ")</f>
        <v> </v>
      </c>
      <c r="J140" s="44" t="str">
        <f>IFERROR(__xludf.DUMMYFUNCTION("""COMPUTED_VALUE"""),"")</f>
        <v/>
      </c>
      <c r="K140" s="42" t="str">
        <f>IFERROR(__xludf.DUMMYFUNCTION("""COMPUTED_VALUE"""),"Hospital Universitario de Carac")</f>
        <v>Hospital Universitario de Carac</v>
      </c>
    </row>
    <row r="141">
      <c r="A141" s="44">
        <v>140.0</v>
      </c>
      <c r="B141" s="44" t="str">
        <f>IFERROR(__xludf.DUMMYFUNCTION("""COMPUTED_VALUE"""),"Hospital Pérez Carreño")</f>
        <v>Hospital Pérez Carreño</v>
      </c>
      <c r="C141" s="45" t="str">
        <f>IFERROR(__xludf.DUMMYFUNCTION("""COMPUTED_VALUE"""),"QUINTERO ROMERO BARBARA MADIUSKIS")</f>
        <v>QUINTERO ROMERO BARBARA MADIUSKIS</v>
      </c>
      <c r="D141" s="44" t="str">
        <f>IFERROR(__xludf.DUMMYFUNCTION("""COMPUTED_VALUE""")," ")</f>
        <v> </v>
      </c>
      <c r="E141" s="44" t="str">
        <f>IFERROR(__xludf.DUMMYFUNCTION("""COMPUTED_VALUE"""),"13422890")</f>
        <v>13422890</v>
      </c>
      <c r="F141" s="44" t="str">
        <f>IFERROR(__xludf.DUMMYFUNCTION("""COMPUTED_VALUE"""),"")</f>
        <v/>
      </c>
      <c r="G141" s="44" t="str">
        <f>IFERROR(__xludf.DUMMYFUNCTION("""COMPUTED_VALUE""")," ")</f>
        <v> </v>
      </c>
      <c r="H141" s="44" t="str">
        <f>IFERROR(__xludf.DUMMYFUNCTION("""COMPUTED_VALUE""")," ")</f>
        <v> </v>
      </c>
      <c r="I141" s="44" t="str">
        <f>IFERROR(__xludf.DUMMYFUNCTION("""COMPUTED_VALUE""")," ")</f>
        <v> </v>
      </c>
      <c r="J141" s="44" t="str">
        <f>IFERROR(__xludf.DUMMYFUNCTION("""COMPUTED_VALUE"""),"25/06/2026")</f>
        <v>25/06/2026</v>
      </c>
      <c r="K141" s="42" t="str">
        <f>IFERROR(__xludf.DUMMYFUNCTION("""COMPUTED_VALUE"""),"Hospital Pérez Carreño")</f>
        <v>Hospital Pérez Carreño</v>
      </c>
    </row>
    <row r="142">
      <c r="A142" s="44">
        <v>141.0</v>
      </c>
      <c r="B142" s="44" t="str">
        <f>IFERROR(__xludf.DUMMYFUNCTION("""COMPUTED_VALUE"""),"Hospital Pérez Carreño")</f>
        <v>Hospital Pérez Carreño</v>
      </c>
      <c r="C142" s="45" t="str">
        <f>IFERROR(__xludf.DUMMYFUNCTION("""COMPUTED_VALUE"""),"QUINTERO BARBARA")</f>
        <v>QUINTERO BARBARA</v>
      </c>
      <c r="D142" s="44" t="str">
        <f>IFERROR(__xludf.DUMMYFUNCTION("""COMPUTED_VALUE""")," ")</f>
        <v> </v>
      </c>
      <c r="E142" s="44" t="str">
        <f>IFERROR(__xludf.DUMMYFUNCTION("""COMPUTED_VALUE"""),"134228900")</f>
        <v>134228900</v>
      </c>
      <c r="F142" s="44" t="str">
        <f>IFERROR(__xludf.DUMMYFUNCTION("""COMPUTED_VALUE"""),"")</f>
        <v/>
      </c>
      <c r="G142" s="44" t="str">
        <f>IFERROR(__xludf.DUMMYFUNCTION("""COMPUTED_VALUE""")," ")</f>
        <v> </v>
      </c>
      <c r="H142" s="44" t="str">
        <f>IFERROR(__xludf.DUMMYFUNCTION("""COMPUTED_VALUE""")," ")</f>
        <v> </v>
      </c>
      <c r="I142" s="44" t="str">
        <f>IFERROR(__xludf.DUMMYFUNCTION("""COMPUTED_VALUE""")," ")</f>
        <v> </v>
      </c>
      <c r="J142" s="44" t="str">
        <f>IFERROR(__xludf.DUMMYFUNCTION("""COMPUTED_VALUE"""),"25/06/2026")</f>
        <v>25/06/2026</v>
      </c>
      <c r="K142" s="42" t="str">
        <f>IFERROR(__xludf.DUMMYFUNCTION("""COMPUTED_VALUE"""),"Hospital Pérez Carreño")</f>
        <v>Hospital Pérez Carreño</v>
      </c>
    </row>
    <row r="143">
      <c r="A143" s="44">
        <v>142.0</v>
      </c>
      <c r="B143" s="44" t="str">
        <f>IFERROR(__xludf.DUMMYFUNCTION("""COMPUTED_VALUE"""),"Hospital Militar Dr. C. Arvelo")</f>
        <v>Hospital Militar Dr. C. Arvelo</v>
      </c>
      <c r="C143" s="45" t="str">
        <f>IFERROR(__xludf.DUMMYFUNCTION("""COMPUTED_VALUE"""),"Monsalve Kiana")</f>
        <v>Monsalve Kiana</v>
      </c>
      <c r="D143" s="44">
        <f>IFERROR(__xludf.DUMMYFUNCTION("""COMPUTED_VALUE"""),47.0)</f>
        <v>47</v>
      </c>
      <c r="E143" s="44" t="str">
        <f>IFERROR(__xludf.DUMMYFUNCTION("""COMPUTED_VALUE"""),"13466342")</f>
        <v>13466342</v>
      </c>
      <c r="F143" s="44" t="str">
        <f>IFERROR(__xludf.DUMMYFUNCTION("""COMPUTED_VALUE"""),"")</f>
        <v/>
      </c>
      <c r="G143" s="44" t="str">
        <f>IFERROR(__xludf.DUMMYFUNCTION("""COMPUTED_VALUE"""),"")</f>
        <v/>
      </c>
      <c r="H143" s="44" t="str">
        <f>IFERROR(__xludf.DUMMYFUNCTION("""COMPUTED_VALUE"""),"F")</f>
        <v>F</v>
      </c>
      <c r="I143" s="44" t="str">
        <f>IFERROR(__xludf.DUMMYFUNCTION("""COMPUTED_VALUE"""),"San Martín PNA")</f>
        <v>San Martín PNA</v>
      </c>
      <c r="J143" s="44" t="str">
        <f>IFERROR(__xludf.DUMMYFUNCTION("""COMPUTED_VALUE"""),"24/6/2026")</f>
        <v>24/6/2026</v>
      </c>
      <c r="K143" s="42" t="str">
        <f>IFERROR(__xludf.DUMMYFUNCTION("""COMPUTED_VALUE"""),"Hospital Militar Dr. C. Arvelo")</f>
        <v>Hospital Militar Dr. C. Arvelo</v>
      </c>
    </row>
    <row r="144">
      <c r="A144" s="44">
        <v>143.0</v>
      </c>
      <c r="B144" s="44" t="str">
        <f>IFERROR(__xludf.DUMMYFUNCTION("""COMPUTED_VALUE"""),"Hospital Universitario de Carac")</f>
        <v>Hospital Universitario de Carac</v>
      </c>
      <c r="C144" s="45" t="str">
        <f>IFERROR(__xludf.DUMMYFUNCTION("""COMPUTED_VALUE"""),"OJEDA YONTACO")</f>
        <v>OJEDA YONTACO</v>
      </c>
      <c r="D144" s="44">
        <f>IFERROR(__xludf.DUMMYFUNCTION("""COMPUTED_VALUE"""),62.0)</f>
        <v>62</v>
      </c>
      <c r="E144" s="44" t="str">
        <f>IFERROR(__xludf.DUMMYFUNCTION("""COMPUTED_VALUE"""),"13470155")</f>
        <v>13470155</v>
      </c>
      <c r="F144" s="44" t="str">
        <f>IFERROR(__xludf.DUMMYFUNCTION("""COMPUTED_VALUE"""),"")</f>
        <v/>
      </c>
      <c r="G144" s="44" t="str">
        <f>IFERROR(__xludf.DUMMYFUNCTION("""COMPUTED_VALUE"""),"0424-8168787 / 0424-8168797")</f>
        <v>0424-8168787 / 0424-8168797</v>
      </c>
      <c r="H144" s="44" t="str">
        <f>IFERROR(__xludf.DUMMYFUNCTION("""COMPUTED_VALUE""")," ")</f>
        <v> </v>
      </c>
      <c r="I144" s="44" t="str">
        <f>IFERROR(__xludf.DUMMYFUNCTION("""COMPUTED_VALUE""")," ")</f>
        <v> </v>
      </c>
      <c r="J144" s="44" t="str">
        <f>IFERROR(__xludf.DUMMYFUNCTION("""COMPUTED_VALUE"""),"")</f>
        <v/>
      </c>
      <c r="K144" s="42" t="str">
        <f>IFERROR(__xludf.DUMMYFUNCTION("""COMPUTED_VALUE"""),"Hospital Universitario de Carac")</f>
        <v>Hospital Universitario de Carac</v>
      </c>
    </row>
    <row r="145">
      <c r="A145" s="44">
        <v>144.0</v>
      </c>
      <c r="B145" s="44" t="str">
        <f>IFERROR(__xludf.DUMMYFUNCTION("""COMPUTED_VALUE"""),"Hospital Vargas de Caracas")</f>
        <v>Hospital Vargas de Caracas</v>
      </c>
      <c r="C145" s="45" t="str">
        <f>IFERROR(__xludf.DUMMYFUNCTION("""COMPUTED_VALUE"""),"FUENTES GILBERT")</f>
        <v>FUENTES GILBERT</v>
      </c>
      <c r="D145" s="44" t="str">
        <f>IFERROR(__xludf.DUMMYFUNCTION("""COMPUTED_VALUE""")," ")</f>
        <v> </v>
      </c>
      <c r="E145" s="44" t="str">
        <f>IFERROR(__xludf.DUMMYFUNCTION("""COMPUTED_VALUE"""),"13483204")</f>
        <v>13483204</v>
      </c>
      <c r="F145" s="44" t="str">
        <f>IFERROR(__xludf.DUMMYFUNCTION("""COMPUTED_VALUE""")," ")</f>
        <v> </v>
      </c>
      <c r="G145" s="44" t="str">
        <f>IFERROR(__xludf.DUMMYFUNCTION("""COMPUTED_VALUE"""),"")</f>
        <v/>
      </c>
      <c r="H145" s="44" t="str">
        <f>IFERROR(__xludf.DUMMYFUNCTION("""COMPUTED_VALUE""")," ")</f>
        <v> </v>
      </c>
      <c r="I145" s="44" t="str">
        <f>IFERROR(__xludf.DUMMYFUNCTION("""COMPUTED_VALUE""")," ")</f>
        <v> </v>
      </c>
      <c r="J145" s="44" t="str">
        <f>IFERROR(__xludf.DUMMYFUNCTION("""COMPUTED_VALUE"""),"")</f>
        <v/>
      </c>
      <c r="K145" s="42" t="str">
        <f>IFERROR(__xludf.DUMMYFUNCTION("""COMPUTED_VALUE"""),"Hospital Vargas de Caracas")</f>
        <v>Hospital Vargas de Caracas</v>
      </c>
    </row>
    <row r="146">
      <c r="A146" s="44">
        <v>145.0</v>
      </c>
      <c r="B146" s="44" t="str">
        <f>IFERROR(__xludf.DUMMYFUNCTION("""COMPUTED_VALUE"""),"Periférico de Catia")</f>
        <v>Periférico de Catia</v>
      </c>
      <c r="C146" s="45" t="str">
        <f>IFERROR(__xludf.DUMMYFUNCTION("""COMPUTED_VALUE"""),"JOSE ALARCON")</f>
        <v>JOSE ALARCON</v>
      </c>
      <c r="D146" s="44">
        <f>IFERROR(__xludf.DUMMYFUNCTION("""COMPUTED_VALUE"""),47.0)</f>
        <v>47</v>
      </c>
      <c r="E146" s="44" t="str">
        <f>IFERROR(__xludf.DUMMYFUNCTION("""COMPUTED_VALUE"""),"135153640")</f>
        <v>135153640</v>
      </c>
      <c r="F146" s="44" t="str">
        <f>IFERROR(__xludf.DUMMYFUNCTION("""COMPUTED_VALUE"""),"")</f>
        <v/>
      </c>
      <c r="G146" s="44" t="str">
        <f>IFERROR(__xludf.DUMMYFUNCTION("""COMPUTED_VALUE""")," ")</f>
        <v> </v>
      </c>
      <c r="H146" s="44" t="str">
        <f>IFERROR(__xludf.DUMMYFUNCTION("""COMPUTED_VALUE"""),"Ciudad Caribe")</f>
        <v>Ciudad Caribe</v>
      </c>
      <c r="I146" s="44" t="str">
        <f>IFERROR(__xludf.DUMMYFUNCTION("""COMPUTED_VALUE"""),"Sin información")</f>
        <v>Sin información</v>
      </c>
      <c r="J146" s="44" t="str">
        <f>IFERROR(__xludf.DUMMYFUNCTION("""COMPUTED_VALUE"""),"")</f>
        <v/>
      </c>
      <c r="K146" s="42" t="str">
        <f>IFERROR(__xludf.DUMMYFUNCTION("""COMPUTED_VALUE"""),"Periférico de Catia")</f>
        <v>Periférico de Catia</v>
      </c>
    </row>
    <row r="147">
      <c r="A147" s="44">
        <v>146.0</v>
      </c>
      <c r="B147" s="44" t="str">
        <f>IFERROR(__xludf.DUMMYFUNCTION("""COMPUTED_VALUE"""),"Seguro Social La Guaira")</f>
        <v>Seguro Social La Guaira</v>
      </c>
      <c r="C147" s="45" t="str">
        <f>IFERROR(__xludf.DUMMYFUNCTION("""COMPUTED_VALUE"""),"DUGLE MENA")</f>
        <v>DUGLE MENA</v>
      </c>
      <c r="D147" s="44">
        <f>IFERROR(__xludf.DUMMYFUNCTION("""COMPUTED_VALUE"""),47.0)</f>
        <v>47</v>
      </c>
      <c r="E147" s="44" t="str">
        <f>IFERROR(__xludf.DUMMYFUNCTION("""COMPUTED_VALUE"""),"135267960")</f>
        <v>135267960</v>
      </c>
      <c r="F147" s="44" t="str">
        <f>IFERROR(__xludf.DUMMYFUNCTION("""COMPUTED_VALUE"""),"")</f>
        <v/>
      </c>
      <c r="G147" s="44" t="str">
        <f>IFERROR(__xludf.DUMMYFUNCTION("""COMPUTED_VALUE""")," ")</f>
        <v> </v>
      </c>
      <c r="H147" s="44" t="str">
        <f>IFERROR(__xludf.DUMMYFUNCTION("""COMPUTED_VALUE"""),"Caribe OPP2")</f>
        <v>Caribe OPP2</v>
      </c>
      <c r="I147" s="44" t="str">
        <f>IFERROR(__xludf.DUMMYFUNCTION("""COMPUTED_VALUE""")," ")</f>
        <v> </v>
      </c>
      <c r="J147" s="44" t="str">
        <f>IFERROR(__xludf.DUMMYFUNCTION("""COMPUTED_VALUE"""),"")</f>
        <v/>
      </c>
      <c r="K147" s="42" t="str">
        <f>IFERROR(__xludf.DUMMYFUNCTION("""COMPUTED_VALUE"""),"Seguro Social La Guaira")</f>
        <v>Seguro Social La Guaira</v>
      </c>
    </row>
    <row r="148">
      <c r="A148" s="44">
        <v>147.0</v>
      </c>
      <c r="B148" s="44" t="str">
        <f>IFERROR(__xludf.DUMMYFUNCTION("""COMPUTED_VALUE"""),"Periférico de Catia")</f>
        <v>Periférico de Catia</v>
      </c>
      <c r="C148" s="45" t="str">
        <f>IFERROR(__xludf.DUMMYFUNCTION("""COMPUTED_VALUE"""),"LEMUS DILCIA")</f>
        <v>LEMUS DILCIA</v>
      </c>
      <c r="D148" s="44">
        <f>IFERROR(__xludf.DUMMYFUNCTION("""COMPUTED_VALUE"""),54.0)</f>
        <v>54</v>
      </c>
      <c r="E148" s="44" t="str">
        <f>IFERROR(__xludf.DUMMYFUNCTION("""COMPUTED_VALUE"""),"13531664")</f>
        <v>13531664</v>
      </c>
      <c r="F148" s="44" t="str">
        <f>IFERROR(__xludf.DUMMYFUNCTION("""COMPUTED_VALUE"""),"")</f>
        <v/>
      </c>
      <c r="G148" s="44" t="str">
        <f>IFERROR(__xludf.DUMMYFUNCTION("""COMPUTED_VALUE""")," ")</f>
        <v> </v>
      </c>
      <c r="H148" s="44" t="str">
        <f>IFERROR(__xludf.DUMMYFUNCTION("""COMPUTED_VALUE""")," ")</f>
        <v> </v>
      </c>
      <c r="I148" s="44" t="str">
        <f>IFERROR(__xludf.DUMMYFUNCTION("""COMPUTED_VALUE"""),"Cirugía General")</f>
        <v>Cirugía General</v>
      </c>
      <c r="J148" s="44" t="str">
        <f>IFERROR(__xludf.DUMMYFUNCTION("""COMPUTED_VALUE"""),"")</f>
        <v/>
      </c>
      <c r="K148" s="42" t="str">
        <f>IFERROR(__xludf.DUMMYFUNCTION("""COMPUTED_VALUE"""),"Periférico de Catia")</f>
        <v>Periférico de Catia</v>
      </c>
    </row>
    <row r="149">
      <c r="A149" s="44">
        <v>148.0</v>
      </c>
      <c r="B149" s="44" t="str">
        <f>IFERROR(__xludf.DUMMYFUNCTION("""COMPUTED_VALUE"""),"Periférico de Catia")</f>
        <v>Periférico de Catia</v>
      </c>
      <c r="C149" s="45" t="str">
        <f>IFERROR(__xludf.DUMMYFUNCTION("""COMPUTED_VALUE"""),"LEMUS DILCIA")</f>
        <v>LEMUS DILCIA</v>
      </c>
      <c r="D149" s="44">
        <f>IFERROR(__xludf.DUMMYFUNCTION("""COMPUTED_VALUE"""),54.0)</f>
        <v>54</v>
      </c>
      <c r="E149" s="44" t="str">
        <f>IFERROR(__xludf.DUMMYFUNCTION("""COMPUTED_VALUE"""),"135316640")</f>
        <v>135316640</v>
      </c>
      <c r="F149" s="44" t="str">
        <f>IFERROR(__xludf.DUMMYFUNCTION("""COMPUTED_VALUE"""),"")</f>
        <v/>
      </c>
      <c r="G149" s="44" t="str">
        <f>IFERROR(__xludf.DUMMYFUNCTION("""COMPUTED_VALUE""")," ")</f>
        <v> </v>
      </c>
      <c r="H149" s="44" t="str">
        <f>IFERROR(__xludf.DUMMYFUNCTION("""COMPUTED_VALUE"""),"Sin información")</f>
        <v>Sin información</v>
      </c>
      <c r="I149" s="44" t="str">
        <f>IFERROR(__xludf.DUMMYFUNCTION("""COMPUTED_VALUE"""),"Cirugía General")</f>
        <v>Cirugía General</v>
      </c>
      <c r="J149" s="44" t="str">
        <f>IFERROR(__xludf.DUMMYFUNCTION("""COMPUTED_VALUE"""),"")</f>
        <v/>
      </c>
      <c r="K149" s="42" t="str">
        <f>IFERROR(__xludf.DUMMYFUNCTION("""COMPUTED_VALUE"""),"Periférico de Catia")</f>
        <v>Periférico de Catia</v>
      </c>
    </row>
    <row r="150">
      <c r="A150" s="44">
        <v>149.0</v>
      </c>
      <c r="B150" s="44" t="str">
        <f>IFERROR(__xludf.DUMMYFUNCTION("""COMPUTED_VALUE"""),"Periférico de Catia")</f>
        <v>Periférico de Catia</v>
      </c>
      <c r="C150" s="45" t="str">
        <f>IFERROR(__xludf.DUMMYFUNCTION("""COMPUTED_VALUE"""),"BEREZA CELAMERIC")</f>
        <v>BEREZA CELAMERIC</v>
      </c>
      <c r="D150" s="44">
        <f>IFERROR(__xludf.DUMMYFUNCTION("""COMPUTED_VALUE"""),49.0)</f>
        <v>49</v>
      </c>
      <c r="E150" s="44" t="str">
        <f>IFERROR(__xludf.DUMMYFUNCTION("""COMPUTED_VALUE"""),"135716360")</f>
        <v>135716360</v>
      </c>
      <c r="F150" s="44" t="str">
        <f>IFERROR(__xludf.DUMMYFUNCTION("""COMPUTED_VALUE"""),"")</f>
        <v/>
      </c>
      <c r="G150" s="44" t="str">
        <f>IFERROR(__xludf.DUMMYFUNCTION("""COMPUTED_VALUE""")," ")</f>
        <v> </v>
      </c>
      <c r="H150" s="44" t="str">
        <f>IFERROR(__xludf.DUMMYFUNCTION("""COMPUTED_VALUE"""),"La Guaira")</f>
        <v>La Guaira</v>
      </c>
      <c r="I150" s="44" t="str">
        <f>IFERROR(__xludf.DUMMYFUNCTION("""COMPUTED_VALUE"""),"Sin información")</f>
        <v>Sin información</v>
      </c>
      <c r="J150" s="44" t="str">
        <f>IFERROR(__xludf.DUMMYFUNCTION("""COMPUTED_VALUE"""),"")</f>
        <v/>
      </c>
      <c r="K150" s="42" t="str">
        <f>IFERROR(__xludf.DUMMYFUNCTION("""COMPUTED_VALUE"""),"Periférico de Catia")</f>
        <v>Periférico de Catia</v>
      </c>
    </row>
    <row r="151">
      <c r="A151" s="44">
        <v>150.0</v>
      </c>
      <c r="B151" s="44" t="str">
        <f>IFERROR(__xludf.DUMMYFUNCTION("""COMPUTED_VALUE"""),"Hospital Pérez Carreño")</f>
        <v>Hospital Pérez Carreño</v>
      </c>
      <c r="C151" s="45" t="str">
        <f>IFERROR(__xludf.DUMMYFUNCTION("""COMPUTED_VALUE"""),"VALERO FLEICI")</f>
        <v>VALERO FLEICI</v>
      </c>
      <c r="D151" s="44" t="str">
        <f>IFERROR(__xludf.DUMMYFUNCTION("""COMPUTED_VALUE""")," ")</f>
        <v> </v>
      </c>
      <c r="E151" s="44" t="str">
        <f>IFERROR(__xludf.DUMMYFUNCTION("""COMPUTED_VALUE"""),"13574764")</f>
        <v>13574764</v>
      </c>
      <c r="F151" s="44" t="str">
        <f>IFERROR(__xludf.DUMMYFUNCTION("""COMPUTED_VALUE"""),"")</f>
        <v/>
      </c>
      <c r="G151" s="44" t="str">
        <f>IFERROR(__xludf.DUMMYFUNCTION("""COMPUTED_VALUE""")," ")</f>
        <v> </v>
      </c>
      <c r="H151" s="44" t="str">
        <f>IFERROR(__xludf.DUMMYFUNCTION("""COMPUTED_VALUE""")," ")</f>
        <v> </v>
      </c>
      <c r="I151" s="44" t="str">
        <f>IFERROR(__xludf.DUMMYFUNCTION("""COMPUTED_VALUE""")," ")</f>
        <v> </v>
      </c>
      <c r="J151" s="44" t="str">
        <f>IFERROR(__xludf.DUMMYFUNCTION("""COMPUTED_VALUE"""),"25/06/2026")</f>
        <v>25/06/2026</v>
      </c>
      <c r="K151" s="42" t="str">
        <f>IFERROR(__xludf.DUMMYFUNCTION("""COMPUTED_VALUE"""),"Hospital Pérez Carreño")</f>
        <v>Hospital Pérez Carreño</v>
      </c>
    </row>
    <row r="152">
      <c r="A152" s="44">
        <v>151.0</v>
      </c>
      <c r="B152" s="44" t="str">
        <f>IFERROR(__xludf.DUMMYFUNCTION("""COMPUTED_VALUE"""),"Hospital Pérez Carreño")</f>
        <v>Hospital Pérez Carreño</v>
      </c>
      <c r="C152" s="45" t="str">
        <f>IFERROR(__xludf.DUMMYFUNCTION("""COMPUTED_VALUE"""),"FLEICI VALERO")</f>
        <v>FLEICI VALERO</v>
      </c>
      <c r="D152" s="44" t="str">
        <f>IFERROR(__xludf.DUMMYFUNCTION("""COMPUTED_VALUE"""),"Sin información")</f>
        <v>Sin información</v>
      </c>
      <c r="E152" s="44" t="str">
        <f>IFERROR(__xludf.DUMMYFUNCTION("""COMPUTED_VALUE"""),"135747640")</f>
        <v>135747640</v>
      </c>
      <c r="F152" s="44" t="str">
        <f>IFERROR(__xludf.DUMMYFUNCTION("""COMPUTED_VALUE"""),"")</f>
        <v/>
      </c>
      <c r="G152" s="44" t="str">
        <f>IFERROR(__xludf.DUMMYFUNCTION("""COMPUTED_VALUE""")," ")</f>
        <v> </v>
      </c>
      <c r="H152" s="44" t="str">
        <f>IFERROR(__xludf.DUMMYFUNCTION("""COMPUTED_VALUE"""),"Sin información")</f>
        <v>Sin información</v>
      </c>
      <c r="I152" s="44" t="str">
        <f>IFERROR(__xludf.DUMMYFUNCTION("""COMPUTED_VALUE"""),"Sin información")</f>
        <v>Sin información</v>
      </c>
      <c r="J152" s="44" t="str">
        <f>IFERROR(__xludf.DUMMYFUNCTION("""COMPUTED_VALUE"""),"25/06/2026")</f>
        <v>25/06/2026</v>
      </c>
      <c r="K152" s="42" t="str">
        <f>IFERROR(__xludf.DUMMYFUNCTION("""COMPUTED_VALUE"""),"Hospital Pérez Carreño")</f>
        <v>Hospital Pérez Carreño</v>
      </c>
    </row>
    <row r="153">
      <c r="A153" s="44">
        <v>152.0</v>
      </c>
      <c r="B153" s="44" t="str">
        <f>IFERROR(__xludf.DUMMYFUNCTION("""COMPUTED_VALUE"""),"H. Jose Maria Vargas LG")</f>
        <v>H. Jose Maria Vargas LG</v>
      </c>
      <c r="C153" s="45" t="str">
        <f>IFERROR(__xludf.DUMMYFUNCTION("""COMPUTED_VALUE"""),"BELTRAL OMAR")</f>
        <v>BELTRAL OMAR</v>
      </c>
      <c r="D153" s="44" t="str">
        <f>IFERROR(__xludf.DUMMYFUNCTION("""COMPUTED_VALUE""")," ")</f>
        <v> </v>
      </c>
      <c r="E153" s="44" t="str">
        <f>IFERROR(__xludf.DUMMYFUNCTION("""COMPUTED_VALUE"""),"13582518")</f>
        <v>13582518</v>
      </c>
      <c r="F153" s="44" t="str">
        <f>IFERROR(__xludf.DUMMYFUNCTION("""COMPUTED_VALUE"""),"")</f>
        <v/>
      </c>
      <c r="G153" s="44" t="str">
        <f>IFERROR(__xludf.DUMMYFUNCTION("""COMPUTED_VALUE""")," ")</f>
        <v> </v>
      </c>
      <c r="H153" s="44" t="str">
        <f>IFERROR(__xludf.DUMMYFUNCTION("""COMPUTED_VALUE"""),"La Llanada")</f>
        <v>La Llanada</v>
      </c>
      <c r="I153" s="44" t="str">
        <f>IFERROR(__xludf.DUMMYFUNCTION("""COMPUTED_VALUE""")," ")</f>
        <v> </v>
      </c>
      <c r="J153" s="44" t="str">
        <f>IFERROR(__xludf.DUMMYFUNCTION("""COMPUTED_VALUE"""),"")</f>
        <v/>
      </c>
      <c r="K153" s="42" t="str">
        <f>IFERROR(__xludf.DUMMYFUNCTION("""COMPUTED_VALUE"""),"H. Jose Maria Vargas LG")</f>
        <v>H. Jose Maria Vargas LG</v>
      </c>
    </row>
    <row r="154">
      <c r="A154" s="44">
        <v>153.0</v>
      </c>
      <c r="B154" s="44" t="str">
        <f>IFERROR(__xludf.DUMMYFUNCTION("""COMPUTED_VALUE"""),"Hospital Militar Dr. C. Arvelo")</f>
        <v>Hospital Militar Dr. C. Arvelo</v>
      </c>
      <c r="C154" s="45" t="str">
        <f>IFERROR(__xludf.DUMMYFUNCTION("""COMPUTED_VALUE"""),"Luca González Yamilet")</f>
        <v>Luca González Yamilet</v>
      </c>
      <c r="D154" s="44">
        <f>IFERROR(__xludf.DUMMYFUNCTION("""COMPUTED_VALUE"""),49.0)</f>
        <v>49</v>
      </c>
      <c r="E154" s="44" t="str">
        <f>IFERROR(__xludf.DUMMYFUNCTION("""COMPUTED_VALUE"""),"13610512")</f>
        <v>13610512</v>
      </c>
      <c r="F154" s="44" t="str">
        <f>IFERROR(__xludf.DUMMYFUNCTION("""COMPUTED_VALUE"""),"")</f>
        <v/>
      </c>
      <c r="G154" s="44" t="str">
        <f>IFERROR(__xludf.DUMMYFUNCTION("""COMPUTED_VALUE"""),"")</f>
        <v/>
      </c>
      <c r="H154" s="44" t="str">
        <f>IFERROR(__xludf.DUMMYFUNCTION("""COMPUTED_VALUE"""),"F")</f>
        <v>F</v>
      </c>
      <c r="I154" s="44" t="str">
        <f>IFERROR(__xludf.DUMMYFUNCTION("""COMPUTED_VALUE"""),"Artigas PNA")</f>
        <v>Artigas PNA</v>
      </c>
      <c r="J154" s="44" t="str">
        <f>IFERROR(__xludf.DUMMYFUNCTION("""COMPUTED_VALUE"""),"24/6/2026")</f>
        <v>24/6/2026</v>
      </c>
      <c r="K154" s="42" t="str">
        <f>IFERROR(__xludf.DUMMYFUNCTION("""COMPUTED_VALUE"""),"Hospital Militar Dr. C. Arvelo")</f>
        <v>Hospital Militar Dr. C. Arvelo</v>
      </c>
    </row>
    <row r="155">
      <c r="A155" s="44">
        <v>154.0</v>
      </c>
      <c r="B155" s="44" t="str">
        <f>IFERROR(__xludf.DUMMYFUNCTION("""COMPUTED_VALUE"""),"Hospital Militar Dr. C. Arvelo")</f>
        <v>Hospital Militar Dr. C. Arvelo</v>
      </c>
      <c r="C155" s="45" t="str">
        <f>IFERROR(__xludf.DUMMYFUNCTION("""COMPUTED_VALUE"""),"Hernández Pérez Asdrúbal")</f>
        <v>Hernández Pérez Asdrúbal</v>
      </c>
      <c r="D155" s="44">
        <f>IFERROR(__xludf.DUMMYFUNCTION("""COMPUTED_VALUE"""),48.0)</f>
        <v>48</v>
      </c>
      <c r="E155" s="44" t="str">
        <f>IFERROR(__xludf.DUMMYFUNCTION("""COMPUTED_VALUE"""),"13641724")</f>
        <v>13641724</v>
      </c>
      <c r="F155" s="44" t="str">
        <f>IFERROR(__xludf.DUMMYFUNCTION("""COMPUTED_VALUE"""),"")</f>
        <v/>
      </c>
      <c r="G155" s="44" t="str">
        <f>IFERROR(__xludf.DUMMYFUNCTION("""COMPUTED_VALUE"""),"")</f>
        <v/>
      </c>
      <c r="H155" s="44" t="str">
        <f>IFERROR(__xludf.DUMMYFUNCTION("""COMPUTED_VALUE"""),"M")</f>
        <v>M</v>
      </c>
      <c r="I155" s="44" t="str">
        <f>IFERROR(__xludf.DUMMYFUNCTION("""COMPUTED_VALUE"""),"El Paraíso AFILIADO")</f>
        <v>El Paraíso AFILIADO</v>
      </c>
      <c r="J155" s="44" t="str">
        <f>IFERROR(__xludf.DUMMYFUNCTION("""COMPUTED_VALUE"""),"24/6/2026")</f>
        <v>24/6/2026</v>
      </c>
      <c r="K155" s="42" t="str">
        <f>IFERROR(__xludf.DUMMYFUNCTION("""COMPUTED_VALUE"""),"Hospital Militar Dr. C. Arvelo")</f>
        <v>Hospital Militar Dr. C. Arvelo</v>
      </c>
    </row>
    <row r="156">
      <c r="A156" s="44">
        <v>155.0</v>
      </c>
      <c r="B156" s="44" t="str">
        <f>IFERROR(__xludf.DUMMYFUNCTION("""COMPUTED_VALUE"""),"Hospital Pérez Carreño")</f>
        <v>Hospital Pérez Carreño</v>
      </c>
      <c r="C156" s="45" t="str">
        <f>IFERROR(__xludf.DUMMYFUNCTION("""COMPUTED_VALUE"""),"LOPEZ THAIS")</f>
        <v>LOPEZ THAIS</v>
      </c>
      <c r="D156" s="44" t="str">
        <f>IFERROR(__xludf.DUMMYFUNCTION("""COMPUTED_VALUE""")," ")</f>
        <v> </v>
      </c>
      <c r="E156" s="44" t="str">
        <f>IFERROR(__xludf.DUMMYFUNCTION("""COMPUTED_VALUE"""),"13641870")</f>
        <v>13641870</v>
      </c>
      <c r="F156" s="44" t="str">
        <f>IFERROR(__xludf.DUMMYFUNCTION("""COMPUTED_VALUE"""),"")</f>
        <v/>
      </c>
      <c r="G156" s="44" t="str">
        <f>IFERROR(__xludf.DUMMYFUNCTION("""COMPUTED_VALUE""")," ")</f>
        <v> </v>
      </c>
      <c r="H156" s="44" t="str">
        <f>IFERROR(__xludf.DUMMYFUNCTION("""COMPUTED_VALUE""")," ")</f>
        <v> </v>
      </c>
      <c r="I156" s="44" t="str">
        <f>IFERROR(__xludf.DUMMYFUNCTION("""COMPUTED_VALUE""")," ")</f>
        <v> </v>
      </c>
      <c r="J156" s="44" t="str">
        <f>IFERROR(__xludf.DUMMYFUNCTION("""COMPUTED_VALUE"""),"25/06/2026")</f>
        <v>25/06/2026</v>
      </c>
      <c r="K156" s="42" t="str">
        <f>IFERROR(__xludf.DUMMYFUNCTION("""COMPUTED_VALUE"""),"Hospital Pérez Carreño")</f>
        <v>Hospital Pérez Carreño</v>
      </c>
    </row>
    <row r="157">
      <c r="A157" s="44">
        <v>156.0</v>
      </c>
      <c r="B157" s="44" t="str">
        <f>IFERROR(__xludf.DUMMYFUNCTION("""COMPUTED_VALUE"""),"Hospital Pérez Carreño")</f>
        <v>Hospital Pérez Carreño</v>
      </c>
      <c r="C157" s="45" t="str">
        <f>IFERROR(__xludf.DUMMYFUNCTION("""COMPUTED_VALUE"""),"LOPEZ THAIS")</f>
        <v>LOPEZ THAIS</v>
      </c>
      <c r="D157" s="44" t="str">
        <f>IFERROR(__xludf.DUMMYFUNCTION("""COMPUTED_VALUE""")," ")</f>
        <v> </v>
      </c>
      <c r="E157" s="44" t="str">
        <f>IFERROR(__xludf.DUMMYFUNCTION("""COMPUTED_VALUE"""),"136418700")</f>
        <v>136418700</v>
      </c>
      <c r="F157" s="44" t="str">
        <f>IFERROR(__xludf.DUMMYFUNCTION("""COMPUTED_VALUE"""),"")</f>
        <v/>
      </c>
      <c r="G157" s="44" t="str">
        <f>IFERROR(__xludf.DUMMYFUNCTION("""COMPUTED_VALUE""")," ")</f>
        <v> </v>
      </c>
      <c r="H157" s="44" t="str">
        <f>IFERROR(__xludf.DUMMYFUNCTION("""COMPUTED_VALUE""")," ")</f>
        <v> </v>
      </c>
      <c r="I157" s="44" t="str">
        <f>IFERROR(__xludf.DUMMYFUNCTION("""COMPUTED_VALUE""")," ")</f>
        <v> </v>
      </c>
      <c r="J157" s="44" t="str">
        <f>IFERROR(__xludf.DUMMYFUNCTION("""COMPUTED_VALUE"""),"25/06/2026")</f>
        <v>25/06/2026</v>
      </c>
      <c r="K157" s="42" t="str">
        <f>IFERROR(__xludf.DUMMYFUNCTION("""COMPUTED_VALUE"""),"Hospital Pérez Carreño")</f>
        <v>Hospital Pérez Carreño</v>
      </c>
    </row>
    <row r="158">
      <c r="A158" s="44">
        <v>157.0</v>
      </c>
      <c r="B158" s="44" t="str">
        <f>IFERROR(__xludf.DUMMYFUNCTION("""COMPUTED_VALUE"""),"Seguro Social La Guaira")</f>
        <v>Seguro Social La Guaira</v>
      </c>
      <c r="C158" s="45" t="str">
        <f>IFERROR(__xludf.DUMMYFUNCTION("""COMPUTED_VALUE"""),"GARCIA JESUS")</f>
        <v>GARCIA JESUS</v>
      </c>
      <c r="D158" s="44">
        <f>IFERROR(__xludf.DUMMYFUNCTION("""COMPUTED_VALUE"""),50.0)</f>
        <v>50</v>
      </c>
      <c r="E158" s="44" t="str">
        <f>IFERROR(__xludf.DUMMYFUNCTION("""COMPUTED_VALUE"""),"136444950")</f>
        <v>136444950</v>
      </c>
      <c r="F158" s="44" t="str">
        <f>IFERROR(__xludf.DUMMYFUNCTION("""COMPUTED_VALUE"""),"")</f>
        <v/>
      </c>
      <c r="G158" s="44" t="str">
        <f>IFERROR(__xludf.DUMMYFUNCTION("""COMPUTED_VALUE""")," ")</f>
        <v> </v>
      </c>
      <c r="H158" s="44" t="str">
        <f>IFERROR(__xludf.DUMMYFUNCTION("""COMPUTED_VALUE"""),"Caribe")</f>
        <v>Caribe</v>
      </c>
      <c r="I158" s="44" t="str">
        <f>IFERROR(__xludf.DUMMYFUNCTION("""COMPUTED_VALUE""")," ")</f>
        <v> </v>
      </c>
      <c r="J158" s="44" t="str">
        <f>IFERROR(__xludf.DUMMYFUNCTION("""COMPUTED_VALUE"""),"")</f>
        <v/>
      </c>
      <c r="K158" s="42" t="str">
        <f>IFERROR(__xludf.DUMMYFUNCTION("""COMPUTED_VALUE"""),"Seguro Social La Guaira")</f>
        <v>Seguro Social La Guaira</v>
      </c>
    </row>
    <row r="159">
      <c r="A159" s="44">
        <v>158.0</v>
      </c>
      <c r="B159" s="44" t="str">
        <f>IFERROR(__xludf.DUMMYFUNCTION("""COMPUTED_VALUE"""),"Hospital Vargas de Caracas")</f>
        <v>Hospital Vargas de Caracas</v>
      </c>
      <c r="C159" s="45" t="str">
        <f>IFERROR(__xludf.DUMMYFUNCTION("""COMPUTED_VALUE"""),"FUENTES WILMER")</f>
        <v>FUENTES WILMER</v>
      </c>
      <c r="D159" s="44" t="str">
        <f>IFERROR(__xludf.DUMMYFUNCTION("""COMPUTED_VALUE""")," ")</f>
        <v> </v>
      </c>
      <c r="E159" s="44" t="str">
        <f>IFERROR(__xludf.DUMMYFUNCTION("""COMPUTED_VALUE"""),"13716210")</f>
        <v>13716210</v>
      </c>
      <c r="F159" s="44" t="str">
        <f>IFERROR(__xludf.DUMMYFUNCTION("""COMPUTED_VALUE""")," ")</f>
        <v> </v>
      </c>
      <c r="G159" s="44" t="str">
        <f>IFERROR(__xludf.DUMMYFUNCTION("""COMPUTED_VALUE"""),"")</f>
        <v/>
      </c>
      <c r="H159" s="44" t="str">
        <f>IFERROR(__xludf.DUMMYFUNCTION("""COMPUTED_VALUE""")," ")</f>
        <v> </v>
      </c>
      <c r="I159" s="44" t="str">
        <f>IFERROR(__xludf.DUMMYFUNCTION("""COMPUTED_VALUE""")," ")</f>
        <v> </v>
      </c>
      <c r="J159" s="44" t="str">
        <f>IFERROR(__xludf.DUMMYFUNCTION("""COMPUTED_VALUE"""),"")</f>
        <v/>
      </c>
      <c r="K159" s="42" t="str">
        <f>IFERROR(__xludf.DUMMYFUNCTION("""COMPUTED_VALUE"""),"Hospital Vargas de Caracas")</f>
        <v>Hospital Vargas de Caracas</v>
      </c>
    </row>
    <row r="160">
      <c r="A160" s="44">
        <v>159.0</v>
      </c>
      <c r="B160" s="44" t="str">
        <f>IFERROR(__xludf.DUMMYFUNCTION("""COMPUTED_VALUE"""),"Hospital Pérez Carreño")</f>
        <v>Hospital Pérez Carreño</v>
      </c>
      <c r="C160" s="45" t="str">
        <f>IFERROR(__xludf.DUMMYFUNCTION("""COMPUTED_VALUE"""),"Rosalinda Viera")</f>
        <v>Rosalinda Viera</v>
      </c>
      <c r="D160" s="44"/>
      <c r="E160" s="44" t="str">
        <f>IFERROR(__xludf.DUMMYFUNCTION("""COMPUTED_VALUE"""),"13717087")</f>
        <v>13717087</v>
      </c>
      <c r="F160" s="44" t="str">
        <f>IFERROR(__xludf.DUMMYFUNCTION("""COMPUTED_VALUE"""),"")</f>
        <v/>
      </c>
      <c r="G160" s="44" t="str">
        <f>IFERROR(__xludf.DUMMYFUNCTION("""COMPUTED_VALUE"""),"Listado de nombres")</f>
        <v>Listado de nombres</v>
      </c>
      <c r="H160" s="44" t="str">
        <f>IFERROR(__xludf.DUMMYFUNCTION("""COMPUTED_VALUE"""),"Hospital Miguel Perez Carreño")</f>
        <v>Hospital Miguel Perez Carreño</v>
      </c>
      <c r="I160" s="44"/>
      <c r="J160" s="44" t="str">
        <f>IFERROR(__xludf.DUMMYFUNCTION("""COMPUTED_VALUE"""),"26/6/26")</f>
        <v>26/6/26</v>
      </c>
      <c r="K160" s="42" t="str">
        <f>IFERROR(__xludf.DUMMYFUNCTION("""COMPUTED_VALUE"""),"Hospital Pérez Carreño")</f>
        <v>Hospital Pérez Carreño</v>
      </c>
    </row>
    <row r="161">
      <c r="A161" s="44">
        <v>160.0</v>
      </c>
      <c r="B161" s="44" t="str">
        <f>IFERROR(__xludf.DUMMYFUNCTION("""COMPUTED_VALUE"""),"Hospital Universitario de Carac")</f>
        <v>Hospital Universitario de Carac</v>
      </c>
      <c r="C161" s="45" t="str">
        <f>IFERROR(__xludf.DUMMYFUNCTION("""COMPUTED_VALUE"""),"GUZMAN ANGELICA")</f>
        <v>GUZMAN ANGELICA</v>
      </c>
      <c r="D161" s="44">
        <f>IFERROR(__xludf.DUMMYFUNCTION("""COMPUTED_VALUE"""),48.0)</f>
        <v>48</v>
      </c>
      <c r="E161" s="44" t="str">
        <f>IFERROR(__xludf.DUMMYFUNCTION("""COMPUTED_VALUE"""),"13717596")</f>
        <v>13717596</v>
      </c>
      <c r="F161" s="44" t="str">
        <f>IFERROR(__xludf.DUMMYFUNCTION("""COMPUTED_VALUE"""),"")</f>
        <v/>
      </c>
      <c r="G161" s="44" t="str">
        <f>IFERROR(__xludf.DUMMYFUNCTION("""COMPUTED_VALUE"""),"0424-2668717")</f>
        <v>0424-2668717</v>
      </c>
      <c r="H161" s="44" t="str">
        <f>IFERROR(__xludf.DUMMYFUNCTION("""COMPUTED_VALUE""")," ")</f>
        <v> </v>
      </c>
      <c r="I161" s="44" t="str">
        <f>IFERROR(__xludf.DUMMYFUNCTION("""COMPUTED_VALUE""")," ")</f>
        <v> </v>
      </c>
      <c r="J161" s="44" t="str">
        <f>IFERROR(__xludf.DUMMYFUNCTION("""COMPUTED_VALUE"""),"")</f>
        <v/>
      </c>
      <c r="K161" s="42" t="str">
        <f>IFERROR(__xludf.DUMMYFUNCTION("""COMPUTED_VALUE"""),"Hospital Universitario de Carac")</f>
        <v>Hospital Universitario de Carac</v>
      </c>
    </row>
    <row r="162">
      <c r="A162" s="44">
        <v>161.0</v>
      </c>
      <c r="B162" s="44" t="str">
        <f>IFERROR(__xludf.DUMMYFUNCTION("""COMPUTED_VALUE"""),"H. Jose Maria Vargas LG")</f>
        <v>H. Jose Maria Vargas LG</v>
      </c>
      <c r="C162" s="45" t="str">
        <f>IFERROR(__xludf.DUMMYFUNCTION("""COMPUTED_VALUE"""),"RAMOS FELIX")</f>
        <v>RAMOS FELIX</v>
      </c>
      <c r="D162" s="44" t="str">
        <f>IFERROR(__xludf.DUMMYFUNCTION("""COMPUTED_VALUE""")," ")</f>
        <v> </v>
      </c>
      <c r="E162" s="44" t="str">
        <f>IFERROR(__xludf.DUMMYFUNCTION("""COMPUTED_VALUE"""),"13816060")</f>
        <v>13816060</v>
      </c>
      <c r="F162" s="44" t="str">
        <f>IFERROR(__xludf.DUMMYFUNCTION("""COMPUTED_VALUE"""),"")</f>
        <v/>
      </c>
      <c r="G162" s="44" t="str">
        <f>IFERROR(__xludf.DUMMYFUNCTION("""COMPUTED_VALUE""")," ")</f>
        <v> </v>
      </c>
      <c r="H162" s="44" t="str">
        <f>IFERROR(__xludf.DUMMYFUNCTION("""COMPUTED_VALUE"""),"Corapal")</f>
        <v>Corapal</v>
      </c>
      <c r="I162" s="44" t="str">
        <f>IFERROR(__xludf.DUMMYFUNCTION("""COMPUTED_VALUE""")," ")</f>
        <v> </v>
      </c>
      <c r="J162" s="44" t="str">
        <f>IFERROR(__xludf.DUMMYFUNCTION("""COMPUTED_VALUE"""),"")</f>
        <v/>
      </c>
      <c r="K162" s="42" t="str">
        <f>IFERROR(__xludf.DUMMYFUNCTION("""COMPUTED_VALUE"""),"H. Jose Maria Vargas LG")</f>
        <v>H. Jose Maria Vargas LG</v>
      </c>
    </row>
    <row r="163">
      <c r="A163" s="44">
        <v>162.0</v>
      </c>
      <c r="B163" s="44" t="str">
        <f>IFERROR(__xludf.DUMMYFUNCTION("""COMPUTED_VALUE"""),"Seguro Social La Guaira")</f>
        <v>Seguro Social La Guaira</v>
      </c>
      <c r="C163" s="45" t="str">
        <f>IFERROR(__xludf.DUMMYFUNCTION("""COMPUTED_VALUE"""),"FELIX RAMO")</f>
        <v>FELIX RAMO</v>
      </c>
      <c r="D163" s="44" t="str">
        <f>IFERROR(__xludf.DUMMYFUNCTION("""COMPUTED_VALUE""")," ")</f>
        <v> </v>
      </c>
      <c r="E163" s="44" t="str">
        <f>IFERROR(__xludf.DUMMYFUNCTION("""COMPUTED_VALUE"""),"138260600")</f>
        <v>138260600</v>
      </c>
      <c r="F163" s="44" t="str">
        <f>IFERROR(__xludf.DUMMYFUNCTION("""COMPUTED_VALUE"""),"")</f>
        <v/>
      </c>
      <c r="G163" s="44" t="str">
        <f>IFERROR(__xludf.DUMMYFUNCTION("""COMPUTED_VALUE""")," ")</f>
        <v> </v>
      </c>
      <c r="H163" s="44" t="str">
        <f>IFERROR(__xludf.DUMMYFUNCTION("""COMPUTED_VALUE"""),"Guapo")</f>
        <v>Guapo</v>
      </c>
      <c r="I163" s="44" t="str">
        <f>IFERROR(__xludf.DUMMYFUNCTION("""COMPUTED_VALUE""")," ")</f>
        <v> </v>
      </c>
      <c r="J163" s="44" t="str">
        <f>IFERROR(__xludf.DUMMYFUNCTION("""COMPUTED_VALUE"""),"")</f>
        <v/>
      </c>
      <c r="K163" s="42" t="str">
        <f>IFERROR(__xludf.DUMMYFUNCTION("""COMPUTED_VALUE"""),"Seguro Social La Guaira")</f>
        <v>Seguro Social La Guaira</v>
      </c>
    </row>
    <row r="164">
      <c r="A164" s="44">
        <v>163.0</v>
      </c>
      <c r="B164" s="44" t="str">
        <f>IFERROR(__xludf.DUMMYFUNCTION("""COMPUTED_VALUE"""),"H. Jose Maria Vargas LG")</f>
        <v>H. Jose Maria Vargas LG</v>
      </c>
      <c r="C164" s="45" t="str">
        <f>IFERROR(__xludf.DUMMYFUNCTION("""COMPUTED_VALUE"""),"LIZCANO JENIFER")</f>
        <v>LIZCANO JENIFER</v>
      </c>
      <c r="D164" s="44" t="str">
        <f>IFERROR(__xludf.DUMMYFUNCTION("""COMPUTED_VALUE""")," ")</f>
        <v> </v>
      </c>
      <c r="E164" s="44" t="str">
        <f>IFERROR(__xludf.DUMMYFUNCTION("""COMPUTED_VALUE"""),"13827306")</f>
        <v>13827306</v>
      </c>
      <c r="F164" s="44" t="str">
        <f>IFERROR(__xludf.DUMMYFUNCTION("""COMPUTED_VALUE"""),"")</f>
        <v/>
      </c>
      <c r="G164" s="44" t="str">
        <f>IFERROR(__xludf.DUMMYFUNCTION("""COMPUTED_VALUE""")," ")</f>
        <v> </v>
      </c>
      <c r="H164" s="44" t="str">
        <f>IFERROR(__xludf.DUMMYFUNCTION("""COMPUTED_VALUE"""),"Maiquetia")</f>
        <v>Maiquetia</v>
      </c>
      <c r="I164" s="44" t="str">
        <f>IFERROR(__xludf.DUMMYFUNCTION("""COMPUTED_VALUE""")," ")</f>
        <v> </v>
      </c>
      <c r="J164" s="44" t="str">
        <f>IFERROR(__xludf.DUMMYFUNCTION("""COMPUTED_VALUE"""),"")</f>
        <v/>
      </c>
      <c r="K164" s="42" t="str">
        <f>IFERROR(__xludf.DUMMYFUNCTION("""COMPUTED_VALUE"""),"H. Jose Maria Vargas LG")</f>
        <v>H. Jose Maria Vargas LG</v>
      </c>
    </row>
    <row r="165">
      <c r="A165" s="44">
        <v>164.0</v>
      </c>
      <c r="B165" s="44" t="str">
        <f>IFERROR(__xludf.DUMMYFUNCTION("""COMPUTED_VALUE"""),"Seguro Social La Guaira")</f>
        <v>Seguro Social La Guaira</v>
      </c>
      <c r="C165" s="45" t="str">
        <f>IFERROR(__xludf.DUMMYFUNCTION("""COMPUTED_VALUE"""),"JENIFER LIZCANO")</f>
        <v>JENIFER LIZCANO</v>
      </c>
      <c r="D165" s="44" t="str">
        <f>IFERROR(__xludf.DUMMYFUNCTION("""COMPUTED_VALUE""")," ")</f>
        <v> </v>
      </c>
      <c r="E165" s="44" t="str">
        <f>IFERROR(__xludf.DUMMYFUNCTION("""COMPUTED_VALUE"""),"138275060")</f>
        <v>138275060</v>
      </c>
      <c r="F165" s="44" t="str">
        <f>IFERROR(__xludf.DUMMYFUNCTION("""COMPUTED_VALUE"""),"")</f>
        <v/>
      </c>
      <c r="G165" s="44" t="str">
        <f>IFERROR(__xludf.DUMMYFUNCTION("""COMPUTED_VALUE""")," ")</f>
        <v> </v>
      </c>
      <c r="H165" s="44" t="str">
        <f>IFERROR(__xludf.DUMMYFUNCTION("""COMPUTED_VALUE"""),"Maiquetia")</f>
        <v>Maiquetia</v>
      </c>
      <c r="I165" s="44" t="str">
        <f>IFERROR(__xludf.DUMMYFUNCTION("""COMPUTED_VALUE""")," ")</f>
        <v> </v>
      </c>
      <c r="J165" s="44" t="str">
        <f>IFERROR(__xludf.DUMMYFUNCTION("""COMPUTED_VALUE"""),"")</f>
        <v/>
      </c>
      <c r="K165" s="42" t="str">
        <f>IFERROR(__xludf.DUMMYFUNCTION("""COMPUTED_VALUE"""),"Seguro Social La Guaira")</f>
        <v>Seguro Social La Guaira</v>
      </c>
    </row>
    <row r="166">
      <c r="A166" s="44">
        <v>165.0</v>
      </c>
      <c r="B166" s="44" t="str">
        <f>IFERROR(__xludf.DUMMYFUNCTION("""COMPUTED_VALUE"""),"Periférico de Catia")</f>
        <v>Periférico de Catia</v>
      </c>
      <c r="C166" s="45" t="str">
        <f>IFERROR(__xludf.DUMMYFUNCTION("""COMPUTED_VALUE"""),"JESEL JOHN")</f>
        <v>JESEL JOHN</v>
      </c>
      <c r="D166" s="44">
        <f>IFERROR(__xludf.DUMMYFUNCTION("""COMPUTED_VALUE"""),49.0)</f>
        <v>49</v>
      </c>
      <c r="E166" s="44" t="str">
        <f>IFERROR(__xludf.DUMMYFUNCTION("""COMPUTED_VALUE"""),"13827925")</f>
        <v>13827925</v>
      </c>
      <c r="F166" s="44" t="str">
        <f>IFERROR(__xludf.DUMMYFUNCTION("""COMPUTED_VALUE"""),"")</f>
        <v/>
      </c>
      <c r="G166" s="44" t="str">
        <f>IFERROR(__xludf.DUMMYFUNCTION("""COMPUTED_VALUE""")," ")</f>
        <v> </v>
      </c>
      <c r="H166" s="44" t="str">
        <f>IFERROR(__xludf.DUMMYFUNCTION("""COMPUTED_VALUE""")," ")</f>
        <v> </v>
      </c>
      <c r="I166" s="44" t="str">
        <f>IFERROR(__xludf.DUMMYFUNCTION("""COMPUTED_VALUE"""),"Cirugía/Trauma")</f>
        <v>Cirugía/Trauma</v>
      </c>
      <c r="J166" s="44" t="str">
        <f>IFERROR(__xludf.DUMMYFUNCTION("""COMPUTED_VALUE"""),"")</f>
        <v/>
      </c>
      <c r="K166" s="42" t="str">
        <f>IFERROR(__xludf.DUMMYFUNCTION("""COMPUTED_VALUE"""),"Periférico de Catia")</f>
        <v>Periférico de Catia</v>
      </c>
    </row>
    <row r="167">
      <c r="A167" s="44">
        <v>166.0</v>
      </c>
      <c r="B167" s="44" t="str">
        <f>IFERROR(__xludf.DUMMYFUNCTION("""COMPUTED_VALUE"""),"Periférico de Catia")</f>
        <v>Periférico de Catia</v>
      </c>
      <c r="C167" s="45" t="str">
        <f>IFERROR(__xludf.DUMMYFUNCTION("""COMPUTED_VALUE"""),"JHON GESSEN")</f>
        <v>JHON GESSEN</v>
      </c>
      <c r="D167" s="44">
        <f>IFERROR(__xludf.DUMMYFUNCTION("""COMPUTED_VALUE"""),47.0)</f>
        <v>47</v>
      </c>
      <c r="E167" s="44" t="str">
        <f>IFERROR(__xludf.DUMMYFUNCTION("""COMPUTED_VALUE"""),"138279250")</f>
        <v>138279250</v>
      </c>
      <c r="F167" s="44" t="str">
        <f>IFERROR(__xludf.DUMMYFUNCTION("""COMPUTED_VALUE"""),"")</f>
        <v/>
      </c>
      <c r="G167" s="44" t="str">
        <f>IFERROR(__xludf.DUMMYFUNCTION("""COMPUTED_VALUE""")," ")</f>
        <v> </v>
      </c>
      <c r="H167" s="44" t="str">
        <f>IFERROR(__xludf.DUMMYFUNCTION("""COMPUTED_VALUE"""),"Sin información")</f>
        <v>Sin información</v>
      </c>
      <c r="I167" s="44" t="str">
        <f>IFERROR(__xludf.DUMMYFUNCTION("""COMPUTED_VALUE"""),"Cirugía General")</f>
        <v>Cirugía General</v>
      </c>
      <c r="J167" s="44" t="str">
        <f>IFERROR(__xludf.DUMMYFUNCTION("""COMPUTED_VALUE"""),"")</f>
        <v/>
      </c>
      <c r="K167" s="42" t="str">
        <f>IFERROR(__xludf.DUMMYFUNCTION("""COMPUTED_VALUE"""),"Periférico de Catia")</f>
        <v>Periférico de Catia</v>
      </c>
    </row>
    <row r="168">
      <c r="A168" s="44">
        <v>167.0</v>
      </c>
      <c r="B168" s="44" t="str">
        <f>IFERROR(__xludf.DUMMYFUNCTION("""COMPUTED_VALUE"""),"Periférico de Catia")</f>
        <v>Periférico de Catia</v>
      </c>
      <c r="C168" s="45" t="str">
        <f>IFERROR(__xludf.DUMMYFUNCTION("""COMPUTED_VALUE"""),"GONZALEZ YURMIS")</f>
        <v>GONZALEZ YURMIS</v>
      </c>
      <c r="D168" s="44">
        <f>IFERROR(__xludf.DUMMYFUNCTION("""COMPUTED_VALUE"""),47.0)</f>
        <v>47</v>
      </c>
      <c r="E168" s="44" t="str">
        <f>IFERROR(__xludf.DUMMYFUNCTION("""COMPUTED_VALUE"""),"13828545")</f>
        <v>13828545</v>
      </c>
      <c r="F168" s="44" t="str">
        <f>IFERROR(__xludf.DUMMYFUNCTION("""COMPUTED_VALUE"""),"")</f>
        <v/>
      </c>
      <c r="G168" s="44" t="str">
        <f>IFERROR(__xludf.DUMMYFUNCTION("""COMPUTED_VALUE""")," ")</f>
        <v> </v>
      </c>
      <c r="H168" s="44" t="str">
        <f>IFERROR(__xludf.DUMMYFUNCTION("""COMPUTED_VALUE""")," ")</f>
        <v> </v>
      </c>
      <c r="I168" s="44" t="str">
        <f>IFERROR(__xludf.DUMMYFUNCTION("""COMPUTED_VALUE"""),"Cirugía General")</f>
        <v>Cirugía General</v>
      </c>
      <c r="J168" s="44" t="str">
        <f>IFERROR(__xludf.DUMMYFUNCTION("""COMPUTED_VALUE"""),"")</f>
        <v/>
      </c>
      <c r="K168" s="42" t="str">
        <f>IFERROR(__xludf.DUMMYFUNCTION("""COMPUTED_VALUE"""),"Periférico de Catia")</f>
        <v>Periférico de Catia</v>
      </c>
    </row>
    <row r="169">
      <c r="A169" s="44">
        <v>168.0</v>
      </c>
      <c r="B169" s="44" t="str">
        <f>IFERROR(__xludf.DUMMYFUNCTION("""COMPUTED_VALUE"""),"Periférico de Catia")</f>
        <v>Periférico de Catia</v>
      </c>
      <c r="C169" s="45" t="str">
        <f>IFERROR(__xludf.DUMMYFUNCTION("""COMPUTED_VALUE"""),"YURMIS GONZÁLEZ")</f>
        <v>YURMIS GONZÁLEZ</v>
      </c>
      <c r="D169" s="44">
        <f>IFERROR(__xludf.DUMMYFUNCTION("""COMPUTED_VALUE"""),47.0)</f>
        <v>47</v>
      </c>
      <c r="E169" s="44" t="str">
        <f>IFERROR(__xludf.DUMMYFUNCTION("""COMPUTED_VALUE"""),"138285450")</f>
        <v>138285450</v>
      </c>
      <c r="F169" s="44" t="str">
        <f>IFERROR(__xludf.DUMMYFUNCTION("""COMPUTED_VALUE"""),"")</f>
        <v/>
      </c>
      <c r="G169" s="44" t="str">
        <f>IFERROR(__xludf.DUMMYFUNCTION("""COMPUTED_VALUE""")," ")</f>
        <v> </v>
      </c>
      <c r="H169" s="44" t="str">
        <f>IFERROR(__xludf.DUMMYFUNCTION("""COMPUTED_VALUE"""),"Sin información")</f>
        <v>Sin información</v>
      </c>
      <c r="I169" s="44" t="str">
        <f>IFERROR(__xludf.DUMMYFUNCTION("""COMPUTED_VALUE"""),"Cirugía General")</f>
        <v>Cirugía General</v>
      </c>
      <c r="J169" s="44" t="str">
        <f>IFERROR(__xludf.DUMMYFUNCTION("""COMPUTED_VALUE"""),"")</f>
        <v/>
      </c>
      <c r="K169" s="42" t="str">
        <f>IFERROR(__xludf.DUMMYFUNCTION("""COMPUTED_VALUE"""),"Periférico de Catia")</f>
        <v>Periférico de Catia</v>
      </c>
    </row>
    <row r="170">
      <c r="A170" s="44">
        <v>169.0</v>
      </c>
      <c r="B170" s="44" t="str">
        <f>IFERROR(__xludf.DUMMYFUNCTION("""COMPUTED_VALUE"""),"Hospital Vargas de Caracas")</f>
        <v>Hospital Vargas de Caracas</v>
      </c>
      <c r="C170" s="45" t="str">
        <f>IFERROR(__xludf.DUMMYFUNCTION("""COMPUTED_VALUE"""),"ALVAREZ EVA")</f>
        <v>ALVAREZ EVA</v>
      </c>
      <c r="D170" s="44" t="str">
        <f>IFERROR(__xludf.DUMMYFUNCTION("""COMPUTED_VALUE""")," ")</f>
        <v> </v>
      </c>
      <c r="E170" s="44" t="str">
        <f>IFERROR(__xludf.DUMMYFUNCTION("""COMPUTED_VALUE"""),"13853724")</f>
        <v>13853724</v>
      </c>
      <c r="F170" s="44" t="str">
        <f>IFERROR(__xludf.DUMMYFUNCTION("""COMPUTED_VALUE""")," ")</f>
        <v> </v>
      </c>
      <c r="G170" s="44" t="str">
        <f>IFERROR(__xludf.DUMMYFUNCTION("""COMPUTED_VALUE"""),"")</f>
        <v/>
      </c>
      <c r="H170" s="44" t="str">
        <f>IFERROR(__xludf.DUMMYFUNCTION("""COMPUTED_VALUE""")," ")</f>
        <v> </v>
      </c>
      <c r="I170" s="44" t="str">
        <f>IFERROR(__xludf.DUMMYFUNCTION("""COMPUTED_VALUE""")," ")</f>
        <v> </v>
      </c>
      <c r="J170" s="44" t="str">
        <f>IFERROR(__xludf.DUMMYFUNCTION("""COMPUTED_VALUE"""),"")</f>
        <v/>
      </c>
      <c r="K170" s="42" t="str">
        <f>IFERROR(__xludf.DUMMYFUNCTION("""COMPUTED_VALUE"""),"Hospital Vargas de Caracas")</f>
        <v>Hospital Vargas de Caracas</v>
      </c>
    </row>
    <row r="171">
      <c r="A171" s="44">
        <v>170.0</v>
      </c>
      <c r="B171" s="44" t="str">
        <f>IFERROR(__xludf.DUMMYFUNCTION("""COMPUTED_VALUE"""),"Periférico de Catia")</f>
        <v>Periférico de Catia</v>
      </c>
      <c r="C171" s="45" t="str">
        <f>IFERROR(__xludf.DUMMYFUNCTION("""COMPUTED_VALUE"""),"LOPON MIRIAM")</f>
        <v>LOPON MIRIAM</v>
      </c>
      <c r="D171" s="44">
        <f>IFERROR(__xludf.DUMMYFUNCTION("""COMPUTED_VALUE"""),46.0)</f>
        <v>46</v>
      </c>
      <c r="E171" s="44" t="str">
        <f>IFERROR(__xludf.DUMMYFUNCTION("""COMPUTED_VALUE"""),"13853733")</f>
        <v>13853733</v>
      </c>
      <c r="F171" s="44" t="str">
        <f>IFERROR(__xludf.DUMMYFUNCTION("""COMPUTED_VALUE"""),"")</f>
        <v/>
      </c>
      <c r="G171" s="44" t="str">
        <f>IFERROR(__xludf.DUMMYFUNCTION("""COMPUTED_VALUE""")," ")</f>
        <v> </v>
      </c>
      <c r="H171" s="44" t="str">
        <f>IFERROR(__xludf.DUMMYFUNCTION("""COMPUTED_VALUE""")," ")</f>
        <v> </v>
      </c>
      <c r="I171" s="44" t="str">
        <f>IFERROR(__xludf.DUMMYFUNCTION("""COMPUTED_VALUE"""),"Cirugía/Trauma")</f>
        <v>Cirugía/Trauma</v>
      </c>
      <c r="J171" s="44" t="str">
        <f>IFERROR(__xludf.DUMMYFUNCTION("""COMPUTED_VALUE"""),"")</f>
        <v/>
      </c>
      <c r="K171" s="42" t="str">
        <f>IFERROR(__xludf.DUMMYFUNCTION("""COMPUTED_VALUE"""),"Periférico de Catia")</f>
        <v>Periférico de Catia</v>
      </c>
    </row>
    <row r="172">
      <c r="A172" s="44">
        <v>171.0</v>
      </c>
      <c r="B172" s="44" t="str">
        <f>IFERROR(__xludf.DUMMYFUNCTION("""COMPUTED_VALUE"""),"Periférico de Catia")</f>
        <v>Periférico de Catia</v>
      </c>
      <c r="C172" s="45" t="str">
        <f>IFERROR(__xludf.DUMMYFUNCTION("""COMPUTED_VALUE"""),"MARIAN LÓPEZ")</f>
        <v>MARIAN LÓPEZ</v>
      </c>
      <c r="D172" s="44">
        <f>IFERROR(__xludf.DUMMYFUNCTION("""COMPUTED_VALUE"""),46.0)</f>
        <v>46</v>
      </c>
      <c r="E172" s="44" t="str">
        <f>IFERROR(__xludf.DUMMYFUNCTION("""COMPUTED_VALUE"""),"138537330")</f>
        <v>138537330</v>
      </c>
      <c r="F172" s="44" t="str">
        <f>IFERROR(__xludf.DUMMYFUNCTION("""COMPUTED_VALUE"""),"")</f>
        <v/>
      </c>
      <c r="G172" s="44" t="str">
        <f>IFERROR(__xludf.DUMMYFUNCTION("""COMPUTED_VALUE""")," ")</f>
        <v> </v>
      </c>
      <c r="H172" s="44" t="str">
        <f>IFERROR(__xludf.DUMMYFUNCTION("""COMPUTED_VALUE"""),"Sin información")</f>
        <v>Sin información</v>
      </c>
      <c r="I172" s="44" t="str">
        <f>IFERROR(__xludf.DUMMYFUNCTION("""COMPUTED_VALUE"""),"Cirugía General")</f>
        <v>Cirugía General</v>
      </c>
      <c r="J172" s="44" t="str">
        <f>IFERROR(__xludf.DUMMYFUNCTION("""COMPUTED_VALUE"""),"")</f>
        <v/>
      </c>
      <c r="K172" s="42" t="str">
        <f>IFERROR(__xludf.DUMMYFUNCTION("""COMPUTED_VALUE"""),"Periférico de Catia")</f>
        <v>Periférico de Catia</v>
      </c>
    </row>
    <row r="173">
      <c r="A173" s="44">
        <v>172.0</v>
      </c>
      <c r="B173" s="44" t="str">
        <f>IFERROR(__xludf.DUMMYFUNCTION("""COMPUTED_VALUE"""),"Hospital Pérez Carreño")</f>
        <v>Hospital Pérez Carreño</v>
      </c>
      <c r="C173" s="45" t="str">
        <f>IFERROR(__xludf.DUMMYFUNCTION("""COMPUTED_VALUE"""),"BAPTISTA YERMIN")</f>
        <v>BAPTISTA YERMIN</v>
      </c>
      <c r="D173" s="44" t="str">
        <f>IFERROR(__xludf.DUMMYFUNCTION("""COMPUTED_VALUE""")," ")</f>
        <v> </v>
      </c>
      <c r="E173" s="44" t="str">
        <f>IFERROR(__xludf.DUMMYFUNCTION("""COMPUTED_VALUE"""),"13948173")</f>
        <v>13948173</v>
      </c>
      <c r="F173" s="44" t="str">
        <f>IFERROR(__xludf.DUMMYFUNCTION("""COMPUTED_VALUE"""),"")</f>
        <v/>
      </c>
      <c r="G173" s="44" t="str">
        <f>IFERROR(__xludf.DUMMYFUNCTION("""COMPUTED_VALUE""")," ")</f>
        <v> </v>
      </c>
      <c r="H173" s="44" t="str">
        <f>IFERROR(__xludf.DUMMYFUNCTION("""COMPUTED_VALUE""")," ")</f>
        <v> </v>
      </c>
      <c r="I173" s="44" t="str">
        <f>IFERROR(__xludf.DUMMYFUNCTION("""COMPUTED_VALUE""")," ")</f>
        <v> </v>
      </c>
      <c r="J173" s="44" t="str">
        <f>IFERROR(__xludf.DUMMYFUNCTION("""COMPUTED_VALUE"""),"25/06/2026")</f>
        <v>25/06/2026</v>
      </c>
      <c r="K173" s="42" t="str">
        <f>IFERROR(__xludf.DUMMYFUNCTION("""COMPUTED_VALUE"""),"Hospital Pérez Carreño")</f>
        <v>Hospital Pérez Carreño</v>
      </c>
    </row>
    <row r="174">
      <c r="A174" s="44">
        <v>173.0</v>
      </c>
      <c r="B174" s="44" t="str">
        <f>IFERROR(__xludf.DUMMYFUNCTION("""COMPUTED_VALUE"""),"Hospital Universitario de Carac")</f>
        <v>Hospital Universitario de Carac</v>
      </c>
      <c r="C174" s="45" t="str">
        <f>IFERROR(__xludf.DUMMYFUNCTION("""COMPUTED_VALUE"""),"DIAZ YASMIN")</f>
        <v>DIAZ YASMIN</v>
      </c>
      <c r="D174" s="44">
        <f>IFERROR(__xludf.DUMMYFUNCTION("""COMPUTED_VALUE"""),47.0)</f>
        <v>47</v>
      </c>
      <c r="E174" s="44" t="str">
        <f>IFERROR(__xludf.DUMMYFUNCTION("""COMPUTED_VALUE"""),"13999719")</f>
        <v>13999719</v>
      </c>
      <c r="F174" s="44" t="str">
        <f>IFERROR(__xludf.DUMMYFUNCTION("""COMPUTED_VALUE"""),"")</f>
        <v/>
      </c>
      <c r="G174" s="44" t="str">
        <f>IFERROR(__xludf.DUMMYFUNCTION("""COMPUTED_VALUE""")," ")</f>
        <v> </v>
      </c>
      <c r="H174" s="44" t="str">
        <f>IFERROR(__xludf.DUMMYFUNCTION("""COMPUTED_VALUE""")," ")</f>
        <v> </v>
      </c>
      <c r="I174" s="44" t="str">
        <f>IFERROR(__xludf.DUMMYFUNCTION("""COMPUTED_VALUE"""),"Politraumatismo")</f>
        <v>Politraumatismo</v>
      </c>
      <c r="J174" s="44" t="str">
        <f>IFERROR(__xludf.DUMMYFUNCTION("""COMPUTED_VALUE"""),"")</f>
        <v/>
      </c>
      <c r="K174" s="42" t="str">
        <f>IFERROR(__xludf.DUMMYFUNCTION("""COMPUTED_VALUE"""),"Hospital Universitario de Carac")</f>
        <v>Hospital Universitario de Carac</v>
      </c>
    </row>
    <row r="175">
      <c r="A175" s="44">
        <v>174.0</v>
      </c>
      <c r="B175" s="44" t="str">
        <f>IFERROR(__xludf.DUMMYFUNCTION("""COMPUTED_VALUE"""),"Hospital Vargas de Caracas")</f>
        <v>Hospital Vargas de Caracas</v>
      </c>
      <c r="C175" s="45" t="str">
        <f>IFERROR(__xludf.DUMMYFUNCTION("""COMPUTED_VALUE"""),"ALEXANDER CASTILLO")</f>
        <v>ALEXANDER CASTILLO</v>
      </c>
      <c r="D175" s="44" t="str">
        <f>IFERROR(__xludf.DUMMYFUNCTION("""COMPUTED_VALUE""")," ")</f>
        <v> </v>
      </c>
      <c r="E175" s="44" t="str">
        <f>IFERROR(__xludf.DUMMYFUNCTION("""COMPUTED_VALUE"""),"14007890")</f>
        <v>14007890</v>
      </c>
      <c r="F175" s="44" t="str">
        <f>IFERROR(__xludf.DUMMYFUNCTION("""COMPUTED_VALUE""")," ")</f>
        <v> </v>
      </c>
      <c r="G175" s="44" t="str">
        <f>IFERROR(__xludf.DUMMYFUNCTION("""COMPUTED_VALUE"""),"")</f>
        <v/>
      </c>
      <c r="H175" s="44" t="str">
        <f>IFERROR(__xludf.DUMMYFUNCTION("""COMPUTED_VALUE"""),"Traumatología – consult")</f>
        <v>Traumatología – consult</v>
      </c>
      <c r="I175" s="44" t="str">
        <f>IFERROR(__xludf.DUMMYFUNCTION("""COMPUTED_VALUE""")," ")</f>
        <v> </v>
      </c>
      <c r="J175" s="44" t="str">
        <f>IFERROR(__xludf.DUMMYFUNCTION("""COMPUTED_VALUE"""),"")</f>
        <v/>
      </c>
      <c r="K175" s="42" t="str">
        <f>IFERROR(__xludf.DUMMYFUNCTION("""COMPUTED_VALUE"""),"Hospital Vargas de Caracas")</f>
        <v>Hospital Vargas de Caracas</v>
      </c>
    </row>
    <row r="176">
      <c r="A176" s="44">
        <v>175.0</v>
      </c>
      <c r="B176" s="44" t="str">
        <f>IFERROR(__xludf.DUMMYFUNCTION("""COMPUTED_VALUE"""),"Hospital Universitario de Carac")</f>
        <v>Hospital Universitario de Carac</v>
      </c>
      <c r="C176" s="45" t="str">
        <f>IFERROR(__xludf.DUMMYFUNCTION("""COMPUTED_VALUE"""),"TEJERA MAITE")</f>
        <v>TEJERA MAITE</v>
      </c>
      <c r="D176" s="44">
        <f>IFERROR(__xludf.DUMMYFUNCTION("""COMPUTED_VALUE"""),46.0)</f>
        <v>46</v>
      </c>
      <c r="E176" s="44" t="str">
        <f>IFERROR(__xludf.DUMMYFUNCTION("""COMPUTED_VALUE"""),"14073961")</f>
        <v>14073961</v>
      </c>
      <c r="F176" s="44" t="str">
        <f>IFERROR(__xludf.DUMMYFUNCTION("""COMPUTED_VALUE"""),"")</f>
        <v/>
      </c>
      <c r="G176" s="44" t="str">
        <f>IFERROR(__xludf.DUMMYFUNCTION("""COMPUTED_VALUE""")," ")</f>
        <v> </v>
      </c>
      <c r="H176" s="44" t="str">
        <f>IFERROR(__xludf.DUMMYFUNCTION("""COMPUTED_VALUE""")," ")</f>
        <v> </v>
      </c>
      <c r="I176" s="44" t="str">
        <f>IFERROR(__xludf.DUMMYFUNCTION("""COMPUTED_VALUE"""),"Politraumatismo; Fx patela izquierda y maléolo")</f>
        <v>Politraumatismo; Fx patela izquierda y maléolo</v>
      </c>
      <c r="J176" s="44" t="str">
        <f>IFERROR(__xludf.DUMMYFUNCTION("""COMPUTED_VALUE"""),"")</f>
        <v/>
      </c>
      <c r="K176" s="42" t="str">
        <f>IFERROR(__xludf.DUMMYFUNCTION("""COMPUTED_VALUE"""),"Hospital Universitario de Carac")</f>
        <v>Hospital Universitario de Carac</v>
      </c>
    </row>
    <row r="177">
      <c r="A177" s="44">
        <v>176.0</v>
      </c>
      <c r="B177" s="44" t="str">
        <f>IFERROR(__xludf.DUMMYFUNCTION("""COMPUTED_VALUE"""),"Hospital Pérez Carreño")</f>
        <v>Hospital Pérez Carreño</v>
      </c>
      <c r="C177" s="45" t="str">
        <f>IFERROR(__xludf.DUMMYFUNCTION("""COMPUTED_VALUE"""),"CEDENO MARYURI")</f>
        <v>CEDENO MARYURI</v>
      </c>
      <c r="D177" s="44" t="str">
        <f>IFERROR(__xludf.DUMMYFUNCTION("""COMPUTED_VALUE""")," ")</f>
        <v> </v>
      </c>
      <c r="E177" s="44" t="str">
        <f>IFERROR(__xludf.DUMMYFUNCTION("""COMPUTED_VALUE"""),"14194021")</f>
        <v>14194021</v>
      </c>
      <c r="F177" s="44" t="str">
        <f>IFERROR(__xludf.DUMMYFUNCTION("""COMPUTED_VALUE"""),"")</f>
        <v/>
      </c>
      <c r="G177" s="44" t="str">
        <f>IFERROR(__xludf.DUMMYFUNCTION("""COMPUTED_VALUE""")," ")</f>
        <v> </v>
      </c>
      <c r="H177" s="44" t="str">
        <f>IFERROR(__xludf.DUMMYFUNCTION("""COMPUTED_VALUE""")," ")</f>
        <v> </v>
      </c>
      <c r="I177" s="44" t="str">
        <f>IFERROR(__xludf.DUMMYFUNCTION("""COMPUTED_VALUE""")," ")</f>
        <v> </v>
      </c>
      <c r="J177" s="44" t="str">
        <f>IFERROR(__xludf.DUMMYFUNCTION("""COMPUTED_VALUE"""),"25/06/2026")</f>
        <v>25/06/2026</v>
      </c>
      <c r="K177" s="42" t="str">
        <f>IFERROR(__xludf.DUMMYFUNCTION("""COMPUTED_VALUE"""),"Hospital Pérez Carreño")</f>
        <v>Hospital Pérez Carreño</v>
      </c>
    </row>
    <row r="178">
      <c r="A178" s="44">
        <v>177.0</v>
      </c>
      <c r="B178" s="44" t="str">
        <f>IFERROR(__xludf.DUMMYFUNCTION("""COMPUTED_VALUE"""),"Hospital Pérez Carreño")</f>
        <v>Hospital Pérez Carreño</v>
      </c>
      <c r="C178" s="45" t="str">
        <f>IFERROR(__xludf.DUMMYFUNCTION("""COMPUTED_VALUE"""),"MARYURI SEDEÑO")</f>
        <v>MARYURI SEDEÑO</v>
      </c>
      <c r="D178" s="44" t="str">
        <f>IFERROR(__xludf.DUMMYFUNCTION("""COMPUTED_VALUE""")," ")</f>
        <v> </v>
      </c>
      <c r="E178" s="44" t="str">
        <f>IFERROR(__xludf.DUMMYFUNCTION("""COMPUTED_VALUE"""),"141940210")</f>
        <v>141940210</v>
      </c>
      <c r="F178" s="44" t="str">
        <f>IFERROR(__xludf.DUMMYFUNCTION("""COMPUTED_VALUE"""),"")</f>
        <v/>
      </c>
      <c r="G178" s="44" t="str">
        <f>IFERROR(__xludf.DUMMYFUNCTION("""COMPUTED_VALUE""")," ")</f>
        <v> </v>
      </c>
      <c r="H178" s="44" t="str">
        <f>IFERROR(__xludf.DUMMYFUNCTION("""COMPUTED_VALUE""")," ")</f>
        <v> </v>
      </c>
      <c r="I178" s="44" t="str">
        <f>IFERROR(__xludf.DUMMYFUNCTION("""COMPUTED_VALUE""")," ")</f>
        <v> </v>
      </c>
      <c r="J178" s="44" t="str">
        <f>IFERROR(__xludf.DUMMYFUNCTION("""COMPUTED_VALUE"""),"25/06/2026")</f>
        <v>25/06/2026</v>
      </c>
      <c r="K178" s="42" t="str">
        <f>IFERROR(__xludf.DUMMYFUNCTION("""COMPUTED_VALUE"""),"Hospital Pérez Carreño")</f>
        <v>Hospital Pérez Carreño</v>
      </c>
    </row>
    <row r="179">
      <c r="A179" s="44">
        <v>178.0</v>
      </c>
      <c r="B179" s="44" t="str">
        <f>IFERROR(__xludf.DUMMYFUNCTION("""COMPUTED_VALUE"""),"Hospital Universitario de Carac")</f>
        <v>Hospital Universitario de Carac</v>
      </c>
      <c r="C179" s="45" t="str">
        <f>IFERROR(__xludf.DUMMYFUNCTION("""COMPUTED_VALUE"""),"Maria Henrique")</f>
        <v>Maria Henrique</v>
      </c>
      <c r="D179" s="44">
        <f>IFERROR(__xludf.DUMMYFUNCTION("""COMPUTED_VALUE"""),46.0)</f>
        <v>46</v>
      </c>
      <c r="E179" s="44" t="str">
        <f>IFERROR(__xludf.DUMMYFUNCTION("""COMPUTED_VALUE"""),"14213277")</f>
        <v>14213277</v>
      </c>
      <c r="F179" s="44" t="str">
        <f>IFERROR(__xludf.DUMMYFUNCTION("""COMPUTED_VALUE"""),"")</f>
        <v/>
      </c>
      <c r="G179" s="44"/>
      <c r="H179" s="44" t="str">
        <f>IFERROR(__xludf.DUMMYFUNCTION("""COMPUTED_VALUE"""),"La Guaira")</f>
        <v>La Guaira</v>
      </c>
      <c r="I179" s="44" t="str">
        <f>IFERROR(__xludf.DUMMYFUNCTION("""COMPUTED_VALUE"""),"Politraumatismo")</f>
        <v>Politraumatismo</v>
      </c>
      <c r="J179" s="44" t="str">
        <f>IFERROR(__xludf.DUMMYFUNCTION("""COMPUTED_VALUE"""),"")</f>
        <v/>
      </c>
      <c r="K179" s="42" t="str">
        <f>IFERROR(__xludf.DUMMYFUNCTION("""COMPUTED_VALUE"""),"Hospital Universitario de Carac")</f>
        <v>Hospital Universitario de Carac</v>
      </c>
    </row>
    <row r="180">
      <c r="A180" s="44">
        <v>179.0</v>
      </c>
      <c r="B180" s="44" t="str">
        <f>IFERROR(__xludf.DUMMYFUNCTION("""COMPUTED_VALUE"""),"Hospital Militar Dr. C. Arvelo")</f>
        <v>Hospital Militar Dr. C. Arvelo</v>
      </c>
      <c r="C180" s="45" t="str">
        <f>IFERROR(__xludf.DUMMYFUNCTION("""COMPUTED_VALUE"""),"García Rosmery")</f>
        <v>García Rosmery</v>
      </c>
      <c r="D180" s="44">
        <f>IFERROR(__xludf.DUMMYFUNCTION("""COMPUTED_VALUE"""),52.0)</f>
        <v>52</v>
      </c>
      <c r="E180" s="44" t="str">
        <f>IFERROR(__xludf.DUMMYFUNCTION("""COMPUTED_VALUE"""),"14216454")</f>
        <v>14216454</v>
      </c>
      <c r="F180" s="44" t="str">
        <f>IFERROR(__xludf.DUMMYFUNCTION("""COMPUTED_VALUE"""),"")</f>
        <v/>
      </c>
      <c r="G180" s="44" t="str">
        <f>IFERROR(__xludf.DUMMYFUNCTION("""COMPUTED_VALUE"""),"")</f>
        <v/>
      </c>
      <c r="H180" s="44" t="str">
        <f>IFERROR(__xludf.DUMMYFUNCTION("""COMPUTED_VALUE"""),"F")</f>
        <v>F</v>
      </c>
      <c r="I180" s="44" t="str">
        <f>IFERROR(__xludf.DUMMYFUNCTION("""COMPUTED_VALUE"""),"La Guaira PNA")</f>
        <v>La Guaira PNA</v>
      </c>
      <c r="J180" s="44" t="str">
        <f>IFERROR(__xludf.DUMMYFUNCTION("""COMPUTED_VALUE"""),"24/6/2026")</f>
        <v>24/6/2026</v>
      </c>
      <c r="K180" s="42" t="str">
        <f>IFERROR(__xludf.DUMMYFUNCTION("""COMPUTED_VALUE"""),"Hospital Militar Dr. C. Arvelo")</f>
        <v>Hospital Militar Dr. C. Arvelo</v>
      </c>
    </row>
    <row r="181">
      <c r="A181" s="44">
        <v>180.0</v>
      </c>
      <c r="B181" s="44" t="str">
        <f>IFERROR(__xludf.DUMMYFUNCTION("""COMPUTED_VALUE"""),"Hospital Militar Dr. C. Arvelo")</f>
        <v>Hospital Militar Dr. C. Arvelo</v>
      </c>
      <c r="C181" s="45" t="str">
        <f>IFERROR(__xludf.DUMMYFUNCTION("""COMPUTED_VALUE"""),"Zonis Nalleli")</f>
        <v>Zonis Nalleli</v>
      </c>
      <c r="D181" s="44">
        <f>IFERROR(__xludf.DUMMYFUNCTION("""COMPUTED_VALUE"""),44.0)</f>
        <v>44</v>
      </c>
      <c r="E181" s="44" t="str">
        <f>IFERROR(__xludf.DUMMYFUNCTION("""COMPUTED_VALUE"""),"14289990")</f>
        <v>14289990</v>
      </c>
      <c r="F181" s="44" t="str">
        <f>IFERROR(__xludf.DUMMYFUNCTION("""COMPUTED_VALUE"""),"")</f>
        <v/>
      </c>
      <c r="G181" s="44" t="str">
        <f>IFERROR(__xludf.DUMMYFUNCTION("""COMPUTED_VALUE"""),"")</f>
        <v/>
      </c>
      <c r="H181" s="44" t="str">
        <f>IFERROR(__xludf.DUMMYFUNCTION("""COMPUTED_VALUE"""),"F")</f>
        <v>F</v>
      </c>
      <c r="I181" s="44" t="str">
        <f>IFERROR(__xludf.DUMMYFUNCTION("""COMPUTED_VALUE"""),"San Juan AFILIADO")</f>
        <v>San Juan AFILIADO</v>
      </c>
      <c r="J181" s="44" t="str">
        <f>IFERROR(__xludf.DUMMYFUNCTION("""COMPUTED_VALUE"""),"24/6/2026")</f>
        <v>24/6/2026</v>
      </c>
      <c r="K181" s="42" t="str">
        <f>IFERROR(__xludf.DUMMYFUNCTION("""COMPUTED_VALUE"""),"Hospital Militar Dr. C. Arvelo")</f>
        <v>Hospital Militar Dr. C. Arvelo</v>
      </c>
    </row>
    <row r="182">
      <c r="A182" s="44">
        <v>181.0</v>
      </c>
      <c r="B182" s="44" t="str">
        <f>IFERROR(__xludf.DUMMYFUNCTION("""COMPUTED_VALUE"""),"Hospital Universitario de Carac")</f>
        <v>Hospital Universitario de Carac</v>
      </c>
      <c r="C182" s="45" t="str">
        <f>IFERROR(__xludf.DUMMYFUNCTION("""COMPUTED_VALUE"""),"GARCIA ANGEL")</f>
        <v>GARCIA ANGEL</v>
      </c>
      <c r="D182" s="44">
        <f>IFERROR(__xludf.DUMMYFUNCTION("""COMPUTED_VALUE"""),46.0)</f>
        <v>46</v>
      </c>
      <c r="E182" s="44" t="str">
        <f>IFERROR(__xludf.DUMMYFUNCTION("""COMPUTED_VALUE"""),"14299523")</f>
        <v>14299523</v>
      </c>
      <c r="F182" s="44" t="str">
        <f>IFERROR(__xludf.DUMMYFUNCTION("""COMPUTED_VALUE"""),"")</f>
        <v/>
      </c>
      <c r="G182" s="44" t="str">
        <f>IFERROR(__xludf.DUMMYFUNCTION("""COMPUTED_VALUE""")," ")</f>
        <v> </v>
      </c>
      <c r="H182" s="44" t="str">
        <f>IFERROR(__xludf.DUMMYFUNCTION("""COMPUTED_VALUE""")," ")</f>
        <v> </v>
      </c>
      <c r="I182" s="44" t="str">
        <f>IFERROR(__xludf.DUMMYFUNCTION("""COMPUTED_VALUE"""),"Politraumatismo; Tx ocular")</f>
        <v>Politraumatismo; Tx ocular</v>
      </c>
      <c r="J182" s="44" t="str">
        <f>IFERROR(__xludf.DUMMYFUNCTION("""COMPUTED_VALUE"""),"")</f>
        <v/>
      </c>
      <c r="K182" s="42" t="str">
        <f>IFERROR(__xludf.DUMMYFUNCTION("""COMPUTED_VALUE"""),"Hospital Universitario de Carac")</f>
        <v>Hospital Universitario de Carac</v>
      </c>
    </row>
    <row r="183">
      <c r="A183" s="44">
        <v>182.0</v>
      </c>
      <c r="B183" s="44" t="str">
        <f>IFERROR(__xludf.DUMMYFUNCTION("""COMPUTED_VALUE"""),"Hospital Universitario de Carac")</f>
        <v>Hospital Universitario de Carac</v>
      </c>
      <c r="C183" s="45" t="str">
        <f>IFERROR(__xludf.DUMMYFUNCTION("""COMPUTED_VALUE"""),"RODRIGUEZ MIGUEL")</f>
        <v>RODRIGUEZ MIGUEL</v>
      </c>
      <c r="D183" s="44">
        <f>IFERROR(__xludf.DUMMYFUNCTION("""COMPUTED_VALUE"""),88.0)</f>
        <v>88</v>
      </c>
      <c r="E183" s="44" t="str">
        <f>IFERROR(__xludf.DUMMYFUNCTION("""COMPUTED_VALUE"""),"14299716")</f>
        <v>14299716</v>
      </c>
      <c r="F183" s="44" t="str">
        <f>IFERROR(__xludf.DUMMYFUNCTION("""COMPUTED_VALUE"""),"")</f>
        <v/>
      </c>
      <c r="G183" s="44" t="str">
        <f>IFERROR(__xludf.DUMMYFUNCTION("""COMPUTED_VALUE""")," ")</f>
        <v> </v>
      </c>
      <c r="H183" s="44" t="str">
        <f>IFERROR(__xludf.DUMMYFUNCTION("""COMPUTED_VALUE""")," ")</f>
        <v> </v>
      </c>
      <c r="I183" s="44" t="str">
        <f>IFERROR(__xludf.DUMMYFUNCTION("""COMPUTED_VALUE"""),"Politraumatismo; Luxofractura húmero; TCE moderado")</f>
        <v>Politraumatismo; Luxofractura húmero; TCE moderado</v>
      </c>
      <c r="J183" s="44" t="str">
        <f>IFERROR(__xludf.DUMMYFUNCTION("""COMPUTED_VALUE"""),"")</f>
        <v/>
      </c>
      <c r="K183" s="42" t="str">
        <f>IFERROR(__xludf.DUMMYFUNCTION("""COMPUTED_VALUE"""),"Hospital Universitario de Carac")</f>
        <v>Hospital Universitario de Carac</v>
      </c>
    </row>
    <row r="184">
      <c r="A184" s="44">
        <v>183.0</v>
      </c>
      <c r="B184" s="44" t="str">
        <f>IFERROR(__xludf.DUMMYFUNCTION("""COMPUTED_VALUE"""),"Hospital Ana Francisca Pérez de")</f>
        <v>Hospital Ana Francisca Pérez de</v>
      </c>
      <c r="C184" s="45" t="str">
        <f>IFERROR(__xludf.DUMMYFUNCTION("""COMPUTED_VALUE"""),"SALAMANCA WILFRIED GUERRA")</f>
        <v>SALAMANCA WILFRIED GUERRA</v>
      </c>
      <c r="D184" s="44">
        <f>IFERROR(__xludf.DUMMYFUNCTION("""COMPUTED_VALUE"""),84.0)</f>
        <v>84</v>
      </c>
      <c r="E184" s="44" t="str">
        <f>IFERROR(__xludf.DUMMYFUNCTION("""COMPUTED_VALUE"""),"14309820")</f>
        <v>14309820</v>
      </c>
      <c r="F184" s="44" t="str">
        <f>IFERROR(__xludf.DUMMYFUNCTION("""COMPUTED_VALUE"""),"")</f>
        <v/>
      </c>
      <c r="G184" s="44" t="str">
        <f>IFERROR(__xludf.DUMMYFUNCTION("""COMPUTED_VALUE""")," ")</f>
        <v> </v>
      </c>
      <c r="H184" s="44" t="str">
        <f>IFERROR(__xludf.DUMMYFUNCTION("""COMPUTED_VALUE"""),"La Guaira")</f>
        <v>La Guaira</v>
      </c>
      <c r="I184" s="44" t="str">
        <f>IFERROR(__xludf.DUMMYFUNCTION("""COMPUTED_VALUE""")," ")</f>
        <v> </v>
      </c>
      <c r="J184" s="44" t="str">
        <f>IFERROR(__xludf.DUMMYFUNCTION("""COMPUTED_VALUE"""),"")</f>
        <v/>
      </c>
      <c r="K184" s="42" t="str">
        <f>IFERROR(__xludf.DUMMYFUNCTION("""COMPUTED_VALUE"""),"Hospital Ana Francisca Pérez de")</f>
        <v>Hospital Ana Francisca Pérez de</v>
      </c>
    </row>
    <row r="185">
      <c r="A185" s="44">
        <v>184.0</v>
      </c>
      <c r="B185" s="44" t="str">
        <f>IFERROR(__xludf.DUMMYFUNCTION("""COMPUTED_VALUE"""),"Hospital Pérez Carreño")</f>
        <v>Hospital Pérez Carreño</v>
      </c>
      <c r="C185" s="45" t="str">
        <f>IFERROR(__xludf.DUMMYFUNCTION("""COMPUTED_VALUE"""),"Lourdes Dropeza")</f>
        <v>Lourdes Dropeza</v>
      </c>
      <c r="D185" s="44"/>
      <c r="E185" s="44" t="str">
        <f>IFERROR(__xludf.DUMMYFUNCTION("""COMPUTED_VALUE"""),"14312752")</f>
        <v>14312752</v>
      </c>
      <c r="F185" s="44" t="str">
        <f>IFERROR(__xludf.DUMMYFUNCTION("""COMPUTED_VALUE"""),"")</f>
        <v/>
      </c>
      <c r="G185" s="44" t="str">
        <f>IFERROR(__xludf.DUMMYFUNCTION("""COMPUTED_VALUE"""),"Listado de nombres")</f>
        <v>Listado de nombres</v>
      </c>
      <c r="H185" s="44" t="str">
        <f>IFERROR(__xludf.DUMMYFUNCTION("""COMPUTED_VALUE"""),"Hospital Miguel Perez Carreño")</f>
        <v>Hospital Miguel Perez Carreño</v>
      </c>
      <c r="I185" s="44"/>
      <c r="J185" s="44" t="str">
        <f>IFERROR(__xludf.DUMMYFUNCTION("""COMPUTED_VALUE"""),"26/6/26")</f>
        <v>26/6/26</v>
      </c>
      <c r="K185" s="42" t="str">
        <f>IFERROR(__xludf.DUMMYFUNCTION("""COMPUTED_VALUE"""),"Hospital Pérez Carreño")</f>
        <v>Hospital Pérez Carreño</v>
      </c>
    </row>
    <row r="186">
      <c r="A186" s="44">
        <v>185.0</v>
      </c>
      <c r="B186" s="44" t="str">
        <f>IFERROR(__xludf.DUMMYFUNCTION("""COMPUTED_VALUE"""),"Hospital Pérez Carreño")</f>
        <v>Hospital Pérez Carreño</v>
      </c>
      <c r="C186" s="45" t="str">
        <f>IFERROR(__xludf.DUMMYFUNCTION("""COMPUTED_VALUE"""),"LOURDES OROPEZA")</f>
        <v>LOURDES OROPEZA</v>
      </c>
      <c r="D186" s="44" t="str">
        <f>IFERROR(__xludf.DUMMYFUNCTION("""COMPUTED_VALUE""")," ")</f>
        <v> </v>
      </c>
      <c r="E186" s="44" t="str">
        <f>IFERROR(__xludf.DUMMYFUNCTION("""COMPUTED_VALUE"""),"143127520")</f>
        <v>143127520</v>
      </c>
      <c r="F186" s="44" t="str">
        <f>IFERROR(__xludf.DUMMYFUNCTION("""COMPUTED_VALUE"""),"")</f>
        <v/>
      </c>
      <c r="G186" s="44" t="str">
        <f>IFERROR(__xludf.DUMMYFUNCTION("""COMPUTED_VALUE""")," ")</f>
        <v> </v>
      </c>
      <c r="H186" s="44" t="str">
        <f>IFERROR(__xludf.DUMMYFUNCTION("""COMPUTED_VALUE""")," ")</f>
        <v> </v>
      </c>
      <c r="I186" s="44" t="str">
        <f>IFERROR(__xludf.DUMMYFUNCTION("""COMPUTED_VALUE""")," ")</f>
        <v> </v>
      </c>
      <c r="J186" s="44" t="str">
        <f>IFERROR(__xludf.DUMMYFUNCTION("""COMPUTED_VALUE"""),"25/06/2026")</f>
        <v>25/06/2026</v>
      </c>
      <c r="K186" s="42" t="str">
        <f>IFERROR(__xludf.DUMMYFUNCTION("""COMPUTED_VALUE"""),"Hospital Pérez Carreño")</f>
        <v>Hospital Pérez Carreño</v>
      </c>
    </row>
    <row r="187">
      <c r="A187" s="44">
        <v>186.0</v>
      </c>
      <c r="B187" s="44" t="str">
        <f>IFERROR(__xludf.DUMMYFUNCTION("""COMPUTED_VALUE"""),"Hospital Pérez Carreño")</f>
        <v>Hospital Pérez Carreño</v>
      </c>
      <c r="C187" s="45" t="str">
        <f>IFERROR(__xludf.DUMMYFUNCTION("""COMPUTED_VALUE"""),"OROPEZA LOURDE")</f>
        <v>OROPEZA LOURDE</v>
      </c>
      <c r="D187" s="44" t="str">
        <f>IFERROR(__xludf.DUMMYFUNCTION("""COMPUTED_VALUE""")," ")</f>
        <v> </v>
      </c>
      <c r="E187" s="44" t="str">
        <f>IFERROR(__xludf.DUMMYFUNCTION("""COMPUTED_VALUE"""),"143128520")</f>
        <v>143128520</v>
      </c>
      <c r="F187" s="44" t="str">
        <f>IFERROR(__xludf.DUMMYFUNCTION("""COMPUTED_VALUE"""),"")</f>
        <v/>
      </c>
      <c r="G187" s="44" t="str">
        <f>IFERROR(__xludf.DUMMYFUNCTION("""COMPUTED_VALUE""")," ")</f>
        <v> </v>
      </c>
      <c r="H187" s="44" t="str">
        <f>IFERROR(__xludf.DUMMYFUNCTION("""COMPUTED_VALUE""")," ")</f>
        <v> </v>
      </c>
      <c r="I187" s="44" t="str">
        <f>IFERROR(__xludf.DUMMYFUNCTION("""COMPUTED_VALUE""")," ")</f>
        <v> </v>
      </c>
      <c r="J187" s="44" t="str">
        <f>IFERROR(__xludf.DUMMYFUNCTION("""COMPUTED_VALUE"""),"25/06/2026")</f>
        <v>25/06/2026</v>
      </c>
      <c r="K187" s="42" t="str">
        <f>IFERROR(__xludf.DUMMYFUNCTION("""COMPUTED_VALUE"""),"Hospital Pérez Carreño")</f>
        <v>Hospital Pérez Carreño</v>
      </c>
    </row>
    <row r="188">
      <c r="A188" s="44">
        <v>187.0</v>
      </c>
      <c r="B188" s="44" t="str">
        <f>IFERROR(__xludf.DUMMYFUNCTION("""COMPUTED_VALUE"""),"H. Jose Maria Vargas LG")</f>
        <v>H. Jose Maria Vargas LG</v>
      </c>
      <c r="C188" s="45" t="str">
        <f>IFERROR(__xludf.DUMMYFUNCTION("""COMPUTED_VALUE"""),"EURIETA MARIANA")</f>
        <v>EURIETA MARIANA</v>
      </c>
      <c r="D188" s="44" t="str">
        <f>IFERROR(__xludf.DUMMYFUNCTION("""COMPUTED_VALUE""")," ")</f>
        <v> </v>
      </c>
      <c r="E188" s="44" t="str">
        <f>IFERROR(__xludf.DUMMYFUNCTION("""COMPUTED_VALUE"""),"14314453")</f>
        <v>14314453</v>
      </c>
      <c r="F188" s="44" t="str">
        <f>IFERROR(__xludf.DUMMYFUNCTION("""COMPUTED_VALUE"""),"")</f>
        <v/>
      </c>
      <c r="G188" s="44" t="str">
        <f>IFERROR(__xludf.DUMMYFUNCTION("""COMPUTED_VALUE""")," ")</f>
        <v> </v>
      </c>
      <c r="H188" s="44" t="str">
        <f>IFERROR(__xludf.DUMMYFUNCTION("""COMPUTED_VALUE"""),"Guanape")</f>
        <v>Guanape</v>
      </c>
      <c r="I188" s="44" t="str">
        <f>IFERROR(__xludf.DUMMYFUNCTION("""COMPUTED_VALUE""")," ")</f>
        <v> </v>
      </c>
      <c r="J188" s="44" t="str">
        <f>IFERROR(__xludf.DUMMYFUNCTION("""COMPUTED_VALUE"""),"")</f>
        <v/>
      </c>
      <c r="K188" s="42" t="str">
        <f>IFERROR(__xludf.DUMMYFUNCTION("""COMPUTED_VALUE"""),"H. Jose Maria Vargas LG")</f>
        <v>H. Jose Maria Vargas LG</v>
      </c>
    </row>
    <row r="189">
      <c r="A189" s="44">
        <v>188.0</v>
      </c>
      <c r="B189" s="44" t="str">
        <f>IFERROR(__xludf.DUMMYFUNCTION("""COMPUTED_VALUE"""),"Seguro Social La Guaira")</f>
        <v>Seguro Social La Guaira</v>
      </c>
      <c r="C189" s="45" t="str">
        <f>IFERROR(__xludf.DUMMYFUNCTION("""COMPUTED_VALUE"""),"MAIOVA EURIETA")</f>
        <v>MAIOVA EURIETA</v>
      </c>
      <c r="D189" s="44" t="str">
        <f>IFERROR(__xludf.DUMMYFUNCTION("""COMPUTED_VALUE""")," ")</f>
        <v> </v>
      </c>
      <c r="E189" s="44" t="str">
        <f>IFERROR(__xludf.DUMMYFUNCTION("""COMPUTED_VALUE"""),"143144550")</f>
        <v>143144550</v>
      </c>
      <c r="F189" s="44" t="str">
        <f>IFERROR(__xludf.DUMMYFUNCTION("""COMPUTED_VALUE"""),"")</f>
        <v/>
      </c>
      <c r="G189" s="44" t="str">
        <f>IFERROR(__xludf.DUMMYFUNCTION("""COMPUTED_VALUE""")," ")</f>
        <v> </v>
      </c>
      <c r="H189" s="44" t="str">
        <f>IFERROR(__xludf.DUMMYFUNCTION("""COMPUTED_VALUE"""),"Guanape")</f>
        <v>Guanape</v>
      </c>
      <c r="I189" s="44" t="str">
        <f>IFERROR(__xludf.DUMMYFUNCTION("""COMPUTED_VALUE""")," ")</f>
        <v> </v>
      </c>
      <c r="J189" s="44" t="str">
        <f>IFERROR(__xludf.DUMMYFUNCTION("""COMPUTED_VALUE"""),"")</f>
        <v/>
      </c>
      <c r="K189" s="42" t="str">
        <f>IFERROR(__xludf.DUMMYFUNCTION("""COMPUTED_VALUE"""),"Seguro Social La Guaira")</f>
        <v>Seguro Social La Guaira</v>
      </c>
    </row>
    <row r="190">
      <c r="A190" s="44">
        <v>189.0</v>
      </c>
      <c r="B190" s="44" t="str">
        <f>IFERROR(__xludf.DUMMYFUNCTION("""COMPUTED_VALUE"""),"H. Jose Maria Vargas LG")</f>
        <v>H. Jose Maria Vargas LG</v>
      </c>
      <c r="C190" s="45" t="str">
        <f>IFERROR(__xludf.DUMMYFUNCTION("""COMPUTED_VALUE"""),"MENDEZ CARMEN")</f>
        <v>MENDEZ CARMEN</v>
      </c>
      <c r="D190" s="44">
        <f>IFERROR(__xludf.DUMMYFUNCTION("""COMPUTED_VALUE"""),48.0)</f>
        <v>48</v>
      </c>
      <c r="E190" s="44" t="str">
        <f>IFERROR(__xludf.DUMMYFUNCTION("""COMPUTED_VALUE"""),"14387306")</f>
        <v>14387306</v>
      </c>
      <c r="F190" s="44" t="str">
        <f>IFERROR(__xludf.DUMMYFUNCTION("""COMPUTED_VALUE"""),"")</f>
        <v/>
      </c>
      <c r="G190" s="44" t="str">
        <f>IFERROR(__xludf.DUMMYFUNCTION("""COMPUTED_VALUE""")," ")</f>
        <v> </v>
      </c>
      <c r="H190" s="44" t="str">
        <f>IFERROR(__xludf.DUMMYFUNCTION("""COMPUTED_VALUE"""),"Caribe")</f>
        <v>Caribe</v>
      </c>
      <c r="I190" s="44" t="str">
        <f>IFERROR(__xludf.DUMMYFUNCTION("""COMPUTED_VALUE""")," ")</f>
        <v> </v>
      </c>
      <c r="J190" s="44" t="str">
        <f>IFERROR(__xludf.DUMMYFUNCTION("""COMPUTED_VALUE"""),"")</f>
        <v/>
      </c>
      <c r="K190" s="42" t="str">
        <f>IFERROR(__xludf.DUMMYFUNCTION("""COMPUTED_VALUE"""),"H. Jose Maria Vargas LG")</f>
        <v>H. Jose Maria Vargas LG</v>
      </c>
    </row>
    <row r="191">
      <c r="A191" s="44">
        <v>190.0</v>
      </c>
      <c r="B191" s="44" t="str">
        <f>IFERROR(__xludf.DUMMYFUNCTION("""COMPUTED_VALUE"""),"Hospital Pérez Carreño")</f>
        <v>Hospital Pérez Carreño</v>
      </c>
      <c r="C191" s="45" t="str">
        <f>IFERROR(__xludf.DUMMYFUNCTION("""COMPUTED_VALUE"""),"RODRIGUEZ FREDY")</f>
        <v>RODRIGUEZ FREDY</v>
      </c>
      <c r="D191" s="44" t="str">
        <f>IFERROR(__xludf.DUMMYFUNCTION("""COMPUTED_VALUE""")," ")</f>
        <v> </v>
      </c>
      <c r="E191" s="44" t="str">
        <f>IFERROR(__xludf.DUMMYFUNCTION("""COMPUTED_VALUE"""),"14424783")</f>
        <v>14424783</v>
      </c>
      <c r="F191" s="44" t="str">
        <f>IFERROR(__xludf.DUMMYFUNCTION("""COMPUTED_VALUE"""),"")</f>
        <v/>
      </c>
      <c r="G191" s="44" t="str">
        <f>IFERROR(__xludf.DUMMYFUNCTION("""COMPUTED_VALUE""")," ")</f>
        <v> </v>
      </c>
      <c r="H191" s="44" t="str">
        <f>IFERROR(__xludf.DUMMYFUNCTION("""COMPUTED_VALUE""")," ")</f>
        <v> </v>
      </c>
      <c r="I191" s="44" t="str">
        <f>IFERROR(__xludf.DUMMYFUNCTION("""COMPUTED_VALUE""")," ")</f>
        <v> </v>
      </c>
      <c r="J191" s="44" t="str">
        <f>IFERROR(__xludf.DUMMYFUNCTION("""COMPUTED_VALUE"""),"25/06/2026")</f>
        <v>25/06/2026</v>
      </c>
      <c r="K191" s="42" t="str">
        <f>IFERROR(__xludf.DUMMYFUNCTION("""COMPUTED_VALUE"""),"Hospital Pérez Carreño")</f>
        <v>Hospital Pérez Carreño</v>
      </c>
    </row>
    <row r="192">
      <c r="A192" s="44">
        <v>191.0</v>
      </c>
      <c r="B192" s="44" t="str">
        <f>IFERROR(__xludf.DUMMYFUNCTION("""COMPUTED_VALUE"""),"Hospital Pérez Carreño")</f>
        <v>Hospital Pérez Carreño</v>
      </c>
      <c r="C192" s="45" t="str">
        <f>IFERROR(__xludf.DUMMYFUNCTION("""COMPUTED_VALUE"""),"FREDY RODRIGUEZ")</f>
        <v>FREDY RODRIGUEZ</v>
      </c>
      <c r="D192" s="44" t="str">
        <f>IFERROR(__xludf.DUMMYFUNCTION("""COMPUTED_VALUE""")," ")</f>
        <v> </v>
      </c>
      <c r="E192" s="44" t="str">
        <f>IFERROR(__xludf.DUMMYFUNCTION("""COMPUTED_VALUE"""),"144247830")</f>
        <v>144247830</v>
      </c>
      <c r="F192" s="44" t="str">
        <f>IFERROR(__xludf.DUMMYFUNCTION("""COMPUTED_VALUE"""),"")</f>
        <v/>
      </c>
      <c r="G192" s="44" t="str">
        <f>IFERROR(__xludf.DUMMYFUNCTION("""COMPUTED_VALUE""")," ")</f>
        <v> </v>
      </c>
      <c r="H192" s="44" t="str">
        <f>IFERROR(__xludf.DUMMYFUNCTION("""COMPUTED_VALUE""")," ")</f>
        <v> </v>
      </c>
      <c r="I192" s="44" t="str">
        <f>IFERROR(__xludf.DUMMYFUNCTION("""COMPUTED_VALUE""")," ")</f>
        <v> </v>
      </c>
      <c r="J192" s="44" t="str">
        <f>IFERROR(__xludf.DUMMYFUNCTION("""COMPUTED_VALUE"""),"25/06/2026")</f>
        <v>25/06/2026</v>
      </c>
      <c r="K192" s="42" t="str">
        <f>IFERROR(__xludf.DUMMYFUNCTION("""COMPUTED_VALUE"""),"Hospital Pérez Carreño")</f>
        <v>Hospital Pérez Carreño</v>
      </c>
    </row>
    <row r="193">
      <c r="A193" s="44">
        <v>192.0</v>
      </c>
      <c r="B193" s="44" t="str">
        <f>IFERROR(__xludf.DUMMYFUNCTION("""COMPUTED_VALUE"""),"Hospital Militar Dr. C. Arvelo")</f>
        <v>Hospital Militar Dr. C. Arvelo</v>
      </c>
      <c r="C193" s="45" t="str">
        <f>IFERROR(__xludf.DUMMYFUNCTION("""COMPUTED_VALUE"""),"Ramírez Amundaraín Ivana")</f>
        <v>Ramírez Amundaraín Ivana</v>
      </c>
      <c r="D193" s="44">
        <f>IFERROR(__xludf.DUMMYFUNCTION("""COMPUTED_VALUE"""),50.0)</f>
        <v>50</v>
      </c>
      <c r="E193" s="44" t="str">
        <f>IFERROR(__xludf.DUMMYFUNCTION("""COMPUTED_VALUE"""),"14451022")</f>
        <v>14451022</v>
      </c>
      <c r="F193" s="44" t="str">
        <f>IFERROR(__xludf.DUMMYFUNCTION("""COMPUTED_VALUE"""),"")</f>
        <v/>
      </c>
      <c r="G193" s="44" t="str">
        <f>IFERROR(__xludf.DUMMYFUNCTION("""COMPUTED_VALUE"""),"")</f>
        <v/>
      </c>
      <c r="H193" s="44" t="str">
        <f>IFERROR(__xludf.DUMMYFUNCTION("""COMPUTED_VALUE"""),"F")</f>
        <v>F</v>
      </c>
      <c r="I193" s="44" t="str">
        <f>IFERROR(__xludf.DUMMYFUNCTION("""COMPUTED_VALUE"""),"Capuchino PNA")</f>
        <v>Capuchino PNA</v>
      </c>
      <c r="J193" s="44" t="str">
        <f>IFERROR(__xludf.DUMMYFUNCTION("""COMPUTED_VALUE"""),"24/6/2026")</f>
        <v>24/6/2026</v>
      </c>
      <c r="K193" s="42" t="str">
        <f>IFERROR(__xludf.DUMMYFUNCTION("""COMPUTED_VALUE"""),"Hospital Militar Dr. C. Arvelo")</f>
        <v>Hospital Militar Dr. C. Arvelo</v>
      </c>
    </row>
    <row r="194">
      <c r="A194" s="44">
        <v>193.0</v>
      </c>
      <c r="B194" s="44" t="str">
        <f>IFERROR(__xludf.DUMMYFUNCTION("""COMPUTED_VALUE"""),"Hospital Militar Dr. C. Arvelo")</f>
        <v>Hospital Militar Dr. C. Arvelo</v>
      </c>
      <c r="C194" s="45" t="str">
        <f>IFERROR(__xludf.DUMMYFUNCTION("""COMPUTED_VALUE"""),"Briceño María")</f>
        <v>Briceño María</v>
      </c>
      <c r="D194" s="44">
        <f>IFERROR(__xludf.DUMMYFUNCTION("""COMPUTED_VALUE"""),90.0)</f>
        <v>90</v>
      </c>
      <c r="E194" s="44" t="str">
        <f>IFERROR(__xludf.DUMMYFUNCTION("""COMPUTED_VALUE"""),"1445299")</f>
        <v>1445299</v>
      </c>
      <c r="F194" s="44" t="str">
        <f>IFERROR(__xludf.DUMMYFUNCTION("""COMPUTED_VALUE"""),"")</f>
        <v/>
      </c>
      <c r="G194" s="44" t="str">
        <f>IFERROR(__xludf.DUMMYFUNCTION("""COMPUTED_VALUE"""),"")</f>
        <v/>
      </c>
      <c r="H194" s="44" t="str">
        <f>IFERROR(__xludf.DUMMYFUNCTION("""COMPUTED_VALUE"""),"F")</f>
        <v>F</v>
      </c>
      <c r="I194" s="44" t="str">
        <f>IFERROR(__xludf.DUMMYFUNCTION("""COMPUTED_VALUE"""),"La Guaira AFILIADO")</f>
        <v>La Guaira AFILIADO</v>
      </c>
      <c r="J194" s="44" t="str">
        <f>IFERROR(__xludf.DUMMYFUNCTION("""COMPUTED_VALUE"""),"24/6/2026")</f>
        <v>24/6/2026</v>
      </c>
      <c r="K194" s="42" t="str">
        <f>IFERROR(__xludf.DUMMYFUNCTION("""COMPUTED_VALUE"""),"Hospital Militar Dr. C. Arvelo")</f>
        <v>Hospital Militar Dr. C. Arvelo</v>
      </c>
    </row>
    <row r="195">
      <c r="A195" s="44">
        <v>194.0</v>
      </c>
      <c r="B195" s="44" t="str">
        <f>IFERROR(__xludf.DUMMYFUNCTION("""COMPUTED_VALUE"""),"Hospital Vargas de Caracas")</f>
        <v>Hospital Vargas de Caracas</v>
      </c>
      <c r="C195" s="45" t="str">
        <f>IFERROR(__xludf.DUMMYFUNCTION("""COMPUTED_VALUE"""),"DE CEPE YOLANDA")</f>
        <v>DE CEPE YOLANDA</v>
      </c>
      <c r="D195" s="44">
        <f>IFERROR(__xludf.DUMMYFUNCTION("""COMPUTED_VALUE"""),88.0)</f>
        <v>88</v>
      </c>
      <c r="E195" s="44" t="str">
        <f>IFERROR(__xludf.DUMMYFUNCTION("""COMPUTED_VALUE"""),"14464454")</f>
        <v>14464454</v>
      </c>
      <c r="F195" s="44" t="str">
        <f>IFERROR(__xludf.DUMMYFUNCTION("""COMPUTED_VALUE""")," ")</f>
        <v> </v>
      </c>
      <c r="G195" s="44" t="str">
        <f>IFERROR(__xludf.DUMMYFUNCTION("""COMPUTED_VALUE"""),"")</f>
        <v/>
      </c>
      <c r="H195" s="44" t="str">
        <f>IFERROR(__xludf.DUMMYFUNCTION("""COMPUTED_VALUE"""),"La Guaira")</f>
        <v>La Guaira</v>
      </c>
      <c r="I195" s="44" t="str">
        <f>IFERROR(__xludf.DUMMYFUNCTION("""COMPUTED_VALUE"""),"UPT")</f>
        <v>UPT</v>
      </c>
      <c r="J195" s="44" t="str">
        <f>IFERROR(__xludf.DUMMYFUNCTION("""COMPUTED_VALUE"""),"")</f>
        <v/>
      </c>
      <c r="K195" s="42" t="str">
        <f>IFERROR(__xludf.DUMMYFUNCTION("""COMPUTED_VALUE"""),"Hospital Vargas de Caracas")</f>
        <v>Hospital Vargas de Caracas</v>
      </c>
    </row>
    <row r="196">
      <c r="A196" s="44">
        <v>195.0</v>
      </c>
      <c r="B196" s="44" t="str">
        <f>IFERROR(__xludf.DUMMYFUNCTION("""COMPUTED_VALUE"""),"Seguro Social La Guaira")</f>
        <v>Seguro Social La Guaira</v>
      </c>
      <c r="C196" s="45" t="str">
        <f>IFERROR(__xludf.DUMMYFUNCTION("""COMPUTED_VALUE"""),"DENWIN DOON")</f>
        <v>DENWIN DOON</v>
      </c>
      <c r="D196" s="44" t="str">
        <f>IFERROR(__xludf.DUMMYFUNCTION("""COMPUTED_VALUE""")," ")</f>
        <v> </v>
      </c>
      <c r="E196" s="44" t="str">
        <f>IFERROR(__xludf.DUMMYFUNCTION("""COMPUTED_VALUE"""),"145361250")</f>
        <v>145361250</v>
      </c>
      <c r="F196" s="44" t="str">
        <f>IFERROR(__xludf.DUMMYFUNCTION("""COMPUTED_VALUE"""),"")</f>
        <v/>
      </c>
      <c r="G196" s="44" t="str">
        <f>IFERROR(__xludf.DUMMYFUNCTION("""COMPUTED_VALUE""")," ")</f>
        <v> </v>
      </c>
      <c r="H196" s="44" t="str">
        <f>IFERROR(__xludf.DUMMYFUNCTION("""COMPUTED_VALUE"""),"Corales")</f>
        <v>Corales</v>
      </c>
      <c r="I196" s="44" t="str">
        <f>IFERROR(__xludf.DUMMYFUNCTION("""COMPUTED_VALUE""")," ")</f>
        <v> </v>
      </c>
      <c r="J196" s="44" t="str">
        <f>IFERROR(__xludf.DUMMYFUNCTION("""COMPUTED_VALUE"""),"")</f>
        <v/>
      </c>
      <c r="K196" s="42" t="str">
        <f>IFERROR(__xludf.DUMMYFUNCTION("""COMPUTED_VALUE"""),"Seguro Social La Guaira")</f>
        <v>Seguro Social La Guaira</v>
      </c>
    </row>
    <row r="197">
      <c r="A197" s="44">
        <v>196.0</v>
      </c>
      <c r="B197" s="44" t="str">
        <f>IFERROR(__xludf.DUMMYFUNCTION("""COMPUTED_VALUE"""),"H. Jose Maria Vargas LG")</f>
        <v>H. Jose Maria Vargas LG</v>
      </c>
      <c r="C197" s="45" t="str">
        <f>IFERROR(__xludf.DUMMYFUNCTION("""COMPUTED_VALUE"""),"DURAN DARWIN")</f>
        <v>DURAN DARWIN</v>
      </c>
      <c r="D197" s="44" t="str">
        <f>IFERROR(__xludf.DUMMYFUNCTION("""COMPUTED_VALUE""")," ")</f>
        <v> </v>
      </c>
      <c r="E197" s="44" t="str">
        <f>IFERROR(__xludf.DUMMYFUNCTION("""COMPUTED_VALUE"""),"14536129")</f>
        <v>14536129</v>
      </c>
      <c r="F197" s="44" t="str">
        <f>IFERROR(__xludf.DUMMYFUNCTION("""COMPUTED_VALUE"""),"")</f>
        <v/>
      </c>
      <c r="G197" s="44" t="str">
        <f>IFERROR(__xludf.DUMMYFUNCTION("""COMPUTED_VALUE""")," ")</f>
        <v> </v>
      </c>
      <c r="H197" s="44" t="str">
        <f>IFERROR(__xludf.DUMMYFUNCTION("""COMPUTED_VALUE"""),"Los Corales")</f>
        <v>Los Corales</v>
      </c>
      <c r="I197" s="44" t="str">
        <f>IFERROR(__xludf.DUMMYFUNCTION("""COMPUTED_VALUE""")," ")</f>
        <v> </v>
      </c>
      <c r="J197" s="44" t="str">
        <f>IFERROR(__xludf.DUMMYFUNCTION("""COMPUTED_VALUE"""),"")</f>
        <v/>
      </c>
      <c r="K197" s="42" t="str">
        <f>IFERROR(__xludf.DUMMYFUNCTION("""COMPUTED_VALUE"""),"H. Jose Maria Vargas LG")</f>
        <v>H. Jose Maria Vargas LG</v>
      </c>
    </row>
    <row r="198">
      <c r="A198" s="44">
        <v>197.0</v>
      </c>
      <c r="B198" s="44" t="str">
        <f>IFERROR(__xludf.DUMMYFUNCTION("""COMPUTED_VALUE"""),"Hospital Universitario de Carac")</f>
        <v>Hospital Universitario de Carac</v>
      </c>
      <c r="C198" s="45" t="str">
        <f>IFERROR(__xludf.DUMMYFUNCTION("""COMPUTED_VALUE"""),"DE SILVA INDIRA")</f>
        <v>DE SILVA INDIRA</v>
      </c>
      <c r="D198" s="44">
        <f>IFERROR(__xludf.DUMMYFUNCTION("""COMPUTED_VALUE"""),46.0)</f>
        <v>46</v>
      </c>
      <c r="E198" s="44" t="str">
        <f>IFERROR(__xludf.DUMMYFUNCTION("""COMPUTED_VALUE"""),"14556746")</f>
        <v>14556746</v>
      </c>
      <c r="F198" s="44" t="str">
        <f>IFERROR(__xludf.DUMMYFUNCTION("""COMPUTED_VALUE"""),"")</f>
        <v/>
      </c>
      <c r="G198" s="44" t="str">
        <f>IFERROR(__xludf.DUMMYFUNCTION("""COMPUTED_VALUE""")," ")</f>
        <v> </v>
      </c>
      <c r="H198" s="44" t="str">
        <f>IFERROR(__xludf.DUMMYFUNCTION("""COMPUTED_VALUE""")," ")</f>
        <v> </v>
      </c>
      <c r="I198" s="44" t="str">
        <f>IFERROR(__xludf.DUMMYFUNCTION("""COMPUTED_VALUE"""),"Politraumatismo")</f>
        <v>Politraumatismo</v>
      </c>
      <c r="J198" s="44" t="str">
        <f>IFERROR(__xludf.DUMMYFUNCTION("""COMPUTED_VALUE"""),"")</f>
        <v/>
      </c>
      <c r="K198" s="42" t="str">
        <f>IFERROR(__xludf.DUMMYFUNCTION("""COMPUTED_VALUE"""),"Hospital Universitario de Carac")</f>
        <v>Hospital Universitario de Carac</v>
      </c>
    </row>
    <row r="199">
      <c r="A199" s="44">
        <v>198.0</v>
      </c>
      <c r="B199" s="44" t="str">
        <f>IFERROR(__xludf.DUMMYFUNCTION("""COMPUTED_VALUE"""),"Hospital Ana Francisca Pérez de")</f>
        <v>Hospital Ana Francisca Pérez de</v>
      </c>
      <c r="C199" s="45" t="str">
        <f>IFERROR(__xludf.DUMMYFUNCTION("""COMPUTED_VALUE"""),"CHAVARRIA YOSXALIT")</f>
        <v>CHAVARRIA YOSXALIT</v>
      </c>
      <c r="D199" s="44">
        <f>IFERROR(__xludf.DUMMYFUNCTION("""COMPUTED_VALUE"""),48.0)</f>
        <v>48</v>
      </c>
      <c r="E199" s="44" t="str">
        <f>IFERROR(__xludf.DUMMYFUNCTION("""COMPUTED_VALUE"""),"14568432")</f>
        <v>14568432</v>
      </c>
      <c r="F199" s="44" t="str">
        <f>IFERROR(__xludf.DUMMYFUNCTION("""COMPUTED_VALUE"""),"")</f>
        <v/>
      </c>
      <c r="G199" s="44" t="str">
        <f>IFERROR(__xludf.DUMMYFUNCTION("""COMPUTED_VALUE""")," ")</f>
        <v> </v>
      </c>
      <c r="H199" s="44" t="str">
        <f>IFERROR(__xludf.DUMMYFUNCTION("""COMPUTED_VALUE"""),"La Guaira")</f>
        <v>La Guaira</v>
      </c>
      <c r="I199" s="44" t="str">
        <f>IFERROR(__xludf.DUMMYFUNCTION("""COMPUTED_VALUE""")," ")</f>
        <v> </v>
      </c>
      <c r="J199" s="44" t="str">
        <f>IFERROR(__xludf.DUMMYFUNCTION("""COMPUTED_VALUE"""),"")</f>
        <v/>
      </c>
      <c r="K199" s="42" t="str">
        <f>IFERROR(__xludf.DUMMYFUNCTION("""COMPUTED_VALUE"""),"Hospital Ana Francisca Pérez de")</f>
        <v>Hospital Ana Francisca Pérez de</v>
      </c>
    </row>
    <row r="200">
      <c r="A200" s="44">
        <v>199.0</v>
      </c>
      <c r="B200" s="44" t="str">
        <f>IFERROR(__xludf.DUMMYFUNCTION("""COMPUTED_VALUE"""),"Hospital Ana Francisca Pérez de")</f>
        <v>Hospital Ana Francisca Pérez de</v>
      </c>
      <c r="C200" s="45" t="str">
        <f>IFERROR(__xludf.DUMMYFUNCTION("""COMPUTED_VALUE"""),"YEXALIT CHAGUANIA")</f>
        <v>YEXALIT CHAGUANIA</v>
      </c>
      <c r="D200" s="44">
        <f>IFERROR(__xludf.DUMMYFUNCTION("""COMPUTED_VALUE"""),48.0)</f>
        <v>48</v>
      </c>
      <c r="E200" s="44" t="str">
        <f>IFERROR(__xludf.DUMMYFUNCTION("""COMPUTED_VALUE"""),"145694320")</f>
        <v>145694320</v>
      </c>
      <c r="F200" s="44" t="str">
        <f>IFERROR(__xludf.DUMMYFUNCTION("""COMPUTED_VALUE"""),"")</f>
        <v/>
      </c>
      <c r="G200" s="44" t="str">
        <f>IFERROR(__xludf.DUMMYFUNCTION("""COMPUTED_VALUE""")," ")</f>
        <v> </v>
      </c>
      <c r="H200" s="44" t="str">
        <f>IFERROR(__xludf.DUMMYFUNCTION("""COMPUTED_VALUE"""),"La Guaira")</f>
        <v>La Guaira</v>
      </c>
      <c r="I200" s="44" t="str">
        <f>IFERROR(__xludf.DUMMYFUNCTION("""COMPUTED_VALUE""")," ")</f>
        <v> </v>
      </c>
      <c r="J200" s="44" t="str">
        <f>IFERROR(__xludf.DUMMYFUNCTION("""COMPUTED_VALUE"""),"")</f>
        <v/>
      </c>
      <c r="K200" s="42" t="str">
        <f>IFERROR(__xludf.DUMMYFUNCTION("""COMPUTED_VALUE"""),"🔍 BUSCAR PACIENTES")</f>
        <v>🔍 BUSCAR PACIENTES</v>
      </c>
    </row>
    <row r="201">
      <c r="A201" s="44">
        <v>200.0</v>
      </c>
      <c r="B201" s="44" t="str">
        <f>IFERROR(__xludf.DUMMYFUNCTION("""COMPUTED_VALUE"""),"Hospital Vargas de Caracas")</f>
        <v>Hospital Vargas de Caracas</v>
      </c>
      <c r="C201" s="45" t="str">
        <f>IFERROR(__xludf.DUMMYFUNCTION("""COMPUTED_VALUE"""),"MENDOTA CARMEN")</f>
        <v>MENDOTA CARMEN</v>
      </c>
      <c r="D201" s="44">
        <f>IFERROR(__xludf.DUMMYFUNCTION("""COMPUTED_VALUE"""),48.0)</f>
        <v>48</v>
      </c>
      <c r="E201" s="44" t="str">
        <f>IFERROR(__xludf.DUMMYFUNCTION("""COMPUTED_VALUE"""),"14589306")</f>
        <v>14589306</v>
      </c>
      <c r="F201" s="44" t="str">
        <f>IFERROR(__xludf.DUMMYFUNCTION("""COMPUTED_VALUE""")," ")</f>
        <v> </v>
      </c>
      <c r="G201" s="44" t="str">
        <f>IFERROR(__xludf.DUMMYFUNCTION("""COMPUTED_VALUE"""),"")</f>
        <v/>
      </c>
      <c r="H201" s="44" t="str">
        <f>IFERROR(__xludf.DUMMYFUNCTION("""COMPUTED_VALUE"""),"La Guaira")</f>
        <v>La Guaira</v>
      </c>
      <c r="I201" s="44" t="str">
        <f>IFERROR(__xludf.DUMMYFUNCTION("""COMPUTED_VALUE"""),"UPT")</f>
        <v>UPT</v>
      </c>
      <c r="J201" s="44" t="str">
        <f>IFERROR(__xludf.DUMMYFUNCTION("""COMPUTED_VALUE"""),"")</f>
        <v/>
      </c>
      <c r="K201" s="42" t="str">
        <f>IFERROR(__xludf.DUMMYFUNCTION("""COMPUTED_VALUE"""),"Hospital Vargas de Caracas")</f>
        <v>Hospital Vargas de Caracas</v>
      </c>
    </row>
    <row r="202">
      <c r="A202" s="44">
        <v>201.0</v>
      </c>
      <c r="B202" s="44" t="str">
        <f>IFERROR(__xludf.DUMMYFUNCTION("""COMPUTED_VALUE"""),"Hospital Ana Francisca Pérez de")</f>
        <v>Hospital Ana Francisca Pérez de</v>
      </c>
      <c r="C202" s="45" t="str">
        <f>IFERROR(__xludf.DUMMYFUNCTION("""COMPUTED_VALUE"""),"WILFRED QUEVEDO SALOMERA")</f>
        <v>WILFRED QUEVEDO SALOMERA</v>
      </c>
      <c r="D202" s="44">
        <f>IFERROR(__xludf.DUMMYFUNCTION("""COMPUTED_VALUE"""),37.0)</f>
        <v>37</v>
      </c>
      <c r="E202" s="44" t="str">
        <f>IFERROR(__xludf.DUMMYFUNCTION("""COMPUTED_VALUE"""),"147098200")</f>
        <v>147098200</v>
      </c>
      <c r="F202" s="44" t="str">
        <f>IFERROR(__xludf.DUMMYFUNCTION("""COMPUTED_VALUE"""),"")</f>
        <v/>
      </c>
      <c r="G202" s="44" t="str">
        <f>IFERROR(__xludf.DUMMYFUNCTION("""COMPUTED_VALUE""")," ")</f>
        <v> </v>
      </c>
      <c r="H202" s="44" t="str">
        <f>IFERROR(__xludf.DUMMYFUNCTION("""COMPUTED_VALUE"""),"La Guaira")</f>
        <v>La Guaira</v>
      </c>
      <c r="I202" s="44" t="str">
        <f>IFERROR(__xludf.DUMMYFUNCTION("""COMPUTED_VALUE""")," ")</f>
        <v> </v>
      </c>
      <c r="J202" s="44" t="str">
        <f>IFERROR(__xludf.DUMMYFUNCTION("""COMPUTED_VALUE"""),"")</f>
        <v/>
      </c>
      <c r="K202" s="42" t="str">
        <f>IFERROR(__xludf.DUMMYFUNCTION("""COMPUTED_VALUE"""),"🔍 BUSCAR PACIENTES")</f>
        <v>🔍 BUSCAR PACIENTES</v>
      </c>
    </row>
    <row r="203">
      <c r="A203" s="44">
        <v>202.0</v>
      </c>
      <c r="B203" s="44" t="str">
        <f>IFERROR(__xludf.DUMMYFUNCTION("""COMPUTED_VALUE"""),"Hospital Universitario de Carac")</f>
        <v>Hospital Universitario de Carac</v>
      </c>
      <c r="C203" s="45" t="str">
        <f>IFERROR(__xludf.DUMMYFUNCTION("""COMPUTED_VALUE"""),"SILVA INDIANA")</f>
        <v>SILVA INDIANA</v>
      </c>
      <c r="D203" s="44">
        <f>IFERROR(__xludf.DUMMYFUNCTION("""COMPUTED_VALUE"""),46.0)</f>
        <v>46</v>
      </c>
      <c r="E203" s="44" t="str">
        <f>IFERROR(__xludf.DUMMYFUNCTION("""COMPUTED_VALUE"""),"14929760")</f>
        <v>14929760</v>
      </c>
      <c r="F203" s="44" t="str">
        <f>IFERROR(__xludf.DUMMYFUNCTION("""COMPUTED_VALUE"""),"")</f>
        <v/>
      </c>
      <c r="G203" s="44" t="str">
        <f>IFERROR(__xludf.DUMMYFUNCTION("""COMPUTED_VALUE"""),"0412-0109465 / 0412-0109466")</f>
        <v>0412-0109465 / 0412-0109466</v>
      </c>
      <c r="H203" s="44" t="str">
        <f>IFERROR(__xludf.DUMMYFUNCTION("""COMPUTED_VALUE""")," ")</f>
        <v> </v>
      </c>
      <c r="I203" s="44" t="str">
        <f>IFERROR(__xludf.DUMMYFUNCTION("""COMPUTED_VALUE""")," ")</f>
        <v> </v>
      </c>
      <c r="J203" s="44" t="str">
        <f>IFERROR(__xludf.DUMMYFUNCTION("""COMPUTED_VALUE"""),"")</f>
        <v/>
      </c>
      <c r="K203" s="42" t="str">
        <f>IFERROR(__xludf.DUMMYFUNCTION("""COMPUTED_VALUE"""),"Hospital Universitario de Carac")</f>
        <v>Hospital Universitario de Carac</v>
      </c>
    </row>
    <row r="204">
      <c r="A204" s="44">
        <v>203.0</v>
      </c>
      <c r="B204" s="44" t="str">
        <f>IFERROR(__xludf.DUMMYFUNCTION("""COMPUTED_VALUE"""),"Hospital Dr. José Gregorio Hern")</f>
        <v>Hospital Dr. José Gregorio Hern</v>
      </c>
      <c r="C204" s="45" t="str">
        <f>IFERROR(__xludf.DUMMYFUNCTION("""COMPUTED_VALUE"""),"HERNANDEZ ESTEBAN")</f>
        <v>HERNANDEZ ESTEBAN</v>
      </c>
      <c r="D204" s="44">
        <f>IFERROR(__xludf.DUMMYFUNCTION("""COMPUTED_VALUE"""),47.0)</f>
        <v>47</v>
      </c>
      <c r="E204" s="44" t="str">
        <f>IFERROR(__xludf.DUMMYFUNCTION("""COMPUTED_VALUE"""),"14935718")</f>
        <v>14935718</v>
      </c>
      <c r="F204" s="44" t="str">
        <f>IFERROR(__xludf.DUMMYFUNCTION("""COMPUTED_VALUE"""),"")</f>
        <v/>
      </c>
      <c r="G204" s="44" t="str">
        <f>IFERROR(__xludf.DUMMYFUNCTION("""COMPUTED_VALUE""")," ")</f>
        <v> </v>
      </c>
      <c r="H204" s="44" t="str">
        <f>IFERROR(__xludf.DUMMYFUNCTION("""COMPUTED_VALUE"""),"Playa Verde")</f>
        <v>Playa Verde</v>
      </c>
      <c r="I204" s="44" t="str">
        <f>IFERROR(__xludf.DUMMYFUNCTION("""COMPUTED_VALUE"""),"Fractura de tibia y peroné – SIN FAMILIARES / ÚNICO SOBREVIVIENTE")</f>
        <v>Fractura de tibia y peroné – SIN FAMILIARES / ÚNICO SOBREVIVIENTE</v>
      </c>
      <c r="J204" s="44" t="str">
        <f>IFERROR(__xludf.DUMMYFUNCTION("""COMPUTED_VALUE"""),"")</f>
        <v/>
      </c>
      <c r="K204" s="42" t="str">
        <f>IFERROR(__xludf.DUMMYFUNCTION("""COMPUTED_VALUE"""),"Hospital Dr. José Gregorio Hern")</f>
        <v>Hospital Dr. José Gregorio Hern</v>
      </c>
    </row>
    <row r="205">
      <c r="A205" s="44">
        <v>204.0</v>
      </c>
      <c r="B205" s="44" t="str">
        <f>IFERROR(__xludf.DUMMYFUNCTION("""COMPUTED_VALUE"""),"Hospital Vargas de Caracas")</f>
        <v>Hospital Vargas de Caracas</v>
      </c>
      <c r="C205" s="45" t="str">
        <f>IFERROR(__xludf.DUMMYFUNCTION("""COMPUTED_VALUE"""),"YOANNY MAROS")</f>
        <v>YOANNY MAROS</v>
      </c>
      <c r="D205" s="44" t="str">
        <f>IFERROR(__xludf.DUMMYFUNCTION("""COMPUTED_VALUE""")," ")</f>
        <v> </v>
      </c>
      <c r="E205" s="44" t="str">
        <f>IFERROR(__xludf.DUMMYFUNCTION("""COMPUTED_VALUE"""),"14953283")</f>
        <v>14953283</v>
      </c>
      <c r="F205" s="44" t="str">
        <f>IFERROR(__xludf.DUMMYFUNCTION("""COMPUTED_VALUE""")," ")</f>
        <v> </v>
      </c>
      <c r="G205" s="44" t="str">
        <f>IFERROR(__xludf.DUMMYFUNCTION("""COMPUTED_VALUE"""),"")</f>
        <v/>
      </c>
      <c r="H205" s="44" t="str">
        <f>IFERROR(__xludf.DUMMYFUNCTION("""COMPUTED_VALUE"""),"Guaira")</f>
        <v>Guaira</v>
      </c>
      <c r="I205" s="44" t="str">
        <f>IFERROR(__xludf.DUMMYFUNCTION("""COMPUTED_VALUE""")," ")</f>
        <v> </v>
      </c>
      <c r="J205" s="44" t="str">
        <f>IFERROR(__xludf.DUMMYFUNCTION("""COMPUTED_VALUE"""),"")</f>
        <v/>
      </c>
      <c r="K205" s="42" t="str">
        <f>IFERROR(__xludf.DUMMYFUNCTION("""COMPUTED_VALUE"""),"Hospital Vargas de Caracas")</f>
        <v>Hospital Vargas de Caracas</v>
      </c>
    </row>
    <row r="206">
      <c r="A206" s="44">
        <v>205.0</v>
      </c>
      <c r="B206" s="44" t="str">
        <f>IFERROR(__xludf.DUMMYFUNCTION("""COMPUTED_VALUE"""),"Hospital Universitario de Carac")</f>
        <v>Hospital Universitario de Carac</v>
      </c>
      <c r="C206" s="45" t="str">
        <f>IFERROR(__xludf.DUMMYFUNCTION("""COMPUTED_VALUE"""),"FLORES MAYRA")</f>
        <v>FLORES MAYRA</v>
      </c>
      <c r="D206" s="44">
        <f>IFERROR(__xludf.DUMMYFUNCTION("""COMPUTED_VALUE"""),44.0)</f>
        <v>44</v>
      </c>
      <c r="E206" s="44" t="str">
        <f>IFERROR(__xludf.DUMMYFUNCTION("""COMPUTED_VALUE"""),"14955107")</f>
        <v>14955107</v>
      </c>
      <c r="F206" s="44" t="str">
        <f>IFERROR(__xludf.DUMMYFUNCTION("""COMPUTED_VALUE"""),"")</f>
        <v/>
      </c>
      <c r="G206" s="44" t="str">
        <f>IFERROR(__xludf.DUMMYFUNCTION("""COMPUTED_VALUE""")," ")</f>
        <v> </v>
      </c>
      <c r="H206" s="44" t="str">
        <f>IFERROR(__xludf.DUMMYFUNCTION("""COMPUTED_VALUE""")," ")</f>
        <v> </v>
      </c>
      <c r="I206" s="44" t="str">
        <f>IFERROR(__xludf.DUMMYFUNCTION("""COMPUTED_VALUE"""),"Politraumatismo; Fx tibia y peroné")</f>
        <v>Politraumatismo; Fx tibia y peroné</v>
      </c>
      <c r="J206" s="44" t="str">
        <f>IFERROR(__xludf.DUMMYFUNCTION("""COMPUTED_VALUE"""),"")</f>
        <v/>
      </c>
      <c r="K206" s="42" t="str">
        <f>IFERROR(__xludf.DUMMYFUNCTION("""COMPUTED_VALUE"""),"Hospital Universitario de Carac")</f>
        <v>Hospital Universitario de Carac</v>
      </c>
    </row>
    <row r="207">
      <c r="A207" s="44">
        <v>206.0</v>
      </c>
      <c r="B207" s="44" t="str">
        <f>IFERROR(__xludf.DUMMYFUNCTION("""COMPUTED_VALUE"""),"Hospital Militar Dr. C. Arvelo")</f>
        <v>Hospital Militar Dr. C. Arvelo</v>
      </c>
      <c r="C207" s="45" t="str">
        <f>IFERROR(__xludf.DUMMYFUNCTION("""COMPUTED_VALUE"""),"López Joselyn")</f>
        <v>López Joselyn</v>
      </c>
      <c r="D207" s="44">
        <f>IFERROR(__xludf.DUMMYFUNCTION("""COMPUTED_VALUE"""),45.0)</f>
        <v>45</v>
      </c>
      <c r="E207" s="44" t="str">
        <f>IFERROR(__xludf.DUMMYFUNCTION("""COMPUTED_VALUE"""),"15034143")</f>
        <v>15034143</v>
      </c>
      <c r="F207" s="44" t="str">
        <f>IFERROR(__xludf.DUMMYFUNCTION("""COMPUTED_VALUE"""),"")</f>
        <v/>
      </c>
      <c r="G207" s="44" t="str">
        <f>IFERROR(__xludf.DUMMYFUNCTION("""COMPUTED_VALUE"""),"")</f>
        <v/>
      </c>
      <c r="H207" s="44" t="str">
        <f>IFERROR(__xludf.DUMMYFUNCTION("""COMPUTED_VALUE"""),"F")</f>
        <v>F</v>
      </c>
      <c r="I207" s="44" t="str">
        <f>IFERROR(__xludf.DUMMYFUNCTION("""COMPUTED_VALUE"""),"San Martín PNA")</f>
        <v>San Martín PNA</v>
      </c>
      <c r="J207" s="44" t="str">
        <f>IFERROR(__xludf.DUMMYFUNCTION("""COMPUTED_VALUE"""),"24/6/2026")</f>
        <v>24/6/2026</v>
      </c>
      <c r="K207" s="42" t="str">
        <f>IFERROR(__xludf.DUMMYFUNCTION("""COMPUTED_VALUE"""),"Hospital Militar Dr. C. Arvelo")</f>
        <v>Hospital Militar Dr. C. Arvelo</v>
      </c>
    </row>
    <row r="208">
      <c r="A208" s="44">
        <v>207.0</v>
      </c>
      <c r="B208" s="44" t="str">
        <f>IFERROR(__xludf.DUMMYFUNCTION("""COMPUTED_VALUE"""),"Hospital Militar Dr. C. Arvelo")</f>
        <v>Hospital Militar Dr. C. Arvelo</v>
      </c>
      <c r="C208" s="45" t="str">
        <f>IFERROR(__xludf.DUMMYFUNCTION("""COMPUTED_VALUE"""),"Laya Yosli")</f>
        <v>Laya Yosli</v>
      </c>
      <c r="D208" s="44">
        <f>IFERROR(__xludf.DUMMYFUNCTION("""COMPUTED_VALUE"""),45.0)</f>
        <v>45</v>
      </c>
      <c r="E208" s="44" t="str">
        <f>IFERROR(__xludf.DUMMYFUNCTION("""COMPUTED_VALUE"""),"15034147")</f>
        <v>15034147</v>
      </c>
      <c r="F208" s="44" t="str">
        <f>IFERROR(__xludf.DUMMYFUNCTION("""COMPUTED_VALUE"""),"")</f>
        <v/>
      </c>
      <c r="G208" s="44" t="str">
        <f>IFERROR(__xludf.DUMMYFUNCTION("""COMPUTED_VALUE"""),"")</f>
        <v/>
      </c>
      <c r="H208" s="44" t="str">
        <f>IFERROR(__xludf.DUMMYFUNCTION("""COMPUTED_VALUE"""),"F")</f>
        <v>F</v>
      </c>
      <c r="I208" s="44" t="str">
        <f>IFERROR(__xludf.DUMMYFUNCTION("""COMPUTED_VALUE"""),"Urdaneta Enferm. Hosp.")</f>
        <v>Urdaneta Enferm. Hosp.</v>
      </c>
      <c r="J208" s="44" t="str">
        <f>IFERROR(__xludf.DUMMYFUNCTION("""COMPUTED_VALUE"""),"24/6/2026")</f>
        <v>24/6/2026</v>
      </c>
      <c r="K208" s="42" t="str">
        <f>IFERROR(__xludf.DUMMYFUNCTION("""COMPUTED_VALUE"""),"Hospital Militar Dr. C. Arvelo")</f>
        <v>Hospital Militar Dr. C. Arvelo</v>
      </c>
    </row>
    <row r="209">
      <c r="A209" s="44">
        <v>208.0</v>
      </c>
      <c r="B209" s="44" t="str">
        <f>IFERROR(__xludf.DUMMYFUNCTION("""COMPUTED_VALUE"""),"Hospital Pérez Carreño")</f>
        <v>Hospital Pérez Carreño</v>
      </c>
      <c r="C209" s="45" t="str">
        <f>IFERROR(__xludf.DUMMYFUNCTION("""COMPUTED_VALUE"""),"TORRES SOSA JENNY CAROLINA")</f>
        <v>TORRES SOSA JENNY CAROLINA</v>
      </c>
      <c r="D209" s="44" t="str">
        <f>IFERROR(__xludf.DUMMYFUNCTION("""COMPUTED_VALUE""")," ")</f>
        <v> </v>
      </c>
      <c r="E209" s="44" t="str">
        <f>IFERROR(__xludf.DUMMYFUNCTION("""COMPUTED_VALUE"""),"15141012")</f>
        <v>15141012</v>
      </c>
      <c r="F209" s="44" t="str">
        <f>IFERROR(__xludf.DUMMYFUNCTION("""COMPUTED_VALUE"""),"")</f>
        <v/>
      </c>
      <c r="G209" s="44" t="str">
        <f>IFERROR(__xludf.DUMMYFUNCTION("""COMPUTED_VALUE""")," ")</f>
        <v> </v>
      </c>
      <c r="H209" s="44" t="str">
        <f>IFERROR(__xludf.DUMMYFUNCTION("""COMPUTED_VALUE""")," ")</f>
        <v> </v>
      </c>
      <c r="I209" s="44" t="str">
        <f>IFERROR(__xludf.DUMMYFUNCTION("""COMPUTED_VALUE"""),"Nuevos Ingresos")</f>
        <v>Nuevos Ingresos</v>
      </c>
      <c r="J209" s="44" t="str">
        <f>IFERROR(__xludf.DUMMYFUNCTION("""COMPUTED_VALUE"""),"25/06/2026")</f>
        <v>25/06/2026</v>
      </c>
      <c r="K209" s="42" t="str">
        <f>IFERROR(__xludf.DUMMYFUNCTION("""COMPUTED_VALUE"""),"Hospital Pérez Carreño")</f>
        <v>Hospital Pérez Carreño</v>
      </c>
    </row>
    <row r="210">
      <c r="A210" s="44">
        <v>209.0</v>
      </c>
      <c r="B210" s="44" t="str">
        <f>IFERROR(__xludf.DUMMYFUNCTION("""COMPUTED_VALUE"""),"Hospital Militar Dr. C. Arvelo")</f>
        <v>Hospital Militar Dr. C. Arvelo</v>
      </c>
      <c r="C210" s="45" t="str">
        <f>IFERROR(__xludf.DUMMYFUNCTION("""COMPUTED_VALUE"""),"Blanco Milquiades")</f>
        <v>Blanco Milquiades</v>
      </c>
      <c r="D210" s="44">
        <f>IFERROR(__xludf.DUMMYFUNCTION("""COMPUTED_VALUE"""),46.0)</f>
        <v>46</v>
      </c>
      <c r="E210" s="44" t="str">
        <f>IFERROR(__xludf.DUMMYFUNCTION("""COMPUTED_VALUE"""),"15147810")</f>
        <v>15147810</v>
      </c>
      <c r="F210" s="44" t="str">
        <f>IFERROR(__xludf.DUMMYFUNCTION("""COMPUTED_VALUE"""),"")</f>
        <v/>
      </c>
      <c r="G210" s="44" t="str">
        <f>IFERROR(__xludf.DUMMYFUNCTION("""COMPUTED_VALUE"""),"")</f>
        <v/>
      </c>
      <c r="H210" s="44" t="str">
        <f>IFERROR(__xludf.DUMMYFUNCTION("""COMPUTED_VALUE"""),"M")</f>
        <v>M</v>
      </c>
      <c r="I210" s="44" t="str">
        <f>IFERROR(__xludf.DUMMYFUNCTION("""COMPUTED_VALUE"""),"La Guaira PNA")</f>
        <v>La Guaira PNA</v>
      </c>
      <c r="J210" s="44" t="str">
        <f>IFERROR(__xludf.DUMMYFUNCTION("""COMPUTED_VALUE"""),"24/6/2026")</f>
        <v>24/6/2026</v>
      </c>
      <c r="K210" s="42" t="str">
        <f>IFERROR(__xludf.DUMMYFUNCTION("""COMPUTED_VALUE"""),"Hospital Militar Dr. C. Arvelo")</f>
        <v>Hospital Militar Dr. C. Arvelo</v>
      </c>
    </row>
    <row r="211">
      <c r="A211" s="44">
        <v>210.0</v>
      </c>
      <c r="B211" s="44" t="str">
        <f>IFERROR(__xludf.DUMMYFUNCTION("""COMPUTED_VALUE"""),"Hospital Militar Dr. C. Arvelo")</f>
        <v>Hospital Militar Dr. C. Arvelo</v>
      </c>
      <c r="C211" s="45" t="str">
        <f>IFERROR(__xludf.DUMMYFUNCTION("""COMPUTED_VALUE"""),"Salazar Yajaira")</f>
        <v>Salazar Yajaira</v>
      </c>
      <c r="D211" s="44">
        <f>IFERROR(__xludf.DUMMYFUNCTION("""COMPUTED_VALUE"""),44.0)</f>
        <v>44</v>
      </c>
      <c r="E211" s="44" t="str">
        <f>IFERROR(__xludf.DUMMYFUNCTION("""COMPUTED_VALUE"""),"15160619")</f>
        <v>15160619</v>
      </c>
      <c r="F211" s="44" t="str">
        <f>IFERROR(__xludf.DUMMYFUNCTION("""COMPUTED_VALUE"""),"")</f>
        <v/>
      </c>
      <c r="G211" s="44" t="str">
        <f>IFERROR(__xludf.DUMMYFUNCTION("""COMPUTED_VALUE"""),"")</f>
        <v/>
      </c>
      <c r="H211" s="44" t="str">
        <f>IFERROR(__xludf.DUMMYFUNCTION("""COMPUTED_VALUE"""),"F")</f>
        <v>F</v>
      </c>
      <c r="I211" s="44" t="str">
        <f>IFERROR(__xludf.DUMMYFUNCTION("""COMPUTED_VALUE"""),"Delicias PNA")</f>
        <v>Delicias PNA</v>
      </c>
      <c r="J211" s="44" t="str">
        <f>IFERROR(__xludf.DUMMYFUNCTION("""COMPUTED_VALUE"""),"24/6/2026")</f>
        <v>24/6/2026</v>
      </c>
      <c r="K211" s="42" t="str">
        <f>IFERROR(__xludf.DUMMYFUNCTION("""COMPUTED_VALUE"""),"Hospital Militar Dr. C. Arvelo")</f>
        <v>Hospital Militar Dr. C. Arvelo</v>
      </c>
    </row>
    <row r="212">
      <c r="A212" s="44">
        <v>211.0</v>
      </c>
      <c r="B212" s="44" t="str">
        <f>IFERROR(__xludf.DUMMYFUNCTION("""COMPUTED_VALUE"""),"Hospital Vargas de Caracas")</f>
        <v>Hospital Vargas de Caracas</v>
      </c>
      <c r="C212" s="45" t="str">
        <f>IFERROR(__xludf.DUMMYFUNCTION("""COMPUTED_VALUE"""),"ANNARILIS MARRERO")</f>
        <v>ANNARILIS MARRERO</v>
      </c>
      <c r="D212" s="44" t="str">
        <f>IFERROR(__xludf.DUMMYFUNCTION("""COMPUTED_VALUE""")," ")</f>
        <v> </v>
      </c>
      <c r="E212" s="44" t="str">
        <f>IFERROR(__xludf.DUMMYFUNCTION("""COMPUTED_VALUE"""),"15164118")</f>
        <v>15164118</v>
      </c>
      <c r="F212" s="44" t="str">
        <f>IFERROR(__xludf.DUMMYFUNCTION("""COMPUTED_VALUE""")," ")</f>
        <v> </v>
      </c>
      <c r="G212" s="44" t="str">
        <f>IFERROR(__xludf.DUMMYFUNCTION("""COMPUTED_VALUE"""),"")</f>
        <v/>
      </c>
      <c r="H212" s="44" t="str">
        <f>IFERROR(__xludf.DUMMYFUNCTION("""COMPUTED_VALUE"""),"Guaira")</f>
        <v>Guaira</v>
      </c>
      <c r="I212" s="44" t="str">
        <f>IFERROR(__xludf.DUMMYFUNCTION("""COMPUTED_VALUE""")," ")</f>
        <v> </v>
      </c>
      <c r="J212" s="44" t="str">
        <f>IFERROR(__xludf.DUMMYFUNCTION("""COMPUTED_VALUE"""),"")</f>
        <v/>
      </c>
      <c r="K212" s="42" t="str">
        <f>IFERROR(__xludf.DUMMYFUNCTION("""COMPUTED_VALUE"""),"Hospital Vargas de Caracas")</f>
        <v>Hospital Vargas de Caracas</v>
      </c>
    </row>
    <row r="213">
      <c r="A213" s="44">
        <v>212.0</v>
      </c>
      <c r="B213" s="44" t="str">
        <f>IFERROR(__xludf.DUMMYFUNCTION("""COMPUTED_VALUE"""),"Hospital Vargas de Caracas")</f>
        <v>Hospital Vargas de Caracas</v>
      </c>
      <c r="C213" s="45" t="str">
        <f>IFERROR(__xludf.DUMMYFUNCTION("""COMPUTED_VALUE"""),"MORENO CRISNEILY")</f>
        <v>MORENO CRISNEILY</v>
      </c>
      <c r="D213" s="44" t="str">
        <f>IFERROR(__xludf.DUMMYFUNCTION("""COMPUTED_VALUE""")," ")</f>
        <v> </v>
      </c>
      <c r="E213" s="44" t="str">
        <f>IFERROR(__xludf.DUMMYFUNCTION("""COMPUTED_VALUE"""),"15164243")</f>
        <v>15164243</v>
      </c>
      <c r="F213" s="44" t="str">
        <f>IFERROR(__xludf.DUMMYFUNCTION("""COMPUTED_VALUE""")," ")</f>
        <v> </v>
      </c>
      <c r="G213" s="44" t="str">
        <f>IFERROR(__xludf.DUMMYFUNCTION("""COMPUTED_VALUE"""),"")</f>
        <v/>
      </c>
      <c r="H213" s="44" t="str">
        <f>IFERROR(__xludf.DUMMYFUNCTION("""COMPUTED_VALUE""")," ")</f>
        <v> </v>
      </c>
      <c r="I213" s="44" t="str">
        <f>IFERROR(__xludf.DUMMYFUNCTION("""COMPUTED_VALUE""")," ")</f>
        <v> </v>
      </c>
      <c r="J213" s="44" t="str">
        <f>IFERROR(__xludf.DUMMYFUNCTION("""COMPUTED_VALUE"""),"")</f>
        <v/>
      </c>
      <c r="K213" s="42" t="str">
        <f>IFERROR(__xludf.DUMMYFUNCTION("""COMPUTED_VALUE"""),"Hospital Vargas de Caracas")</f>
        <v>Hospital Vargas de Caracas</v>
      </c>
    </row>
    <row r="214">
      <c r="A214" s="44">
        <v>213.0</v>
      </c>
      <c r="B214" s="44" t="str">
        <f>IFERROR(__xludf.DUMMYFUNCTION("""COMPUTED_VALUE"""),"Hospital Vargas de Caracas")</f>
        <v>Hospital Vargas de Caracas</v>
      </c>
      <c r="C214" s="45" t="str">
        <f>IFERROR(__xludf.DUMMYFUNCTION("""COMPUTED_VALUE"""),"MAGALIS APURA")</f>
        <v>MAGALIS APURA</v>
      </c>
      <c r="D214" s="44" t="str">
        <f>IFERROR(__xludf.DUMMYFUNCTION("""COMPUTED_VALUE""")," ")</f>
        <v> </v>
      </c>
      <c r="E214" s="44" t="str">
        <f>IFERROR(__xludf.DUMMYFUNCTION("""COMPUTED_VALUE"""),"15164293")</f>
        <v>15164293</v>
      </c>
      <c r="F214" s="44" t="str">
        <f>IFERROR(__xludf.DUMMYFUNCTION("""COMPUTED_VALUE""")," ")</f>
        <v> </v>
      </c>
      <c r="G214" s="44" t="str">
        <f>IFERROR(__xludf.DUMMYFUNCTION("""COMPUTED_VALUE"""),"")</f>
        <v/>
      </c>
      <c r="H214" s="44" t="str">
        <f>IFERROR(__xludf.DUMMYFUNCTION("""COMPUTED_VALUE"""),"Guaira")</f>
        <v>Guaira</v>
      </c>
      <c r="I214" s="44" t="str">
        <f>IFERROR(__xludf.DUMMYFUNCTION("""COMPUTED_VALUE""")," ")</f>
        <v> </v>
      </c>
      <c r="J214" s="44" t="str">
        <f>IFERROR(__xludf.DUMMYFUNCTION("""COMPUTED_VALUE"""),"")</f>
        <v/>
      </c>
      <c r="K214" s="42" t="str">
        <f>IFERROR(__xludf.DUMMYFUNCTION("""COMPUTED_VALUE"""),"Hospital Vargas de Caracas")</f>
        <v>Hospital Vargas de Caracas</v>
      </c>
    </row>
    <row r="215">
      <c r="A215" s="44">
        <v>214.0</v>
      </c>
      <c r="B215" s="44" t="str">
        <f>IFERROR(__xludf.DUMMYFUNCTION("""COMPUTED_VALUE"""),"Hospital Vargas de Caracas")</f>
        <v>Hospital Vargas de Caracas</v>
      </c>
      <c r="C215" s="45" t="str">
        <f>IFERROR(__xludf.DUMMYFUNCTION("""COMPUTED_VALUE"""),"MATTETO CRISMALY")</f>
        <v>MATTETO CRISMALY</v>
      </c>
      <c r="D215" s="44" t="str">
        <f>IFERROR(__xludf.DUMMYFUNCTION("""COMPUTED_VALUE""")," ")</f>
        <v> </v>
      </c>
      <c r="E215" s="44" t="str">
        <f>IFERROR(__xludf.DUMMYFUNCTION("""COMPUTED_VALUE"""),"15164295")</f>
        <v>15164295</v>
      </c>
      <c r="F215" s="44" t="str">
        <f>IFERROR(__xludf.DUMMYFUNCTION("""COMPUTED_VALUE""")," ")</f>
        <v> </v>
      </c>
      <c r="G215" s="44" t="str">
        <f>IFERROR(__xludf.DUMMYFUNCTION("""COMPUTED_VALUE"""),"")</f>
        <v/>
      </c>
      <c r="H215" s="44" t="str">
        <f>IFERROR(__xludf.DUMMYFUNCTION("""COMPUTED_VALUE""")," ")</f>
        <v> </v>
      </c>
      <c r="I215" s="44" t="str">
        <f>IFERROR(__xludf.DUMMYFUNCTION("""COMPUTED_VALUE"""),"Internado")</f>
        <v>Internado</v>
      </c>
      <c r="J215" s="44" t="str">
        <f>IFERROR(__xludf.DUMMYFUNCTION("""COMPUTED_VALUE"""),"")</f>
        <v/>
      </c>
      <c r="K215" s="42" t="str">
        <f>IFERROR(__xludf.DUMMYFUNCTION("""COMPUTED_VALUE"""),"Hospital Vargas de Caracas")</f>
        <v>Hospital Vargas de Caracas</v>
      </c>
    </row>
    <row r="216">
      <c r="A216" s="44">
        <v>215.0</v>
      </c>
      <c r="B216" s="44" t="str">
        <f>IFERROR(__xludf.DUMMYFUNCTION("""COMPUTED_VALUE"""),"Hospital Pérez Carreño")</f>
        <v>Hospital Pérez Carreño</v>
      </c>
      <c r="C216" s="45" t="str">
        <f>IFERROR(__xludf.DUMMYFUNCTION("""COMPUTED_VALUE"""),"MEDINA ALMANDO")</f>
        <v>MEDINA ALMANDO</v>
      </c>
      <c r="D216" s="44" t="str">
        <f>IFERROR(__xludf.DUMMYFUNCTION("""COMPUTED_VALUE""")," ")</f>
        <v> </v>
      </c>
      <c r="E216" s="44" t="str">
        <f>IFERROR(__xludf.DUMMYFUNCTION("""COMPUTED_VALUE"""),"15249932")</f>
        <v>15249932</v>
      </c>
      <c r="F216" s="44" t="str">
        <f>IFERROR(__xludf.DUMMYFUNCTION("""COMPUTED_VALUE"""),"")</f>
        <v/>
      </c>
      <c r="G216" s="44" t="str">
        <f>IFERROR(__xludf.DUMMYFUNCTION("""COMPUTED_VALUE""")," ")</f>
        <v> </v>
      </c>
      <c r="H216" s="44" t="str">
        <f>IFERROR(__xludf.DUMMYFUNCTION("""COMPUTED_VALUE""")," ")</f>
        <v> </v>
      </c>
      <c r="I216" s="44" t="str">
        <f>IFERROR(__xludf.DUMMYFUNCTION("""COMPUTED_VALUE"""),"Nuevos Ingresos")</f>
        <v>Nuevos Ingresos</v>
      </c>
      <c r="J216" s="44" t="str">
        <f>IFERROR(__xludf.DUMMYFUNCTION("""COMPUTED_VALUE"""),"25/06/2026")</f>
        <v>25/06/2026</v>
      </c>
      <c r="K216" s="42" t="str">
        <f>IFERROR(__xludf.DUMMYFUNCTION("""COMPUTED_VALUE"""),"Hospital Pérez Carreño")</f>
        <v>Hospital Pérez Carreño</v>
      </c>
    </row>
    <row r="217">
      <c r="A217" s="44">
        <v>216.0</v>
      </c>
      <c r="B217" s="44" t="str">
        <f>IFERROR(__xludf.DUMMYFUNCTION("""COMPUTED_VALUE"""),"Hospital Universitario de Carac")</f>
        <v>Hospital Universitario de Carac</v>
      </c>
      <c r="C217" s="45" t="str">
        <f>IFERROR(__xludf.DUMMYFUNCTION("""COMPUTED_VALUE"""),"SOMOZA RIAND")</f>
        <v>SOMOZA RIAND</v>
      </c>
      <c r="D217" s="44">
        <f>IFERROR(__xludf.DUMMYFUNCTION("""COMPUTED_VALUE"""),19.0)</f>
        <v>19</v>
      </c>
      <c r="E217" s="44" t="str">
        <f>IFERROR(__xludf.DUMMYFUNCTION("""COMPUTED_VALUE"""),"15267293")</f>
        <v>15267293</v>
      </c>
      <c r="F217" s="44" t="str">
        <f>IFERROR(__xludf.DUMMYFUNCTION("""COMPUTED_VALUE"""),"")</f>
        <v/>
      </c>
      <c r="G217" s="44" t="str">
        <f>IFERROR(__xludf.DUMMYFUNCTION("""COMPUTED_VALUE"""),"0412-2983051")</f>
        <v>0412-2983051</v>
      </c>
      <c r="H217" s="44" t="str">
        <f>IFERROR(__xludf.DUMMYFUNCTION("""COMPUTED_VALUE""")," ")</f>
        <v> </v>
      </c>
      <c r="I217" s="44" t="str">
        <f>IFERROR(__xludf.DUMMYFUNCTION("""COMPUTED_VALUE""")," ")</f>
        <v> </v>
      </c>
      <c r="J217" s="44" t="str">
        <f>IFERROR(__xludf.DUMMYFUNCTION("""COMPUTED_VALUE"""),"")</f>
        <v/>
      </c>
      <c r="K217" s="42" t="str">
        <f>IFERROR(__xludf.DUMMYFUNCTION("""COMPUTED_VALUE"""),"Hospital Universitario de Carac")</f>
        <v>Hospital Universitario de Carac</v>
      </c>
    </row>
    <row r="218">
      <c r="A218" s="44">
        <v>217.0</v>
      </c>
      <c r="B218" s="44" t="str">
        <f>IFERROR(__xludf.DUMMYFUNCTION("""COMPUTED_VALUE"""),"Hospital Militar Dr. C. Arvelo")</f>
        <v>Hospital Militar Dr. C. Arvelo</v>
      </c>
      <c r="C218" s="45" t="str">
        <f>IFERROR(__xludf.DUMMYFUNCTION("""COMPUTED_VALUE"""),"Morillo Hernández Nehomar")</f>
        <v>Morillo Hernández Nehomar</v>
      </c>
      <c r="D218" s="44">
        <f>IFERROR(__xludf.DUMMYFUNCTION("""COMPUTED_VALUE"""),45.0)</f>
        <v>45</v>
      </c>
      <c r="E218" s="44" t="str">
        <f>IFERROR(__xludf.DUMMYFUNCTION("""COMPUTED_VALUE"""),"15280446")</f>
        <v>15280446</v>
      </c>
      <c r="F218" s="44" t="str">
        <f>IFERROR(__xludf.DUMMYFUNCTION("""COMPUTED_VALUE"""),"")</f>
        <v/>
      </c>
      <c r="G218" s="44" t="str">
        <f>IFERROR(__xludf.DUMMYFUNCTION("""COMPUTED_VALUE"""),"")</f>
        <v/>
      </c>
      <c r="H218" s="44" t="str">
        <f>IFERROR(__xludf.DUMMYFUNCTION("""COMPUTED_VALUE"""),"M")</f>
        <v>M</v>
      </c>
      <c r="I218" s="44" t="str">
        <f>IFERROR(__xludf.DUMMYFUNCTION("""COMPUTED_VALUE"""),"Comandancia AFILIADO")</f>
        <v>Comandancia AFILIADO</v>
      </c>
      <c r="J218" s="44" t="str">
        <f>IFERROR(__xludf.DUMMYFUNCTION("""COMPUTED_VALUE"""),"24/6/2026")</f>
        <v>24/6/2026</v>
      </c>
      <c r="K218" s="42" t="str">
        <f>IFERROR(__xludf.DUMMYFUNCTION("""COMPUTED_VALUE"""),"Hospital Militar Dr. C. Arvelo")</f>
        <v>Hospital Militar Dr. C. Arvelo</v>
      </c>
    </row>
    <row r="219">
      <c r="A219" s="44">
        <v>218.0</v>
      </c>
      <c r="B219" s="44" t="str">
        <f>IFERROR(__xludf.DUMMYFUNCTION("""COMPUTED_VALUE"""),"Hospital Vargas de Caracas")</f>
        <v>Hospital Vargas de Caracas</v>
      </c>
      <c r="C219" s="45" t="str">
        <f>IFERROR(__xludf.DUMMYFUNCTION("""COMPUTED_VALUE"""),"PEREIRA JOSE")</f>
        <v>PEREIRA JOSE</v>
      </c>
      <c r="D219" s="44" t="str">
        <f>IFERROR(__xludf.DUMMYFUNCTION("""COMPUTED_VALUE""")," ")</f>
        <v> </v>
      </c>
      <c r="E219" s="44" t="str">
        <f>IFERROR(__xludf.DUMMYFUNCTION("""COMPUTED_VALUE"""),"15285857")</f>
        <v>15285857</v>
      </c>
      <c r="F219" s="44" t="str">
        <f>IFERROR(__xludf.DUMMYFUNCTION("""COMPUTED_VALUE""")," ")</f>
        <v> </v>
      </c>
      <c r="G219" s="44" t="str">
        <f>IFERROR(__xludf.DUMMYFUNCTION("""COMPUTED_VALUE"""),"")</f>
        <v/>
      </c>
      <c r="H219" s="44" t="str">
        <f>IFERROR(__xludf.DUMMYFUNCTION("""COMPUTED_VALUE""")," ")</f>
        <v> </v>
      </c>
      <c r="I219" s="44" t="str">
        <f>IFERROR(__xludf.DUMMYFUNCTION("""COMPUTED_VALUE""")," ")</f>
        <v> </v>
      </c>
      <c r="J219" s="44" t="str">
        <f>IFERROR(__xludf.DUMMYFUNCTION("""COMPUTED_VALUE"""),"")</f>
        <v/>
      </c>
      <c r="K219" s="42" t="str">
        <f>IFERROR(__xludf.DUMMYFUNCTION("""COMPUTED_VALUE"""),"Hospital Vargas de Caracas")</f>
        <v>Hospital Vargas de Caracas</v>
      </c>
    </row>
    <row r="220">
      <c r="A220" s="44">
        <v>219.0</v>
      </c>
      <c r="B220" s="44" t="str">
        <f>IFERROR(__xludf.DUMMYFUNCTION("""COMPUTED_VALUE"""),"Hospital Universitario de Caracas")</f>
        <v>Hospital Universitario de Caracas</v>
      </c>
      <c r="C220" s="45" t="str">
        <f>IFERROR(__xludf.DUMMYFUNCTION("""COMPUTED_VALUE"""),"IBARRA WUIKMER / WILMER")</f>
        <v>IBARRA WUIKMER / WILMER</v>
      </c>
      <c r="D220" s="44">
        <f>IFERROR(__xludf.DUMMYFUNCTION("""COMPUTED_VALUE"""),45.0)</f>
        <v>45</v>
      </c>
      <c r="E220" s="44" t="str">
        <f>IFERROR(__xludf.DUMMYFUNCTION("""COMPUTED_VALUE"""),"15332705")</f>
        <v>15332705</v>
      </c>
      <c r="F220" s="44" t="str">
        <f>IFERROR(__xludf.DUMMYFUNCTION("""COMPUTED_VALUE"""),"")</f>
        <v/>
      </c>
      <c r="G220" s="44" t="str">
        <f>IFERROR(__xludf.DUMMYFUNCTION("""COMPUTED_VALUE"""),"0412-9646938")</f>
        <v>0412-9646938</v>
      </c>
      <c r="H220" s="44" t="str">
        <f>IFERROR(__xludf.DUMMYFUNCTION("""COMPUTED_VALUE""")," ")</f>
        <v> </v>
      </c>
      <c r="I220" s="44" t="str">
        <f>IFERROR(__xludf.DUMMYFUNCTION("""COMPUTED_VALUE"""),"Sala Cirugía 19-A – Fx fémur izquierdo | Politraumatismo; Fx fémur izquierdo")</f>
        <v>Sala Cirugía 19-A – Fx fémur izquierdo | Politraumatismo; Fx fémur izquierdo</v>
      </c>
      <c r="J220" s="44" t="str">
        <f>IFERROR(__xludf.DUMMYFUNCTION("""COMPUTED_VALUE"""),"")</f>
        <v/>
      </c>
      <c r="K220" s="42" t="str">
        <f>IFERROR(__xludf.DUMMYFUNCTION("""COMPUTED_VALUE"""),"🔍 BUSCAR PACIENTES")</f>
        <v>🔍 BUSCAR PACIENTES</v>
      </c>
    </row>
    <row r="221">
      <c r="A221" s="44">
        <v>220.0</v>
      </c>
      <c r="B221" s="44" t="str">
        <f>IFERROR(__xludf.DUMMYFUNCTION("""COMPUTED_VALUE"""),"Hospital Universitario de Carac")</f>
        <v>Hospital Universitario de Carac</v>
      </c>
      <c r="C221" s="45" t="str">
        <f>IFERROR(__xludf.DUMMYFUNCTION("""COMPUTED_VALUE"""),"Wilmer Ibarra")</f>
        <v>Wilmer Ibarra</v>
      </c>
      <c r="D221" s="44">
        <f>IFERROR(__xludf.DUMMYFUNCTION("""COMPUTED_VALUE"""),45.0)</f>
        <v>45</v>
      </c>
      <c r="E221" s="44" t="str">
        <f>IFERROR(__xludf.DUMMYFUNCTION("""COMPUTED_VALUE"""),"15335705")</f>
        <v>15335705</v>
      </c>
      <c r="F221" s="44" t="str">
        <f>IFERROR(__xludf.DUMMYFUNCTION("""COMPUTED_VALUE"""),"")</f>
        <v/>
      </c>
      <c r="G221" s="44"/>
      <c r="H221" s="44" t="str">
        <f>IFERROR(__xludf.DUMMYFUNCTION("""COMPUTED_VALUE"""),"La Guaira")</f>
        <v>La Guaira</v>
      </c>
      <c r="I221" s="44" t="str">
        <f>IFERROR(__xludf.DUMMYFUNCTION("""COMPUTED_VALUE"""),"Politraumatismo")</f>
        <v>Politraumatismo</v>
      </c>
      <c r="J221" s="44" t="str">
        <f>IFERROR(__xludf.DUMMYFUNCTION("""COMPUTED_VALUE"""),"")</f>
        <v/>
      </c>
      <c r="K221" s="42" t="str">
        <f>IFERROR(__xludf.DUMMYFUNCTION("""COMPUTED_VALUE"""),"Hospital Universitario de Carac")</f>
        <v>Hospital Universitario de Carac</v>
      </c>
    </row>
    <row r="222">
      <c r="A222" s="44">
        <v>221.0</v>
      </c>
      <c r="B222" s="44" t="str">
        <f>IFERROR(__xludf.DUMMYFUNCTION("""COMPUTED_VALUE"""),"Hospital Pérez Carreño")</f>
        <v>Hospital Pérez Carreño</v>
      </c>
      <c r="C222" s="45" t="str">
        <f>IFERROR(__xludf.DUMMYFUNCTION("""COMPUTED_VALUE"""),"NADIN LOPEZ")</f>
        <v>NADIN LOPEZ</v>
      </c>
      <c r="D222" s="44" t="str">
        <f>IFERROR(__xludf.DUMMYFUNCTION("""COMPUTED_VALUE"""),"Sin información")</f>
        <v>Sin información</v>
      </c>
      <c r="E222" s="44" t="str">
        <f>IFERROR(__xludf.DUMMYFUNCTION("""COMPUTED_VALUE"""),"153416660")</f>
        <v>153416660</v>
      </c>
      <c r="F222" s="44" t="str">
        <f>IFERROR(__xludf.DUMMYFUNCTION("""COMPUTED_VALUE"""),"")</f>
        <v/>
      </c>
      <c r="G222" s="44" t="str">
        <f>IFERROR(__xludf.DUMMYFUNCTION("""COMPUTED_VALUE""")," ")</f>
        <v> </v>
      </c>
      <c r="H222" s="44" t="str">
        <f>IFERROR(__xludf.DUMMYFUNCTION("""COMPUTED_VALUE"""),"Sin información")</f>
        <v>Sin información</v>
      </c>
      <c r="I222" s="44" t="str">
        <f>IFERROR(__xludf.DUMMYFUNCTION("""COMPUTED_VALUE"""),"Sin información")</f>
        <v>Sin información</v>
      </c>
      <c r="J222" s="44" t="str">
        <f>IFERROR(__xludf.DUMMYFUNCTION("""COMPUTED_VALUE"""),"25/06/2026")</f>
        <v>25/06/2026</v>
      </c>
      <c r="K222" s="42" t="str">
        <f>IFERROR(__xludf.DUMMYFUNCTION("""COMPUTED_VALUE"""),"Hospital Pérez Carreño")</f>
        <v>Hospital Pérez Carreño</v>
      </c>
    </row>
    <row r="223">
      <c r="A223" s="44">
        <v>222.0</v>
      </c>
      <c r="B223" s="44" t="str">
        <f>IFERROR(__xludf.DUMMYFUNCTION("""COMPUTED_VALUE"""),"Hospital Militar Dr. C. Arvelo")</f>
        <v>Hospital Militar Dr. C. Arvelo</v>
      </c>
      <c r="C223" s="45" t="str">
        <f>IFERROR(__xludf.DUMMYFUNCTION("""COMPUTED_VALUE"""),"Castillo Rosana")</f>
        <v>Castillo Rosana</v>
      </c>
      <c r="D223" s="44">
        <f>IFERROR(__xludf.DUMMYFUNCTION("""COMPUTED_VALUE"""),43.0)</f>
        <v>43</v>
      </c>
      <c r="E223" s="44" t="str">
        <f>IFERROR(__xludf.DUMMYFUNCTION("""COMPUTED_VALUE"""),"15366629")</f>
        <v>15366629</v>
      </c>
      <c r="F223" s="44" t="str">
        <f>IFERROR(__xludf.DUMMYFUNCTION("""COMPUTED_VALUE"""),"")</f>
        <v/>
      </c>
      <c r="G223" s="44" t="str">
        <f>IFERROR(__xludf.DUMMYFUNCTION("""COMPUTED_VALUE"""),"")</f>
        <v/>
      </c>
      <c r="H223" s="44" t="str">
        <f>IFERROR(__xludf.DUMMYFUNCTION("""COMPUTED_VALUE"""),"F")</f>
        <v>F</v>
      </c>
      <c r="I223" s="44" t="str">
        <f>IFERROR(__xludf.DUMMYFUNCTION("""COMPUTED_VALUE"""),"San Martín PNA")</f>
        <v>San Martín PNA</v>
      </c>
      <c r="J223" s="44" t="str">
        <f>IFERROR(__xludf.DUMMYFUNCTION("""COMPUTED_VALUE"""),"24/6/2026")</f>
        <v>24/6/2026</v>
      </c>
      <c r="K223" s="42" t="str">
        <f>IFERROR(__xludf.DUMMYFUNCTION("""COMPUTED_VALUE"""),"Hospital Militar Dr. C. Arvelo")</f>
        <v>Hospital Militar Dr. C. Arvelo</v>
      </c>
    </row>
    <row r="224">
      <c r="A224" s="44">
        <v>223.0</v>
      </c>
      <c r="B224" s="44" t="str">
        <f>IFERROR(__xludf.DUMMYFUNCTION("""COMPUTED_VALUE"""),"H. Jose Maria Vargas LG")</f>
        <v>H. Jose Maria Vargas LG</v>
      </c>
      <c r="C224" s="45" t="str">
        <f>IFERROR(__xludf.DUMMYFUNCTION("""COMPUTED_VALUE"""),"LOPEZ JOHANA")</f>
        <v>LOPEZ JOHANA</v>
      </c>
      <c r="D224" s="44" t="str">
        <f>IFERROR(__xludf.DUMMYFUNCTION("""COMPUTED_VALUE""")," ")</f>
        <v> </v>
      </c>
      <c r="E224" s="44" t="str">
        <f>IFERROR(__xludf.DUMMYFUNCTION("""COMPUTED_VALUE"""),"15389387")</f>
        <v>15389387</v>
      </c>
      <c r="F224" s="44" t="str">
        <f>IFERROR(__xludf.DUMMYFUNCTION("""COMPUTED_VALUE"""),"")</f>
        <v/>
      </c>
      <c r="G224" s="44" t="str">
        <f>IFERROR(__xludf.DUMMYFUNCTION("""COMPUTED_VALUE""")," ")</f>
        <v> </v>
      </c>
      <c r="H224" s="44" t="str">
        <f>IFERROR(__xludf.DUMMYFUNCTION("""COMPUTED_VALUE"""),"Playa Grande")</f>
        <v>Playa Grande</v>
      </c>
      <c r="I224" s="44" t="str">
        <f>IFERROR(__xludf.DUMMYFUNCTION("""COMPUTED_VALUE""")," ")</f>
        <v> </v>
      </c>
      <c r="J224" s="44" t="str">
        <f>IFERROR(__xludf.DUMMYFUNCTION("""COMPUTED_VALUE"""),"")</f>
        <v/>
      </c>
      <c r="K224" s="42" t="str">
        <f>IFERROR(__xludf.DUMMYFUNCTION("""COMPUTED_VALUE"""),"H. Jose Maria Vargas LG")</f>
        <v>H. Jose Maria Vargas LG</v>
      </c>
    </row>
    <row r="225">
      <c r="A225" s="44">
        <v>224.0</v>
      </c>
      <c r="B225" s="44" t="str">
        <f>IFERROR(__xludf.DUMMYFUNCTION("""COMPUTED_VALUE"""),"Hospital Universitario de Carac")</f>
        <v>Hospital Universitario de Carac</v>
      </c>
      <c r="C225" s="45" t="str">
        <f>IFERROR(__xludf.DUMMYFUNCTION("""COMPUTED_VALUE"""),"RUEDA JOSE")</f>
        <v>RUEDA JOSE</v>
      </c>
      <c r="D225" s="44">
        <f>IFERROR(__xludf.DUMMYFUNCTION("""COMPUTED_VALUE"""),45.0)</f>
        <v>45</v>
      </c>
      <c r="E225" s="44" t="str">
        <f>IFERROR(__xludf.DUMMYFUNCTION("""COMPUTED_VALUE"""),"15430608")</f>
        <v>15430608</v>
      </c>
      <c r="F225" s="44" t="str">
        <f>IFERROR(__xludf.DUMMYFUNCTION("""COMPUTED_VALUE"""),"")</f>
        <v/>
      </c>
      <c r="G225" s="44" t="str">
        <f>IFERROR(__xludf.DUMMYFUNCTION("""COMPUTED_VALUE"""),"0416-7089152 / 0414-7059152")</f>
        <v>0416-7089152 / 0414-7059152</v>
      </c>
      <c r="H225" s="44" t="str">
        <f>IFERROR(__xludf.DUMMYFUNCTION("""COMPUTED_VALUE""")," ")</f>
        <v> </v>
      </c>
      <c r="I225" s="44" t="str">
        <f>IFERROR(__xludf.DUMMYFUNCTION("""COMPUTED_VALUE"""),"Politraumatismo")</f>
        <v>Politraumatismo</v>
      </c>
      <c r="J225" s="44" t="str">
        <f>IFERROR(__xludf.DUMMYFUNCTION("""COMPUTED_VALUE"""),"")</f>
        <v/>
      </c>
      <c r="K225" s="42" t="str">
        <f>IFERROR(__xludf.DUMMYFUNCTION("""COMPUTED_VALUE"""),"Hospital Universitario de Carac")</f>
        <v>Hospital Universitario de Carac</v>
      </c>
    </row>
    <row r="226">
      <c r="A226" s="44">
        <v>225.0</v>
      </c>
      <c r="B226" s="44" t="str">
        <f>IFERROR(__xludf.DUMMYFUNCTION("""COMPUTED_VALUE"""),"Hospital Vargas de Caracas")</f>
        <v>Hospital Vargas de Caracas</v>
      </c>
      <c r="C226" s="45" t="str">
        <f>IFERROR(__xludf.DUMMYFUNCTION("""COMPUTED_VALUE"""),"GUERREIRO JESUS")</f>
        <v>GUERREIRO JESUS</v>
      </c>
      <c r="D226" s="44">
        <f>IFERROR(__xludf.DUMMYFUNCTION("""COMPUTED_VALUE"""),44.0)</f>
        <v>44</v>
      </c>
      <c r="E226" s="44" t="str">
        <f>IFERROR(__xludf.DUMMYFUNCTION("""COMPUTED_VALUE"""),"15448399")</f>
        <v>15448399</v>
      </c>
      <c r="F226" s="44" t="str">
        <f>IFERROR(__xludf.DUMMYFUNCTION("""COMPUTED_VALUE""")," ")</f>
        <v> </v>
      </c>
      <c r="G226" s="44" t="str">
        <f>IFERROR(__xludf.DUMMYFUNCTION("""COMPUTED_VALUE"""),"")</f>
        <v/>
      </c>
      <c r="H226" s="44" t="str">
        <f>IFERROR(__xludf.DUMMYFUNCTION("""COMPUTED_VALUE"""),"La Guaira")</f>
        <v>La Guaira</v>
      </c>
      <c r="I226" s="44" t="str">
        <f>IFERROR(__xludf.DUMMYFUNCTION("""COMPUTED_VALUE"""),"UPT")</f>
        <v>UPT</v>
      </c>
      <c r="J226" s="44" t="str">
        <f>IFERROR(__xludf.DUMMYFUNCTION("""COMPUTED_VALUE"""),"")</f>
        <v/>
      </c>
      <c r="K226" s="42" t="str">
        <f>IFERROR(__xludf.DUMMYFUNCTION("""COMPUTED_VALUE"""),"Hospital Vargas de Caracas")</f>
        <v>Hospital Vargas de Caracas</v>
      </c>
    </row>
    <row r="227">
      <c r="A227" s="44">
        <v>226.0</v>
      </c>
      <c r="B227" s="44" t="str">
        <f>IFERROR(__xludf.DUMMYFUNCTION("""COMPUTED_VALUE"""),"Hospital Universitario de Carac")</f>
        <v>Hospital Universitario de Carac</v>
      </c>
      <c r="C227" s="45" t="str">
        <f>IFERROR(__xludf.DUMMYFUNCTION("""COMPUTED_VALUE"""),"Jose Rueda")</f>
        <v>Jose Rueda</v>
      </c>
      <c r="D227" s="44">
        <f>IFERROR(__xludf.DUMMYFUNCTION("""COMPUTED_VALUE"""),45.0)</f>
        <v>45</v>
      </c>
      <c r="E227" s="44" t="str">
        <f>IFERROR(__xludf.DUMMYFUNCTION("""COMPUTED_VALUE"""),"15460603")</f>
        <v>15460603</v>
      </c>
      <c r="F227" s="44" t="str">
        <f>IFERROR(__xludf.DUMMYFUNCTION("""COMPUTED_VALUE"""),"")</f>
        <v/>
      </c>
      <c r="G227" s="44"/>
      <c r="H227" s="44" t="str">
        <f>IFERROR(__xludf.DUMMYFUNCTION("""COMPUTED_VALUE"""),"Av. Libertador")</f>
        <v>Av. Libertador</v>
      </c>
      <c r="I227" s="44" t="str">
        <f>IFERROR(__xludf.DUMMYFUNCTION("""COMPUTED_VALUE"""),"Politraumatismo")</f>
        <v>Politraumatismo</v>
      </c>
      <c r="J227" s="44" t="str">
        <f>IFERROR(__xludf.DUMMYFUNCTION("""COMPUTED_VALUE"""),"")</f>
        <v/>
      </c>
      <c r="K227" s="42" t="str">
        <f>IFERROR(__xludf.DUMMYFUNCTION("""COMPUTED_VALUE"""),"Hospital Universitario de Carac")</f>
        <v>Hospital Universitario de Carac</v>
      </c>
    </row>
    <row r="228">
      <c r="A228" s="44">
        <v>227.0</v>
      </c>
      <c r="B228" s="44" t="str">
        <f>IFERROR(__xludf.DUMMYFUNCTION("""COMPUTED_VALUE"""),"Hospital Pérez Carreño")</f>
        <v>Hospital Pérez Carreño</v>
      </c>
      <c r="C228" s="45" t="str">
        <f>IFERROR(__xludf.DUMMYFUNCTION("""COMPUTED_VALUE"""),"LEON MAILIN")</f>
        <v>LEON MAILIN</v>
      </c>
      <c r="D228" s="44" t="str">
        <f>IFERROR(__xludf.DUMMYFUNCTION("""COMPUTED_VALUE""")," ")</f>
        <v> </v>
      </c>
      <c r="E228" s="44" t="str">
        <f>IFERROR(__xludf.DUMMYFUNCTION("""COMPUTED_VALUE"""),"15512093")</f>
        <v>15512093</v>
      </c>
      <c r="F228" s="44" t="str">
        <f>IFERROR(__xludf.DUMMYFUNCTION("""COMPUTED_VALUE"""),"")</f>
        <v/>
      </c>
      <c r="G228" s="44" t="str">
        <f>IFERROR(__xludf.DUMMYFUNCTION("""COMPUTED_VALUE""")," ")</f>
        <v> </v>
      </c>
      <c r="H228" s="44" t="str">
        <f>IFERROR(__xludf.DUMMYFUNCTION("""COMPUTED_VALUE""")," ")</f>
        <v> </v>
      </c>
      <c r="I228" s="44" t="str">
        <f>IFERROR(__xludf.DUMMYFUNCTION("""COMPUTED_VALUE"""),"Internado")</f>
        <v>Internado</v>
      </c>
      <c r="J228" s="44" t="str">
        <f>IFERROR(__xludf.DUMMYFUNCTION("""COMPUTED_VALUE"""),"25/06/2026")</f>
        <v>25/06/2026</v>
      </c>
      <c r="K228" s="42" t="str">
        <f>IFERROR(__xludf.DUMMYFUNCTION("""COMPUTED_VALUE"""),"Hospital Pérez Carreño")</f>
        <v>Hospital Pérez Carreño</v>
      </c>
    </row>
    <row r="229">
      <c r="A229" s="44">
        <v>228.0</v>
      </c>
      <c r="B229" s="44" t="str">
        <f>IFERROR(__xludf.DUMMYFUNCTION("""COMPUTED_VALUE"""),"Periférico de Catia")</f>
        <v>Periférico de Catia</v>
      </c>
      <c r="C229" s="45" t="str">
        <f>IFERROR(__xludf.DUMMYFUNCTION("""COMPUTED_VALUE"""),"ORLANDO DEXGULLO")</f>
        <v>ORLANDO DEXGULLO</v>
      </c>
      <c r="D229" s="44">
        <f>IFERROR(__xludf.DUMMYFUNCTION("""COMPUTED_VALUE"""),45.0)</f>
        <v>45</v>
      </c>
      <c r="E229" s="44" t="str">
        <f>IFERROR(__xludf.DUMMYFUNCTION("""COMPUTED_VALUE"""),"155410320")</f>
        <v>155410320</v>
      </c>
      <c r="F229" s="44" t="str">
        <f>IFERROR(__xludf.DUMMYFUNCTION("""COMPUTED_VALUE"""),"")</f>
        <v/>
      </c>
      <c r="G229" s="44" t="str">
        <f>IFERROR(__xludf.DUMMYFUNCTION("""COMPUTED_VALUE""")," ")</f>
        <v> </v>
      </c>
      <c r="H229" s="44" t="str">
        <f>IFERROR(__xludf.DUMMYFUNCTION("""COMPUTED_VALUE"""),"Sin información")</f>
        <v>Sin información</v>
      </c>
      <c r="I229" s="44" t="str">
        <f>IFERROR(__xludf.DUMMYFUNCTION("""COMPUTED_VALUE"""),"Cirugía General")</f>
        <v>Cirugía General</v>
      </c>
      <c r="J229" s="44" t="str">
        <f>IFERROR(__xludf.DUMMYFUNCTION("""COMPUTED_VALUE"""),"")</f>
        <v/>
      </c>
      <c r="K229" s="42" t="str">
        <f>IFERROR(__xludf.DUMMYFUNCTION("""COMPUTED_VALUE"""),"Periférico de Catia")</f>
        <v>Periférico de Catia</v>
      </c>
    </row>
    <row r="230">
      <c r="A230" s="44">
        <v>229.0</v>
      </c>
      <c r="B230" s="44" t="str">
        <f>IFERROR(__xludf.DUMMYFUNCTION("""COMPUTED_VALUE"""),"Hospital Pérez Carreño")</f>
        <v>Hospital Pérez Carreño</v>
      </c>
      <c r="C230" s="45" t="str">
        <f>IFERROR(__xludf.DUMMYFUNCTION("""COMPUTED_VALUE"""),"LOPEZ MAILIN")</f>
        <v>LOPEZ MAILIN</v>
      </c>
      <c r="D230" s="44" t="str">
        <f>IFERROR(__xludf.DUMMYFUNCTION("""COMPUTED_VALUE""")," ")</f>
        <v> </v>
      </c>
      <c r="E230" s="44" t="str">
        <f>IFERROR(__xludf.DUMMYFUNCTION("""COMPUTED_VALUE"""),"15541666")</f>
        <v>15541666</v>
      </c>
      <c r="F230" s="44" t="str">
        <f>IFERROR(__xludf.DUMMYFUNCTION("""COMPUTED_VALUE"""),"")</f>
        <v/>
      </c>
      <c r="G230" s="44" t="str">
        <f>IFERROR(__xludf.DUMMYFUNCTION("""COMPUTED_VALUE""")," ")</f>
        <v> </v>
      </c>
      <c r="H230" s="44" t="str">
        <f>IFERROR(__xludf.DUMMYFUNCTION("""COMPUTED_VALUE""")," ")</f>
        <v> </v>
      </c>
      <c r="I230" s="44" t="str">
        <f>IFERROR(__xludf.DUMMYFUNCTION("""COMPUTED_VALUE""")," ")</f>
        <v> </v>
      </c>
      <c r="J230" s="44" t="str">
        <f>IFERROR(__xludf.DUMMYFUNCTION("""COMPUTED_VALUE"""),"25/06/2026")</f>
        <v>25/06/2026</v>
      </c>
      <c r="K230" s="42" t="str">
        <f>IFERROR(__xludf.DUMMYFUNCTION("""COMPUTED_VALUE"""),"Hospital Pérez Carreño")</f>
        <v>Hospital Pérez Carreño</v>
      </c>
    </row>
    <row r="231">
      <c r="A231" s="44">
        <v>230.0</v>
      </c>
      <c r="B231" s="44" t="str">
        <f>IFERROR(__xludf.DUMMYFUNCTION("""COMPUTED_VALUE"""),"Hospital Pérez Carreño")</f>
        <v>Hospital Pérez Carreño</v>
      </c>
      <c r="C231" s="45" t="str">
        <f>IFERROR(__xludf.DUMMYFUNCTION("""COMPUTED_VALUE"""),"MAILIN LOPEZ")</f>
        <v>MAILIN LOPEZ</v>
      </c>
      <c r="D231" s="44" t="str">
        <f>IFERROR(__xludf.DUMMYFUNCTION("""COMPUTED_VALUE""")," ")</f>
        <v> </v>
      </c>
      <c r="E231" s="44" t="str">
        <f>IFERROR(__xludf.DUMMYFUNCTION("""COMPUTED_VALUE"""),"155416660")</f>
        <v>155416660</v>
      </c>
      <c r="F231" s="44" t="str">
        <f>IFERROR(__xludf.DUMMYFUNCTION("""COMPUTED_VALUE"""),"")</f>
        <v/>
      </c>
      <c r="G231" s="44" t="str">
        <f>IFERROR(__xludf.DUMMYFUNCTION("""COMPUTED_VALUE""")," ")</f>
        <v> </v>
      </c>
      <c r="H231" s="44" t="str">
        <f>IFERROR(__xludf.DUMMYFUNCTION("""COMPUTED_VALUE""")," ")</f>
        <v> </v>
      </c>
      <c r="I231" s="44" t="str">
        <f>IFERROR(__xludf.DUMMYFUNCTION("""COMPUTED_VALUE""")," ")</f>
        <v> </v>
      </c>
      <c r="J231" s="44" t="str">
        <f>IFERROR(__xludf.DUMMYFUNCTION("""COMPUTED_VALUE"""),"25/06/2026")</f>
        <v>25/06/2026</v>
      </c>
      <c r="K231" s="42" t="str">
        <f>IFERROR(__xludf.DUMMYFUNCTION("""COMPUTED_VALUE"""),"Hospital Pérez Carreño")</f>
        <v>Hospital Pérez Carreño</v>
      </c>
    </row>
    <row r="232">
      <c r="A232" s="44">
        <v>231.0</v>
      </c>
      <c r="B232" s="44" t="str">
        <f>IFERROR(__xludf.DUMMYFUNCTION("""COMPUTED_VALUE"""),"Hospital Pérez Carreño")</f>
        <v>Hospital Pérez Carreño</v>
      </c>
      <c r="C232" s="45" t="str">
        <f>IFERROR(__xludf.DUMMYFUNCTION("""COMPUTED_VALUE"""),"ZANABRIA ANGI")</f>
        <v>ZANABRIA ANGI</v>
      </c>
      <c r="D232" s="44" t="str">
        <f>IFERROR(__xludf.DUMMYFUNCTION("""COMPUTED_VALUE""")," ")</f>
        <v> </v>
      </c>
      <c r="E232" s="44" t="str">
        <f>IFERROR(__xludf.DUMMYFUNCTION("""COMPUTED_VALUE"""),"15544792")</f>
        <v>15544792</v>
      </c>
      <c r="F232" s="44" t="str">
        <f>IFERROR(__xludf.DUMMYFUNCTION("""COMPUTED_VALUE"""),"")</f>
        <v/>
      </c>
      <c r="G232" s="44" t="str">
        <f>IFERROR(__xludf.DUMMYFUNCTION("""COMPUTED_VALUE""")," ")</f>
        <v> </v>
      </c>
      <c r="H232" s="44" t="str">
        <f>IFERROR(__xludf.DUMMYFUNCTION("""COMPUTED_VALUE""")," ")</f>
        <v> </v>
      </c>
      <c r="I232" s="44" t="str">
        <f>IFERROR(__xludf.DUMMYFUNCTION("""COMPUTED_VALUE"""),"Nuevos Ingresos")</f>
        <v>Nuevos Ingresos</v>
      </c>
      <c r="J232" s="44" t="str">
        <f>IFERROR(__xludf.DUMMYFUNCTION("""COMPUTED_VALUE"""),"25/06/2026")</f>
        <v>25/06/2026</v>
      </c>
      <c r="K232" s="42" t="str">
        <f>IFERROR(__xludf.DUMMYFUNCTION("""COMPUTED_VALUE"""),"Hospital Pérez Carreño")</f>
        <v>Hospital Pérez Carreño</v>
      </c>
    </row>
    <row r="233">
      <c r="A233" s="44">
        <v>232.0</v>
      </c>
      <c r="B233" s="44" t="str">
        <f>IFERROR(__xludf.DUMMYFUNCTION("""COMPUTED_VALUE"""),"Hospital Vargas de Caracas")</f>
        <v>Hospital Vargas de Caracas</v>
      </c>
      <c r="C233" s="45" t="str">
        <f>IFERROR(__xludf.DUMMYFUNCTION("""COMPUTED_VALUE"""),"NESARIA DELA")</f>
        <v>NESARIA DELA</v>
      </c>
      <c r="D233" s="44" t="str">
        <f>IFERROR(__xludf.DUMMYFUNCTION("""COMPUTED_VALUE""")," ")</f>
        <v> </v>
      </c>
      <c r="E233" s="44" t="str">
        <f>IFERROR(__xludf.DUMMYFUNCTION("""COMPUTED_VALUE"""),"15550954")</f>
        <v>15550954</v>
      </c>
      <c r="F233" s="44" t="str">
        <f>IFERROR(__xludf.DUMMYFUNCTION("""COMPUTED_VALUE""")," ")</f>
        <v> </v>
      </c>
      <c r="G233" s="44" t="str">
        <f>IFERROR(__xludf.DUMMYFUNCTION("""COMPUTED_VALUE"""),"")</f>
        <v/>
      </c>
      <c r="H233" s="44" t="str">
        <f>IFERROR(__xludf.DUMMYFUNCTION("""COMPUTED_VALUE"""),"Guaira")</f>
        <v>Guaira</v>
      </c>
      <c r="I233" s="44" t="str">
        <f>IFERROR(__xludf.DUMMYFUNCTION("""COMPUTED_VALUE""")," ")</f>
        <v> </v>
      </c>
      <c r="J233" s="44" t="str">
        <f>IFERROR(__xludf.DUMMYFUNCTION("""COMPUTED_VALUE"""),"")</f>
        <v/>
      </c>
      <c r="K233" s="42" t="str">
        <f>IFERROR(__xludf.DUMMYFUNCTION("""COMPUTED_VALUE"""),"Hospital Vargas de Caracas")</f>
        <v>Hospital Vargas de Caracas</v>
      </c>
    </row>
    <row r="234">
      <c r="A234" s="44">
        <v>233.0</v>
      </c>
      <c r="B234" s="44" t="str">
        <f>IFERROR(__xludf.DUMMYFUNCTION("""COMPUTED_VALUE"""),"Hospital Vargas de Caracas")</f>
        <v>Hospital Vargas de Caracas</v>
      </c>
      <c r="C234" s="45" t="str">
        <f>IFERROR(__xludf.DUMMYFUNCTION("""COMPUTED_VALUE"""),"PEREZ MISARRA")</f>
        <v>PEREZ MISARRA</v>
      </c>
      <c r="D234" s="44" t="str">
        <f>IFERROR(__xludf.DUMMYFUNCTION("""COMPUTED_VALUE"""),"Sin información")</f>
        <v>Sin información</v>
      </c>
      <c r="E234" s="44" t="str">
        <f>IFERROR(__xludf.DUMMYFUNCTION("""COMPUTED_VALUE"""),"155509540")</f>
        <v>155509540</v>
      </c>
      <c r="F234" s="44" t="str">
        <f>IFERROR(__xludf.DUMMYFUNCTION("""COMPUTED_VALUE""")," ")</f>
        <v> </v>
      </c>
      <c r="G234" s="44" t="str">
        <f>IFERROR(__xludf.DUMMYFUNCTION("""COMPUTED_VALUE"""),"")</f>
        <v/>
      </c>
      <c r="H234" s="44" t="str">
        <f>IFERROR(__xludf.DUMMYFUNCTION("""COMPUTED_VALUE"""),"La Guaira")</f>
        <v>La Guaira</v>
      </c>
      <c r="I234" s="44" t="str">
        <f>IFERROR(__xludf.DUMMYFUNCTION("""COMPUTED_VALUE"""),"Sin información")</f>
        <v>Sin información</v>
      </c>
      <c r="J234" s="44" t="str">
        <f>IFERROR(__xludf.DUMMYFUNCTION("""COMPUTED_VALUE"""),"")</f>
        <v/>
      </c>
      <c r="K234" s="42" t="str">
        <f>IFERROR(__xludf.DUMMYFUNCTION("""COMPUTED_VALUE"""),"Hospital Vargas de Caracas")</f>
        <v>Hospital Vargas de Caracas</v>
      </c>
    </row>
    <row r="235">
      <c r="A235" s="44">
        <v>234.0</v>
      </c>
      <c r="B235" s="44" t="str">
        <f>IFERROR(__xludf.DUMMYFUNCTION("""COMPUTED_VALUE"""),"Periférico de Catia")</f>
        <v>Periférico de Catia</v>
      </c>
      <c r="C235" s="45" t="str">
        <f>IFERROR(__xludf.DUMMYFUNCTION("""COMPUTED_VALUE"""),"GYOTTIS CARRASCO")</f>
        <v>GYOTTIS CARRASCO</v>
      </c>
      <c r="D235" s="44">
        <f>IFERROR(__xludf.DUMMYFUNCTION("""COMPUTED_VALUE"""),47.0)</f>
        <v>47</v>
      </c>
      <c r="E235" s="44" t="str">
        <f>IFERROR(__xludf.DUMMYFUNCTION("""COMPUTED_VALUE"""),"155730810")</f>
        <v>155730810</v>
      </c>
      <c r="F235" s="44" t="str">
        <f>IFERROR(__xludf.DUMMYFUNCTION("""COMPUTED_VALUE"""),"")</f>
        <v/>
      </c>
      <c r="G235" s="44" t="str">
        <f>IFERROR(__xludf.DUMMYFUNCTION("""COMPUTED_VALUE""")," ")</f>
        <v> </v>
      </c>
      <c r="H235" s="44" t="str">
        <f>IFERROR(__xludf.DUMMYFUNCTION("""COMPUTED_VALUE"""),"Sin información")</f>
        <v>Sin información</v>
      </c>
      <c r="I235" s="44" t="str">
        <f>IFERROR(__xludf.DUMMYFUNCTION("""COMPUTED_VALUE"""),"Cirugía General")</f>
        <v>Cirugía General</v>
      </c>
      <c r="J235" s="44" t="str">
        <f>IFERROR(__xludf.DUMMYFUNCTION("""COMPUTED_VALUE"""),"")</f>
        <v/>
      </c>
      <c r="K235" s="42" t="str">
        <f>IFERROR(__xludf.DUMMYFUNCTION("""COMPUTED_VALUE"""),"Periférico de Catia")</f>
        <v>Periférico de Catia</v>
      </c>
    </row>
    <row r="236">
      <c r="A236" s="44">
        <v>235.0</v>
      </c>
      <c r="B236" s="44" t="str">
        <f>IFERROR(__xludf.DUMMYFUNCTION("""COMPUTED_VALUE"""),"Hospital Pérez Carreño")</f>
        <v>Hospital Pérez Carreño</v>
      </c>
      <c r="C236" s="45" t="str">
        <f>IFERROR(__xludf.DUMMYFUNCTION("""COMPUTED_VALUE"""),"DEJES HAILIMAR")</f>
        <v>DEJES HAILIMAR</v>
      </c>
      <c r="D236" s="44" t="str">
        <f>IFERROR(__xludf.DUMMYFUNCTION("""COMPUTED_VALUE""")," ")</f>
        <v> </v>
      </c>
      <c r="E236" s="44" t="str">
        <f>IFERROR(__xludf.DUMMYFUNCTION("""COMPUTED_VALUE"""),"15581766")</f>
        <v>15581766</v>
      </c>
      <c r="F236" s="44" t="str">
        <f>IFERROR(__xludf.DUMMYFUNCTION("""COMPUTED_VALUE"""),"")</f>
        <v/>
      </c>
      <c r="G236" s="44" t="str">
        <f>IFERROR(__xludf.DUMMYFUNCTION("""COMPUTED_VALUE""")," ")</f>
        <v> </v>
      </c>
      <c r="H236" s="44" t="str">
        <f>IFERROR(__xludf.DUMMYFUNCTION("""COMPUTED_VALUE""")," ")</f>
        <v> </v>
      </c>
      <c r="I236" s="44" t="str">
        <f>IFERROR(__xludf.DUMMYFUNCTION("""COMPUTED_VALUE"""),"Internado")</f>
        <v>Internado</v>
      </c>
      <c r="J236" s="44" t="str">
        <f>IFERROR(__xludf.DUMMYFUNCTION("""COMPUTED_VALUE"""),"25/06/2026")</f>
        <v>25/06/2026</v>
      </c>
      <c r="K236" s="42" t="str">
        <f>IFERROR(__xludf.DUMMYFUNCTION("""COMPUTED_VALUE"""),"Hospital Pérez Carreño")</f>
        <v>Hospital Pérez Carreño</v>
      </c>
    </row>
    <row r="237">
      <c r="A237" s="44">
        <v>236.0</v>
      </c>
      <c r="B237" s="44" t="str">
        <f>IFERROR(__xludf.DUMMYFUNCTION("""COMPUTED_VALUE"""),"Hospital Universitario de Carac")</f>
        <v>Hospital Universitario de Carac</v>
      </c>
      <c r="C237" s="45" t="str">
        <f>IFERROR(__xludf.DUMMYFUNCTION("""COMPUTED_VALUE"""),"GRANADO GAUDY")</f>
        <v>GRANADO GAUDY</v>
      </c>
      <c r="D237" s="44">
        <f>IFERROR(__xludf.DUMMYFUNCTION("""COMPUTED_VALUE"""),46.0)</f>
        <v>46</v>
      </c>
      <c r="E237" s="44" t="str">
        <f>IFERROR(__xludf.DUMMYFUNCTION("""COMPUTED_VALUE"""),"15586408")</f>
        <v>15586408</v>
      </c>
      <c r="F237" s="44" t="str">
        <f>IFERROR(__xludf.DUMMYFUNCTION("""COMPUTED_VALUE"""),"")</f>
        <v/>
      </c>
      <c r="G237" s="44" t="str">
        <f>IFERROR(__xludf.DUMMYFUNCTION("""COMPUTED_VALUE""")," ")</f>
        <v> </v>
      </c>
      <c r="H237" s="44" t="str">
        <f>IFERROR(__xludf.DUMMYFUNCTION("""COMPUTED_VALUE""")," ")</f>
        <v> </v>
      </c>
      <c r="I237" s="44" t="str">
        <f>IFERROR(__xludf.DUMMYFUNCTION("""COMPUTED_VALUE"""),"Politraumatismo")</f>
        <v>Politraumatismo</v>
      </c>
      <c r="J237" s="44" t="str">
        <f>IFERROR(__xludf.DUMMYFUNCTION("""COMPUTED_VALUE"""),"")</f>
        <v/>
      </c>
      <c r="K237" s="42" t="str">
        <f>IFERROR(__xludf.DUMMYFUNCTION("""COMPUTED_VALUE"""),"Hospital Universitario de Carac")</f>
        <v>Hospital Universitario de Carac</v>
      </c>
    </row>
    <row r="238">
      <c r="A238" s="44">
        <v>237.0</v>
      </c>
      <c r="B238" s="44" t="str">
        <f>IFERROR(__xludf.DUMMYFUNCTION("""COMPUTED_VALUE"""),"Hospital Pérez Carreño")</f>
        <v>Hospital Pérez Carreño</v>
      </c>
      <c r="C238" s="45" t="str">
        <f>IFERROR(__xludf.DUMMYFUNCTION("""COMPUTED_VALUE"""),"GONZALEZ LUISA")</f>
        <v>GONZALEZ LUISA</v>
      </c>
      <c r="D238" s="44" t="str">
        <f>IFERROR(__xludf.DUMMYFUNCTION("""COMPUTED_VALUE""")," ")</f>
        <v> </v>
      </c>
      <c r="E238" s="44" t="str">
        <f>IFERROR(__xludf.DUMMYFUNCTION("""COMPUTED_VALUE"""),"15615565")</f>
        <v>15615565</v>
      </c>
      <c r="F238" s="44" t="str">
        <f>IFERROR(__xludf.DUMMYFUNCTION("""COMPUTED_VALUE"""),"")</f>
        <v/>
      </c>
      <c r="G238" s="44" t="str">
        <f>IFERROR(__xludf.DUMMYFUNCTION("""COMPUTED_VALUE""")," ")</f>
        <v> </v>
      </c>
      <c r="H238" s="44" t="str">
        <f>IFERROR(__xludf.DUMMYFUNCTION("""COMPUTED_VALUE""")," ")</f>
        <v> </v>
      </c>
      <c r="I238" s="44" t="str">
        <f>IFERROR(__xludf.DUMMYFUNCTION("""COMPUTED_VALUE"""),"Nuevos Ingresos")</f>
        <v>Nuevos Ingresos</v>
      </c>
      <c r="J238" s="44" t="str">
        <f>IFERROR(__xludf.DUMMYFUNCTION("""COMPUTED_VALUE"""),"25/06/2026")</f>
        <v>25/06/2026</v>
      </c>
      <c r="K238" s="42" t="str">
        <f>IFERROR(__xludf.DUMMYFUNCTION("""COMPUTED_VALUE"""),"Hospital Pérez Carreño")</f>
        <v>Hospital Pérez Carreño</v>
      </c>
    </row>
    <row r="239">
      <c r="A239" s="44">
        <v>238.0</v>
      </c>
      <c r="B239" s="44" t="str">
        <f>IFERROR(__xludf.DUMMYFUNCTION("""COMPUTED_VALUE"""),"Hospital Militar Dr. C. Arvelo")</f>
        <v>Hospital Militar Dr. C. Arvelo</v>
      </c>
      <c r="C239" s="45" t="str">
        <f>IFERROR(__xludf.DUMMYFUNCTION("""COMPUTED_VALUE"""),"Giovanny López")</f>
        <v>Giovanny López</v>
      </c>
      <c r="D239" s="44">
        <f>IFERROR(__xludf.DUMMYFUNCTION("""COMPUTED_VALUE"""),47.0)</f>
        <v>47</v>
      </c>
      <c r="E239" s="44" t="str">
        <f>IFERROR(__xludf.DUMMYFUNCTION("""COMPUTED_VALUE"""),"15625037")</f>
        <v>15625037</v>
      </c>
      <c r="F239" s="44" t="str">
        <f>IFERROR(__xludf.DUMMYFUNCTION("""COMPUTED_VALUE"""),"")</f>
        <v/>
      </c>
      <c r="G239" s="44" t="str">
        <f>IFERROR(__xludf.DUMMYFUNCTION("""COMPUTED_VALUE"""),"")</f>
        <v/>
      </c>
      <c r="H239" s="44" t="str">
        <f>IFERROR(__xludf.DUMMYFUNCTION("""COMPUTED_VALUE"""),"M")</f>
        <v>M</v>
      </c>
      <c r="I239" s="44" t="str">
        <f>IFERROR(__xludf.DUMMYFUNCTION("""COMPUTED_VALUE"""),"La Guaira PNA")</f>
        <v>La Guaira PNA</v>
      </c>
      <c r="J239" s="44" t="str">
        <f>IFERROR(__xludf.DUMMYFUNCTION("""COMPUTED_VALUE"""),"24/6/2026")</f>
        <v>24/6/2026</v>
      </c>
      <c r="K239" s="42" t="str">
        <f>IFERROR(__xludf.DUMMYFUNCTION("""COMPUTED_VALUE"""),"Hospital Militar Dr. C. Arvelo")</f>
        <v>Hospital Militar Dr. C. Arvelo</v>
      </c>
    </row>
    <row r="240">
      <c r="A240" s="44">
        <v>239.0</v>
      </c>
      <c r="B240" s="44" t="str">
        <f>IFERROR(__xludf.DUMMYFUNCTION("""COMPUTED_VALUE"""),"Hospital Dr. José Gregorio Hern")</f>
        <v>Hospital Dr. José Gregorio Hern</v>
      </c>
      <c r="C240" s="45" t="str">
        <f>IFERROR(__xludf.DUMMYFUNCTION("""COMPUTED_VALUE"""),"ARRIETA JOSE")</f>
        <v>ARRIETA JOSE</v>
      </c>
      <c r="D240" s="44">
        <f>IFERROR(__xludf.DUMMYFUNCTION("""COMPUTED_VALUE"""),45.0)</f>
        <v>45</v>
      </c>
      <c r="E240" s="44" t="str">
        <f>IFERROR(__xludf.DUMMYFUNCTION("""COMPUTED_VALUE"""),"15720959")</f>
        <v>15720959</v>
      </c>
      <c r="F240" s="44" t="str">
        <f>IFERROR(__xludf.DUMMYFUNCTION("""COMPUTED_VALUE"""),"")</f>
        <v/>
      </c>
      <c r="G240" s="44" t="str">
        <f>IFERROR(__xludf.DUMMYFUNCTION("""COMPUTED_VALUE""")," ")</f>
        <v> </v>
      </c>
      <c r="H240" s="44" t="str">
        <f>IFERROR(__xludf.DUMMYFUNCTION("""COMPUTED_VALUE"""),"Catia La Mar")</f>
        <v>Catia La Mar</v>
      </c>
      <c r="I240" s="44" t="str">
        <f>IFERROR(__xludf.DUMMYFUNCTION("""COMPUTED_VALUE""")," ")</f>
        <v> </v>
      </c>
      <c r="J240" s="44" t="str">
        <f>IFERROR(__xludf.DUMMYFUNCTION("""COMPUTED_VALUE"""),"")</f>
        <v/>
      </c>
      <c r="K240" s="42" t="str">
        <f>IFERROR(__xludf.DUMMYFUNCTION("""COMPUTED_VALUE"""),"Hospital Dr. José Gregorio Hern")</f>
        <v>Hospital Dr. José Gregorio Hern</v>
      </c>
    </row>
    <row r="241">
      <c r="A241" s="44">
        <v>240.0</v>
      </c>
      <c r="B241" s="44" t="str">
        <f>IFERROR(__xludf.DUMMYFUNCTION("""COMPUTED_VALUE"""),"Hospital Militar Dr. C. Arvelo")</f>
        <v>Hospital Militar Dr. C. Arvelo</v>
      </c>
      <c r="C241" s="45" t="str">
        <f>IFERROR(__xludf.DUMMYFUNCTION("""COMPUTED_VALUE"""),"Ramos Mayerling")</f>
        <v>Ramos Mayerling</v>
      </c>
      <c r="D241" s="44">
        <f>IFERROR(__xludf.DUMMYFUNCTION("""COMPUTED_VALUE"""),41.0)</f>
        <v>41</v>
      </c>
      <c r="E241" s="44" t="str">
        <f>IFERROR(__xludf.DUMMYFUNCTION("""COMPUTED_VALUE"""),"15780524")</f>
        <v>15780524</v>
      </c>
      <c r="F241" s="44" t="str">
        <f>IFERROR(__xludf.DUMMYFUNCTION("""COMPUTED_VALUE"""),"")</f>
        <v/>
      </c>
      <c r="G241" s="44" t="str">
        <f>IFERROR(__xludf.DUMMYFUNCTION("""COMPUTED_VALUE"""),"")</f>
        <v/>
      </c>
      <c r="H241" s="44" t="str">
        <f>IFERROR(__xludf.DUMMYFUNCTION("""COMPUTED_VALUE"""),"F")</f>
        <v>F</v>
      </c>
      <c r="I241" s="44" t="str">
        <f>IFERROR(__xludf.DUMMYFUNCTION("""COMPUTED_VALUE"""),"La Guaira PNA")</f>
        <v>La Guaira PNA</v>
      </c>
      <c r="J241" s="44" t="str">
        <f>IFERROR(__xludf.DUMMYFUNCTION("""COMPUTED_VALUE"""),"24/6/2026")</f>
        <v>24/6/2026</v>
      </c>
      <c r="K241" s="42" t="str">
        <f>IFERROR(__xludf.DUMMYFUNCTION("""COMPUTED_VALUE"""),"Hospital Militar Dr. C. Arvelo")</f>
        <v>Hospital Militar Dr. C. Arvelo</v>
      </c>
    </row>
    <row r="242">
      <c r="A242" s="44">
        <v>241.0</v>
      </c>
      <c r="B242" s="44" t="str">
        <f>IFERROR(__xludf.DUMMYFUNCTION("""COMPUTED_VALUE"""),"Hospital Universitario de Carac")</f>
        <v>Hospital Universitario de Carac</v>
      </c>
      <c r="C242" s="45" t="str">
        <f>IFERROR(__xludf.DUMMYFUNCTION("""COMPUTED_VALUE"""),"ABREU JOSE LUIS")</f>
        <v>ABREU JOSE LUIS</v>
      </c>
      <c r="D242" s="44">
        <f>IFERROR(__xludf.DUMMYFUNCTION("""COMPUTED_VALUE"""),47.0)</f>
        <v>47</v>
      </c>
      <c r="E242" s="44" t="str">
        <f>IFERROR(__xludf.DUMMYFUNCTION("""COMPUTED_VALUE"""),"15800038")</f>
        <v>15800038</v>
      </c>
      <c r="F242" s="44" t="str">
        <f>IFERROR(__xludf.DUMMYFUNCTION("""COMPUTED_VALUE"""),"")</f>
        <v/>
      </c>
      <c r="G242" s="44" t="str">
        <f>IFERROR(__xludf.DUMMYFUNCTION("""COMPUTED_VALUE""")," ")</f>
        <v> </v>
      </c>
      <c r="H242" s="44" t="str">
        <f>IFERROR(__xludf.DUMMYFUNCTION("""COMPUTED_VALUE""")," ")</f>
        <v> </v>
      </c>
      <c r="I242" s="44" t="str">
        <f>IFERROR(__xludf.DUMMYFUNCTION("""COMPUTED_VALUE"""),"Politraumatismo")</f>
        <v>Politraumatismo</v>
      </c>
      <c r="J242" s="44" t="str">
        <f>IFERROR(__xludf.DUMMYFUNCTION("""COMPUTED_VALUE"""),"")</f>
        <v/>
      </c>
      <c r="K242" s="42" t="str">
        <f>IFERROR(__xludf.DUMMYFUNCTION("""COMPUTED_VALUE"""),"Hospital Universitario de Carac")</f>
        <v>Hospital Universitario de Carac</v>
      </c>
    </row>
    <row r="243">
      <c r="A243" s="44">
        <v>242.0</v>
      </c>
      <c r="B243" s="44" t="str">
        <f>IFERROR(__xludf.DUMMYFUNCTION("""COMPUTED_VALUE"""),"Hospital Universitario de Carac")</f>
        <v>Hospital Universitario de Carac</v>
      </c>
      <c r="C243" s="45" t="str">
        <f>IFERROR(__xludf.DUMMYFUNCTION("""COMPUTED_VALUE"""),"ABREU JOSE")</f>
        <v>ABREU JOSE</v>
      </c>
      <c r="D243" s="44">
        <f>IFERROR(__xludf.DUMMYFUNCTION("""COMPUTED_VALUE"""),52.0)</f>
        <v>52</v>
      </c>
      <c r="E243" s="44" t="str">
        <f>IFERROR(__xludf.DUMMYFUNCTION("""COMPUTED_VALUE"""),"15810058")</f>
        <v>15810058</v>
      </c>
      <c r="F243" s="44" t="str">
        <f>IFERROR(__xludf.DUMMYFUNCTION("""COMPUTED_VALUE"""),"")</f>
        <v/>
      </c>
      <c r="G243" s="44" t="str">
        <f>IFERROR(__xludf.DUMMYFUNCTION("""COMPUTED_VALUE""")," ")</f>
        <v> </v>
      </c>
      <c r="H243" s="44" t="str">
        <f>IFERROR(__xludf.DUMMYFUNCTION("""COMPUTED_VALUE""")," ")</f>
        <v> </v>
      </c>
      <c r="I243" s="44" t="str">
        <f>IFERROR(__xludf.DUMMYFUNCTION("""COMPUTED_VALUE""")," ")</f>
        <v> </v>
      </c>
      <c r="J243" s="44" t="str">
        <f>IFERROR(__xludf.DUMMYFUNCTION("""COMPUTED_VALUE"""),"")</f>
        <v/>
      </c>
      <c r="K243" s="42" t="str">
        <f>IFERROR(__xludf.DUMMYFUNCTION("""COMPUTED_VALUE"""),"Hospital Universitario de Carac")</f>
        <v>Hospital Universitario de Carac</v>
      </c>
    </row>
    <row r="244">
      <c r="A244" s="44">
        <v>243.0</v>
      </c>
      <c r="B244" s="44" t="str">
        <f>IFERROR(__xludf.DUMMYFUNCTION("""COMPUTED_VALUE"""),"Hospital Vargas de Caracas")</f>
        <v>Hospital Vargas de Caracas</v>
      </c>
      <c r="C244" s="45" t="str">
        <f>IFERROR(__xludf.DUMMYFUNCTION("""COMPUTED_VALUE"""),"CEPE AQUILES")</f>
        <v>CEPE AQUILES</v>
      </c>
      <c r="D244" s="44">
        <f>IFERROR(__xludf.DUMMYFUNCTION("""COMPUTED_VALUE"""),91.0)</f>
        <v>91</v>
      </c>
      <c r="E244" s="44" t="str">
        <f>IFERROR(__xludf.DUMMYFUNCTION("""COMPUTED_VALUE"""),"1582202")</f>
        <v>1582202</v>
      </c>
      <c r="F244" s="44" t="str">
        <f>IFERROR(__xludf.DUMMYFUNCTION("""COMPUTED_VALUE""")," ")</f>
        <v> </v>
      </c>
      <c r="G244" s="44" t="str">
        <f>IFERROR(__xludf.DUMMYFUNCTION("""COMPUTED_VALUE"""),"")</f>
        <v/>
      </c>
      <c r="H244" s="44" t="str">
        <f>IFERROR(__xludf.DUMMYFUNCTION("""COMPUTED_VALUE"""),"La Guaira")</f>
        <v>La Guaira</v>
      </c>
      <c r="I244" s="44" t="str">
        <f>IFERROR(__xludf.DUMMYFUNCTION("""COMPUTED_VALUE"""),"UPT")</f>
        <v>UPT</v>
      </c>
      <c r="J244" s="44" t="str">
        <f>IFERROR(__xludf.DUMMYFUNCTION("""COMPUTED_VALUE"""),"")</f>
        <v/>
      </c>
      <c r="K244" s="42" t="str">
        <f>IFERROR(__xludf.DUMMYFUNCTION("""COMPUTED_VALUE"""),"Hospital Vargas de Caracas")</f>
        <v>Hospital Vargas de Caracas</v>
      </c>
    </row>
    <row r="245">
      <c r="A245" s="44">
        <v>244.0</v>
      </c>
      <c r="B245" s="44" t="str">
        <f>IFERROR(__xludf.DUMMYFUNCTION("""COMPUTED_VALUE"""),"Hospital Vargas de Caracas")</f>
        <v>Hospital Vargas de Caracas</v>
      </c>
      <c r="C245" s="45" t="str">
        <f>IFERROR(__xludf.DUMMYFUNCTION("""COMPUTED_VALUE"""),"CASTELLANO LUIS")</f>
        <v>CASTELLANO LUIS</v>
      </c>
      <c r="D245" s="44" t="str">
        <f>IFERROR(__xludf.DUMMYFUNCTION("""COMPUTED_VALUE""")," ")</f>
        <v> </v>
      </c>
      <c r="E245" s="44" t="str">
        <f>IFERROR(__xludf.DUMMYFUNCTION("""COMPUTED_VALUE"""),"15826899")</f>
        <v>15826899</v>
      </c>
      <c r="F245" s="44" t="str">
        <f>IFERROR(__xludf.DUMMYFUNCTION("""COMPUTED_VALUE""")," ")</f>
        <v> </v>
      </c>
      <c r="G245" s="44" t="str">
        <f>IFERROR(__xludf.DUMMYFUNCTION("""COMPUTED_VALUE"""),"")</f>
        <v/>
      </c>
      <c r="H245" s="44" t="str">
        <f>IFERROR(__xludf.DUMMYFUNCTION("""COMPUTED_VALUE""")," ")</f>
        <v> </v>
      </c>
      <c r="I245" s="44" t="str">
        <f>IFERROR(__xludf.DUMMYFUNCTION("""COMPUTED_VALUE""")," ")</f>
        <v> </v>
      </c>
      <c r="J245" s="44" t="str">
        <f>IFERROR(__xludf.DUMMYFUNCTION("""COMPUTED_VALUE"""),"")</f>
        <v/>
      </c>
      <c r="K245" s="42" t="str">
        <f>IFERROR(__xludf.DUMMYFUNCTION("""COMPUTED_VALUE"""),"Hospital Vargas de Caracas")</f>
        <v>Hospital Vargas de Caracas</v>
      </c>
    </row>
    <row r="246">
      <c r="A246" s="44">
        <v>245.0</v>
      </c>
      <c r="B246" s="44" t="str">
        <f>IFERROR(__xludf.DUMMYFUNCTION("""COMPUTED_VALUE"""),"Hospital Militar Dr. C. Arvelo")</f>
        <v>Hospital Militar Dr. C. Arvelo</v>
      </c>
      <c r="C246" s="45" t="str">
        <f>IFERROR(__xludf.DUMMYFUNCTION("""COMPUTED_VALUE"""),"Tricone Adrian")</f>
        <v>Tricone Adrian</v>
      </c>
      <c r="D246" s="44">
        <f>IFERROR(__xludf.DUMMYFUNCTION("""COMPUTED_VALUE"""),20.0)</f>
        <v>20</v>
      </c>
      <c r="E246" s="44" t="str">
        <f>IFERROR(__xludf.DUMMYFUNCTION("""COMPUTED_VALUE"""),"15831958")</f>
        <v>15831958</v>
      </c>
      <c r="F246" s="44" t="str">
        <f>IFERROR(__xludf.DUMMYFUNCTION("""COMPUTED_VALUE"""),"")</f>
        <v/>
      </c>
      <c r="G246" s="44" t="str">
        <f>IFERROR(__xludf.DUMMYFUNCTION("""COMPUTED_VALUE"""),"")</f>
        <v/>
      </c>
      <c r="H246" s="44" t="str">
        <f>IFERROR(__xludf.DUMMYFUNCTION("""COMPUTED_VALUE"""),"M")</f>
        <v>M</v>
      </c>
      <c r="I246" s="44" t="str">
        <f>IFERROR(__xludf.DUMMYFUNCTION("""COMPUTED_VALUE"""),"La Guaira Ampliación PNA")</f>
        <v>La Guaira Ampliación PNA</v>
      </c>
      <c r="J246" s="44" t="str">
        <f>IFERROR(__xludf.DUMMYFUNCTION("""COMPUTED_VALUE"""),"24/6/2026")</f>
        <v>24/6/2026</v>
      </c>
      <c r="K246" s="42" t="str">
        <f>IFERROR(__xludf.DUMMYFUNCTION("""COMPUTED_VALUE"""),"Hospital Militar Dr. C. Arvelo")</f>
        <v>Hospital Militar Dr. C. Arvelo</v>
      </c>
    </row>
    <row r="247">
      <c r="A247" s="44">
        <v>246.0</v>
      </c>
      <c r="B247" s="44" t="str">
        <f>IFERROR(__xludf.DUMMYFUNCTION("""COMPUTED_VALUE"""),"Hospital Dr. José Gregorio Hern")</f>
        <v>Hospital Dr. José Gregorio Hern</v>
      </c>
      <c r="C247" s="45" t="str">
        <f>IFERROR(__xludf.DUMMYFUNCTION("""COMPUTED_VALUE"""),"TORRES PARRA YERIXA D.")</f>
        <v>TORRES PARRA YERIXA D.</v>
      </c>
      <c r="D247" s="44" t="str">
        <f>IFERROR(__xludf.DUMMYFUNCTION("""COMPUTED_VALUE""")," ")</f>
        <v> </v>
      </c>
      <c r="E247" s="44" t="str">
        <f>IFERROR(__xludf.DUMMYFUNCTION("""COMPUTED_VALUE"""),"15834314")</f>
        <v>15834314</v>
      </c>
      <c r="F247" s="44" t="str">
        <f>IFERROR(__xludf.DUMMYFUNCTION("""COMPUTED_VALUE"""),"")</f>
        <v/>
      </c>
      <c r="G247" s="44" t="str">
        <f>IFERROR(__xludf.DUMMYFUNCTION("""COMPUTED_VALUE""")," ")</f>
        <v> </v>
      </c>
      <c r="H247" s="44" t="str">
        <f>IFERROR(__xludf.DUMMYFUNCTION("""COMPUTED_VALUE"""),"Ciudad Caribea")</f>
        <v>Ciudad Caribea</v>
      </c>
      <c r="I247" s="44" t="str">
        <f>IFERROR(__xludf.DUMMYFUNCTION("""COMPUTED_VALUE""")," ")</f>
        <v> </v>
      </c>
      <c r="J247" s="44" t="str">
        <f>IFERROR(__xludf.DUMMYFUNCTION("""COMPUTED_VALUE"""),"")</f>
        <v/>
      </c>
      <c r="K247" s="42" t="str">
        <f>IFERROR(__xludf.DUMMYFUNCTION("""COMPUTED_VALUE"""),"Hospital Dr. José Gregorio Hern")</f>
        <v>Hospital Dr. José Gregorio Hern</v>
      </c>
    </row>
    <row r="248">
      <c r="A248" s="44">
        <v>247.0</v>
      </c>
      <c r="B248" s="44" t="str">
        <f>IFERROR(__xludf.DUMMYFUNCTION("""COMPUTED_VALUE"""),"Hospital Universitario de Carac")</f>
        <v>Hospital Universitario de Carac</v>
      </c>
      <c r="C248" s="45" t="str">
        <f>IFERROR(__xludf.DUMMYFUNCTION("""COMPUTED_VALUE"""),"SANCHEZ ROSIBEL")</f>
        <v>SANCHEZ ROSIBEL</v>
      </c>
      <c r="D248" s="44">
        <f>IFERROR(__xludf.DUMMYFUNCTION("""COMPUTED_VALUE"""),43.0)</f>
        <v>43</v>
      </c>
      <c r="E248" s="44" t="str">
        <f>IFERROR(__xludf.DUMMYFUNCTION("""COMPUTED_VALUE"""),"15844713")</f>
        <v>15844713</v>
      </c>
      <c r="F248" s="44" t="str">
        <f>IFERROR(__xludf.DUMMYFUNCTION("""COMPUTED_VALUE"""),"")</f>
        <v/>
      </c>
      <c r="G248" s="44" t="str">
        <f>IFERROR(__xludf.DUMMYFUNCTION("""COMPUTED_VALUE""")," ")</f>
        <v> </v>
      </c>
      <c r="H248" s="44" t="str">
        <f>IFERROR(__xludf.DUMMYFUNCTION("""COMPUTED_VALUE""")," ")</f>
        <v> </v>
      </c>
      <c r="I248" s="44" t="str">
        <f>IFERROR(__xludf.DUMMYFUNCTION("""COMPUTED_VALUE"""),"Politraumatismo; Fx tobillo derecho; TCE leve")</f>
        <v>Politraumatismo; Fx tobillo derecho; TCE leve</v>
      </c>
      <c r="J248" s="44" t="str">
        <f>IFERROR(__xludf.DUMMYFUNCTION("""COMPUTED_VALUE"""),"")</f>
        <v/>
      </c>
      <c r="K248" s="42" t="str">
        <f>IFERROR(__xludf.DUMMYFUNCTION("""COMPUTED_VALUE"""),"Hospital Universitario de Carac")</f>
        <v>Hospital Universitario de Carac</v>
      </c>
    </row>
    <row r="249">
      <c r="A249" s="44">
        <v>248.0</v>
      </c>
      <c r="B249" s="44" t="str">
        <f>IFERROR(__xludf.DUMMYFUNCTION("""COMPUTED_VALUE"""),"Seguro Social La Guaira")</f>
        <v>Seguro Social La Guaira</v>
      </c>
      <c r="C249" s="45" t="str">
        <f>IFERROR(__xludf.DUMMYFUNCTION("""COMPUTED_VALUE"""),"JOHANA LOPEZ")</f>
        <v>JOHANA LOPEZ</v>
      </c>
      <c r="D249" s="44" t="str">
        <f>IFERROR(__xludf.DUMMYFUNCTION("""COMPUTED_VALUE""")," ")</f>
        <v> </v>
      </c>
      <c r="E249" s="44" t="str">
        <f>IFERROR(__xludf.DUMMYFUNCTION("""COMPUTED_VALUE"""),"158593870")</f>
        <v>158593870</v>
      </c>
      <c r="F249" s="44" t="str">
        <f>IFERROR(__xludf.DUMMYFUNCTION("""COMPUTED_VALUE"""),"")</f>
        <v/>
      </c>
      <c r="G249" s="44" t="str">
        <f>IFERROR(__xludf.DUMMYFUNCTION("""COMPUTED_VALUE""")," ")</f>
        <v> </v>
      </c>
      <c r="H249" s="44" t="str">
        <f>IFERROR(__xludf.DUMMYFUNCTION("""COMPUTED_VALUE"""),"Playa Grande")</f>
        <v>Playa Grande</v>
      </c>
      <c r="I249" s="44" t="str">
        <f>IFERROR(__xludf.DUMMYFUNCTION("""COMPUTED_VALUE""")," ")</f>
        <v> </v>
      </c>
      <c r="J249" s="44" t="str">
        <f>IFERROR(__xludf.DUMMYFUNCTION("""COMPUTED_VALUE"""),"")</f>
        <v/>
      </c>
      <c r="K249" s="42" t="str">
        <f>IFERROR(__xludf.DUMMYFUNCTION("""COMPUTED_VALUE"""),"Seguro Social La Guaira")</f>
        <v>Seguro Social La Guaira</v>
      </c>
    </row>
    <row r="250">
      <c r="A250" s="44">
        <v>249.0</v>
      </c>
      <c r="B250" s="44" t="str">
        <f>IFERROR(__xludf.DUMMYFUNCTION("""COMPUTED_VALUE"""),"Hospital Ana Francisca Pérez de")</f>
        <v>Hospital Ana Francisca Pérez de</v>
      </c>
      <c r="C250" s="45" t="str">
        <f>IFERROR(__xludf.DUMMYFUNCTION("""COMPUTED_VALUE"""),"ABARCA NEIULAN")</f>
        <v>ABARCA NEIULAN</v>
      </c>
      <c r="D250" s="44">
        <f>IFERROR(__xludf.DUMMYFUNCTION("""COMPUTED_VALUE"""),12.0)</f>
        <v>12</v>
      </c>
      <c r="E250" s="44" t="str">
        <f>IFERROR(__xludf.DUMMYFUNCTION("""COMPUTED_VALUE"""),"15881615")</f>
        <v>15881615</v>
      </c>
      <c r="F250" s="44" t="str">
        <f>IFERROR(__xludf.DUMMYFUNCTION("""COMPUTED_VALUE"""),"")</f>
        <v/>
      </c>
      <c r="G250" s="44" t="str">
        <f>IFERROR(__xludf.DUMMYFUNCTION("""COMPUTED_VALUE""")," ")</f>
        <v> </v>
      </c>
      <c r="H250" s="44" t="str">
        <f>IFERROR(__xludf.DUMMYFUNCTION("""COMPUTED_VALUE"""),"La Guaira")</f>
        <v>La Guaira</v>
      </c>
      <c r="I250" s="44" t="str">
        <f>IFERROR(__xludf.DUMMYFUNCTION("""COMPUTED_VALUE""")," ")</f>
        <v> </v>
      </c>
      <c r="J250" s="44" t="str">
        <f>IFERROR(__xludf.DUMMYFUNCTION("""COMPUTED_VALUE"""),"")</f>
        <v/>
      </c>
      <c r="K250" s="42" t="str">
        <f>IFERROR(__xludf.DUMMYFUNCTION("""COMPUTED_VALUE"""),"Hospital Ana Francisca Pérez de")</f>
        <v>Hospital Ana Francisca Pérez de</v>
      </c>
    </row>
    <row r="251">
      <c r="A251" s="44">
        <v>250.0</v>
      </c>
      <c r="B251" s="44" t="str">
        <f>IFERROR(__xludf.DUMMYFUNCTION("""COMPUTED_VALUE"""),"Hospital Ana Francisca Pérez de")</f>
        <v>Hospital Ana Francisca Pérez de</v>
      </c>
      <c r="C251" s="45" t="str">
        <f>IFERROR(__xludf.DUMMYFUNCTION("""COMPUTED_VALUE"""),"NEIDLIN ABREU")</f>
        <v>NEIDLIN ABREU</v>
      </c>
      <c r="D251" s="44">
        <f>IFERROR(__xludf.DUMMYFUNCTION("""COMPUTED_VALUE"""),42.0)</f>
        <v>42</v>
      </c>
      <c r="E251" s="44" t="str">
        <f>IFERROR(__xludf.DUMMYFUNCTION("""COMPUTED_VALUE"""),"158816150")</f>
        <v>158816150</v>
      </c>
      <c r="F251" s="44" t="str">
        <f>IFERROR(__xludf.DUMMYFUNCTION("""COMPUTED_VALUE"""),"")</f>
        <v/>
      </c>
      <c r="G251" s="44" t="str">
        <f>IFERROR(__xludf.DUMMYFUNCTION("""COMPUTED_VALUE""")," ")</f>
        <v> </v>
      </c>
      <c r="H251" s="44" t="str">
        <f>IFERROR(__xludf.DUMMYFUNCTION("""COMPUTED_VALUE"""),"La Guaira")</f>
        <v>La Guaira</v>
      </c>
      <c r="I251" s="44" t="str">
        <f>IFERROR(__xludf.DUMMYFUNCTION("""COMPUTED_VALUE""")," ")</f>
        <v> </v>
      </c>
      <c r="J251" s="44" t="str">
        <f>IFERROR(__xludf.DUMMYFUNCTION("""COMPUTED_VALUE"""),"")</f>
        <v/>
      </c>
      <c r="K251" s="42" t="str">
        <f>IFERROR(__xludf.DUMMYFUNCTION("""COMPUTED_VALUE"""),"🔍 BUSCAR PACIENTES")</f>
        <v>🔍 BUSCAR PACIENTES</v>
      </c>
    </row>
    <row r="252">
      <c r="A252" s="44">
        <v>251.0</v>
      </c>
      <c r="B252" s="44" t="str">
        <f>IFERROR(__xludf.DUMMYFUNCTION("""COMPUTED_VALUE"""),"H. Jose Maria Vargas LG")</f>
        <v>H. Jose Maria Vargas LG</v>
      </c>
      <c r="C252" s="45" t="str">
        <f>IFERROR(__xludf.DUMMYFUNCTION("""COMPUTED_VALUE"""),"RIVAS RICHARD")</f>
        <v>RIVAS RICHARD</v>
      </c>
      <c r="D252" s="44" t="str">
        <f>IFERROR(__xludf.DUMMYFUNCTION("""COMPUTED_VALUE""")," ")</f>
        <v> </v>
      </c>
      <c r="E252" s="44" t="str">
        <f>IFERROR(__xludf.DUMMYFUNCTION("""COMPUTED_VALUE"""),"15929488")</f>
        <v>15929488</v>
      </c>
      <c r="F252" s="44" t="str">
        <f>IFERROR(__xludf.DUMMYFUNCTION("""COMPUTED_VALUE"""),"")</f>
        <v/>
      </c>
      <c r="G252" s="44" t="str">
        <f>IFERROR(__xludf.DUMMYFUNCTION("""COMPUTED_VALUE""")," ")</f>
        <v> </v>
      </c>
      <c r="H252" s="44" t="str">
        <f>IFERROR(__xludf.DUMMYFUNCTION("""COMPUTED_VALUE"""),"Camurichico")</f>
        <v>Camurichico</v>
      </c>
      <c r="I252" s="44" t="str">
        <f>IFERROR(__xludf.DUMMYFUNCTION("""COMPUTED_VALUE""")," ")</f>
        <v> </v>
      </c>
      <c r="J252" s="44" t="str">
        <f>IFERROR(__xludf.DUMMYFUNCTION("""COMPUTED_VALUE"""),"")</f>
        <v/>
      </c>
      <c r="K252" s="42" t="str">
        <f>IFERROR(__xludf.DUMMYFUNCTION("""COMPUTED_VALUE"""),"H. Jose Maria Vargas LG")</f>
        <v>H. Jose Maria Vargas LG</v>
      </c>
    </row>
    <row r="253">
      <c r="A253" s="44">
        <v>252.0</v>
      </c>
      <c r="B253" s="44" t="str">
        <f>IFERROR(__xludf.DUMMYFUNCTION("""COMPUTED_VALUE"""),"Seguro Social La Guaira")</f>
        <v>Seguro Social La Guaira</v>
      </c>
      <c r="C253" s="45" t="str">
        <f>IFERROR(__xludf.DUMMYFUNCTION("""COMPUTED_VALUE"""),"RICHARD RIVAS")</f>
        <v>RICHARD RIVAS</v>
      </c>
      <c r="D253" s="44" t="str">
        <f>IFERROR(__xludf.DUMMYFUNCTION("""COMPUTED_VALUE""")," ")</f>
        <v> </v>
      </c>
      <c r="E253" s="44" t="str">
        <f>IFERROR(__xludf.DUMMYFUNCTION("""COMPUTED_VALUE"""),"159294880")</f>
        <v>159294880</v>
      </c>
      <c r="F253" s="44" t="str">
        <f>IFERROR(__xludf.DUMMYFUNCTION("""COMPUTED_VALUE"""),"")</f>
        <v/>
      </c>
      <c r="G253" s="44" t="str">
        <f>IFERROR(__xludf.DUMMYFUNCTION("""COMPUTED_VALUE""")," ")</f>
        <v> </v>
      </c>
      <c r="H253" s="44" t="str">
        <f>IFERROR(__xludf.DUMMYFUNCTION("""COMPUTED_VALUE"""),"Camuri Chico")</f>
        <v>Camuri Chico</v>
      </c>
      <c r="I253" s="44" t="str">
        <f>IFERROR(__xludf.DUMMYFUNCTION("""COMPUTED_VALUE""")," ")</f>
        <v> </v>
      </c>
      <c r="J253" s="44" t="str">
        <f>IFERROR(__xludf.DUMMYFUNCTION("""COMPUTED_VALUE"""),"")</f>
        <v/>
      </c>
      <c r="K253" s="42" t="str">
        <f>IFERROR(__xludf.DUMMYFUNCTION("""COMPUTED_VALUE"""),"Seguro Social La Guaira")</f>
        <v>Seguro Social La Guaira</v>
      </c>
    </row>
    <row r="254">
      <c r="A254" s="44">
        <v>253.0</v>
      </c>
      <c r="B254" s="44" t="str">
        <f>IFERROR(__xludf.DUMMYFUNCTION("""COMPUTED_VALUE"""),"Hospital Militar Dr. C. Arvelo")</f>
        <v>Hospital Militar Dr. C. Arvelo</v>
      </c>
      <c r="C254" s="45" t="str">
        <f>IFERROR(__xludf.DUMMYFUNCTION("""COMPUTED_VALUE"""),"Castillo Alba")</f>
        <v>Castillo Alba</v>
      </c>
      <c r="D254" s="44">
        <f>IFERROR(__xludf.DUMMYFUNCTION("""COMPUTED_VALUE"""),42.0)</f>
        <v>42</v>
      </c>
      <c r="E254" s="44" t="str">
        <f>IFERROR(__xludf.DUMMYFUNCTION("""COMPUTED_VALUE"""),"15947646")</f>
        <v>15947646</v>
      </c>
      <c r="F254" s="44" t="str">
        <f>IFERROR(__xludf.DUMMYFUNCTION("""COMPUTED_VALUE"""),"")</f>
        <v/>
      </c>
      <c r="G254" s="44" t="str">
        <f>IFERROR(__xludf.DUMMYFUNCTION("""COMPUTED_VALUE"""),"")</f>
        <v/>
      </c>
      <c r="H254" s="44" t="str">
        <f>IFERROR(__xludf.DUMMYFUNCTION("""COMPUTED_VALUE"""),"F")</f>
        <v>F</v>
      </c>
      <c r="I254" s="44" t="str">
        <f>IFERROR(__xludf.DUMMYFUNCTION("""COMPUTED_VALUE"""),"San Martín PNA")</f>
        <v>San Martín PNA</v>
      </c>
      <c r="J254" s="44" t="str">
        <f>IFERROR(__xludf.DUMMYFUNCTION("""COMPUTED_VALUE"""),"24/6/2026")</f>
        <v>24/6/2026</v>
      </c>
      <c r="K254" s="42" t="str">
        <f>IFERROR(__xludf.DUMMYFUNCTION("""COMPUTED_VALUE"""),"Hospital Militar Dr. C. Arvelo")</f>
        <v>Hospital Militar Dr. C. Arvelo</v>
      </c>
    </row>
    <row r="255">
      <c r="A255" s="44">
        <v>254.0</v>
      </c>
      <c r="B255" s="44" t="str">
        <f>IFERROR(__xludf.DUMMYFUNCTION("""COMPUTED_VALUE"""),"Hospital Vargas de Caracas")</f>
        <v>Hospital Vargas de Caracas</v>
      </c>
      <c r="C255" s="45" t="str">
        <f>IFERROR(__xludf.DUMMYFUNCTION("""COMPUTED_VALUE"""),"KALLERLEY GARCIA")</f>
        <v>KALLERLEY GARCIA</v>
      </c>
      <c r="D255" s="44" t="str">
        <f>IFERROR(__xludf.DUMMYFUNCTION("""COMPUTED_VALUE""")," ")</f>
        <v> </v>
      </c>
      <c r="E255" s="44" t="str">
        <f>IFERROR(__xludf.DUMMYFUNCTION("""COMPUTED_VALUE"""),"15967267")</f>
        <v>15967267</v>
      </c>
      <c r="F255" s="44" t="str">
        <f>IFERROR(__xludf.DUMMYFUNCTION("""COMPUTED_VALUE""")," ")</f>
        <v> </v>
      </c>
      <c r="G255" s="44" t="str">
        <f>IFERROR(__xludf.DUMMYFUNCTION("""COMPUTED_VALUE"""),"")</f>
        <v/>
      </c>
      <c r="H255" s="44" t="str">
        <f>IFERROR(__xludf.DUMMYFUNCTION("""COMPUTED_VALUE"""),"Guaira")</f>
        <v>Guaira</v>
      </c>
      <c r="I255" s="44" t="str">
        <f>IFERROR(__xludf.DUMMYFUNCTION("""COMPUTED_VALUE""")," ")</f>
        <v> </v>
      </c>
      <c r="J255" s="44" t="str">
        <f>IFERROR(__xludf.DUMMYFUNCTION("""COMPUTED_VALUE"""),"")</f>
        <v/>
      </c>
      <c r="K255" s="42" t="str">
        <f>IFERROR(__xludf.DUMMYFUNCTION("""COMPUTED_VALUE"""),"Hospital Vargas de Caracas")</f>
        <v>Hospital Vargas de Caracas</v>
      </c>
    </row>
    <row r="256">
      <c r="A256" s="44">
        <v>255.0</v>
      </c>
      <c r="B256" s="44" t="str">
        <f>IFERROR(__xludf.DUMMYFUNCTION("""COMPUTED_VALUE"""),"Hospital Ana Francisca Pérez de")</f>
        <v>Hospital Ana Francisca Pérez de</v>
      </c>
      <c r="C256" s="45" t="str">
        <f>IFERROR(__xludf.DUMMYFUNCTION("""COMPUTED_VALUE"""),"BRICENO RONALD")</f>
        <v>BRICENO RONALD</v>
      </c>
      <c r="D256" s="44">
        <f>IFERROR(__xludf.DUMMYFUNCTION("""COMPUTED_VALUE"""),43.0)</f>
        <v>43</v>
      </c>
      <c r="E256" s="44" t="str">
        <f>IFERROR(__xludf.DUMMYFUNCTION("""COMPUTED_VALUE"""),"16008151")</f>
        <v>16008151</v>
      </c>
      <c r="F256" s="44" t="str">
        <f>IFERROR(__xludf.DUMMYFUNCTION("""COMPUTED_VALUE"""),"")</f>
        <v/>
      </c>
      <c r="G256" s="44" t="str">
        <f>IFERROR(__xludf.DUMMYFUNCTION("""COMPUTED_VALUE""")," ")</f>
        <v> </v>
      </c>
      <c r="H256" s="44" t="str">
        <f>IFERROR(__xludf.DUMMYFUNCTION("""COMPUTED_VALUE""")," ")</f>
        <v> </v>
      </c>
      <c r="I256" s="44" t="str">
        <f>IFERROR(__xludf.DUMMYFUNCTION("""COMPUTED_VALUE"""),"Internado")</f>
        <v>Internado</v>
      </c>
      <c r="J256" s="44" t="str">
        <f>IFERROR(__xludf.DUMMYFUNCTION("""COMPUTED_VALUE"""),"")</f>
        <v/>
      </c>
      <c r="K256" s="42" t="str">
        <f>IFERROR(__xludf.DUMMYFUNCTION("""COMPUTED_VALUE"""),"Hospital Ana Francisca Pérez de")</f>
        <v>Hospital Ana Francisca Pérez de</v>
      </c>
    </row>
    <row r="257">
      <c r="A257" s="44">
        <v>256.0</v>
      </c>
      <c r="B257" s="44" t="str">
        <f>IFERROR(__xludf.DUMMYFUNCTION("""COMPUTED_VALUE"""),"Hospital Militar Dr. C. Arvelo")</f>
        <v>Hospital Militar Dr. C. Arvelo</v>
      </c>
      <c r="C257" s="45" t="str">
        <f>IFERROR(__xludf.DUMMYFUNCTION("""COMPUTED_VALUE"""),"Pérez Juan")</f>
        <v>Pérez Juan</v>
      </c>
      <c r="D257" s="44">
        <f>IFERROR(__xludf.DUMMYFUNCTION("""COMPUTED_VALUE"""),42.0)</f>
        <v>42</v>
      </c>
      <c r="E257" s="44" t="str">
        <f>IFERROR(__xludf.DUMMYFUNCTION("""COMPUTED_VALUE"""),"16083970")</f>
        <v>16083970</v>
      </c>
      <c r="F257" s="44" t="str">
        <f>IFERROR(__xludf.DUMMYFUNCTION("""COMPUTED_VALUE"""),"")</f>
        <v/>
      </c>
      <c r="G257" s="44" t="str">
        <f>IFERROR(__xludf.DUMMYFUNCTION("""COMPUTED_VALUE"""),"")</f>
        <v/>
      </c>
      <c r="H257" s="44" t="str">
        <f>IFERROR(__xludf.DUMMYFUNCTION("""COMPUTED_VALUE"""),"M")</f>
        <v>M</v>
      </c>
      <c r="I257" s="44" t="str">
        <f>IFERROR(__xludf.DUMMYFUNCTION("""COMPUTED_VALUE"""),"San Martín PNA")</f>
        <v>San Martín PNA</v>
      </c>
      <c r="J257" s="44" t="str">
        <f>IFERROR(__xludf.DUMMYFUNCTION("""COMPUTED_VALUE"""),"24/6/2026")</f>
        <v>24/6/2026</v>
      </c>
      <c r="K257" s="42" t="str">
        <f>IFERROR(__xludf.DUMMYFUNCTION("""COMPUTED_VALUE"""),"Hospital Militar Dr. C. Arvelo")</f>
        <v>Hospital Militar Dr. C. Arvelo</v>
      </c>
    </row>
    <row r="258">
      <c r="A258" s="44">
        <v>257.0</v>
      </c>
      <c r="B258" s="44" t="str">
        <f>IFERROR(__xludf.DUMMYFUNCTION("""COMPUTED_VALUE"""),"Hospital Universitario de Carac")</f>
        <v>Hospital Universitario de Carac</v>
      </c>
      <c r="C258" s="45" t="str">
        <f>IFERROR(__xludf.DUMMYFUNCTION("""COMPUTED_VALUE"""),"SILVA ABRIL")</f>
        <v>SILVA ABRIL</v>
      </c>
      <c r="D258" s="44">
        <f>IFERROR(__xludf.DUMMYFUNCTION("""COMPUTED_VALUE"""),6.0)</f>
        <v>6</v>
      </c>
      <c r="E258" s="44" t="str">
        <f>IFERROR(__xludf.DUMMYFUNCTION("""COMPUTED_VALUE"""),"16106829")</f>
        <v>16106829</v>
      </c>
      <c r="F258" s="44" t="str">
        <f>IFERROR(__xludf.DUMMYFUNCTION("""COMPUTED_VALUE"""),"")</f>
        <v/>
      </c>
      <c r="G258" s="44" t="str">
        <f>IFERROR(__xludf.DUMMYFUNCTION("""COMPUTED_VALUE""")," ")</f>
        <v> </v>
      </c>
      <c r="H258" s="44" t="str">
        <f>IFERROR(__xludf.DUMMYFUNCTION("""COMPUTED_VALUE""")," ")</f>
        <v> </v>
      </c>
      <c r="I258" s="44" t="str">
        <f>IFERROR(__xludf.DUMMYFUNCTION("""COMPUTED_VALUE"""),"Politraumatismo")</f>
        <v>Politraumatismo</v>
      </c>
      <c r="J258" s="44" t="str">
        <f>IFERROR(__xludf.DUMMYFUNCTION("""COMPUTED_VALUE"""),"")</f>
        <v/>
      </c>
      <c r="K258" s="42" t="str">
        <f>IFERROR(__xludf.DUMMYFUNCTION("""COMPUTED_VALUE"""),"Hospital Universitario de Carac")</f>
        <v>Hospital Universitario de Carac</v>
      </c>
    </row>
    <row r="259">
      <c r="A259" s="44">
        <v>258.0</v>
      </c>
      <c r="B259" s="44" t="str">
        <f>IFERROR(__xludf.DUMMYFUNCTION("""COMPUTED_VALUE"""),"Hospital Domingo Luciani")</f>
        <v>Hospital Domingo Luciani</v>
      </c>
      <c r="C259" s="45" t="str">
        <f>IFERROR(__xludf.DUMMYFUNCTION("""COMPUTED_VALUE"""),"VARGAS YSABEL")</f>
        <v>VARGAS YSABEL</v>
      </c>
      <c r="D259" s="44">
        <f>IFERROR(__xludf.DUMMYFUNCTION("""COMPUTED_VALUE"""),80.0)</f>
        <v>80</v>
      </c>
      <c r="E259" s="44" t="str">
        <f>IFERROR(__xludf.DUMMYFUNCTION("""COMPUTED_VALUE"""),"16116675")</f>
        <v>16116675</v>
      </c>
      <c r="F259" s="44" t="str">
        <f>IFERROR(__xludf.DUMMYFUNCTION("""COMPUTED_VALUE"""),"")</f>
        <v/>
      </c>
      <c r="G259" s="44" t="str">
        <f>IFERROR(__xludf.DUMMYFUNCTION("""COMPUTED_VALUE""")," ")</f>
        <v> </v>
      </c>
      <c r="H259" s="44" t="str">
        <f>IFERROR(__xludf.DUMMYFUNCTION("""COMPUTED_VALUE""")," ")</f>
        <v> </v>
      </c>
      <c r="I259" s="44" t="str">
        <f>IFERROR(__xludf.DUMMYFUNCTION("""COMPUTED_VALUE"""),"Internado; TRM (Misma C.I. que Esteban Deazat)")</f>
        <v>Internado; TRM (Misma C.I. que Esteban Deazat)</v>
      </c>
      <c r="J259" s="44" t="str">
        <f>IFERROR(__xludf.DUMMYFUNCTION("""COMPUTED_VALUE"""),"")</f>
        <v/>
      </c>
      <c r="K259" s="42" t="str">
        <f>IFERROR(__xludf.DUMMYFUNCTION("""COMPUTED_VALUE"""),"🔍 BUSCAR PACIENTES")</f>
        <v>🔍 BUSCAR PACIENTES</v>
      </c>
    </row>
    <row r="260">
      <c r="A260" s="44">
        <v>259.0</v>
      </c>
      <c r="B260" s="44" t="str">
        <f>IFERROR(__xludf.DUMMYFUNCTION("""COMPUTED_VALUE"""),"Hospital Pérez Carreño")</f>
        <v>Hospital Pérez Carreño</v>
      </c>
      <c r="C260" s="45" t="str">
        <f>IFERROR(__xludf.DUMMYFUNCTION("""COMPUTED_VALUE"""),"AVEVZA WILIAN")</f>
        <v>AVEVZA WILIAN</v>
      </c>
      <c r="D260" s="44" t="str">
        <f>IFERROR(__xludf.DUMMYFUNCTION("""COMPUTED_VALUE""")," ")</f>
        <v> </v>
      </c>
      <c r="E260" s="44" t="str">
        <f>IFERROR(__xludf.DUMMYFUNCTION("""COMPUTED_VALUE"""),"16125101")</f>
        <v>16125101</v>
      </c>
      <c r="F260" s="44" t="str">
        <f>IFERROR(__xludf.DUMMYFUNCTION("""COMPUTED_VALUE"""),"")</f>
        <v/>
      </c>
      <c r="G260" s="44" t="str">
        <f>IFERROR(__xludf.DUMMYFUNCTION("""COMPUTED_VALUE""")," ")</f>
        <v> </v>
      </c>
      <c r="H260" s="44" t="str">
        <f>IFERROR(__xludf.DUMMYFUNCTION("""COMPUTED_VALUE""")," ")</f>
        <v> </v>
      </c>
      <c r="I260" s="44" t="str">
        <f>IFERROR(__xludf.DUMMYFUNCTION("""COMPUTED_VALUE""")," ")</f>
        <v> </v>
      </c>
      <c r="J260" s="44" t="str">
        <f>IFERROR(__xludf.DUMMYFUNCTION("""COMPUTED_VALUE"""),"25/06/2026")</f>
        <v>25/06/2026</v>
      </c>
      <c r="K260" s="42" t="str">
        <f>IFERROR(__xludf.DUMMYFUNCTION("""COMPUTED_VALUE"""),"Hospital Pérez Carreño")</f>
        <v>Hospital Pérez Carreño</v>
      </c>
    </row>
    <row r="261">
      <c r="A261" s="44">
        <v>260.0</v>
      </c>
      <c r="B261" s="44" t="str">
        <f>IFERROR(__xludf.DUMMYFUNCTION("""COMPUTED_VALUE"""),"Hospital Pérez Carreño")</f>
        <v>Hospital Pérez Carreño</v>
      </c>
      <c r="C261" s="45" t="str">
        <f>IFERROR(__xludf.DUMMYFUNCTION("""COMPUTED_VALUE"""),"WILIAN ALVAREZ")</f>
        <v>WILIAN ALVAREZ</v>
      </c>
      <c r="D261" s="44" t="str">
        <f>IFERROR(__xludf.DUMMYFUNCTION("""COMPUTED_VALUE""")," ")</f>
        <v> </v>
      </c>
      <c r="E261" s="44" t="str">
        <f>IFERROR(__xludf.DUMMYFUNCTION("""COMPUTED_VALUE"""),"161251010")</f>
        <v>161251010</v>
      </c>
      <c r="F261" s="44" t="str">
        <f>IFERROR(__xludf.DUMMYFUNCTION("""COMPUTED_VALUE"""),"")</f>
        <v/>
      </c>
      <c r="G261" s="44" t="str">
        <f>IFERROR(__xludf.DUMMYFUNCTION("""COMPUTED_VALUE""")," ")</f>
        <v> </v>
      </c>
      <c r="H261" s="44" t="str">
        <f>IFERROR(__xludf.DUMMYFUNCTION("""COMPUTED_VALUE""")," ")</f>
        <v> </v>
      </c>
      <c r="I261" s="44" t="str">
        <f>IFERROR(__xludf.DUMMYFUNCTION("""COMPUTED_VALUE""")," ")</f>
        <v> </v>
      </c>
      <c r="J261" s="44" t="str">
        <f>IFERROR(__xludf.DUMMYFUNCTION("""COMPUTED_VALUE"""),"25/06/2026")</f>
        <v>25/06/2026</v>
      </c>
      <c r="K261" s="42" t="str">
        <f>IFERROR(__xludf.DUMMYFUNCTION("""COMPUTED_VALUE"""),"Hospital Pérez Carreño")</f>
        <v>Hospital Pérez Carreño</v>
      </c>
    </row>
    <row r="262">
      <c r="A262" s="44">
        <v>261.0</v>
      </c>
      <c r="B262" s="44" t="str">
        <f>IFERROR(__xludf.DUMMYFUNCTION("""COMPUTED_VALUE"""),"Hospital Militar Dr. C. Arvelo")</f>
        <v>Hospital Militar Dr. C. Arvelo</v>
      </c>
      <c r="C262" s="45" t="str">
        <f>IFERROR(__xludf.DUMMYFUNCTION("""COMPUTED_VALUE"""),"Quao Suylin")</f>
        <v>Quao Suylin</v>
      </c>
      <c r="D262" s="44">
        <f>IFERROR(__xludf.DUMMYFUNCTION("""COMPUTED_VALUE"""),40.0)</f>
        <v>40</v>
      </c>
      <c r="E262" s="44" t="str">
        <f>IFERROR(__xludf.DUMMYFUNCTION("""COMPUTED_VALUE"""),"16135135")</f>
        <v>16135135</v>
      </c>
      <c r="F262" s="44" t="str">
        <f>IFERROR(__xludf.DUMMYFUNCTION("""COMPUTED_VALUE"""),"")</f>
        <v/>
      </c>
      <c r="G262" s="44" t="str">
        <f>IFERROR(__xludf.DUMMYFUNCTION("""COMPUTED_VALUE"""),"")</f>
        <v/>
      </c>
      <c r="H262" s="44" t="str">
        <f>IFERROR(__xludf.DUMMYFUNCTION("""COMPUTED_VALUE"""),"F")</f>
        <v>F</v>
      </c>
      <c r="I262" s="44" t="str">
        <f>IFERROR(__xludf.DUMMYFUNCTION("""COMPUTED_VALUE"""),"La Guaira PNA")</f>
        <v>La Guaira PNA</v>
      </c>
      <c r="J262" s="44" t="str">
        <f>IFERROR(__xludf.DUMMYFUNCTION("""COMPUTED_VALUE"""),"24/6/2026")</f>
        <v>24/6/2026</v>
      </c>
      <c r="K262" s="42" t="str">
        <f>IFERROR(__xludf.DUMMYFUNCTION("""COMPUTED_VALUE"""),"Hospital Militar Dr. C. Arvelo")</f>
        <v>Hospital Militar Dr. C. Arvelo</v>
      </c>
    </row>
    <row r="263">
      <c r="A263" s="44">
        <v>262.0</v>
      </c>
      <c r="B263" s="44" t="str">
        <f>IFERROR(__xludf.DUMMYFUNCTION("""COMPUTED_VALUE"""),"Hospital Militar Dr. C. Arvelo")</f>
        <v>Hospital Militar Dr. C. Arvelo</v>
      </c>
      <c r="C263" s="45" t="str">
        <f>IFERROR(__xludf.DUMMYFUNCTION("""COMPUTED_VALUE"""),"Pesqueda Jerry Jonny")</f>
        <v>Pesqueda Jerry Jonny</v>
      </c>
      <c r="D263" s="44">
        <f>IFERROR(__xludf.DUMMYFUNCTION("""COMPUTED_VALUE"""),42.0)</f>
        <v>42</v>
      </c>
      <c r="E263" s="44" t="str">
        <f>IFERROR(__xludf.DUMMYFUNCTION("""COMPUTED_VALUE"""),"16147144")</f>
        <v>16147144</v>
      </c>
      <c r="F263" s="44" t="str">
        <f>IFERROR(__xludf.DUMMYFUNCTION("""COMPUTED_VALUE"""),"")</f>
        <v/>
      </c>
      <c r="G263" s="44" t="str">
        <f>IFERROR(__xludf.DUMMYFUNCTION("""COMPUTED_VALUE"""),"")</f>
        <v/>
      </c>
      <c r="H263" s="44" t="str">
        <f>IFERROR(__xludf.DUMMYFUNCTION("""COMPUTED_VALUE"""),"M")</f>
        <v>M</v>
      </c>
      <c r="I263" s="44" t="str">
        <f>IFERROR(__xludf.DUMMYFUNCTION("""COMPUTED_VALUE"""),"El Paraíso C.C. PNA")</f>
        <v>El Paraíso C.C. PNA</v>
      </c>
      <c r="J263" s="44" t="str">
        <f>IFERROR(__xludf.DUMMYFUNCTION("""COMPUTED_VALUE"""),"24/6/2026")</f>
        <v>24/6/2026</v>
      </c>
      <c r="K263" s="42" t="str">
        <f>IFERROR(__xludf.DUMMYFUNCTION("""COMPUTED_VALUE"""),"Hospital Militar Dr. C. Arvelo")</f>
        <v>Hospital Militar Dr. C. Arvelo</v>
      </c>
    </row>
    <row r="264">
      <c r="A264" s="44">
        <v>263.0</v>
      </c>
      <c r="B264" s="44" t="str">
        <f>IFERROR(__xludf.DUMMYFUNCTION("""COMPUTED_VALUE"""),"Hospital Universitario de Carac")</f>
        <v>Hospital Universitario de Carac</v>
      </c>
      <c r="C264" s="45" t="str">
        <f>IFERROR(__xludf.DUMMYFUNCTION("""COMPUTED_VALUE"""),"RODRIGUEZ MAIKEL")</f>
        <v>RODRIGUEZ MAIKEL</v>
      </c>
      <c r="D264" s="44">
        <f>IFERROR(__xludf.DUMMYFUNCTION("""COMPUTED_VALUE"""),42.0)</f>
        <v>42</v>
      </c>
      <c r="E264" s="44" t="str">
        <f>IFERROR(__xludf.DUMMYFUNCTION("""COMPUTED_VALUE"""),"16208203")</f>
        <v>16208203</v>
      </c>
      <c r="F264" s="44" t="str">
        <f>IFERROR(__xludf.DUMMYFUNCTION("""COMPUTED_VALUE"""),"")</f>
        <v/>
      </c>
      <c r="G264" s="44" t="str">
        <f>IFERROR(__xludf.DUMMYFUNCTION("""COMPUTED_VALUE"""),"0412-2091099")</f>
        <v>0412-2091099</v>
      </c>
      <c r="H264" s="44" t="str">
        <f>IFERROR(__xludf.DUMMYFUNCTION("""COMPUTED_VALUE""")," ")</f>
        <v> </v>
      </c>
      <c r="I264" s="44" t="str">
        <f>IFERROR(__xludf.DUMMYFUNCTION("""COMPUTED_VALUE""")," ")</f>
        <v> </v>
      </c>
      <c r="J264" s="44" t="str">
        <f>IFERROR(__xludf.DUMMYFUNCTION("""COMPUTED_VALUE"""),"")</f>
        <v/>
      </c>
      <c r="K264" s="42" t="str">
        <f>IFERROR(__xludf.DUMMYFUNCTION("""COMPUTED_VALUE"""),"Hospital Universitario de Carac")</f>
        <v>Hospital Universitario de Carac</v>
      </c>
    </row>
    <row r="265">
      <c r="A265" s="44">
        <v>264.0</v>
      </c>
      <c r="B265" s="44" t="str">
        <f>IFERROR(__xludf.DUMMYFUNCTION("""COMPUTED_VALUE"""),"Seguro Social La Guaira")</f>
        <v>Seguro Social La Guaira</v>
      </c>
      <c r="C265" s="45" t="str">
        <f>IFERROR(__xludf.DUMMYFUNCTION("""COMPUTED_VALUE"""),"JULIBE GUTIERREZ")</f>
        <v>JULIBE GUTIERREZ</v>
      </c>
      <c r="D265" s="44" t="str">
        <f>IFERROR(__xludf.DUMMYFUNCTION("""COMPUTED_VALUE""")," ")</f>
        <v> </v>
      </c>
      <c r="E265" s="44" t="str">
        <f>IFERROR(__xludf.DUMMYFUNCTION("""COMPUTED_VALUE"""),"163093760")</f>
        <v>163093760</v>
      </c>
      <c r="F265" s="44" t="str">
        <f>IFERROR(__xludf.DUMMYFUNCTION("""COMPUTED_VALUE"""),"")</f>
        <v/>
      </c>
      <c r="G265" s="44" t="str">
        <f>IFERROR(__xludf.DUMMYFUNCTION("""COMPUTED_VALUE""")," ")</f>
        <v> </v>
      </c>
      <c r="H265" s="44" t="str">
        <f>IFERROR(__xludf.DUMMYFUNCTION("""COMPUTED_VALUE"""),"Caribe / Macuto")</f>
        <v>Caribe / Macuto</v>
      </c>
      <c r="I265" s="44" t="str">
        <f>IFERROR(__xludf.DUMMYFUNCTION("""COMPUTED_VALUE""")," ")</f>
        <v> </v>
      </c>
      <c r="J265" s="44" t="str">
        <f>IFERROR(__xludf.DUMMYFUNCTION("""COMPUTED_VALUE"""),"")</f>
        <v/>
      </c>
      <c r="K265" s="42" t="str">
        <f>IFERROR(__xludf.DUMMYFUNCTION("""COMPUTED_VALUE"""),"Seguro Social La Guaira")</f>
        <v>Seguro Social La Guaira</v>
      </c>
    </row>
    <row r="266">
      <c r="A266" s="44">
        <v>265.0</v>
      </c>
      <c r="B266" s="44" t="str">
        <f>IFERROR(__xludf.DUMMYFUNCTION("""COMPUTED_VALUE"""),"Hospital Pérez Carreño")</f>
        <v>Hospital Pérez Carreño</v>
      </c>
      <c r="C266" s="45" t="str">
        <f>IFERROR(__xludf.DUMMYFUNCTION("""COMPUTED_VALUE"""),"FENEO ANGAL")</f>
        <v>FENEO ANGAL</v>
      </c>
      <c r="D266" s="44" t="str">
        <f>IFERROR(__xludf.DUMMYFUNCTION("""COMPUTED_VALUE""")," ")</f>
        <v> </v>
      </c>
      <c r="E266" s="44" t="str">
        <f>IFERROR(__xludf.DUMMYFUNCTION("""COMPUTED_VALUE"""),"16310014")</f>
        <v>16310014</v>
      </c>
      <c r="F266" s="44" t="str">
        <f>IFERROR(__xludf.DUMMYFUNCTION("""COMPUTED_VALUE"""),"")</f>
        <v/>
      </c>
      <c r="G266" s="44" t="str">
        <f>IFERROR(__xludf.DUMMYFUNCTION("""COMPUTED_VALUE""")," ")</f>
        <v> </v>
      </c>
      <c r="H266" s="44" t="str">
        <f>IFERROR(__xludf.DUMMYFUNCTION("""COMPUTED_VALUE""")," ")</f>
        <v> </v>
      </c>
      <c r="I266" s="44" t="str">
        <f>IFERROR(__xludf.DUMMYFUNCTION("""COMPUTED_VALUE""")," ")</f>
        <v> </v>
      </c>
      <c r="J266" s="44" t="str">
        <f>IFERROR(__xludf.DUMMYFUNCTION("""COMPUTED_VALUE"""),"25/06/2026")</f>
        <v>25/06/2026</v>
      </c>
      <c r="K266" s="42" t="str">
        <f>IFERROR(__xludf.DUMMYFUNCTION("""COMPUTED_VALUE"""),"Hospital Pérez Carreño")</f>
        <v>Hospital Pérez Carreño</v>
      </c>
    </row>
    <row r="267">
      <c r="A267" s="44">
        <v>266.0</v>
      </c>
      <c r="B267" s="44" t="str">
        <f>IFERROR(__xludf.DUMMYFUNCTION("""COMPUTED_VALUE"""),"Hospital Pérez Carreño")</f>
        <v>Hospital Pérez Carreño</v>
      </c>
      <c r="C267" s="45" t="str">
        <f>IFERROR(__xludf.DUMMYFUNCTION("""COMPUTED_VALUE"""),"ANGEL FERNANDEZ")</f>
        <v>ANGEL FERNANDEZ</v>
      </c>
      <c r="D267" s="44" t="str">
        <f>IFERROR(__xludf.DUMMYFUNCTION("""COMPUTED_VALUE""")," ")</f>
        <v> </v>
      </c>
      <c r="E267" s="44" t="str">
        <f>IFERROR(__xludf.DUMMYFUNCTION("""COMPUTED_VALUE"""),"163100140")</f>
        <v>163100140</v>
      </c>
      <c r="F267" s="44" t="str">
        <f>IFERROR(__xludf.DUMMYFUNCTION("""COMPUTED_VALUE"""),"")</f>
        <v/>
      </c>
      <c r="G267" s="44" t="str">
        <f>IFERROR(__xludf.DUMMYFUNCTION("""COMPUTED_VALUE""")," ")</f>
        <v> </v>
      </c>
      <c r="H267" s="44" t="str">
        <f>IFERROR(__xludf.DUMMYFUNCTION("""COMPUTED_VALUE""")," ")</f>
        <v> </v>
      </c>
      <c r="I267" s="44" t="str">
        <f>IFERROR(__xludf.DUMMYFUNCTION("""COMPUTED_VALUE""")," ")</f>
        <v> </v>
      </c>
      <c r="J267" s="44" t="str">
        <f>IFERROR(__xludf.DUMMYFUNCTION("""COMPUTED_VALUE"""),"25/06/2026")</f>
        <v>25/06/2026</v>
      </c>
      <c r="K267" s="42" t="str">
        <f>IFERROR(__xludf.DUMMYFUNCTION("""COMPUTED_VALUE"""),"Hospital Pérez Carreño")</f>
        <v>Hospital Pérez Carreño</v>
      </c>
    </row>
    <row r="268">
      <c r="A268" s="44">
        <v>267.0</v>
      </c>
      <c r="B268" s="44" t="str">
        <f>IFERROR(__xludf.DUMMYFUNCTION("""COMPUTED_VALUE"""),"Hospital Universitario de Carac")</f>
        <v>Hospital Universitario de Carac</v>
      </c>
      <c r="C268" s="45" t="str">
        <f>IFERROR(__xludf.DUMMYFUNCTION("""COMPUTED_VALUE"""),"GONZALEZ EDGAR")</f>
        <v>GONZALEZ EDGAR</v>
      </c>
      <c r="D268" s="44">
        <f>IFERROR(__xludf.DUMMYFUNCTION("""COMPUTED_VALUE"""),40.0)</f>
        <v>40</v>
      </c>
      <c r="E268" s="44" t="str">
        <f>IFERROR(__xludf.DUMMYFUNCTION("""COMPUTED_VALUE"""),"16310437")</f>
        <v>16310437</v>
      </c>
      <c r="F268" s="44" t="str">
        <f>IFERROR(__xludf.DUMMYFUNCTION("""COMPUTED_VALUE"""),"")</f>
        <v/>
      </c>
      <c r="G268" s="44" t="str">
        <f>IFERROR(__xludf.DUMMYFUNCTION("""COMPUTED_VALUE""")," ")</f>
        <v> </v>
      </c>
      <c r="H268" s="44" t="str">
        <f>IFERROR(__xludf.DUMMYFUNCTION("""COMPUTED_VALUE""")," ")</f>
        <v> </v>
      </c>
      <c r="I268" s="44" t="str">
        <f>IFERROR(__xludf.DUMMYFUNCTION("""COMPUTED_VALUE"""),"Traumatismo leve – Alta médica; Fx metatarsiano")</f>
        <v>Traumatismo leve – Alta médica; Fx metatarsiano</v>
      </c>
      <c r="J268" s="44" t="str">
        <f>IFERROR(__xludf.DUMMYFUNCTION("""COMPUTED_VALUE"""),"")</f>
        <v/>
      </c>
      <c r="K268" s="42" t="str">
        <f>IFERROR(__xludf.DUMMYFUNCTION("""COMPUTED_VALUE"""),"Hospital Universitario de Carac")</f>
        <v>Hospital Universitario de Carac</v>
      </c>
    </row>
    <row r="269">
      <c r="A269" s="44">
        <v>268.0</v>
      </c>
      <c r="B269" s="44" t="str">
        <f>IFERROR(__xludf.DUMMYFUNCTION("""COMPUTED_VALUE"""),"H. Jose Maria Vargas LG")</f>
        <v>H. Jose Maria Vargas LG</v>
      </c>
      <c r="C269" s="45" t="str">
        <f>IFERROR(__xludf.DUMMYFUNCTION("""COMPUTED_VALUE"""),"BRACHO ADRIANA")</f>
        <v>BRACHO ADRIANA</v>
      </c>
      <c r="D269" s="44">
        <f>IFERROR(__xludf.DUMMYFUNCTION("""COMPUTED_VALUE"""),42.0)</f>
        <v>42</v>
      </c>
      <c r="E269" s="44" t="str">
        <f>IFERROR(__xludf.DUMMYFUNCTION("""COMPUTED_VALUE"""),"16310954")</f>
        <v>16310954</v>
      </c>
      <c r="F269" s="44" t="str">
        <f>IFERROR(__xludf.DUMMYFUNCTION("""COMPUTED_VALUE"""),"")</f>
        <v/>
      </c>
      <c r="G269" s="44" t="str">
        <f>IFERROR(__xludf.DUMMYFUNCTION("""COMPUTED_VALUE""")," ")</f>
        <v> </v>
      </c>
      <c r="H269" s="44" t="str">
        <f>IFERROR(__xludf.DUMMYFUNCTION("""COMPUTED_VALUE""")," ")</f>
        <v> </v>
      </c>
      <c r="I269" s="44" t="str">
        <f>IFERROR(__xludf.DUMMYFUNCTION("""COMPUTED_VALUE""")," ")</f>
        <v> </v>
      </c>
      <c r="J269" s="44" t="str">
        <f>IFERROR(__xludf.DUMMYFUNCTION("""COMPUTED_VALUE"""),"")</f>
        <v/>
      </c>
      <c r="K269" s="42" t="str">
        <f>IFERROR(__xludf.DUMMYFUNCTION("""COMPUTED_VALUE"""),"H. Jose Maria Vargas LG")</f>
        <v>H. Jose Maria Vargas LG</v>
      </c>
    </row>
    <row r="270">
      <c r="A270" s="44">
        <v>269.0</v>
      </c>
      <c r="B270" s="44" t="str">
        <f>IFERROR(__xludf.DUMMYFUNCTION("""COMPUTED_VALUE"""),"Seguro Social La Guaira")</f>
        <v>Seguro Social La Guaira</v>
      </c>
      <c r="C270" s="45" t="str">
        <f>IFERROR(__xludf.DUMMYFUNCTION("""COMPUTED_VALUE"""),"ANZOLYO DOMINGUEZ")</f>
        <v>ANZOLYO DOMINGUEZ</v>
      </c>
      <c r="D270" s="44" t="str">
        <f>IFERROR(__xludf.DUMMYFUNCTION("""COMPUTED_VALUE""")," ")</f>
        <v> </v>
      </c>
      <c r="E270" s="44" t="str">
        <f>IFERROR(__xludf.DUMMYFUNCTION("""COMPUTED_VALUE"""),"163109710")</f>
        <v>163109710</v>
      </c>
      <c r="F270" s="44" t="str">
        <f>IFERROR(__xludf.DUMMYFUNCTION("""COMPUTED_VALUE"""),"")</f>
        <v/>
      </c>
      <c r="G270" s="44" t="str">
        <f>IFERROR(__xludf.DUMMYFUNCTION("""COMPUTED_VALUE""")," ")</f>
        <v> </v>
      </c>
      <c r="H270" s="44" t="str">
        <f>IFERROR(__xludf.DUMMYFUNCTION("""COMPUTED_VALUE"""),"Camuri")</f>
        <v>Camuri</v>
      </c>
      <c r="I270" s="44" t="str">
        <f>IFERROR(__xludf.DUMMYFUNCTION("""COMPUTED_VALUE""")," ")</f>
        <v> </v>
      </c>
      <c r="J270" s="44" t="str">
        <f>IFERROR(__xludf.DUMMYFUNCTION("""COMPUTED_VALUE"""),"")</f>
        <v/>
      </c>
      <c r="K270" s="42" t="str">
        <f>IFERROR(__xludf.DUMMYFUNCTION("""COMPUTED_VALUE"""),"Seguro Social La Guaira")</f>
        <v>Seguro Social La Guaira</v>
      </c>
    </row>
    <row r="271">
      <c r="A271" s="44">
        <v>270.0</v>
      </c>
      <c r="B271" s="44" t="str">
        <f>IFERROR(__xludf.DUMMYFUNCTION("""COMPUTED_VALUE"""),"H. Jose Maria Vargas LG")</f>
        <v>H. Jose Maria Vargas LG</v>
      </c>
      <c r="C271" s="45" t="str">
        <f>IFERROR(__xludf.DUMMYFUNCTION("""COMPUTED_VALUE"""),"DOMINGUEZ ANZELYS")</f>
        <v>DOMINGUEZ ANZELYS</v>
      </c>
      <c r="D271" s="44" t="str">
        <f>IFERROR(__xludf.DUMMYFUNCTION("""COMPUTED_VALUE""")," ")</f>
        <v> </v>
      </c>
      <c r="E271" s="44" t="str">
        <f>IFERROR(__xludf.DUMMYFUNCTION("""COMPUTED_VALUE"""),"16310977")</f>
        <v>16310977</v>
      </c>
      <c r="F271" s="44" t="str">
        <f>IFERROR(__xludf.DUMMYFUNCTION("""COMPUTED_VALUE"""),"")</f>
        <v/>
      </c>
      <c r="G271" s="44" t="str">
        <f>IFERROR(__xludf.DUMMYFUNCTION("""COMPUTED_VALUE""")," ")</f>
        <v> </v>
      </c>
      <c r="H271" s="44" t="str">
        <f>IFERROR(__xludf.DUMMYFUNCTION("""COMPUTED_VALUE""")," ")</f>
        <v> </v>
      </c>
      <c r="I271" s="44" t="str">
        <f>IFERROR(__xludf.DUMMYFUNCTION("""COMPUTED_VALUE""")," ")</f>
        <v> </v>
      </c>
      <c r="J271" s="44" t="str">
        <f>IFERROR(__xludf.DUMMYFUNCTION("""COMPUTED_VALUE"""),"")</f>
        <v/>
      </c>
      <c r="K271" s="42" t="str">
        <f>IFERROR(__xludf.DUMMYFUNCTION("""COMPUTED_VALUE"""),"H. Jose Maria Vargas LG")</f>
        <v>H. Jose Maria Vargas LG</v>
      </c>
    </row>
    <row r="272">
      <c r="A272" s="44">
        <v>271.0</v>
      </c>
      <c r="B272" s="44" t="str">
        <f>IFERROR(__xludf.DUMMYFUNCTION("""COMPUTED_VALUE"""),"HOSPITAL VARGAS")</f>
        <v>HOSPITAL VARGAS</v>
      </c>
      <c r="C272" s="45" t="str">
        <f>IFERROR(__xludf.DUMMYFUNCTION("""COMPUTED_VALUE"""),"Cesy Márquez")</f>
        <v>Cesy Márquez</v>
      </c>
      <c r="D272" s="44"/>
      <c r="E272" s="44" t="str">
        <f>IFERROR(__xludf.DUMMYFUNCTION("""COMPUTED_VALUE"""),"16312925")</f>
        <v>16312925</v>
      </c>
      <c r="F272" s="44" t="str">
        <f>IFERROR(__xludf.DUMMYFUNCTION("""COMPUTED_VALUE"""),"")</f>
        <v/>
      </c>
      <c r="G272" s="44" t="str">
        <f>IFERROR(__xludf.DUMMYFUNCTION("""COMPUTED_VALUE"""),"")</f>
        <v/>
      </c>
      <c r="H272" s="44" t="str">
        <f>IFERROR(__xludf.DUMMYFUNCTION("""COMPUTED_VALUE"""),"")</f>
        <v/>
      </c>
      <c r="I272" s="44" t="str">
        <f>IFERROR(__xludf.DUMMYFUNCTION("""COMPUTED_VALUE"""),"Herido / atendido")</f>
        <v>Herido / atendido</v>
      </c>
      <c r="J272" s="44" t="str">
        <f>IFERROR(__xludf.DUMMYFUNCTION("""COMPUTED_VALUE"""),"24.06.2026 ")</f>
        <v>24.06.2026 </v>
      </c>
      <c r="K272" s="42" t="str">
        <f>IFERROR(__xludf.DUMMYFUNCTION("""COMPUTED_VALUE"""),"HOSPITAL VARGAS")</f>
        <v>HOSPITAL VARGAS</v>
      </c>
    </row>
    <row r="273">
      <c r="A273" s="44">
        <v>272.0</v>
      </c>
      <c r="B273" s="44" t="str">
        <f>IFERROR(__xludf.DUMMYFUNCTION("""COMPUTED_VALUE"""),"Hospital Vargas de Caracas")</f>
        <v>Hospital Vargas de Caracas</v>
      </c>
      <c r="C273" s="45" t="str">
        <f>IFERROR(__xludf.DUMMYFUNCTION("""COMPUTED_VALUE"""),"MARQUEZ CÉSAR")</f>
        <v>MARQUEZ CÉSAR</v>
      </c>
      <c r="D273" s="44" t="str">
        <f>IFERROR(__xludf.DUMMYFUNCTION("""COMPUTED_VALUE""")," ")</f>
        <v> </v>
      </c>
      <c r="E273" s="44" t="str">
        <f>IFERROR(__xludf.DUMMYFUNCTION("""COMPUTED_VALUE"""),"163129250")</f>
        <v>163129250</v>
      </c>
      <c r="F273" s="44" t="str">
        <f>IFERROR(__xludf.DUMMYFUNCTION("""COMPUTED_VALUE""")," ")</f>
        <v> </v>
      </c>
      <c r="G273" s="44" t="str">
        <f>IFERROR(__xludf.DUMMYFUNCTION("""COMPUTED_VALUE"""),"")</f>
        <v/>
      </c>
      <c r="H273" s="44" t="str">
        <f>IFERROR(__xludf.DUMMYFUNCTION("""COMPUTED_VALUE""")," ")</f>
        <v> </v>
      </c>
      <c r="I273" s="44" t="str">
        <f>IFERROR(__xludf.DUMMYFUNCTION("""COMPUTED_VALUE""")," ")</f>
        <v> </v>
      </c>
      <c r="J273" s="44" t="str">
        <f>IFERROR(__xludf.DUMMYFUNCTION("""COMPUTED_VALUE"""),"")</f>
        <v/>
      </c>
      <c r="K273" s="42" t="str">
        <f>IFERROR(__xludf.DUMMYFUNCTION("""COMPUTED_VALUE"""),"Hospital Vargas de Caracas")</f>
        <v>Hospital Vargas de Caracas</v>
      </c>
    </row>
    <row r="274">
      <c r="A274" s="44">
        <v>273.0</v>
      </c>
      <c r="B274" s="44" t="str">
        <f>IFERROR(__xludf.DUMMYFUNCTION("""COMPUTED_VALUE"""),"Hospital Pérez Carreño")</f>
        <v>Hospital Pérez Carreño</v>
      </c>
      <c r="C274" s="45" t="str">
        <f>IFERROR(__xludf.DUMMYFUNCTION("""COMPUTED_VALUE"""),"GOOHZA MILERBIS")</f>
        <v>GOOHZA MILERBIS</v>
      </c>
      <c r="D274" s="44" t="str">
        <f>IFERROR(__xludf.DUMMYFUNCTION("""COMPUTED_VALUE""")," ")</f>
        <v> </v>
      </c>
      <c r="E274" s="44" t="str">
        <f>IFERROR(__xludf.DUMMYFUNCTION("""COMPUTED_VALUE"""),"16468240")</f>
        <v>16468240</v>
      </c>
      <c r="F274" s="44" t="str">
        <f>IFERROR(__xludf.DUMMYFUNCTION("""COMPUTED_VALUE"""),"")</f>
        <v/>
      </c>
      <c r="G274" s="44" t="str">
        <f>IFERROR(__xludf.DUMMYFUNCTION("""COMPUTED_VALUE""")," ")</f>
        <v> </v>
      </c>
      <c r="H274" s="44" t="str">
        <f>IFERROR(__xludf.DUMMYFUNCTION("""COMPUTED_VALUE""")," ")</f>
        <v> </v>
      </c>
      <c r="I274" s="44" t="str">
        <f>IFERROR(__xludf.DUMMYFUNCTION("""COMPUTED_VALUE"""),"Internado")</f>
        <v>Internado</v>
      </c>
      <c r="J274" s="44" t="str">
        <f>IFERROR(__xludf.DUMMYFUNCTION("""COMPUTED_VALUE"""),"25/06/2026")</f>
        <v>25/06/2026</v>
      </c>
      <c r="K274" s="42" t="str">
        <f>IFERROR(__xludf.DUMMYFUNCTION("""COMPUTED_VALUE"""),"Hospital Pérez Carreño")</f>
        <v>Hospital Pérez Carreño</v>
      </c>
    </row>
    <row r="275">
      <c r="A275" s="44">
        <v>274.0</v>
      </c>
      <c r="B275" s="44" t="str">
        <f>IFERROR(__xludf.DUMMYFUNCTION("""COMPUTED_VALUE"""),"Seguro Social La Guaira")</f>
        <v>Seguro Social La Guaira</v>
      </c>
      <c r="C275" s="45" t="str">
        <f>IFERROR(__xludf.DUMMYFUNCTION("""COMPUTED_VALUE"""),"JHONNY STEVEN")</f>
        <v>JHONNY STEVEN</v>
      </c>
      <c r="D275" s="44">
        <f>IFERROR(__xludf.DUMMYFUNCTION("""COMPUTED_VALUE"""),45.0)</f>
        <v>45</v>
      </c>
      <c r="E275" s="44" t="str">
        <f>IFERROR(__xludf.DUMMYFUNCTION("""COMPUTED_VALUE"""),"165094900")</f>
        <v>165094900</v>
      </c>
      <c r="F275" s="44" t="str">
        <f>IFERROR(__xludf.DUMMYFUNCTION("""COMPUTED_VALUE"""),"")</f>
        <v/>
      </c>
      <c r="G275" s="44" t="str">
        <f>IFERROR(__xludf.DUMMYFUNCTION("""COMPUTED_VALUE""")," ")</f>
        <v> </v>
      </c>
      <c r="H275" s="44" t="str">
        <f>IFERROR(__xludf.DUMMYFUNCTION("""COMPUTED_VALUE"""),"Tanaguarena")</f>
        <v>Tanaguarena</v>
      </c>
      <c r="I275" s="44" t="str">
        <f>IFERROR(__xludf.DUMMYFUNCTION("""COMPUTED_VALUE""")," ")</f>
        <v> </v>
      </c>
      <c r="J275" s="44" t="str">
        <f>IFERROR(__xludf.DUMMYFUNCTION("""COMPUTED_VALUE"""),"")</f>
        <v/>
      </c>
      <c r="K275" s="42" t="str">
        <f>IFERROR(__xludf.DUMMYFUNCTION("""COMPUTED_VALUE"""),"Seguro Social La Guaira")</f>
        <v>Seguro Social La Guaira</v>
      </c>
    </row>
    <row r="276">
      <c r="A276" s="44">
        <v>275.0</v>
      </c>
      <c r="B276" s="44" t="str">
        <f>IFERROR(__xludf.DUMMYFUNCTION("""COMPUTED_VALUE"""),"H. Jose Maria Vargas LG")</f>
        <v>H. Jose Maria Vargas LG</v>
      </c>
      <c r="C276" s="45" t="str">
        <f>IFERROR(__xludf.DUMMYFUNCTION("""COMPUTED_VALUE"""),"STEVEN JHONNY")</f>
        <v>STEVEN JHONNY</v>
      </c>
      <c r="D276" s="44">
        <f>IFERROR(__xludf.DUMMYFUNCTION("""COMPUTED_VALUE"""),45.0)</f>
        <v>45</v>
      </c>
      <c r="E276" s="44" t="str">
        <f>IFERROR(__xludf.DUMMYFUNCTION("""COMPUTED_VALUE"""),"16509990")</f>
        <v>16509990</v>
      </c>
      <c r="F276" s="44" t="str">
        <f>IFERROR(__xludf.DUMMYFUNCTION("""COMPUTED_VALUE"""),"")</f>
        <v/>
      </c>
      <c r="G276" s="44" t="str">
        <f>IFERROR(__xludf.DUMMYFUNCTION("""COMPUTED_VALUE""")," ")</f>
        <v> </v>
      </c>
      <c r="H276" s="44" t="str">
        <f>IFERROR(__xludf.DUMMYFUNCTION("""COMPUTED_VALUE"""),"Tanaguarena")</f>
        <v>Tanaguarena</v>
      </c>
      <c r="I276" s="44" t="str">
        <f>IFERROR(__xludf.DUMMYFUNCTION("""COMPUTED_VALUE""")," ")</f>
        <v> </v>
      </c>
      <c r="J276" s="44" t="str">
        <f>IFERROR(__xludf.DUMMYFUNCTION("""COMPUTED_VALUE"""),"")</f>
        <v/>
      </c>
      <c r="K276" s="42" t="str">
        <f>IFERROR(__xludf.DUMMYFUNCTION("""COMPUTED_VALUE"""),"H. Jose Maria Vargas LG")</f>
        <v>H. Jose Maria Vargas LG</v>
      </c>
    </row>
    <row r="277">
      <c r="A277" s="44">
        <v>276.0</v>
      </c>
      <c r="B277" s="44" t="str">
        <f>IFERROR(__xludf.DUMMYFUNCTION("""COMPUTED_VALUE"""),"Hospital Militar Dr. C. Arvelo")</f>
        <v>Hospital Militar Dr. C. Arvelo</v>
      </c>
      <c r="C277" s="45" t="str">
        <f>IFERROR(__xludf.DUMMYFUNCTION("""COMPUTED_VALUE"""),"Hernández Lilia")</f>
        <v>Hernández Lilia</v>
      </c>
      <c r="D277" s="44">
        <f>IFERROR(__xludf.DUMMYFUNCTION("""COMPUTED_VALUE"""),42.0)</f>
        <v>42</v>
      </c>
      <c r="E277" s="44" t="str">
        <f>IFERROR(__xludf.DUMMYFUNCTION("""COMPUTED_VALUE"""),"16598007")</f>
        <v>16598007</v>
      </c>
      <c r="F277" s="44" t="str">
        <f>IFERROR(__xludf.DUMMYFUNCTION("""COMPUTED_VALUE"""),"")</f>
        <v/>
      </c>
      <c r="G277" s="44" t="str">
        <f>IFERROR(__xludf.DUMMYFUNCTION("""COMPUTED_VALUE"""),"")</f>
        <v/>
      </c>
      <c r="H277" s="44" t="str">
        <f>IFERROR(__xludf.DUMMYFUNCTION("""COMPUTED_VALUE"""),"F")</f>
        <v>F</v>
      </c>
      <c r="I277" s="44" t="str">
        <f>IFERROR(__xludf.DUMMYFUNCTION("""COMPUTED_VALUE"""),"La Guaira PNA")</f>
        <v>La Guaira PNA</v>
      </c>
      <c r="J277" s="44" t="str">
        <f>IFERROR(__xludf.DUMMYFUNCTION("""COMPUTED_VALUE"""),"24/6/2026")</f>
        <v>24/6/2026</v>
      </c>
      <c r="K277" s="42" t="str">
        <f>IFERROR(__xludf.DUMMYFUNCTION("""COMPUTED_VALUE"""),"Hospital Militar Dr. C. Arvelo")</f>
        <v>Hospital Militar Dr. C. Arvelo</v>
      </c>
    </row>
    <row r="278">
      <c r="A278" s="44">
        <v>277.0</v>
      </c>
      <c r="B278" s="44" t="str">
        <f>IFERROR(__xludf.DUMMYFUNCTION("""COMPUTED_VALUE"""),"H. Jose Maria Vargas LG")</f>
        <v>H. Jose Maria Vargas LG</v>
      </c>
      <c r="C278" s="45" t="str">
        <f>IFERROR(__xludf.DUMMYFUNCTION("""COMPUTED_VALUE"""),"LOPEZ YOVANI")</f>
        <v>LOPEZ YOVANI</v>
      </c>
      <c r="D278" s="44">
        <f>IFERROR(__xludf.DUMMYFUNCTION("""COMPUTED_VALUE"""),44.0)</f>
        <v>44</v>
      </c>
      <c r="E278" s="44" t="str">
        <f>IFERROR(__xludf.DUMMYFUNCTION("""COMPUTED_VALUE"""),"16625037")</f>
        <v>16625037</v>
      </c>
      <c r="F278" s="44" t="str">
        <f>IFERROR(__xludf.DUMMYFUNCTION("""COMPUTED_VALUE"""),"")</f>
        <v/>
      </c>
      <c r="G278" s="44" t="str">
        <f>IFERROR(__xludf.DUMMYFUNCTION("""COMPUTED_VALUE""")," ")</f>
        <v> </v>
      </c>
      <c r="H278" s="44" t="str">
        <f>IFERROR(__xludf.DUMMYFUNCTION("""COMPUTED_VALUE"""),"Playa Grande")</f>
        <v>Playa Grande</v>
      </c>
      <c r="I278" s="44" t="str">
        <f>IFERROR(__xludf.DUMMYFUNCTION("""COMPUTED_VALUE""")," ")</f>
        <v> </v>
      </c>
      <c r="J278" s="44" t="str">
        <f>IFERROR(__xludf.DUMMYFUNCTION("""COMPUTED_VALUE"""),"")</f>
        <v/>
      </c>
      <c r="K278" s="42" t="str">
        <f>IFERROR(__xludf.DUMMYFUNCTION("""COMPUTED_VALUE"""),"H. Jose Maria Vargas LG")</f>
        <v>H. Jose Maria Vargas LG</v>
      </c>
    </row>
    <row r="279">
      <c r="A279" s="44">
        <v>278.0</v>
      </c>
      <c r="B279" s="44" t="str">
        <f>IFERROR(__xludf.DUMMYFUNCTION("""COMPUTED_VALUE"""),"Hospital Ana Francisca Pérez de")</f>
        <v>Hospital Ana Francisca Pérez de</v>
      </c>
      <c r="C279" s="45" t="str">
        <f>IFERROR(__xludf.DUMMYFUNCTION("""COMPUTED_VALUE"""),"BRAVO ARICEL")</f>
        <v>BRAVO ARICEL</v>
      </c>
      <c r="D279" s="44">
        <f>IFERROR(__xludf.DUMMYFUNCTION("""COMPUTED_VALUE"""),42.0)</f>
        <v>42</v>
      </c>
      <c r="E279" s="44" t="str">
        <f>IFERROR(__xludf.DUMMYFUNCTION("""COMPUTED_VALUE"""),"16681690")</f>
        <v>16681690</v>
      </c>
      <c r="F279" s="44" t="str">
        <f>IFERROR(__xludf.DUMMYFUNCTION("""COMPUTED_VALUE"""),"")</f>
        <v/>
      </c>
      <c r="G279" s="44" t="str">
        <f>IFERROR(__xludf.DUMMYFUNCTION("""COMPUTED_VALUE""")," ")</f>
        <v> </v>
      </c>
      <c r="H279" s="44" t="str">
        <f>IFERROR(__xludf.DUMMYFUNCTION("""COMPUTED_VALUE""")," ")</f>
        <v> </v>
      </c>
      <c r="I279" s="44" t="str">
        <f>IFERROR(__xludf.DUMMYFUNCTION("""COMPUTED_VALUE"""),"Internado")</f>
        <v>Internado</v>
      </c>
      <c r="J279" s="44" t="str">
        <f>IFERROR(__xludf.DUMMYFUNCTION("""COMPUTED_VALUE"""),"")</f>
        <v/>
      </c>
      <c r="K279" s="42" t="str">
        <f>IFERROR(__xludf.DUMMYFUNCTION("""COMPUTED_VALUE"""),"Hospital Ana Francisca Pérez de")</f>
        <v>Hospital Ana Francisca Pérez de</v>
      </c>
    </row>
    <row r="280">
      <c r="A280" s="44">
        <v>279.0</v>
      </c>
      <c r="B280" s="44" t="str">
        <f>IFERROR(__xludf.DUMMYFUNCTION("""COMPUTED_VALUE"""),"Hospital Vargas de Caracas")</f>
        <v>Hospital Vargas de Caracas</v>
      </c>
      <c r="C280" s="45" t="str">
        <f>IFERROR(__xludf.DUMMYFUNCTION("""COMPUTED_VALUE"""),"VELASQUEZ CARMEN")</f>
        <v>VELASQUEZ CARMEN</v>
      </c>
      <c r="D280" s="44">
        <f>IFERROR(__xludf.DUMMYFUNCTION("""COMPUTED_VALUE"""),14.0)</f>
        <v>14</v>
      </c>
      <c r="E280" s="44" t="str">
        <f>IFERROR(__xludf.DUMMYFUNCTION("""COMPUTED_VALUE"""),"16705956")</f>
        <v>16705956</v>
      </c>
      <c r="F280" s="44" t="str">
        <f>IFERROR(__xludf.DUMMYFUNCTION("""COMPUTED_VALUE""")," ")</f>
        <v> </v>
      </c>
      <c r="G280" s="44" t="str">
        <f>IFERROR(__xludf.DUMMYFUNCTION("""COMPUTED_VALUE"""),"")</f>
        <v/>
      </c>
      <c r="H280" s="44" t="str">
        <f>IFERROR(__xludf.DUMMYFUNCTION("""COMPUTED_VALUE"""),"Guaira")</f>
        <v>Guaira</v>
      </c>
      <c r="I280" s="44" t="str">
        <f>IFERROR(__xludf.DUMMYFUNCTION("""COMPUTED_VALUE""")," ")</f>
        <v> </v>
      </c>
      <c r="J280" s="44" t="str">
        <f>IFERROR(__xludf.DUMMYFUNCTION("""COMPUTED_VALUE"""),"")</f>
        <v/>
      </c>
      <c r="K280" s="42" t="str">
        <f>IFERROR(__xludf.DUMMYFUNCTION("""COMPUTED_VALUE"""),"Hospital Vargas de Caracas")</f>
        <v>Hospital Vargas de Caracas</v>
      </c>
    </row>
    <row r="281">
      <c r="A281" s="44">
        <v>280.0</v>
      </c>
      <c r="B281" s="44" t="str">
        <f>IFERROR(__xludf.DUMMYFUNCTION("""COMPUTED_VALUE"""),"Hospital Vargas de Caracas")</f>
        <v>Hospital Vargas de Caracas</v>
      </c>
      <c r="C281" s="45" t="str">
        <f>IFERROR(__xludf.DUMMYFUNCTION("""COMPUTED_VALUE"""),"VELAZQUEZ CARMEN")</f>
        <v>VELAZQUEZ CARMEN</v>
      </c>
      <c r="D281" s="44" t="str">
        <f>IFERROR(__xludf.DUMMYFUNCTION("""COMPUTED_VALUE"""),"Sin información")</f>
        <v>Sin información</v>
      </c>
      <c r="E281" s="44" t="str">
        <f>IFERROR(__xludf.DUMMYFUNCTION("""COMPUTED_VALUE"""),"167059560")</f>
        <v>167059560</v>
      </c>
      <c r="F281" s="44" t="str">
        <f>IFERROR(__xludf.DUMMYFUNCTION("""COMPUTED_VALUE""")," ")</f>
        <v> </v>
      </c>
      <c r="G281" s="44" t="str">
        <f>IFERROR(__xludf.DUMMYFUNCTION("""COMPUTED_VALUE"""),"")</f>
        <v/>
      </c>
      <c r="H281" s="44" t="str">
        <f>IFERROR(__xludf.DUMMYFUNCTION("""COMPUTED_VALUE"""),"La Guaira")</f>
        <v>La Guaira</v>
      </c>
      <c r="I281" s="44" t="str">
        <f>IFERROR(__xludf.DUMMYFUNCTION("""COMPUTED_VALUE"""),"Sin información")</f>
        <v>Sin información</v>
      </c>
      <c r="J281" s="44" t="str">
        <f>IFERROR(__xludf.DUMMYFUNCTION("""COMPUTED_VALUE"""),"")</f>
        <v/>
      </c>
      <c r="K281" s="42" t="str">
        <f>IFERROR(__xludf.DUMMYFUNCTION("""COMPUTED_VALUE"""),"Hospital Vargas de Caracas")</f>
        <v>Hospital Vargas de Caracas</v>
      </c>
    </row>
    <row r="282">
      <c r="A282" s="44">
        <v>281.0</v>
      </c>
      <c r="B282" s="44" t="str">
        <f>IFERROR(__xludf.DUMMYFUNCTION("""COMPUTED_VALUE"""),"Hospital Militar Dr. C. Arvelo")</f>
        <v>Hospital Militar Dr. C. Arvelo</v>
      </c>
      <c r="C282" s="45" t="str">
        <f>IFERROR(__xludf.DUMMYFUNCTION("""COMPUTED_VALUE"""),"Hetty Sam")</f>
        <v>Hetty Sam</v>
      </c>
      <c r="D282" s="44">
        <f>IFERROR(__xludf.DUMMYFUNCTION("""COMPUTED_VALUE"""),37.0)</f>
        <v>37</v>
      </c>
      <c r="E282" s="44" t="str">
        <f>IFERROR(__xludf.DUMMYFUNCTION("""COMPUTED_VALUE"""),"16769990")</f>
        <v>16769990</v>
      </c>
      <c r="F282" s="44" t="str">
        <f>IFERROR(__xludf.DUMMYFUNCTION("""COMPUTED_VALUE"""),"")</f>
        <v/>
      </c>
      <c r="G282" s="44" t="str">
        <f>IFERROR(__xludf.DUMMYFUNCTION("""COMPUTED_VALUE"""),"")</f>
        <v/>
      </c>
      <c r="H282" s="44" t="str">
        <f>IFERROR(__xludf.DUMMYFUNCTION("""COMPUTED_VALUE"""),"M")</f>
        <v>M</v>
      </c>
      <c r="I282" s="44" t="str">
        <f>IFERROR(__xludf.DUMMYFUNCTION("""COMPUTED_VALUE"""),"La Guaira Tte. Fragoza")</f>
        <v>La Guaira Tte. Fragoza</v>
      </c>
      <c r="J282" s="44" t="str">
        <f>IFERROR(__xludf.DUMMYFUNCTION("""COMPUTED_VALUE"""),"24/6/2026")</f>
        <v>24/6/2026</v>
      </c>
      <c r="K282" s="42" t="str">
        <f>IFERROR(__xludf.DUMMYFUNCTION("""COMPUTED_VALUE"""),"Hospital Militar Dr. C. Arvelo")</f>
        <v>Hospital Militar Dr. C. Arvelo</v>
      </c>
    </row>
    <row r="283">
      <c r="A283" s="44">
        <v>282.0</v>
      </c>
      <c r="B283" s="44" t="str">
        <f>IFERROR(__xludf.DUMMYFUNCTION("""COMPUTED_VALUE"""),"Hospital Pérez Carreño")</f>
        <v>Hospital Pérez Carreño</v>
      </c>
      <c r="C283" s="45" t="str">
        <f>IFERROR(__xludf.DUMMYFUNCTION("""COMPUTED_VALUE"""),"DAYANA RONDON")</f>
        <v>DAYANA RONDON</v>
      </c>
      <c r="D283" s="44" t="str">
        <f>IFERROR(__xludf.DUMMYFUNCTION("""COMPUTED_VALUE"""),"Sin información")</f>
        <v>Sin información</v>
      </c>
      <c r="E283" s="44" t="str">
        <f>IFERROR(__xludf.DUMMYFUNCTION("""COMPUTED_VALUE"""),"1680080")</f>
        <v>1680080</v>
      </c>
      <c r="F283" s="44" t="str">
        <f>IFERROR(__xludf.DUMMYFUNCTION("""COMPUTED_VALUE"""),"")</f>
        <v/>
      </c>
      <c r="G283" s="44" t="str">
        <f>IFERROR(__xludf.DUMMYFUNCTION("""COMPUTED_VALUE""")," ")</f>
        <v> </v>
      </c>
      <c r="H283" s="44" t="str">
        <f>IFERROR(__xludf.DUMMYFUNCTION("""COMPUTED_VALUE"""),"Sin información")</f>
        <v>Sin información</v>
      </c>
      <c r="I283" s="44" t="str">
        <f>IFERROR(__xludf.DUMMYFUNCTION("""COMPUTED_VALUE"""),"Sin información")</f>
        <v>Sin información</v>
      </c>
      <c r="J283" s="44" t="str">
        <f>IFERROR(__xludf.DUMMYFUNCTION("""COMPUTED_VALUE"""),"25/06/2026")</f>
        <v>25/06/2026</v>
      </c>
      <c r="K283" s="42" t="str">
        <f>IFERROR(__xludf.DUMMYFUNCTION("""COMPUTED_VALUE"""),"Hospital Pérez Carreño")</f>
        <v>Hospital Pérez Carreño</v>
      </c>
    </row>
    <row r="284">
      <c r="A284" s="44">
        <v>283.0</v>
      </c>
      <c r="B284" s="44" t="str">
        <f>IFERROR(__xludf.DUMMYFUNCTION("""COMPUTED_VALUE"""),"H. Jose Maria Vargas LG")</f>
        <v>H. Jose Maria Vargas LG</v>
      </c>
      <c r="C284" s="45" t="str">
        <f>IFERROR(__xludf.DUMMYFUNCTION("""COMPUTED_VALUE"""),"SOSA LUIS")</f>
        <v>SOSA LUIS</v>
      </c>
      <c r="D284" s="44">
        <f>IFERROR(__xludf.DUMMYFUNCTION("""COMPUTED_VALUE"""),40.0)</f>
        <v>40</v>
      </c>
      <c r="E284" s="44" t="str">
        <f>IFERROR(__xludf.DUMMYFUNCTION("""COMPUTED_VALUE"""),"16888430")</f>
        <v>16888430</v>
      </c>
      <c r="F284" s="44" t="str">
        <f>IFERROR(__xludf.DUMMYFUNCTION("""COMPUTED_VALUE"""),"")</f>
        <v/>
      </c>
      <c r="G284" s="44" t="str">
        <f>IFERROR(__xludf.DUMMYFUNCTION("""COMPUTED_VALUE""")," ")</f>
        <v> </v>
      </c>
      <c r="H284" s="44" t="str">
        <f>IFERROR(__xludf.DUMMYFUNCTION("""COMPUTED_VALUE"""),"Caraballeda")</f>
        <v>Caraballeda</v>
      </c>
      <c r="I284" s="44" t="str">
        <f>IFERROR(__xludf.DUMMYFUNCTION("""COMPUTED_VALUE""")," ")</f>
        <v> </v>
      </c>
      <c r="J284" s="44" t="str">
        <f>IFERROR(__xludf.DUMMYFUNCTION("""COMPUTED_VALUE"""),"")</f>
        <v/>
      </c>
      <c r="K284" s="42" t="str">
        <f>IFERROR(__xludf.DUMMYFUNCTION("""COMPUTED_VALUE"""),"H. Jose Maria Vargas LG")</f>
        <v>H. Jose Maria Vargas LG</v>
      </c>
    </row>
    <row r="285">
      <c r="A285" s="44">
        <v>284.0</v>
      </c>
      <c r="B285" s="44" t="str">
        <f>IFERROR(__xludf.DUMMYFUNCTION("""COMPUTED_VALUE"""),"Seguro Social La Guaira")</f>
        <v>Seguro Social La Guaira</v>
      </c>
      <c r="C285" s="45" t="str">
        <f>IFERROR(__xludf.DUMMYFUNCTION("""COMPUTED_VALUE"""),"GERALDINE FAWADY")</f>
        <v>GERALDINE FAWADY</v>
      </c>
      <c r="D285" s="44" t="str">
        <f>IFERROR(__xludf.DUMMYFUNCTION("""COMPUTED_VALUE""")," ")</f>
        <v> </v>
      </c>
      <c r="E285" s="44" t="str">
        <f>IFERROR(__xludf.DUMMYFUNCTION("""COMPUTED_VALUE"""),"169750950")</f>
        <v>169750950</v>
      </c>
      <c r="F285" s="44" t="str">
        <f>IFERROR(__xludf.DUMMYFUNCTION("""COMPUTED_VALUE"""),"")</f>
        <v/>
      </c>
      <c r="G285" s="44" t="str">
        <f>IFERROR(__xludf.DUMMYFUNCTION("""COMPUTED_VALUE""")," ")</f>
        <v> </v>
      </c>
      <c r="H285" s="44" t="str">
        <f>IFERROR(__xludf.DUMMYFUNCTION("""COMPUTED_VALUE"""),"Caracas")</f>
        <v>Caracas</v>
      </c>
      <c r="I285" s="44" t="str">
        <f>IFERROR(__xludf.DUMMYFUNCTION("""COMPUTED_VALUE""")," ")</f>
        <v> </v>
      </c>
      <c r="J285" s="44" t="str">
        <f>IFERROR(__xludf.DUMMYFUNCTION("""COMPUTED_VALUE"""),"")</f>
        <v/>
      </c>
      <c r="K285" s="42" t="str">
        <f>IFERROR(__xludf.DUMMYFUNCTION("""COMPUTED_VALUE"""),"Seguro Social La Guaira")</f>
        <v>Seguro Social La Guaira</v>
      </c>
    </row>
    <row r="286">
      <c r="A286" s="44">
        <v>285.0</v>
      </c>
      <c r="B286" s="44" t="str">
        <f>IFERROR(__xludf.DUMMYFUNCTION("""COMPUTED_VALUE"""),"HOSPITAL VARGAS")</f>
        <v>HOSPITAL VARGAS</v>
      </c>
      <c r="C286" s="45" t="str">
        <f>IFERROR(__xludf.DUMMYFUNCTION("""COMPUTED_VALUE"""),"Evelin Puerta")</f>
        <v>Evelin Puerta</v>
      </c>
      <c r="D286" s="44"/>
      <c r="E286" s="44" t="str">
        <f>IFERROR(__xludf.DUMMYFUNCTION("""COMPUTED_VALUE"""),"1710348")</f>
        <v>1710348</v>
      </c>
      <c r="F286" s="44" t="str">
        <f>IFERROR(__xludf.DUMMYFUNCTION("""COMPUTED_VALUE"""),"")</f>
        <v/>
      </c>
      <c r="G286" s="44" t="str">
        <f>IFERROR(__xludf.DUMMYFUNCTION("""COMPUTED_VALUE"""),"")</f>
        <v/>
      </c>
      <c r="H286" s="44" t="str">
        <f>IFERROR(__xludf.DUMMYFUNCTION("""COMPUTED_VALUE"""),"")</f>
        <v/>
      </c>
      <c r="I286" s="44" t="str">
        <f>IFERROR(__xludf.DUMMYFUNCTION("""COMPUTED_VALUE"""),"Herido / atendido")</f>
        <v>Herido / atendido</v>
      </c>
      <c r="J286" s="44" t="str">
        <f>IFERROR(__xludf.DUMMYFUNCTION("""COMPUTED_VALUE"""),"24.06.2026 ")</f>
        <v>24.06.2026 </v>
      </c>
      <c r="K286" s="42" t="str">
        <f>IFERROR(__xludf.DUMMYFUNCTION("""COMPUTED_VALUE"""),"HOSPITAL VARGAS")</f>
        <v>HOSPITAL VARGAS</v>
      </c>
    </row>
    <row r="287">
      <c r="A287" s="44">
        <v>286.0</v>
      </c>
      <c r="B287" s="44" t="str">
        <f>IFERROR(__xludf.DUMMYFUNCTION("""COMPUTED_VALUE"""),"Hospital Dr. José Gregorio Hern")</f>
        <v>Hospital Dr. José Gregorio Hern</v>
      </c>
      <c r="C287" s="45" t="str">
        <f>IFERROR(__xludf.DUMMYFUNCTION("""COMPUTED_VALUE"""),"RONDON TUHANNE")</f>
        <v>RONDON TUHANNE</v>
      </c>
      <c r="D287" s="44">
        <f>IFERROR(__xludf.DUMMYFUNCTION("""COMPUTED_VALUE"""),43.0)</f>
        <v>43</v>
      </c>
      <c r="E287" s="44" t="str">
        <f>IFERROR(__xludf.DUMMYFUNCTION("""COMPUTED_VALUE"""),"17116373")</f>
        <v>17116373</v>
      </c>
      <c r="F287" s="44" t="str">
        <f>IFERROR(__xludf.DUMMYFUNCTION("""COMPUTED_VALUE"""),"")</f>
        <v/>
      </c>
      <c r="G287" s="44" t="str">
        <f>IFERROR(__xludf.DUMMYFUNCTION("""COMPUTED_VALUE""")," ")</f>
        <v> </v>
      </c>
      <c r="H287" s="44" t="str">
        <f>IFERROR(__xludf.DUMMYFUNCTION("""COMPUTED_VALUE"""),"Catia")</f>
        <v>Catia</v>
      </c>
      <c r="I287" s="44" t="str">
        <f>IFERROR(__xludf.DUMMYFUNCTION("""COMPUTED_VALUE""")," ")</f>
        <v> </v>
      </c>
      <c r="J287" s="44" t="str">
        <f>IFERROR(__xludf.DUMMYFUNCTION("""COMPUTED_VALUE"""),"")</f>
        <v/>
      </c>
      <c r="K287" s="42" t="str">
        <f>IFERROR(__xludf.DUMMYFUNCTION("""COMPUTED_VALUE"""),"Hospital Dr. José Gregorio Hern")</f>
        <v>Hospital Dr. José Gregorio Hern</v>
      </c>
    </row>
    <row r="288">
      <c r="A288" s="44">
        <v>287.0</v>
      </c>
      <c r="B288" s="44" t="str">
        <f>IFERROR(__xludf.DUMMYFUNCTION("""COMPUTED_VALUE"""),"Seguro Social La Guaira")</f>
        <v>Seguro Social La Guaira</v>
      </c>
      <c r="C288" s="45" t="str">
        <f>IFERROR(__xludf.DUMMYFUNCTION("""COMPUTED_VALUE"""),"CENYELIS ARENA")</f>
        <v>CENYELIS ARENA</v>
      </c>
      <c r="D288" s="44">
        <f>IFERROR(__xludf.DUMMYFUNCTION("""COMPUTED_VALUE"""),7.0)</f>
        <v>7</v>
      </c>
      <c r="E288" s="44" t="str">
        <f>IFERROR(__xludf.DUMMYFUNCTION("""COMPUTED_VALUE"""),"171540600")</f>
        <v>171540600</v>
      </c>
      <c r="F288" s="44" t="str">
        <f>IFERROR(__xludf.DUMMYFUNCTION("""COMPUTED_VALUE"""),"")</f>
        <v/>
      </c>
      <c r="G288" s="44" t="str">
        <f>IFERROR(__xludf.DUMMYFUNCTION("""COMPUTED_VALUE""")," ")</f>
        <v> </v>
      </c>
      <c r="H288" s="44" t="str">
        <f>IFERROR(__xludf.DUMMYFUNCTION("""COMPUTED_VALUE"""),"Caribe")</f>
        <v>Caribe</v>
      </c>
      <c r="I288" s="44" t="str">
        <f>IFERROR(__xludf.DUMMYFUNCTION("""COMPUTED_VALUE""")," ")</f>
        <v> </v>
      </c>
      <c r="J288" s="44" t="str">
        <f>IFERROR(__xludf.DUMMYFUNCTION("""COMPUTED_VALUE"""),"")</f>
        <v/>
      </c>
      <c r="K288" s="42" t="str">
        <f>IFERROR(__xludf.DUMMYFUNCTION("""COMPUTED_VALUE"""),"Seguro Social La Guaira")</f>
        <v>Seguro Social La Guaira</v>
      </c>
    </row>
    <row r="289">
      <c r="A289" s="44">
        <v>288.0</v>
      </c>
      <c r="B289" s="44" t="str">
        <f>IFERROR(__xludf.DUMMYFUNCTION("""COMPUTED_VALUE"""),"Hospital Pérez Carreño")</f>
        <v>Hospital Pérez Carreño</v>
      </c>
      <c r="C289" s="45" t="str">
        <f>IFERROR(__xludf.DUMMYFUNCTION("""COMPUTED_VALUE"""),"BUENO MERIDO")</f>
        <v>BUENO MERIDO</v>
      </c>
      <c r="D289" s="44" t="str">
        <f>IFERROR(__xludf.DUMMYFUNCTION("""COMPUTED_VALUE""")," ")</f>
        <v> </v>
      </c>
      <c r="E289" s="44" t="str">
        <f>IFERROR(__xludf.DUMMYFUNCTION("""COMPUTED_VALUE"""),"17158021")</f>
        <v>17158021</v>
      </c>
      <c r="F289" s="44" t="str">
        <f>IFERROR(__xludf.DUMMYFUNCTION("""COMPUTED_VALUE"""),"")</f>
        <v/>
      </c>
      <c r="G289" s="44" t="str">
        <f>IFERROR(__xludf.DUMMYFUNCTION("""COMPUTED_VALUE""")," ")</f>
        <v> </v>
      </c>
      <c r="H289" s="44" t="str">
        <f>IFERROR(__xludf.DUMMYFUNCTION("""COMPUTED_VALUE""")," ")</f>
        <v> </v>
      </c>
      <c r="I289" s="44" t="str">
        <f>IFERROR(__xludf.DUMMYFUNCTION("""COMPUTED_VALUE""")," ")</f>
        <v> </v>
      </c>
      <c r="J289" s="44" t="str">
        <f>IFERROR(__xludf.DUMMYFUNCTION("""COMPUTED_VALUE"""),"25/06/2026")</f>
        <v>25/06/2026</v>
      </c>
      <c r="K289" s="42" t="str">
        <f>IFERROR(__xludf.DUMMYFUNCTION("""COMPUTED_VALUE"""),"Hospital Pérez Carreño")</f>
        <v>Hospital Pérez Carreño</v>
      </c>
    </row>
    <row r="290">
      <c r="A290" s="44">
        <v>289.0</v>
      </c>
      <c r="B290" s="44" t="str">
        <f>IFERROR(__xludf.DUMMYFUNCTION("""COMPUTED_VALUE"""),"Hospital Pérez Carreño")</f>
        <v>Hospital Pérez Carreño</v>
      </c>
      <c r="C290" s="45" t="str">
        <f>IFERROR(__xludf.DUMMYFUNCTION("""COMPUTED_VALUE"""),"MERIDO BUENO")</f>
        <v>MERIDO BUENO</v>
      </c>
      <c r="D290" s="44" t="str">
        <f>IFERROR(__xludf.DUMMYFUNCTION("""COMPUTED_VALUE""")," ")</f>
        <v> </v>
      </c>
      <c r="E290" s="44" t="str">
        <f>IFERROR(__xludf.DUMMYFUNCTION("""COMPUTED_VALUE"""),"171580210")</f>
        <v>171580210</v>
      </c>
      <c r="F290" s="44" t="str">
        <f>IFERROR(__xludf.DUMMYFUNCTION("""COMPUTED_VALUE"""),"")</f>
        <v/>
      </c>
      <c r="G290" s="44" t="str">
        <f>IFERROR(__xludf.DUMMYFUNCTION("""COMPUTED_VALUE""")," ")</f>
        <v> </v>
      </c>
      <c r="H290" s="44" t="str">
        <f>IFERROR(__xludf.DUMMYFUNCTION("""COMPUTED_VALUE""")," ")</f>
        <v> </v>
      </c>
      <c r="I290" s="44" t="str">
        <f>IFERROR(__xludf.DUMMYFUNCTION("""COMPUTED_VALUE"""),"Triaje")</f>
        <v>Triaje</v>
      </c>
      <c r="J290" s="44" t="str">
        <f>IFERROR(__xludf.DUMMYFUNCTION("""COMPUTED_VALUE"""),"25/06/2026")</f>
        <v>25/06/2026</v>
      </c>
      <c r="K290" s="42" t="str">
        <f>IFERROR(__xludf.DUMMYFUNCTION("""COMPUTED_VALUE"""),"Hospital Pérez Carreño")</f>
        <v>Hospital Pérez Carreño</v>
      </c>
    </row>
    <row r="291">
      <c r="A291" s="44">
        <v>290.0</v>
      </c>
      <c r="B291" s="44" t="str">
        <f>IFERROR(__xludf.DUMMYFUNCTION("""COMPUTED_VALUE"""),"Hospital Militar Dr. C. Arvelo")</f>
        <v>Hospital Militar Dr. C. Arvelo</v>
      </c>
      <c r="C291" s="45" t="str">
        <f>IFERROR(__xludf.DUMMYFUNCTION("""COMPUTED_VALUE"""),"Franklin Pérez Guanche")</f>
        <v>Franklin Pérez Guanche</v>
      </c>
      <c r="D291" s="44">
        <f>IFERROR(__xludf.DUMMYFUNCTION("""COMPUTED_VALUE"""),42.0)</f>
        <v>42</v>
      </c>
      <c r="E291" s="44" t="str">
        <f>IFERROR(__xludf.DUMMYFUNCTION("""COMPUTED_VALUE"""),"17160400")</f>
        <v>17160400</v>
      </c>
      <c r="F291" s="44" t="str">
        <f>IFERROR(__xludf.DUMMYFUNCTION("""COMPUTED_VALUE"""),"")</f>
        <v/>
      </c>
      <c r="G291" s="44" t="str">
        <f>IFERROR(__xludf.DUMMYFUNCTION("""COMPUTED_VALUE"""),"")</f>
        <v/>
      </c>
      <c r="H291" s="44" t="str">
        <f>IFERROR(__xludf.DUMMYFUNCTION("""COMPUTED_VALUE"""),"M")</f>
        <v>M</v>
      </c>
      <c r="I291" s="44" t="str">
        <f>IFERROR(__xludf.DUMMYFUNCTION("""COMPUTED_VALUE"""),"La Guaira PNA")</f>
        <v>La Guaira PNA</v>
      </c>
      <c r="J291" s="44" t="str">
        <f>IFERROR(__xludf.DUMMYFUNCTION("""COMPUTED_VALUE"""),"24/6/2026")</f>
        <v>24/6/2026</v>
      </c>
      <c r="K291" s="42" t="str">
        <f>IFERROR(__xludf.DUMMYFUNCTION("""COMPUTED_VALUE"""),"Hospital Militar Dr. C. Arvelo")</f>
        <v>Hospital Militar Dr. C. Arvelo</v>
      </c>
    </row>
    <row r="292">
      <c r="A292" s="44">
        <v>291.0</v>
      </c>
      <c r="B292" s="44" t="str">
        <f>IFERROR(__xludf.DUMMYFUNCTION("""COMPUTED_VALUE"""),"Hospital Vargas de Caracas")</f>
        <v>Hospital Vargas de Caracas</v>
      </c>
      <c r="C292" s="45" t="str">
        <f>IFERROR(__xludf.DUMMYFUNCTION("""COMPUTED_VALUE"""),"FALCON JULIA")</f>
        <v>FALCON JULIA</v>
      </c>
      <c r="D292" s="44" t="str">
        <f>IFERROR(__xludf.DUMMYFUNCTION("""COMPUTED_VALUE""")," ")</f>
        <v> </v>
      </c>
      <c r="E292" s="44" t="str">
        <f>IFERROR(__xludf.DUMMYFUNCTION("""COMPUTED_VALUE"""),"17190030")</f>
        <v>17190030</v>
      </c>
      <c r="F292" s="44" t="str">
        <f>IFERROR(__xludf.DUMMYFUNCTION("""COMPUTED_VALUE""")," ")</f>
        <v> </v>
      </c>
      <c r="G292" s="44" t="str">
        <f>IFERROR(__xludf.DUMMYFUNCTION("""COMPUTED_VALUE"""),"")</f>
        <v/>
      </c>
      <c r="H292" s="44" t="str">
        <f>IFERROR(__xludf.DUMMYFUNCTION("""COMPUTED_VALUE""")," ")</f>
        <v> </v>
      </c>
      <c r="I292" s="44" t="str">
        <f>IFERROR(__xludf.DUMMYFUNCTION("""COMPUTED_VALUE""")," ")</f>
        <v> </v>
      </c>
      <c r="J292" s="44" t="str">
        <f>IFERROR(__xludf.DUMMYFUNCTION("""COMPUTED_VALUE"""),"")</f>
        <v/>
      </c>
      <c r="K292" s="42" t="str">
        <f>IFERROR(__xludf.DUMMYFUNCTION("""COMPUTED_VALUE"""),"Hospital Vargas de Caracas")</f>
        <v>Hospital Vargas de Caracas</v>
      </c>
    </row>
    <row r="293">
      <c r="A293" s="44">
        <v>292.0</v>
      </c>
      <c r="B293" s="44" t="str">
        <f>IFERROR(__xludf.DUMMYFUNCTION("""COMPUTED_VALUE"""),"Hospital Pérez Carreño")</f>
        <v>Hospital Pérez Carreño</v>
      </c>
      <c r="C293" s="45" t="str">
        <f>IFERROR(__xludf.DUMMYFUNCTION("""COMPUTED_VALUE"""),"JUAN GARCIA")</f>
        <v>JUAN GARCIA</v>
      </c>
      <c r="D293" s="44" t="str">
        <f>IFERROR(__xludf.DUMMYFUNCTION("""COMPUTED_VALUE"""),"Sin información")</f>
        <v>Sin información</v>
      </c>
      <c r="E293" s="44" t="str">
        <f>IFERROR(__xludf.DUMMYFUNCTION("""COMPUTED_VALUE"""),"173558290")</f>
        <v>173558290</v>
      </c>
      <c r="F293" s="44" t="str">
        <f>IFERROR(__xludf.DUMMYFUNCTION("""COMPUTED_VALUE"""),"")</f>
        <v/>
      </c>
      <c r="G293" s="44" t="str">
        <f>IFERROR(__xludf.DUMMYFUNCTION("""COMPUTED_VALUE""")," ")</f>
        <v> </v>
      </c>
      <c r="H293" s="44" t="str">
        <f>IFERROR(__xludf.DUMMYFUNCTION("""COMPUTED_VALUE"""),"Sin información")</f>
        <v>Sin información</v>
      </c>
      <c r="I293" s="44" t="str">
        <f>IFERROR(__xludf.DUMMYFUNCTION("""COMPUTED_VALUE"""),"Sin información")</f>
        <v>Sin información</v>
      </c>
      <c r="J293" s="44" t="str">
        <f>IFERROR(__xludf.DUMMYFUNCTION("""COMPUTED_VALUE"""),"25/06/2026")</f>
        <v>25/06/2026</v>
      </c>
      <c r="K293" s="42" t="str">
        <f>IFERROR(__xludf.DUMMYFUNCTION("""COMPUTED_VALUE"""),"Hospital Pérez Carreño")</f>
        <v>Hospital Pérez Carreño</v>
      </c>
    </row>
    <row r="294">
      <c r="A294" s="44">
        <v>293.0</v>
      </c>
      <c r="B294" s="44" t="str">
        <f>IFERROR(__xludf.DUMMYFUNCTION("""COMPUTED_VALUE"""),"H. Jose Maria Vargas LG")</f>
        <v>H. Jose Maria Vargas LG</v>
      </c>
      <c r="C294" s="45" t="str">
        <f>IFERROR(__xludf.DUMMYFUNCTION("""COMPUTED_VALUE"""),"CORDERO DAYANA")</f>
        <v>CORDERO DAYANA</v>
      </c>
      <c r="D294" s="44" t="str">
        <f>IFERROR(__xludf.DUMMYFUNCTION("""COMPUTED_VALUE""")," ")</f>
        <v> </v>
      </c>
      <c r="E294" s="44" t="str">
        <f>IFERROR(__xludf.DUMMYFUNCTION("""COMPUTED_VALUE"""),"17434972")</f>
        <v>17434972</v>
      </c>
      <c r="F294" s="44" t="str">
        <f>IFERROR(__xludf.DUMMYFUNCTION("""COMPUTED_VALUE"""),"")</f>
        <v/>
      </c>
      <c r="G294" s="44" t="str">
        <f>IFERROR(__xludf.DUMMYFUNCTION("""COMPUTED_VALUE""")," ")</f>
        <v> </v>
      </c>
      <c r="H294" s="44" t="str">
        <f>IFERROR(__xludf.DUMMYFUNCTION("""COMPUTED_VALUE""")," ")</f>
        <v> </v>
      </c>
      <c r="I294" s="44" t="str">
        <f>IFERROR(__xludf.DUMMYFUNCTION("""COMPUTED_VALUE"""),"Internado")</f>
        <v>Internado</v>
      </c>
      <c r="J294" s="44" t="str">
        <f>IFERROR(__xludf.DUMMYFUNCTION("""COMPUTED_VALUE"""),"")</f>
        <v/>
      </c>
      <c r="K294" s="42" t="str">
        <f>IFERROR(__xludf.DUMMYFUNCTION("""COMPUTED_VALUE"""),"H. Jose Maria Vargas LG")</f>
        <v>H. Jose Maria Vargas LG</v>
      </c>
    </row>
    <row r="295">
      <c r="A295" s="44">
        <v>294.0</v>
      </c>
      <c r="B295" s="44" t="str">
        <f>IFERROR(__xludf.DUMMYFUNCTION("""COMPUTED_VALUE"""),"Seguro Social La Guaira")</f>
        <v>Seguro Social La Guaira</v>
      </c>
      <c r="C295" s="45" t="str">
        <f>IFERROR(__xludf.DUMMYFUNCTION("""COMPUTED_VALUE"""),"DAFANE CORDOVA")</f>
        <v>DAFANE CORDOVA</v>
      </c>
      <c r="D295" s="44" t="str">
        <f>IFERROR(__xludf.DUMMYFUNCTION("""COMPUTED_VALUE""")," ")</f>
        <v> </v>
      </c>
      <c r="E295" s="44" t="str">
        <f>IFERROR(__xludf.DUMMYFUNCTION("""COMPUTED_VALUE"""),"174349720")</f>
        <v>174349720</v>
      </c>
      <c r="F295" s="44" t="str">
        <f>IFERROR(__xludf.DUMMYFUNCTION("""COMPUTED_VALUE"""),"")</f>
        <v/>
      </c>
      <c r="G295" s="44" t="str">
        <f>IFERROR(__xludf.DUMMYFUNCTION("""COMPUTED_VALUE""")," ")</f>
        <v> </v>
      </c>
      <c r="H295" s="44" t="str">
        <f>IFERROR(__xludf.DUMMYFUNCTION("""COMPUTED_VALUE"""),"OPP 30")</f>
        <v>OPP 30</v>
      </c>
      <c r="I295" s="44" t="str">
        <f>IFERROR(__xludf.DUMMYFUNCTION("""COMPUTED_VALUE""")," ")</f>
        <v> </v>
      </c>
      <c r="J295" s="44" t="str">
        <f>IFERROR(__xludf.DUMMYFUNCTION("""COMPUTED_VALUE"""),"")</f>
        <v/>
      </c>
      <c r="K295" s="42" t="str">
        <f>IFERROR(__xludf.DUMMYFUNCTION("""COMPUTED_VALUE"""),"Seguro Social La Guaira")</f>
        <v>Seguro Social La Guaira</v>
      </c>
    </row>
    <row r="296">
      <c r="A296" s="44">
        <v>295.0</v>
      </c>
      <c r="B296" s="44" t="str">
        <f>IFERROR(__xludf.DUMMYFUNCTION("""COMPUTED_VALUE"""),"Periférico de Catia")</f>
        <v>Periférico de Catia</v>
      </c>
      <c r="C296" s="45" t="str">
        <f>IFERROR(__xludf.DUMMYFUNCTION("""COMPUTED_VALUE"""),"ALCANTARA AMALIS")</f>
        <v>ALCANTARA AMALIS</v>
      </c>
      <c r="D296" s="44">
        <f>IFERROR(__xludf.DUMMYFUNCTION("""COMPUTED_VALUE"""),39.0)</f>
        <v>39</v>
      </c>
      <c r="E296" s="44" t="str">
        <f>IFERROR(__xludf.DUMMYFUNCTION("""COMPUTED_VALUE"""),"17443332")</f>
        <v>17443332</v>
      </c>
      <c r="F296" s="44" t="str">
        <f>IFERROR(__xludf.DUMMYFUNCTION("""COMPUTED_VALUE"""),"")</f>
        <v/>
      </c>
      <c r="G296" s="44" t="str">
        <f>IFERROR(__xludf.DUMMYFUNCTION("""COMPUTED_VALUE""")," ")</f>
        <v> </v>
      </c>
      <c r="H296" s="44" t="str">
        <f>IFERROR(__xludf.DUMMYFUNCTION("""COMPUTED_VALUE""")," ")</f>
        <v> </v>
      </c>
      <c r="I296" s="44" t="str">
        <f>IFERROR(__xludf.DUMMYFUNCTION("""COMPUTED_VALUE"""),"Cirugía General")</f>
        <v>Cirugía General</v>
      </c>
      <c r="J296" s="44" t="str">
        <f>IFERROR(__xludf.DUMMYFUNCTION("""COMPUTED_VALUE"""),"")</f>
        <v/>
      </c>
      <c r="K296" s="42" t="str">
        <f>IFERROR(__xludf.DUMMYFUNCTION("""COMPUTED_VALUE"""),"Periférico de Catia")</f>
        <v>Periférico de Catia</v>
      </c>
    </row>
    <row r="297">
      <c r="A297" s="44">
        <v>296.0</v>
      </c>
      <c r="B297" s="44" t="str">
        <f>IFERROR(__xludf.DUMMYFUNCTION("""COMPUTED_VALUE"""),"Periférico de Catia")</f>
        <v>Periférico de Catia</v>
      </c>
      <c r="C297" s="45" t="str">
        <f>IFERROR(__xludf.DUMMYFUNCTION("""COMPUTED_VALUE"""),"ALCANTARA AMALIS")</f>
        <v>ALCANTARA AMALIS</v>
      </c>
      <c r="D297" s="44">
        <f>IFERROR(__xludf.DUMMYFUNCTION("""COMPUTED_VALUE"""),39.0)</f>
        <v>39</v>
      </c>
      <c r="E297" s="44" t="str">
        <f>IFERROR(__xludf.DUMMYFUNCTION("""COMPUTED_VALUE"""),"174433320")</f>
        <v>174433320</v>
      </c>
      <c r="F297" s="44" t="str">
        <f>IFERROR(__xludf.DUMMYFUNCTION("""COMPUTED_VALUE"""),"")</f>
        <v/>
      </c>
      <c r="G297" s="44" t="str">
        <f>IFERROR(__xludf.DUMMYFUNCTION("""COMPUTED_VALUE""")," ")</f>
        <v> </v>
      </c>
      <c r="H297" s="44" t="str">
        <f>IFERROR(__xludf.DUMMYFUNCTION("""COMPUTED_VALUE"""),"Sin información")</f>
        <v>Sin información</v>
      </c>
      <c r="I297" s="44" t="str">
        <f>IFERROR(__xludf.DUMMYFUNCTION("""COMPUTED_VALUE"""),"Cirugía General")</f>
        <v>Cirugía General</v>
      </c>
      <c r="J297" s="44" t="str">
        <f>IFERROR(__xludf.DUMMYFUNCTION("""COMPUTED_VALUE"""),"")</f>
        <v/>
      </c>
      <c r="K297" s="42" t="str">
        <f>IFERROR(__xludf.DUMMYFUNCTION("""COMPUTED_VALUE"""),"Periférico de Catia")</f>
        <v>Periférico de Catia</v>
      </c>
    </row>
    <row r="298">
      <c r="A298" s="44">
        <v>297.0</v>
      </c>
      <c r="B298" s="44" t="str">
        <f>IFERROR(__xludf.DUMMYFUNCTION("""COMPUTED_VALUE"""),"Hospital Universitario de Carac")</f>
        <v>Hospital Universitario de Carac</v>
      </c>
      <c r="C298" s="45" t="str">
        <f>IFERROR(__xludf.DUMMYFUNCTION("""COMPUTED_VALUE"""),"Luisana Tovar")</f>
        <v>Luisana Tovar</v>
      </c>
      <c r="D298" s="44">
        <f>IFERROR(__xludf.DUMMYFUNCTION("""COMPUTED_VALUE"""),17.0)</f>
        <v>17</v>
      </c>
      <c r="E298" s="44" t="str">
        <f>IFERROR(__xludf.DUMMYFUNCTION("""COMPUTED_VALUE"""),"17443950")</f>
        <v>17443950</v>
      </c>
      <c r="F298" s="44" t="str">
        <f>IFERROR(__xludf.DUMMYFUNCTION("""COMPUTED_VALUE"""),"")</f>
        <v/>
      </c>
      <c r="G298" s="44"/>
      <c r="H298" s="44" t="str">
        <f>IFERROR(__xludf.DUMMYFUNCTION("""COMPUTED_VALUE"""),"El Valle")</f>
        <v>El Valle</v>
      </c>
      <c r="I298" s="44" t="str">
        <f>IFERROR(__xludf.DUMMYFUNCTION("""COMPUTED_VALUE"""),"Politraumatismo")</f>
        <v>Politraumatismo</v>
      </c>
      <c r="J298" s="44" t="str">
        <f>IFERROR(__xludf.DUMMYFUNCTION("""COMPUTED_VALUE"""),"")</f>
        <v/>
      </c>
      <c r="K298" s="42" t="str">
        <f>IFERROR(__xludf.DUMMYFUNCTION("""COMPUTED_VALUE"""),"Hospital Universitario de Carac")</f>
        <v>Hospital Universitario de Carac</v>
      </c>
    </row>
    <row r="299">
      <c r="A299" s="44">
        <v>298.0</v>
      </c>
      <c r="B299" s="44" t="str">
        <f>IFERROR(__xludf.DUMMYFUNCTION("""COMPUTED_VALUE"""),"Hospital Universitario de Carac")</f>
        <v>Hospital Universitario de Carac</v>
      </c>
      <c r="C299" s="45" t="str">
        <f>IFERROR(__xludf.DUMMYFUNCTION("""COMPUTED_VALUE"""),"TOVAR LUISANA / LUSONA")</f>
        <v>TOVAR LUISANA / LUSONA</v>
      </c>
      <c r="D299" s="44">
        <f>IFERROR(__xludf.DUMMYFUNCTION("""COMPUTED_VALUE"""),17.0)</f>
        <v>17</v>
      </c>
      <c r="E299" s="44" t="str">
        <f>IFERROR(__xludf.DUMMYFUNCTION("""COMPUTED_VALUE"""),"17443980")</f>
        <v>17443980</v>
      </c>
      <c r="F299" s="44" t="str">
        <f>IFERROR(__xludf.DUMMYFUNCTION("""COMPUTED_VALUE"""),"")</f>
        <v/>
      </c>
      <c r="G299" s="44" t="str">
        <f>IFERROR(__xludf.DUMMYFUNCTION("""COMPUTED_VALUE"""),"0412-6392426 / 0412-6390425")</f>
        <v>0412-6392426 / 0412-6390425</v>
      </c>
      <c r="H299" s="44" t="str">
        <f>IFERROR(__xludf.DUMMYFUNCTION("""COMPUTED_VALUE""")," ")</f>
        <v> </v>
      </c>
      <c r="I299" s="44" t="str">
        <f>IFERROR(__xludf.DUMMYFUNCTION("""COMPUTED_VALUE""")," ")</f>
        <v> </v>
      </c>
      <c r="J299" s="44" t="str">
        <f>IFERROR(__xludf.DUMMYFUNCTION("""COMPUTED_VALUE"""),"")</f>
        <v/>
      </c>
      <c r="K299" s="42" t="str">
        <f>IFERROR(__xludf.DUMMYFUNCTION("""COMPUTED_VALUE"""),"Hospital Universitario de Carac")</f>
        <v>Hospital Universitario de Carac</v>
      </c>
    </row>
    <row r="300">
      <c r="A300" s="44">
        <v>299.0</v>
      </c>
      <c r="B300" s="44" t="str">
        <f>IFERROR(__xludf.DUMMYFUNCTION("""COMPUTED_VALUE"""),"Hospital Pérez Carreño")</f>
        <v>Hospital Pérez Carreño</v>
      </c>
      <c r="C300" s="45" t="str">
        <f>IFERROR(__xludf.DUMMYFUNCTION("""COMPUTED_VALUE"""),"MUÑON IVAN")</f>
        <v>MUÑON IVAN</v>
      </c>
      <c r="D300" s="44">
        <f>IFERROR(__xludf.DUMMYFUNCTION("""COMPUTED_VALUE"""),40.0)</f>
        <v>40</v>
      </c>
      <c r="E300" s="44" t="str">
        <f>IFERROR(__xludf.DUMMYFUNCTION("""COMPUTED_VALUE"""),"17475718")</f>
        <v>17475718</v>
      </c>
      <c r="F300" s="44" t="str">
        <f>IFERROR(__xludf.DUMMYFUNCTION("""COMPUTED_VALUE"""),"")</f>
        <v/>
      </c>
      <c r="G300" s="44" t="str">
        <f>IFERROR(__xludf.DUMMYFUNCTION("""COMPUTED_VALUE""")," ")</f>
        <v> </v>
      </c>
      <c r="H300" s="44" t="str">
        <f>IFERROR(__xludf.DUMMYFUNCTION("""COMPUTED_VALUE""")," ")</f>
        <v> </v>
      </c>
      <c r="I300" s="44" t="str">
        <f>IFERROR(__xludf.DUMMYFUNCTION("""COMPUTED_VALUE""")," ")</f>
        <v> </v>
      </c>
      <c r="J300" s="44" t="str">
        <f>IFERROR(__xludf.DUMMYFUNCTION("""COMPUTED_VALUE"""),"25/06/2026")</f>
        <v>25/06/2026</v>
      </c>
      <c r="K300" s="42" t="str">
        <f>IFERROR(__xludf.DUMMYFUNCTION("""COMPUTED_VALUE"""),"Hospital Pérez Carreño")</f>
        <v>Hospital Pérez Carreño</v>
      </c>
    </row>
    <row r="301">
      <c r="A301" s="44">
        <v>300.0</v>
      </c>
      <c r="B301" s="44" t="str">
        <f>IFERROR(__xludf.DUMMYFUNCTION("""COMPUTED_VALUE"""),"Periférico de Catia")</f>
        <v>Periférico de Catia</v>
      </c>
      <c r="C301" s="45" t="str">
        <f>IFERROR(__xludf.DUMMYFUNCTION("""COMPUTED_VALUE"""),"SPINOLA KELLY")</f>
        <v>SPINOLA KELLY</v>
      </c>
      <c r="D301" s="44">
        <f>IFERROR(__xludf.DUMMYFUNCTION("""COMPUTED_VALUE"""),38.0)</f>
        <v>38</v>
      </c>
      <c r="E301" s="44" t="str">
        <f>IFERROR(__xludf.DUMMYFUNCTION("""COMPUTED_VALUE"""),"17482090")</f>
        <v>17482090</v>
      </c>
      <c r="F301" s="44" t="str">
        <f>IFERROR(__xludf.DUMMYFUNCTION("""COMPUTED_VALUE"""),"")</f>
        <v/>
      </c>
      <c r="G301" s="44" t="str">
        <f>IFERROR(__xludf.DUMMYFUNCTION("""COMPUTED_VALUE""")," ")</f>
        <v> </v>
      </c>
      <c r="H301" s="44" t="str">
        <f>IFERROR(__xludf.DUMMYFUNCTION("""COMPUTED_VALUE""")," ")</f>
        <v> </v>
      </c>
      <c r="I301" s="44" t="str">
        <f>IFERROR(__xludf.DUMMYFUNCTION("""COMPUTED_VALUE"""),"Cirugía General")</f>
        <v>Cirugía General</v>
      </c>
      <c r="J301" s="44" t="str">
        <f>IFERROR(__xludf.DUMMYFUNCTION("""COMPUTED_VALUE"""),"")</f>
        <v/>
      </c>
      <c r="K301" s="42" t="str">
        <f>IFERROR(__xludf.DUMMYFUNCTION("""COMPUTED_VALUE"""),"Periférico de Catia")</f>
        <v>Periférico de Catia</v>
      </c>
    </row>
    <row r="302">
      <c r="A302" s="44">
        <v>301.0</v>
      </c>
      <c r="B302" s="44" t="str">
        <f>IFERROR(__xludf.DUMMYFUNCTION("""COMPUTED_VALUE"""),"Periférico de Catia")</f>
        <v>Periférico de Catia</v>
      </c>
      <c r="C302" s="45" t="str">
        <f>IFERROR(__xludf.DUMMYFUNCTION("""COMPUTED_VALUE"""),"SPINOLA KELLY")</f>
        <v>SPINOLA KELLY</v>
      </c>
      <c r="D302" s="44">
        <f>IFERROR(__xludf.DUMMYFUNCTION("""COMPUTED_VALUE"""),38.0)</f>
        <v>38</v>
      </c>
      <c r="E302" s="44" t="str">
        <f>IFERROR(__xludf.DUMMYFUNCTION("""COMPUTED_VALUE"""),"174820900")</f>
        <v>174820900</v>
      </c>
      <c r="F302" s="44" t="str">
        <f>IFERROR(__xludf.DUMMYFUNCTION("""COMPUTED_VALUE"""),"")</f>
        <v/>
      </c>
      <c r="G302" s="44" t="str">
        <f>IFERROR(__xludf.DUMMYFUNCTION("""COMPUTED_VALUE""")," ")</f>
        <v> </v>
      </c>
      <c r="H302" s="44" t="str">
        <f>IFERROR(__xludf.DUMMYFUNCTION("""COMPUTED_VALUE""")," ")</f>
        <v> </v>
      </c>
      <c r="I302" s="44" t="str">
        <f>IFERROR(__xludf.DUMMYFUNCTION("""COMPUTED_VALUE"""),"Cirugía General")</f>
        <v>Cirugía General</v>
      </c>
      <c r="J302" s="44" t="str">
        <f>IFERROR(__xludf.DUMMYFUNCTION("""COMPUTED_VALUE"""),"")</f>
        <v/>
      </c>
      <c r="K302" s="42" t="str">
        <f>IFERROR(__xludf.DUMMYFUNCTION("""COMPUTED_VALUE"""),"Periférico de Catia")</f>
        <v>Periférico de Catia</v>
      </c>
    </row>
    <row r="303">
      <c r="A303" s="44">
        <v>302.0</v>
      </c>
      <c r="B303" s="44" t="str">
        <f>IFERROR(__xludf.DUMMYFUNCTION("""COMPUTED_VALUE"""),"H. Jose Maria Vargas LG")</f>
        <v>H. Jose Maria Vargas LG</v>
      </c>
      <c r="C303" s="45" t="str">
        <f>IFERROR(__xludf.DUMMYFUNCTION("""COMPUTED_VALUE"""),"MARQUEZ YOSIMAR")</f>
        <v>MARQUEZ YOSIMAR</v>
      </c>
      <c r="D303" s="44">
        <f>IFERROR(__xludf.DUMMYFUNCTION("""COMPUTED_VALUE"""),38.0)</f>
        <v>38</v>
      </c>
      <c r="E303" s="44" t="str">
        <f>IFERROR(__xludf.DUMMYFUNCTION("""COMPUTED_VALUE"""),"17483578")</f>
        <v>17483578</v>
      </c>
      <c r="F303" s="44" t="str">
        <f>IFERROR(__xludf.DUMMYFUNCTION("""COMPUTED_VALUE"""),"")</f>
        <v/>
      </c>
      <c r="G303" s="44" t="str">
        <f>IFERROR(__xludf.DUMMYFUNCTION("""COMPUTED_VALUE""")," ")</f>
        <v> </v>
      </c>
      <c r="H303" s="44" t="str">
        <f>IFERROR(__xludf.DUMMYFUNCTION("""COMPUTED_VALUE"""),"Macuto")</f>
        <v>Macuto</v>
      </c>
      <c r="I303" s="44" t="str">
        <f>IFERROR(__xludf.DUMMYFUNCTION("""COMPUTED_VALUE""")," ")</f>
        <v> </v>
      </c>
      <c r="J303" s="44" t="str">
        <f>IFERROR(__xludf.DUMMYFUNCTION("""COMPUTED_VALUE"""),"")</f>
        <v/>
      </c>
      <c r="K303" s="42" t="str">
        <f>IFERROR(__xludf.DUMMYFUNCTION("""COMPUTED_VALUE"""),"H. Jose Maria Vargas LG")</f>
        <v>H. Jose Maria Vargas LG</v>
      </c>
    </row>
    <row r="304">
      <c r="A304" s="44">
        <v>303.0</v>
      </c>
      <c r="B304" s="44" t="str">
        <f>IFERROR(__xludf.DUMMYFUNCTION("""COMPUTED_VALUE"""),"H. Jose Maria Vargas LG")</f>
        <v>H. Jose Maria Vargas LG</v>
      </c>
      <c r="C304" s="45" t="str">
        <f>IFERROR(__xludf.DUMMYFUNCTION("""COMPUTED_VALUE"""),"CARDONA DAYANA")</f>
        <v>CARDONA DAYANA</v>
      </c>
      <c r="D304" s="44" t="str">
        <f>IFERROR(__xludf.DUMMYFUNCTION("""COMPUTED_VALUE""")," ")</f>
        <v> </v>
      </c>
      <c r="E304" s="44" t="str">
        <f>IFERROR(__xludf.DUMMYFUNCTION("""COMPUTED_VALUE"""),"17484972")</f>
        <v>17484972</v>
      </c>
      <c r="F304" s="44" t="str">
        <f>IFERROR(__xludf.DUMMYFUNCTION("""COMPUTED_VALUE"""),"")</f>
        <v/>
      </c>
      <c r="G304" s="44" t="str">
        <f>IFERROR(__xludf.DUMMYFUNCTION("""COMPUTED_VALUE""")," ")</f>
        <v> </v>
      </c>
      <c r="H304" s="44" t="str">
        <f>IFERROR(__xludf.DUMMYFUNCTION("""COMPUTED_VALUE"""),"OPPE 30")</f>
        <v>OPPE 30</v>
      </c>
      <c r="I304" s="44" t="str">
        <f>IFERROR(__xludf.DUMMYFUNCTION("""COMPUTED_VALUE""")," ")</f>
        <v> </v>
      </c>
      <c r="J304" s="44" t="str">
        <f>IFERROR(__xludf.DUMMYFUNCTION("""COMPUTED_VALUE"""),"")</f>
        <v/>
      </c>
      <c r="K304" s="42" t="str">
        <f>IFERROR(__xludf.DUMMYFUNCTION("""COMPUTED_VALUE"""),"H. Jose Maria Vargas LG")</f>
        <v>H. Jose Maria Vargas LG</v>
      </c>
    </row>
    <row r="305">
      <c r="A305" s="44">
        <v>304.0</v>
      </c>
      <c r="B305" s="44" t="str">
        <f>IFERROR(__xludf.DUMMYFUNCTION("""COMPUTED_VALUE"""),"Hospital Universitario de Carac")</f>
        <v>Hospital Universitario de Carac</v>
      </c>
      <c r="C305" s="45" t="str">
        <f>IFERROR(__xludf.DUMMYFUNCTION("""COMPUTED_VALUE"""),"BARAJA ANDRES")</f>
        <v>BARAJA ANDRES</v>
      </c>
      <c r="D305" s="44">
        <f>IFERROR(__xludf.DUMMYFUNCTION("""COMPUTED_VALUE"""),41.0)</f>
        <v>41</v>
      </c>
      <c r="E305" s="44" t="str">
        <f>IFERROR(__xludf.DUMMYFUNCTION("""COMPUTED_VALUE"""),"17491087")</f>
        <v>17491087</v>
      </c>
      <c r="F305" s="44" t="str">
        <f>IFERROR(__xludf.DUMMYFUNCTION("""COMPUTED_VALUE"""),"")</f>
        <v/>
      </c>
      <c r="G305" s="44" t="str">
        <f>IFERROR(__xludf.DUMMYFUNCTION("""COMPUTED_VALUE"""),"0424-2738577")</f>
        <v>0424-2738577</v>
      </c>
      <c r="H305" s="44" t="str">
        <f>IFERROR(__xludf.DUMMYFUNCTION("""COMPUTED_VALUE""")," ")</f>
        <v> </v>
      </c>
      <c r="I305" s="44" t="str">
        <f>IFERROR(__xludf.DUMMYFUNCTION("""COMPUTED_VALUE""")," ")</f>
        <v> </v>
      </c>
      <c r="J305" s="44" t="str">
        <f>IFERROR(__xludf.DUMMYFUNCTION("""COMPUTED_VALUE"""),"")</f>
        <v/>
      </c>
      <c r="K305" s="42" t="str">
        <f>IFERROR(__xludf.DUMMYFUNCTION("""COMPUTED_VALUE"""),"Hospital Universitario de Carac")</f>
        <v>Hospital Universitario de Carac</v>
      </c>
    </row>
    <row r="306">
      <c r="A306" s="44">
        <v>305.0</v>
      </c>
      <c r="B306" s="44" t="str">
        <f>IFERROR(__xludf.DUMMYFUNCTION("""COMPUTED_VALUE"""),"Hospital Vargas de Caracas")</f>
        <v>Hospital Vargas de Caracas</v>
      </c>
      <c r="C306" s="45" t="str">
        <f>IFERROR(__xludf.DUMMYFUNCTION("""COMPUTED_VALUE"""),"FOSSIA LEANDRO")</f>
        <v>FOSSIA LEANDRO</v>
      </c>
      <c r="D306" s="44" t="str">
        <f>IFERROR(__xludf.DUMMYFUNCTION("""COMPUTED_VALUE""")," ")</f>
        <v> </v>
      </c>
      <c r="E306" s="44" t="str">
        <f>IFERROR(__xludf.DUMMYFUNCTION("""COMPUTED_VALUE"""),"17587273")</f>
        <v>17587273</v>
      </c>
      <c r="F306" s="44" t="str">
        <f>IFERROR(__xludf.DUMMYFUNCTION("""COMPUTED_VALUE""")," ")</f>
        <v> </v>
      </c>
      <c r="G306" s="44" t="str">
        <f>IFERROR(__xludf.DUMMYFUNCTION("""COMPUTED_VALUE"""),"")</f>
        <v/>
      </c>
      <c r="H306" s="44" t="str">
        <f>IFERROR(__xludf.DUMMYFUNCTION("""COMPUTED_VALUE""")," ")</f>
        <v> </v>
      </c>
      <c r="I306" s="44" t="str">
        <f>IFERROR(__xludf.DUMMYFUNCTION("""COMPUTED_VALUE""")," ")</f>
        <v> </v>
      </c>
      <c r="J306" s="44" t="str">
        <f>IFERROR(__xludf.DUMMYFUNCTION("""COMPUTED_VALUE"""),"")</f>
        <v/>
      </c>
      <c r="K306" s="42" t="str">
        <f>IFERROR(__xludf.DUMMYFUNCTION("""COMPUTED_VALUE"""),"Hospital Vargas de Caracas")</f>
        <v>Hospital Vargas de Caracas</v>
      </c>
    </row>
    <row r="307">
      <c r="A307" s="44">
        <v>306.0</v>
      </c>
      <c r="B307" s="44" t="str">
        <f>IFERROR(__xludf.DUMMYFUNCTION("""COMPUTED_VALUE"""),"Hospital Pérez Carreño")</f>
        <v>Hospital Pérez Carreño</v>
      </c>
      <c r="C307" s="45" t="str">
        <f>IFERROR(__xludf.DUMMYFUNCTION("""COMPUTED_VALUE"""),"GOLZEZA ELIZBTH")</f>
        <v>GOLZEZA ELIZBTH</v>
      </c>
      <c r="D307" s="44" t="str">
        <f>IFERROR(__xludf.DUMMYFUNCTION("""COMPUTED_VALUE""")," ")</f>
        <v> </v>
      </c>
      <c r="E307" s="44" t="str">
        <f>IFERROR(__xludf.DUMMYFUNCTION("""COMPUTED_VALUE"""),"17709218")</f>
        <v>17709218</v>
      </c>
      <c r="F307" s="44" t="str">
        <f>IFERROR(__xludf.DUMMYFUNCTION("""COMPUTED_VALUE"""),"")</f>
        <v/>
      </c>
      <c r="G307" s="44" t="str">
        <f>IFERROR(__xludf.DUMMYFUNCTION("""COMPUTED_VALUE""")," ")</f>
        <v> </v>
      </c>
      <c r="H307" s="44" t="str">
        <f>IFERROR(__xludf.DUMMYFUNCTION("""COMPUTED_VALUE""")," ")</f>
        <v> </v>
      </c>
      <c r="I307" s="44" t="str">
        <f>IFERROR(__xludf.DUMMYFUNCTION("""COMPUTED_VALUE""")," ")</f>
        <v> </v>
      </c>
      <c r="J307" s="44" t="str">
        <f>IFERROR(__xludf.DUMMYFUNCTION("""COMPUTED_VALUE"""),"25/06/2026")</f>
        <v>25/06/2026</v>
      </c>
      <c r="K307" s="42" t="str">
        <f>IFERROR(__xludf.DUMMYFUNCTION("""COMPUTED_VALUE"""),"Hospital Pérez Carreño")</f>
        <v>Hospital Pérez Carreño</v>
      </c>
    </row>
    <row r="308">
      <c r="A308" s="44">
        <v>307.0</v>
      </c>
      <c r="B308" s="44" t="str">
        <f>IFERROR(__xludf.DUMMYFUNCTION("""COMPUTED_VALUE"""),"Hospital Pérez Carreño")</f>
        <v>Hospital Pérez Carreño</v>
      </c>
      <c r="C308" s="45" t="str">
        <f>IFERROR(__xludf.DUMMYFUNCTION("""COMPUTED_VALUE"""),"GONZALEZ ELIZABETH TRINIDAD")</f>
        <v>GONZALEZ ELIZABETH TRINIDAD</v>
      </c>
      <c r="D308" s="44" t="str">
        <f>IFERROR(__xludf.DUMMYFUNCTION("""COMPUTED_VALUE"""),"Sin información")</f>
        <v>Sin información</v>
      </c>
      <c r="E308" s="44" t="str">
        <f>IFERROR(__xludf.DUMMYFUNCTION("""COMPUTED_VALUE"""),"177092180")</f>
        <v>177092180</v>
      </c>
      <c r="F308" s="44" t="str">
        <f>IFERROR(__xludf.DUMMYFUNCTION("""COMPUTED_VALUE"""),"")</f>
        <v/>
      </c>
      <c r="G308" s="44" t="str">
        <f>IFERROR(__xludf.DUMMYFUNCTION("""COMPUTED_VALUE""")," ")</f>
        <v> </v>
      </c>
      <c r="H308" s="44" t="str">
        <f>IFERROR(__xludf.DUMMYFUNCTION("""COMPUTED_VALUE"""),"Sin información")</f>
        <v>Sin información</v>
      </c>
      <c r="I308" s="44" t="str">
        <f>IFERROR(__xludf.DUMMYFUNCTION("""COMPUTED_VALUE"""),"Sin información")</f>
        <v>Sin información</v>
      </c>
      <c r="J308" s="44" t="str">
        <f>IFERROR(__xludf.DUMMYFUNCTION("""COMPUTED_VALUE"""),"25/06/2026")</f>
        <v>25/06/2026</v>
      </c>
      <c r="K308" s="42" t="str">
        <f>IFERROR(__xludf.DUMMYFUNCTION("""COMPUTED_VALUE"""),"Hospital Pérez Carreño")</f>
        <v>Hospital Pérez Carreño</v>
      </c>
    </row>
    <row r="309">
      <c r="A309" s="44">
        <v>308.0</v>
      </c>
      <c r="B309" s="44" t="str">
        <f>IFERROR(__xludf.DUMMYFUNCTION("""COMPUTED_VALUE"""),"Hospital Vargas de Caracas")</f>
        <v>Hospital Vargas de Caracas</v>
      </c>
      <c r="C309" s="45" t="str">
        <f>IFERROR(__xludf.DUMMYFUNCTION("""COMPUTED_VALUE"""),"DARBELY GARCIA")</f>
        <v>DARBELY GARCIA</v>
      </c>
      <c r="D309" s="44" t="str">
        <f>IFERROR(__xludf.DUMMYFUNCTION("""COMPUTED_VALUE""")," ")</f>
        <v> </v>
      </c>
      <c r="E309" s="44" t="str">
        <f>IFERROR(__xludf.DUMMYFUNCTION("""COMPUTED_VALUE"""),"17710318")</f>
        <v>17710318</v>
      </c>
      <c r="F309" s="44" t="str">
        <f>IFERROR(__xludf.DUMMYFUNCTION("""COMPUTED_VALUE""")," ")</f>
        <v> </v>
      </c>
      <c r="G309" s="44" t="str">
        <f>IFERROR(__xludf.DUMMYFUNCTION("""COMPUTED_VALUE"""),"")</f>
        <v/>
      </c>
      <c r="H309" s="44" t="str">
        <f>IFERROR(__xludf.DUMMYFUNCTION("""COMPUTED_VALUE"""),"Guaira")</f>
        <v>Guaira</v>
      </c>
      <c r="I309" s="44" t="str">
        <f>IFERROR(__xludf.DUMMYFUNCTION("""COMPUTED_VALUE""")," ")</f>
        <v> </v>
      </c>
      <c r="J309" s="44" t="str">
        <f>IFERROR(__xludf.DUMMYFUNCTION("""COMPUTED_VALUE"""),"")</f>
        <v/>
      </c>
      <c r="K309" s="42" t="str">
        <f>IFERROR(__xludf.DUMMYFUNCTION("""COMPUTED_VALUE"""),"Hospital Vargas de Caracas")</f>
        <v>Hospital Vargas de Caracas</v>
      </c>
    </row>
    <row r="310">
      <c r="A310" s="44">
        <v>309.0</v>
      </c>
      <c r="B310" s="44" t="str">
        <f>IFERROR(__xludf.DUMMYFUNCTION("""COMPUTED_VALUE"""),"Hospital Vargas de Caracas")</f>
        <v>Hospital Vargas de Caracas</v>
      </c>
      <c r="C310" s="45" t="str">
        <f>IFERROR(__xludf.DUMMYFUNCTION("""COMPUTED_VALUE"""),"GUERRA EVELIN")</f>
        <v>GUERRA EVELIN</v>
      </c>
      <c r="D310" s="44" t="str">
        <f>IFERROR(__xludf.DUMMYFUNCTION("""COMPUTED_VALUE""")," ")</f>
        <v> </v>
      </c>
      <c r="E310" s="44" t="str">
        <f>IFERROR(__xludf.DUMMYFUNCTION("""COMPUTED_VALUE"""),"177103440")</f>
        <v>177103440</v>
      </c>
      <c r="F310" s="44" t="str">
        <f>IFERROR(__xludf.DUMMYFUNCTION("""COMPUTED_VALUE""")," ")</f>
        <v> </v>
      </c>
      <c r="G310" s="44" t="str">
        <f>IFERROR(__xludf.DUMMYFUNCTION("""COMPUTED_VALUE"""),"")</f>
        <v/>
      </c>
      <c r="H310" s="44" t="str">
        <f>IFERROR(__xludf.DUMMYFUNCTION("""COMPUTED_VALUE""")," ")</f>
        <v> </v>
      </c>
      <c r="I310" s="44" t="str">
        <f>IFERROR(__xludf.DUMMYFUNCTION("""COMPUTED_VALUE""")," ")</f>
        <v> </v>
      </c>
      <c r="J310" s="44" t="str">
        <f>IFERROR(__xludf.DUMMYFUNCTION("""COMPUTED_VALUE"""),"")</f>
        <v/>
      </c>
      <c r="K310" s="42" t="str">
        <f>IFERROR(__xludf.DUMMYFUNCTION("""COMPUTED_VALUE"""),"Hospital Vargas de Caracas")</f>
        <v>Hospital Vargas de Caracas</v>
      </c>
    </row>
    <row r="311">
      <c r="A311" s="44">
        <v>310.0</v>
      </c>
      <c r="B311" s="44" t="str">
        <f>IFERROR(__xludf.DUMMYFUNCTION("""COMPUTED_VALUE"""),"HOSPITAL VARGAS")</f>
        <v>HOSPITAL VARGAS</v>
      </c>
      <c r="C311" s="45" t="str">
        <f>IFERROR(__xludf.DUMMYFUNCTION("""COMPUTED_VALUE"""),"Evelyn Guerra")</f>
        <v>Evelyn Guerra</v>
      </c>
      <c r="D311" s="44"/>
      <c r="E311" s="44" t="str">
        <f>IFERROR(__xludf.DUMMYFUNCTION("""COMPUTED_VALUE"""),"17710348")</f>
        <v>17710348</v>
      </c>
      <c r="F311" s="44" t="str">
        <f>IFERROR(__xludf.DUMMYFUNCTION("""COMPUTED_VALUE"""),"")</f>
        <v/>
      </c>
      <c r="G311" s="44" t="str">
        <f>IFERROR(__xludf.DUMMYFUNCTION("""COMPUTED_VALUE"""),"")</f>
        <v/>
      </c>
      <c r="H311" s="44" t="str">
        <f>IFERROR(__xludf.DUMMYFUNCTION("""COMPUTED_VALUE"""),"")</f>
        <v/>
      </c>
      <c r="I311" s="44" t="str">
        <f>IFERROR(__xludf.DUMMYFUNCTION("""COMPUTED_VALUE"""),"Herido / atendido")</f>
        <v>Herido / atendido</v>
      </c>
      <c r="J311" s="44" t="str">
        <f>IFERROR(__xludf.DUMMYFUNCTION("""COMPUTED_VALUE"""),"24.06.2026 ")</f>
        <v>24.06.2026 </v>
      </c>
      <c r="K311" s="42" t="str">
        <f>IFERROR(__xludf.DUMMYFUNCTION("""COMPUTED_VALUE"""),"HOSPITAL VARGAS")</f>
        <v>HOSPITAL VARGAS</v>
      </c>
    </row>
    <row r="312">
      <c r="A312" s="44">
        <v>311.0</v>
      </c>
      <c r="B312" s="44" t="str">
        <f>IFERROR(__xludf.DUMMYFUNCTION("""COMPUTED_VALUE"""),"Hospital Dr. José Gregorio Hern")</f>
        <v>Hospital Dr. José Gregorio Hern</v>
      </c>
      <c r="C312" s="45" t="str">
        <f>IFERROR(__xludf.DUMMYFUNCTION("""COMPUTED_VALUE"""),"GUEIRA JUAN")</f>
        <v>GUEIRA JUAN</v>
      </c>
      <c r="D312" s="44">
        <f>IFERROR(__xludf.DUMMYFUNCTION("""COMPUTED_VALUE"""),40.0)</f>
        <v>40</v>
      </c>
      <c r="E312" s="44" t="str">
        <f>IFERROR(__xludf.DUMMYFUNCTION("""COMPUTED_VALUE"""),"17755824")</f>
        <v>17755824</v>
      </c>
      <c r="F312" s="44" t="str">
        <f>IFERROR(__xludf.DUMMYFUNCTION("""COMPUTED_VALUE"""),"")</f>
        <v/>
      </c>
      <c r="G312" s="44" t="str">
        <f>IFERROR(__xludf.DUMMYFUNCTION("""COMPUTED_VALUE""")," ")</f>
        <v> </v>
      </c>
      <c r="H312" s="44" t="str">
        <f>IFERROR(__xludf.DUMMYFUNCTION("""COMPUTED_VALUE"""),"Guarenas")</f>
        <v>Guarenas</v>
      </c>
      <c r="I312" s="44" t="str">
        <f>IFERROR(__xludf.DUMMYFUNCTION("""COMPUTED_VALUE""")," ")</f>
        <v> </v>
      </c>
      <c r="J312" s="44" t="str">
        <f>IFERROR(__xludf.DUMMYFUNCTION("""COMPUTED_VALUE"""),"")</f>
        <v/>
      </c>
      <c r="K312" s="42" t="str">
        <f>IFERROR(__xludf.DUMMYFUNCTION("""COMPUTED_VALUE"""),"Hospital Dr. José Gregorio Hern")</f>
        <v>Hospital Dr. José Gregorio Hern</v>
      </c>
    </row>
    <row r="313">
      <c r="A313" s="44">
        <v>312.0</v>
      </c>
      <c r="B313" s="44" t="str">
        <f>IFERROR(__xludf.DUMMYFUNCTION("""COMPUTED_VALUE"""),"Hospital Pérez Carreño")</f>
        <v>Hospital Pérez Carreño</v>
      </c>
      <c r="C313" s="45" t="str">
        <f>IFERROR(__xludf.DUMMYFUNCTION("""COMPUTED_VALUE"""),"GARCIA JUAN")</f>
        <v>GARCIA JUAN</v>
      </c>
      <c r="D313" s="44" t="str">
        <f>IFERROR(__xludf.DUMMYFUNCTION("""COMPUTED_VALUE""")," ")</f>
        <v> </v>
      </c>
      <c r="E313" s="44" t="str">
        <f>IFERROR(__xludf.DUMMYFUNCTION("""COMPUTED_VALUE"""),"17755829")</f>
        <v>17755829</v>
      </c>
      <c r="F313" s="44" t="str">
        <f>IFERROR(__xludf.DUMMYFUNCTION("""COMPUTED_VALUE"""),"")</f>
        <v/>
      </c>
      <c r="G313" s="44" t="str">
        <f>IFERROR(__xludf.DUMMYFUNCTION("""COMPUTED_VALUE""")," ")</f>
        <v> </v>
      </c>
      <c r="H313" s="44" t="str">
        <f>IFERROR(__xludf.DUMMYFUNCTION("""COMPUTED_VALUE""")," ")</f>
        <v> </v>
      </c>
      <c r="I313" s="44" t="str">
        <f>IFERROR(__xludf.DUMMYFUNCTION("""COMPUTED_VALUE""")," ")</f>
        <v> </v>
      </c>
      <c r="J313" s="44" t="str">
        <f>IFERROR(__xludf.DUMMYFUNCTION("""COMPUTED_VALUE"""),"25/06/2026")</f>
        <v>25/06/2026</v>
      </c>
      <c r="K313" s="42" t="str">
        <f>IFERROR(__xludf.DUMMYFUNCTION("""COMPUTED_VALUE"""),"Hospital Pérez Carreño")</f>
        <v>Hospital Pérez Carreño</v>
      </c>
    </row>
    <row r="314">
      <c r="A314" s="44">
        <v>313.0</v>
      </c>
      <c r="B314" s="44" t="str">
        <f>IFERROR(__xludf.DUMMYFUNCTION("""COMPUTED_VALUE"""),"Hospital Pérez Carreño")</f>
        <v>Hospital Pérez Carreño</v>
      </c>
      <c r="C314" s="45" t="str">
        <f>IFERROR(__xludf.DUMMYFUNCTION("""COMPUTED_VALUE"""),"JUAN GARCIA")</f>
        <v>JUAN GARCIA</v>
      </c>
      <c r="D314" s="44" t="str">
        <f>IFERROR(__xludf.DUMMYFUNCTION("""COMPUTED_VALUE""")," ")</f>
        <v> </v>
      </c>
      <c r="E314" s="44" t="str">
        <f>IFERROR(__xludf.DUMMYFUNCTION("""COMPUTED_VALUE"""),"177558290")</f>
        <v>177558290</v>
      </c>
      <c r="F314" s="44" t="str">
        <f>IFERROR(__xludf.DUMMYFUNCTION("""COMPUTED_VALUE"""),"")</f>
        <v/>
      </c>
      <c r="G314" s="44" t="str">
        <f>IFERROR(__xludf.DUMMYFUNCTION("""COMPUTED_VALUE""")," ")</f>
        <v> </v>
      </c>
      <c r="H314" s="44" t="str">
        <f>IFERROR(__xludf.DUMMYFUNCTION("""COMPUTED_VALUE""")," ")</f>
        <v> </v>
      </c>
      <c r="I314" s="44" t="str">
        <f>IFERROR(__xludf.DUMMYFUNCTION("""COMPUTED_VALUE""")," ")</f>
        <v> </v>
      </c>
      <c r="J314" s="44" t="str">
        <f>IFERROR(__xludf.DUMMYFUNCTION("""COMPUTED_VALUE"""),"25/06/2026")</f>
        <v>25/06/2026</v>
      </c>
      <c r="K314" s="42" t="str">
        <f>IFERROR(__xludf.DUMMYFUNCTION("""COMPUTED_VALUE"""),"Hospital Pérez Carreño")</f>
        <v>Hospital Pérez Carreño</v>
      </c>
    </row>
    <row r="315">
      <c r="A315" s="44">
        <v>314.0</v>
      </c>
      <c r="B315" s="44" t="str">
        <f>IFERROR(__xludf.DUMMYFUNCTION("""COMPUTED_VALUE"""),"Hospital Militar Dr. C. Arvelo")</f>
        <v>Hospital Militar Dr. C. Arvelo</v>
      </c>
      <c r="C315" s="45" t="str">
        <f>IFERROR(__xludf.DUMMYFUNCTION("""COMPUTED_VALUE"""),"Álvarez Anderson")</f>
        <v>Álvarez Anderson</v>
      </c>
      <c r="D315" s="44">
        <f>IFERROR(__xludf.DUMMYFUNCTION("""COMPUTED_VALUE"""),29.0)</f>
        <v>29</v>
      </c>
      <c r="E315" s="44" t="str">
        <f>IFERROR(__xludf.DUMMYFUNCTION("""COMPUTED_VALUE"""),"17755833")</f>
        <v>17755833</v>
      </c>
      <c r="F315" s="44" t="str">
        <f>IFERROR(__xludf.DUMMYFUNCTION("""COMPUTED_VALUE"""),"")</f>
        <v/>
      </c>
      <c r="G315" s="44" t="str">
        <f>IFERROR(__xludf.DUMMYFUNCTION("""COMPUTED_VALUE"""),"")</f>
        <v/>
      </c>
      <c r="H315" s="44" t="str">
        <f>IFERROR(__xludf.DUMMYFUNCTION("""COMPUTED_VALUE"""),"M")</f>
        <v>M</v>
      </c>
      <c r="I315" s="44" t="str">
        <f>IFERROR(__xludf.DUMMYFUNCTION("""COMPUTED_VALUE"""),"San Juan PNA")</f>
        <v>San Juan PNA</v>
      </c>
      <c r="J315" s="44" t="str">
        <f>IFERROR(__xludf.DUMMYFUNCTION("""COMPUTED_VALUE"""),"24/6/2026")</f>
        <v>24/6/2026</v>
      </c>
      <c r="K315" s="42" t="str">
        <f>IFERROR(__xludf.DUMMYFUNCTION("""COMPUTED_VALUE"""),"Hospital Militar Dr. C. Arvelo")</f>
        <v>Hospital Militar Dr. C. Arvelo</v>
      </c>
    </row>
    <row r="316">
      <c r="A316" s="44">
        <v>315.0</v>
      </c>
      <c r="B316" s="44" t="str">
        <f>IFERROR(__xludf.DUMMYFUNCTION("""COMPUTED_VALUE"""),"H. Jose Maria Vargas LG")</f>
        <v>H. Jose Maria Vargas LG</v>
      </c>
      <c r="C316" s="45" t="str">
        <f>IFERROR(__xludf.DUMMYFUNCTION("""COMPUTED_VALUE"""),"RODON PEDRO")</f>
        <v>RODON PEDRO</v>
      </c>
      <c r="D316" s="44" t="str">
        <f>IFERROR(__xludf.DUMMYFUNCTION("""COMPUTED_VALUE""")," ")</f>
        <v> </v>
      </c>
      <c r="E316" s="44" t="str">
        <f>IFERROR(__xludf.DUMMYFUNCTION("""COMPUTED_VALUE"""),"1777176")</f>
        <v>1777176</v>
      </c>
      <c r="F316" s="44" t="str">
        <f>IFERROR(__xludf.DUMMYFUNCTION("""COMPUTED_VALUE"""),"")</f>
        <v/>
      </c>
      <c r="G316" s="44" t="str">
        <f>IFERROR(__xludf.DUMMYFUNCTION("""COMPUTED_VALUE""")," ")</f>
        <v> </v>
      </c>
      <c r="H316" s="44" t="str">
        <f>IFERROR(__xludf.DUMMYFUNCTION("""COMPUTED_VALUE""")," ")</f>
        <v> </v>
      </c>
      <c r="I316" s="44" t="str">
        <f>IFERROR(__xludf.DUMMYFUNCTION("""COMPUTED_VALUE""")," ")</f>
        <v> </v>
      </c>
      <c r="J316" s="44" t="str">
        <f>IFERROR(__xludf.DUMMYFUNCTION("""COMPUTED_VALUE"""),"")</f>
        <v/>
      </c>
      <c r="K316" s="42" t="str">
        <f>IFERROR(__xludf.DUMMYFUNCTION("""COMPUTED_VALUE"""),"H. Jose Maria Vargas LG")</f>
        <v>H. Jose Maria Vargas LG</v>
      </c>
    </row>
    <row r="317">
      <c r="A317" s="44">
        <v>316.0</v>
      </c>
      <c r="B317" s="44" t="str">
        <f>IFERROR(__xludf.DUMMYFUNCTION("""COMPUTED_VALUE"""),"Hospital Ana Francisca Pérez de")</f>
        <v>Hospital Ana Francisca Pérez de</v>
      </c>
      <c r="C317" s="45" t="str">
        <f>IFERROR(__xludf.DUMMYFUNCTION("""COMPUTED_VALUE"""),"AZPARCA NAIMIN")</f>
        <v>AZPARCA NAIMIN</v>
      </c>
      <c r="D317" s="44">
        <f>IFERROR(__xludf.DUMMYFUNCTION("""COMPUTED_VALUE"""),42.0)</f>
        <v>42</v>
      </c>
      <c r="E317" s="44" t="str">
        <f>IFERROR(__xludf.DUMMYFUNCTION("""COMPUTED_VALUE"""),"17821615")</f>
        <v>17821615</v>
      </c>
      <c r="F317" s="44" t="str">
        <f>IFERROR(__xludf.DUMMYFUNCTION("""COMPUTED_VALUE"""),"")</f>
        <v/>
      </c>
      <c r="G317" s="44" t="str">
        <f>IFERROR(__xludf.DUMMYFUNCTION("""COMPUTED_VALUE""")," ")</f>
        <v> </v>
      </c>
      <c r="H317" s="44" t="str">
        <f>IFERROR(__xludf.DUMMYFUNCTION("""COMPUTED_VALUE"""),"Catia La Mar")</f>
        <v>Catia La Mar</v>
      </c>
      <c r="I317" s="44" t="str">
        <f>IFERROR(__xludf.DUMMYFUNCTION("""COMPUTED_VALUE""")," ")</f>
        <v> </v>
      </c>
      <c r="J317" s="44" t="str">
        <f>IFERROR(__xludf.DUMMYFUNCTION("""COMPUTED_VALUE"""),"")</f>
        <v/>
      </c>
      <c r="K317" s="42" t="str">
        <f>IFERROR(__xludf.DUMMYFUNCTION("""COMPUTED_VALUE"""),"Hospital Ana Francisca Pérez de")</f>
        <v>Hospital Ana Francisca Pérez de</v>
      </c>
    </row>
    <row r="318">
      <c r="A318" s="44">
        <v>317.0</v>
      </c>
      <c r="B318" s="44" t="str">
        <f>IFERROR(__xludf.DUMMYFUNCTION("""COMPUTED_VALUE"""),"Hospital Pérez Carreño")</f>
        <v>Hospital Pérez Carreño</v>
      </c>
      <c r="C318" s="45" t="str">
        <f>IFERROR(__xludf.DUMMYFUNCTION("""COMPUTED_VALUE"""),"VASTIDAS ADRIANA")</f>
        <v>VASTIDAS ADRIANA</v>
      </c>
      <c r="D318" s="44" t="str">
        <f>IFERROR(__xludf.DUMMYFUNCTION("""COMPUTED_VALUE""")," ")</f>
        <v> </v>
      </c>
      <c r="E318" s="44" t="str">
        <f>IFERROR(__xludf.DUMMYFUNCTION("""COMPUTED_VALUE"""),"17856045")</f>
        <v>17856045</v>
      </c>
      <c r="F318" s="44" t="str">
        <f>IFERROR(__xludf.DUMMYFUNCTION("""COMPUTED_VALUE"""),"")</f>
        <v/>
      </c>
      <c r="G318" s="44" t="str">
        <f>IFERROR(__xludf.DUMMYFUNCTION("""COMPUTED_VALUE""")," ")</f>
        <v> </v>
      </c>
      <c r="H318" s="44" t="str">
        <f>IFERROR(__xludf.DUMMYFUNCTION("""COMPUTED_VALUE""")," ")</f>
        <v> </v>
      </c>
      <c r="I318" s="44" t="str">
        <f>IFERROR(__xludf.DUMMYFUNCTION("""COMPUTED_VALUE""")," ")</f>
        <v> </v>
      </c>
      <c r="J318" s="44" t="str">
        <f>IFERROR(__xludf.DUMMYFUNCTION("""COMPUTED_VALUE"""),"25/06/2026")</f>
        <v>25/06/2026</v>
      </c>
      <c r="K318" s="42" t="str">
        <f>IFERROR(__xludf.DUMMYFUNCTION("""COMPUTED_VALUE"""),"Hospital Pérez Carreño")</f>
        <v>Hospital Pérez Carreño</v>
      </c>
    </row>
    <row r="319">
      <c r="A319" s="44">
        <v>318.0</v>
      </c>
      <c r="B319" s="44" t="str">
        <f>IFERROR(__xludf.DUMMYFUNCTION("""COMPUTED_VALUE"""),"Hospital Pérez Carreño")</f>
        <v>Hospital Pérez Carreño</v>
      </c>
      <c r="C319" s="45" t="str">
        <f>IFERROR(__xludf.DUMMYFUNCTION("""COMPUTED_VALUE"""),"ADRIANO BASTIDO")</f>
        <v>ADRIANO BASTIDO</v>
      </c>
      <c r="D319" s="44" t="str">
        <f>IFERROR(__xludf.DUMMYFUNCTION("""COMPUTED_VALUE""")," ")</f>
        <v> </v>
      </c>
      <c r="E319" s="44" t="str">
        <f>IFERROR(__xludf.DUMMYFUNCTION("""COMPUTED_VALUE"""),"178560450")</f>
        <v>178560450</v>
      </c>
      <c r="F319" s="44" t="str">
        <f>IFERROR(__xludf.DUMMYFUNCTION("""COMPUTED_VALUE"""),"")</f>
        <v/>
      </c>
      <c r="G319" s="44" t="str">
        <f>IFERROR(__xludf.DUMMYFUNCTION("""COMPUTED_VALUE""")," ")</f>
        <v> </v>
      </c>
      <c r="H319" s="44" t="str">
        <f>IFERROR(__xludf.DUMMYFUNCTION("""COMPUTED_VALUE""")," ")</f>
        <v> </v>
      </c>
      <c r="I319" s="44" t="str">
        <f>IFERROR(__xludf.DUMMYFUNCTION("""COMPUTED_VALUE""")," ")</f>
        <v> </v>
      </c>
      <c r="J319" s="44" t="str">
        <f>IFERROR(__xludf.DUMMYFUNCTION("""COMPUTED_VALUE"""),"25/06/2026")</f>
        <v>25/06/2026</v>
      </c>
      <c r="K319" s="42" t="str">
        <f>IFERROR(__xludf.DUMMYFUNCTION("""COMPUTED_VALUE"""),"Hospital Pérez Carreño")</f>
        <v>Hospital Pérez Carreño</v>
      </c>
    </row>
    <row r="320">
      <c r="A320" s="44">
        <v>319.0</v>
      </c>
      <c r="B320" s="44" t="str">
        <f>IFERROR(__xludf.DUMMYFUNCTION("""COMPUTED_VALUE"""),"H. Jose Maria Vargas LG")</f>
        <v>H. Jose Maria Vargas LG</v>
      </c>
      <c r="C320" s="45" t="str">
        <f>IFERROR(__xludf.DUMMYFUNCTION("""COMPUTED_VALUE"""),"AVIILA HECTOR")</f>
        <v>AVIILA HECTOR</v>
      </c>
      <c r="D320" s="44" t="str">
        <f>IFERROR(__xludf.DUMMYFUNCTION("""COMPUTED_VALUE""")," ")</f>
        <v> </v>
      </c>
      <c r="E320" s="44" t="str">
        <f>IFERROR(__xludf.DUMMYFUNCTION("""COMPUTED_VALUE"""),"17865775")</f>
        <v>17865775</v>
      </c>
      <c r="F320" s="44" t="str">
        <f>IFERROR(__xludf.DUMMYFUNCTION("""COMPUTED_VALUE"""),"")</f>
        <v/>
      </c>
      <c r="G320" s="44" t="str">
        <f>IFERROR(__xludf.DUMMYFUNCTION("""COMPUTED_VALUE""")," ")</f>
        <v> </v>
      </c>
      <c r="H320" s="44" t="str">
        <f>IFERROR(__xludf.DUMMYFUNCTION("""COMPUTED_VALUE"""),"La Llanada")</f>
        <v>La Llanada</v>
      </c>
      <c r="I320" s="44" t="str">
        <f>IFERROR(__xludf.DUMMYFUNCTION("""COMPUTED_VALUE""")," ")</f>
        <v> </v>
      </c>
      <c r="J320" s="44" t="str">
        <f>IFERROR(__xludf.DUMMYFUNCTION("""COMPUTED_VALUE"""),"")</f>
        <v/>
      </c>
      <c r="K320" s="42" t="str">
        <f>IFERROR(__xludf.DUMMYFUNCTION("""COMPUTED_VALUE"""),"H. Jose Maria Vargas LG")</f>
        <v>H. Jose Maria Vargas LG</v>
      </c>
    </row>
    <row r="321">
      <c r="A321" s="44">
        <v>320.0</v>
      </c>
      <c r="B321" s="44" t="str">
        <f>IFERROR(__xludf.DUMMYFUNCTION("""COMPUTED_VALUE"""),"Hospital Ana Francisca Pérez de")</f>
        <v>Hospital Ana Francisca Pérez de</v>
      </c>
      <c r="C321" s="45" t="str">
        <f>IFERROR(__xludf.DUMMYFUNCTION("""COMPUTED_VALUE"""),"NAIMIN AZARCA")</f>
        <v>NAIMIN AZARCA</v>
      </c>
      <c r="D321" s="44">
        <f>IFERROR(__xludf.DUMMYFUNCTION("""COMPUTED_VALUE"""),42.0)</f>
        <v>42</v>
      </c>
      <c r="E321" s="44" t="str">
        <f>IFERROR(__xludf.DUMMYFUNCTION("""COMPUTED_VALUE"""),"178816150")</f>
        <v>178816150</v>
      </c>
      <c r="F321" s="44" t="str">
        <f>IFERROR(__xludf.DUMMYFUNCTION("""COMPUTED_VALUE"""),"")</f>
        <v/>
      </c>
      <c r="G321" s="44" t="str">
        <f>IFERROR(__xludf.DUMMYFUNCTION("""COMPUTED_VALUE""")," ")</f>
        <v> </v>
      </c>
      <c r="H321" s="44" t="str">
        <f>IFERROR(__xludf.DUMMYFUNCTION("""COMPUTED_VALUE"""),"Palos Grande")</f>
        <v>Palos Grande</v>
      </c>
      <c r="I321" s="44" t="str">
        <f>IFERROR(__xludf.DUMMYFUNCTION("""COMPUTED_VALUE""")," ")</f>
        <v> </v>
      </c>
      <c r="J321" s="44" t="str">
        <f>IFERROR(__xludf.DUMMYFUNCTION("""COMPUTED_VALUE"""),"")</f>
        <v/>
      </c>
      <c r="K321" s="42" t="str">
        <f>IFERROR(__xludf.DUMMYFUNCTION("""COMPUTED_VALUE"""),"🔍 BUSCAR PACIENTES")</f>
        <v>🔍 BUSCAR PACIENTES</v>
      </c>
    </row>
    <row r="322">
      <c r="A322" s="44">
        <v>321.0</v>
      </c>
      <c r="B322" s="44" t="str">
        <f>IFERROR(__xludf.DUMMYFUNCTION("""COMPUTED_VALUE"""),"Hospital Vargas de Caracas")</f>
        <v>Hospital Vargas de Caracas</v>
      </c>
      <c r="C322" s="45" t="str">
        <f>IFERROR(__xludf.DUMMYFUNCTION("""COMPUTED_VALUE"""),"MAURO DIAZ")</f>
        <v>MAURO DIAZ</v>
      </c>
      <c r="D322" s="44">
        <f>IFERROR(__xludf.DUMMYFUNCTION("""COMPUTED_VALUE"""),55.0)</f>
        <v>55</v>
      </c>
      <c r="E322" s="44" t="str">
        <f>IFERROR(__xludf.DUMMYFUNCTION("""COMPUTED_VALUE"""),"17934645")</f>
        <v>17934645</v>
      </c>
      <c r="F322" s="44" t="str">
        <f>IFERROR(__xludf.DUMMYFUNCTION("""COMPUTED_VALUE""")," ")</f>
        <v> </v>
      </c>
      <c r="G322" s="44" t="str">
        <f>IFERROR(__xludf.DUMMYFUNCTION("""COMPUTED_VALUE"""),"")</f>
        <v/>
      </c>
      <c r="H322" s="44" t="str">
        <f>IFERROR(__xludf.DUMMYFUNCTION("""COMPUTED_VALUE"""),"La Guaira")</f>
        <v>La Guaira</v>
      </c>
      <c r="I322" s="44" t="str">
        <f>IFERROR(__xludf.DUMMYFUNCTION("""COMPUTED_VALUE"""),"UPT")</f>
        <v>UPT</v>
      </c>
      <c r="J322" s="44" t="str">
        <f>IFERROR(__xludf.DUMMYFUNCTION("""COMPUTED_VALUE"""),"")</f>
        <v/>
      </c>
      <c r="K322" s="42" t="str">
        <f>IFERROR(__xludf.DUMMYFUNCTION("""COMPUTED_VALUE"""),"Hospital Vargas de Caracas")</f>
        <v>Hospital Vargas de Caracas</v>
      </c>
    </row>
    <row r="323">
      <c r="A323" s="44">
        <v>322.0</v>
      </c>
      <c r="B323" s="44" t="str">
        <f>IFERROR(__xludf.DUMMYFUNCTION("""COMPUTED_VALUE"""),"H. Jose Maria Vargas LG")</f>
        <v>H. Jose Maria Vargas LG</v>
      </c>
      <c r="C323" s="45" t="str">
        <f>IFERROR(__xludf.DUMMYFUNCTION("""COMPUTED_VALUE"""),"PALMILLANE YESIKA")</f>
        <v>PALMILLANE YESIKA</v>
      </c>
      <c r="D323" s="44" t="str">
        <f>IFERROR(__xludf.DUMMYFUNCTION("""COMPUTED_VALUE""")," ")</f>
        <v> </v>
      </c>
      <c r="E323" s="44" t="str">
        <f>IFERROR(__xludf.DUMMYFUNCTION("""COMPUTED_VALUE"""),"17960912")</f>
        <v>17960912</v>
      </c>
      <c r="F323" s="44" t="str">
        <f>IFERROR(__xludf.DUMMYFUNCTION("""COMPUTED_VALUE"""),"")</f>
        <v/>
      </c>
      <c r="G323" s="44" t="str">
        <f>IFERROR(__xludf.DUMMYFUNCTION("""COMPUTED_VALUE""")," ")</f>
        <v> </v>
      </c>
      <c r="H323" s="44" t="str">
        <f>IFERROR(__xludf.DUMMYFUNCTION("""COMPUTED_VALUE""")," ")</f>
        <v> </v>
      </c>
      <c r="I323" s="44" t="str">
        <f>IFERROR(__xludf.DUMMYFUNCTION("""COMPUTED_VALUE"""),"Internado")</f>
        <v>Internado</v>
      </c>
      <c r="J323" s="44" t="str">
        <f>IFERROR(__xludf.DUMMYFUNCTION("""COMPUTED_VALUE"""),"")</f>
        <v/>
      </c>
      <c r="K323" s="42" t="str">
        <f>IFERROR(__xludf.DUMMYFUNCTION("""COMPUTED_VALUE"""),"H. Jose Maria Vargas LG")</f>
        <v>H. Jose Maria Vargas LG</v>
      </c>
    </row>
    <row r="324">
      <c r="A324" s="44">
        <v>323.0</v>
      </c>
      <c r="B324" s="44" t="str">
        <f>IFERROR(__xludf.DUMMYFUNCTION("""COMPUTED_VALUE"""),"Seguro Social La Guaira")</f>
        <v>Seguro Social La Guaira</v>
      </c>
      <c r="C324" s="45" t="str">
        <f>IFERROR(__xludf.DUMMYFUNCTION("""COMPUTED_VALUE"""),"YESIKA PALMULLANE")</f>
        <v>YESIKA PALMULLANE</v>
      </c>
      <c r="D324" s="44" t="str">
        <f>IFERROR(__xludf.DUMMYFUNCTION("""COMPUTED_VALUE""")," ")</f>
        <v> </v>
      </c>
      <c r="E324" s="44" t="str">
        <f>IFERROR(__xludf.DUMMYFUNCTION("""COMPUTED_VALUE"""),"179609120")</f>
        <v>179609120</v>
      </c>
      <c r="F324" s="44" t="str">
        <f>IFERROR(__xludf.DUMMYFUNCTION("""COMPUTED_VALUE"""),"")</f>
        <v/>
      </c>
      <c r="G324" s="44" t="str">
        <f>IFERROR(__xludf.DUMMYFUNCTION("""COMPUTED_VALUE""")," ")</f>
        <v> </v>
      </c>
      <c r="H324" s="44" t="str">
        <f>IFERROR(__xludf.DUMMYFUNCTION("""COMPUTED_VALUE"""),"Corales")</f>
        <v>Corales</v>
      </c>
      <c r="I324" s="44" t="str">
        <f>IFERROR(__xludf.DUMMYFUNCTION("""COMPUTED_VALUE""")," ")</f>
        <v> </v>
      </c>
      <c r="J324" s="44" t="str">
        <f>IFERROR(__xludf.DUMMYFUNCTION("""COMPUTED_VALUE"""),"")</f>
        <v/>
      </c>
      <c r="K324" s="42" t="str">
        <f>IFERROR(__xludf.DUMMYFUNCTION("""COMPUTED_VALUE"""),"Seguro Social La Guaira")</f>
        <v>Seguro Social La Guaira</v>
      </c>
    </row>
    <row r="325">
      <c r="A325" s="44">
        <v>324.0</v>
      </c>
      <c r="B325" s="44" t="str">
        <f>IFERROR(__xludf.DUMMYFUNCTION("""COMPUTED_VALUE"""),"Hospital Ana Francisca Pérez de")</f>
        <v>Hospital Ana Francisca Pérez de</v>
      </c>
      <c r="C325" s="45" t="str">
        <f>IFERROR(__xludf.DUMMYFUNCTION("""COMPUTED_VALUE"""),"AVILA HECTOR")</f>
        <v>AVILA HECTOR</v>
      </c>
      <c r="D325" s="44">
        <f>IFERROR(__xludf.DUMMYFUNCTION("""COMPUTED_VALUE"""),43.0)</f>
        <v>43</v>
      </c>
      <c r="E325" s="44" t="str">
        <f>IFERROR(__xludf.DUMMYFUNCTION("""COMPUTED_VALUE"""),"179657")</f>
        <v>179657</v>
      </c>
      <c r="F325" s="44" t="str">
        <f>IFERROR(__xludf.DUMMYFUNCTION("""COMPUTED_VALUE"""),"")</f>
        <v/>
      </c>
      <c r="G325" s="44" t="str">
        <f>IFERROR(__xludf.DUMMYFUNCTION("""COMPUTED_VALUE""")," ")</f>
        <v> </v>
      </c>
      <c r="H325" s="44" t="str">
        <f>IFERROR(__xludf.DUMMYFUNCTION("""COMPUTED_VALUE""")," ")</f>
        <v> </v>
      </c>
      <c r="I325" s="44" t="str">
        <f>IFERROR(__xludf.DUMMYFUNCTION("""COMPUTED_VALUE"""),"Internado")</f>
        <v>Internado</v>
      </c>
      <c r="J325" s="44" t="str">
        <f>IFERROR(__xludf.DUMMYFUNCTION("""COMPUTED_VALUE"""),"")</f>
        <v/>
      </c>
      <c r="K325" s="42" t="str">
        <f>IFERROR(__xludf.DUMMYFUNCTION("""COMPUTED_VALUE"""),"Hospital Ana Francisca Pérez de")</f>
        <v>Hospital Ana Francisca Pérez de</v>
      </c>
    </row>
    <row r="326">
      <c r="A326" s="44">
        <v>325.0</v>
      </c>
      <c r="B326" s="44" t="str">
        <f>IFERROR(__xludf.DUMMYFUNCTION("""COMPUTED_VALUE"""),"H. Jose Maria Vargas LG")</f>
        <v>H. Jose Maria Vargas LG</v>
      </c>
      <c r="C326" s="45" t="str">
        <f>IFERROR(__xludf.DUMMYFUNCTION("""COMPUTED_VALUE"""),"AVILA HECTOR RAFAEL")</f>
        <v>AVILA HECTOR RAFAEL</v>
      </c>
      <c r="D326" s="44" t="str">
        <f>IFERROR(__xludf.DUMMYFUNCTION("""COMPUTED_VALUE""")," ")</f>
        <v> </v>
      </c>
      <c r="E326" s="44" t="str">
        <f>IFERROR(__xludf.DUMMYFUNCTION("""COMPUTED_VALUE"""),"17965775")</f>
        <v>17965775</v>
      </c>
      <c r="F326" s="44" t="str">
        <f>IFERROR(__xludf.DUMMYFUNCTION("""COMPUTED_VALUE"""),"")</f>
        <v/>
      </c>
      <c r="G326" s="44" t="str">
        <f>IFERROR(__xludf.DUMMYFUNCTION("""COMPUTED_VALUE""")," ")</f>
        <v> </v>
      </c>
      <c r="H326" s="44" t="str">
        <f>IFERROR(__xludf.DUMMYFUNCTION("""COMPUTED_VALUE""")," ")</f>
        <v> </v>
      </c>
      <c r="I326" s="44" t="str">
        <f>IFERROR(__xludf.DUMMYFUNCTION("""COMPUTED_VALUE"""),"Internado")</f>
        <v>Internado</v>
      </c>
      <c r="J326" s="44" t="str">
        <f>IFERROR(__xludf.DUMMYFUNCTION("""COMPUTED_VALUE"""),"")</f>
        <v/>
      </c>
      <c r="K326" s="42" t="str">
        <f>IFERROR(__xludf.DUMMYFUNCTION("""COMPUTED_VALUE"""),"H. Jose Maria Vargas LG")</f>
        <v>H. Jose Maria Vargas LG</v>
      </c>
    </row>
    <row r="327">
      <c r="A327" s="44">
        <v>326.0</v>
      </c>
      <c r="B327" s="44" t="str">
        <f>IFERROR(__xludf.DUMMYFUNCTION("""COMPUTED_VALUE"""),"Hospital Militar Dr. C. Arvelo")</f>
        <v>Hospital Militar Dr. C. Arvelo</v>
      </c>
      <c r="C327" s="45" t="str">
        <f>IFERROR(__xludf.DUMMYFUNCTION("""COMPUTED_VALUE"""),"Carvajal Jon")</f>
        <v>Carvajal Jon</v>
      </c>
      <c r="D327" s="44">
        <f>IFERROR(__xludf.DUMMYFUNCTION("""COMPUTED_VALUE"""),41.0)</f>
        <v>41</v>
      </c>
      <c r="E327" s="44" t="str">
        <f>IFERROR(__xludf.DUMMYFUNCTION("""COMPUTED_VALUE"""),"17982017")</f>
        <v>17982017</v>
      </c>
      <c r="F327" s="44" t="str">
        <f>IFERROR(__xludf.DUMMYFUNCTION("""COMPUTED_VALUE"""),"")</f>
        <v/>
      </c>
      <c r="G327" s="44" t="str">
        <f>IFERROR(__xludf.DUMMYFUNCTION("""COMPUTED_VALUE"""),"")</f>
        <v/>
      </c>
      <c r="H327" s="44" t="str">
        <f>IFERROR(__xludf.DUMMYFUNCTION("""COMPUTED_VALUE"""),"M")</f>
        <v>M</v>
      </c>
      <c r="I327" s="44" t="str">
        <f>IFERROR(__xludf.DUMMYFUNCTION("""COMPUTED_VALUE"""),"La Guaira PNA")</f>
        <v>La Guaira PNA</v>
      </c>
      <c r="J327" s="44" t="str">
        <f>IFERROR(__xludf.DUMMYFUNCTION("""COMPUTED_VALUE"""),"24/6/2026")</f>
        <v>24/6/2026</v>
      </c>
      <c r="K327" s="42" t="str">
        <f>IFERROR(__xludf.DUMMYFUNCTION("""COMPUTED_VALUE"""),"Hospital Militar Dr. C. Arvelo")</f>
        <v>Hospital Militar Dr. C. Arvelo</v>
      </c>
    </row>
    <row r="328">
      <c r="A328" s="44">
        <v>327.0</v>
      </c>
      <c r="B328" s="44" t="str">
        <f>IFERROR(__xludf.DUMMYFUNCTION("""COMPUTED_VALUE"""),"H. Jose Maria Vargas LG")</f>
        <v>H. Jose Maria Vargas LG</v>
      </c>
      <c r="C328" s="45" t="str">
        <f>IFERROR(__xludf.DUMMYFUNCTION("""COMPUTED_VALUE"""),"ALVAREZ ABRAHAM")</f>
        <v>ALVAREZ ABRAHAM</v>
      </c>
      <c r="D328" s="44" t="str">
        <f>IFERROR(__xludf.DUMMYFUNCTION("""COMPUTED_VALUE""")," ")</f>
        <v> </v>
      </c>
      <c r="E328" s="44" t="str">
        <f>IFERROR(__xludf.DUMMYFUNCTION("""COMPUTED_VALUE"""),"18032277")</f>
        <v>18032277</v>
      </c>
      <c r="F328" s="44" t="str">
        <f>IFERROR(__xludf.DUMMYFUNCTION("""COMPUTED_VALUE"""),"")</f>
        <v/>
      </c>
      <c r="G328" s="44" t="str">
        <f>IFERROR(__xludf.DUMMYFUNCTION("""COMPUTED_VALUE""")," ")</f>
        <v> </v>
      </c>
      <c r="H328" s="44" t="str">
        <f>IFERROR(__xludf.DUMMYFUNCTION("""COMPUTED_VALUE""")," ")</f>
        <v> </v>
      </c>
      <c r="I328" s="44" t="str">
        <f>IFERROR(__xludf.DUMMYFUNCTION("""COMPUTED_VALUE""")," ")</f>
        <v> </v>
      </c>
      <c r="J328" s="44" t="str">
        <f>IFERROR(__xludf.DUMMYFUNCTION("""COMPUTED_VALUE"""),"")</f>
        <v/>
      </c>
      <c r="K328" s="42" t="str">
        <f>IFERROR(__xludf.DUMMYFUNCTION("""COMPUTED_VALUE"""),"H. Jose Maria Vargas LG")</f>
        <v>H. Jose Maria Vargas LG</v>
      </c>
    </row>
    <row r="329">
      <c r="A329" s="44">
        <v>328.0</v>
      </c>
      <c r="B329" s="44" t="str">
        <f>IFERROR(__xludf.DUMMYFUNCTION("""COMPUTED_VALUE"""),"Hospital Universitario de Carac")</f>
        <v>Hospital Universitario de Carac</v>
      </c>
      <c r="C329" s="45" t="str">
        <f>IFERROR(__xludf.DUMMYFUNCTION("""COMPUTED_VALUE"""),"PONCE LUIGI")</f>
        <v>PONCE LUIGI</v>
      </c>
      <c r="D329" s="44">
        <f>IFERROR(__xludf.DUMMYFUNCTION("""COMPUTED_VALUE"""),39.0)</f>
        <v>39</v>
      </c>
      <c r="E329" s="44" t="str">
        <f>IFERROR(__xludf.DUMMYFUNCTION("""COMPUTED_VALUE"""),"18042519")</f>
        <v>18042519</v>
      </c>
      <c r="F329" s="44" t="str">
        <f>IFERROR(__xludf.DUMMYFUNCTION("""COMPUTED_VALUE"""),"")</f>
        <v/>
      </c>
      <c r="G329" s="44" t="str">
        <f>IFERROR(__xludf.DUMMYFUNCTION("""COMPUTED_VALUE""")," ")</f>
        <v> </v>
      </c>
      <c r="H329" s="44" t="str">
        <f>IFERROR(__xludf.DUMMYFUNCTION("""COMPUTED_VALUE""")," ")</f>
        <v> </v>
      </c>
      <c r="I329" s="44" t="str">
        <f>IFERROR(__xludf.DUMMYFUNCTION("""COMPUTED_VALUE"""),"Politraumatismo")</f>
        <v>Politraumatismo</v>
      </c>
      <c r="J329" s="44" t="str">
        <f>IFERROR(__xludf.DUMMYFUNCTION("""COMPUTED_VALUE"""),"")</f>
        <v/>
      </c>
      <c r="K329" s="42" t="str">
        <f>IFERROR(__xludf.DUMMYFUNCTION("""COMPUTED_VALUE"""),"Hospital Universitario de Carac")</f>
        <v>Hospital Universitario de Carac</v>
      </c>
    </row>
    <row r="330">
      <c r="A330" s="44">
        <v>329.0</v>
      </c>
      <c r="B330" s="44" t="str">
        <f>IFERROR(__xludf.DUMMYFUNCTION("""COMPUTED_VALUE"""),"H. Jose Maria Vargas LG")</f>
        <v>H. Jose Maria Vargas LG</v>
      </c>
      <c r="C330" s="45" t="str">
        <f>IFERROR(__xludf.DUMMYFUNCTION("""COMPUTED_VALUE"""),"GONZALEZ CARLOS")</f>
        <v>GONZALEZ CARLOS</v>
      </c>
      <c r="D330" s="44" t="str">
        <f>IFERROR(__xludf.DUMMYFUNCTION("""COMPUTED_VALUE""")," ")</f>
        <v> </v>
      </c>
      <c r="E330" s="44" t="str">
        <f>IFERROR(__xludf.DUMMYFUNCTION("""COMPUTED_VALUE"""),"18140377")</f>
        <v>18140377</v>
      </c>
      <c r="F330" s="44" t="str">
        <f>IFERROR(__xludf.DUMMYFUNCTION("""COMPUTED_VALUE"""),"")</f>
        <v/>
      </c>
      <c r="G330" s="44" t="str">
        <f>IFERROR(__xludf.DUMMYFUNCTION("""COMPUTED_VALUE""")," ")</f>
        <v> </v>
      </c>
      <c r="H330" s="44" t="str">
        <f>IFERROR(__xludf.DUMMYFUNCTION("""COMPUTED_VALUE"""),"Caraballeda")</f>
        <v>Caraballeda</v>
      </c>
      <c r="I330" s="44" t="str">
        <f>IFERROR(__xludf.DUMMYFUNCTION("""COMPUTED_VALUE""")," ")</f>
        <v> </v>
      </c>
      <c r="J330" s="44" t="str">
        <f>IFERROR(__xludf.DUMMYFUNCTION("""COMPUTED_VALUE"""),"")</f>
        <v/>
      </c>
      <c r="K330" s="42" t="str">
        <f>IFERROR(__xludf.DUMMYFUNCTION("""COMPUTED_VALUE"""),"H. Jose Maria Vargas LG")</f>
        <v>H. Jose Maria Vargas LG</v>
      </c>
    </row>
    <row r="331">
      <c r="A331" s="44">
        <v>330.0</v>
      </c>
      <c r="B331" s="44" t="str">
        <f>IFERROR(__xludf.DUMMYFUNCTION("""COMPUTED_VALUE"""),"Hospital Vargas de Caracas")</f>
        <v>Hospital Vargas de Caracas</v>
      </c>
      <c r="C331" s="45" t="str">
        <f>IFERROR(__xludf.DUMMYFUNCTION("""COMPUTED_VALUE"""),"PEDRON DAVID")</f>
        <v>PEDRON DAVID</v>
      </c>
      <c r="D331" s="44">
        <f>IFERROR(__xludf.DUMMYFUNCTION("""COMPUTED_VALUE"""),42.0)</f>
        <v>42</v>
      </c>
      <c r="E331" s="44" t="str">
        <f>IFERROR(__xludf.DUMMYFUNCTION("""COMPUTED_VALUE"""),"18141519")</f>
        <v>18141519</v>
      </c>
      <c r="F331" s="44" t="str">
        <f>IFERROR(__xludf.DUMMYFUNCTION("""COMPUTED_VALUE""")," ")</f>
        <v> </v>
      </c>
      <c r="G331" s="44" t="str">
        <f>IFERROR(__xludf.DUMMYFUNCTION("""COMPUTED_VALUE"""),"")</f>
        <v/>
      </c>
      <c r="H331" s="44" t="str">
        <f>IFERROR(__xludf.DUMMYFUNCTION("""COMPUTED_VALUE"""),"La Guaira")</f>
        <v>La Guaira</v>
      </c>
      <c r="I331" s="44" t="str">
        <f>IFERROR(__xludf.DUMMYFUNCTION("""COMPUTED_VALUE"""),"UPT")</f>
        <v>UPT</v>
      </c>
      <c r="J331" s="44" t="str">
        <f>IFERROR(__xludf.DUMMYFUNCTION("""COMPUTED_VALUE"""),"")</f>
        <v/>
      </c>
      <c r="K331" s="42" t="str">
        <f>IFERROR(__xludf.DUMMYFUNCTION("""COMPUTED_VALUE"""),"Hospital Vargas de Caracas")</f>
        <v>Hospital Vargas de Caracas</v>
      </c>
    </row>
    <row r="332">
      <c r="A332" s="44">
        <v>331.0</v>
      </c>
      <c r="B332" s="44" t="str">
        <f>IFERROR(__xludf.DUMMYFUNCTION("""COMPUTED_VALUE"""),"Periférico de Catia")</f>
        <v>Periférico de Catia</v>
      </c>
      <c r="C332" s="45" t="str">
        <f>IFERROR(__xludf.DUMMYFUNCTION("""COMPUTED_VALUE"""),"MILLAN SOILET")</f>
        <v>MILLAN SOILET</v>
      </c>
      <c r="D332" s="44">
        <f>IFERROR(__xludf.DUMMYFUNCTION("""COMPUTED_VALUE"""),39.0)</f>
        <v>39</v>
      </c>
      <c r="E332" s="44" t="str">
        <f>IFERROR(__xludf.DUMMYFUNCTION("""COMPUTED_VALUE"""),"18142695")</f>
        <v>18142695</v>
      </c>
      <c r="F332" s="44" t="str">
        <f>IFERROR(__xludf.DUMMYFUNCTION("""COMPUTED_VALUE"""),"")</f>
        <v/>
      </c>
      <c r="G332" s="44" t="str">
        <f>IFERROR(__xludf.DUMMYFUNCTION("""COMPUTED_VALUE""")," ")</f>
        <v> </v>
      </c>
      <c r="H332" s="44" t="str">
        <f>IFERROR(__xludf.DUMMYFUNCTION("""COMPUTED_VALUE""")," ")</f>
        <v> </v>
      </c>
      <c r="I332" s="44" t="str">
        <f>IFERROR(__xludf.DUMMYFUNCTION("""COMPUTED_VALUE"""),"Cirugía General")</f>
        <v>Cirugía General</v>
      </c>
      <c r="J332" s="44" t="str">
        <f>IFERROR(__xludf.DUMMYFUNCTION("""COMPUTED_VALUE"""),"")</f>
        <v/>
      </c>
      <c r="K332" s="42" t="str">
        <f>IFERROR(__xludf.DUMMYFUNCTION("""COMPUTED_VALUE"""),"Periférico de Catia")</f>
        <v>Periférico de Catia</v>
      </c>
    </row>
    <row r="333">
      <c r="A333" s="44">
        <v>332.0</v>
      </c>
      <c r="B333" s="44" t="str">
        <f>IFERROR(__xludf.DUMMYFUNCTION("""COMPUTED_VALUE"""),"Periférico de Catia")</f>
        <v>Periférico de Catia</v>
      </c>
      <c r="C333" s="45" t="str">
        <f>IFERROR(__xludf.DUMMYFUNCTION("""COMPUTED_VALUE"""),"SORISLET MILLÁN")</f>
        <v>SORISLET MILLÁN</v>
      </c>
      <c r="D333" s="44">
        <f>IFERROR(__xludf.DUMMYFUNCTION("""COMPUTED_VALUE"""),39.0)</f>
        <v>39</v>
      </c>
      <c r="E333" s="44" t="str">
        <f>IFERROR(__xludf.DUMMYFUNCTION("""COMPUTED_VALUE"""),"181426950")</f>
        <v>181426950</v>
      </c>
      <c r="F333" s="44" t="str">
        <f>IFERROR(__xludf.DUMMYFUNCTION("""COMPUTED_VALUE"""),"")</f>
        <v/>
      </c>
      <c r="G333" s="44" t="str">
        <f>IFERROR(__xludf.DUMMYFUNCTION("""COMPUTED_VALUE""")," ")</f>
        <v> </v>
      </c>
      <c r="H333" s="44" t="str">
        <f>IFERROR(__xludf.DUMMYFUNCTION("""COMPUTED_VALUE"""),"Sin información")</f>
        <v>Sin información</v>
      </c>
      <c r="I333" s="44" t="str">
        <f>IFERROR(__xludf.DUMMYFUNCTION("""COMPUTED_VALUE"""),"Cirugía General")</f>
        <v>Cirugía General</v>
      </c>
      <c r="J333" s="44" t="str">
        <f>IFERROR(__xludf.DUMMYFUNCTION("""COMPUTED_VALUE"""),"")</f>
        <v/>
      </c>
      <c r="K333" s="42" t="str">
        <f>IFERROR(__xludf.DUMMYFUNCTION("""COMPUTED_VALUE"""),"Periférico de Catia")</f>
        <v>Periférico de Catia</v>
      </c>
    </row>
    <row r="334">
      <c r="A334" s="44">
        <v>333.0</v>
      </c>
      <c r="B334" s="44" t="str">
        <f>IFERROR(__xludf.DUMMYFUNCTION("""COMPUTED_VALUE"""),"Periférico de Catia")</f>
        <v>Periférico de Catia</v>
      </c>
      <c r="C334" s="45" t="str">
        <f>IFERROR(__xludf.DUMMYFUNCTION("""COMPUTED_VALUE"""),"DIDILET GRILLET")</f>
        <v>DIDILET GRILLET</v>
      </c>
      <c r="D334" s="44">
        <f>IFERROR(__xludf.DUMMYFUNCTION("""COMPUTED_VALUE"""),37.0)</f>
        <v>37</v>
      </c>
      <c r="E334" s="44" t="str">
        <f>IFERROR(__xludf.DUMMYFUNCTION("""COMPUTED_VALUE"""),"181832300")</f>
        <v>181832300</v>
      </c>
      <c r="F334" s="44" t="str">
        <f>IFERROR(__xludf.DUMMYFUNCTION("""COMPUTED_VALUE"""),"")</f>
        <v/>
      </c>
      <c r="G334" s="44" t="str">
        <f>IFERROR(__xludf.DUMMYFUNCTION("""COMPUTED_VALUE""")," ")</f>
        <v> </v>
      </c>
      <c r="H334" s="44" t="str">
        <f>IFERROR(__xludf.DUMMYFUNCTION("""COMPUTED_VALUE"""),"Sin información")</f>
        <v>Sin información</v>
      </c>
      <c r="I334" s="44" t="str">
        <f>IFERROR(__xludf.DUMMYFUNCTION("""COMPUTED_VALUE"""),"Cirugía General")</f>
        <v>Cirugía General</v>
      </c>
      <c r="J334" s="44" t="str">
        <f>IFERROR(__xludf.DUMMYFUNCTION("""COMPUTED_VALUE"""),"")</f>
        <v/>
      </c>
      <c r="K334" s="42" t="str">
        <f>IFERROR(__xludf.DUMMYFUNCTION("""COMPUTED_VALUE"""),"Periférico de Catia")</f>
        <v>Periférico de Catia</v>
      </c>
    </row>
    <row r="335">
      <c r="A335" s="44">
        <v>334.0</v>
      </c>
      <c r="B335" s="44" t="str">
        <f>IFERROR(__xludf.DUMMYFUNCTION("""COMPUTED_VALUE"""),"Hospital Militar Dr. C. Arvelo")</f>
        <v>Hospital Militar Dr. C. Arvelo</v>
      </c>
      <c r="C335" s="45" t="str">
        <f>IFERROR(__xludf.DUMMYFUNCTION("""COMPUTED_VALUE"""),"Navas Yayaira")</f>
        <v>Navas Yayaira</v>
      </c>
      <c r="D335" s="44">
        <f>IFERROR(__xludf.DUMMYFUNCTION("""COMPUTED_VALUE"""),35.0)</f>
        <v>35</v>
      </c>
      <c r="E335" s="44" t="str">
        <f>IFERROR(__xludf.DUMMYFUNCTION("""COMPUTED_VALUE"""),"18210310")</f>
        <v>18210310</v>
      </c>
      <c r="F335" s="44" t="str">
        <f>IFERROR(__xludf.DUMMYFUNCTION("""COMPUTED_VALUE"""),"")</f>
        <v/>
      </c>
      <c r="G335" s="44" t="str">
        <f>IFERROR(__xludf.DUMMYFUNCTION("""COMPUTED_VALUE"""),"")</f>
        <v/>
      </c>
      <c r="H335" s="44" t="str">
        <f>IFERROR(__xludf.DUMMYFUNCTION("""COMPUTED_VALUE"""),"F")</f>
        <v>F</v>
      </c>
      <c r="I335" s="44" t="str">
        <f>IFERROR(__xludf.DUMMYFUNCTION("""COMPUTED_VALUE"""),"Artigas PNA")</f>
        <v>Artigas PNA</v>
      </c>
      <c r="J335" s="44" t="str">
        <f>IFERROR(__xludf.DUMMYFUNCTION("""COMPUTED_VALUE"""),"24/6/2026")</f>
        <v>24/6/2026</v>
      </c>
      <c r="K335" s="42" t="str">
        <f>IFERROR(__xludf.DUMMYFUNCTION("""COMPUTED_VALUE"""),"Hospital Militar Dr. C. Arvelo")</f>
        <v>Hospital Militar Dr. C. Arvelo</v>
      </c>
    </row>
    <row r="336">
      <c r="A336" s="44">
        <v>335.0</v>
      </c>
      <c r="B336" s="44" t="str">
        <f>IFERROR(__xludf.DUMMYFUNCTION("""COMPUTED_VALUE"""),"Hospital Vargas de Caracas")</f>
        <v>Hospital Vargas de Caracas</v>
      </c>
      <c r="C336" s="45" t="str">
        <f>IFERROR(__xludf.DUMMYFUNCTION("""COMPUTED_VALUE"""),"AGUILERA YULEINI")</f>
        <v>AGUILERA YULEINI</v>
      </c>
      <c r="D336" s="44">
        <f>IFERROR(__xludf.DUMMYFUNCTION("""COMPUTED_VALUE"""),39.0)</f>
        <v>39</v>
      </c>
      <c r="E336" s="44" t="str">
        <f>IFERROR(__xludf.DUMMYFUNCTION("""COMPUTED_VALUE"""),"18215359")</f>
        <v>18215359</v>
      </c>
      <c r="F336" s="44" t="str">
        <f>IFERROR(__xludf.DUMMYFUNCTION("""COMPUTED_VALUE""")," ")</f>
        <v> </v>
      </c>
      <c r="G336" s="44" t="str">
        <f>IFERROR(__xludf.DUMMYFUNCTION("""COMPUTED_VALUE"""),"")</f>
        <v/>
      </c>
      <c r="H336" s="44" t="str">
        <f>IFERROR(__xludf.DUMMYFUNCTION("""COMPUTED_VALUE"""),"La Guaira")</f>
        <v>La Guaira</v>
      </c>
      <c r="I336" s="44" t="str">
        <f>IFERROR(__xludf.DUMMYFUNCTION("""COMPUTED_VALUE"""),"UPT")</f>
        <v>UPT</v>
      </c>
      <c r="J336" s="44" t="str">
        <f>IFERROR(__xludf.DUMMYFUNCTION("""COMPUTED_VALUE"""),"")</f>
        <v/>
      </c>
      <c r="K336" s="42" t="str">
        <f>IFERROR(__xludf.DUMMYFUNCTION("""COMPUTED_VALUE"""),"Hospital Vargas de Caracas")</f>
        <v>Hospital Vargas de Caracas</v>
      </c>
    </row>
    <row r="337">
      <c r="A337" s="44">
        <v>336.0</v>
      </c>
      <c r="B337" s="44" t="str">
        <f>IFERROR(__xludf.DUMMYFUNCTION("""COMPUTED_VALUE"""),"Hospital Universitario de Carac")</f>
        <v>Hospital Universitario de Carac</v>
      </c>
      <c r="C337" s="45" t="str">
        <f>IFERROR(__xludf.DUMMYFUNCTION("""COMPUTED_VALUE"""),"ZAMBRANO DOMINI / DONMANI")</f>
        <v>ZAMBRANO DOMINI / DONMANI</v>
      </c>
      <c r="D337" s="44">
        <f>IFERROR(__xludf.DUMMYFUNCTION("""COMPUTED_VALUE"""),39.0)</f>
        <v>39</v>
      </c>
      <c r="E337" s="44" t="str">
        <f>IFERROR(__xludf.DUMMYFUNCTION("""COMPUTED_VALUE"""),"18274233")</f>
        <v>18274233</v>
      </c>
      <c r="F337" s="44" t="str">
        <f>IFERROR(__xludf.DUMMYFUNCTION("""COMPUTED_VALUE"""),"")</f>
        <v/>
      </c>
      <c r="G337" s="44" t="str">
        <f>IFERROR(__xludf.DUMMYFUNCTION("""COMPUTED_VALUE"""),"0412-2913570")</f>
        <v>0412-2913570</v>
      </c>
      <c r="H337" s="44" t="str">
        <f>IFERROR(__xludf.DUMMYFUNCTION("""COMPUTED_VALUE""")," ")</f>
        <v> </v>
      </c>
      <c r="I337" s="44" t="str">
        <f>IFERROR(__xludf.DUMMYFUNCTION("""COMPUTED_VALUE"""),"Politraumatismo")</f>
        <v>Politraumatismo</v>
      </c>
      <c r="J337" s="44" t="str">
        <f>IFERROR(__xludf.DUMMYFUNCTION("""COMPUTED_VALUE"""),"")</f>
        <v/>
      </c>
      <c r="K337" s="42" t="str">
        <f>IFERROR(__xludf.DUMMYFUNCTION("""COMPUTED_VALUE"""),"Hospital Universitario de Carac")</f>
        <v>Hospital Universitario de Carac</v>
      </c>
    </row>
    <row r="338">
      <c r="A338" s="44">
        <v>337.0</v>
      </c>
      <c r="B338" s="44" t="str">
        <f>IFERROR(__xludf.DUMMYFUNCTION("""COMPUTED_VALUE"""),"Hospital Vargas de Caracas")</f>
        <v>Hospital Vargas de Caracas</v>
      </c>
      <c r="C338" s="45" t="str">
        <f>IFERROR(__xludf.DUMMYFUNCTION("""COMPUTED_VALUE"""),"ALEXIS MESA")</f>
        <v>ALEXIS MESA</v>
      </c>
      <c r="D338" s="44" t="str">
        <f>IFERROR(__xludf.DUMMYFUNCTION("""COMPUTED_VALUE""")," ")</f>
        <v> </v>
      </c>
      <c r="E338" s="44" t="str">
        <f>IFERROR(__xludf.DUMMYFUNCTION("""COMPUTED_VALUE"""),"18309145")</f>
        <v>18309145</v>
      </c>
      <c r="F338" s="44" t="str">
        <f>IFERROR(__xludf.DUMMYFUNCTION("""COMPUTED_VALUE""")," ")</f>
        <v> </v>
      </c>
      <c r="G338" s="44" t="str">
        <f>IFERROR(__xludf.DUMMYFUNCTION("""COMPUTED_VALUE"""),"")</f>
        <v/>
      </c>
      <c r="H338" s="44" t="str">
        <f>IFERROR(__xludf.DUMMYFUNCTION("""COMPUTED_VALUE"""),"Guaira")</f>
        <v>Guaira</v>
      </c>
      <c r="I338" s="44" t="str">
        <f>IFERROR(__xludf.DUMMYFUNCTION("""COMPUTED_VALUE"""),"Fallecida")</f>
        <v>Fallecida</v>
      </c>
      <c r="J338" s="44" t="str">
        <f>IFERROR(__xludf.DUMMYFUNCTION("""COMPUTED_VALUE"""),"")</f>
        <v/>
      </c>
      <c r="K338" s="42" t="str">
        <f>IFERROR(__xludf.DUMMYFUNCTION("""COMPUTED_VALUE"""),"Hospital Vargas de Caracas")</f>
        <v>Hospital Vargas de Caracas</v>
      </c>
    </row>
    <row r="339">
      <c r="A339" s="44">
        <v>338.0</v>
      </c>
      <c r="B339" s="44" t="str">
        <f>IFERROR(__xludf.DUMMYFUNCTION("""COMPUTED_VALUE"""),"Hospital Militar Dr. C. Arvelo")</f>
        <v>Hospital Militar Dr. C. Arvelo</v>
      </c>
      <c r="C339" s="45" t="str">
        <f>IFERROR(__xludf.DUMMYFUNCTION("""COMPUTED_VALUE"""),"Friday Rodrys")</f>
        <v>Friday Rodrys</v>
      </c>
      <c r="D339" s="44">
        <f>IFERROR(__xludf.DUMMYFUNCTION("""COMPUTED_VALUE"""),37.0)</f>
        <v>37</v>
      </c>
      <c r="E339" s="44" t="str">
        <f>IFERROR(__xludf.DUMMYFUNCTION("""COMPUTED_VALUE"""),"18323984")</f>
        <v>18323984</v>
      </c>
      <c r="F339" s="44" t="str">
        <f>IFERROR(__xludf.DUMMYFUNCTION("""COMPUTED_VALUE"""),"")</f>
        <v/>
      </c>
      <c r="G339" s="44" t="str">
        <f>IFERROR(__xludf.DUMMYFUNCTION("""COMPUTED_VALUE"""),"")</f>
        <v/>
      </c>
      <c r="H339" s="44" t="str">
        <f>IFERROR(__xludf.DUMMYFUNCTION("""COMPUTED_VALUE"""),"M")</f>
        <v>M</v>
      </c>
      <c r="I339" s="44" t="str">
        <f>IFERROR(__xludf.DUMMYFUNCTION("""COMPUTED_VALUE"""),"La Guaira PNA")</f>
        <v>La Guaira PNA</v>
      </c>
      <c r="J339" s="44" t="str">
        <f>IFERROR(__xludf.DUMMYFUNCTION("""COMPUTED_VALUE"""),"24/6/2026")</f>
        <v>24/6/2026</v>
      </c>
      <c r="K339" s="42" t="str">
        <f>IFERROR(__xludf.DUMMYFUNCTION("""COMPUTED_VALUE"""),"Hospital Militar Dr. C. Arvelo")</f>
        <v>Hospital Militar Dr. C. Arvelo</v>
      </c>
    </row>
    <row r="340">
      <c r="A340" s="44">
        <v>339.0</v>
      </c>
      <c r="B340" s="44" t="str">
        <f>IFERROR(__xludf.DUMMYFUNCTION("""COMPUTED_VALUE"""),"Hospital Pérez Carreño")</f>
        <v>Hospital Pérez Carreño</v>
      </c>
      <c r="C340" s="45" t="str">
        <f>IFERROR(__xludf.DUMMYFUNCTION("""COMPUTED_VALUE"""),"Yenni Marcano")</f>
        <v>Yenni Marcano</v>
      </c>
      <c r="D340" s="44"/>
      <c r="E340" s="44" t="str">
        <f>IFERROR(__xludf.DUMMYFUNCTION("""COMPUTED_VALUE"""),"18384289")</f>
        <v>18384289</v>
      </c>
      <c r="F340" s="44" t="str">
        <f>IFERROR(__xludf.DUMMYFUNCTION("""COMPUTED_VALUE"""),"")</f>
        <v/>
      </c>
      <c r="G340" s="44" t="str">
        <f>IFERROR(__xludf.DUMMYFUNCTION("""COMPUTED_VALUE"""),"Triaje")</f>
        <v>Triaje</v>
      </c>
      <c r="H340" s="44" t="str">
        <f>IFERROR(__xludf.DUMMYFUNCTION("""COMPUTED_VALUE"""),"Hospital Miguel Perez Carreño")</f>
        <v>Hospital Miguel Perez Carreño</v>
      </c>
      <c r="I340" s="44"/>
      <c r="J340" s="44" t="str">
        <f>IFERROR(__xludf.DUMMYFUNCTION("""COMPUTED_VALUE"""),"26/6/26")</f>
        <v>26/6/26</v>
      </c>
      <c r="K340" s="42" t="str">
        <f>IFERROR(__xludf.DUMMYFUNCTION("""COMPUTED_VALUE"""),"Hospital Pérez Carreño")</f>
        <v>Hospital Pérez Carreño</v>
      </c>
    </row>
    <row r="341">
      <c r="A341" s="44">
        <v>340.0</v>
      </c>
      <c r="B341" s="44" t="str">
        <f>IFERROR(__xludf.DUMMYFUNCTION("""COMPUTED_VALUE"""),"Hospital Pérez Carreño")</f>
        <v>Hospital Pérez Carreño</v>
      </c>
      <c r="C341" s="45" t="str">
        <f>IFERROR(__xludf.DUMMYFUNCTION("""COMPUTED_VALUE"""),"MARCANO YENNI")</f>
        <v>MARCANO YENNI</v>
      </c>
      <c r="D341" s="44" t="str">
        <f>IFERROR(__xludf.DUMMYFUNCTION("""COMPUTED_VALUE""")," ")</f>
        <v> </v>
      </c>
      <c r="E341" s="44" t="str">
        <f>IFERROR(__xludf.DUMMYFUNCTION("""COMPUTED_VALUE"""),"183842890")</f>
        <v>183842890</v>
      </c>
      <c r="F341" s="44" t="str">
        <f>IFERROR(__xludf.DUMMYFUNCTION("""COMPUTED_VALUE"""),"")</f>
        <v/>
      </c>
      <c r="G341" s="44" t="str">
        <f>IFERROR(__xludf.DUMMYFUNCTION("""COMPUTED_VALUE""")," ")</f>
        <v> </v>
      </c>
      <c r="H341" s="44" t="str">
        <f>IFERROR(__xludf.DUMMYFUNCTION("""COMPUTED_VALUE""")," ")</f>
        <v> </v>
      </c>
      <c r="I341" s="44" t="str">
        <f>IFERROR(__xludf.DUMMYFUNCTION("""COMPUTED_VALUE"""),"TRIAJE")</f>
        <v>TRIAJE</v>
      </c>
      <c r="J341" s="44" t="str">
        <f>IFERROR(__xludf.DUMMYFUNCTION("""COMPUTED_VALUE"""),"25/06/2026")</f>
        <v>25/06/2026</v>
      </c>
      <c r="K341" s="42" t="str">
        <f>IFERROR(__xludf.DUMMYFUNCTION("""COMPUTED_VALUE"""),"Hospital Pérez Carreño")</f>
        <v>Hospital Pérez Carreño</v>
      </c>
    </row>
    <row r="342">
      <c r="A342" s="44">
        <v>341.0</v>
      </c>
      <c r="B342" s="44" t="str">
        <f>IFERROR(__xludf.DUMMYFUNCTION("""COMPUTED_VALUE"""),"HOSPITAL VARGAS")</f>
        <v>HOSPITAL VARGAS</v>
      </c>
      <c r="C342" s="45" t="str">
        <f>IFERROR(__xludf.DUMMYFUNCTION("""COMPUTED_VALUE"""),"Maria Vielma")</f>
        <v>Maria Vielma</v>
      </c>
      <c r="D342" s="44"/>
      <c r="E342" s="44" t="str">
        <f>IFERROR(__xludf.DUMMYFUNCTION("""COMPUTED_VALUE"""),"18404003")</f>
        <v>18404003</v>
      </c>
      <c r="F342" s="44" t="str">
        <f>IFERROR(__xludf.DUMMYFUNCTION("""COMPUTED_VALUE"""),"")</f>
        <v/>
      </c>
      <c r="G342" s="44" t="str">
        <f>IFERROR(__xludf.DUMMYFUNCTION("""COMPUTED_VALUE"""),"")</f>
        <v/>
      </c>
      <c r="H342" s="44" t="str">
        <f>IFERROR(__xludf.DUMMYFUNCTION("""COMPUTED_VALUE"""),"")</f>
        <v/>
      </c>
      <c r="I342" s="44" t="str">
        <f>IFERROR(__xludf.DUMMYFUNCTION("""COMPUTED_VALUE"""),"Herido / atendido")</f>
        <v>Herido / atendido</v>
      </c>
      <c r="J342" s="44" t="str">
        <f>IFERROR(__xludf.DUMMYFUNCTION("""COMPUTED_VALUE"""),"24.06.2026 ")</f>
        <v>24.06.2026 </v>
      </c>
      <c r="K342" s="42" t="str">
        <f>IFERROR(__xludf.DUMMYFUNCTION("""COMPUTED_VALUE"""),"HOSPITAL VARGAS")</f>
        <v>HOSPITAL VARGAS</v>
      </c>
    </row>
    <row r="343">
      <c r="A343" s="44">
        <v>342.0</v>
      </c>
      <c r="B343" s="44" t="str">
        <f>IFERROR(__xludf.DUMMYFUNCTION("""COMPUTED_VALUE"""),"Hospital Vargas de Caracas")</f>
        <v>Hospital Vargas de Caracas</v>
      </c>
      <c r="C343" s="45" t="str">
        <f>IFERROR(__xludf.DUMMYFUNCTION("""COMPUTED_VALUE"""),"MONICA VIELMA")</f>
        <v>MONICA VIELMA</v>
      </c>
      <c r="D343" s="44" t="str">
        <f>IFERROR(__xludf.DUMMYFUNCTION("""COMPUTED_VALUE""")," ")</f>
        <v> </v>
      </c>
      <c r="E343" s="44" t="str">
        <f>IFERROR(__xludf.DUMMYFUNCTION("""COMPUTED_VALUE"""),"18406003")</f>
        <v>18406003</v>
      </c>
      <c r="F343" s="44" t="str">
        <f>IFERROR(__xludf.DUMMYFUNCTION("""COMPUTED_VALUE""")," ")</f>
        <v> </v>
      </c>
      <c r="G343" s="44" t="str">
        <f>IFERROR(__xludf.DUMMYFUNCTION("""COMPUTED_VALUE"""),"")</f>
        <v/>
      </c>
      <c r="H343" s="44" t="str">
        <f>IFERROR(__xludf.DUMMYFUNCTION("""COMPUTED_VALUE"""),"Guaira")</f>
        <v>Guaira</v>
      </c>
      <c r="I343" s="44" t="str">
        <f>IFERROR(__xludf.DUMMYFUNCTION("""COMPUTED_VALUE""")," ")</f>
        <v> </v>
      </c>
      <c r="J343" s="44" t="str">
        <f>IFERROR(__xludf.DUMMYFUNCTION("""COMPUTED_VALUE"""),"")</f>
        <v/>
      </c>
      <c r="K343" s="42" t="str">
        <f>IFERROR(__xludf.DUMMYFUNCTION("""COMPUTED_VALUE"""),"Hospital Vargas de Caracas")</f>
        <v>Hospital Vargas de Caracas</v>
      </c>
    </row>
    <row r="344">
      <c r="A344" s="44">
        <v>343.0</v>
      </c>
      <c r="B344" s="44" t="str">
        <f>IFERROR(__xludf.DUMMYFUNCTION("""COMPUTED_VALUE"""),"Hospital Pérez Carreño")</f>
        <v>Hospital Pérez Carreño</v>
      </c>
      <c r="C344" s="45" t="str">
        <f>IFERROR(__xludf.DUMMYFUNCTION("""COMPUTED_VALUE"""),"BENA MANUELA")</f>
        <v>BENA MANUELA</v>
      </c>
      <c r="D344" s="44" t="str">
        <f>IFERROR(__xludf.DUMMYFUNCTION("""COMPUTED_VALUE""")," ")</f>
        <v> </v>
      </c>
      <c r="E344" s="44" t="str">
        <f>IFERROR(__xludf.DUMMYFUNCTION("""COMPUTED_VALUE"""),"18449889")</f>
        <v>18449889</v>
      </c>
      <c r="F344" s="44" t="str">
        <f>IFERROR(__xludf.DUMMYFUNCTION("""COMPUTED_VALUE"""),"")</f>
        <v/>
      </c>
      <c r="G344" s="44" t="str">
        <f>IFERROR(__xludf.DUMMYFUNCTION("""COMPUTED_VALUE""")," ")</f>
        <v> </v>
      </c>
      <c r="H344" s="44" t="str">
        <f>IFERROR(__xludf.DUMMYFUNCTION("""COMPUTED_VALUE""")," ")</f>
        <v> </v>
      </c>
      <c r="I344" s="44" t="str">
        <f>IFERROR(__xludf.DUMMYFUNCTION("""COMPUTED_VALUE"""),"Internado")</f>
        <v>Internado</v>
      </c>
      <c r="J344" s="44" t="str">
        <f>IFERROR(__xludf.DUMMYFUNCTION("""COMPUTED_VALUE"""),"25/06/2026")</f>
        <v>25/06/2026</v>
      </c>
      <c r="K344" s="42" t="str">
        <f>IFERROR(__xludf.DUMMYFUNCTION("""COMPUTED_VALUE"""),"Hospital Pérez Carreño")</f>
        <v>Hospital Pérez Carreño</v>
      </c>
    </row>
    <row r="345">
      <c r="A345" s="44">
        <v>344.0</v>
      </c>
      <c r="B345" s="44" t="str">
        <f>IFERROR(__xludf.DUMMYFUNCTION("""COMPUTED_VALUE"""),"Hospital Pérez Carreño")</f>
        <v>Hospital Pérez Carreño</v>
      </c>
      <c r="C345" s="45" t="str">
        <f>IFERROR(__xludf.DUMMYFUNCTION("""COMPUTED_VALUE"""),"RAMIREZ BARBARA")</f>
        <v>RAMIREZ BARBARA</v>
      </c>
      <c r="D345" s="44" t="str">
        <f>IFERROR(__xludf.DUMMYFUNCTION("""COMPUTED_VALUE""")," ")</f>
        <v> </v>
      </c>
      <c r="E345" s="44" t="str">
        <f>IFERROR(__xludf.DUMMYFUNCTION("""COMPUTED_VALUE"""),"18461886")</f>
        <v>18461886</v>
      </c>
      <c r="F345" s="44" t="str">
        <f>IFERROR(__xludf.DUMMYFUNCTION("""COMPUTED_VALUE"""),"")</f>
        <v/>
      </c>
      <c r="G345" s="44" t="str">
        <f>IFERROR(__xludf.DUMMYFUNCTION("""COMPUTED_VALUE""")," ")</f>
        <v> </v>
      </c>
      <c r="H345" s="44" t="str">
        <f>IFERROR(__xludf.DUMMYFUNCTION("""COMPUTED_VALUE""")," ")</f>
        <v> </v>
      </c>
      <c r="I345" s="44" t="str">
        <f>IFERROR(__xludf.DUMMYFUNCTION("""COMPUTED_VALUE""")," ")</f>
        <v> </v>
      </c>
      <c r="J345" s="44" t="str">
        <f>IFERROR(__xludf.DUMMYFUNCTION("""COMPUTED_VALUE"""),"25/06/2026")</f>
        <v>25/06/2026</v>
      </c>
      <c r="K345" s="42" t="str">
        <f>IFERROR(__xludf.DUMMYFUNCTION("""COMPUTED_VALUE"""),"Hospital Pérez Carreño")</f>
        <v>Hospital Pérez Carreño</v>
      </c>
    </row>
    <row r="346">
      <c r="A346" s="44">
        <v>345.0</v>
      </c>
      <c r="B346" s="44" t="str">
        <f>IFERROR(__xludf.DUMMYFUNCTION("""COMPUTED_VALUE"""),"Hospital Pérez Carreño")</f>
        <v>Hospital Pérez Carreño</v>
      </c>
      <c r="C346" s="45" t="str">
        <f>IFERROR(__xludf.DUMMYFUNCTION("""COMPUTED_VALUE"""),"RAMIREZ DE REYES BARBARA DUNER")</f>
        <v>RAMIREZ DE REYES BARBARA DUNER</v>
      </c>
      <c r="D346" s="44" t="str">
        <f>IFERROR(__xludf.DUMMYFUNCTION("""COMPUTED_VALUE""")," ")</f>
        <v> </v>
      </c>
      <c r="E346" s="44" t="str">
        <f>IFERROR(__xludf.DUMMYFUNCTION("""COMPUTED_VALUE"""),"184618860")</f>
        <v>184618860</v>
      </c>
      <c r="F346" s="44" t="str">
        <f>IFERROR(__xludf.DUMMYFUNCTION("""COMPUTED_VALUE"""),"")</f>
        <v/>
      </c>
      <c r="G346" s="44" t="str">
        <f>IFERROR(__xludf.DUMMYFUNCTION("""COMPUTED_VALUE""")," ")</f>
        <v> </v>
      </c>
      <c r="H346" s="44" t="str">
        <f>IFERROR(__xludf.DUMMYFUNCTION("""COMPUTED_VALUE""")," ")</f>
        <v> </v>
      </c>
      <c r="I346" s="44" t="str">
        <f>IFERROR(__xludf.DUMMYFUNCTION("""COMPUTED_VALUE""")," ")</f>
        <v> </v>
      </c>
      <c r="J346" s="44" t="str">
        <f>IFERROR(__xludf.DUMMYFUNCTION("""COMPUTED_VALUE"""),"25/06/2026")</f>
        <v>25/06/2026</v>
      </c>
      <c r="K346" s="42" t="str">
        <f>IFERROR(__xludf.DUMMYFUNCTION("""COMPUTED_VALUE"""),"Hospital Pérez Carreño")</f>
        <v>Hospital Pérez Carreño</v>
      </c>
    </row>
    <row r="347">
      <c r="A347" s="44">
        <v>346.0</v>
      </c>
      <c r="B347" s="44" t="str">
        <f>IFERROR(__xludf.DUMMYFUNCTION("""COMPUTED_VALUE"""),"Hospital Pérez Carreño")</f>
        <v>Hospital Pérez Carreño</v>
      </c>
      <c r="C347" s="45" t="str">
        <f>IFERROR(__xludf.DUMMYFUNCTION("""COMPUTED_VALUE"""),"NERI CHAVEZ")</f>
        <v>NERI CHAVEZ</v>
      </c>
      <c r="D347" s="44" t="str">
        <f>IFERROR(__xludf.DUMMYFUNCTION("""COMPUTED_VALUE"""),"Sin información")</f>
        <v>Sin información</v>
      </c>
      <c r="E347" s="44" t="str">
        <f>IFERROR(__xludf.DUMMYFUNCTION("""COMPUTED_VALUE"""),"184620400")</f>
        <v>184620400</v>
      </c>
      <c r="F347" s="44" t="str">
        <f>IFERROR(__xludf.DUMMYFUNCTION("""COMPUTED_VALUE"""),"")</f>
        <v/>
      </c>
      <c r="G347" s="44" t="str">
        <f>IFERROR(__xludf.DUMMYFUNCTION("""COMPUTED_VALUE""")," ")</f>
        <v> </v>
      </c>
      <c r="H347" s="44" t="str">
        <f>IFERROR(__xludf.DUMMYFUNCTION("""COMPUTED_VALUE"""),"Sin información")</f>
        <v>Sin información</v>
      </c>
      <c r="I347" s="44" t="str">
        <f>IFERROR(__xludf.DUMMYFUNCTION("""COMPUTED_VALUE"""),"Sin información")</f>
        <v>Sin información</v>
      </c>
      <c r="J347" s="44" t="str">
        <f>IFERROR(__xludf.DUMMYFUNCTION("""COMPUTED_VALUE"""),"25/06/2026")</f>
        <v>25/06/2026</v>
      </c>
      <c r="K347" s="42" t="str">
        <f>IFERROR(__xludf.DUMMYFUNCTION("""COMPUTED_VALUE"""),"Hospital Pérez Carreño")</f>
        <v>Hospital Pérez Carreño</v>
      </c>
    </row>
    <row r="348">
      <c r="A348" s="44">
        <v>347.0</v>
      </c>
      <c r="B348" s="44" t="str">
        <f>IFERROR(__xludf.DUMMYFUNCTION("""COMPUTED_VALUE"""),"Hospital Vargas de Caracas")</f>
        <v>Hospital Vargas de Caracas</v>
      </c>
      <c r="C348" s="45" t="str">
        <f>IFERROR(__xludf.DUMMYFUNCTION("""COMPUTED_VALUE"""),"MENDOZA LOURDES")</f>
        <v>MENDOZA LOURDES</v>
      </c>
      <c r="D348" s="44" t="str">
        <f>IFERROR(__xludf.DUMMYFUNCTION("""COMPUTED_VALUE""")," ")</f>
        <v> </v>
      </c>
      <c r="E348" s="44" t="str">
        <f>IFERROR(__xludf.DUMMYFUNCTION("""COMPUTED_VALUE"""),"18465401")</f>
        <v>18465401</v>
      </c>
      <c r="F348" s="44" t="str">
        <f>IFERROR(__xludf.DUMMYFUNCTION("""COMPUTED_VALUE""")," ")</f>
        <v> </v>
      </c>
      <c r="G348" s="44" t="str">
        <f>IFERROR(__xludf.DUMMYFUNCTION("""COMPUTED_VALUE"""),"")</f>
        <v/>
      </c>
      <c r="H348" s="44" t="str">
        <f>IFERROR(__xludf.DUMMYFUNCTION("""COMPUTED_VALUE""")," ")</f>
        <v> </v>
      </c>
      <c r="I348" s="44" t="str">
        <f>IFERROR(__xludf.DUMMYFUNCTION("""COMPUTED_VALUE""")," ")</f>
        <v> </v>
      </c>
      <c r="J348" s="44" t="str">
        <f>IFERROR(__xludf.DUMMYFUNCTION("""COMPUTED_VALUE"""),"")</f>
        <v/>
      </c>
      <c r="K348" s="42" t="str">
        <f>IFERROR(__xludf.DUMMYFUNCTION("""COMPUTED_VALUE"""),"Hospital Vargas de Caracas")</f>
        <v>Hospital Vargas de Caracas</v>
      </c>
    </row>
    <row r="349">
      <c r="A349" s="44">
        <v>348.0</v>
      </c>
      <c r="B349" s="44" t="str">
        <f>IFERROR(__xludf.DUMMYFUNCTION("""COMPUTED_VALUE"""),"Hospital Ana Francisca Pérez de")</f>
        <v>Hospital Ana Francisca Pérez de</v>
      </c>
      <c r="C349" s="45" t="str">
        <f>IFERROR(__xludf.DUMMYFUNCTION("""COMPUTED_VALUE"""),"ALVAREZ ABRAM")</f>
        <v>ALVAREZ ABRAM</v>
      </c>
      <c r="D349" s="44">
        <f>IFERROR(__xludf.DUMMYFUNCTION("""COMPUTED_VALUE"""),38.0)</f>
        <v>38</v>
      </c>
      <c r="E349" s="44" t="str">
        <f>IFERROR(__xludf.DUMMYFUNCTION("""COMPUTED_VALUE"""),"186322")</f>
        <v>186322</v>
      </c>
      <c r="F349" s="44" t="str">
        <f>IFERROR(__xludf.DUMMYFUNCTION("""COMPUTED_VALUE"""),"")</f>
        <v/>
      </c>
      <c r="G349" s="44" t="str">
        <f>IFERROR(__xludf.DUMMYFUNCTION("""COMPUTED_VALUE""")," ")</f>
        <v> </v>
      </c>
      <c r="H349" s="44" t="str">
        <f>IFERROR(__xludf.DUMMYFUNCTION("""COMPUTED_VALUE""")," ")</f>
        <v> </v>
      </c>
      <c r="I349" s="44" t="str">
        <f>IFERROR(__xludf.DUMMYFUNCTION("""COMPUTED_VALUE"""),"Internado")</f>
        <v>Internado</v>
      </c>
      <c r="J349" s="44" t="str">
        <f>IFERROR(__xludf.DUMMYFUNCTION("""COMPUTED_VALUE"""),"")</f>
        <v/>
      </c>
      <c r="K349" s="42" t="str">
        <f>IFERROR(__xludf.DUMMYFUNCTION("""COMPUTED_VALUE"""),"Hospital Ana Francisca Pérez de")</f>
        <v>Hospital Ana Francisca Pérez de</v>
      </c>
    </row>
    <row r="350">
      <c r="A350" s="44">
        <v>349.0</v>
      </c>
      <c r="B350" s="44" t="str">
        <f>IFERROR(__xludf.DUMMYFUNCTION("""COMPUTED_VALUE"""),"Hospital Vargas de Caracas")</f>
        <v>Hospital Vargas de Caracas</v>
      </c>
      <c r="C350" s="45" t="str">
        <f>IFERROR(__xludf.DUMMYFUNCTION("""COMPUTED_VALUE"""),"DE ABREU GERALDIN")</f>
        <v>DE ABREU GERALDIN</v>
      </c>
      <c r="D350" s="44" t="str">
        <f>IFERROR(__xludf.DUMMYFUNCTION("""COMPUTED_VALUE""")," ")</f>
        <v> </v>
      </c>
      <c r="E350" s="44" t="str">
        <f>IFERROR(__xludf.DUMMYFUNCTION("""COMPUTED_VALUE"""),"18709145")</f>
        <v>18709145</v>
      </c>
      <c r="F350" s="44" t="str">
        <f>IFERROR(__xludf.DUMMYFUNCTION("""COMPUTED_VALUE""")," ")</f>
        <v> </v>
      </c>
      <c r="G350" s="44" t="str">
        <f>IFERROR(__xludf.DUMMYFUNCTION("""COMPUTED_VALUE"""),"")</f>
        <v/>
      </c>
      <c r="H350" s="44" t="str">
        <f>IFERROR(__xludf.DUMMYFUNCTION("""COMPUTED_VALUE""")," ")</f>
        <v> </v>
      </c>
      <c r="I350" s="44" t="str">
        <f>IFERROR(__xludf.DUMMYFUNCTION("""COMPUTED_VALUE""")," ")</f>
        <v> </v>
      </c>
      <c r="J350" s="44" t="str">
        <f>IFERROR(__xludf.DUMMYFUNCTION("""COMPUTED_VALUE"""),"")</f>
        <v/>
      </c>
      <c r="K350" s="42" t="str">
        <f>IFERROR(__xludf.DUMMYFUNCTION("""COMPUTED_VALUE"""),"Hospital Vargas de Caracas")</f>
        <v>Hospital Vargas de Caracas</v>
      </c>
    </row>
    <row r="351">
      <c r="A351" s="44">
        <v>350.0</v>
      </c>
      <c r="B351" s="44" t="str">
        <f>IFERROR(__xludf.DUMMYFUNCTION("""COMPUTED_VALUE"""),"Hospital Vargas de Caracas")</f>
        <v>Hospital Vargas de Caracas</v>
      </c>
      <c r="C351" s="45" t="str">
        <f>IFERROR(__xludf.DUMMYFUNCTION("""COMPUTED_VALUE"""),"DE ABREU GERALDINE")</f>
        <v>DE ABREU GERALDINE</v>
      </c>
      <c r="D351" s="44" t="str">
        <f>IFERROR(__xludf.DUMMYFUNCTION("""COMPUTED_VALUE"""),"Sin información")</f>
        <v>Sin información</v>
      </c>
      <c r="E351" s="44" t="str">
        <f>IFERROR(__xludf.DUMMYFUNCTION("""COMPUTED_VALUE"""),"187091450")</f>
        <v>187091450</v>
      </c>
      <c r="F351" s="44" t="str">
        <f>IFERROR(__xludf.DUMMYFUNCTION("""COMPUTED_VALUE""")," ")</f>
        <v> </v>
      </c>
      <c r="G351" s="44" t="str">
        <f>IFERROR(__xludf.DUMMYFUNCTION("""COMPUTED_VALUE"""),"")</f>
        <v/>
      </c>
      <c r="H351" s="44" t="str">
        <f>IFERROR(__xludf.DUMMYFUNCTION("""COMPUTED_VALUE"""),"La Guaira")</f>
        <v>La Guaira</v>
      </c>
      <c r="I351" s="44" t="str">
        <f>IFERROR(__xludf.DUMMYFUNCTION("""COMPUTED_VALUE"""),"Sin información")</f>
        <v>Sin información</v>
      </c>
      <c r="J351" s="44" t="str">
        <f>IFERROR(__xludf.DUMMYFUNCTION("""COMPUTED_VALUE"""),"")</f>
        <v/>
      </c>
      <c r="K351" s="42" t="str">
        <f>IFERROR(__xludf.DUMMYFUNCTION("""COMPUTED_VALUE"""),"Hospital Vargas de Caracas")</f>
        <v>Hospital Vargas de Caracas</v>
      </c>
    </row>
    <row r="352">
      <c r="A352" s="44">
        <v>351.0</v>
      </c>
      <c r="B352" s="44" t="str">
        <f>IFERROR(__xludf.DUMMYFUNCTION("""COMPUTED_VALUE"""),"Hospital Universitario de Carac")</f>
        <v>Hospital Universitario de Carac</v>
      </c>
      <c r="C352" s="45" t="str">
        <f>IFERROR(__xludf.DUMMYFUNCTION("""COMPUTED_VALUE"""),"Donmani Zambrano")</f>
        <v>Donmani Zambrano</v>
      </c>
      <c r="D352" s="44">
        <f>IFERROR(__xludf.DUMMYFUNCTION("""COMPUTED_VALUE"""),39.0)</f>
        <v>39</v>
      </c>
      <c r="E352" s="44" t="str">
        <f>IFERROR(__xludf.DUMMYFUNCTION("""COMPUTED_VALUE"""),"18714233")</f>
        <v>18714233</v>
      </c>
      <c r="F352" s="44" t="str">
        <f>IFERROR(__xludf.DUMMYFUNCTION("""COMPUTED_VALUE"""),"")</f>
        <v/>
      </c>
      <c r="G352" s="44"/>
      <c r="H352" s="44" t="str">
        <f>IFERROR(__xludf.DUMMYFUNCTION("""COMPUTED_VALUE"""),"Catia")</f>
        <v>Catia</v>
      </c>
      <c r="I352" s="44" t="str">
        <f>IFERROR(__xludf.DUMMYFUNCTION("""COMPUTED_VALUE"""),"Politraumatismo")</f>
        <v>Politraumatismo</v>
      </c>
      <c r="J352" s="44" t="str">
        <f>IFERROR(__xludf.DUMMYFUNCTION("""COMPUTED_VALUE"""),"")</f>
        <v/>
      </c>
      <c r="K352" s="42" t="str">
        <f>IFERROR(__xludf.DUMMYFUNCTION("""COMPUTED_VALUE"""),"Hospital Universitario de Carac")</f>
        <v>Hospital Universitario de Carac</v>
      </c>
    </row>
    <row r="353">
      <c r="A353" s="44">
        <v>352.0</v>
      </c>
      <c r="B353" s="44" t="str">
        <f>IFERROR(__xludf.DUMMYFUNCTION("""COMPUTED_VALUE"""),"Hospital Pérez Carreño")</f>
        <v>Hospital Pérez Carreño</v>
      </c>
      <c r="C353" s="45" t="str">
        <f>IFERROR(__xludf.DUMMYFUNCTION("""COMPUTED_VALUE"""),"GODERA EMICA")</f>
        <v>GODERA EMICA</v>
      </c>
      <c r="D353" s="44" t="str">
        <f>IFERROR(__xludf.DUMMYFUNCTION("""COMPUTED_VALUE""")," ")</f>
        <v> </v>
      </c>
      <c r="E353" s="44" t="str">
        <f>IFERROR(__xludf.DUMMYFUNCTION("""COMPUTED_VALUE"""),"18749225")</f>
        <v>18749225</v>
      </c>
      <c r="F353" s="44" t="str">
        <f>IFERROR(__xludf.DUMMYFUNCTION("""COMPUTED_VALUE"""),"")</f>
        <v/>
      </c>
      <c r="G353" s="44" t="str">
        <f>IFERROR(__xludf.DUMMYFUNCTION("""COMPUTED_VALUE""")," ")</f>
        <v> </v>
      </c>
      <c r="H353" s="44" t="str">
        <f>IFERROR(__xludf.DUMMYFUNCTION("""COMPUTED_VALUE""")," ")</f>
        <v> </v>
      </c>
      <c r="I353" s="44" t="str">
        <f>IFERROR(__xludf.DUMMYFUNCTION("""COMPUTED_VALUE""")," ")</f>
        <v> </v>
      </c>
      <c r="J353" s="44" t="str">
        <f>IFERROR(__xludf.DUMMYFUNCTION("""COMPUTED_VALUE"""),"25/06/2026")</f>
        <v>25/06/2026</v>
      </c>
      <c r="K353" s="42" t="str">
        <f>IFERROR(__xludf.DUMMYFUNCTION("""COMPUTED_VALUE"""),"Hospital Pérez Carreño")</f>
        <v>Hospital Pérez Carreño</v>
      </c>
    </row>
    <row r="354">
      <c r="A354" s="44">
        <v>353.0</v>
      </c>
      <c r="B354" s="44" t="str">
        <f>IFERROR(__xludf.DUMMYFUNCTION("""COMPUTED_VALUE"""),"Hospital Pérez Carreño")</f>
        <v>Hospital Pérez Carreño</v>
      </c>
      <c r="C354" s="45" t="str">
        <f>IFERROR(__xludf.DUMMYFUNCTION("""COMPUTED_VALUE"""),"GODOY ERIC")</f>
        <v>GODOY ERIC</v>
      </c>
      <c r="D354" s="44" t="str">
        <f>IFERROR(__xludf.DUMMYFUNCTION("""COMPUTED_VALUE"""),"Sin información")</f>
        <v>Sin información</v>
      </c>
      <c r="E354" s="44" t="str">
        <f>IFERROR(__xludf.DUMMYFUNCTION("""COMPUTED_VALUE"""),"187492250")</f>
        <v>187492250</v>
      </c>
      <c r="F354" s="44" t="str">
        <f>IFERROR(__xludf.DUMMYFUNCTION("""COMPUTED_VALUE"""),"")</f>
        <v/>
      </c>
      <c r="G354" s="44" t="str">
        <f>IFERROR(__xludf.DUMMYFUNCTION("""COMPUTED_VALUE""")," ")</f>
        <v> </v>
      </c>
      <c r="H354" s="44" t="str">
        <f>IFERROR(__xludf.DUMMYFUNCTION("""COMPUTED_VALUE"""),"Sin información")</f>
        <v>Sin información</v>
      </c>
      <c r="I354" s="44" t="str">
        <f>IFERROR(__xludf.DUMMYFUNCTION("""COMPUTED_VALUE"""),"Sin información")</f>
        <v>Sin información</v>
      </c>
      <c r="J354" s="44" t="str">
        <f>IFERROR(__xludf.DUMMYFUNCTION("""COMPUTED_VALUE"""),"25/06/2026")</f>
        <v>25/06/2026</v>
      </c>
      <c r="K354" s="42" t="str">
        <f>IFERROR(__xludf.DUMMYFUNCTION("""COMPUTED_VALUE"""),"Hospital Pérez Carreño")</f>
        <v>Hospital Pérez Carreño</v>
      </c>
    </row>
    <row r="355">
      <c r="A355" s="44">
        <v>354.0</v>
      </c>
      <c r="B355" s="44" t="str">
        <f>IFERROR(__xludf.DUMMYFUNCTION("""COMPUTED_VALUE"""),"Hospital Pérez Carreño")</f>
        <v>Hospital Pérez Carreño</v>
      </c>
      <c r="C355" s="45" t="str">
        <f>IFERROR(__xludf.DUMMYFUNCTION("""COMPUTED_VALUE"""),"ERIC GODOY")</f>
        <v>ERIC GODOY</v>
      </c>
      <c r="D355" s="44" t="str">
        <f>IFERROR(__xludf.DUMMYFUNCTION("""COMPUTED_VALUE"""),"Sin información")</f>
        <v>Sin información</v>
      </c>
      <c r="E355" s="44" t="str">
        <f>IFERROR(__xludf.DUMMYFUNCTION("""COMPUTED_VALUE"""),"1874922590")</f>
        <v>1874922590</v>
      </c>
      <c r="F355" s="44" t="str">
        <f>IFERROR(__xludf.DUMMYFUNCTION("""COMPUTED_VALUE"""),"")</f>
        <v/>
      </c>
      <c r="G355" s="44" t="str">
        <f>IFERROR(__xludf.DUMMYFUNCTION("""COMPUTED_VALUE""")," ")</f>
        <v> </v>
      </c>
      <c r="H355" s="44" t="str">
        <f>IFERROR(__xludf.DUMMYFUNCTION("""COMPUTED_VALUE"""),"Sin información")</f>
        <v>Sin información</v>
      </c>
      <c r="I355" s="44" t="str">
        <f>IFERROR(__xludf.DUMMYFUNCTION("""COMPUTED_VALUE"""),"Sin información")</f>
        <v>Sin información</v>
      </c>
      <c r="J355" s="44" t="str">
        <f>IFERROR(__xludf.DUMMYFUNCTION("""COMPUTED_VALUE"""),"25/06/2026")</f>
        <v>25/06/2026</v>
      </c>
      <c r="K355" s="42" t="str">
        <f>IFERROR(__xludf.DUMMYFUNCTION("""COMPUTED_VALUE"""),"Hospital Pérez Carreño")</f>
        <v>Hospital Pérez Carreño</v>
      </c>
    </row>
    <row r="356">
      <c r="A356" s="44">
        <v>355.0</v>
      </c>
      <c r="B356" s="44" t="str">
        <f>IFERROR(__xludf.DUMMYFUNCTION("""COMPUTED_VALUE"""),"H. Jose Maria Vargas LG")</f>
        <v>H. Jose Maria Vargas LG</v>
      </c>
      <c r="C356" s="45" t="str">
        <f>IFERROR(__xludf.DUMMYFUNCTION("""COMPUTED_VALUE"""),"GONZALES DIYONEISIS")</f>
        <v>GONZALES DIYONEISIS</v>
      </c>
      <c r="D356" s="44">
        <f>IFERROR(__xludf.DUMMYFUNCTION("""COMPUTED_VALUE"""),36.0)</f>
        <v>36</v>
      </c>
      <c r="E356" s="44" t="str">
        <f>IFERROR(__xludf.DUMMYFUNCTION("""COMPUTED_VALUE"""),"18756570")</f>
        <v>18756570</v>
      </c>
      <c r="F356" s="44" t="str">
        <f>IFERROR(__xludf.DUMMYFUNCTION("""COMPUTED_VALUE"""),"")</f>
        <v/>
      </c>
      <c r="G356" s="44" t="str">
        <f>IFERROR(__xludf.DUMMYFUNCTION("""COMPUTED_VALUE""")," ")</f>
        <v> </v>
      </c>
      <c r="H356" s="44" t="str">
        <f>IFERROR(__xludf.DUMMYFUNCTION("""COMPUTED_VALUE"""),"Caraballeda")</f>
        <v>Caraballeda</v>
      </c>
      <c r="I356" s="44" t="str">
        <f>IFERROR(__xludf.DUMMYFUNCTION("""COMPUTED_VALUE""")," ")</f>
        <v> </v>
      </c>
      <c r="J356" s="44" t="str">
        <f>IFERROR(__xludf.DUMMYFUNCTION("""COMPUTED_VALUE"""),"")</f>
        <v/>
      </c>
      <c r="K356" s="42" t="str">
        <f>IFERROR(__xludf.DUMMYFUNCTION("""COMPUTED_VALUE"""),"H. Jose Maria Vargas LG")</f>
        <v>H. Jose Maria Vargas LG</v>
      </c>
    </row>
    <row r="357">
      <c r="A357" s="44">
        <v>356.0</v>
      </c>
      <c r="B357" s="44" t="str">
        <f>IFERROR(__xludf.DUMMYFUNCTION("""COMPUTED_VALUE"""),"Seguro Social La Guaira")</f>
        <v>Seguro Social La Guaira</v>
      </c>
      <c r="C357" s="45" t="str">
        <f>IFERROR(__xludf.DUMMYFUNCTION("""COMPUTED_VALUE"""),"GONZALES DHIONEISIS")</f>
        <v>GONZALES DHIONEISIS</v>
      </c>
      <c r="D357" s="44">
        <f>IFERROR(__xludf.DUMMYFUNCTION("""COMPUTED_VALUE"""),36.0)</f>
        <v>36</v>
      </c>
      <c r="E357" s="44" t="str">
        <f>IFERROR(__xludf.DUMMYFUNCTION("""COMPUTED_VALUE"""),"187565700")</f>
        <v>187565700</v>
      </c>
      <c r="F357" s="44" t="str">
        <f>IFERROR(__xludf.DUMMYFUNCTION("""COMPUTED_VALUE"""),"")</f>
        <v/>
      </c>
      <c r="G357" s="44" t="str">
        <f>IFERROR(__xludf.DUMMYFUNCTION("""COMPUTED_VALUE""")," ")</f>
        <v> </v>
      </c>
      <c r="H357" s="44" t="str">
        <f>IFERROR(__xludf.DUMMYFUNCTION("""COMPUTED_VALUE"""),"Caraballeda")</f>
        <v>Caraballeda</v>
      </c>
      <c r="I357" s="44" t="str">
        <f>IFERROR(__xludf.DUMMYFUNCTION("""COMPUTED_VALUE""")," ")</f>
        <v> </v>
      </c>
      <c r="J357" s="44" t="str">
        <f>IFERROR(__xludf.DUMMYFUNCTION("""COMPUTED_VALUE"""),"")</f>
        <v/>
      </c>
      <c r="K357" s="42" t="str">
        <f>IFERROR(__xludf.DUMMYFUNCTION("""COMPUTED_VALUE"""),"Seguro Social La Guaira")</f>
        <v>Seguro Social La Guaira</v>
      </c>
    </row>
    <row r="358">
      <c r="A358" s="44">
        <v>357.0</v>
      </c>
      <c r="B358" s="44" t="str">
        <f>IFERROR(__xludf.DUMMYFUNCTION("""COMPUTED_VALUE"""),"Hospital Universitario de Carac")</f>
        <v>Hospital Universitario de Carac</v>
      </c>
      <c r="C358" s="45" t="str">
        <f>IFERROR(__xludf.DUMMYFUNCTION("""COMPUTED_VALUE"""),"Deivys Coa")</f>
        <v>Deivys Coa</v>
      </c>
      <c r="D358" s="44">
        <f>IFERROR(__xludf.DUMMYFUNCTION("""COMPUTED_VALUE"""),36.0)</f>
        <v>36</v>
      </c>
      <c r="E358" s="44" t="str">
        <f>IFERROR(__xludf.DUMMYFUNCTION("""COMPUTED_VALUE"""),"18760841")</f>
        <v>18760841</v>
      </c>
      <c r="F358" s="44" t="str">
        <f>IFERROR(__xludf.DUMMYFUNCTION("""COMPUTED_VALUE"""),"")</f>
        <v/>
      </c>
      <c r="G358" s="44"/>
      <c r="H358" s="44" t="str">
        <f>IFERROR(__xludf.DUMMYFUNCTION("""COMPUTED_VALUE"""),"La Guaira")</f>
        <v>La Guaira</v>
      </c>
      <c r="I358" s="44" t="str">
        <f>IFERROR(__xludf.DUMMYFUNCTION("""COMPUTED_VALUE"""),"Politraumatismo")</f>
        <v>Politraumatismo</v>
      </c>
      <c r="J358" s="44" t="str">
        <f>IFERROR(__xludf.DUMMYFUNCTION("""COMPUTED_VALUE"""),"")</f>
        <v/>
      </c>
      <c r="K358" s="42" t="str">
        <f>IFERROR(__xludf.DUMMYFUNCTION("""COMPUTED_VALUE"""),"Hospital Universitario de Carac")</f>
        <v>Hospital Universitario de Carac</v>
      </c>
    </row>
    <row r="359">
      <c r="A359" s="44">
        <v>358.0</v>
      </c>
      <c r="B359" s="44" t="str">
        <f>IFERROR(__xludf.DUMMYFUNCTION("""COMPUTED_VALUE"""),"Hospital Universitario de Carac")</f>
        <v>Hospital Universitario de Carac</v>
      </c>
      <c r="C359" s="45" t="str">
        <f>IFERROR(__xludf.DUMMYFUNCTION("""COMPUTED_VALUE"""),"COA DEIVIS")</f>
        <v>COA DEIVIS</v>
      </c>
      <c r="D359" s="44">
        <f>IFERROR(__xludf.DUMMYFUNCTION("""COMPUTED_VALUE"""),36.0)</f>
        <v>36</v>
      </c>
      <c r="E359" s="44" t="str">
        <f>IFERROR(__xludf.DUMMYFUNCTION("""COMPUTED_VALUE"""),"18780841")</f>
        <v>18780841</v>
      </c>
      <c r="F359" s="44" t="str">
        <f>IFERROR(__xludf.DUMMYFUNCTION("""COMPUTED_VALUE"""),"")</f>
        <v/>
      </c>
      <c r="G359" s="44" t="str">
        <f>IFERROR(__xludf.DUMMYFUNCTION("""COMPUTED_VALUE"""),"0424-1534022")</f>
        <v>0424-1534022</v>
      </c>
      <c r="H359" s="44" t="str">
        <f>IFERROR(__xludf.DUMMYFUNCTION("""COMPUTED_VALUE""")," ")</f>
        <v> </v>
      </c>
      <c r="I359" s="44" t="str">
        <f>IFERROR(__xludf.DUMMYFUNCTION("""COMPUTED_VALUE""")," ")</f>
        <v> </v>
      </c>
      <c r="J359" s="44" t="str">
        <f>IFERROR(__xludf.DUMMYFUNCTION("""COMPUTED_VALUE"""),"")</f>
        <v/>
      </c>
      <c r="K359" s="42" t="str">
        <f>IFERROR(__xludf.DUMMYFUNCTION("""COMPUTED_VALUE"""),"Hospital Universitario de Carac")</f>
        <v>Hospital Universitario de Carac</v>
      </c>
    </row>
    <row r="360">
      <c r="A360" s="44">
        <v>359.0</v>
      </c>
      <c r="B360" s="44" t="str">
        <f>IFERROR(__xludf.DUMMYFUNCTION("""COMPUTED_VALUE"""),"Hospital Pérez Carreño")</f>
        <v>Hospital Pérez Carreño</v>
      </c>
      <c r="C360" s="45" t="str">
        <f>IFERROR(__xludf.DUMMYFUNCTION("""COMPUTED_VALUE"""),"GOMEZ MANUEL")</f>
        <v>GOMEZ MANUEL</v>
      </c>
      <c r="D360" s="44" t="str">
        <f>IFERROR(__xludf.DUMMYFUNCTION("""COMPUTED_VALUE""")," ")</f>
        <v> </v>
      </c>
      <c r="E360" s="44" t="str">
        <f>IFERROR(__xludf.DUMMYFUNCTION("""COMPUTED_VALUE"""),"18814839")</f>
        <v>18814839</v>
      </c>
      <c r="F360" s="44" t="str">
        <f>IFERROR(__xludf.DUMMYFUNCTION("""COMPUTED_VALUE"""),"")</f>
        <v/>
      </c>
      <c r="G360" s="44" t="str">
        <f>IFERROR(__xludf.DUMMYFUNCTION("""COMPUTED_VALUE""")," ")</f>
        <v> </v>
      </c>
      <c r="H360" s="44" t="str">
        <f>IFERROR(__xludf.DUMMYFUNCTION("""COMPUTED_VALUE""")," ")</f>
        <v> </v>
      </c>
      <c r="I360" s="44" t="str">
        <f>IFERROR(__xludf.DUMMYFUNCTION("""COMPUTED_VALUE""")," ")</f>
        <v> </v>
      </c>
      <c r="J360" s="44" t="str">
        <f>IFERROR(__xludf.DUMMYFUNCTION("""COMPUTED_VALUE"""),"25/06/2026")</f>
        <v>25/06/2026</v>
      </c>
      <c r="K360" s="42" t="str">
        <f>IFERROR(__xludf.DUMMYFUNCTION("""COMPUTED_VALUE"""),"Hospital Pérez Carreño")</f>
        <v>Hospital Pérez Carreño</v>
      </c>
    </row>
    <row r="361">
      <c r="A361" s="44">
        <v>360.0</v>
      </c>
      <c r="B361" s="44" t="str">
        <f>IFERROR(__xludf.DUMMYFUNCTION("""COMPUTED_VALUE"""),"Hospital Pérez Carreño")</f>
        <v>Hospital Pérez Carreño</v>
      </c>
      <c r="C361" s="45" t="str">
        <f>IFERROR(__xludf.DUMMYFUNCTION("""COMPUTED_VALUE"""),"MANUEL GOMEZ")</f>
        <v>MANUEL GOMEZ</v>
      </c>
      <c r="D361" s="44" t="str">
        <f>IFERROR(__xludf.DUMMYFUNCTION("""COMPUTED_VALUE""")," ")</f>
        <v> </v>
      </c>
      <c r="E361" s="44" t="str">
        <f>IFERROR(__xludf.DUMMYFUNCTION("""COMPUTED_VALUE"""),"188148390")</f>
        <v>188148390</v>
      </c>
      <c r="F361" s="44" t="str">
        <f>IFERROR(__xludf.DUMMYFUNCTION("""COMPUTED_VALUE"""),"")</f>
        <v/>
      </c>
      <c r="G361" s="44" t="str">
        <f>IFERROR(__xludf.DUMMYFUNCTION("""COMPUTED_VALUE""")," ")</f>
        <v> </v>
      </c>
      <c r="H361" s="44" t="str">
        <f>IFERROR(__xludf.DUMMYFUNCTION("""COMPUTED_VALUE""")," ")</f>
        <v> </v>
      </c>
      <c r="I361" s="44" t="str">
        <f>IFERROR(__xludf.DUMMYFUNCTION("""COMPUTED_VALUE""")," ")</f>
        <v> </v>
      </c>
      <c r="J361" s="44" t="str">
        <f>IFERROR(__xludf.DUMMYFUNCTION("""COMPUTED_VALUE"""),"25/06/2026")</f>
        <v>25/06/2026</v>
      </c>
      <c r="K361" s="42" t="str">
        <f>IFERROR(__xludf.DUMMYFUNCTION("""COMPUTED_VALUE"""),"Hospital Pérez Carreño")</f>
        <v>Hospital Pérez Carreño</v>
      </c>
    </row>
    <row r="362">
      <c r="A362" s="44">
        <v>361.0</v>
      </c>
      <c r="B362" s="44" t="str">
        <f>IFERROR(__xludf.DUMMYFUNCTION("""COMPUTED_VALUE"""),"Hospital Pérez Carreño")</f>
        <v>Hospital Pérez Carreño</v>
      </c>
      <c r="C362" s="45" t="str">
        <f>IFERROR(__xludf.DUMMYFUNCTION("""COMPUTED_VALUE"""),"GEEO MANUELA")</f>
        <v>GEEO MANUELA</v>
      </c>
      <c r="D362" s="44" t="str">
        <f>IFERROR(__xludf.DUMMYFUNCTION("""COMPUTED_VALUE""")," ")</f>
        <v> </v>
      </c>
      <c r="E362" s="44" t="str">
        <f>IFERROR(__xludf.DUMMYFUNCTION("""COMPUTED_VALUE"""),"18814866")</f>
        <v>18814866</v>
      </c>
      <c r="F362" s="44" t="str">
        <f>IFERROR(__xludf.DUMMYFUNCTION("""COMPUTED_VALUE"""),"")</f>
        <v/>
      </c>
      <c r="G362" s="44" t="str">
        <f>IFERROR(__xludf.DUMMYFUNCTION("""COMPUTED_VALUE""")," ")</f>
        <v> </v>
      </c>
      <c r="H362" s="44" t="str">
        <f>IFERROR(__xludf.DUMMYFUNCTION("""COMPUTED_VALUE""")," ")</f>
        <v> </v>
      </c>
      <c r="I362" s="44" t="str">
        <f>IFERROR(__xludf.DUMMYFUNCTION("""COMPUTED_VALUE"""),"Internado")</f>
        <v>Internado</v>
      </c>
      <c r="J362" s="44" t="str">
        <f>IFERROR(__xludf.DUMMYFUNCTION("""COMPUTED_VALUE"""),"25/06/2026")</f>
        <v>25/06/2026</v>
      </c>
      <c r="K362" s="42" t="str">
        <f>IFERROR(__xludf.DUMMYFUNCTION("""COMPUTED_VALUE"""),"Hospital Pérez Carreño")</f>
        <v>Hospital Pérez Carreño</v>
      </c>
    </row>
    <row r="363">
      <c r="A363" s="44">
        <v>362.0</v>
      </c>
      <c r="B363" s="44" t="str">
        <f>IFERROR(__xludf.DUMMYFUNCTION("""COMPUTED_VALUE"""),"HOSPITAL VARGAS")</f>
        <v>HOSPITAL VARGAS</v>
      </c>
      <c r="C363" s="45" t="str">
        <f>IFERROR(__xludf.DUMMYFUNCTION("""COMPUTED_VALUE"""),"Katiuska Pérez")</f>
        <v>Katiuska Pérez</v>
      </c>
      <c r="D363" s="44"/>
      <c r="E363" s="44" t="str">
        <f>IFERROR(__xludf.DUMMYFUNCTION("""COMPUTED_VALUE"""),"18817136")</f>
        <v>18817136</v>
      </c>
      <c r="F363" s="44" t="str">
        <f>IFERROR(__xludf.DUMMYFUNCTION("""COMPUTED_VALUE"""),"")</f>
        <v/>
      </c>
      <c r="G363" s="44" t="str">
        <f>IFERROR(__xludf.DUMMYFUNCTION("""COMPUTED_VALUE"""),"")</f>
        <v/>
      </c>
      <c r="H363" s="44" t="str">
        <f>IFERROR(__xludf.DUMMYFUNCTION("""COMPUTED_VALUE"""),"")</f>
        <v/>
      </c>
      <c r="I363" s="44" t="str">
        <f>IFERROR(__xludf.DUMMYFUNCTION("""COMPUTED_VALUE"""),"Herido / atendido")</f>
        <v>Herido / atendido</v>
      </c>
      <c r="J363" s="44" t="str">
        <f>IFERROR(__xludf.DUMMYFUNCTION("""COMPUTED_VALUE"""),"24.06.2026 ")</f>
        <v>24.06.2026 </v>
      </c>
      <c r="K363" s="42" t="str">
        <f>IFERROR(__xludf.DUMMYFUNCTION("""COMPUTED_VALUE"""),"HOSPITAL VARGAS")</f>
        <v>HOSPITAL VARGAS</v>
      </c>
    </row>
    <row r="364">
      <c r="A364" s="44">
        <v>363.0</v>
      </c>
      <c r="B364" s="44" t="str">
        <f>IFERROR(__xludf.DUMMYFUNCTION("""COMPUTED_VALUE"""),"Hospital Vargas de Caracas")</f>
        <v>Hospital Vargas de Caracas</v>
      </c>
      <c r="C364" s="45" t="str">
        <f>IFERROR(__xludf.DUMMYFUNCTION("""COMPUTED_VALUE"""),"PEREZ KATIUSKA")</f>
        <v>PEREZ KATIUSKA</v>
      </c>
      <c r="D364" s="44" t="str">
        <f>IFERROR(__xludf.DUMMYFUNCTION("""COMPUTED_VALUE""")," ")</f>
        <v> </v>
      </c>
      <c r="E364" s="44" t="str">
        <f>IFERROR(__xludf.DUMMYFUNCTION("""COMPUTED_VALUE"""),"188171360")</f>
        <v>188171360</v>
      </c>
      <c r="F364" s="44" t="str">
        <f>IFERROR(__xludf.DUMMYFUNCTION("""COMPUTED_VALUE""")," ")</f>
        <v> </v>
      </c>
      <c r="G364" s="44" t="str">
        <f>IFERROR(__xludf.DUMMYFUNCTION("""COMPUTED_VALUE"""),"")</f>
        <v/>
      </c>
      <c r="H364" s="44" t="str">
        <f>IFERROR(__xludf.DUMMYFUNCTION("""COMPUTED_VALUE""")," ")</f>
        <v> </v>
      </c>
      <c r="I364" s="44" t="str">
        <f>IFERROR(__xludf.DUMMYFUNCTION("""COMPUTED_VALUE""")," ")</f>
        <v> </v>
      </c>
      <c r="J364" s="44" t="str">
        <f>IFERROR(__xludf.DUMMYFUNCTION("""COMPUTED_VALUE"""),"")</f>
        <v/>
      </c>
      <c r="K364" s="42" t="str">
        <f>IFERROR(__xludf.DUMMYFUNCTION("""COMPUTED_VALUE"""),"Hospital Vargas de Caracas")</f>
        <v>Hospital Vargas de Caracas</v>
      </c>
    </row>
    <row r="365">
      <c r="A365" s="44">
        <v>364.0</v>
      </c>
      <c r="B365" s="44" t="str">
        <f>IFERROR(__xludf.DUMMYFUNCTION("""COMPUTED_VALUE"""),"Hospital Dr. José Gregorio Hern")</f>
        <v>Hospital Dr. José Gregorio Hern</v>
      </c>
      <c r="C365" s="45" t="str">
        <f>IFERROR(__xludf.DUMMYFUNCTION("""COMPUTED_VALUE"""),"PERA CARLOS")</f>
        <v>PERA CARLOS</v>
      </c>
      <c r="D365" s="44">
        <f>IFERROR(__xludf.DUMMYFUNCTION("""COMPUTED_VALUE"""),47.0)</f>
        <v>47</v>
      </c>
      <c r="E365" s="44" t="str">
        <f>IFERROR(__xludf.DUMMYFUNCTION("""COMPUTED_VALUE"""),"18822791")</f>
        <v>18822791</v>
      </c>
      <c r="F365" s="44" t="str">
        <f>IFERROR(__xludf.DUMMYFUNCTION("""COMPUTED_VALUE"""),"")</f>
        <v/>
      </c>
      <c r="G365" s="44" t="str">
        <f>IFERROR(__xludf.DUMMYFUNCTION("""COMPUTED_VALUE""")," ")</f>
        <v> </v>
      </c>
      <c r="H365" s="44" t="str">
        <f>IFERROR(__xludf.DUMMYFUNCTION("""COMPUTED_VALUE"""),"Catia")</f>
        <v>Catia</v>
      </c>
      <c r="I365" s="44" t="str">
        <f>IFERROR(__xludf.DUMMYFUNCTION("""COMPUTED_VALUE""")," ")</f>
        <v> </v>
      </c>
      <c r="J365" s="44" t="str">
        <f>IFERROR(__xludf.DUMMYFUNCTION("""COMPUTED_VALUE"""),"")</f>
        <v/>
      </c>
      <c r="K365" s="42" t="str">
        <f>IFERROR(__xludf.DUMMYFUNCTION("""COMPUTED_VALUE"""),"Hospital Dr. José Gregorio Hern")</f>
        <v>Hospital Dr. José Gregorio Hern</v>
      </c>
    </row>
    <row r="366">
      <c r="A366" s="44">
        <v>365.0</v>
      </c>
      <c r="B366" s="44" t="str">
        <f>IFERROR(__xludf.DUMMYFUNCTION("""COMPUTED_VALUE"""),"Hospital Pérez Carreño")</f>
        <v>Hospital Pérez Carreño</v>
      </c>
      <c r="C366" s="45" t="str">
        <f>IFERROR(__xludf.DUMMYFUNCTION("""COMPUTED_VALUE"""),"MARAECO YENNI")</f>
        <v>MARAECO YENNI</v>
      </c>
      <c r="D366" s="44" t="str">
        <f>IFERROR(__xludf.DUMMYFUNCTION("""COMPUTED_VALUE""")," ")</f>
        <v> </v>
      </c>
      <c r="E366" s="44" t="str">
        <f>IFERROR(__xludf.DUMMYFUNCTION("""COMPUTED_VALUE"""),"18834289")</f>
        <v>18834289</v>
      </c>
      <c r="F366" s="44" t="str">
        <f>IFERROR(__xludf.DUMMYFUNCTION("""COMPUTED_VALUE"""),"")</f>
        <v/>
      </c>
      <c r="G366" s="44" t="str">
        <f>IFERROR(__xludf.DUMMYFUNCTION("""COMPUTED_VALUE""")," ")</f>
        <v> </v>
      </c>
      <c r="H366" s="44" t="str">
        <f>IFERROR(__xludf.DUMMYFUNCTION("""COMPUTED_VALUE""")," ")</f>
        <v> </v>
      </c>
      <c r="I366" s="44" t="str">
        <f>IFERROR(__xludf.DUMMYFUNCTION("""COMPUTED_VALUE"""),"Internado")</f>
        <v>Internado</v>
      </c>
      <c r="J366" s="44" t="str">
        <f>IFERROR(__xludf.DUMMYFUNCTION("""COMPUTED_VALUE"""),"25/06/2026")</f>
        <v>25/06/2026</v>
      </c>
      <c r="K366" s="42" t="str">
        <f>IFERROR(__xludf.DUMMYFUNCTION("""COMPUTED_VALUE"""),"Hospital Pérez Carreño")</f>
        <v>Hospital Pérez Carreño</v>
      </c>
    </row>
    <row r="367">
      <c r="A367" s="44">
        <v>366.0</v>
      </c>
      <c r="B367" s="44" t="str">
        <f>IFERROR(__xludf.DUMMYFUNCTION("""COMPUTED_VALUE"""),"Periférico de Catia")</f>
        <v>Periférico de Catia</v>
      </c>
      <c r="C367" s="45" t="str">
        <f>IFERROR(__xludf.DUMMYFUNCTION("""COMPUTED_VALUE"""),"MARISOL COLMENARES")</f>
        <v>MARISOL COLMENARES</v>
      </c>
      <c r="D367" s="44">
        <f>IFERROR(__xludf.DUMMYFUNCTION("""COMPUTED_VALUE"""),40.0)</f>
        <v>40</v>
      </c>
      <c r="E367" s="44" t="str">
        <f>IFERROR(__xludf.DUMMYFUNCTION("""COMPUTED_VALUE"""),"189156760")</f>
        <v>189156760</v>
      </c>
      <c r="F367" s="44" t="str">
        <f>IFERROR(__xludf.DUMMYFUNCTION("""COMPUTED_VALUE"""),"")</f>
        <v/>
      </c>
      <c r="G367" s="44" t="str">
        <f>IFERROR(__xludf.DUMMYFUNCTION("""COMPUTED_VALUE""")," ")</f>
        <v> </v>
      </c>
      <c r="H367" s="44" t="str">
        <f>IFERROR(__xludf.DUMMYFUNCTION("""COMPUTED_VALUE"""),"Caracas")</f>
        <v>Caracas</v>
      </c>
      <c r="I367" s="44" t="str">
        <f>IFERROR(__xludf.DUMMYFUNCTION("""COMPUTED_VALUE"""),"Sin información")</f>
        <v>Sin información</v>
      </c>
      <c r="J367" s="44" t="str">
        <f>IFERROR(__xludf.DUMMYFUNCTION("""COMPUTED_VALUE"""),"")</f>
        <v/>
      </c>
      <c r="K367" s="42" t="str">
        <f>IFERROR(__xludf.DUMMYFUNCTION("""COMPUTED_VALUE"""),"Periférico de Catia")</f>
        <v>Periférico de Catia</v>
      </c>
    </row>
    <row r="368">
      <c r="A368" s="44">
        <v>367.0</v>
      </c>
      <c r="B368" s="44" t="str">
        <f>IFERROR(__xludf.DUMMYFUNCTION("""COMPUTED_VALUE"""),"H. Jose Maria Vargas LG")</f>
        <v>H. Jose Maria Vargas LG</v>
      </c>
      <c r="C368" s="45" t="str">
        <f>IFERROR(__xludf.DUMMYFUNCTION("""COMPUTED_VALUE"""),"TORRES RAUL")</f>
        <v>TORRES RAUL</v>
      </c>
      <c r="D368" s="44" t="str">
        <f>IFERROR(__xludf.DUMMYFUNCTION("""COMPUTED_VALUE""")," ")</f>
        <v> </v>
      </c>
      <c r="E368" s="44" t="str">
        <f>IFERROR(__xludf.DUMMYFUNCTION("""COMPUTED_VALUE"""),"18923829")</f>
        <v>18923829</v>
      </c>
      <c r="F368" s="44" t="str">
        <f>IFERROR(__xludf.DUMMYFUNCTION("""COMPUTED_VALUE"""),"")</f>
        <v/>
      </c>
      <c r="G368" s="44" t="str">
        <f>IFERROR(__xludf.DUMMYFUNCTION("""COMPUTED_VALUE""")," ")</f>
        <v> </v>
      </c>
      <c r="H368" s="44" t="str">
        <f>IFERROR(__xludf.DUMMYFUNCTION("""COMPUTED_VALUE"""),"Negra Hipolita")</f>
        <v>Negra Hipolita</v>
      </c>
      <c r="I368" s="44" t="str">
        <f>IFERROR(__xludf.DUMMYFUNCTION("""COMPUTED_VALUE""")," ")</f>
        <v> </v>
      </c>
      <c r="J368" s="44" t="str">
        <f>IFERROR(__xludf.DUMMYFUNCTION("""COMPUTED_VALUE"""),"")</f>
        <v/>
      </c>
      <c r="K368" s="42" t="str">
        <f>IFERROR(__xludf.DUMMYFUNCTION("""COMPUTED_VALUE"""),"H. Jose Maria Vargas LG")</f>
        <v>H. Jose Maria Vargas LG</v>
      </c>
    </row>
    <row r="369">
      <c r="A369" s="44">
        <v>368.0</v>
      </c>
      <c r="B369" s="44" t="str">
        <f>IFERROR(__xludf.DUMMYFUNCTION("""COMPUTED_VALUE"""),"Seguro Social La Guaira")</f>
        <v>Seguro Social La Guaira</v>
      </c>
      <c r="C369" s="45" t="str">
        <f>IFERROR(__xludf.DUMMYFUNCTION("""COMPUTED_VALUE"""),"RAUL TORRES")</f>
        <v>RAUL TORRES</v>
      </c>
      <c r="D369" s="44" t="str">
        <f>IFERROR(__xludf.DUMMYFUNCTION("""COMPUTED_VALUE""")," ")</f>
        <v> </v>
      </c>
      <c r="E369" s="44" t="str">
        <f>IFERROR(__xludf.DUMMYFUNCTION("""COMPUTED_VALUE"""),"189238290")</f>
        <v>189238290</v>
      </c>
      <c r="F369" s="44" t="str">
        <f>IFERROR(__xludf.DUMMYFUNCTION("""COMPUTED_VALUE"""),"")</f>
        <v/>
      </c>
      <c r="G369" s="44" t="str">
        <f>IFERROR(__xludf.DUMMYFUNCTION("""COMPUTED_VALUE""")," ")</f>
        <v> </v>
      </c>
      <c r="H369" s="44" t="str">
        <f>IFERROR(__xludf.DUMMYFUNCTION("""COMPUTED_VALUE"""),"Negra Hipolita")</f>
        <v>Negra Hipolita</v>
      </c>
      <c r="I369" s="44" t="str">
        <f>IFERROR(__xludf.DUMMYFUNCTION("""COMPUTED_VALUE""")," ")</f>
        <v> </v>
      </c>
      <c r="J369" s="44" t="str">
        <f>IFERROR(__xludf.DUMMYFUNCTION("""COMPUTED_VALUE"""),"")</f>
        <v/>
      </c>
      <c r="K369" s="42" t="str">
        <f>IFERROR(__xludf.DUMMYFUNCTION("""COMPUTED_VALUE"""),"Seguro Social La Guaira")</f>
        <v>Seguro Social La Guaira</v>
      </c>
    </row>
    <row r="370">
      <c r="A370" s="44">
        <v>369.0</v>
      </c>
      <c r="B370" s="44" t="str">
        <f>IFERROR(__xludf.DUMMYFUNCTION("""COMPUTED_VALUE"""),"H. Jose Maria Vargas LG")</f>
        <v>H. Jose Maria Vargas LG</v>
      </c>
      <c r="C370" s="45" t="str">
        <f>IFERROR(__xludf.DUMMYFUNCTION("""COMPUTED_VALUE"""),"FERNANDEZ GERALDINE")</f>
        <v>FERNANDEZ GERALDINE</v>
      </c>
      <c r="D370" s="44" t="str">
        <f>IFERROR(__xludf.DUMMYFUNCTION("""COMPUTED_VALUE""")," ")</f>
        <v> </v>
      </c>
      <c r="E370" s="44" t="str">
        <f>IFERROR(__xludf.DUMMYFUNCTION("""COMPUTED_VALUE"""),"18975095")</f>
        <v>18975095</v>
      </c>
      <c r="F370" s="44" t="str">
        <f>IFERROR(__xludf.DUMMYFUNCTION("""COMPUTED_VALUE"""),"")</f>
        <v/>
      </c>
      <c r="G370" s="44" t="str">
        <f>IFERROR(__xludf.DUMMYFUNCTION("""COMPUTED_VALUE""")," ")</f>
        <v> </v>
      </c>
      <c r="H370" s="44" t="str">
        <f>IFERROR(__xludf.DUMMYFUNCTION("""COMPUTED_VALUE"""),"Los Corales")</f>
        <v>Los Corales</v>
      </c>
      <c r="I370" s="44" t="str">
        <f>IFERROR(__xludf.DUMMYFUNCTION("""COMPUTED_VALUE""")," ")</f>
        <v> </v>
      </c>
      <c r="J370" s="44" t="str">
        <f>IFERROR(__xludf.DUMMYFUNCTION("""COMPUTED_VALUE"""),"")</f>
        <v/>
      </c>
      <c r="K370" s="42" t="str">
        <f>IFERROR(__xludf.DUMMYFUNCTION("""COMPUTED_VALUE"""),"H. Jose Maria Vargas LG")</f>
        <v>H. Jose Maria Vargas LG</v>
      </c>
    </row>
    <row r="371">
      <c r="A371" s="44">
        <v>370.0</v>
      </c>
      <c r="B371" s="44" t="str">
        <f>IFERROR(__xludf.DUMMYFUNCTION("""COMPUTED_VALUE"""),"Hospital Militar Dr. C. Arvelo")</f>
        <v>Hospital Militar Dr. C. Arvelo</v>
      </c>
      <c r="C371" s="45" t="str">
        <f>IFERROR(__xludf.DUMMYFUNCTION("""COMPUTED_VALUE"""),"Anzendi Jonathan")</f>
        <v>Anzendi Jonathan</v>
      </c>
      <c r="D371" s="44">
        <f>IFERROR(__xludf.DUMMYFUNCTION("""COMPUTED_VALUE"""),47.0)</f>
        <v>47</v>
      </c>
      <c r="E371" s="44" t="str">
        <f>IFERROR(__xludf.DUMMYFUNCTION("""COMPUTED_VALUE"""),"19035791")</f>
        <v>19035791</v>
      </c>
      <c r="F371" s="44" t="str">
        <f>IFERROR(__xludf.DUMMYFUNCTION("""COMPUTED_VALUE"""),"")</f>
        <v/>
      </c>
      <c r="G371" s="44" t="str">
        <f>IFERROR(__xludf.DUMMYFUNCTION("""COMPUTED_VALUE"""),"")</f>
        <v/>
      </c>
      <c r="H371" s="44" t="str">
        <f>IFERROR(__xludf.DUMMYFUNCTION("""COMPUTED_VALUE"""),"M")</f>
        <v>M</v>
      </c>
      <c r="I371" s="44" t="str">
        <f>IFERROR(__xludf.DUMMYFUNCTION("""COMPUTED_VALUE"""),"La Guaira S/P GNB")</f>
        <v>La Guaira S/P GNB</v>
      </c>
      <c r="J371" s="44" t="str">
        <f>IFERROR(__xludf.DUMMYFUNCTION("""COMPUTED_VALUE"""),"24/6/2026")</f>
        <v>24/6/2026</v>
      </c>
      <c r="K371" s="42" t="str">
        <f>IFERROR(__xludf.DUMMYFUNCTION("""COMPUTED_VALUE"""),"Hospital Militar Dr. C. Arvelo")</f>
        <v>Hospital Militar Dr. C. Arvelo</v>
      </c>
    </row>
    <row r="372">
      <c r="A372" s="44">
        <v>371.0</v>
      </c>
      <c r="B372" s="44" t="str">
        <f>IFERROR(__xludf.DUMMYFUNCTION("""COMPUTED_VALUE"""),"Hospital Pérez Carreño")</f>
        <v>Hospital Pérez Carreño</v>
      </c>
      <c r="C372" s="45" t="str">
        <f>IFERROR(__xludf.DUMMYFUNCTION("""COMPUTED_VALUE"""),"DAVILA MARLENE")</f>
        <v>DAVILA MARLENE</v>
      </c>
      <c r="D372" s="44" t="str">
        <f>IFERROR(__xludf.DUMMYFUNCTION("""COMPUTED_VALUE""")," ")</f>
        <v> </v>
      </c>
      <c r="E372" s="44" t="str">
        <f>IFERROR(__xludf.DUMMYFUNCTION("""COMPUTED_VALUE"""),"19102824")</f>
        <v>19102824</v>
      </c>
      <c r="F372" s="44" t="str">
        <f>IFERROR(__xludf.DUMMYFUNCTION("""COMPUTED_VALUE"""),"")</f>
        <v/>
      </c>
      <c r="G372" s="44" t="str">
        <f>IFERROR(__xludf.DUMMYFUNCTION("""COMPUTED_VALUE""")," ")</f>
        <v> </v>
      </c>
      <c r="H372" s="44" t="str">
        <f>IFERROR(__xludf.DUMMYFUNCTION("""COMPUTED_VALUE""")," ")</f>
        <v> </v>
      </c>
      <c r="I372" s="44" t="str">
        <f>IFERROR(__xludf.DUMMYFUNCTION("""COMPUTED_VALUE""")," ")</f>
        <v> </v>
      </c>
      <c r="J372" s="44" t="str">
        <f>IFERROR(__xludf.DUMMYFUNCTION("""COMPUTED_VALUE"""),"25/06/2026")</f>
        <v>25/06/2026</v>
      </c>
      <c r="K372" s="42" t="str">
        <f>IFERROR(__xludf.DUMMYFUNCTION("""COMPUTED_VALUE"""),"Hospital Pérez Carreño")</f>
        <v>Hospital Pérez Carreño</v>
      </c>
    </row>
    <row r="373">
      <c r="A373" s="44">
        <v>372.0</v>
      </c>
      <c r="B373" s="44" t="str">
        <f>IFERROR(__xludf.DUMMYFUNCTION("""COMPUTED_VALUE"""),"Hospital Pérez Carreño")</f>
        <v>Hospital Pérez Carreño</v>
      </c>
      <c r="C373" s="45" t="str">
        <f>IFERROR(__xludf.DUMMYFUNCTION("""COMPUTED_VALUE"""),"MARLENE DAVILA")</f>
        <v>MARLENE DAVILA</v>
      </c>
      <c r="D373" s="44" t="str">
        <f>IFERROR(__xludf.DUMMYFUNCTION("""COMPUTED_VALUE""")," ")</f>
        <v> </v>
      </c>
      <c r="E373" s="44" t="str">
        <f>IFERROR(__xludf.DUMMYFUNCTION("""COMPUTED_VALUE"""),"191028240")</f>
        <v>191028240</v>
      </c>
      <c r="F373" s="44" t="str">
        <f>IFERROR(__xludf.DUMMYFUNCTION("""COMPUTED_VALUE"""),"")</f>
        <v/>
      </c>
      <c r="G373" s="44" t="str">
        <f>IFERROR(__xludf.DUMMYFUNCTION("""COMPUTED_VALUE""")," ")</f>
        <v> </v>
      </c>
      <c r="H373" s="44" t="str">
        <f>IFERROR(__xludf.DUMMYFUNCTION("""COMPUTED_VALUE""")," ")</f>
        <v> </v>
      </c>
      <c r="I373" s="44" t="str">
        <f>IFERROR(__xludf.DUMMYFUNCTION("""COMPUTED_VALUE""")," ")</f>
        <v> </v>
      </c>
      <c r="J373" s="44" t="str">
        <f>IFERROR(__xludf.DUMMYFUNCTION("""COMPUTED_VALUE"""),"25/06/2026")</f>
        <v>25/06/2026</v>
      </c>
      <c r="K373" s="42" t="str">
        <f>IFERROR(__xludf.DUMMYFUNCTION("""COMPUTED_VALUE"""),"Hospital Pérez Carreño")</f>
        <v>Hospital Pérez Carreño</v>
      </c>
    </row>
    <row r="374">
      <c r="A374" s="44">
        <v>373.0</v>
      </c>
      <c r="B374" s="44" t="str">
        <f>IFERROR(__xludf.DUMMYFUNCTION("""COMPUTED_VALUE"""),"H. Jose Maria Vargas LG")</f>
        <v>H. Jose Maria Vargas LG</v>
      </c>
      <c r="C374" s="45" t="str">
        <f>IFERROR(__xludf.DUMMYFUNCTION("""COMPUTED_VALUE"""),"CORDERO CHARLES")</f>
        <v>CORDERO CHARLES</v>
      </c>
      <c r="D374" s="44" t="str">
        <f>IFERROR(__xludf.DUMMYFUNCTION("""COMPUTED_VALUE""")," ")</f>
        <v> </v>
      </c>
      <c r="E374" s="44" t="str">
        <f>IFERROR(__xludf.DUMMYFUNCTION("""COMPUTED_VALUE"""),"19122329")</f>
        <v>19122329</v>
      </c>
      <c r="F374" s="44" t="str">
        <f>IFERROR(__xludf.DUMMYFUNCTION("""COMPUTED_VALUE"""),"")</f>
        <v/>
      </c>
      <c r="G374" s="44" t="str">
        <f>IFERROR(__xludf.DUMMYFUNCTION("""COMPUTED_VALUE""")," ")</f>
        <v> </v>
      </c>
      <c r="H374" s="44" t="str">
        <f>IFERROR(__xludf.DUMMYFUNCTION("""COMPUTED_VALUE""")," ")</f>
        <v> </v>
      </c>
      <c r="I374" s="44" t="str">
        <f>IFERROR(__xludf.DUMMYFUNCTION("""COMPUTED_VALUE""")," ")</f>
        <v> </v>
      </c>
      <c r="J374" s="44" t="str">
        <f>IFERROR(__xludf.DUMMYFUNCTION("""COMPUTED_VALUE"""),"")</f>
        <v/>
      </c>
      <c r="K374" s="42" t="str">
        <f>IFERROR(__xludf.DUMMYFUNCTION("""COMPUTED_VALUE"""),"H. Jose Maria Vargas LG")</f>
        <v>H. Jose Maria Vargas LG</v>
      </c>
    </row>
    <row r="375">
      <c r="A375" s="44">
        <v>374.0</v>
      </c>
      <c r="B375" s="44" t="str">
        <f>IFERROR(__xludf.DUMMYFUNCTION("""COMPUTED_VALUE"""),"Hospital Militar Dr. C. Arvelo")</f>
        <v>Hospital Militar Dr. C. Arvelo</v>
      </c>
      <c r="C375" s="45" t="str">
        <f>IFERROR(__xludf.DUMMYFUNCTION("""COMPUTED_VALUE"""),"Jusmary Tovar")</f>
        <v>Jusmary Tovar</v>
      </c>
      <c r="D375" s="44">
        <f>IFERROR(__xludf.DUMMYFUNCTION("""COMPUTED_VALUE"""),37.0)</f>
        <v>37</v>
      </c>
      <c r="E375" s="44" t="str">
        <f>IFERROR(__xludf.DUMMYFUNCTION("""COMPUTED_VALUE"""),"19272179")</f>
        <v>19272179</v>
      </c>
      <c r="F375" s="44" t="str">
        <f>IFERROR(__xludf.DUMMYFUNCTION("""COMPUTED_VALUE"""),"")</f>
        <v/>
      </c>
      <c r="G375" s="44" t="str">
        <f>IFERROR(__xludf.DUMMYFUNCTION("""COMPUTED_VALUE"""),"")</f>
        <v/>
      </c>
      <c r="H375" s="44" t="str">
        <f>IFERROR(__xludf.DUMMYFUNCTION("""COMPUTED_VALUE"""),"F")</f>
        <v>F</v>
      </c>
      <c r="I375" s="44" t="str">
        <f>IFERROR(__xludf.DUMMYFUNCTION("""COMPUTED_VALUE"""),"La Guaira PNA")</f>
        <v>La Guaira PNA</v>
      </c>
      <c r="J375" s="44" t="str">
        <f>IFERROR(__xludf.DUMMYFUNCTION("""COMPUTED_VALUE"""),"24/6/2026")</f>
        <v>24/6/2026</v>
      </c>
      <c r="K375" s="42" t="str">
        <f>IFERROR(__xludf.DUMMYFUNCTION("""COMPUTED_VALUE"""),"Hospital Militar Dr. C. Arvelo")</f>
        <v>Hospital Militar Dr. C. Arvelo</v>
      </c>
    </row>
    <row r="376">
      <c r="A376" s="44">
        <v>375.0</v>
      </c>
      <c r="B376" s="44" t="str">
        <f>IFERROR(__xludf.DUMMYFUNCTION("""COMPUTED_VALUE"""),"Hospital Pérez Carreño")</f>
        <v>Hospital Pérez Carreño</v>
      </c>
      <c r="C376" s="45" t="str">
        <f>IFERROR(__xludf.DUMMYFUNCTION("""COMPUTED_VALUE"""),"MARTINEZ WILLIAM JOSE")</f>
        <v>MARTINEZ WILLIAM JOSE</v>
      </c>
      <c r="D376" s="44" t="str">
        <f>IFERROR(__xludf.DUMMYFUNCTION("""COMPUTED_VALUE""")," ")</f>
        <v> </v>
      </c>
      <c r="E376" s="44" t="str">
        <f>IFERROR(__xludf.DUMMYFUNCTION("""COMPUTED_VALUE"""),"19367804")</f>
        <v>19367804</v>
      </c>
      <c r="F376" s="44" t="str">
        <f>IFERROR(__xludf.DUMMYFUNCTION("""COMPUTED_VALUE"""),"")</f>
        <v/>
      </c>
      <c r="G376" s="44" t="str">
        <f>IFERROR(__xludf.DUMMYFUNCTION("""COMPUTED_VALUE""")," ")</f>
        <v> </v>
      </c>
      <c r="H376" s="44" t="str">
        <f>IFERROR(__xludf.DUMMYFUNCTION("""COMPUTED_VALUE""")," ")</f>
        <v> </v>
      </c>
      <c r="I376" s="44" t="str">
        <f>IFERROR(__xludf.DUMMYFUNCTION("""COMPUTED_VALUE""")," ")</f>
        <v> </v>
      </c>
      <c r="J376" s="44" t="str">
        <f>IFERROR(__xludf.DUMMYFUNCTION("""COMPUTED_VALUE"""),"25/06/2026")</f>
        <v>25/06/2026</v>
      </c>
      <c r="K376" s="42" t="str">
        <f>IFERROR(__xludf.DUMMYFUNCTION("""COMPUTED_VALUE"""),"Hospital Pérez Carreño")</f>
        <v>Hospital Pérez Carreño</v>
      </c>
    </row>
    <row r="377">
      <c r="A377" s="44">
        <v>376.0</v>
      </c>
      <c r="B377" s="44" t="str">
        <f>IFERROR(__xludf.DUMMYFUNCTION("""COMPUTED_VALUE"""),"Hospital Pérez Carreño")</f>
        <v>Hospital Pérez Carreño</v>
      </c>
      <c r="C377" s="45" t="str">
        <f>IFERROR(__xludf.DUMMYFUNCTION("""COMPUTED_VALUE"""),"WILLIAMS MARTINEZ")</f>
        <v>WILLIAMS MARTINEZ</v>
      </c>
      <c r="D377" s="44" t="str">
        <f>IFERROR(__xludf.DUMMYFUNCTION("""COMPUTED_VALUE"""),"Sin información")</f>
        <v>Sin información</v>
      </c>
      <c r="E377" s="44" t="str">
        <f>IFERROR(__xludf.DUMMYFUNCTION("""COMPUTED_VALUE"""),"193678640")</f>
        <v>193678640</v>
      </c>
      <c r="F377" s="44" t="str">
        <f>IFERROR(__xludf.DUMMYFUNCTION("""COMPUTED_VALUE"""),"")</f>
        <v/>
      </c>
      <c r="G377" s="44" t="str">
        <f>IFERROR(__xludf.DUMMYFUNCTION("""COMPUTED_VALUE""")," ")</f>
        <v> </v>
      </c>
      <c r="H377" s="44" t="str">
        <f>IFERROR(__xludf.DUMMYFUNCTION("""COMPUTED_VALUE"""),"Sin información")</f>
        <v>Sin información</v>
      </c>
      <c r="I377" s="44" t="str">
        <f>IFERROR(__xludf.DUMMYFUNCTION("""COMPUTED_VALUE"""),"Sin información |  ")</f>
        <v>Sin información |  </v>
      </c>
      <c r="J377" s="44" t="str">
        <f>IFERROR(__xludf.DUMMYFUNCTION("""COMPUTED_VALUE"""),"25/06/2026")</f>
        <v>25/06/2026</v>
      </c>
      <c r="K377" s="42" t="str">
        <f>IFERROR(__xludf.DUMMYFUNCTION("""COMPUTED_VALUE"""),"Hospital Pérez Carreño")</f>
        <v>Hospital Pérez Carreño</v>
      </c>
    </row>
    <row r="378">
      <c r="A378" s="44">
        <v>377.0</v>
      </c>
      <c r="B378" s="44" t="str">
        <f>IFERROR(__xludf.DUMMYFUNCTION("""COMPUTED_VALUE"""),"Cruz Roja")</f>
        <v>Cruz Roja</v>
      </c>
      <c r="C378" s="45" t="str">
        <f>IFERROR(__xludf.DUMMYFUNCTION("""COMPUTED_VALUE"""),"DE QUERALES YONEIDA")</f>
        <v>DE QUERALES YONEIDA</v>
      </c>
      <c r="D378" s="44">
        <f>IFERROR(__xludf.DUMMYFUNCTION("""COMPUTED_VALUE"""),35.0)</f>
        <v>35</v>
      </c>
      <c r="E378" s="44" t="str">
        <f>IFERROR(__xludf.DUMMYFUNCTION("""COMPUTED_VALUE"""),"19391490")</f>
        <v>19391490</v>
      </c>
      <c r="F378" s="44" t="str">
        <f>IFERROR(__xludf.DUMMYFUNCTION("""COMPUTED_VALUE"""),"")</f>
        <v/>
      </c>
      <c r="G378" s="44" t="str">
        <f>IFERROR(__xludf.DUMMYFUNCTION("""COMPUTED_VALUE""")," ")</f>
        <v> </v>
      </c>
      <c r="H378" s="44" t="str">
        <f>IFERROR(__xludf.DUMMYFUNCTION("""COMPUTED_VALUE""")," ")</f>
        <v> </v>
      </c>
      <c r="I378" s="44" t="str">
        <f>IFERROR(__xludf.DUMMYFUNCTION("""COMPUTED_VALUE"""),"Internado")</f>
        <v>Internado</v>
      </c>
      <c r="J378" s="44" t="str">
        <f>IFERROR(__xludf.DUMMYFUNCTION("""COMPUTED_VALUE"""),"")</f>
        <v/>
      </c>
      <c r="K378" s="42" t="str">
        <f>IFERROR(__xludf.DUMMYFUNCTION("""COMPUTED_VALUE"""),"Cruz Roja")</f>
        <v>Cruz Roja</v>
      </c>
    </row>
    <row r="379">
      <c r="A379" s="44">
        <v>378.0</v>
      </c>
      <c r="B379" s="44" t="str">
        <f>IFERROR(__xludf.DUMMYFUNCTION("""COMPUTED_VALUE"""),"Hospital Vargas de Caracas")</f>
        <v>Hospital Vargas de Caracas</v>
      </c>
      <c r="C379" s="45" t="str">
        <f>IFERROR(__xludf.DUMMYFUNCTION("""COMPUTED_VALUE"""),"DENIS RUJA")</f>
        <v>DENIS RUJA</v>
      </c>
      <c r="D379" s="44">
        <f>IFERROR(__xludf.DUMMYFUNCTION("""COMPUTED_VALUE"""),41.0)</f>
        <v>41</v>
      </c>
      <c r="E379" s="44" t="str">
        <f>IFERROR(__xludf.DUMMYFUNCTION("""COMPUTED_VALUE"""),"19445341")</f>
        <v>19445341</v>
      </c>
      <c r="F379" s="44" t="str">
        <f>IFERROR(__xludf.DUMMYFUNCTION("""COMPUTED_VALUE""")," ")</f>
        <v> </v>
      </c>
      <c r="G379" s="44" t="str">
        <f>IFERROR(__xludf.DUMMYFUNCTION("""COMPUTED_VALUE"""),"")</f>
        <v/>
      </c>
      <c r="H379" s="44" t="str">
        <f>IFERROR(__xludf.DUMMYFUNCTION("""COMPUTED_VALUE"""),"La Guaira")</f>
        <v>La Guaira</v>
      </c>
      <c r="I379" s="44" t="str">
        <f>IFERROR(__xludf.DUMMYFUNCTION("""COMPUTED_VALUE"""),"UPT")</f>
        <v>UPT</v>
      </c>
      <c r="J379" s="44" t="str">
        <f>IFERROR(__xludf.DUMMYFUNCTION("""COMPUTED_VALUE"""),"")</f>
        <v/>
      </c>
      <c r="K379" s="42" t="str">
        <f>IFERROR(__xludf.DUMMYFUNCTION("""COMPUTED_VALUE"""),"Hospital Vargas de Caracas")</f>
        <v>Hospital Vargas de Caracas</v>
      </c>
    </row>
    <row r="380">
      <c r="A380" s="44">
        <v>379.0</v>
      </c>
      <c r="B380" s="44" t="str">
        <f>IFERROR(__xludf.DUMMYFUNCTION("""COMPUTED_VALUE"""),"Hospital Militar Dr. C. Arvelo")</f>
        <v>Hospital Militar Dr. C. Arvelo</v>
      </c>
      <c r="C380" s="45" t="str">
        <f>IFERROR(__xludf.DUMMYFUNCTION("""COMPUTED_VALUE"""),"Garazo Andrea")</f>
        <v>Garazo Andrea</v>
      </c>
      <c r="D380" s="44">
        <f>IFERROR(__xludf.DUMMYFUNCTION("""COMPUTED_VALUE"""),34.0)</f>
        <v>34</v>
      </c>
      <c r="E380" s="44" t="str">
        <f>IFERROR(__xludf.DUMMYFUNCTION("""COMPUTED_VALUE"""),"19445453")</f>
        <v>19445453</v>
      </c>
      <c r="F380" s="44" t="str">
        <f>IFERROR(__xludf.DUMMYFUNCTION("""COMPUTED_VALUE"""),"")</f>
        <v/>
      </c>
      <c r="G380" s="44" t="str">
        <f>IFERROR(__xludf.DUMMYFUNCTION("""COMPUTED_VALUE"""),"")</f>
        <v/>
      </c>
      <c r="H380" s="44" t="str">
        <f>IFERROR(__xludf.DUMMYFUNCTION("""COMPUTED_VALUE"""),"F")</f>
        <v>F</v>
      </c>
      <c r="I380" s="44" t="str">
        <f>IFERROR(__xludf.DUMMYFUNCTION("""COMPUTED_VALUE"""),"La Guaira PNA")</f>
        <v>La Guaira PNA</v>
      </c>
      <c r="J380" s="44" t="str">
        <f>IFERROR(__xludf.DUMMYFUNCTION("""COMPUTED_VALUE"""),"24/6/2026")</f>
        <v>24/6/2026</v>
      </c>
      <c r="K380" s="42" t="str">
        <f>IFERROR(__xludf.DUMMYFUNCTION("""COMPUTED_VALUE"""),"Hospital Militar Dr. C. Arvelo")</f>
        <v>Hospital Militar Dr. C. Arvelo</v>
      </c>
    </row>
    <row r="381">
      <c r="A381" s="44">
        <v>380.0</v>
      </c>
      <c r="B381" s="44" t="str">
        <f>IFERROR(__xludf.DUMMYFUNCTION("""COMPUTED_VALUE"""),"Hospital Militar Dr. C. Arvelo")</f>
        <v>Hospital Militar Dr. C. Arvelo</v>
      </c>
      <c r="C381" s="45" t="str">
        <f>IFERROR(__xludf.DUMMYFUNCTION("""COMPUTED_VALUE"""),"López Yeisal")</f>
        <v>López Yeisal</v>
      </c>
      <c r="D381" s="44">
        <f>IFERROR(__xludf.DUMMYFUNCTION("""COMPUTED_VALUE"""),37.0)</f>
        <v>37</v>
      </c>
      <c r="E381" s="44" t="str">
        <f>IFERROR(__xludf.DUMMYFUNCTION("""COMPUTED_VALUE"""),"19477270")</f>
        <v>19477270</v>
      </c>
      <c r="F381" s="44" t="str">
        <f>IFERROR(__xludf.DUMMYFUNCTION("""COMPUTED_VALUE"""),"")</f>
        <v/>
      </c>
      <c r="G381" s="44" t="str">
        <f>IFERROR(__xludf.DUMMYFUNCTION("""COMPUTED_VALUE"""),"")</f>
        <v/>
      </c>
      <c r="H381" s="44" t="str">
        <f>IFERROR(__xludf.DUMMYFUNCTION("""COMPUTED_VALUE"""),"F")</f>
        <v>F</v>
      </c>
      <c r="I381" s="44" t="str">
        <f>IFERROR(__xludf.DUMMYFUNCTION("""COMPUTED_VALUE"""),"La Guaira PNA")</f>
        <v>La Guaira PNA</v>
      </c>
      <c r="J381" s="44" t="str">
        <f>IFERROR(__xludf.DUMMYFUNCTION("""COMPUTED_VALUE"""),"24/6/2026")</f>
        <v>24/6/2026</v>
      </c>
      <c r="K381" s="42" t="str">
        <f>IFERROR(__xludf.DUMMYFUNCTION("""COMPUTED_VALUE"""),"Hospital Militar Dr. C. Arvelo")</f>
        <v>Hospital Militar Dr. C. Arvelo</v>
      </c>
    </row>
    <row r="382">
      <c r="A382" s="44">
        <v>381.0</v>
      </c>
      <c r="B382" s="44" t="str">
        <f>IFERROR(__xludf.DUMMYFUNCTION("""COMPUTED_VALUE"""),"Hospital Vargas de Caracas")</f>
        <v>Hospital Vargas de Caracas</v>
      </c>
      <c r="C382" s="45" t="str">
        <f>IFERROR(__xludf.DUMMYFUNCTION("""COMPUTED_VALUE"""),"LLAVES HECTOR")</f>
        <v>LLAVES HECTOR</v>
      </c>
      <c r="D382" s="44" t="str">
        <f>IFERROR(__xludf.DUMMYFUNCTION("""COMPUTED_VALUE""")," ")</f>
        <v> </v>
      </c>
      <c r="E382" s="44" t="str">
        <f>IFERROR(__xludf.DUMMYFUNCTION("""COMPUTED_VALUE"""),"19606465")</f>
        <v>19606465</v>
      </c>
      <c r="F382" s="44" t="str">
        <f>IFERROR(__xludf.DUMMYFUNCTION("""COMPUTED_VALUE""")," ")</f>
        <v> </v>
      </c>
      <c r="G382" s="44" t="str">
        <f>IFERROR(__xludf.DUMMYFUNCTION("""COMPUTED_VALUE"""),"")</f>
        <v/>
      </c>
      <c r="H382" s="44" t="str">
        <f>IFERROR(__xludf.DUMMYFUNCTION("""COMPUTED_VALUE""")," ")</f>
        <v> </v>
      </c>
      <c r="I382" s="44" t="str">
        <f>IFERROR(__xludf.DUMMYFUNCTION("""COMPUTED_VALUE""")," ")</f>
        <v> </v>
      </c>
      <c r="J382" s="44" t="str">
        <f>IFERROR(__xludf.DUMMYFUNCTION("""COMPUTED_VALUE"""),"")</f>
        <v/>
      </c>
      <c r="K382" s="42" t="str">
        <f>IFERROR(__xludf.DUMMYFUNCTION("""COMPUTED_VALUE"""),"Hospital Vargas de Caracas")</f>
        <v>Hospital Vargas de Caracas</v>
      </c>
    </row>
    <row r="383">
      <c r="A383" s="44">
        <v>382.0</v>
      </c>
      <c r="B383" s="44" t="str">
        <f>IFERROR(__xludf.DUMMYFUNCTION("""COMPUTED_VALUE"""),"Hospital Pérez Carreño")</f>
        <v>Hospital Pérez Carreño</v>
      </c>
      <c r="C383" s="45" t="str">
        <f>IFERROR(__xludf.DUMMYFUNCTION("""COMPUTED_VALUE"""),"RONDON FRAN")</f>
        <v>RONDON FRAN</v>
      </c>
      <c r="D383" s="44" t="str">
        <f>IFERROR(__xludf.DUMMYFUNCTION("""COMPUTED_VALUE""")," ")</f>
        <v> </v>
      </c>
      <c r="E383" s="44" t="str">
        <f>IFERROR(__xludf.DUMMYFUNCTION("""COMPUTED_VALUE"""),"19659867")</f>
        <v>19659867</v>
      </c>
      <c r="F383" s="44" t="str">
        <f>IFERROR(__xludf.DUMMYFUNCTION("""COMPUTED_VALUE"""),"")</f>
        <v/>
      </c>
      <c r="G383" s="44" t="str">
        <f>IFERROR(__xludf.DUMMYFUNCTION("""COMPUTED_VALUE""")," ")</f>
        <v> </v>
      </c>
      <c r="H383" s="44" t="str">
        <f>IFERROR(__xludf.DUMMYFUNCTION("""COMPUTED_VALUE""")," ")</f>
        <v> </v>
      </c>
      <c r="I383" s="44" t="str">
        <f>IFERROR(__xludf.DUMMYFUNCTION("""COMPUTED_VALUE""")," ")</f>
        <v> </v>
      </c>
      <c r="J383" s="44" t="str">
        <f>IFERROR(__xludf.DUMMYFUNCTION("""COMPUTED_VALUE"""),"25/06/2026")</f>
        <v>25/06/2026</v>
      </c>
      <c r="K383" s="42" t="str">
        <f>IFERROR(__xludf.DUMMYFUNCTION("""COMPUTED_VALUE"""),"Hospital Pérez Carreño")</f>
        <v>Hospital Pérez Carreño</v>
      </c>
    </row>
    <row r="384">
      <c r="A384" s="44">
        <v>383.0</v>
      </c>
      <c r="B384" s="44" t="str">
        <f>IFERROR(__xludf.DUMMYFUNCTION("""COMPUTED_VALUE"""),"Hospital Pérez Carreño")</f>
        <v>Hospital Pérez Carreño</v>
      </c>
      <c r="C384" s="45" t="str">
        <f>IFERROR(__xludf.DUMMYFUNCTION("""COMPUTED_VALUE"""),"FRAN RONDON")</f>
        <v>FRAN RONDON</v>
      </c>
      <c r="D384" s="44" t="str">
        <f>IFERROR(__xludf.DUMMYFUNCTION("""COMPUTED_VALUE""")," ")</f>
        <v> </v>
      </c>
      <c r="E384" s="44" t="str">
        <f>IFERROR(__xludf.DUMMYFUNCTION("""COMPUTED_VALUE"""),"196598670")</f>
        <v>196598670</v>
      </c>
      <c r="F384" s="44" t="str">
        <f>IFERROR(__xludf.DUMMYFUNCTION("""COMPUTED_VALUE"""),"")</f>
        <v/>
      </c>
      <c r="G384" s="44" t="str">
        <f>IFERROR(__xludf.DUMMYFUNCTION("""COMPUTED_VALUE""")," ")</f>
        <v> </v>
      </c>
      <c r="H384" s="44" t="str">
        <f>IFERROR(__xludf.DUMMYFUNCTION("""COMPUTED_VALUE""")," ")</f>
        <v> </v>
      </c>
      <c r="I384" s="44" t="str">
        <f>IFERROR(__xludf.DUMMYFUNCTION("""COMPUTED_VALUE""")," ")</f>
        <v> </v>
      </c>
      <c r="J384" s="44" t="str">
        <f>IFERROR(__xludf.DUMMYFUNCTION("""COMPUTED_VALUE"""),"25/06/2026")</f>
        <v>25/06/2026</v>
      </c>
      <c r="K384" s="42" t="str">
        <f>IFERROR(__xludf.DUMMYFUNCTION("""COMPUTED_VALUE"""),"Hospital Pérez Carreño")</f>
        <v>Hospital Pérez Carreño</v>
      </c>
    </row>
    <row r="385">
      <c r="A385" s="44">
        <v>384.0</v>
      </c>
      <c r="B385" s="44" t="str">
        <f>IFERROR(__xludf.DUMMYFUNCTION("""COMPUTED_VALUE"""),"Hospital Vargas de Caracas")</f>
        <v>Hospital Vargas de Caracas</v>
      </c>
      <c r="C385" s="45" t="str">
        <f>IFERROR(__xludf.DUMMYFUNCTION("""COMPUTED_VALUE"""),"MARTINEZ CRISTINA")</f>
        <v>MARTINEZ CRISTINA</v>
      </c>
      <c r="D385" s="44" t="str">
        <f>IFERROR(__xludf.DUMMYFUNCTION("""COMPUTED_VALUE""")," ")</f>
        <v> </v>
      </c>
      <c r="E385" s="44" t="str">
        <f>IFERROR(__xludf.DUMMYFUNCTION("""COMPUTED_VALUE"""),"19721240")</f>
        <v>19721240</v>
      </c>
      <c r="F385" s="44" t="str">
        <f>IFERROR(__xludf.DUMMYFUNCTION("""COMPUTED_VALUE""")," ")</f>
        <v> </v>
      </c>
      <c r="G385" s="44" t="str">
        <f>IFERROR(__xludf.DUMMYFUNCTION("""COMPUTED_VALUE"""),"")</f>
        <v/>
      </c>
      <c r="H385" s="44" t="str">
        <f>IFERROR(__xludf.DUMMYFUNCTION("""COMPUTED_VALUE""")," ")</f>
        <v> </v>
      </c>
      <c r="I385" s="44" t="str">
        <f>IFERROR(__xludf.DUMMYFUNCTION("""COMPUTED_VALUE""")," ")</f>
        <v> </v>
      </c>
      <c r="J385" s="44" t="str">
        <f>IFERROR(__xludf.DUMMYFUNCTION("""COMPUTED_VALUE"""),"")</f>
        <v/>
      </c>
      <c r="K385" s="42" t="str">
        <f>IFERROR(__xludf.DUMMYFUNCTION("""COMPUTED_VALUE"""),"Hospital Vargas de Caracas")</f>
        <v>Hospital Vargas de Caracas</v>
      </c>
    </row>
    <row r="386">
      <c r="A386" s="44">
        <v>385.0</v>
      </c>
      <c r="B386" s="44" t="str">
        <f>IFERROR(__xludf.DUMMYFUNCTION("""COMPUTED_VALUE"""),"Hospital Vargas de Caracas")</f>
        <v>Hospital Vargas de Caracas</v>
      </c>
      <c r="C386" s="45" t="str">
        <f>IFERROR(__xludf.DUMMYFUNCTION("""COMPUTED_VALUE"""),"ESANPERO HILDREMAR")</f>
        <v>ESANPERO HILDREMAR</v>
      </c>
      <c r="D386" s="44" t="str">
        <f>IFERROR(__xludf.DUMMYFUNCTION("""COMPUTED_VALUE""")," ")</f>
        <v> </v>
      </c>
      <c r="E386" s="44" t="str">
        <f>IFERROR(__xludf.DUMMYFUNCTION("""COMPUTED_VALUE"""),"19721253")</f>
        <v>19721253</v>
      </c>
      <c r="F386" s="44" t="str">
        <f>IFERROR(__xludf.DUMMYFUNCTION("""COMPUTED_VALUE""")," ")</f>
        <v> </v>
      </c>
      <c r="G386" s="44" t="str">
        <f>IFERROR(__xludf.DUMMYFUNCTION("""COMPUTED_VALUE"""),"")</f>
        <v/>
      </c>
      <c r="H386" s="44" t="str">
        <f>IFERROR(__xludf.DUMMYFUNCTION("""COMPUTED_VALUE""")," ")</f>
        <v> </v>
      </c>
      <c r="I386" s="44" t="str">
        <f>IFERROR(__xludf.DUMMYFUNCTION("""COMPUTED_VALUE""")," ")</f>
        <v> </v>
      </c>
      <c r="J386" s="44" t="str">
        <f>IFERROR(__xludf.DUMMYFUNCTION("""COMPUTED_VALUE"""),"")</f>
        <v/>
      </c>
      <c r="K386" s="42" t="str">
        <f>IFERROR(__xludf.DUMMYFUNCTION("""COMPUTED_VALUE"""),"Hospital Vargas de Caracas")</f>
        <v>Hospital Vargas de Caracas</v>
      </c>
    </row>
    <row r="387">
      <c r="A387" s="44">
        <v>386.0</v>
      </c>
      <c r="B387" s="44" t="str">
        <f>IFERROR(__xludf.DUMMYFUNCTION("""COMPUTED_VALUE"""),"Hospital Pérez Carreño")</f>
        <v>Hospital Pérez Carreño</v>
      </c>
      <c r="C387" s="45" t="str">
        <f>IFERROR(__xludf.DUMMYFUNCTION("""COMPUTED_VALUE"""),"PAREZEO CESDA")</f>
        <v>PAREZEO CESDA</v>
      </c>
      <c r="D387" s="44" t="str">
        <f>IFERROR(__xludf.DUMMYFUNCTION("""COMPUTED_VALUE""")," ")</f>
        <v> </v>
      </c>
      <c r="E387" s="44" t="str">
        <f>IFERROR(__xludf.DUMMYFUNCTION("""COMPUTED_VALUE"""),"19727177")</f>
        <v>19727177</v>
      </c>
      <c r="F387" s="44" t="str">
        <f>IFERROR(__xludf.DUMMYFUNCTION("""COMPUTED_VALUE"""),"")</f>
        <v/>
      </c>
      <c r="G387" s="44" t="str">
        <f>IFERROR(__xludf.DUMMYFUNCTION("""COMPUTED_VALUE""")," ")</f>
        <v> </v>
      </c>
      <c r="H387" s="44" t="str">
        <f>IFERROR(__xludf.DUMMYFUNCTION("""COMPUTED_VALUE""")," ")</f>
        <v> </v>
      </c>
      <c r="I387" s="44" t="str">
        <f>IFERROR(__xludf.DUMMYFUNCTION("""COMPUTED_VALUE"""),"Internado")</f>
        <v>Internado</v>
      </c>
      <c r="J387" s="44" t="str">
        <f>IFERROR(__xludf.DUMMYFUNCTION("""COMPUTED_VALUE"""),"")</f>
        <v/>
      </c>
      <c r="K387" s="42" t="str">
        <f>IFERROR(__xludf.DUMMYFUNCTION("""COMPUTED_VALUE"""),"🔍 BUSCAR PACIENTES")</f>
        <v>🔍 BUSCAR PACIENTES</v>
      </c>
    </row>
    <row r="388">
      <c r="A388" s="44">
        <v>387.0</v>
      </c>
      <c r="B388" s="44" t="str">
        <f>IFERROR(__xludf.DUMMYFUNCTION("""COMPUTED_VALUE"""),"Hospital Pérez Carreño")</f>
        <v>Hospital Pérez Carreño</v>
      </c>
      <c r="C388" s="45" t="str">
        <f>IFERROR(__xludf.DUMMYFUNCTION("""COMPUTED_VALUE"""),"MIJARES CELIANA")</f>
        <v>MIJARES CELIANA</v>
      </c>
      <c r="D388" s="44" t="str">
        <f>IFERROR(__xludf.DUMMYFUNCTION("""COMPUTED_VALUE""")," ")</f>
        <v> </v>
      </c>
      <c r="E388" s="44" t="str">
        <f>IFERROR(__xludf.DUMMYFUNCTION("""COMPUTED_VALUE"""),"19734177")</f>
        <v>19734177</v>
      </c>
      <c r="F388" s="44" t="str">
        <f>IFERROR(__xludf.DUMMYFUNCTION("""COMPUTED_VALUE"""),"")</f>
        <v/>
      </c>
      <c r="G388" s="44" t="str">
        <f>IFERROR(__xludf.DUMMYFUNCTION("""COMPUTED_VALUE""")," ")</f>
        <v> </v>
      </c>
      <c r="H388" s="44" t="str">
        <f>IFERROR(__xludf.DUMMYFUNCTION("""COMPUTED_VALUE""")," ")</f>
        <v> </v>
      </c>
      <c r="I388" s="44" t="str">
        <f>IFERROR(__xludf.DUMMYFUNCTION("""COMPUTED_VALUE""")," ")</f>
        <v> </v>
      </c>
      <c r="J388" s="44" t="str">
        <f>IFERROR(__xludf.DUMMYFUNCTION("""COMPUTED_VALUE"""),"25/06/2026")</f>
        <v>25/06/2026</v>
      </c>
      <c r="K388" s="42" t="str">
        <f>IFERROR(__xludf.DUMMYFUNCTION("""COMPUTED_VALUE"""),"Hospital Pérez Carreño")</f>
        <v>Hospital Pérez Carreño</v>
      </c>
    </row>
    <row r="389">
      <c r="A389" s="44">
        <v>388.0</v>
      </c>
      <c r="B389" s="44" t="str">
        <f>IFERROR(__xludf.DUMMYFUNCTION("""COMPUTED_VALUE"""),"Hospital Pérez Carreño")</f>
        <v>Hospital Pérez Carreño</v>
      </c>
      <c r="C389" s="45" t="str">
        <f>IFERROR(__xludf.DUMMYFUNCTION("""COMPUTED_VALUE"""),"CELIANA MIJARES")</f>
        <v>CELIANA MIJARES</v>
      </c>
      <c r="D389" s="44" t="str">
        <f>IFERROR(__xludf.DUMMYFUNCTION("""COMPUTED_VALUE""")," ")</f>
        <v> </v>
      </c>
      <c r="E389" s="44" t="str">
        <f>IFERROR(__xludf.DUMMYFUNCTION("""COMPUTED_VALUE"""),"197341770")</f>
        <v>197341770</v>
      </c>
      <c r="F389" s="44" t="str">
        <f>IFERROR(__xludf.DUMMYFUNCTION("""COMPUTED_VALUE"""),"")</f>
        <v/>
      </c>
      <c r="G389" s="44" t="str">
        <f>IFERROR(__xludf.DUMMYFUNCTION("""COMPUTED_VALUE""")," ")</f>
        <v> </v>
      </c>
      <c r="H389" s="44" t="str">
        <f>IFERROR(__xludf.DUMMYFUNCTION("""COMPUTED_VALUE""")," ")</f>
        <v> </v>
      </c>
      <c r="I389" s="44" t="str">
        <f>IFERROR(__xludf.DUMMYFUNCTION("""COMPUTED_VALUE"""),"Triaje")</f>
        <v>Triaje</v>
      </c>
      <c r="J389" s="44" t="str">
        <f>IFERROR(__xludf.DUMMYFUNCTION("""COMPUTED_VALUE"""),"25/06/2026")</f>
        <v>25/06/2026</v>
      </c>
      <c r="K389" s="42" t="str">
        <f>IFERROR(__xludf.DUMMYFUNCTION("""COMPUTED_VALUE"""),"Hospital Pérez Carreño")</f>
        <v>Hospital Pérez Carreño</v>
      </c>
    </row>
    <row r="390">
      <c r="A390" s="44">
        <v>389.0</v>
      </c>
      <c r="B390" s="44" t="str">
        <f>IFERROR(__xludf.DUMMYFUNCTION("""COMPUTED_VALUE"""),"Hospital Pérez Carreño")</f>
        <v>Hospital Pérez Carreño</v>
      </c>
      <c r="C390" s="45" t="str">
        <f>IFERROR(__xludf.DUMMYFUNCTION("""COMPUTED_VALUE"""),"AVEA WHILIAN")</f>
        <v>AVEA WHILIAN</v>
      </c>
      <c r="D390" s="44" t="str">
        <f>IFERROR(__xludf.DUMMYFUNCTION("""COMPUTED_VALUE""")," ")</f>
        <v> </v>
      </c>
      <c r="E390" s="44" t="str">
        <f>IFERROR(__xludf.DUMMYFUNCTION("""COMPUTED_VALUE"""),"19768837")</f>
        <v>19768837</v>
      </c>
      <c r="F390" s="44" t="str">
        <f>IFERROR(__xludf.DUMMYFUNCTION("""COMPUTED_VALUE"""),"")</f>
        <v/>
      </c>
      <c r="G390" s="44" t="str">
        <f>IFERROR(__xludf.DUMMYFUNCTION("""COMPUTED_VALUE""")," ")</f>
        <v> </v>
      </c>
      <c r="H390" s="44" t="str">
        <f>IFERROR(__xludf.DUMMYFUNCTION("""COMPUTED_VALUE""")," ")</f>
        <v> </v>
      </c>
      <c r="I390" s="44" t="str">
        <f>IFERROR(__xludf.DUMMYFUNCTION("""COMPUTED_VALUE"""),"Internado")</f>
        <v>Internado</v>
      </c>
      <c r="J390" s="44" t="str">
        <f>IFERROR(__xludf.DUMMYFUNCTION("""COMPUTED_VALUE"""),"25/06/2026")</f>
        <v>25/06/2026</v>
      </c>
      <c r="K390" s="42" t="str">
        <f>IFERROR(__xludf.DUMMYFUNCTION("""COMPUTED_VALUE"""),"Hospital Pérez Carreño")</f>
        <v>Hospital Pérez Carreño</v>
      </c>
    </row>
    <row r="391">
      <c r="A391" s="44">
        <v>390.0</v>
      </c>
      <c r="B391" s="44" t="str">
        <f>IFERROR(__xludf.DUMMYFUNCTION("""COMPUTED_VALUE"""),"Hospital Pérez Carreño")</f>
        <v>Hospital Pérez Carreño</v>
      </c>
      <c r="C391" s="45" t="str">
        <f>IFERROR(__xludf.DUMMYFUNCTION("""COMPUTED_VALUE"""),"HERNANDEZ CARLINA")</f>
        <v>HERNANDEZ CARLINA</v>
      </c>
      <c r="D391" s="44" t="str">
        <f>IFERROR(__xludf.DUMMYFUNCTION("""COMPUTED_VALUE""")," ")</f>
        <v> </v>
      </c>
      <c r="E391" s="44" t="str">
        <f>IFERROR(__xludf.DUMMYFUNCTION("""COMPUTED_VALUE"""),"19796311")</f>
        <v>19796311</v>
      </c>
      <c r="F391" s="44" t="str">
        <f>IFERROR(__xludf.DUMMYFUNCTION("""COMPUTED_VALUE"""),"")</f>
        <v/>
      </c>
      <c r="G391" s="44" t="str">
        <f>IFERROR(__xludf.DUMMYFUNCTION("""COMPUTED_VALUE""")," ")</f>
        <v> </v>
      </c>
      <c r="H391" s="44" t="str">
        <f>IFERROR(__xludf.DUMMYFUNCTION("""COMPUTED_VALUE""")," ")</f>
        <v> </v>
      </c>
      <c r="I391" s="44" t="str">
        <f>IFERROR(__xludf.DUMMYFUNCTION("""COMPUTED_VALUE"""),"Nuevos Ingresos")</f>
        <v>Nuevos Ingresos</v>
      </c>
      <c r="J391" s="44" t="str">
        <f>IFERROR(__xludf.DUMMYFUNCTION("""COMPUTED_VALUE"""),"25/06/2026")</f>
        <v>25/06/2026</v>
      </c>
      <c r="K391" s="42" t="str">
        <f>IFERROR(__xludf.DUMMYFUNCTION("""COMPUTED_VALUE"""),"Hospital Pérez Carreño")</f>
        <v>Hospital Pérez Carreño</v>
      </c>
    </row>
    <row r="392">
      <c r="A392" s="44">
        <v>391.0</v>
      </c>
      <c r="B392" s="44" t="str">
        <f>IFERROR(__xludf.DUMMYFUNCTION("""COMPUTED_VALUE"""),"Hospital Pérez Carreño")</f>
        <v>Hospital Pérez Carreño</v>
      </c>
      <c r="C392" s="45" t="str">
        <f>IFERROR(__xludf.DUMMYFUNCTION("""COMPUTED_VALUE"""),"MANUEL GOMEZ")</f>
        <v>MANUEL GOMEZ</v>
      </c>
      <c r="D392" s="44" t="str">
        <f>IFERROR(__xludf.DUMMYFUNCTION("""COMPUTED_VALUE"""),"Sin información")</f>
        <v>Sin información</v>
      </c>
      <c r="E392" s="44" t="str">
        <f>IFERROR(__xludf.DUMMYFUNCTION("""COMPUTED_VALUE"""),"198148390")</f>
        <v>198148390</v>
      </c>
      <c r="F392" s="44" t="str">
        <f>IFERROR(__xludf.DUMMYFUNCTION("""COMPUTED_VALUE"""),"")</f>
        <v/>
      </c>
      <c r="G392" s="44" t="str">
        <f>IFERROR(__xludf.DUMMYFUNCTION("""COMPUTED_VALUE""")," ")</f>
        <v> </v>
      </c>
      <c r="H392" s="44" t="str">
        <f>IFERROR(__xludf.DUMMYFUNCTION("""COMPUTED_VALUE"""),"Sin información")</f>
        <v>Sin información</v>
      </c>
      <c r="I392" s="44" t="str">
        <f>IFERROR(__xludf.DUMMYFUNCTION("""COMPUTED_VALUE"""),"Sin información")</f>
        <v>Sin información</v>
      </c>
      <c r="J392" s="44" t="str">
        <f>IFERROR(__xludf.DUMMYFUNCTION("""COMPUTED_VALUE"""),"25/06/2026")</f>
        <v>25/06/2026</v>
      </c>
      <c r="K392" s="42" t="str">
        <f>IFERROR(__xludf.DUMMYFUNCTION("""COMPUTED_VALUE"""),"Hospital Pérez Carreño")</f>
        <v>Hospital Pérez Carreño</v>
      </c>
    </row>
    <row r="393">
      <c r="A393" s="44">
        <v>392.0</v>
      </c>
      <c r="B393" s="44" t="str">
        <f>IFERROR(__xludf.DUMMYFUNCTION("""COMPUTED_VALUE"""),"Periférico de Catia")</f>
        <v>Periférico de Catia</v>
      </c>
      <c r="C393" s="45" t="str">
        <f>IFERROR(__xludf.DUMMYFUNCTION("""COMPUTED_VALUE"""),"PESTANO MARGARET")</f>
        <v>PESTANO MARGARET</v>
      </c>
      <c r="D393" s="44">
        <f>IFERROR(__xludf.DUMMYFUNCTION("""COMPUTED_VALUE"""),45.0)</f>
        <v>45</v>
      </c>
      <c r="E393" s="44" t="str">
        <f>IFERROR(__xludf.DUMMYFUNCTION("""COMPUTED_VALUE"""),"19915985")</f>
        <v>19915985</v>
      </c>
      <c r="F393" s="44" t="str">
        <f>IFERROR(__xludf.DUMMYFUNCTION("""COMPUTED_VALUE"""),"")</f>
        <v/>
      </c>
      <c r="G393" s="44" t="str">
        <f>IFERROR(__xludf.DUMMYFUNCTION("""COMPUTED_VALUE""")," ")</f>
        <v> </v>
      </c>
      <c r="H393" s="44" t="str">
        <f>IFERROR(__xludf.DUMMYFUNCTION("""COMPUTED_VALUE""")," ")</f>
        <v> </v>
      </c>
      <c r="I393" s="44" t="str">
        <f>IFERROR(__xludf.DUMMYFUNCTION("""COMPUTED_VALUE"""),"Cirugía General")</f>
        <v>Cirugía General</v>
      </c>
      <c r="J393" s="44" t="str">
        <f>IFERROR(__xludf.DUMMYFUNCTION("""COMPUTED_VALUE"""),"")</f>
        <v/>
      </c>
      <c r="K393" s="42" t="str">
        <f>IFERROR(__xludf.DUMMYFUNCTION("""COMPUTED_VALUE"""),"Periférico de Catia")</f>
        <v>Periférico de Catia</v>
      </c>
    </row>
    <row r="394">
      <c r="A394" s="44">
        <v>393.0</v>
      </c>
      <c r="B394" s="44" t="str">
        <f>IFERROR(__xludf.DUMMYFUNCTION("""COMPUTED_VALUE"""),"Periférico de Catia")</f>
        <v>Periférico de Catia</v>
      </c>
      <c r="C394" s="45" t="str">
        <f>IFERROR(__xludf.DUMMYFUNCTION("""COMPUTED_VALUE"""),"MARGARET PESTANO")</f>
        <v>MARGARET PESTANO</v>
      </c>
      <c r="D394" s="44">
        <f>IFERROR(__xludf.DUMMYFUNCTION("""COMPUTED_VALUE"""),35.0)</f>
        <v>35</v>
      </c>
      <c r="E394" s="44" t="str">
        <f>IFERROR(__xludf.DUMMYFUNCTION("""COMPUTED_VALUE"""),"199159850")</f>
        <v>199159850</v>
      </c>
      <c r="F394" s="44" t="str">
        <f>IFERROR(__xludf.DUMMYFUNCTION("""COMPUTED_VALUE"""),"")</f>
        <v/>
      </c>
      <c r="G394" s="44" t="str">
        <f>IFERROR(__xludf.DUMMYFUNCTION("""COMPUTED_VALUE""")," ")</f>
        <v> </v>
      </c>
      <c r="H394" s="44" t="str">
        <f>IFERROR(__xludf.DUMMYFUNCTION("""COMPUTED_VALUE"""),"Sin información")</f>
        <v>Sin información</v>
      </c>
      <c r="I394" s="44" t="str">
        <f>IFERROR(__xludf.DUMMYFUNCTION("""COMPUTED_VALUE"""),"Cirugía General")</f>
        <v>Cirugía General</v>
      </c>
      <c r="J394" s="44" t="str">
        <f>IFERROR(__xludf.DUMMYFUNCTION("""COMPUTED_VALUE"""),"")</f>
        <v/>
      </c>
      <c r="K394" s="42" t="str">
        <f>IFERROR(__xludf.DUMMYFUNCTION("""COMPUTED_VALUE"""),"Periférico de Catia")</f>
        <v>Periférico de Catia</v>
      </c>
    </row>
    <row r="395">
      <c r="A395" s="44">
        <v>394.0</v>
      </c>
      <c r="B395" s="44" t="str">
        <f>IFERROR(__xludf.DUMMYFUNCTION("""COMPUTED_VALUE"""),"Hospital Militar Dr. C. Arvelo")</f>
        <v>Hospital Militar Dr. C. Arvelo</v>
      </c>
      <c r="C395" s="45" t="str">
        <f>IFERROR(__xludf.DUMMYFUNCTION("""COMPUTED_VALUE"""),"Harlam Camargo")</f>
        <v>Harlam Camargo</v>
      </c>
      <c r="D395" s="44">
        <f>IFERROR(__xludf.DUMMYFUNCTION("""COMPUTED_VALUE"""),35.0)</f>
        <v>35</v>
      </c>
      <c r="E395" s="44" t="str">
        <f>IFERROR(__xludf.DUMMYFUNCTION("""COMPUTED_VALUE"""),"19937977")</f>
        <v>19937977</v>
      </c>
      <c r="F395" s="44" t="str">
        <f>IFERROR(__xludf.DUMMYFUNCTION("""COMPUTED_VALUE"""),"")</f>
        <v/>
      </c>
      <c r="G395" s="44" t="str">
        <f>IFERROR(__xludf.DUMMYFUNCTION("""COMPUTED_VALUE"""),"")</f>
        <v/>
      </c>
      <c r="H395" s="44" t="str">
        <f>IFERROR(__xludf.DUMMYFUNCTION("""COMPUTED_VALUE"""),"M")</f>
        <v>M</v>
      </c>
      <c r="I395" s="44" t="str">
        <f>IFERROR(__xludf.DUMMYFUNCTION("""COMPUTED_VALUE"""),"La Guaira Tte. ARV")</f>
        <v>La Guaira Tte. ARV</v>
      </c>
      <c r="J395" s="44" t="str">
        <f>IFERROR(__xludf.DUMMYFUNCTION("""COMPUTED_VALUE"""),"24/6/2026")</f>
        <v>24/6/2026</v>
      </c>
      <c r="K395" s="42" t="str">
        <f>IFERROR(__xludf.DUMMYFUNCTION("""COMPUTED_VALUE"""),"Hospital Militar Dr. C. Arvelo")</f>
        <v>Hospital Militar Dr. C. Arvelo</v>
      </c>
    </row>
    <row r="396">
      <c r="A396" s="44">
        <v>395.0</v>
      </c>
      <c r="B396" s="44" t="str">
        <f>IFERROR(__xludf.DUMMYFUNCTION("""COMPUTED_VALUE"""),"Hospital Pérez Carreño")</f>
        <v>Hospital Pérez Carreño</v>
      </c>
      <c r="C396" s="45" t="str">
        <f>IFERROR(__xludf.DUMMYFUNCTION("""COMPUTED_VALUE"""),"AGUILERA ANA")</f>
        <v>AGUILERA ANA</v>
      </c>
      <c r="D396" s="44" t="str">
        <f>IFERROR(__xludf.DUMMYFUNCTION("""COMPUTED_VALUE""")," ")</f>
        <v> </v>
      </c>
      <c r="E396" s="44" t="str">
        <f>IFERROR(__xludf.DUMMYFUNCTION("""COMPUTED_VALUE"""),"20003134")</f>
        <v>20003134</v>
      </c>
      <c r="F396" s="44" t="str">
        <f>IFERROR(__xludf.DUMMYFUNCTION("""COMPUTED_VALUE"""),"")</f>
        <v/>
      </c>
      <c r="G396" s="44" t="str">
        <f>IFERROR(__xludf.DUMMYFUNCTION("""COMPUTED_VALUE""")," ")</f>
        <v> </v>
      </c>
      <c r="H396" s="44" t="str">
        <f>IFERROR(__xludf.DUMMYFUNCTION("""COMPUTED_VALUE""")," ")</f>
        <v> </v>
      </c>
      <c r="I396" s="44" t="str">
        <f>IFERROR(__xludf.DUMMYFUNCTION("""COMPUTED_VALUE""")," ")</f>
        <v> </v>
      </c>
      <c r="J396" s="44" t="str">
        <f>IFERROR(__xludf.DUMMYFUNCTION("""COMPUTED_VALUE"""),"25/06/2026")</f>
        <v>25/06/2026</v>
      </c>
      <c r="K396" s="42" t="str">
        <f>IFERROR(__xludf.DUMMYFUNCTION("""COMPUTED_VALUE"""),"Hospital Pérez Carreño")</f>
        <v>Hospital Pérez Carreño</v>
      </c>
    </row>
    <row r="397">
      <c r="A397" s="44">
        <v>396.0</v>
      </c>
      <c r="B397" s="44" t="str">
        <f>IFERROR(__xludf.DUMMYFUNCTION("""COMPUTED_VALUE"""),"Hospital Pérez Carreño")</f>
        <v>Hospital Pérez Carreño</v>
      </c>
      <c r="C397" s="45" t="str">
        <f>IFERROR(__xludf.DUMMYFUNCTION("""COMPUTED_VALUE"""),"ANA AGUILERA")</f>
        <v>ANA AGUILERA</v>
      </c>
      <c r="D397" s="44" t="str">
        <f>IFERROR(__xludf.DUMMYFUNCTION("""COMPUTED_VALUE""")," ")</f>
        <v> </v>
      </c>
      <c r="E397" s="44" t="str">
        <f>IFERROR(__xludf.DUMMYFUNCTION("""COMPUTED_VALUE"""),"200031340")</f>
        <v>200031340</v>
      </c>
      <c r="F397" s="44" t="str">
        <f>IFERROR(__xludf.DUMMYFUNCTION("""COMPUTED_VALUE"""),"")</f>
        <v/>
      </c>
      <c r="G397" s="44" t="str">
        <f>IFERROR(__xludf.DUMMYFUNCTION("""COMPUTED_VALUE""")," ")</f>
        <v> </v>
      </c>
      <c r="H397" s="44" t="str">
        <f>IFERROR(__xludf.DUMMYFUNCTION("""COMPUTED_VALUE""")," ")</f>
        <v> </v>
      </c>
      <c r="I397" s="44" t="str">
        <f>IFERROR(__xludf.DUMMYFUNCTION("""COMPUTED_VALUE""")," ")</f>
        <v> </v>
      </c>
      <c r="J397" s="44" t="str">
        <f>IFERROR(__xludf.DUMMYFUNCTION("""COMPUTED_VALUE"""),"25/06/2026")</f>
        <v>25/06/2026</v>
      </c>
      <c r="K397" s="42" t="str">
        <f>IFERROR(__xludf.DUMMYFUNCTION("""COMPUTED_VALUE"""),"Hospital Pérez Carreño")</f>
        <v>Hospital Pérez Carreño</v>
      </c>
    </row>
    <row r="398">
      <c r="A398" s="44">
        <v>397.0</v>
      </c>
      <c r="B398" s="44" t="str">
        <f>IFERROR(__xludf.DUMMYFUNCTION("""COMPUTED_VALUE"""),"Hospital Vargas de Caracas")</f>
        <v>Hospital Vargas de Caracas</v>
      </c>
      <c r="C398" s="45" t="str">
        <f>IFERROR(__xludf.DUMMYFUNCTION("""COMPUTED_VALUE"""),"HURGUETO KIMBERLY")</f>
        <v>HURGUETO KIMBERLY</v>
      </c>
      <c r="D398" s="44">
        <f>IFERROR(__xludf.DUMMYFUNCTION("""COMPUTED_VALUE"""),39.0)</f>
        <v>39</v>
      </c>
      <c r="E398" s="44" t="str">
        <f>IFERROR(__xludf.DUMMYFUNCTION("""COMPUTED_VALUE"""),"20007393")</f>
        <v>20007393</v>
      </c>
      <c r="F398" s="44" t="str">
        <f>IFERROR(__xludf.DUMMYFUNCTION("""COMPUTED_VALUE""")," ")</f>
        <v> </v>
      </c>
      <c r="G398" s="44" t="str">
        <f>IFERROR(__xludf.DUMMYFUNCTION("""COMPUTED_VALUE"""),"")</f>
        <v/>
      </c>
      <c r="H398" s="44" t="str">
        <f>IFERROR(__xludf.DUMMYFUNCTION("""COMPUTED_VALUE"""),"La Guaira")</f>
        <v>La Guaira</v>
      </c>
      <c r="I398" s="44" t="str">
        <f>IFERROR(__xludf.DUMMYFUNCTION("""COMPUTED_VALUE"""),"UPT")</f>
        <v>UPT</v>
      </c>
      <c r="J398" s="44" t="str">
        <f>IFERROR(__xludf.DUMMYFUNCTION("""COMPUTED_VALUE"""),"")</f>
        <v/>
      </c>
      <c r="K398" s="42" t="str">
        <f>IFERROR(__xludf.DUMMYFUNCTION("""COMPUTED_VALUE"""),"Hospital Vargas de Caracas")</f>
        <v>Hospital Vargas de Caracas</v>
      </c>
    </row>
    <row r="399">
      <c r="A399" s="44">
        <v>398.0</v>
      </c>
      <c r="B399" s="44" t="str">
        <f>IFERROR(__xludf.DUMMYFUNCTION("""COMPUTED_VALUE"""),"Seguro Social La Guaira")</f>
        <v>Seguro Social La Guaira</v>
      </c>
      <c r="C399" s="45" t="str">
        <f>IFERROR(__xludf.DUMMYFUNCTION("""COMPUTED_VALUE"""),"ROSIO MONTANA")</f>
        <v>ROSIO MONTANA</v>
      </c>
      <c r="D399" s="44" t="str">
        <f>IFERROR(__xludf.DUMMYFUNCTION("""COMPUTED_VALUE""")," ")</f>
        <v> </v>
      </c>
      <c r="E399" s="44" t="str">
        <f>IFERROR(__xludf.DUMMYFUNCTION("""COMPUTED_VALUE"""),"200079320")</f>
        <v>200079320</v>
      </c>
      <c r="F399" s="44" t="str">
        <f>IFERROR(__xludf.DUMMYFUNCTION("""COMPUTED_VALUE"""),"")</f>
        <v/>
      </c>
      <c r="G399" s="44" t="str">
        <f>IFERROR(__xludf.DUMMYFUNCTION("""COMPUTED_VALUE""")," ")</f>
        <v> </v>
      </c>
      <c r="H399" s="44" t="str">
        <f>IFERROR(__xludf.DUMMYFUNCTION("""COMPUTED_VALUE"""),"Corales")</f>
        <v>Corales</v>
      </c>
      <c r="I399" s="44" t="str">
        <f>IFERROR(__xludf.DUMMYFUNCTION("""COMPUTED_VALUE""")," ")</f>
        <v> </v>
      </c>
      <c r="J399" s="44" t="str">
        <f>IFERROR(__xludf.DUMMYFUNCTION("""COMPUTED_VALUE"""),"")</f>
        <v/>
      </c>
      <c r="K399" s="42" t="str">
        <f>IFERROR(__xludf.DUMMYFUNCTION("""COMPUTED_VALUE"""),"Seguro Social La Guaira")</f>
        <v>Seguro Social La Guaira</v>
      </c>
    </row>
    <row r="400">
      <c r="A400" s="44">
        <v>399.0</v>
      </c>
      <c r="B400" s="44" t="str">
        <f>IFERROR(__xludf.DUMMYFUNCTION("""COMPUTED_VALUE"""),"H. Jose Maria Vargas LG")</f>
        <v>H. Jose Maria Vargas LG</v>
      </c>
      <c r="C400" s="45" t="str">
        <f>IFERROR(__xludf.DUMMYFUNCTION("""COMPUTED_VALUE"""),"GUEVARA YOSIDEIDY")</f>
        <v>GUEVARA YOSIDEIDY</v>
      </c>
      <c r="D400" s="44" t="str">
        <f>IFERROR(__xludf.DUMMYFUNCTION("""COMPUTED_VALUE""")," ")</f>
        <v> </v>
      </c>
      <c r="E400" s="44" t="str">
        <f>IFERROR(__xludf.DUMMYFUNCTION("""COMPUTED_VALUE"""),"20007998")</f>
        <v>20007998</v>
      </c>
      <c r="F400" s="44" t="str">
        <f>IFERROR(__xludf.DUMMYFUNCTION("""COMPUTED_VALUE"""),"")</f>
        <v/>
      </c>
      <c r="G400" s="44" t="str">
        <f>IFERROR(__xludf.DUMMYFUNCTION("""COMPUTED_VALUE""")," ")</f>
        <v> </v>
      </c>
      <c r="H400" s="44" t="str">
        <f>IFERROR(__xludf.DUMMYFUNCTION("""COMPUTED_VALUE"""),"Palmar Este")</f>
        <v>Palmar Este</v>
      </c>
      <c r="I400" s="44" t="str">
        <f>IFERROR(__xludf.DUMMYFUNCTION("""COMPUTED_VALUE""")," ")</f>
        <v> </v>
      </c>
      <c r="J400" s="44" t="str">
        <f>IFERROR(__xludf.DUMMYFUNCTION("""COMPUTED_VALUE"""),"")</f>
        <v/>
      </c>
      <c r="K400" s="42" t="str">
        <f>IFERROR(__xludf.DUMMYFUNCTION("""COMPUTED_VALUE"""),"H. Jose Maria Vargas LG")</f>
        <v>H. Jose Maria Vargas LG</v>
      </c>
    </row>
    <row r="401">
      <c r="A401" s="44">
        <v>400.0</v>
      </c>
      <c r="B401" s="44" t="str">
        <f>IFERROR(__xludf.DUMMYFUNCTION("""COMPUTED_VALUE"""),"Hospital Pérez Carreño")</f>
        <v>Hospital Pérez Carreño</v>
      </c>
      <c r="C401" s="45" t="str">
        <f>IFERROR(__xludf.DUMMYFUNCTION("""COMPUTED_VALUE"""),"ANA AGUILERA")</f>
        <v>ANA AGUILERA</v>
      </c>
      <c r="D401" s="44" t="str">
        <f>IFERROR(__xludf.DUMMYFUNCTION("""COMPUTED_VALUE"""),"Sin información")</f>
        <v>Sin información</v>
      </c>
      <c r="E401" s="44" t="str">
        <f>IFERROR(__xludf.DUMMYFUNCTION("""COMPUTED_VALUE"""),"200231340")</f>
        <v>200231340</v>
      </c>
      <c r="F401" s="44" t="str">
        <f>IFERROR(__xludf.DUMMYFUNCTION("""COMPUTED_VALUE"""),"")</f>
        <v/>
      </c>
      <c r="G401" s="44" t="str">
        <f>IFERROR(__xludf.DUMMYFUNCTION("""COMPUTED_VALUE""")," ")</f>
        <v> </v>
      </c>
      <c r="H401" s="44" t="str">
        <f>IFERROR(__xludf.DUMMYFUNCTION("""COMPUTED_VALUE"""),"Sin información")</f>
        <v>Sin información</v>
      </c>
      <c r="I401" s="44" t="str">
        <f>IFERROR(__xludf.DUMMYFUNCTION("""COMPUTED_VALUE"""),"Sin información")</f>
        <v>Sin información</v>
      </c>
      <c r="J401" s="44" t="str">
        <f>IFERROR(__xludf.DUMMYFUNCTION("""COMPUTED_VALUE"""),"25/06/2026")</f>
        <v>25/06/2026</v>
      </c>
      <c r="K401" s="42" t="str">
        <f>IFERROR(__xludf.DUMMYFUNCTION("""COMPUTED_VALUE"""),"Hospital Pérez Carreño")</f>
        <v>Hospital Pérez Carreño</v>
      </c>
    </row>
    <row r="402">
      <c r="A402" s="44">
        <v>401.0</v>
      </c>
      <c r="B402" s="44" t="str">
        <f>IFERROR(__xludf.DUMMYFUNCTION("""COMPUTED_VALUE"""),"Hospital Pérez Carreño")</f>
        <v>Hospital Pérez Carreño</v>
      </c>
      <c r="C402" s="45" t="str">
        <f>IFERROR(__xludf.DUMMYFUNCTION("""COMPUTED_VALUE"""),"RIVAS EVAN ARMANDO")</f>
        <v>RIVAS EVAN ARMANDO</v>
      </c>
      <c r="D402" s="44">
        <f>IFERROR(__xludf.DUMMYFUNCTION("""COMPUTED_VALUE"""),55.0)</f>
        <v>55</v>
      </c>
      <c r="E402" s="44" t="str">
        <f>IFERROR(__xludf.DUMMYFUNCTION("""COMPUTED_VALUE"""),"20048909")</f>
        <v>20048909</v>
      </c>
      <c r="F402" s="44" t="str">
        <f>IFERROR(__xludf.DUMMYFUNCTION("""COMPUTED_VALUE"""),"")</f>
        <v/>
      </c>
      <c r="G402" s="44" t="str">
        <f>IFERROR(__xludf.DUMMYFUNCTION("""COMPUTED_VALUE""")," ")</f>
        <v> </v>
      </c>
      <c r="H402" s="44" t="str">
        <f>IFERROR(__xludf.DUMMYFUNCTION("""COMPUTED_VALUE""")," ")</f>
        <v> </v>
      </c>
      <c r="I402" s="44" t="str">
        <f>IFERROR(__xludf.DUMMYFUNCTION("""COMPUTED_VALUE""")," ")</f>
        <v> </v>
      </c>
      <c r="J402" s="44" t="str">
        <f>IFERROR(__xludf.DUMMYFUNCTION("""COMPUTED_VALUE"""),"25/06/2026")</f>
        <v>25/06/2026</v>
      </c>
      <c r="K402" s="42" t="str">
        <f>IFERROR(__xludf.DUMMYFUNCTION("""COMPUTED_VALUE"""),"Hospital Pérez Carreño")</f>
        <v>Hospital Pérez Carreño</v>
      </c>
    </row>
    <row r="403">
      <c r="A403" s="44">
        <v>402.0</v>
      </c>
      <c r="B403" s="44" t="str">
        <f>IFERROR(__xludf.DUMMYFUNCTION("""COMPUTED_VALUE"""),"H. Jose Maria Vargas LG")</f>
        <v>H. Jose Maria Vargas LG</v>
      </c>
      <c r="C403" s="45" t="str">
        <f>IFERROR(__xludf.DUMMYFUNCTION("""COMPUTED_VALUE"""),"MONTANA ROSIO")</f>
        <v>MONTANA ROSIO</v>
      </c>
      <c r="D403" s="44" t="str">
        <f>IFERROR(__xludf.DUMMYFUNCTION("""COMPUTED_VALUE""")," ")</f>
        <v> </v>
      </c>
      <c r="E403" s="44" t="str">
        <f>IFERROR(__xludf.DUMMYFUNCTION("""COMPUTED_VALUE"""),"2007992")</f>
        <v>2007992</v>
      </c>
      <c r="F403" s="44" t="str">
        <f>IFERROR(__xludf.DUMMYFUNCTION("""COMPUTED_VALUE"""),"")</f>
        <v/>
      </c>
      <c r="G403" s="44" t="str">
        <f>IFERROR(__xludf.DUMMYFUNCTION("""COMPUTED_VALUE""")," ")</f>
        <v> </v>
      </c>
      <c r="H403" s="44" t="str">
        <f>IFERROR(__xludf.DUMMYFUNCTION("""COMPUTED_VALUE""")," ")</f>
        <v> </v>
      </c>
      <c r="I403" s="44" t="str">
        <f>IFERROR(__xludf.DUMMYFUNCTION("""COMPUTED_VALUE""")," ")</f>
        <v> </v>
      </c>
      <c r="J403" s="44" t="str">
        <f>IFERROR(__xludf.DUMMYFUNCTION("""COMPUTED_VALUE"""),"")</f>
        <v/>
      </c>
      <c r="K403" s="42" t="str">
        <f>IFERROR(__xludf.DUMMYFUNCTION("""COMPUTED_VALUE"""),"H. Jose Maria Vargas LG")</f>
        <v>H. Jose Maria Vargas LG</v>
      </c>
    </row>
    <row r="404">
      <c r="A404" s="44">
        <v>403.0</v>
      </c>
      <c r="B404" s="44" t="str">
        <f>IFERROR(__xludf.DUMMYFUNCTION("""COMPUTED_VALUE"""),"Hospital Pérez Carreño")</f>
        <v>Hospital Pérez Carreño</v>
      </c>
      <c r="C404" s="45" t="str">
        <f>IFERROR(__xludf.DUMMYFUNCTION("""COMPUTED_VALUE"""),"Evan Armando Rivas")</f>
        <v>Evan Armando Rivas</v>
      </c>
      <c r="D404" s="44"/>
      <c r="E404" s="44" t="str">
        <f>IFERROR(__xludf.DUMMYFUNCTION("""COMPUTED_VALUE"""),"20098909")</f>
        <v>20098909</v>
      </c>
      <c r="F404" s="44" t="str">
        <f>IFERROR(__xludf.DUMMYFUNCTION("""COMPUTED_VALUE"""),"")</f>
        <v/>
      </c>
      <c r="G404" s="44" t="str">
        <f>IFERROR(__xludf.DUMMYFUNCTION("""COMPUTED_VALUE"""),"Nuevos Ingresos 25/06/2026")</f>
        <v>Nuevos Ingresos 25/06/2026</v>
      </c>
      <c r="H404" s="44" t="str">
        <f>IFERROR(__xludf.DUMMYFUNCTION("""COMPUTED_VALUE"""),"Hospital Miguel Perez Carreño")</f>
        <v>Hospital Miguel Perez Carreño</v>
      </c>
      <c r="I404" s="44"/>
      <c r="J404" s="44" t="str">
        <f>IFERROR(__xludf.DUMMYFUNCTION("""COMPUTED_VALUE"""),"26/6/26")</f>
        <v>26/6/26</v>
      </c>
      <c r="K404" s="42" t="str">
        <f>IFERROR(__xludf.DUMMYFUNCTION("""COMPUTED_VALUE"""),"Hospital Pérez Carreño")</f>
        <v>Hospital Pérez Carreño</v>
      </c>
    </row>
    <row r="405">
      <c r="A405" s="44">
        <v>404.0</v>
      </c>
      <c r="B405" s="44" t="str">
        <f>IFERROR(__xludf.DUMMYFUNCTION("""COMPUTED_VALUE"""),"Hospital Militar Dr. C. Arvelo")</f>
        <v>Hospital Militar Dr. C. Arvelo</v>
      </c>
      <c r="C405" s="45" t="str">
        <f>IFERROR(__xludf.DUMMYFUNCTION("""COMPUTED_VALUE"""),"Alondra Díaz Delismar del V.")</f>
        <v>Alondra Díaz Delismar del V.</v>
      </c>
      <c r="D405" s="44">
        <f>IFERROR(__xludf.DUMMYFUNCTION("""COMPUTED_VALUE"""),35.0)</f>
        <v>35</v>
      </c>
      <c r="E405" s="44" t="str">
        <f>IFERROR(__xludf.DUMMYFUNCTION("""COMPUTED_VALUE"""),"20102925")</f>
        <v>20102925</v>
      </c>
      <c r="F405" s="44" t="str">
        <f>IFERROR(__xludf.DUMMYFUNCTION("""COMPUTED_VALUE"""),"")</f>
        <v/>
      </c>
      <c r="G405" s="44" t="str">
        <f>IFERROR(__xludf.DUMMYFUNCTION("""COMPUTED_VALUE"""),"")</f>
        <v/>
      </c>
      <c r="H405" s="44" t="str">
        <f>IFERROR(__xludf.DUMMYFUNCTION("""COMPUTED_VALUE"""),"F")</f>
        <v>F</v>
      </c>
      <c r="I405" s="44" t="str">
        <f>IFERROR(__xludf.DUMMYFUNCTION("""COMPUTED_VALUE"""),"Higuerote S/P")</f>
        <v>Higuerote S/P</v>
      </c>
      <c r="J405" s="44" t="str">
        <f>IFERROR(__xludf.DUMMYFUNCTION("""COMPUTED_VALUE"""),"24/6/2026")</f>
        <v>24/6/2026</v>
      </c>
      <c r="K405" s="42" t="str">
        <f>IFERROR(__xludf.DUMMYFUNCTION("""COMPUTED_VALUE"""),"Hospital Militar Dr. C. Arvelo")</f>
        <v>Hospital Militar Dr. C. Arvelo</v>
      </c>
    </row>
    <row r="406">
      <c r="A406" s="44">
        <v>405.0</v>
      </c>
      <c r="B406" s="44" t="str">
        <f>IFERROR(__xludf.DUMMYFUNCTION("""COMPUTED_VALUE"""),"Hospital Dr. José Gregorio Hern")</f>
        <v>Hospital Dr. José Gregorio Hern</v>
      </c>
      <c r="C406" s="45" t="str">
        <f>IFERROR(__xludf.DUMMYFUNCTION("""COMPUTED_VALUE"""),"HERNANDEZ CRIEMARY")</f>
        <v>HERNANDEZ CRIEMARY</v>
      </c>
      <c r="D406" s="44">
        <f>IFERROR(__xludf.DUMMYFUNCTION("""COMPUTED_VALUE"""),44.0)</f>
        <v>44</v>
      </c>
      <c r="E406" s="44" t="str">
        <f>IFERROR(__xludf.DUMMYFUNCTION("""COMPUTED_VALUE"""),"20127874")</f>
        <v>20127874</v>
      </c>
      <c r="F406" s="44" t="str">
        <f>IFERROR(__xludf.DUMMYFUNCTION("""COMPUTED_VALUE"""),"")</f>
        <v/>
      </c>
      <c r="G406" s="44" t="str">
        <f>IFERROR(__xludf.DUMMYFUNCTION("""COMPUTED_VALUE""")," ")</f>
        <v> </v>
      </c>
      <c r="H406" s="44" t="str">
        <f>IFERROR(__xludf.DUMMYFUNCTION("""COMPUTED_VALUE"""),"Catia")</f>
        <v>Catia</v>
      </c>
      <c r="I406" s="44" t="str">
        <f>IFERROR(__xludf.DUMMYFUNCTION("""COMPUTED_VALUE""")," ")</f>
        <v> </v>
      </c>
      <c r="J406" s="44" t="str">
        <f>IFERROR(__xludf.DUMMYFUNCTION("""COMPUTED_VALUE"""),"")</f>
        <v/>
      </c>
      <c r="K406" s="42" t="str">
        <f>IFERROR(__xludf.DUMMYFUNCTION("""COMPUTED_VALUE"""),"Hospital Dr. José Gregorio Hern")</f>
        <v>Hospital Dr. José Gregorio Hern</v>
      </c>
    </row>
    <row r="407">
      <c r="A407" s="44">
        <v>406.0</v>
      </c>
      <c r="B407" s="44" t="str">
        <f>IFERROR(__xludf.DUMMYFUNCTION("""COMPUTED_VALUE"""),"Hospital Ana Francisca Pérez de")</f>
        <v>Hospital Ana Francisca Pérez de</v>
      </c>
      <c r="C407" s="45" t="str">
        <f>IFERROR(__xludf.DUMMYFUNCTION("""COMPUTED_VALUE"""),"YOSLIN MOJO")</f>
        <v>YOSLIN MOJO</v>
      </c>
      <c r="D407" s="44">
        <f>IFERROR(__xludf.DUMMYFUNCTION("""COMPUTED_VALUE"""),33.0)</f>
        <v>33</v>
      </c>
      <c r="E407" s="44" t="str">
        <f>IFERROR(__xludf.DUMMYFUNCTION("""COMPUTED_VALUE"""),"202093400")</f>
        <v>202093400</v>
      </c>
      <c r="F407" s="44" t="str">
        <f>IFERROR(__xludf.DUMMYFUNCTION("""COMPUTED_VALUE"""),"")</f>
        <v/>
      </c>
      <c r="G407" s="44" t="str">
        <f>IFERROR(__xludf.DUMMYFUNCTION("""COMPUTED_VALUE""")," ")</f>
        <v> </v>
      </c>
      <c r="H407" s="44" t="str">
        <f>IFERROR(__xludf.DUMMYFUNCTION("""COMPUTED_VALUE"""),"La Guaira")</f>
        <v>La Guaira</v>
      </c>
      <c r="I407" s="44" t="str">
        <f>IFERROR(__xludf.DUMMYFUNCTION("""COMPUTED_VALUE""")," ")</f>
        <v> </v>
      </c>
      <c r="J407" s="44" t="str">
        <f>IFERROR(__xludf.DUMMYFUNCTION("""COMPUTED_VALUE"""),"")</f>
        <v/>
      </c>
      <c r="K407" s="42" t="str">
        <f>IFERROR(__xludf.DUMMYFUNCTION("""COMPUTED_VALUE"""),"🔍 BUSCAR PACIENTES")</f>
        <v>🔍 BUSCAR PACIENTES</v>
      </c>
    </row>
    <row r="408">
      <c r="A408" s="44">
        <v>407.0</v>
      </c>
      <c r="B408" s="44" t="str">
        <f>IFERROR(__xludf.DUMMYFUNCTION("""COMPUTED_VALUE"""),"Hospital Vargas de Caracas")</f>
        <v>Hospital Vargas de Caracas</v>
      </c>
      <c r="C408" s="45" t="str">
        <f>IFERROR(__xludf.DUMMYFUNCTION("""COMPUTED_VALUE"""),"GUEVARA ALENI")</f>
        <v>GUEVARA ALENI</v>
      </c>
      <c r="D408" s="44" t="str">
        <f>IFERROR(__xludf.DUMMYFUNCTION("""COMPUTED_VALUE""")," ")</f>
        <v> </v>
      </c>
      <c r="E408" s="44" t="str">
        <f>IFERROR(__xludf.DUMMYFUNCTION("""COMPUTED_VALUE"""),"20289079")</f>
        <v>20289079</v>
      </c>
      <c r="F408" s="44" t="str">
        <f>IFERROR(__xludf.DUMMYFUNCTION("""COMPUTED_VALUE""")," ")</f>
        <v> </v>
      </c>
      <c r="G408" s="44" t="str">
        <f>IFERROR(__xludf.DUMMYFUNCTION("""COMPUTED_VALUE"""),"")</f>
        <v/>
      </c>
      <c r="H408" s="44" t="str">
        <f>IFERROR(__xludf.DUMMYFUNCTION("""COMPUTED_VALUE""")," ")</f>
        <v> </v>
      </c>
      <c r="I408" s="44" t="str">
        <f>IFERROR(__xludf.DUMMYFUNCTION("""COMPUTED_VALUE""")," ")</f>
        <v> </v>
      </c>
      <c r="J408" s="44" t="str">
        <f>IFERROR(__xludf.DUMMYFUNCTION("""COMPUTED_VALUE"""),"")</f>
        <v/>
      </c>
      <c r="K408" s="42" t="str">
        <f>IFERROR(__xludf.DUMMYFUNCTION("""COMPUTED_VALUE"""),"Hospital Vargas de Caracas")</f>
        <v>Hospital Vargas de Caracas</v>
      </c>
    </row>
    <row r="409">
      <c r="A409" s="44">
        <v>408.0</v>
      </c>
      <c r="B409" s="44" t="str">
        <f>IFERROR(__xludf.DUMMYFUNCTION("""COMPUTED_VALUE"""),"Hospital Pérez Carreño")</f>
        <v>Hospital Pérez Carreño</v>
      </c>
      <c r="C409" s="45" t="str">
        <f>IFERROR(__xludf.DUMMYFUNCTION("""COMPUTED_VALUE"""),"GIL LEOMANWIL")</f>
        <v>GIL LEOMANWIL</v>
      </c>
      <c r="D409" s="44" t="str">
        <f>IFERROR(__xludf.DUMMYFUNCTION("""COMPUTED_VALUE""")," ")</f>
        <v> </v>
      </c>
      <c r="E409" s="44" t="str">
        <f>IFERROR(__xludf.DUMMYFUNCTION("""COMPUTED_VALUE"""),"20291328")</f>
        <v>20291328</v>
      </c>
      <c r="F409" s="44" t="str">
        <f>IFERROR(__xludf.DUMMYFUNCTION("""COMPUTED_VALUE"""),"")</f>
        <v/>
      </c>
      <c r="G409" s="44" t="str">
        <f>IFERROR(__xludf.DUMMYFUNCTION("""COMPUTED_VALUE""")," ")</f>
        <v> </v>
      </c>
      <c r="H409" s="44" t="str">
        <f>IFERROR(__xludf.DUMMYFUNCTION("""COMPUTED_VALUE""")," ")</f>
        <v> </v>
      </c>
      <c r="I409" s="44" t="str">
        <f>IFERROR(__xludf.DUMMYFUNCTION("""COMPUTED_VALUE"""),"Nuevos Ingresos")</f>
        <v>Nuevos Ingresos</v>
      </c>
      <c r="J409" s="44" t="str">
        <f>IFERROR(__xludf.DUMMYFUNCTION("""COMPUTED_VALUE"""),"25/06/2026")</f>
        <v>25/06/2026</v>
      </c>
      <c r="K409" s="42" t="str">
        <f>IFERROR(__xludf.DUMMYFUNCTION("""COMPUTED_VALUE"""),"Hospital Pérez Carreño")</f>
        <v>Hospital Pérez Carreño</v>
      </c>
    </row>
    <row r="410">
      <c r="A410" s="44">
        <v>409.0</v>
      </c>
      <c r="B410" s="44" t="str">
        <f>IFERROR(__xludf.DUMMYFUNCTION("""COMPUTED_VALUE"""),"Hospital Vargas de Caracas")</f>
        <v>Hospital Vargas de Caracas</v>
      </c>
      <c r="C410" s="45" t="str">
        <f>IFERROR(__xludf.DUMMYFUNCTION("""COMPUTED_VALUE"""),"VELAZQUEZ LUIS")</f>
        <v>VELAZQUEZ LUIS</v>
      </c>
      <c r="D410" s="44" t="str">
        <f>IFERROR(__xludf.DUMMYFUNCTION("""COMPUTED_VALUE""")," ")</f>
        <v> </v>
      </c>
      <c r="E410" s="44" t="str">
        <f>IFERROR(__xludf.DUMMYFUNCTION("""COMPUTED_VALUE"""),"20303112")</f>
        <v>20303112</v>
      </c>
      <c r="F410" s="44" t="str">
        <f>IFERROR(__xludf.DUMMYFUNCTION("""COMPUTED_VALUE""")," ")</f>
        <v> </v>
      </c>
      <c r="G410" s="44" t="str">
        <f>IFERROR(__xludf.DUMMYFUNCTION("""COMPUTED_VALUE"""),"")</f>
        <v/>
      </c>
      <c r="H410" s="44" t="str">
        <f>IFERROR(__xludf.DUMMYFUNCTION("""COMPUTED_VALUE""")," ")</f>
        <v> </v>
      </c>
      <c r="I410" s="44" t="str">
        <f>IFERROR(__xludf.DUMMYFUNCTION("""COMPUTED_VALUE""")," ")</f>
        <v> </v>
      </c>
      <c r="J410" s="44" t="str">
        <f>IFERROR(__xludf.DUMMYFUNCTION("""COMPUTED_VALUE"""),"")</f>
        <v/>
      </c>
      <c r="K410" s="42" t="str">
        <f>IFERROR(__xludf.DUMMYFUNCTION("""COMPUTED_VALUE"""),"Hospital Vargas de Caracas")</f>
        <v>Hospital Vargas de Caracas</v>
      </c>
    </row>
    <row r="411">
      <c r="A411" s="44">
        <v>410.0</v>
      </c>
      <c r="B411" s="44" t="str">
        <f>IFERROR(__xludf.DUMMYFUNCTION("""COMPUTED_VALUE"""),"Hospital Vargas de Caracas")</f>
        <v>Hospital Vargas de Caracas</v>
      </c>
      <c r="C411" s="45" t="str">
        <f>IFERROR(__xludf.DUMMYFUNCTION("""COMPUTED_VALUE"""),"ROMERO DAILA")</f>
        <v>ROMERO DAILA</v>
      </c>
      <c r="D411" s="44" t="str">
        <f>IFERROR(__xludf.DUMMYFUNCTION("""COMPUTED_VALUE""")," ")</f>
        <v> </v>
      </c>
      <c r="E411" s="44" t="str">
        <f>IFERROR(__xludf.DUMMYFUNCTION("""COMPUTED_VALUE"""),"20303407")</f>
        <v>20303407</v>
      </c>
      <c r="F411" s="44" t="str">
        <f>IFERROR(__xludf.DUMMYFUNCTION("""COMPUTED_VALUE""")," ")</f>
        <v> </v>
      </c>
      <c r="G411" s="44" t="str">
        <f>IFERROR(__xludf.DUMMYFUNCTION("""COMPUTED_VALUE"""),"")</f>
        <v/>
      </c>
      <c r="H411" s="44" t="str">
        <f>IFERROR(__xludf.DUMMYFUNCTION("""COMPUTED_VALUE""")," ")</f>
        <v> </v>
      </c>
      <c r="I411" s="44" t="str">
        <f>IFERROR(__xludf.DUMMYFUNCTION("""COMPUTED_VALUE""")," ")</f>
        <v> </v>
      </c>
      <c r="J411" s="44" t="str">
        <f>IFERROR(__xludf.DUMMYFUNCTION("""COMPUTED_VALUE"""),"")</f>
        <v/>
      </c>
      <c r="K411" s="42" t="str">
        <f>IFERROR(__xludf.DUMMYFUNCTION("""COMPUTED_VALUE"""),"Hospital Vargas de Caracas")</f>
        <v>Hospital Vargas de Caracas</v>
      </c>
    </row>
    <row r="412">
      <c r="A412" s="44">
        <v>411.0</v>
      </c>
      <c r="B412" s="44" t="str">
        <f>IFERROR(__xludf.DUMMYFUNCTION("""COMPUTED_VALUE"""),"Hospital Vargas de Caracas")</f>
        <v>Hospital Vargas de Caracas</v>
      </c>
      <c r="C412" s="45" t="str">
        <f>IFERROR(__xludf.DUMMYFUNCTION("""COMPUTED_VALUE"""),"TOLISHE GARCIA")</f>
        <v>TOLISHE GARCIA</v>
      </c>
      <c r="D412" s="44" t="str">
        <f>IFERROR(__xludf.DUMMYFUNCTION("""COMPUTED_VALUE""")," ")</f>
        <v> </v>
      </c>
      <c r="E412" s="44" t="str">
        <f>IFERROR(__xludf.DUMMYFUNCTION("""COMPUTED_VALUE"""),"20523436")</f>
        <v>20523436</v>
      </c>
      <c r="F412" s="44" t="str">
        <f>IFERROR(__xludf.DUMMYFUNCTION("""COMPUTED_VALUE""")," ")</f>
        <v> </v>
      </c>
      <c r="G412" s="44" t="str">
        <f>IFERROR(__xludf.DUMMYFUNCTION("""COMPUTED_VALUE"""),"")</f>
        <v/>
      </c>
      <c r="H412" s="44" t="str">
        <f>IFERROR(__xludf.DUMMYFUNCTION("""COMPUTED_VALUE"""),"Guaira")</f>
        <v>Guaira</v>
      </c>
      <c r="I412" s="44" t="str">
        <f>IFERROR(__xludf.DUMMYFUNCTION("""COMPUTED_VALUE""")," ")</f>
        <v> </v>
      </c>
      <c r="J412" s="44" t="str">
        <f>IFERROR(__xludf.DUMMYFUNCTION("""COMPUTED_VALUE"""),"")</f>
        <v/>
      </c>
      <c r="K412" s="42" t="str">
        <f>IFERROR(__xludf.DUMMYFUNCTION("""COMPUTED_VALUE"""),"Hospital Vargas de Caracas")</f>
        <v>Hospital Vargas de Caracas</v>
      </c>
    </row>
    <row r="413">
      <c r="A413" s="44">
        <v>412.0</v>
      </c>
      <c r="B413" s="44" t="str">
        <f>IFERROR(__xludf.DUMMYFUNCTION("""COMPUTED_VALUE"""),"Periférico de Catia")</f>
        <v>Periférico de Catia</v>
      </c>
      <c r="C413" s="45" t="str">
        <f>IFERROR(__xludf.DUMMYFUNCTION("""COMPUTED_VALUE"""),"TORTOSO OSCAR")</f>
        <v>TORTOSO OSCAR</v>
      </c>
      <c r="D413" s="44">
        <f>IFERROR(__xludf.DUMMYFUNCTION("""COMPUTED_VALUE"""),37.0)</f>
        <v>37</v>
      </c>
      <c r="E413" s="44" t="str">
        <f>IFERROR(__xludf.DUMMYFUNCTION("""COMPUTED_VALUE"""),"20558047")</f>
        <v>20558047</v>
      </c>
      <c r="F413" s="44" t="str">
        <f>IFERROR(__xludf.DUMMYFUNCTION("""COMPUTED_VALUE"""),"")</f>
        <v/>
      </c>
      <c r="G413" s="44" t="str">
        <f>IFERROR(__xludf.DUMMYFUNCTION("""COMPUTED_VALUE""")," ")</f>
        <v> </v>
      </c>
      <c r="H413" s="44" t="str">
        <f>IFERROR(__xludf.DUMMYFUNCTION("""COMPUTED_VALUE""")," ")</f>
        <v> </v>
      </c>
      <c r="I413" s="44" t="str">
        <f>IFERROR(__xludf.DUMMYFUNCTION("""COMPUTED_VALUE"""),"Cirugía General")</f>
        <v>Cirugía General</v>
      </c>
      <c r="J413" s="44" t="str">
        <f>IFERROR(__xludf.DUMMYFUNCTION("""COMPUTED_VALUE"""),"")</f>
        <v/>
      </c>
      <c r="K413" s="42" t="str">
        <f>IFERROR(__xludf.DUMMYFUNCTION("""COMPUTED_VALUE"""),"Periférico de Catia")</f>
        <v>Periférico de Catia</v>
      </c>
    </row>
    <row r="414">
      <c r="A414" s="44">
        <v>413.0</v>
      </c>
      <c r="B414" s="44" t="str">
        <f>IFERROR(__xludf.DUMMYFUNCTION("""COMPUTED_VALUE"""),"Periférico de Catia")</f>
        <v>Periférico de Catia</v>
      </c>
      <c r="C414" s="45" t="str">
        <f>IFERROR(__xludf.DUMMYFUNCTION("""COMPUTED_VALUE"""),"OSCAR TORTOZA")</f>
        <v>OSCAR TORTOZA</v>
      </c>
      <c r="D414" s="44">
        <f>IFERROR(__xludf.DUMMYFUNCTION("""COMPUTED_VALUE"""),27.0)</f>
        <v>27</v>
      </c>
      <c r="E414" s="44" t="str">
        <f>IFERROR(__xludf.DUMMYFUNCTION("""COMPUTED_VALUE"""),"205580470")</f>
        <v>205580470</v>
      </c>
      <c r="F414" s="44" t="str">
        <f>IFERROR(__xludf.DUMMYFUNCTION("""COMPUTED_VALUE"""),"")</f>
        <v/>
      </c>
      <c r="G414" s="44" t="str">
        <f>IFERROR(__xludf.DUMMYFUNCTION("""COMPUTED_VALUE""")," ")</f>
        <v> </v>
      </c>
      <c r="H414" s="44" t="str">
        <f>IFERROR(__xludf.DUMMYFUNCTION("""COMPUTED_VALUE"""),"Sin información")</f>
        <v>Sin información</v>
      </c>
      <c r="I414" s="44" t="str">
        <f>IFERROR(__xludf.DUMMYFUNCTION("""COMPUTED_VALUE"""),"Cirugía General")</f>
        <v>Cirugía General</v>
      </c>
      <c r="J414" s="44" t="str">
        <f>IFERROR(__xludf.DUMMYFUNCTION("""COMPUTED_VALUE"""),"")</f>
        <v/>
      </c>
      <c r="K414" s="42" t="str">
        <f>IFERROR(__xludf.DUMMYFUNCTION("""COMPUTED_VALUE"""),"Periférico de Catia")</f>
        <v>Periférico de Catia</v>
      </c>
    </row>
    <row r="415">
      <c r="A415" s="44">
        <v>414.0</v>
      </c>
      <c r="B415" s="44" t="str">
        <f>IFERROR(__xludf.DUMMYFUNCTION("""COMPUTED_VALUE"""),"Hospital Vargas de Caracas")</f>
        <v>Hospital Vargas de Caracas</v>
      </c>
      <c r="C415" s="45" t="str">
        <f>IFERROR(__xludf.DUMMYFUNCTION("""COMPUTED_VALUE"""),"ISAGUIRRE LUIS")</f>
        <v>ISAGUIRRE LUIS</v>
      </c>
      <c r="D415" s="44" t="str">
        <f>IFERROR(__xludf.DUMMYFUNCTION("""COMPUTED_VALUE""")," ")</f>
        <v> </v>
      </c>
      <c r="E415" s="44" t="str">
        <f>IFERROR(__xludf.DUMMYFUNCTION("""COMPUTED_VALUE"""),"20558133")</f>
        <v>20558133</v>
      </c>
      <c r="F415" s="44" t="str">
        <f>IFERROR(__xludf.DUMMYFUNCTION("""COMPUTED_VALUE""")," ")</f>
        <v> </v>
      </c>
      <c r="G415" s="44" t="str">
        <f>IFERROR(__xludf.DUMMYFUNCTION("""COMPUTED_VALUE"""),"")</f>
        <v/>
      </c>
      <c r="H415" s="44" t="str">
        <f>IFERROR(__xludf.DUMMYFUNCTION("""COMPUTED_VALUE""")," ")</f>
        <v> </v>
      </c>
      <c r="I415" s="44" t="str">
        <f>IFERROR(__xludf.DUMMYFUNCTION("""COMPUTED_VALUE""")," ")</f>
        <v> </v>
      </c>
      <c r="J415" s="44" t="str">
        <f>IFERROR(__xludf.DUMMYFUNCTION("""COMPUTED_VALUE"""),"")</f>
        <v/>
      </c>
      <c r="K415" s="42" t="str">
        <f>IFERROR(__xludf.DUMMYFUNCTION("""COMPUTED_VALUE"""),"Hospital Vargas de Caracas")</f>
        <v>Hospital Vargas de Caracas</v>
      </c>
    </row>
    <row r="416">
      <c r="A416" s="44">
        <v>415.0</v>
      </c>
      <c r="B416" s="44" t="str">
        <f>IFERROR(__xludf.DUMMYFUNCTION("""COMPUTED_VALUE"""),"Hospital Vargas de Caracas")</f>
        <v>Hospital Vargas de Caracas</v>
      </c>
      <c r="C416" s="45" t="str">
        <f>IFERROR(__xludf.DUMMYFUNCTION("""COMPUTED_VALUE"""),"CHARLES LEIDI")</f>
        <v>CHARLES LEIDI</v>
      </c>
      <c r="D416" s="44">
        <f>IFERROR(__xludf.DUMMYFUNCTION("""COMPUTED_VALUE"""),33.0)</f>
        <v>33</v>
      </c>
      <c r="E416" s="44" t="str">
        <f>IFERROR(__xludf.DUMMYFUNCTION("""COMPUTED_VALUE"""),"20558903")</f>
        <v>20558903</v>
      </c>
      <c r="F416" s="44" t="str">
        <f>IFERROR(__xludf.DUMMYFUNCTION("""COMPUTED_VALUE""")," ")</f>
        <v> </v>
      </c>
      <c r="G416" s="44" t="str">
        <f>IFERROR(__xludf.DUMMYFUNCTION("""COMPUTED_VALUE"""),"")</f>
        <v/>
      </c>
      <c r="H416" s="44" t="str">
        <f>IFERROR(__xludf.DUMMYFUNCTION("""COMPUTED_VALUE"""),"La Guaira (Bombona)")</f>
        <v>La Guaira (Bombona)</v>
      </c>
      <c r="I416" s="44" t="str">
        <f>IFERROR(__xludf.DUMMYFUNCTION("""COMPUTED_VALUE"""),"UPT – No Habla")</f>
        <v>UPT – No Habla</v>
      </c>
      <c r="J416" s="44" t="str">
        <f>IFERROR(__xludf.DUMMYFUNCTION("""COMPUTED_VALUE"""),"")</f>
        <v/>
      </c>
      <c r="K416" s="42" t="str">
        <f>IFERROR(__xludf.DUMMYFUNCTION("""COMPUTED_VALUE"""),"Hospital Vargas de Caracas")</f>
        <v>Hospital Vargas de Caracas</v>
      </c>
    </row>
    <row r="417">
      <c r="A417" s="44">
        <v>416.0</v>
      </c>
      <c r="B417" s="44" t="str">
        <f>IFERROR(__xludf.DUMMYFUNCTION("""COMPUTED_VALUE"""),"H. Jose Maria Vargas LG")</f>
        <v>H. Jose Maria Vargas LG</v>
      </c>
      <c r="C417" s="45" t="str">
        <f>IFERROR(__xludf.DUMMYFUNCTION("""COMPUTED_VALUE"""),"QUINTERO BELEN")</f>
        <v>QUINTERO BELEN</v>
      </c>
      <c r="D417" s="44" t="str">
        <f>IFERROR(__xludf.DUMMYFUNCTION("""COMPUTED_VALUE""")," ")</f>
        <v> </v>
      </c>
      <c r="E417" s="44" t="str">
        <f>IFERROR(__xludf.DUMMYFUNCTION("""COMPUTED_VALUE"""),"20560037")</f>
        <v>20560037</v>
      </c>
      <c r="F417" s="44" t="str">
        <f>IFERROR(__xludf.DUMMYFUNCTION("""COMPUTED_VALUE"""),"")</f>
        <v/>
      </c>
      <c r="G417" s="44" t="str">
        <f>IFERROR(__xludf.DUMMYFUNCTION("""COMPUTED_VALUE""")," ")</f>
        <v> </v>
      </c>
      <c r="H417" s="44" t="str">
        <f>IFERROR(__xludf.DUMMYFUNCTION("""COMPUTED_VALUE"""),"Bowling")</f>
        <v>Bowling</v>
      </c>
      <c r="I417" s="44" t="str">
        <f>IFERROR(__xludf.DUMMYFUNCTION("""COMPUTED_VALUE""")," ")</f>
        <v> </v>
      </c>
      <c r="J417" s="44" t="str">
        <f>IFERROR(__xludf.DUMMYFUNCTION("""COMPUTED_VALUE"""),"")</f>
        <v/>
      </c>
      <c r="K417" s="42" t="str">
        <f>IFERROR(__xludf.DUMMYFUNCTION("""COMPUTED_VALUE"""),"H. Jose Maria Vargas LG")</f>
        <v>H. Jose Maria Vargas LG</v>
      </c>
    </row>
    <row r="418">
      <c r="A418" s="44">
        <v>417.0</v>
      </c>
      <c r="B418" s="44" t="str">
        <f>IFERROR(__xludf.DUMMYFUNCTION("""COMPUTED_VALUE"""),"Seguro Social La Guaira")</f>
        <v>Seguro Social La Guaira</v>
      </c>
      <c r="C418" s="45" t="str">
        <f>IFERROR(__xludf.DUMMYFUNCTION("""COMPUTED_VALUE"""),"BELEN QUINTERO")</f>
        <v>BELEN QUINTERO</v>
      </c>
      <c r="D418" s="44" t="str">
        <f>IFERROR(__xludf.DUMMYFUNCTION("""COMPUTED_VALUE""")," ")</f>
        <v> </v>
      </c>
      <c r="E418" s="44" t="str">
        <f>IFERROR(__xludf.DUMMYFUNCTION("""COMPUTED_VALUE"""),"205600370")</f>
        <v>205600370</v>
      </c>
      <c r="F418" s="44" t="str">
        <f>IFERROR(__xludf.DUMMYFUNCTION("""COMPUTED_VALUE"""),"")</f>
        <v/>
      </c>
      <c r="G418" s="44" t="str">
        <f>IFERROR(__xludf.DUMMYFUNCTION("""COMPUTED_VALUE""")," ")</f>
        <v> </v>
      </c>
      <c r="H418" s="44" t="str">
        <f>IFERROR(__xludf.DUMMYFUNCTION("""COMPUTED_VALUE"""),"Barlin")</f>
        <v>Barlin</v>
      </c>
      <c r="I418" s="44" t="str">
        <f>IFERROR(__xludf.DUMMYFUNCTION("""COMPUTED_VALUE""")," ")</f>
        <v> </v>
      </c>
      <c r="J418" s="44" t="str">
        <f>IFERROR(__xludf.DUMMYFUNCTION("""COMPUTED_VALUE"""),"")</f>
        <v/>
      </c>
      <c r="K418" s="42" t="str">
        <f>IFERROR(__xludf.DUMMYFUNCTION("""COMPUTED_VALUE"""),"Seguro Social La Guaira")</f>
        <v>Seguro Social La Guaira</v>
      </c>
    </row>
    <row r="419">
      <c r="A419" s="44">
        <v>418.0</v>
      </c>
      <c r="B419" s="44" t="str">
        <f>IFERROR(__xludf.DUMMYFUNCTION("""COMPUTED_VALUE"""),"H. Jose Maria Vargas LG")</f>
        <v>H. Jose Maria Vargas LG</v>
      </c>
      <c r="C419" s="45" t="str">
        <f>IFERROR(__xludf.DUMMYFUNCTION("""COMPUTED_VALUE"""),"ROSALES JAKE")</f>
        <v>ROSALES JAKE</v>
      </c>
      <c r="D419" s="44" t="str">
        <f>IFERROR(__xludf.DUMMYFUNCTION("""COMPUTED_VALUE""")," ")</f>
        <v> </v>
      </c>
      <c r="E419" s="44" t="str">
        <f>IFERROR(__xludf.DUMMYFUNCTION("""COMPUTED_VALUE"""),"20560612")</f>
        <v>20560612</v>
      </c>
      <c r="F419" s="44" t="str">
        <f>IFERROR(__xludf.DUMMYFUNCTION("""COMPUTED_VALUE"""),"")</f>
        <v/>
      </c>
      <c r="G419" s="44" t="str">
        <f>IFERROR(__xludf.DUMMYFUNCTION("""COMPUTED_VALUE""")," ")</f>
        <v> </v>
      </c>
      <c r="H419" s="44" t="str">
        <f>IFERROR(__xludf.DUMMYFUNCTION("""COMPUTED_VALUE"""),"Tanaguarena")</f>
        <v>Tanaguarena</v>
      </c>
      <c r="I419" s="44" t="str">
        <f>IFERROR(__xludf.DUMMYFUNCTION("""COMPUTED_VALUE""")," ")</f>
        <v> </v>
      </c>
      <c r="J419" s="44" t="str">
        <f>IFERROR(__xludf.DUMMYFUNCTION("""COMPUTED_VALUE"""),"")</f>
        <v/>
      </c>
      <c r="K419" s="42" t="str">
        <f>IFERROR(__xludf.DUMMYFUNCTION("""COMPUTED_VALUE"""),"H. Jose Maria Vargas LG")</f>
        <v>H. Jose Maria Vargas LG</v>
      </c>
    </row>
    <row r="420">
      <c r="A420" s="44">
        <v>419.0</v>
      </c>
      <c r="B420" s="44" t="str">
        <f>IFERROR(__xludf.DUMMYFUNCTION("""COMPUTED_VALUE"""),"Hospital Universitario de Caracas")</f>
        <v>Hospital Universitario de Caracas</v>
      </c>
      <c r="C420" s="45" t="str">
        <f>IFERROR(__xludf.DUMMYFUNCTION("""COMPUTED_VALUE"""),"SILVA ABRAHAN / IBRAHIM")</f>
        <v>SILVA ABRAHAN / IBRAHIM</v>
      </c>
      <c r="D420" s="44">
        <f>IFERROR(__xludf.DUMMYFUNCTION("""COMPUTED_VALUE"""),35.0)</f>
        <v>35</v>
      </c>
      <c r="E420" s="44" t="str">
        <f>IFERROR(__xludf.DUMMYFUNCTION("""COMPUTED_VALUE"""),"20562844")</f>
        <v>20562844</v>
      </c>
      <c r="F420" s="44" t="str">
        <f>IFERROR(__xludf.DUMMYFUNCTION("""COMPUTED_VALUE"""),"")</f>
        <v/>
      </c>
      <c r="G420" s="44" t="str">
        <f>IFERROR(__xludf.DUMMYFUNCTION("""COMPUTED_VALUE""")," ")</f>
        <v> </v>
      </c>
      <c r="H420" s="44" t="str">
        <f>IFERROR(__xludf.DUMMYFUNCTION("""COMPUTED_VALUE""")," ")</f>
        <v> </v>
      </c>
      <c r="I420" s="44" t="str">
        <f>IFERROR(__xludf.DUMMYFUNCTION("""COMPUTED_VALUE"""),"Sala Cirugía 19-E – Fx tibia y fémur | Politraumatismo; Fx tibia y fémur")</f>
        <v>Sala Cirugía 19-E – Fx tibia y fémur | Politraumatismo; Fx tibia y fémur</v>
      </c>
      <c r="J420" s="44" t="str">
        <f>IFERROR(__xludf.DUMMYFUNCTION("""COMPUTED_VALUE"""),"")</f>
        <v/>
      </c>
      <c r="K420" s="42" t="str">
        <f>IFERROR(__xludf.DUMMYFUNCTION("""COMPUTED_VALUE"""),"🔍 BUSCAR PACIENTES")</f>
        <v>🔍 BUSCAR PACIENTES</v>
      </c>
    </row>
    <row r="421">
      <c r="A421" s="44">
        <v>420.0</v>
      </c>
      <c r="B421" s="44" t="str">
        <f>IFERROR(__xludf.DUMMYFUNCTION("""COMPUTED_VALUE"""),"Hospital Universitario de Carac")</f>
        <v>Hospital Universitario de Carac</v>
      </c>
      <c r="C421" s="45" t="str">
        <f>IFERROR(__xludf.DUMMYFUNCTION("""COMPUTED_VALUE"""),"Abrahan Silva")</f>
        <v>Abrahan Silva</v>
      </c>
      <c r="D421" s="44">
        <f>IFERROR(__xludf.DUMMYFUNCTION("""COMPUTED_VALUE"""),35.0)</f>
        <v>35</v>
      </c>
      <c r="E421" s="44" t="str">
        <f>IFERROR(__xludf.DUMMYFUNCTION("""COMPUTED_VALUE"""),"20568419")</f>
        <v>20568419</v>
      </c>
      <c r="F421" s="44" t="str">
        <f>IFERROR(__xludf.DUMMYFUNCTION("""COMPUTED_VALUE"""),"")</f>
        <v/>
      </c>
      <c r="G421" s="44"/>
      <c r="H421" s="44" t="str">
        <f>IFERROR(__xludf.DUMMYFUNCTION("""COMPUTED_VALUE"""),"La Guaira")</f>
        <v>La Guaira</v>
      </c>
      <c r="I421" s="44" t="str">
        <f>IFERROR(__xludf.DUMMYFUNCTION("""COMPUTED_VALUE"""),"Politraumatismo")</f>
        <v>Politraumatismo</v>
      </c>
      <c r="J421" s="44" t="str">
        <f>IFERROR(__xludf.DUMMYFUNCTION("""COMPUTED_VALUE"""),"")</f>
        <v/>
      </c>
      <c r="K421" s="42" t="str">
        <f>IFERROR(__xludf.DUMMYFUNCTION("""COMPUTED_VALUE"""),"Hospital Universitario de Carac")</f>
        <v>Hospital Universitario de Carac</v>
      </c>
    </row>
    <row r="422">
      <c r="A422" s="44">
        <v>421.0</v>
      </c>
      <c r="B422" s="44" t="str">
        <f>IFERROR(__xludf.DUMMYFUNCTION("""COMPUTED_VALUE"""),"Hospital Ana Francisca Pérez de")</f>
        <v>Hospital Ana Francisca Pérez de</v>
      </c>
      <c r="C422" s="45" t="str">
        <f>IFERROR(__xludf.DUMMYFUNCTION("""COMPUTED_VALUE"""),"RIO GENESIS")</f>
        <v>RIO GENESIS</v>
      </c>
      <c r="D422" s="44" t="str">
        <f>IFERROR(__xludf.DUMMYFUNCTION("""COMPUTED_VALUE""")," ")</f>
        <v> </v>
      </c>
      <c r="E422" s="44" t="str">
        <f>IFERROR(__xludf.DUMMYFUNCTION("""COMPUTED_VALUE"""),"20658046")</f>
        <v>20658046</v>
      </c>
      <c r="F422" s="44" t="str">
        <f>IFERROR(__xludf.DUMMYFUNCTION("""COMPUTED_VALUE"""),"")</f>
        <v/>
      </c>
      <c r="G422" s="44" t="str">
        <f>IFERROR(__xludf.DUMMYFUNCTION("""COMPUTED_VALUE""")," ")</f>
        <v> </v>
      </c>
      <c r="H422" s="44" t="str">
        <f>IFERROR(__xludf.DUMMYFUNCTION("""COMPUTED_VALUE""")," ")</f>
        <v> </v>
      </c>
      <c r="I422" s="44" t="str">
        <f>IFERROR(__xludf.DUMMYFUNCTION("""COMPUTED_VALUE"""),"Internado")</f>
        <v>Internado</v>
      </c>
      <c r="J422" s="44" t="str">
        <f>IFERROR(__xludf.DUMMYFUNCTION("""COMPUTED_VALUE"""),"")</f>
        <v/>
      </c>
      <c r="K422" s="42" t="str">
        <f>IFERROR(__xludf.DUMMYFUNCTION("""COMPUTED_VALUE"""),"Hospital Ana Francisca Pérez de")</f>
        <v>Hospital Ana Francisca Pérez de</v>
      </c>
    </row>
    <row r="423">
      <c r="A423" s="44">
        <v>422.0</v>
      </c>
      <c r="B423" s="44" t="str">
        <f>IFERROR(__xludf.DUMMYFUNCTION("""COMPUTED_VALUE"""),"Hospital Ana Francisca Pérez de")</f>
        <v>Hospital Ana Francisca Pérez de</v>
      </c>
      <c r="C423" s="45" t="str">
        <f>IFERROR(__xludf.DUMMYFUNCTION("""COMPUTED_VALUE"""),"HOYO JOSLIN")</f>
        <v>HOYO JOSLIN</v>
      </c>
      <c r="D423" s="44">
        <f>IFERROR(__xludf.DUMMYFUNCTION("""COMPUTED_VALUE"""),33.0)</f>
        <v>33</v>
      </c>
      <c r="E423" s="44" t="str">
        <f>IFERROR(__xludf.DUMMYFUNCTION("""COMPUTED_VALUE"""),"20703410")</f>
        <v>20703410</v>
      </c>
      <c r="F423" s="44" t="str">
        <f>IFERROR(__xludf.DUMMYFUNCTION("""COMPUTED_VALUE"""),"")</f>
        <v/>
      </c>
      <c r="G423" s="44" t="str">
        <f>IFERROR(__xludf.DUMMYFUNCTION("""COMPUTED_VALUE""")," ")</f>
        <v> </v>
      </c>
      <c r="H423" s="44" t="str">
        <f>IFERROR(__xludf.DUMMYFUNCTION("""COMPUTED_VALUE"""),"La Guaira")</f>
        <v>La Guaira</v>
      </c>
      <c r="I423" s="44" t="str">
        <f>IFERROR(__xludf.DUMMYFUNCTION("""COMPUTED_VALUE""")," ")</f>
        <v> </v>
      </c>
      <c r="J423" s="44" t="str">
        <f>IFERROR(__xludf.DUMMYFUNCTION("""COMPUTED_VALUE"""),"")</f>
        <v/>
      </c>
      <c r="K423" s="42" t="str">
        <f>IFERROR(__xludf.DUMMYFUNCTION("""COMPUTED_VALUE"""),"Hospital Ana Francisca Pérez de")</f>
        <v>Hospital Ana Francisca Pérez de</v>
      </c>
    </row>
    <row r="424">
      <c r="A424" s="44">
        <v>423.0</v>
      </c>
      <c r="B424" s="44" t="str">
        <f>IFERROR(__xludf.DUMMYFUNCTION("""COMPUTED_VALUE"""),"Hospital Universitario de Carac")</f>
        <v>Hospital Universitario de Carac</v>
      </c>
      <c r="C424" s="45" t="str">
        <f>IFERROR(__xludf.DUMMYFUNCTION("""COMPUTED_VALUE"""),"Antonio Ahanma")</f>
        <v>Antonio Ahanma</v>
      </c>
      <c r="D424" s="44">
        <f>IFERROR(__xludf.DUMMYFUNCTION("""COMPUTED_VALUE"""),66.0)</f>
        <v>66</v>
      </c>
      <c r="E424" s="44" t="str">
        <f>IFERROR(__xludf.DUMMYFUNCTION("""COMPUTED_VALUE"""),"2072832")</f>
        <v>2072832</v>
      </c>
      <c r="F424" s="44" t="str">
        <f>IFERROR(__xludf.DUMMYFUNCTION("""COMPUTED_VALUE"""),"")</f>
        <v/>
      </c>
      <c r="G424" s="44"/>
      <c r="H424" s="44" t="str">
        <f>IFERROR(__xludf.DUMMYFUNCTION("""COMPUTED_VALUE"""),"Av. Roosevelt")</f>
        <v>Av. Roosevelt</v>
      </c>
      <c r="I424" s="44" t="str">
        <f>IFERROR(__xludf.DUMMYFUNCTION("""COMPUTED_VALUE"""),"Politraumatismo")</f>
        <v>Politraumatismo</v>
      </c>
      <c r="J424" s="44" t="str">
        <f>IFERROR(__xludf.DUMMYFUNCTION("""COMPUTED_VALUE"""),"")</f>
        <v/>
      </c>
      <c r="K424" s="42" t="str">
        <f>IFERROR(__xludf.DUMMYFUNCTION("""COMPUTED_VALUE"""),"Hospital Universitario de Carac")</f>
        <v>Hospital Universitario de Carac</v>
      </c>
    </row>
    <row r="425">
      <c r="A425" s="44">
        <v>424.0</v>
      </c>
      <c r="B425" s="44" t="str">
        <f>IFERROR(__xludf.DUMMYFUNCTION("""COMPUTED_VALUE"""),"Hospital Dr. José Gregorio Hern")</f>
        <v>Hospital Dr. José Gregorio Hern</v>
      </c>
      <c r="C425" s="45" t="str">
        <f>IFERROR(__xludf.DUMMYFUNCTION("""COMPUTED_VALUE"""),"MAZA GALPAN")</f>
        <v>MAZA GALPAN</v>
      </c>
      <c r="D425" s="44">
        <f>IFERROR(__xludf.DUMMYFUNCTION("""COMPUTED_VALUE"""),30.0)</f>
        <v>30</v>
      </c>
      <c r="E425" s="44" t="str">
        <f>IFERROR(__xludf.DUMMYFUNCTION("""COMPUTED_VALUE"""),"20779273")</f>
        <v>20779273</v>
      </c>
      <c r="F425" s="44" t="str">
        <f>IFERROR(__xludf.DUMMYFUNCTION("""COMPUTED_VALUE"""),"")</f>
        <v/>
      </c>
      <c r="G425" s="44" t="str">
        <f>IFERROR(__xludf.DUMMYFUNCTION("""COMPUTED_VALUE""")," ")</f>
        <v> </v>
      </c>
      <c r="H425" s="44" t="str">
        <f>IFERROR(__xludf.DUMMYFUNCTION("""COMPUTED_VALUE""")," ")</f>
        <v> </v>
      </c>
      <c r="I425" s="44" t="str">
        <f>IFERROR(__xludf.DUMMYFUNCTION("""COMPUTED_VALUE"""),"Internado")</f>
        <v>Internado</v>
      </c>
      <c r="J425" s="44" t="str">
        <f>IFERROR(__xludf.DUMMYFUNCTION("""COMPUTED_VALUE"""),"")</f>
        <v/>
      </c>
      <c r="K425" s="42" t="str">
        <f>IFERROR(__xludf.DUMMYFUNCTION("""COMPUTED_VALUE"""),"Hospital Dr. José Gregorio Hern")</f>
        <v>Hospital Dr. José Gregorio Hern</v>
      </c>
    </row>
    <row r="426">
      <c r="A426" s="44">
        <v>425.0</v>
      </c>
      <c r="B426" s="44" t="str">
        <f>IFERROR(__xludf.DUMMYFUNCTION("""COMPUTED_VALUE"""),"Hospital Domingo Luciani")</f>
        <v>Hospital Domingo Luciani</v>
      </c>
      <c r="C426" s="45" t="str">
        <f>IFERROR(__xludf.DUMMYFUNCTION("""COMPUTED_VALUE"""),"MENDOZA ASTRID")</f>
        <v>MENDOZA ASTRID</v>
      </c>
      <c r="D426" s="44">
        <f>IFERROR(__xludf.DUMMYFUNCTION("""COMPUTED_VALUE"""),38.0)</f>
        <v>38</v>
      </c>
      <c r="E426" s="44" t="str">
        <f>IFERROR(__xludf.DUMMYFUNCTION("""COMPUTED_VALUE"""),"20781654")</f>
        <v>20781654</v>
      </c>
      <c r="F426" s="44" t="str">
        <f>IFERROR(__xludf.DUMMYFUNCTION("""COMPUTED_VALUE"""),"")</f>
        <v/>
      </c>
      <c r="G426" s="44" t="str">
        <f>IFERROR(__xludf.DUMMYFUNCTION("""COMPUTED_VALUE""")," ")</f>
        <v> </v>
      </c>
      <c r="H426" s="44" t="str">
        <f>IFERROR(__xludf.DUMMYFUNCTION("""COMPUTED_VALUE""")," ")</f>
        <v> </v>
      </c>
      <c r="I426" s="44" t="str">
        <f>IFERROR(__xludf.DUMMYFUNCTION("""COMPUTED_VALUE"""),"Internado; Alta")</f>
        <v>Internado; Alta</v>
      </c>
      <c r="J426" s="44" t="str">
        <f>IFERROR(__xludf.DUMMYFUNCTION("""COMPUTED_VALUE"""),"")</f>
        <v/>
      </c>
      <c r="K426" s="42" t="str">
        <f>IFERROR(__xludf.DUMMYFUNCTION("""COMPUTED_VALUE"""),"🔍 BUSCAR PACIENTES")</f>
        <v>🔍 BUSCAR PACIENTES</v>
      </c>
    </row>
    <row r="427">
      <c r="A427" s="44">
        <v>426.0</v>
      </c>
      <c r="B427" s="44" t="str">
        <f>IFERROR(__xludf.DUMMYFUNCTION("""COMPUTED_VALUE"""),"Hospital Vargas de Caracas")</f>
        <v>Hospital Vargas de Caracas</v>
      </c>
      <c r="C427" s="45" t="str">
        <f>IFERROR(__xludf.DUMMYFUNCTION("""COMPUTED_VALUE"""),"CABRERAS OMAR")</f>
        <v>CABRERAS OMAR</v>
      </c>
      <c r="D427" s="44" t="str">
        <f>IFERROR(__xludf.DUMMYFUNCTION("""COMPUTED_VALUE""")," ")</f>
        <v> </v>
      </c>
      <c r="E427" s="44" t="str">
        <f>IFERROR(__xludf.DUMMYFUNCTION("""COMPUTED_VALUE"""),"2087329")</f>
        <v>2087329</v>
      </c>
      <c r="F427" s="44" t="str">
        <f>IFERROR(__xludf.DUMMYFUNCTION("""COMPUTED_VALUE""")," ")</f>
        <v> </v>
      </c>
      <c r="G427" s="44" t="str">
        <f>IFERROR(__xludf.DUMMYFUNCTION("""COMPUTED_VALUE"""),"")</f>
        <v/>
      </c>
      <c r="H427" s="44" t="str">
        <f>IFERROR(__xludf.DUMMYFUNCTION("""COMPUTED_VALUE""")," ")</f>
        <v> </v>
      </c>
      <c r="I427" s="44" t="str">
        <f>IFERROR(__xludf.DUMMYFUNCTION("""COMPUTED_VALUE""")," ")</f>
        <v> </v>
      </c>
      <c r="J427" s="44" t="str">
        <f>IFERROR(__xludf.DUMMYFUNCTION("""COMPUTED_VALUE"""),"")</f>
        <v/>
      </c>
      <c r="K427" s="42" t="str">
        <f>IFERROR(__xludf.DUMMYFUNCTION("""COMPUTED_VALUE"""),"Hospital Vargas de Caracas")</f>
        <v>Hospital Vargas de Caracas</v>
      </c>
    </row>
    <row r="428">
      <c r="A428" s="44">
        <v>427.0</v>
      </c>
      <c r="B428" s="44" t="str">
        <f>IFERROR(__xludf.DUMMYFUNCTION("""COMPUTED_VALUE"""),"Hospital Militar Dr. C. Arvelo")</f>
        <v>Hospital Militar Dr. C. Arvelo</v>
      </c>
      <c r="C428" s="45" t="str">
        <f>IFERROR(__xludf.DUMMYFUNCTION("""COMPUTED_VALUE"""),"Elías Melo")</f>
        <v>Elías Melo</v>
      </c>
      <c r="D428" s="44">
        <f>IFERROR(__xludf.DUMMYFUNCTION("""COMPUTED_VALUE"""),33.0)</f>
        <v>33</v>
      </c>
      <c r="E428" s="44" t="str">
        <f>IFERROR(__xludf.DUMMYFUNCTION("""COMPUTED_VALUE"""),"20888810")</f>
        <v>20888810</v>
      </c>
      <c r="F428" s="44" t="str">
        <f>IFERROR(__xludf.DUMMYFUNCTION("""COMPUTED_VALUE"""),"")</f>
        <v/>
      </c>
      <c r="G428" s="44" t="str">
        <f>IFERROR(__xludf.DUMMYFUNCTION("""COMPUTED_VALUE"""),"")</f>
        <v/>
      </c>
      <c r="H428" s="44" t="str">
        <f>IFERROR(__xludf.DUMMYFUNCTION("""COMPUTED_VALUE"""),"M")</f>
        <v>M</v>
      </c>
      <c r="I428" s="44" t="str">
        <f>IFERROR(__xludf.DUMMYFUNCTION("""COMPUTED_VALUE"""),"La Guaira PNA")</f>
        <v>La Guaira PNA</v>
      </c>
      <c r="J428" s="44" t="str">
        <f>IFERROR(__xludf.DUMMYFUNCTION("""COMPUTED_VALUE"""),"24/6/2026")</f>
        <v>24/6/2026</v>
      </c>
      <c r="K428" s="42" t="str">
        <f>IFERROR(__xludf.DUMMYFUNCTION("""COMPUTED_VALUE"""),"Hospital Militar Dr. C. Arvelo")</f>
        <v>Hospital Militar Dr. C. Arvelo</v>
      </c>
    </row>
    <row r="429">
      <c r="A429" s="44">
        <v>428.0</v>
      </c>
      <c r="B429" s="44" t="str">
        <f>IFERROR(__xludf.DUMMYFUNCTION("""COMPUTED_VALUE"""),"Hospital Dr. José Gregorio Hern")</f>
        <v>Hospital Dr. José Gregorio Hern</v>
      </c>
      <c r="C429" s="45" t="str">
        <f>IFERROR(__xludf.DUMMYFUNCTION("""COMPUTED_VALUE"""),"BERMUDEZ GENESIS")</f>
        <v>BERMUDEZ GENESIS</v>
      </c>
      <c r="D429" s="44">
        <f>IFERROR(__xludf.DUMMYFUNCTION("""COMPUTED_VALUE"""),33.0)</f>
        <v>33</v>
      </c>
      <c r="E429" s="44" t="str">
        <f>IFERROR(__xludf.DUMMYFUNCTION("""COMPUTED_VALUE"""),"20925605")</f>
        <v>20925605</v>
      </c>
      <c r="F429" s="44" t="str">
        <f>IFERROR(__xludf.DUMMYFUNCTION("""COMPUTED_VALUE"""),"")</f>
        <v/>
      </c>
      <c r="G429" s="44" t="str">
        <f>IFERROR(__xludf.DUMMYFUNCTION("""COMPUTED_VALUE""")," ")</f>
        <v> </v>
      </c>
      <c r="H429" s="44" t="str">
        <f>IFERROR(__xludf.DUMMYFUNCTION("""COMPUTED_VALUE"""),"La Guaira")</f>
        <v>La Guaira</v>
      </c>
      <c r="I429" s="44" t="str">
        <f>IFERROR(__xludf.DUMMYFUNCTION("""COMPUTED_VALUE""")," ")</f>
        <v> </v>
      </c>
      <c r="J429" s="44" t="str">
        <f>IFERROR(__xludf.DUMMYFUNCTION("""COMPUTED_VALUE"""),"")</f>
        <v/>
      </c>
      <c r="K429" s="42" t="str">
        <f>IFERROR(__xludf.DUMMYFUNCTION("""COMPUTED_VALUE"""),"Hospital Dr. José Gregorio Hern")</f>
        <v>Hospital Dr. José Gregorio Hern</v>
      </c>
    </row>
    <row r="430">
      <c r="A430" s="44">
        <v>429.0</v>
      </c>
      <c r="B430" s="44" t="str">
        <f>IFERROR(__xludf.DUMMYFUNCTION("""COMPUTED_VALUE"""),"Hospital Vargas de Caracas")</f>
        <v>Hospital Vargas de Caracas</v>
      </c>
      <c r="C430" s="45" t="str">
        <f>IFERROR(__xludf.DUMMYFUNCTION("""COMPUTED_VALUE"""),"MORENO VAILETH")</f>
        <v>MORENO VAILETH</v>
      </c>
      <c r="D430" s="44" t="str">
        <f>IFERROR(__xludf.DUMMYFUNCTION("""COMPUTED_VALUE""")," ")</f>
        <v> </v>
      </c>
      <c r="E430" s="44" t="str">
        <f>IFERROR(__xludf.DUMMYFUNCTION("""COMPUTED_VALUE"""),"21015899")</f>
        <v>21015899</v>
      </c>
      <c r="F430" s="44" t="str">
        <f>IFERROR(__xludf.DUMMYFUNCTION("""COMPUTED_VALUE""")," ")</f>
        <v> </v>
      </c>
      <c r="G430" s="44" t="str">
        <f>IFERROR(__xludf.DUMMYFUNCTION("""COMPUTED_VALUE"""),"")</f>
        <v/>
      </c>
      <c r="H430" s="44" t="str">
        <f>IFERROR(__xludf.DUMMYFUNCTION("""COMPUTED_VALUE""")," ")</f>
        <v> </v>
      </c>
      <c r="I430" s="44" t="str">
        <f>IFERROR(__xludf.DUMMYFUNCTION("""COMPUTED_VALUE""")," ")</f>
        <v> </v>
      </c>
      <c r="J430" s="44" t="str">
        <f>IFERROR(__xludf.DUMMYFUNCTION("""COMPUTED_VALUE"""),"")</f>
        <v/>
      </c>
      <c r="K430" s="42" t="str">
        <f>IFERROR(__xludf.DUMMYFUNCTION("""COMPUTED_VALUE"""),"Hospital Vargas de Caracas")</f>
        <v>Hospital Vargas de Caracas</v>
      </c>
    </row>
    <row r="431">
      <c r="A431" s="44">
        <v>430.0</v>
      </c>
      <c r="B431" s="44" t="str">
        <f>IFERROR(__xludf.DUMMYFUNCTION("""COMPUTED_VALUE"""),"Seguro Social La Guaira")</f>
        <v>Seguro Social La Guaira</v>
      </c>
      <c r="C431" s="45" t="str">
        <f>IFERROR(__xludf.DUMMYFUNCTION("""COMPUTED_VALUE"""),"PRARIS GL")</f>
        <v>PRARIS GL</v>
      </c>
      <c r="D431" s="44" t="str">
        <f>IFERROR(__xludf.DUMMYFUNCTION("""COMPUTED_VALUE""")," ")</f>
        <v> </v>
      </c>
      <c r="E431" s="44" t="str">
        <f>IFERROR(__xludf.DUMMYFUNCTION("""COMPUTED_VALUE"""),"211713080")</f>
        <v>211713080</v>
      </c>
      <c r="F431" s="44" t="str">
        <f>IFERROR(__xludf.DUMMYFUNCTION("""COMPUTED_VALUE"""),"")</f>
        <v/>
      </c>
      <c r="G431" s="44" t="str">
        <f>IFERROR(__xludf.DUMMYFUNCTION("""COMPUTED_VALUE""")," ")</f>
        <v> </v>
      </c>
      <c r="H431" s="44" t="str">
        <f>IFERROR(__xludf.DUMMYFUNCTION("""COMPUTED_VALUE"""),"Maiquetia Pueblito")</f>
        <v>Maiquetia Pueblito</v>
      </c>
      <c r="I431" s="44" t="str">
        <f>IFERROR(__xludf.DUMMYFUNCTION("""COMPUTED_VALUE""")," ")</f>
        <v> </v>
      </c>
      <c r="J431" s="44" t="str">
        <f>IFERROR(__xludf.DUMMYFUNCTION("""COMPUTED_VALUE"""),"")</f>
        <v/>
      </c>
      <c r="K431" s="42" t="str">
        <f>IFERROR(__xludf.DUMMYFUNCTION("""COMPUTED_VALUE"""),"Seguro Social La Guaira")</f>
        <v>Seguro Social La Guaira</v>
      </c>
    </row>
    <row r="432">
      <c r="A432" s="44">
        <v>431.0</v>
      </c>
      <c r="B432" s="44" t="str">
        <f>IFERROR(__xludf.DUMMYFUNCTION("""COMPUTED_VALUE"""),"H. Jose Maria Vargas LG")</f>
        <v>H. Jose Maria Vargas LG</v>
      </c>
      <c r="C432" s="45" t="str">
        <f>IFERROR(__xludf.DUMMYFUNCTION("""COMPUTED_VALUE"""),"GIL ARAIS")</f>
        <v>GIL ARAIS</v>
      </c>
      <c r="D432" s="44" t="str">
        <f>IFERROR(__xludf.DUMMYFUNCTION("""COMPUTED_VALUE""")," ")</f>
        <v> </v>
      </c>
      <c r="E432" s="44" t="str">
        <f>IFERROR(__xludf.DUMMYFUNCTION("""COMPUTED_VALUE"""),"21191038")</f>
        <v>21191038</v>
      </c>
      <c r="F432" s="44" t="str">
        <f>IFERROR(__xludf.DUMMYFUNCTION("""COMPUTED_VALUE"""),"")</f>
        <v/>
      </c>
      <c r="G432" s="44" t="str">
        <f>IFERROR(__xludf.DUMMYFUNCTION("""COMPUTED_VALUE""")," ")</f>
        <v> </v>
      </c>
      <c r="H432" s="44" t="str">
        <f>IFERROR(__xludf.DUMMYFUNCTION("""COMPUTED_VALUE"""),"Maiquetia")</f>
        <v>Maiquetia</v>
      </c>
      <c r="I432" s="44" t="str">
        <f>IFERROR(__xludf.DUMMYFUNCTION("""COMPUTED_VALUE""")," ")</f>
        <v> </v>
      </c>
      <c r="J432" s="44" t="str">
        <f>IFERROR(__xludf.DUMMYFUNCTION("""COMPUTED_VALUE"""),"")</f>
        <v/>
      </c>
      <c r="K432" s="42" t="str">
        <f>IFERROR(__xludf.DUMMYFUNCTION("""COMPUTED_VALUE"""),"H. Jose Maria Vargas LG")</f>
        <v>H. Jose Maria Vargas LG</v>
      </c>
    </row>
    <row r="433">
      <c r="A433" s="44">
        <v>432.0</v>
      </c>
      <c r="B433" s="44" t="str">
        <f>IFERROR(__xludf.DUMMYFUNCTION("""COMPUTED_VALUE"""),"Hospital Vargas de Caracas")</f>
        <v>Hospital Vargas de Caracas</v>
      </c>
      <c r="C433" s="45" t="str">
        <f>IFERROR(__xludf.DUMMYFUNCTION("""COMPUTED_VALUE"""),"RODRIGUEZ GERANI")</f>
        <v>RODRIGUEZ GERANI</v>
      </c>
      <c r="D433" s="44">
        <f>IFERROR(__xludf.DUMMYFUNCTION("""COMPUTED_VALUE"""),21.0)</f>
        <v>21</v>
      </c>
      <c r="E433" s="44" t="str">
        <f>IFERROR(__xludf.DUMMYFUNCTION("""COMPUTED_VALUE"""),"21204553")</f>
        <v>21204553</v>
      </c>
      <c r="F433" s="44" t="str">
        <f>IFERROR(__xludf.DUMMYFUNCTION("""COMPUTED_VALUE""")," ")</f>
        <v> </v>
      </c>
      <c r="G433" s="44" t="str">
        <f>IFERROR(__xludf.DUMMYFUNCTION("""COMPUTED_VALUE"""),"")</f>
        <v/>
      </c>
      <c r="H433" s="44" t="str">
        <f>IFERROR(__xludf.DUMMYFUNCTION("""COMPUTED_VALUE"""),"La Guaira")</f>
        <v>La Guaira</v>
      </c>
      <c r="I433" s="44" t="str">
        <f>IFERROR(__xludf.DUMMYFUNCTION("""COMPUTED_VALUE"""),"UPT")</f>
        <v>UPT</v>
      </c>
      <c r="J433" s="44" t="str">
        <f>IFERROR(__xludf.DUMMYFUNCTION("""COMPUTED_VALUE"""),"")</f>
        <v/>
      </c>
      <c r="K433" s="42" t="str">
        <f>IFERROR(__xludf.DUMMYFUNCTION("""COMPUTED_VALUE"""),"Hospital Vargas de Caracas")</f>
        <v>Hospital Vargas de Caracas</v>
      </c>
    </row>
    <row r="434">
      <c r="A434" s="44">
        <v>433.0</v>
      </c>
      <c r="B434" s="44" t="str">
        <f>IFERROR(__xludf.DUMMYFUNCTION("""COMPUTED_VALUE"""),"Hospital Militar Dr. C. Arvelo")</f>
        <v>Hospital Militar Dr. C. Arvelo</v>
      </c>
      <c r="C434" s="45" t="str">
        <f>IFERROR(__xludf.DUMMYFUNCTION("""COMPUTED_VALUE"""),"Castillo Deimar")</f>
        <v>Castillo Deimar</v>
      </c>
      <c r="D434" s="44">
        <f>IFERROR(__xludf.DUMMYFUNCTION("""COMPUTED_VALUE"""),33.0)</f>
        <v>33</v>
      </c>
      <c r="E434" s="44" t="str">
        <f>IFERROR(__xludf.DUMMYFUNCTION("""COMPUTED_VALUE"""),"21282503")</f>
        <v>21282503</v>
      </c>
      <c r="F434" s="44" t="str">
        <f>IFERROR(__xludf.DUMMYFUNCTION("""COMPUTED_VALUE"""),"")</f>
        <v/>
      </c>
      <c r="G434" s="44" t="str">
        <f>IFERROR(__xludf.DUMMYFUNCTION("""COMPUTED_VALUE"""),"")</f>
        <v/>
      </c>
      <c r="H434" s="44" t="str">
        <f>IFERROR(__xludf.DUMMYFUNCTION("""COMPUTED_VALUE"""),"F")</f>
        <v>F</v>
      </c>
      <c r="I434" s="44" t="str">
        <f>IFERROR(__xludf.DUMMYFUNCTION("""COMPUTED_VALUE"""),"Antimano PNA")</f>
        <v>Antimano PNA</v>
      </c>
      <c r="J434" s="44" t="str">
        <f>IFERROR(__xludf.DUMMYFUNCTION("""COMPUTED_VALUE"""),"24/6/2026")</f>
        <v>24/6/2026</v>
      </c>
      <c r="K434" s="42" t="str">
        <f>IFERROR(__xludf.DUMMYFUNCTION("""COMPUTED_VALUE"""),"Hospital Militar Dr. C. Arvelo")</f>
        <v>Hospital Militar Dr. C. Arvelo</v>
      </c>
    </row>
    <row r="435">
      <c r="A435" s="44">
        <v>434.0</v>
      </c>
      <c r="B435" s="44" t="str">
        <f>IFERROR(__xludf.DUMMYFUNCTION("""COMPUTED_VALUE"""),"Hospital Universitario de Carac")</f>
        <v>Hospital Universitario de Carac</v>
      </c>
      <c r="C435" s="45" t="str">
        <f>IFERROR(__xludf.DUMMYFUNCTION("""COMPUTED_VALUE"""),"CASTELLANO JOSE")</f>
        <v>CASTELLANO JOSE</v>
      </c>
      <c r="D435" s="44">
        <f>IFERROR(__xludf.DUMMYFUNCTION("""COMPUTED_VALUE"""),35.0)</f>
        <v>35</v>
      </c>
      <c r="E435" s="44" t="str">
        <f>IFERROR(__xludf.DUMMYFUNCTION("""COMPUTED_VALUE"""),"21364204")</f>
        <v>21364204</v>
      </c>
      <c r="F435" s="44" t="str">
        <f>IFERROR(__xludf.DUMMYFUNCTION("""COMPUTED_VALUE"""),"")</f>
        <v/>
      </c>
      <c r="G435" s="44" t="str">
        <f>IFERROR(__xludf.DUMMYFUNCTION("""COMPUTED_VALUE"""),"0424-2738577")</f>
        <v>0424-2738577</v>
      </c>
      <c r="H435" s="44" t="str">
        <f>IFERROR(__xludf.DUMMYFUNCTION("""COMPUTED_VALUE""")," ")</f>
        <v> </v>
      </c>
      <c r="I435" s="44" t="str">
        <f>IFERROR(__xludf.DUMMYFUNCTION("""COMPUTED_VALUE""")," ")</f>
        <v> </v>
      </c>
      <c r="J435" s="44" t="str">
        <f>IFERROR(__xludf.DUMMYFUNCTION("""COMPUTED_VALUE"""),"")</f>
        <v/>
      </c>
      <c r="K435" s="42" t="str">
        <f>IFERROR(__xludf.DUMMYFUNCTION("""COMPUTED_VALUE"""),"Hospital Universitario de Carac")</f>
        <v>Hospital Universitario de Carac</v>
      </c>
    </row>
    <row r="436">
      <c r="A436" s="44">
        <v>435.0</v>
      </c>
      <c r="B436" s="44" t="str">
        <f>IFERROR(__xludf.DUMMYFUNCTION("""COMPUTED_VALUE"""),"Hospital Militar Dr. C. Arvelo")</f>
        <v>Hospital Militar Dr. C. Arvelo</v>
      </c>
      <c r="C436" s="45" t="str">
        <f>IFERROR(__xludf.DUMMYFUNCTION("""COMPUTED_VALUE"""),"Varela María")</f>
        <v>Varela María</v>
      </c>
      <c r="D436" s="44">
        <f>IFERROR(__xludf.DUMMYFUNCTION("""COMPUTED_VALUE"""),32.0)</f>
        <v>32</v>
      </c>
      <c r="E436" s="44" t="str">
        <f>IFERROR(__xludf.DUMMYFUNCTION("""COMPUTED_VALUE"""),"21364211")</f>
        <v>21364211</v>
      </c>
      <c r="F436" s="44" t="str">
        <f>IFERROR(__xludf.DUMMYFUNCTION("""COMPUTED_VALUE"""),"")</f>
        <v/>
      </c>
      <c r="G436" s="44" t="str">
        <f>IFERROR(__xludf.DUMMYFUNCTION("""COMPUTED_VALUE"""),"")</f>
        <v/>
      </c>
      <c r="H436" s="44" t="str">
        <f>IFERROR(__xludf.DUMMYFUNCTION("""COMPUTED_VALUE"""),"F")</f>
        <v>F</v>
      </c>
      <c r="I436" s="44" t="str">
        <f>IFERROR(__xludf.DUMMYFUNCTION("""COMPUTED_VALUE"""),"La Guaira PNA")</f>
        <v>La Guaira PNA</v>
      </c>
      <c r="J436" s="44" t="str">
        <f>IFERROR(__xludf.DUMMYFUNCTION("""COMPUTED_VALUE"""),"24/6/2026")</f>
        <v>24/6/2026</v>
      </c>
      <c r="K436" s="42" t="str">
        <f>IFERROR(__xludf.DUMMYFUNCTION("""COMPUTED_VALUE"""),"Hospital Militar Dr. C. Arvelo")</f>
        <v>Hospital Militar Dr. C. Arvelo</v>
      </c>
    </row>
    <row r="437">
      <c r="A437" s="44">
        <v>436.0</v>
      </c>
      <c r="B437" s="44" t="str">
        <f>IFERROR(__xludf.DUMMYFUNCTION("""COMPUTED_VALUE"""),"Hospital Vargas de Caracas")</f>
        <v>Hospital Vargas de Caracas</v>
      </c>
      <c r="C437" s="45" t="str">
        <f>IFERROR(__xludf.DUMMYFUNCTION("""COMPUTED_VALUE"""),"GARCIA NARIN SAAVEDKI")</f>
        <v>GARCIA NARIN SAAVEDKI</v>
      </c>
      <c r="D437" s="44" t="str">
        <f>IFERROR(__xludf.DUMMYFUNCTION("""COMPUTED_VALUE""")," ")</f>
        <v> </v>
      </c>
      <c r="E437" s="44" t="str">
        <f>IFERROR(__xludf.DUMMYFUNCTION("""COMPUTED_VALUE"""),"21395683")</f>
        <v>21395683</v>
      </c>
      <c r="F437" s="44" t="str">
        <f>IFERROR(__xludf.DUMMYFUNCTION("""COMPUTED_VALUE""")," ")</f>
        <v> </v>
      </c>
      <c r="G437" s="44" t="str">
        <f>IFERROR(__xludf.DUMMYFUNCTION("""COMPUTED_VALUE"""),"")</f>
        <v/>
      </c>
      <c r="H437" s="44" t="str">
        <f>IFERROR(__xludf.DUMMYFUNCTION("""COMPUTED_VALUE"""),"Guaira")</f>
        <v>Guaira</v>
      </c>
      <c r="I437" s="44" t="str">
        <f>IFERROR(__xludf.DUMMYFUNCTION("""COMPUTED_VALUE""")," ")</f>
        <v> </v>
      </c>
      <c r="J437" s="44" t="str">
        <f>IFERROR(__xludf.DUMMYFUNCTION("""COMPUTED_VALUE"""),"")</f>
        <v/>
      </c>
      <c r="K437" s="42" t="str">
        <f>IFERROR(__xludf.DUMMYFUNCTION("""COMPUTED_VALUE"""),"Hospital Vargas de Caracas")</f>
        <v>Hospital Vargas de Caracas</v>
      </c>
    </row>
    <row r="438">
      <c r="A438" s="44">
        <v>437.0</v>
      </c>
      <c r="B438" s="44" t="str">
        <f>IFERROR(__xludf.DUMMYFUNCTION("""COMPUTED_VALUE"""),"Hospital Ana Francisca Pérez de")</f>
        <v>Hospital Ana Francisca Pérez de</v>
      </c>
      <c r="C438" s="45" t="str">
        <f>IFERROR(__xludf.DUMMYFUNCTION("""COMPUTED_VALUE"""),"RODRIGUEZ WINIFER")</f>
        <v>RODRIGUEZ WINIFER</v>
      </c>
      <c r="D438" s="44" t="str">
        <f>IFERROR(__xludf.DUMMYFUNCTION("""COMPUTED_VALUE""")," ")</f>
        <v> </v>
      </c>
      <c r="E438" s="44" t="str">
        <f>IFERROR(__xludf.DUMMYFUNCTION("""COMPUTED_VALUE"""),"21478247")</f>
        <v>21478247</v>
      </c>
      <c r="F438" s="44" t="str">
        <f>IFERROR(__xludf.DUMMYFUNCTION("""COMPUTED_VALUE"""),"")</f>
        <v/>
      </c>
      <c r="G438" s="44" t="str">
        <f>IFERROR(__xludf.DUMMYFUNCTION("""COMPUTED_VALUE""")," ")</f>
        <v> </v>
      </c>
      <c r="H438" s="44" t="str">
        <f>IFERROR(__xludf.DUMMYFUNCTION("""COMPUTED_VALUE""")," ")</f>
        <v> </v>
      </c>
      <c r="I438" s="44" t="str">
        <f>IFERROR(__xludf.DUMMYFUNCTION("""COMPUTED_VALUE"""),"Internado")</f>
        <v>Internado</v>
      </c>
      <c r="J438" s="44" t="str">
        <f>IFERROR(__xludf.DUMMYFUNCTION("""COMPUTED_VALUE"""),"")</f>
        <v/>
      </c>
      <c r="K438" s="42" t="str">
        <f>IFERROR(__xludf.DUMMYFUNCTION("""COMPUTED_VALUE"""),"Hospital Ana Francisca Pérez de")</f>
        <v>Hospital Ana Francisca Pérez de</v>
      </c>
    </row>
    <row r="439">
      <c r="A439" s="44">
        <v>438.0</v>
      </c>
      <c r="B439" s="44" t="str">
        <f>IFERROR(__xludf.DUMMYFUNCTION("""COMPUTED_VALUE"""),"Hospital Vargas de Caracas")</f>
        <v>Hospital Vargas de Caracas</v>
      </c>
      <c r="C439" s="45" t="str">
        <f>IFERROR(__xludf.DUMMYFUNCTION("""COMPUTED_VALUE"""),"FERNANDEZ EMILY")</f>
        <v>FERNANDEZ EMILY</v>
      </c>
      <c r="D439" s="44">
        <f>IFERROR(__xludf.DUMMYFUNCTION("""COMPUTED_VALUE"""),31.0)</f>
        <v>31</v>
      </c>
      <c r="E439" s="44" t="str">
        <f>IFERROR(__xludf.DUMMYFUNCTION("""COMPUTED_VALUE"""),"21622464")</f>
        <v>21622464</v>
      </c>
      <c r="F439" s="44" t="str">
        <f>IFERROR(__xludf.DUMMYFUNCTION("""COMPUTED_VALUE""")," ")</f>
        <v> </v>
      </c>
      <c r="G439" s="44" t="str">
        <f>IFERROR(__xludf.DUMMYFUNCTION("""COMPUTED_VALUE"""),"")</f>
        <v/>
      </c>
      <c r="H439" s="44" t="str">
        <f>IFERROR(__xludf.DUMMYFUNCTION("""COMPUTED_VALUE"""),"La Guaira")</f>
        <v>La Guaira</v>
      </c>
      <c r="I439" s="44" t="str">
        <f>IFERROR(__xludf.DUMMYFUNCTION("""COMPUTED_VALUE"""),"UPT – Aplastamiento MI")</f>
        <v>UPT – Aplastamiento MI</v>
      </c>
      <c r="J439" s="44" t="str">
        <f>IFERROR(__xludf.DUMMYFUNCTION("""COMPUTED_VALUE"""),"")</f>
        <v/>
      </c>
      <c r="K439" s="42" t="str">
        <f>IFERROR(__xludf.DUMMYFUNCTION("""COMPUTED_VALUE"""),"Hospital Vargas de Caracas")</f>
        <v>Hospital Vargas de Caracas</v>
      </c>
    </row>
    <row r="440">
      <c r="A440" s="44">
        <v>439.0</v>
      </c>
      <c r="B440" s="44" t="str">
        <f>IFERROR(__xludf.DUMMYFUNCTION("""COMPUTED_VALUE"""),"Hospital Militar Dr. C. Arvelo")</f>
        <v>Hospital Militar Dr. C. Arvelo</v>
      </c>
      <c r="C440" s="45" t="str">
        <f>IFERROR(__xludf.DUMMYFUNCTION("""COMPUTED_VALUE"""),"Anchundia Isaac")</f>
        <v>Anchundia Isaac</v>
      </c>
      <c r="D440" s="44">
        <f>IFERROR(__xludf.DUMMYFUNCTION("""COMPUTED_VALUE"""),81.0)</f>
        <v>81</v>
      </c>
      <c r="E440" s="44" t="str">
        <f>IFERROR(__xludf.DUMMYFUNCTION("""COMPUTED_VALUE"""),"2199218")</f>
        <v>2199218</v>
      </c>
      <c r="F440" s="44" t="str">
        <f>IFERROR(__xludf.DUMMYFUNCTION("""COMPUTED_VALUE"""),"")</f>
        <v/>
      </c>
      <c r="G440" s="44" t="str">
        <f>IFERROR(__xludf.DUMMYFUNCTION("""COMPUTED_VALUE"""),"")</f>
        <v/>
      </c>
      <c r="H440" s="44" t="str">
        <f>IFERROR(__xludf.DUMMYFUNCTION("""COMPUTED_VALUE"""),"M")</f>
        <v>M</v>
      </c>
      <c r="I440" s="44" t="str">
        <f>IFERROR(__xludf.DUMMYFUNCTION("""COMPUTED_VALUE"""),"Paraíso AFILIADO")</f>
        <v>Paraíso AFILIADO</v>
      </c>
      <c r="J440" s="44" t="str">
        <f>IFERROR(__xludf.DUMMYFUNCTION("""COMPUTED_VALUE"""),"24/6/2026")</f>
        <v>24/6/2026</v>
      </c>
      <c r="K440" s="42" t="str">
        <f>IFERROR(__xludf.DUMMYFUNCTION("""COMPUTED_VALUE"""),"Hospital Militar Dr. C. Arvelo")</f>
        <v>Hospital Militar Dr. C. Arvelo</v>
      </c>
    </row>
    <row r="441">
      <c r="A441" s="44">
        <v>440.0</v>
      </c>
      <c r="B441" s="44" t="str">
        <f>IFERROR(__xludf.DUMMYFUNCTION("""COMPUTED_VALUE"""),"Hospital Pérez Carreño")</f>
        <v>Hospital Pérez Carreño</v>
      </c>
      <c r="C441" s="45" t="str">
        <f>IFERROR(__xludf.DUMMYFUNCTION("""COMPUTED_VALUE"""),"GURSTOO EMIRA")</f>
        <v>GURSTOO EMIRA</v>
      </c>
      <c r="D441" s="44" t="str">
        <f>IFERROR(__xludf.DUMMYFUNCTION("""COMPUTED_VALUE""")," ")</f>
        <v> </v>
      </c>
      <c r="E441" s="44" t="str">
        <f>IFERROR(__xludf.DUMMYFUNCTION("""COMPUTED_VALUE"""),"22016224")</f>
        <v>22016224</v>
      </c>
      <c r="F441" s="44" t="str">
        <f>IFERROR(__xludf.DUMMYFUNCTION("""COMPUTED_VALUE"""),"")</f>
        <v/>
      </c>
      <c r="G441" s="44" t="str">
        <f>IFERROR(__xludf.DUMMYFUNCTION("""COMPUTED_VALUE""")," ")</f>
        <v> </v>
      </c>
      <c r="H441" s="44" t="str">
        <f>IFERROR(__xludf.DUMMYFUNCTION("""COMPUTED_VALUE""")," ")</f>
        <v> </v>
      </c>
      <c r="I441" s="44" t="str">
        <f>IFERROR(__xludf.DUMMYFUNCTION("""COMPUTED_VALUE"""),"Internado")</f>
        <v>Internado</v>
      </c>
      <c r="J441" s="44" t="str">
        <f>IFERROR(__xludf.DUMMYFUNCTION("""COMPUTED_VALUE"""),"25/06/2026")</f>
        <v>25/06/2026</v>
      </c>
      <c r="K441" s="42" t="str">
        <f>IFERROR(__xludf.DUMMYFUNCTION("""COMPUTED_VALUE"""),"Hospital Pérez Carreño")</f>
        <v>Hospital Pérez Carreño</v>
      </c>
    </row>
    <row r="442">
      <c r="A442" s="44">
        <v>441.0</v>
      </c>
      <c r="B442" s="44" t="str">
        <f>IFERROR(__xludf.DUMMYFUNCTION("""COMPUTED_VALUE"""),"Hospital Militar Dr. C. Arvelo")</f>
        <v>Hospital Militar Dr. C. Arvelo</v>
      </c>
      <c r="C442" s="45" t="str">
        <f>IFERROR(__xludf.DUMMYFUNCTION("""COMPUTED_VALUE"""),"Salma Yésica")</f>
        <v>Salma Yésica</v>
      </c>
      <c r="D442" s="44">
        <f>IFERROR(__xludf.DUMMYFUNCTION("""COMPUTED_VALUE"""),31.0)</f>
        <v>31</v>
      </c>
      <c r="E442" s="44" t="str">
        <f>IFERROR(__xludf.DUMMYFUNCTION("""COMPUTED_VALUE"""),"22017564")</f>
        <v>22017564</v>
      </c>
      <c r="F442" s="44" t="str">
        <f>IFERROR(__xludf.DUMMYFUNCTION("""COMPUTED_VALUE"""),"")</f>
        <v/>
      </c>
      <c r="G442" s="44" t="str">
        <f>IFERROR(__xludf.DUMMYFUNCTION("""COMPUTED_VALUE"""),"")</f>
        <v/>
      </c>
      <c r="H442" s="44" t="str">
        <f>IFERROR(__xludf.DUMMYFUNCTION("""COMPUTED_VALUE"""),"F")</f>
        <v>F</v>
      </c>
      <c r="I442" s="44" t="str">
        <f>IFERROR(__xludf.DUMMYFUNCTION("""COMPUTED_VALUE"""),"Carapita PNA")</f>
        <v>Carapita PNA</v>
      </c>
      <c r="J442" s="44" t="str">
        <f>IFERROR(__xludf.DUMMYFUNCTION("""COMPUTED_VALUE"""),"24/6/2026")</f>
        <v>24/6/2026</v>
      </c>
      <c r="K442" s="42" t="str">
        <f>IFERROR(__xludf.DUMMYFUNCTION("""COMPUTED_VALUE"""),"Hospital Militar Dr. C. Arvelo")</f>
        <v>Hospital Militar Dr. C. Arvelo</v>
      </c>
    </row>
    <row r="443">
      <c r="A443" s="44">
        <v>442.0</v>
      </c>
      <c r="B443" s="44" t="str">
        <f>IFERROR(__xludf.DUMMYFUNCTION("""COMPUTED_VALUE"""),"Hospital Vargas de Caracas")</f>
        <v>Hospital Vargas de Caracas</v>
      </c>
      <c r="C443" s="45" t="str">
        <f>IFERROR(__xludf.DUMMYFUNCTION("""COMPUTED_VALUE"""),"SALAZAR GUIRLENYS")</f>
        <v>SALAZAR GUIRLENYS</v>
      </c>
      <c r="D443" s="44" t="str">
        <f>IFERROR(__xludf.DUMMYFUNCTION("""COMPUTED_VALUE""")," ")</f>
        <v> </v>
      </c>
      <c r="E443" s="44" t="str">
        <f>IFERROR(__xludf.DUMMYFUNCTION("""COMPUTED_VALUE"""),"22022191")</f>
        <v>22022191</v>
      </c>
      <c r="F443" s="44" t="str">
        <f>IFERROR(__xludf.DUMMYFUNCTION("""COMPUTED_VALUE""")," ")</f>
        <v> </v>
      </c>
      <c r="G443" s="44" t="str">
        <f>IFERROR(__xludf.DUMMYFUNCTION("""COMPUTED_VALUE"""),"")</f>
        <v/>
      </c>
      <c r="H443" s="44" t="str">
        <f>IFERROR(__xludf.DUMMYFUNCTION("""COMPUTED_VALUE""")," ")</f>
        <v> </v>
      </c>
      <c r="I443" s="44" t="str">
        <f>IFERROR(__xludf.DUMMYFUNCTION("""COMPUTED_VALUE""")," ")</f>
        <v> </v>
      </c>
      <c r="J443" s="44" t="str">
        <f>IFERROR(__xludf.DUMMYFUNCTION("""COMPUTED_VALUE"""),"")</f>
        <v/>
      </c>
      <c r="K443" s="42" t="str">
        <f>IFERROR(__xludf.DUMMYFUNCTION("""COMPUTED_VALUE"""),"Hospital Vargas de Caracas")</f>
        <v>Hospital Vargas de Caracas</v>
      </c>
    </row>
    <row r="444">
      <c r="A444" s="44">
        <v>443.0</v>
      </c>
      <c r="B444" s="44" t="str">
        <f>IFERROR(__xludf.DUMMYFUNCTION("""COMPUTED_VALUE"""),"HOSPITAL VARGAS")</f>
        <v>HOSPITAL VARGAS</v>
      </c>
      <c r="C444" s="45" t="str">
        <f>IFERROR(__xludf.DUMMYFUNCTION("""COMPUTED_VALUE"""),"Veronky Uribe")</f>
        <v>Veronky Uribe</v>
      </c>
      <c r="D444" s="44"/>
      <c r="E444" s="44" t="str">
        <f>IFERROR(__xludf.DUMMYFUNCTION("""COMPUTED_VALUE"""),"22026527")</f>
        <v>22026527</v>
      </c>
      <c r="F444" s="44" t="str">
        <f>IFERROR(__xludf.DUMMYFUNCTION("""COMPUTED_VALUE"""),"")</f>
        <v/>
      </c>
      <c r="G444" s="44" t="str">
        <f>IFERROR(__xludf.DUMMYFUNCTION("""COMPUTED_VALUE"""),"")</f>
        <v/>
      </c>
      <c r="H444" s="44" t="str">
        <f>IFERROR(__xludf.DUMMYFUNCTION("""COMPUTED_VALUE"""),"")</f>
        <v/>
      </c>
      <c r="I444" s="44" t="str">
        <f>IFERROR(__xludf.DUMMYFUNCTION("""COMPUTED_VALUE"""),"Herido / atendido")</f>
        <v>Herido / atendido</v>
      </c>
      <c r="J444" s="44" t="str">
        <f>IFERROR(__xludf.DUMMYFUNCTION("""COMPUTED_VALUE"""),"24.06.2026 ")</f>
        <v>24.06.2026 </v>
      </c>
      <c r="K444" s="42" t="str">
        <f>IFERROR(__xludf.DUMMYFUNCTION("""COMPUTED_VALUE"""),"HOSPITAL VARGAS")</f>
        <v>HOSPITAL VARGAS</v>
      </c>
    </row>
    <row r="445">
      <c r="A445" s="44">
        <v>444.0</v>
      </c>
      <c r="B445" s="44" t="str">
        <f>IFERROR(__xludf.DUMMYFUNCTION("""COMPUTED_VALUE"""),"Hospital Vargas de Caracas")</f>
        <v>Hospital Vargas de Caracas</v>
      </c>
      <c r="C445" s="45" t="str">
        <f>IFERROR(__xludf.DUMMYFUNCTION("""COMPUTED_VALUE"""),"URIBE VERONICA")</f>
        <v>URIBE VERONICA</v>
      </c>
      <c r="D445" s="44" t="str">
        <f>IFERROR(__xludf.DUMMYFUNCTION("""COMPUTED_VALUE""")," ")</f>
        <v> </v>
      </c>
      <c r="E445" s="44" t="str">
        <f>IFERROR(__xludf.DUMMYFUNCTION("""COMPUTED_VALUE"""),"220265270")</f>
        <v>220265270</v>
      </c>
      <c r="F445" s="44" t="str">
        <f>IFERROR(__xludf.DUMMYFUNCTION("""COMPUTED_VALUE""")," ")</f>
        <v> </v>
      </c>
      <c r="G445" s="44" t="str">
        <f>IFERROR(__xludf.DUMMYFUNCTION("""COMPUTED_VALUE"""),"")</f>
        <v/>
      </c>
      <c r="H445" s="44" t="str">
        <f>IFERROR(__xludf.DUMMYFUNCTION("""COMPUTED_VALUE""")," ")</f>
        <v> </v>
      </c>
      <c r="I445" s="44" t="str">
        <f>IFERROR(__xludf.DUMMYFUNCTION("""COMPUTED_VALUE""")," ")</f>
        <v> </v>
      </c>
      <c r="J445" s="44" t="str">
        <f>IFERROR(__xludf.DUMMYFUNCTION("""COMPUTED_VALUE"""),"")</f>
        <v/>
      </c>
      <c r="K445" s="42" t="str">
        <f>IFERROR(__xludf.DUMMYFUNCTION("""COMPUTED_VALUE"""),"Hospital Vargas de Caracas")</f>
        <v>Hospital Vargas de Caracas</v>
      </c>
    </row>
    <row r="446">
      <c r="A446" s="44">
        <v>445.0</v>
      </c>
      <c r="B446" s="44" t="str">
        <f>IFERROR(__xludf.DUMMYFUNCTION("""COMPUTED_VALUE"""),"Hospital Universitario de Carac")</f>
        <v>Hospital Universitario de Carac</v>
      </c>
      <c r="C446" s="45" t="str">
        <f>IFERROR(__xludf.DUMMYFUNCTION("""COMPUTED_VALUE"""),"UMBRIA MATIAS")</f>
        <v>UMBRIA MATIAS</v>
      </c>
      <c r="D446" s="44">
        <f>IFERROR(__xludf.DUMMYFUNCTION("""COMPUTED_VALUE"""),11.0)</f>
        <v>11</v>
      </c>
      <c r="E446" s="44" t="str">
        <f>IFERROR(__xludf.DUMMYFUNCTION("""COMPUTED_VALUE"""),"22034962")</f>
        <v>22034962</v>
      </c>
      <c r="F446" s="44" t="str">
        <f>IFERROR(__xludf.DUMMYFUNCTION("""COMPUTED_VALUE"""),"")</f>
        <v/>
      </c>
      <c r="G446" s="44" t="str">
        <f>IFERROR(__xludf.DUMMYFUNCTION("""COMPUTED_VALUE""")," ")</f>
        <v> </v>
      </c>
      <c r="H446" s="44" t="str">
        <f>IFERROR(__xludf.DUMMYFUNCTION("""COMPUTED_VALUE""")," ")</f>
        <v> </v>
      </c>
      <c r="I446" s="44" t="str">
        <f>IFERROR(__xludf.DUMMYFUNCTION("""COMPUTED_VALUE"""),"Politraumatismo")</f>
        <v>Politraumatismo</v>
      </c>
      <c r="J446" s="44" t="str">
        <f>IFERROR(__xludf.DUMMYFUNCTION("""COMPUTED_VALUE"""),"")</f>
        <v/>
      </c>
      <c r="K446" s="42" t="str">
        <f>IFERROR(__xludf.DUMMYFUNCTION("""COMPUTED_VALUE"""),"Hospital Universitario de Carac")</f>
        <v>Hospital Universitario de Carac</v>
      </c>
    </row>
    <row r="447">
      <c r="A447" s="44">
        <v>446.0</v>
      </c>
      <c r="B447" s="44" t="str">
        <f>IFERROR(__xludf.DUMMYFUNCTION("""COMPUTED_VALUE"""),"Periférico de Catia")</f>
        <v>Periférico de Catia</v>
      </c>
      <c r="C447" s="45" t="str">
        <f>IFERROR(__xludf.DUMMYFUNCTION("""COMPUTED_VALUE"""),"ANA ABREU")</f>
        <v>ANA ABREU</v>
      </c>
      <c r="D447" s="44">
        <f>IFERROR(__xludf.DUMMYFUNCTION("""COMPUTED_VALUE"""),36.0)</f>
        <v>36</v>
      </c>
      <c r="E447" s="44" t="str">
        <f>IFERROR(__xludf.DUMMYFUNCTION("""COMPUTED_VALUE"""),"220360310")</f>
        <v>220360310</v>
      </c>
      <c r="F447" s="44" t="str">
        <f>IFERROR(__xludf.DUMMYFUNCTION("""COMPUTED_VALUE"""),"")</f>
        <v/>
      </c>
      <c r="G447" s="44" t="str">
        <f>IFERROR(__xludf.DUMMYFUNCTION("""COMPUTED_VALUE""")," ")</f>
        <v> </v>
      </c>
      <c r="H447" s="44" t="str">
        <f>IFERROR(__xludf.DUMMYFUNCTION("""COMPUTED_VALUE"""),"Sin información")</f>
        <v>Sin información</v>
      </c>
      <c r="I447" s="44" t="str">
        <f>IFERROR(__xludf.DUMMYFUNCTION("""COMPUTED_VALUE"""),"Cirugía General")</f>
        <v>Cirugía General</v>
      </c>
      <c r="J447" s="44" t="str">
        <f>IFERROR(__xludf.DUMMYFUNCTION("""COMPUTED_VALUE"""),"")</f>
        <v/>
      </c>
      <c r="K447" s="42" t="str">
        <f>IFERROR(__xludf.DUMMYFUNCTION("""COMPUTED_VALUE"""),"Periférico de Catia")</f>
        <v>Periférico de Catia</v>
      </c>
    </row>
    <row r="448">
      <c r="A448" s="44">
        <v>447.0</v>
      </c>
      <c r="B448" s="44" t="str">
        <f>IFERROR(__xludf.DUMMYFUNCTION("""COMPUTED_VALUE"""),"Periférico de Catia")</f>
        <v>Periférico de Catia</v>
      </c>
      <c r="C448" s="45" t="str">
        <f>IFERROR(__xludf.DUMMYFUNCTION("""COMPUTED_VALUE"""),"ABREU ANA")</f>
        <v>ABREU ANA</v>
      </c>
      <c r="D448" s="44">
        <f>IFERROR(__xludf.DUMMYFUNCTION("""COMPUTED_VALUE"""),36.0)</f>
        <v>36</v>
      </c>
      <c r="E448" s="44" t="str">
        <f>IFERROR(__xludf.DUMMYFUNCTION("""COMPUTED_VALUE"""),"22036301")</f>
        <v>22036301</v>
      </c>
      <c r="F448" s="44" t="str">
        <f>IFERROR(__xludf.DUMMYFUNCTION("""COMPUTED_VALUE"""),"")</f>
        <v/>
      </c>
      <c r="G448" s="44" t="str">
        <f>IFERROR(__xludf.DUMMYFUNCTION("""COMPUTED_VALUE""")," ")</f>
        <v> </v>
      </c>
      <c r="H448" s="44" t="str">
        <f>IFERROR(__xludf.DUMMYFUNCTION("""COMPUTED_VALUE""")," ")</f>
        <v> </v>
      </c>
      <c r="I448" s="44" t="str">
        <f>IFERROR(__xludf.DUMMYFUNCTION("""COMPUTED_VALUE"""),"Cirugía General")</f>
        <v>Cirugía General</v>
      </c>
      <c r="J448" s="44" t="str">
        <f>IFERROR(__xludf.DUMMYFUNCTION("""COMPUTED_VALUE"""),"")</f>
        <v/>
      </c>
      <c r="K448" s="42" t="str">
        <f>IFERROR(__xludf.DUMMYFUNCTION("""COMPUTED_VALUE"""),"Periférico de Catia")</f>
        <v>Periférico de Catia</v>
      </c>
    </row>
    <row r="449">
      <c r="A449" s="44">
        <v>448.0</v>
      </c>
      <c r="B449" s="44" t="str">
        <f>IFERROR(__xludf.DUMMYFUNCTION("""COMPUTED_VALUE"""),"Periférico de Catia")</f>
        <v>Periférico de Catia</v>
      </c>
      <c r="C449" s="45" t="str">
        <f>IFERROR(__xludf.DUMMYFUNCTION("""COMPUTED_VALUE"""),"ABREU ANA")</f>
        <v>ABREU ANA</v>
      </c>
      <c r="D449" s="44">
        <f>IFERROR(__xludf.DUMMYFUNCTION("""COMPUTED_VALUE"""),36.0)</f>
        <v>36</v>
      </c>
      <c r="E449" s="44" t="str">
        <f>IFERROR(__xludf.DUMMYFUNCTION("""COMPUTED_VALUE"""),"220363010")</f>
        <v>220363010</v>
      </c>
      <c r="F449" s="44" t="str">
        <f>IFERROR(__xludf.DUMMYFUNCTION("""COMPUTED_VALUE"""),"")</f>
        <v/>
      </c>
      <c r="G449" s="44" t="str">
        <f>IFERROR(__xludf.DUMMYFUNCTION("""COMPUTED_VALUE""")," ")</f>
        <v> </v>
      </c>
      <c r="H449" s="44" t="str">
        <f>IFERROR(__xludf.DUMMYFUNCTION("""COMPUTED_VALUE"""),"Sin información")</f>
        <v>Sin información</v>
      </c>
      <c r="I449" s="44" t="str">
        <f>IFERROR(__xludf.DUMMYFUNCTION("""COMPUTED_VALUE"""),"Cirugía General")</f>
        <v>Cirugía General</v>
      </c>
      <c r="J449" s="44" t="str">
        <f>IFERROR(__xludf.DUMMYFUNCTION("""COMPUTED_VALUE"""),"")</f>
        <v/>
      </c>
      <c r="K449" s="42" t="str">
        <f>IFERROR(__xludf.DUMMYFUNCTION("""COMPUTED_VALUE"""),"Periférico de Catia")</f>
        <v>Periférico de Catia</v>
      </c>
    </row>
    <row r="450">
      <c r="A450" s="44">
        <v>449.0</v>
      </c>
      <c r="B450" s="44" t="str">
        <f>IFERROR(__xludf.DUMMYFUNCTION("""COMPUTED_VALUE"""),"Hospital Domingo Luciani")</f>
        <v>Hospital Domingo Luciani</v>
      </c>
      <c r="C450" s="45" t="str">
        <f>IFERROR(__xludf.DUMMYFUNCTION("""COMPUTED_VALUE"""),"PONCE INGRIDE")</f>
        <v>PONCE INGRIDE</v>
      </c>
      <c r="D450" s="44">
        <f>IFERROR(__xludf.DUMMYFUNCTION("""COMPUTED_VALUE"""),49.0)</f>
        <v>49</v>
      </c>
      <c r="E450" s="44" t="str">
        <f>IFERROR(__xludf.DUMMYFUNCTION("""COMPUTED_VALUE"""),"22061324")</f>
        <v>22061324</v>
      </c>
      <c r="F450" s="44" t="str">
        <f>IFERROR(__xludf.DUMMYFUNCTION("""COMPUTED_VALUE"""),"")</f>
        <v/>
      </c>
      <c r="G450" s="44" t="str">
        <f>IFERROR(__xludf.DUMMYFUNCTION("""COMPUTED_VALUE""")," ")</f>
        <v> </v>
      </c>
      <c r="H450" s="44" t="str">
        <f>IFERROR(__xludf.DUMMYFUNCTION("""COMPUTED_VALUE""")," ")</f>
        <v> </v>
      </c>
      <c r="I450" s="44" t="str">
        <f>IFERROR(__xludf.DUMMYFUNCTION("""COMPUTED_VALUE"""),"Internado; (Misma C.I. que Angy Peter)")</f>
        <v>Internado; (Misma C.I. que Angy Peter)</v>
      </c>
      <c r="J450" s="44" t="str">
        <f>IFERROR(__xludf.DUMMYFUNCTION("""COMPUTED_VALUE"""),"")</f>
        <v/>
      </c>
      <c r="K450" s="42" t="str">
        <f>IFERROR(__xludf.DUMMYFUNCTION("""COMPUTED_VALUE"""),"🔍 BUSCAR PACIENTES")</f>
        <v>🔍 BUSCAR PACIENTES</v>
      </c>
    </row>
    <row r="451">
      <c r="A451" s="44">
        <v>450.0</v>
      </c>
      <c r="B451" s="44" t="str">
        <f>IFERROR(__xludf.DUMMYFUNCTION("""COMPUTED_VALUE"""),"H. Jose Maria Vargas LG")</f>
        <v>H. Jose Maria Vargas LG</v>
      </c>
      <c r="C451" s="45" t="str">
        <f>IFERROR(__xludf.DUMMYFUNCTION("""COMPUTED_VALUE"""),"ROSALES YOALBER")</f>
        <v>ROSALES YOALBER</v>
      </c>
      <c r="D451" s="44" t="str">
        <f>IFERROR(__xludf.DUMMYFUNCTION("""COMPUTED_VALUE""")," ")</f>
        <v> </v>
      </c>
      <c r="E451" s="44" t="str">
        <f>IFERROR(__xludf.DUMMYFUNCTION("""COMPUTED_VALUE"""),"22250708")</f>
        <v>22250708</v>
      </c>
      <c r="F451" s="44" t="str">
        <f>IFERROR(__xludf.DUMMYFUNCTION("""COMPUTED_VALUE"""),"")</f>
        <v/>
      </c>
      <c r="G451" s="44" t="str">
        <f>IFERROR(__xludf.DUMMYFUNCTION("""COMPUTED_VALUE""")," ")</f>
        <v> </v>
      </c>
      <c r="H451" s="44" t="str">
        <f>IFERROR(__xludf.DUMMYFUNCTION("""COMPUTED_VALUE""")," ")</f>
        <v> </v>
      </c>
      <c r="I451" s="44" t="str">
        <f>IFERROR(__xludf.DUMMYFUNCTION("""COMPUTED_VALUE""")," ")</f>
        <v> </v>
      </c>
      <c r="J451" s="44" t="str">
        <f>IFERROR(__xludf.DUMMYFUNCTION("""COMPUTED_VALUE"""),"")</f>
        <v/>
      </c>
      <c r="K451" s="42" t="str">
        <f>IFERROR(__xludf.DUMMYFUNCTION("""COMPUTED_VALUE"""),"H. Jose Maria Vargas LG")</f>
        <v>H. Jose Maria Vargas LG</v>
      </c>
    </row>
    <row r="452">
      <c r="A452" s="44">
        <v>451.0</v>
      </c>
      <c r="B452" s="44" t="str">
        <f>IFERROR(__xludf.DUMMYFUNCTION("""COMPUTED_VALUE"""),"Hospital Universitario de Carac")</f>
        <v>Hospital Universitario de Carac</v>
      </c>
      <c r="C452" s="45" t="str">
        <f>IFERROR(__xludf.DUMMYFUNCTION("""COMPUTED_VALUE"""),"RAMIREZ YILMAR")</f>
        <v>RAMIREZ YILMAR</v>
      </c>
      <c r="D452" s="44">
        <f>IFERROR(__xludf.DUMMYFUNCTION("""COMPUTED_VALUE"""),32.0)</f>
        <v>32</v>
      </c>
      <c r="E452" s="44" t="str">
        <f>IFERROR(__xludf.DUMMYFUNCTION("""COMPUTED_VALUE"""),"22316562")</f>
        <v>22316562</v>
      </c>
      <c r="F452" s="44" t="str">
        <f>IFERROR(__xludf.DUMMYFUNCTION("""COMPUTED_VALUE"""),"")</f>
        <v/>
      </c>
      <c r="G452" s="44" t="str">
        <f>IFERROR(__xludf.DUMMYFUNCTION("""COMPUTED_VALUE"""),"0424-5364882 / 0424-5364892")</f>
        <v>0424-5364882 / 0424-5364892</v>
      </c>
      <c r="H452" s="44" t="str">
        <f>IFERROR(__xludf.DUMMYFUNCTION("""COMPUTED_VALUE""")," ")</f>
        <v> </v>
      </c>
      <c r="I452" s="44" t="str">
        <f>IFERROR(__xludf.DUMMYFUNCTION("""COMPUTED_VALUE""")," ")</f>
        <v> </v>
      </c>
      <c r="J452" s="44" t="str">
        <f>IFERROR(__xludf.DUMMYFUNCTION("""COMPUTED_VALUE"""),"")</f>
        <v/>
      </c>
      <c r="K452" s="42" t="str">
        <f>IFERROR(__xludf.DUMMYFUNCTION("""COMPUTED_VALUE"""),"Hospital Universitario de Carac")</f>
        <v>Hospital Universitario de Carac</v>
      </c>
    </row>
    <row r="453">
      <c r="A453" s="44">
        <v>452.0</v>
      </c>
      <c r="B453" s="44" t="str">
        <f>IFERROR(__xludf.DUMMYFUNCTION("""COMPUTED_VALUE"""),"Hospital Vargas de Caracas")</f>
        <v>Hospital Vargas de Caracas</v>
      </c>
      <c r="C453" s="45" t="str">
        <f>IFERROR(__xludf.DUMMYFUNCTION("""COMPUTED_VALUE"""),"NELIDE MONTOYO")</f>
        <v>NELIDE MONTOYO</v>
      </c>
      <c r="D453" s="44" t="str">
        <f>IFERROR(__xludf.DUMMYFUNCTION("""COMPUTED_VALUE""")," ")</f>
        <v> </v>
      </c>
      <c r="E453" s="44" t="str">
        <f>IFERROR(__xludf.DUMMYFUNCTION("""COMPUTED_VALUE"""),"22480306")</f>
        <v>22480306</v>
      </c>
      <c r="F453" s="44" t="str">
        <f>IFERROR(__xludf.DUMMYFUNCTION("""COMPUTED_VALUE""")," ")</f>
        <v> </v>
      </c>
      <c r="G453" s="44" t="str">
        <f>IFERROR(__xludf.DUMMYFUNCTION("""COMPUTED_VALUE"""),"")</f>
        <v/>
      </c>
      <c r="H453" s="44" t="str">
        <f>IFERROR(__xludf.DUMMYFUNCTION("""COMPUTED_VALUE"""),"Guaira")</f>
        <v>Guaira</v>
      </c>
      <c r="I453" s="44" t="str">
        <f>IFERROR(__xludf.DUMMYFUNCTION("""COMPUTED_VALUE""")," ")</f>
        <v> </v>
      </c>
      <c r="J453" s="44" t="str">
        <f>IFERROR(__xludf.DUMMYFUNCTION("""COMPUTED_VALUE"""),"")</f>
        <v/>
      </c>
      <c r="K453" s="42" t="str">
        <f>IFERROR(__xludf.DUMMYFUNCTION("""COMPUTED_VALUE"""),"Hospital Vargas de Caracas")</f>
        <v>Hospital Vargas de Caracas</v>
      </c>
    </row>
    <row r="454">
      <c r="A454" s="44">
        <v>453.0</v>
      </c>
      <c r="B454" s="44" t="str">
        <f>IFERROR(__xludf.DUMMYFUNCTION("""COMPUTED_VALUE"""),"Hospital Vargas de Caracas")</f>
        <v>Hospital Vargas de Caracas</v>
      </c>
      <c r="C454" s="45" t="str">
        <f>IFERROR(__xludf.DUMMYFUNCTION("""COMPUTED_VALUE"""),"MONTOYA NERIDE")</f>
        <v>MONTOYA NERIDE</v>
      </c>
      <c r="D454" s="44" t="str">
        <f>IFERROR(__xludf.DUMMYFUNCTION("""COMPUTED_VALUE""")," ")</f>
        <v> </v>
      </c>
      <c r="E454" s="44" t="str">
        <f>IFERROR(__xludf.DUMMYFUNCTION("""COMPUTED_VALUE"""),"22480906")</f>
        <v>22480906</v>
      </c>
      <c r="F454" s="44" t="str">
        <f>IFERROR(__xludf.DUMMYFUNCTION("""COMPUTED_VALUE""")," ")</f>
        <v> </v>
      </c>
      <c r="G454" s="44" t="str">
        <f>IFERROR(__xludf.DUMMYFUNCTION("""COMPUTED_VALUE"""),"")</f>
        <v/>
      </c>
      <c r="H454" s="44" t="str">
        <f>IFERROR(__xludf.DUMMYFUNCTION("""COMPUTED_VALUE""")," ")</f>
        <v> </v>
      </c>
      <c r="I454" s="44" t="str">
        <f>IFERROR(__xludf.DUMMYFUNCTION("""COMPUTED_VALUE""")," ")</f>
        <v> </v>
      </c>
      <c r="J454" s="44" t="str">
        <f>IFERROR(__xludf.DUMMYFUNCTION("""COMPUTED_VALUE"""),"")</f>
        <v/>
      </c>
      <c r="K454" s="42" t="str">
        <f>IFERROR(__xludf.DUMMYFUNCTION("""COMPUTED_VALUE"""),"Hospital Vargas de Caracas")</f>
        <v>Hospital Vargas de Caracas</v>
      </c>
    </row>
    <row r="455">
      <c r="A455" s="44">
        <v>454.0</v>
      </c>
      <c r="B455" s="44" t="str">
        <f>IFERROR(__xludf.DUMMYFUNCTION("""COMPUTED_VALUE"""),"Hospital Vargas de Caracas")</f>
        <v>Hospital Vargas de Caracas</v>
      </c>
      <c r="C455" s="45" t="str">
        <f>IFERROR(__xludf.DUMMYFUNCTION("""COMPUTED_VALUE"""),"CANISAS GALA")</f>
        <v>CANISAS GALA</v>
      </c>
      <c r="D455" s="44" t="str">
        <f>IFERROR(__xludf.DUMMYFUNCTION("""COMPUTED_VALUE""")," ")</f>
        <v> </v>
      </c>
      <c r="E455" s="44" t="str">
        <f>IFERROR(__xludf.DUMMYFUNCTION("""COMPUTED_VALUE"""),"22490906")</f>
        <v>22490906</v>
      </c>
      <c r="F455" s="44" t="str">
        <f>IFERROR(__xludf.DUMMYFUNCTION("""COMPUTED_VALUE""")," ")</f>
        <v> </v>
      </c>
      <c r="G455" s="44" t="str">
        <f>IFERROR(__xludf.DUMMYFUNCTION("""COMPUTED_VALUE"""),"")</f>
        <v/>
      </c>
      <c r="H455" s="44" t="str">
        <f>IFERROR(__xludf.DUMMYFUNCTION("""COMPUTED_VALUE""")," ")</f>
        <v> </v>
      </c>
      <c r="I455" s="44" t="str">
        <f>IFERROR(__xludf.DUMMYFUNCTION("""COMPUTED_VALUE""")," ")</f>
        <v> </v>
      </c>
      <c r="J455" s="44" t="str">
        <f>IFERROR(__xludf.DUMMYFUNCTION("""COMPUTED_VALUE"""),"")</f>
        <v/>
      </c>
      <c r="K455" s="42" t="str">
        <f>IFERROR(__xludf.DUMMYFUNCTION("""COMPUTED_VALUE"""),"Hospital Vargas de Caracas")</f>
        <v>Hospital Vargas de Caracas</v>
      </c>
    </row>
    <row r="456">
      <c r="A456" s="44">
        <v>455.0</v>
      </c>
      <c r="B456" s="44" t="str">
        <f>IFERROR(__xludf.DUMMYFUNCTION("""COMPUTED_VALUE"""),"Cruz Roja")</f>
        <v>Cruz Roja</v>
      </c>
      <c r="C456" s="45" t="str">
        <f>IFERROR(__xludf.DUMMYFUNCTION("""COMPUTED_VALUE"""),"ACEVEDO HELENA")</f>
        <v>ACEVEDO HELENA</v>
      </c>
      <c r="D456" s="44">
        <f>IFERROR(__xludf.DUMMYFUNCTION("""COMPUTED_VALUE"""),88.0)</f>
        <v>88</v>
      </c>
      <c r="E456" s="44" t="str">
        <f>IFERROR(__xludf.DUMMYFUNCTION("""COMPUTED_VALUE"""),"22504101")</f>
        <v>22504101</v>
      </c>
      <c r="F456" s="44" t="str">
        <f>IFERROR(__xludf.DUMMYFUNCTION("""COMPUTED_VALUE"""),"")</f>
        <v/>
      </c>
      <c r="G456" s="44" t="str">
        <f>IFERROR(__xludf.DUMMYFUNCTION("""COMPUTED_VALUE""")," ")</f>
        <v> </v>
      </c>
      <c r="H456" s="44" t="str">
        <f>IFERROR(__xludf.DUMMYFUNCTION("""COMPUTED_VALUE""")," ")</f>
        <v> </v>
      </c>
      <c r="I456" s="44" t="str">
        <f>IFERROR(__xludf.DUMMYFUNCTION("""COMPUTED_VALUE"""),"Internado")</f>
        <v>Internado</v>
      </c>
      <c r="J456" s="44" t="str">
        <f>IFERROR(__xludf.DUMMYFUNCTION("""COMPUTED_VALUE"""),"")</f>
        <v/>
      </c>
      <c r="K456" s="42" t="str">
        <f>IFERROR(__xludf.DUMMYFUNCTION("""COMPUTED_VALUE"""),"Cruz Roja")</f>
        <v>Cruz Roja</v>
      </c>
    </row>
    <row r="457">
      <c r="A457" s="44">
        <v>456.0</v>
      </c>
      <c r="B457" s="44" t="str">
        <f>IFERROR(__xludf.DUMMYFUNCTION("""COMPUTED_VALUE"""),"Hospital Universitario de Carac")</f>
        <v>Hospital Universitario de Carac</v>
      </c>
      <c r="C457" s="45" t="str">
        <f>IFERROR(__xludf.DUMMYFUNCTION("""COMPUTED_VALUE"""),"URBINA MOISES")</f>
        <v>URBINA MOISES</v>
      </c>
      <c r="D457" s="44">
        <f>IFERROR(__xludf.DUMMYFUNCTION("""COMPUTED_VALUE"""),30.0)</f>
        <v>30</v>
      </c>
      <c r="E457" s="44" t="str">
        <f>IFERROR(__xludf.DUMMYFUNCTION("""COMPUTED_VALUE"""),"22513789")</f>
        <v>22513789</v>
      </c>
      <c r="F457" s="44" t="str">
        <f>IFERROR(__xludf.DUMMYFUNCTION("""COMPUTED_VALUE"""),"")</f>
        <v/>
      </c>
      <c r="G457" s="44" t="str">
        <f>IFERROR(__xludf.DUMMYFUNCTION("""COMPUTED_VALUE"""),"0412-9854079 / 0424-3357891 / 0424-4854079")</f>
        <v>0412-9854079 / 0424-3357891 / 0424-4854079</v>
      </c>
      <c r="H457" s="44" t="str">
        <f>IFERROR(__xludf.DUMMYFUNCTION("""COMPUTED_VALUE""")," ")</f>
        <v> </v>
      </c>
      <c r="I457" s="44" t="str">
        <f>IFERROR(__xludf.DUMMYFUNCTION("""COMPUTED_VALUE""")," ")</f>
        <v> </v>
      </c>
      <c r="J457" s="44" t="str">
        <f>IFERROR(__xludf.DUMMYFUNCTION("""COMPUTED_VALUE"""),"")</f>
        <v/>
      </c>
      <c r="K457" s="42" t="str">
        <f>IFERROR(__xludf.DUMMYFUNCTION("""COMPUTED_VALUE"""),"Hospital Universitario de Carac")</f>
        <v>Hospital Universitario de Carac</v>
      </c>
    </row>
    <row r="458">
      <c r="A458" s="44">
        <v>457.0</v>
      </c>
      <c r="B458" s="44" t="str">
        <f>IFERROR(__xludf.DUMMYFUNCTION("""COMPUTED_VALUE"""),"Hospital Vargas de Caracas")</f>
        <v>Hospital Vargas de Caracas</v>
      </c>
      <c r="C458" s="45" t="str">
        <f>IFERROR(__xludf.DUMMYFUNCTION("""COMPUTED_VALUE"""),"DUNILOP BINITU")</f>
        <v>DUNILOP BINITU</v>
      </c>
      <c r="D458" s="44" t="str">
        <f>IFERROR(__xludf.DUMMYFUNCTION("""COMPUTED_VALUE""")," ")</f>
        <v> </v>
      </c>
      <c r="E458" s="44" t="str">
        <f>IFERROR(__xludf.DUMMYFUNCTION("""COMPUTED_VALUE"""),"22516346")</f>
        <v>22516346</v>
      </c>
      <c r="F458" s="44" t="str">
        <f>IFERROR(__xludf.DUMMYFUNCTION("""COMPUTED_VALUE""")," ")</f>
        <v> </v>
      </c>
      <c r="G458" s="44" t="str">
        <f>IFERROR(__xludf.DUMMYFUNCTION("""COMPUTED_VALUE"""),"")</f>
        <v/>
      </c>
      <c r="H458" s="44" t="str">
        <f>IFERROR(__xludf.DUMMYFUNCTION("""COMPUTED_VALUE"""),"Guaira")</f>
        <v>Guaira</v>
      </c>
      <c r="I458" s="44" t="str">
        <f>IFERROR(__xludf.DUMMYFUNCTION("""COMPUTED_VALUE"""),"Fallecido")</f>
        <v>Fallecido</v>
      </c>
      <c r="J458" s="44" t="str">
        <f>IFERROR(__xludf.DUMMYFUNCTION("""COMPUTED_VALUE"""),"")</f>
        <v/>
      </c>
      <c r="K458" s="42" t="str">
        <f>IFERROR(__xludf.DUMMYFUNCTION("""COMPUTED_VALUE"""),"Hospital Vargas de Caracas")</f>
        <v>Hospital Vargas de Caracas</v>
      </c>
    </row>
    <row r="459">
      <c r="A459" s="44">
        <v>458.0</v>
      </c>
      <c r="B459" s="44" t="str">
        <f>IFERROR(__xludf.DUMMYFUNCTION("""COMPUTED_VALUE"""),"Hospital Universitario de Carac")</f>
        <v>Hospital Universitario de Carac</v>
      </c>
      <c r="C459" s="45" t="str">
        <f>IFERROR(__xludf.DUMMYFUNCTION("""COMPUTED_VALUE"""),"CORTEZ NOELI")</f>
        <v>CORTEZ NOELI</v>
      </c>
      <c r="D459" s="44">
        <f>IFERROR(__xludf.DUMMYFUNCTION("""COMPUTED_VALUE"""),30.0)</f>
        <v>30</v>
      </c>
      <c r="E459" s="44" t="str">
        <f>IFERROR(__xludf.DUMMYFUNCTION("""COMPUTED_VALUE"""),"22538576")</f>
        <v>22538576</v>
      </c>
      <c r="F459" s="44" t="str">
        <f>IFERROR(__xludf.DUMMYFUNCTION("""COMPUTED_VALUE"""),"")</f>
        <v/>
      </c>
      <c r="G459" s="44" t="str">
        <f>IFERROR(__xludf.DUMMYFUNCTION("""COMPUTED_VALUE"""),"0424-2562305")</f>
        <v>0424-2562305</v>
      </c>
      <c r="H459" s="44" t="str">
        <f>IFERROR(__xludf.DUMMYFUNCTION("""COMPUTED_VALUE""")," ")</f>
        <v> </v>
      </c>
      <c r="I459" s="44" t="str">
        <f>IFERROR(__xludf.DUMMYFUNCTION("""COMPUTED_VALUE""")," ")</f>
        <v> </v>
      </c>
      <c r="J459" s="44" t="str">
        <f>IFERROR(__xludf.DUMMYFUNCTION("""COMPUTED_VALUE"""),"")</f>
        <v/>
      </c>
      <c r="K459" s="42" t="str">
        <f>IFERROR(__xludf.DUMMYFUNCTION("""COMPUTED_VALUE"""),"Hospital Universitario de Carac")</f>
        <v>Hospital Universitario de Carac</v>
      </c>
    </row>
    <row r="460">
      <c r="A460" s="44">
        <v>459.0</v>
      </c>
      <c r="B460" s="44" t="str">
        <f>IFERROR(__xludf.DUMMYFUNCTION("""COMPUTED_VALUE"""),"Hospital Vargas de Caracas")</f>
        <v>Hospital Vargas de Caracas</v>
      </c>
      <c r="C460" s="45" t="str">
        <f>IFERROR(__xludf.DUMMYFUNCTION("""COMPUTED_VALUE"""),"CRISI VARGAS")</f>
        <v>CRISI VARGAS</v>
      </c>
      <c r="D460" s="44" t="str">
        <f>IFERROR(__xludf.DUMMYFUNCTION("""COMPUTED_VALUE""")," ")</f>
        <v> </v>
      </c>
      <c r="E460" s="44" t="str">
        <f>IFERROR(__xludf.DUMMYFUNCTION("""COMPUTED_VALUE"""),"22550084")</f>
        <v>22550084</v>
      </c>
      <c r="F460" s="44" t="str">
        <f>IFERROR(__xludf.DUMMYFUNCTION("""COMPUTED_VALUE""")," ")</f>
        <v> </v>
      </c>
      <c r="G460" s="44" t="str">
        <f>IFERROR(__xludf.DUMMYFUNCTION("""COMPUTED_VALUE"""),"")</f>
        <v/>
      </c>
      <c r="H460" s="44" t="str">
        <f>IFERROR(__xludf.DUMMYFUNCTION("""COMPUTED_VALUE"""),"Guaira")</f>
        <v>Guaira</v>
      </c>
      <c r="I460" s="44" t="str">
        <f>IFERROR(__xludf.DUMMYFUNCTION("""COMPUTED_VALUE""")," ")</f>
        <v> </v>
      </c>
      <c r="J460" s="44" t="str">
        <f>IFERROR(__xludf.DUMMYFUNCTION("""COMPUTED_VALUE"""),"")</f>
        <v/>
      </c>
      <c r="K460" s="42" t="str">
        <f>IFERROR(__xludf.DUMMYFUNCTION("""COMPUTED_VALUE"""),"Hospital Vargas de Caracas")</f>
        <v>Hospital Vargas de Caracas</v>
      </c>
    </row>
    <row r="461">
      <c r="A461" s="44">
        <v>460.0</v>
      </c>
      <c r="B461" s="44" t="str">
        <f>IFERROR(__xludf.DUMMYFUNCTION("""COMPUTED_VALUE"""),"Hospital Vargas de Caracas")</f>
        <v>Hospital Vargas de Caracas</v>
      </c>
      <c r="C461" s="45" t="str">
        <f>IFERROR(__xludf.DUMMYFUNCTION("""COMPUTED_VALUE"""),"VARGAS CARMEN")</f>
        <v>VARGAS CARMEN</v>
      </c>
      <c r="D461" s="44" t="str">
        <f>IFERROR(__xludf.DUMMYFUNCTION("""COMPUTED_VALUE""")," ")</f>
        <v> </v>
      </c>
      <c r="E461" s="44" t="str">
        <f>IFERROR(__xludf.DUMMYFUNCTION("""COMPUTED_VALUE"""),"22550086")</f>
        <v>22550086</v>
      </c>
      <c r="F461" s="44" t="str">
        <f>IFERROR(__xludf.DUMMYFUNCTION("""COMPUTED_VALUE""")," ")</f>
        <v> </v>
      </c>
      <c r="G461" s="44" t="str">
        <f>IFERROR(__xludf.DUMMYFUNCTION("""COMPUTED_VALUE"""),"")</f>
        <v/>
      </c>
      <c r="H461" s="44" t="str">
        <f>IFERROR(__xludf.DUMMYFUNCTION("""COMPUTED_VALUE"""),"Guaira")</f>
        <v>Guaira</v>
      </c>
      <c r="I461" s="44" t="str">
        <f>IFERROR(__xludf.DUMMYFUNCTION("""COMPUTED_VALUE""")," ")</f>
        <v> </v>
      </c>
      <c r="J461" s="44" t="str">
        <f>IFERROR(__xludf.DUMMYFUNCTION("""COMPUTED_VALUE"""),"")</f>
        <v/>
      </c>
      <c r="K461" s="42" t="str">
        <f>IFERROR(__xludf.DUMMYFUNCTION("""COMPUTED_VALUE"""),"Hospital Vargas de Caracas")</f>
        <v>Hospital Vargas de Caracas</v>
      </c>
    </row>
    <row r="462">
      <c r="A462" s="44">
        <v>461.0</v>
      </c>
      <c r="B462" s="44" t="str">
        <f>IFERROR(__xludf.DUMMYFUNCTION("""COMPUTED_VALUE"""),"Hospital Vargas de Caracas")</f>
        <v>Hospital Vargas de Caracas</v>
      </c>
      <c r="C462" s="45" t="str">
        <f>IFERROR(__xludf.DUMMYFUNCTION("""COMPUTED_VALUE"""),"VARYA CARMEN")</f>
        <v>VARYA CARMEN</v>
      </c>
      <c r="D462" s="44" t="str">
        <f>IFERROR(__xludf.DUMMYFUNCTION("""COMPUTED_VALUE"""),"Sin información")</f>
        <v>Sin información</v>
      </c>
      <c r="E462" s="44" t="str">
        <f>IFERROR(__xludf.DUMMYFUNCTION("""COMPUTED_VALUE"""),"225500860")</f>
        <v>225500860</v>
      </c>
      <c r="F462" s="44" t="str">
        <f>IFERROR(__xludf.DUMMYFUNCTION("""COMPUTED_VALUE""")," ")</f>
        <v> </v>
      </c>
      <c r="G462" s="44" t="str">
        <f>IFERROR(__xludf.DUMMYFUNCTION("""COMPUTED_VALUE"""),"")</f>
        <v/>
      </c>
      <c r="H462" s="44" t="str">
        <f>IFERROR(__xludf.DUMMYFUNCTION("""COMPUTED_VALUE"""),"La Guaira")</f>
        <v>La Guaira</v>
      </c>
      <c r="I462" s="44" t="str">
        <f>IFERROR(__xludf.DUMMYFUNCTION("""COMPUTED_VALUE"""),"Sin información")</f>
        <v>Sin información</v>
      </c>
      <c r="J462" s="44" t="str">
        <f>IFERROR(__xludf.DUMMYFUNCTION("""COMPUTED_VALUE"""),"")</f>
        <v/>
      </c>
      <c r="K462" s="42" t="str">
        <f>IFERROR(__xludf.DUMMYFUNCTION("""COMPUTED_VALUE"""),"Hospital Vargas de Caracas")</f>
        <v>Hospital Vargas de Caracas</v>
      </c>
    </row>
    <row r="463">
      <c r="A463" s="44">
        <v>462.0</v>
      </c>
      <c r="B463" s="44" t="str">
        <f>IFERROR(__xludf.DUMMYFUNCTION("""COMPUTED_VALUE"""),"Hospital Ana Francisca Pérez de")</f>
        <v>Hospital Ana Francisca Pérez de</v>
      </c>
      <c r="C463" s="45" t="str">
        <f>IFERROR(__xludf.DUMMYFUNCTION("""COMPUTED_VALUE"""),"ABARIMANCO MILAGRO")</f>
        <v>ABARIMANCO MILAGRO</v>
      </c>
      <c r="D463" s="44">
        <f>IFERROR(__xludf.DUMMYFUNCTION("""COMPUTED_VALUE"""),24.0)</f>
        <v>24</v>
      </c>
      <c r="E463" s="44" t="str">
        <f>IFERROR(__xludf.DUMMYFUNCTION("""COMPUTED_VALUE"""),"22576068")</f>
        <v>22576068</v>
      </c>
      <c r="F463" s="44" t="str">
        <f>IFERROR(__xludf.DUMMYFUNCTION("""COMPUTED_VALUE"""),"")</f>
        <v/>
      </c>
      <c r="G463" s="44" t="str">
        <f>IFERROR(__xludf.DUMMYFUNCTION("""COMPUTED_VALUE""")," ")</f>
        <v> </v>
      </c>
      <c r="H463" s="44" t="str">
        <f>IFERROR(__xludf.DUMMYFUNCTION("""COMPUTED_VALUE"""),"La Guaira")</f>
        <v>La Guaira</v>
      </c>
      <c r="I463" s="44" t="str">
        <f>IFERROR(__xludf.DUMMYFUNCTION("""COMPUTED_VALUE""")," ")</f>
        <v> </v>
      </c>
      <c r="J463" s="44" t="str">
        <f>IFERROR(__xludf.DUMMYFUNCTION("""COMPUTED_VALUE"""),"")</f>
        <v/>
      </c>
      <c r="K463" s="42" t="str">
        <f>IFERROR(__xludf.DUMMYFUNCTION("""COMPUTED_VALUE"""),"Hospital Ana Francisca Pérez de")</f>
        <v>Hospital Ana Francisca Pérez de</v>
      </c>
    </row>
    <row r="464">
      <c r="A464" s="44">
        <v>463.0</v>
      </c>
      <c r="B464" s="44" t="str">
        <f>IFERROR(__xludf.DUMMYFUNCTION("""COMPUTED_VALUE"""),"Hospital Vargas de Caracas")</f>
        <v>Hospital Vargas de Caracas</v>
      </c>
      <c r="C464" s="45" t="str">
        <f>IFERROR(__xludf.DUMMYFUNCTION("""COMPUTED_VALUE"""),"NUESTRO VILLECON")</f>
        <v>NUESTRO VILLECON</v>
      </c>
      <c r="D464" s="44" t="str">
        <f>IFERROR(__xludf.DUMMYFUNCTION("""COMPUTED_VALUE""")," ")</f>
        <v> </v>
      </c>
      <c r="E464" s="44" t="str">
        <f>IFERROR(__xludf.DUMMYFUNCTION("""COMPUTED_VALUE"""),"22750136")</f>
        <v>22750136</v>
      </c>
      <c r="F464" s="44" t="str">
        <f>IFERROR(__xludf.DUMMYFUNCTION("""COMPUTED_VALUE""")," ")</f>
        <v> </v>
      </c>
      <c r="G464" s="44" t="str">
        <f>IFERROR(__xludf.DUMMYFUNCTION("""COMPUTED_VALUE"""),"")</f>
        <v/>
      </c>
      <c r="H464" s="44" t="str">
        <f>IFERROR(__xludf.DUMMYFUNCTION("""COMPUTED_VALUE""")," ")</f>
        <v> </v>
      </c>
      <c r="I464" s="44" t="str">
        <f>IFERROR(__xludf.DUMMYFUNCTION("""COMPUTED_VALUE""")," ")</f>
        <v> </v>
      </c>
      <c r="J464" s="44" t="str">
        <f>IFERROR(__xludf.DUMMYFUNCTION("""COMPUTED_VALUE"""),"")</f>
        <v/>
      </c>
      <c r="K464" s="42" t="str">
        <f>IFERROR(__xludf.DUMMYFUNCTION("""COMPUTED_VALUE"""),"Hospital Vargas de Caracas")</f>
        <v>Hospital Vargas de Caracas</v>
      </c>
    </row>
    <row r="465">
      <c r="A465" s="44">
        <v>464.0</v>
      </c>
      <c r="B465" s="44" t="str">
        <f>IFERROR(__xludf.DUMMYFUNCTION("""COMPUTED_VALUE"""),"Hospital Vargas de Caracas")</f>
        <v>Hospital Vargas de Caracas</v>
      </c>
      <c r="C465" s="45" t="str">
        <f>IFERROR(__xludf.DUMMYFUNCTION("""COMPUTED_VALUE"""),"ADOLFO DIAZ VARONA")</f>
        <v>ADOLFO DIAZ VARONA</v>
      </c>
      <c r="D465" s="44" t="str">
        <f>IFERROR(__xludf.DUMMYFUNCTION("""COMPUTED_VALUE""")," ")</f>
        <v> </v>
      </c>
      <c r="E465" s="44" t="str">
        <f>IFERROR(__xludf.DUMMYFUNCTION("""COMPUTED_VALUE"""),"22751340")</f>
        <v>22751340</v>
      </c>
      <c r="F465" s="44" t="str">
        <f>IFERROR(__xludf.DUMMYFUNCTION("""COMPUTED_VALUE""")," ")</f>
        <v> </v>
      </c>
      <c r="G465" s="44" t="str">
        <f>IFERROR(__xludf.DUMMYFUNCTION("""COMPUTED_VALUE"""),"")</f>
        <v/>
      </c>
      <c r="H465" s="44" t="str">
        <f>IFERROR(__xludf.DUMMYFUNCTION("""COMPUTED_VALUE""")," ")</f>
        <v> </v>
      </c>
      <c r="I465" s="44" t="str">
        <f>IFERROR(__xludf.DUMMYFUNCTION("""COMPUTED_VALUE""")," ")</f>
        <v> </v>
      </c>
      <c r="J465" s="44" t="str">
        <f>IFERROR(__xludf.DUMMYFUNCTION("""COMPUTED_VALUE"""),"")</f>
        <v/>
      </c>
      <c r="K465" s="42" t="str">
        <f>IFERROR(__xludf.DUMMYFUNCTION("""COMPUTED_VALUE"""),"Hospital Vargas de Caracas")</f>
        <v>Hospital Vargas de Caracas</v>
      </c>
    </row>
    <row r="466">
      <c r="A466" s="44">
        <v>465.0</v>
      </c>
      <c r="B466" s="44" t="str">
        <f>IFERROR(__xludf.DUMMYFUNCTION("""COMPUTED_VALUE"""),"Hospital Pérez Carreño")</f>
        <v>Hospital Pérez Carreño</v>
      </c>
      <c r="C466" s="45" t="str">
        <f>IFERROR(__xludf.DUMMYFUNCTION("""COMPUTED_VALUE"""),"GARCIA JUAN")</f>
        <v>GARCIA JUAN</v>
      </c>
      <c r="D466" s="44" t="str">
        <f>IFERROR(__xludf.DUMMYFUNCTION("""COMPUTED_VALUE""")," ")</f>
        <v> </v>
      </c>
      <c r="E466" s="44" t="str">
        <f>IFERROR(__xludf.DUMMYFUNCTION("""COMPUTED_VALUE"""),"22761609")</f>
        <v>22761609</v>
      </c>
      <c r="F466" s="44" t="str">
        <f>IFERROR(__xludf.DUMMYFUNCTION("""COMPUTED_VALUE"""),"")</f>
        <v/>
      </c>
      <c r="G466" s="44" t="str">
        <f>IFERROR(__xludf.DUMMYFUNCTION("""COMPUTED_VALUE""")," ")</f>
        <v> </v>
      </c>
      <c r="H466" s="44" t="str">
        <f>IFERROR(__xludf.DUMMYFUNCTION("""COMPUTED_VALUE""")," ")</f>
        <v> </v>
      </c>
      <c r="I466" s="44" t="str">
        <f>IFERROR(__xludf.DUMMYFUNCTION("""COMPUTED_VALUE"""),"Nuevos Ingresos")</f>
        <v>Nuevos Ingresos</v>
      </c>
      <c r="J466" s="44" t="str">
        <f>IFERROR(__xludf.DUMMYFUNCTION("""COMPUTED_VALUE"""),"25/06/2026")</f>
        <v>25/06/2026</v>
      </c>
      <c r="K466" s="42" t="str">
        <f>IFERROR(__xludf.DUMMYFUNCTION("""COMPUTED_VALUE"""),"Hospital Pérez Carreño")</f>
        <v>Hospital Pérez Carreño</v>
      </c>
    </row>
    <row r="467">
      <c r="A467" s="44">
        <v>466.0</v>
      </c>
      <c r="B467" s="44" t="str">
        <f>IFERROR(__xludf.DUMMYFUNCTION("""COMPUTED_VALUE"""),"Hospital Vargas de Caracas")</f>
        <v>Hospital Vargas de Caracas</v>
      </c>
      <c r="C467" s="45" t="str">
        <f>IFERROR(__xludf.DUMMYFUNCTION("""COMPUTED_VALUE"""),"CANELON MEIBER")</f>
        <v>CANELON MEIBER</v>
      </c>
      <c r="D467" s="44" t="str">
        <f>IFERROR(__xludf.DUMMYFUNCTION("""COMPUTED_VALUE""")," ")</f>
        <v> </v>
      </c>
      <c r="E467" s="44" t="str">
        <f>IFERROR(__xludf.DUMMYFUNCTION("""COMPUTED_VALUE"""),"22862728")</f>
        <v>22862728</v>
      </c>
      <c r="F467" s="44" t="str">
        <f>IFERROR(__xludf.DUMMYFUNCTION("""COMPUTED_VALUE""")," ")</f>
        <v> </v>
      </c>
      <c r="G467" s="44" t="str">
        <f>IFERROR(__xludf.DUMMYFUNCTION("""COMPUTED_VALUE"""),"")</f>
        <v/>
      </c>
      <c r="H467" s="44" t="str">
        <f>IFERROR(__xludf.DUMMYFUNCTION("""COMPUTED_VALUE""")," ")</f>
        <v> </v>
      </c>
      <c r="I467" s="44" t="str">
        <f>IFERROR(__xludf.DUMMYFUNCTION("""COMPUTED_VALUE""")," ")</f>
        <v> </v>
      </c>
      <c r="J467" s="44" t="str">
        <f>IFERROR(__xludf.DUMMYFUNCTION("""COMPUTED_VALUE"""),"")</f>
        <v/>
      </c>
      <c r="K467" s="42" t="str">
        <f>IFERROR(__xludf.DUMMYFUNCTION("""COMPUTED_VALUE"""),"Hospital Vargas de Caracas")</f>
        <v>Hospital Vargas de Caracas</v>
      </c>
    </row>
    <row r="468">
      <c r="A468" s="44">
        <v>467.0</v>
      </c>
      <c r="B468" s="44" t="str">
        <f>IFERROR(__xludf.DUMMYFUNCTION("""COMPUTED_VALUE"""),"La Guaira Sin Hospital")</f>
        <v>La Guaira Sin Hospital</v>
      </c>
      <c r="C468" s="45" t="str">
        <f>IFERROR(__xludf.DUMMYFUNCTION("""COMPUTED_VALUE"""),"Garcia Juver")</f>
        <v>Garcia Juver</v>
      </c>
      <c r="D468" s="44" t="str">
        <f>IFERROR(__xludf.DUMMYFUNCTION("""COMPUTED_VALUE"""),"")</f>
        <v/>
      </c>
      <c r="E468" s="44" t="str">
        <f>IFERROR(__xludf.DUMMYFUNCTION("""COMPUTED_VALUE"""),"22877514")</f>
        <v>22877514</v>
      </c>
      <c r="F468" s="44" t="str">
        <f>IFERROR(__xludf.DUMMYFUNCTION("""COMPUTED_VALUE"""),"")</f>
        <v/>
      </c>
      <c r="G468" s="44" t="str">
        <f>IFERROR(__xludf.DUMMYFUNCTION("""COMPUTED_VALUE"""),"")</f>
        <v/>
      </c>
      <c r="H468" s="44"/>
      <c r="I468" s="44" t="str">
        <f>IFERROR(__xludf.DUMMYFUNCTION("""COMPUTED_VALUE"""),"Listas con cédula")</f>
        <v>Listas con cédula</v>
      </c>
      <c r="J468" s="44" t="str">
        <f>IFERROR(__xludf.DUMMYFUNCTION("""COMPUTED_VALUE"""),"")</f>
        <v/>
      </c>
      <c r="K468" s="42" t="str">
        <f>IFERROR(__xludf.DUMMYFUNCTION("""COMPUTED_VALUE"""),"La Guaira Sin Hospital")</f>
        <v>La Guaira Sin Hospital</v>
      </c>
    </row>
    <row r="469">
      <c r="A469" s="44">
        <v>468.0</v>
      </c>
      <c r="B469" s="44" t="str">
        <f>IFERROR(__xludf.DUMMYFUNCTION("""COMPUTED_VALUE"""),"Hospital Pérez Carreño")</f>
        <v>Hospital Pérez Carreño</v>
      </c>
      <c r="C469" s="45" t="str">
        <f>IFERROR(__xludf.DUMMYFUNCTION("""COMPUTED_VALUE"""),"LEON GONZALO")</f>
        <v>LEON GONZALO</v>
      </c>
      <c r="D469" s="44" t="str">
        <f>IFERROR(__xludf.DUMMYFUNCTION("""COMPUTED_VALUE""")," ")</f>
        <v> </v>
      </c>
      <c r="E469" s="44" t="str">
        <f>IFERROR(__xludf.DUMMYFUNCTION("""COMPUTED_VALUE"""),"22916224")</f>
        <v>22916224</v>
      </c>
      <c r="F469" s="44" t="str">
        <f>IFERROR(__xludf.DUMMYFUNCTION("""COMPUTED_VALUE"""),"")</f>
        <v/>
      </c>
      <c r="G469" s="44" t="str">
        <f>IFERROR(__xludf.DUMMYFUNCTION("""COMPUTED_VALUE""")," ")</f>
        <v> </v>
      </c>
      <c r="H469" s="44" t="str">
        <f>IFERROR(__xludf.DUMMYFUNCTION("""COMPUTED_VALUE""")," ")</f>
        <v> </v>
      </c>
      <c r="I469" s="44" t="str">
        <f>IFERROR(__xludf.DUMMYFUNCTION("""COMPUTED_VALUE""")," ")</f>
        <v> </v>
      </c>
      <c r="J469" s="44" t="str">
        <f>IFERROR(__xludf.DUMMYFUNCTION("""COMPUTED_VALUE"""),"25/06/2026")</f>
        <v>25/06/2026</v>
      </c>
      <c r="K469" s="42" t="str">
        <f>IFERROR(__xludf.DUMMYFUNCTION("""COMPUTED_VALUE"""),"Hospital Pérez Carreño")</f>
        <v>Hospital Pérez Carreño</v>
      </c>
    </row>
    <row r="470">
      <c r="A470" s="44">
        <v>469.0</v>
      </c>
      <c r="B470" s="44" t="str">
        <f>IFERROR(__xludf.DUMMYFUNCTION("""COMPUTED_VALUE"""),"Hospital Pérez Carreño")</f>
        <v>Hospital Pérez Carreño</v>
      </c>
      <c r="C470" s="45" t="str">
        <f>IFERROR(__xludf.DUMMYFUNCTION("""COMPUTED_VALUE"""),"GONZALO LEON")</f>
        <v>GONZALO LEON</v>
      </c>
      <c r="D470" s="44" t="str">
        <f>IFERROR(__xludf.DUMMYFUNCTION("""COMPUTED_VALUE""")," ")</f>
        <v> </v>
      </c>
      <c r="E470" s="44" t="str">
        <f>IFERROR(__xludf.DUMMYFUNCTION("""COMPUTED_VALUE"""),"229162240")</f>
        <v>229162240</v>
      </c>
      <c r="F470" s="44" t="str">
        <f>IFERROR(__xludf.DUMMYFUNCTION("""COMPUTED_VALUE"""),"")</f>
        <v/>
      </c>
      <c r="G470" s="44" t="str">
        <f>IFERROR(__xludf.DUMMYFUNCTION("""COMPUTED_VALUE""")," ")</f>
        <v> </v>
      </c>
      <c r="H470" s="44" t="str">
        <f>IFERROR(__xludf.DUMMYFUNCTION("""COMPUTED_VALUE""")," ")</f>
        <v> </v>
      </c>
      <c r="I470" s="44" t="str">
        <f>IFERROR(__xludf.DUMMYFUNCTION("""COMPUTED_VALUE"""),"Triaje")</f>
        <v>Triaje</v>
      </c>
      <c r="J470" s="44" t="str">
        <f>IFERROR(__xludf.DUMMYFUNCTION("""COMPUTED_VALUE"""),"25/06/2026")</f>
        <v>25/06/2026</v>
      </c>
      <c r="K470" s="42" t="str">
        <f>IFERROR(__xludf.DUMMYFUNCTION("""COMPUTED_VALUE"""),"Hospital Pérez Carreño")</f>
        <v>Hospital Pérez Carreño</v>
      </c>
    </row>
    <row r="471">
      <c r="A471" s="44">
        <v>470.0</v>
      </c>
      <c r="B471" s="44" t="str">
        <f>IFERROR(__xludf.DUMMYFUNCTION("""COMPUTED_VALUE"""),"Hospital Pérez Carreño")</f>
        <v>Hospital Pérez Carreño</v>
      </c>
      <c r="C471" s="45" t="str">
        <f>IFERROR(__xludf.DUMMYFUNCTION("""COMPUTED_VALUE"""),"GOLEARA EMIEA")</f>
        <v>GOLEARA EMIEA</v>
      </c>
      <c r="D471" s="44" t="str">
        <f>IFERROR(__xludf.DUMMYFUNCTION("""COMPUTED_VALUE""")," ")</f>
        <v> </v>
      </c>
      <c r="E471" s="44" t="str">
        <f>IFERROR(__xludf.DUMMYFUNCTION("""COMPUTED_VALUE"""),"22919884")</f>
        <v>22919884</v>
      </c>
      <c r="F471" s="44" t="str">
        <f>IFERROR(__xludf.DUMMYFUNCTION("""COMPUTED_VALUE"""),"")</f>
        <v/>
      </c>
      <c r="G471" s="44" t="str">
        <f>IFERROR(__xludf.DUMMYFUNCTION("""COMPUTED_VALUE""")," ")</f>
        <v> </v>
      </c>
      <c r="H471" s="44" t="str">
        <f>IFERROR(__xludf.DUMMYFUNCTION("""COMPUTED_VALUE""")," ")</f>
        <v> </v>
      </c>
      <c r="I471" s="44" t="str">
        <f>IFERROR(__xludf.DUMMYFUNCTION("""COMPUTED_VALUE"""),"Internado")</f>
        <v>Internado</v>
      </c>
      <c r="J471" s="44" t="str">
        <f>IFERROR(__xludf.DUMMYFUNCTION("""COMPUTED_VALUE"""),"25/06/2026")</f>
        <v>25/06/2026</v>
      </c>
      <c r="K471" s="42" t="str">
        <f>IFERROR(__xludf.DUMMYFUNCTION("""COMPUTED_VALUE"""),"Hospital Pérez Carreño")</f>
        <v>Hospital Pérez Carreño</v>
      </c>
    </row>
    <row r="472">
      <c r="A472" s="44">
        <v>471.0</v>
      </c>
      <c r="B472" s="44" t="str">
        <f>IFERROR(__xludf.DUMMYFUNCTION("""COMPUTED_VALUE"""),"Hospital Pérez Carreño")</f>
        <v>Hospital Pérez Carreño</v>
      </c>
      <c r="C472" s="45" t="str">
        <f>IFERROR(__xludf.DUMMYFUNCTION("""COMPUTED_VALUE"""),"RERRIA HERLINA")</f>
        <v>RERRIA HERLINA</v>
      </c>
      <c r="D472" s="44" t="str">
        <f>IFERROR(__xludf.DUMMYFUNCTION("""COMPUTED_VALUE""")," ")</f>
        <v> </v>
      </c>
      <c r="E472" s="44" t="str">
        <f>IFERROR(__xludf.DUMMYFUNCTION("""COMPUTED_VALUE"""),"22948533")</f>
        <v>22948533</v>
      </c>
      <c r="F472" s="44" t="str">
        <f>IFERROR(__xludf.DUMMYFUNCTION("""COMPUTED_VALUE"""),"")</f>
        <v/>
      </c>
      <c r="G472" s="44" t="str">
        <f>IFERROR(__xludf.DUMMYFUNCTION("""COMPUTED_VALUE""")," ")</f>
        <v> </v>
      </c>
      <c r="H472" s="44" t="str">
        <f>IFERROR(__xludf.DUMMYFUNCTION("""COMPUTED_VALUE""")," ")</f>
        <v> </v>
      </c>
      <c r="I472" s="44" t="str">
        <f>IFERROR(__xludf.DUMMYFUNCTION("""COMPUTED_VALUE"""),"Internado")</f>
        <v>Internado</v>
      </c>
      <c r="J472" s="44" t="str">
        <f>IFERROR(__xludf.DUMMYFUNCTION("""COMPUTED_VALUE"""),"")</f>
        <v/>
      </c>
      <c r="K472" s="42" t="str">
        <f>IFERROR(__xludf.DUMMYFUNCTION("""COMPUTED_VALUE"""),"🔍 BUSCAR PACIENTES")</f>
        <v>🔍 BUSCAR PACIENTES</v>
      </c>
    </row>
    <row r="473">
      <c r="A473" s="44">
        <v>472.0</v>
      </c>
      <c r="B473" s="44" t="str">
        <f>IFERROR(__xludf.DUMMYFUNCTION("""COMPUTED_VALUE"""),"Hospital Pérez Carreño")</f>
        <v>Hospital Pérez Carreño</v>
      </c>
      <c r="C473" s="45" t="str">
        <f>IFERROR(__xludf.DUMMYFUNCTION("""COMPUTED_VALUE"""),"MARIA MONTOLLA")</f>
        <v>MARIA MONTOLLA</v>
      </c>
      <c r="D473" s="44" t="str">
        <f>IFERROR(__xludf.DUMMYFUNCTION("""COMPUTED_VALUE"""),"Sin información")</f>
        <v>Sin información</v>
      </c>
      <c r="E473" s="44" t="str">
        <f>IFERROR(__xludf.DUMMYFUNCTION("""COMPUTED_VALUE"""),"230257340")</f>
        <v>230257340</v>
      </c>
      <c r="F473" s="44" t="str">
        <f>IFERROR(__xludf.DUMMYFUNCTION("""COMPUTED_VALUE"""),"")</f>
        <v/>
      </c>
      <c r="G473" s="44" t="str">
        <f>IFERROR(__xludf.DUMMYFUNCTION("""COMPUTED_VALUE""")," ")</f>
        <v> </v>
      </c>
      <c r="H473" s="44" t="str">
        <f>IFERROR(__xludf.DUMMYFUNCTION("""COMPUTED_VALUE"""),"Sin información")</f>
        <v>Sin información</v>
      </c>
      <c r="I473" s="44" t="str">
        <f>IFERROR(__xludf.DUMMYFUNCTION("""COMPUTED_VALUE"""),"Sin información")</f>
        <v>Sin información</v>
      </c>
      <c r="J473" s="44" t="str">
        <f>IFERROR(__xludf.DUMMYFUNCTION("""COMPUTED_VALUE"""),"25/06/2026")</f>
        <v>25/06/2026</v>
      </c>
      <c r="K473" s="42" t="str">
        <f>IFERROR(__xludf.DUMMYFUNCTION("""COMPUTED_VALUE"""),"Hospital Pérez Carreño")</f>
        <v>Hospital Pérez Carreño</v>
      </c>
    </row>
    <row r="474">
      <c r="A474" s="44">
        <v>473.0</v>
      </c>
      <c r="B474" s="44" t="str">
        <f>IFERROR(__xludf.DUMMYFUNCTION("""COMPUTED_VALUE"""),"Hospital Militar Dr. C. Arvelo")</f>
        <v>Hospital Militar Dr. C. Arvelo</v>
      </c>
      <c r="C474" s="45" t="str">
        <f>IFERROR(__xludf.DUMMYFUNCTION("""COMPUTED_VALUE"""),"Rojas Jesús")</f>
        <v>Rojas Jesús</v>
      </c>
      <c r="D474" s="44">
        <f>IFERROR(__xludf.DUMMYFUNCTION("""COMPUTED_VALUE"""),48.0)</f>
        <v>48</v>
      </c>
      <c r="E474" s="44" t="str">
        <f>IFERROR(__xludf.DUMMYFUNCTION("""COMPUTED_VALUE"""),"2321156")</f>
        <v>2321156</v>
      </c>
      <c r="F474" s="44" t="str">
        <f>IFERROR(__xludf.DUMMYFUNCTION("""COMPUTED_VALUE"""),"")</f>
        <v/>
      </c>
      <c r="G474" s="44" t="str">
        <f>IFERROR(__xludf.DUMMYFUNCTION("""COMPUTED_VALUE"""),"")</f>
        <v/>
      </c>
      <c r="H474" s="44" t="str">
        <f>IFERROR(__xludf.DUMMYFUNCTION("""COMPUTED_VALUE"""),"F")</f>
        <v>F</v>
      </c>
      <c r="I474" s="44" t="str">
        <f>IFERROR(__xludf.DUMMYFUNCTION("""COMPUTED_VALUE"""),"La Guaira PNA")</f>
        <v>La Guaira PNA</v>
      </c>
      <c r="J474" s="44" t="str">
        <f>IFERROR(__xludf.DUMMYFUNCTION("""COMPUTED_VALUE"""),"24/6/2026")</f>
        <v>24/6/2026</v>
      </c>
      <c r="K474" s="42" t="str">
        <f>IFERROR(__xludf.DUMMYFUNCTION("""COMPUTED_VALUE"""),"Hospital Militar Dr. C. Arvelo")</f>
        <v>Hospital Militar Dr. C. Arvelo</v>
      </c>
    </row>
    <row r="475">
      <c r="A475" s="44">
        <v>474.0</v>
      </c>
      <c r="B475" s="44" t="str">
        <f>IFERROR(__xludf.DUMMYFUNCTION("""COMPUTED_VALUE"""),"Hospital Pérez Carreño")</f>
        <v>Hospital Pérez Carreño</v>
      </c>
      <c r="C475" s="45" t="str">
        <f>IFERROR(__xludf.DUMMYFUNCTION("""COMPUTED_VALUE"""),"STABLITO AMILCAR")</f>
        <v>STABLITO AMILCAR</v>
      </c>
      <c r="D475" s="44" t="str">
        <f>IFERROR(__xludf.DUMMYFUNCTION("""COMPUTED_VALUE""")," ")</f>
        <v> </v>
      </c>
      <c r="E475" s="44" t="str">
        <f>IFERROR(__xludf.DUMMYFUNCTION("""COMPUTED_VALUE"""),"23241059")</f>
        <v>23241059</v>
      </c>
      <c r="F475" s="44" t="str">
        <f>IFERROR(__xludf.DUMMYFUNCTION("""COMPUTED_VALUE"""),"")</f>
        <v/>
      </c>
      <c r="G475" s="44" t="str">
        <f>IFERROR(__xludf.DUMMYFUNCTION("""COMPUTED_VALUE""")," ")</f>
        <v> </v>
      </c>
      <c r="H475" s="44" t="str">
        <f>IFERROR(__xludf.DUMMYFUNCTION("""COMPUTED_VALUE""")," ")</f>
        <v> </v>
      </c>
      <c r="I475" s="44" t="str">
        <f>IFERROR(__xludf.DUMMYFUNCTION("""COMPUTED_VALUE""")," ")</f>
        <v> </v>
      </c>
      <c r="J475" s="44" t="str">
        <f>IFERROR(__xludf.DUMMYFUNCTION("""COMPUTED_VALUE"""),"25/06/2026")</f>
        <v>25/06/2026</v>
      </c>
      <c r="K475" s="42" t="str">
        <f>IFERROR(__xludf.DUMMYFUNCTION("""COMPUTED_VALUE"""),"Hospital Pérez Carreño")</f>
        <v>Hospital Pérez Carreño</v>
      </c>
    </row>
    <row r="476">
      <c r="A476" s="44">
        <v>475.0</v>
      </c>
      <c r="B476" s="44" t="str">
        <f>IFERROR(__xludf.DUMMYFUNCTION("""COMPUTED_VALUE"""),"Hospital Pérez Carreño")</f>
        <v>Hospital Pérez Carreño</v>
      </c>
      <c r="C476" s="45" t="str">
        <f>IFERROR(__xludf.DUMMYFUNCTION("""COMPUTED_VALUE"""),"AMILCAR STABILITO")</f>
        <v>AMILCAR STABILITO</v>
      </c>
      <c r="D476" s="44" t="str">
        <f>IFERROR(__xludf.DUMMYFUNCTION("""COMPUTED_VALUE""")," ")</f>
        <v> </v>
      </c>
      <c r="E476" s="44" t="str">
        <f>IFERROR(__xludf.DUMMYFUNCTION("""COMPUTED_VALUE"""),"232410590")</f>
        <v>232410590</v>
      </c>
      <c r="F476" s="44" t="str">
        <f>IFERROR(__xludf.DUMMYFUNCTION("""COMPUTED_VALUE"""),"")</f>
        <v/>
      </c>
      <c r="G476" s="44" t="str">
        <f>IFERROR(__xludf.DUMMYFUNCTION("""COMPUTED_VALUE""")," ")</f>
        <v> </v>
      </c>
      <c r="H476" s="44" t="str">
        <f>IFERROR(__xludf.DUMMYFUNCTION("""COMPUTED_VALUE""")," ")</f>
        <v> </v>
      </c>
      <c r="I476" s="44" t="str">
        <f>IFERROR(__xludf.DUMMYFUNCTION("""COMPUTED_VALUE""")," ")</f>
        <v> </v>
      </c>
      <c r="J476" s="44" t="str">
        <f>IFERROR(__xludf.DUMMYFUNCTION("""COMPUTED_VALUE"""),"25/06/2026")</f>
        <v>25/06/2026</v>
      </c>
      <c r="K476" s="42" t="str">
        <f>IFERROR(__xludf.DUMMYFUNCTION("""COMPUTED_VALUE"""),"Hospital Pérez Carreño")</f>
        <v>Hospital Pérez Carreño</v>
      </c>
    </row>
    <row r="477">
      <c r="A477" s="44">
        <v>476.0</v>
      </c>
      <c r="B477" s="44" t="str">
        <f>IFERROR(__xludf.DUMMYFUNCTION("""COMPUTED_VALUE"""),"Hospital Vargas de Caracas")</f>
        <v>Hospital Vargas de Caracas</v>
      </c>
      <c r="C477" s="45" t="str">
        <f>IFERROR(__xludf.DUMMYFUNCTION("""COMPUTED_VALUE"""),"OROZCO YORMAN")</f>
        <v>OROZCO YORMAN</v>
      </c>
      <c r="D477" s="44" t="str">
        <f>IFERROR(__xludf.DUMMYFUNCTION("""COMPUTED_VALUE""")," ")</f>
        <v> </v>
      </c>
      <c r="E477" s="44" t="str">
        <f>IFERROR(__xludf.DUMMYFUNCTION("""COMPUTED_VALUE"""),"23527437")</f>
        <v>23527437</v>
      </c>
      <c r="F477" s="44" t="str">
        <f>IFERROR(__xludf.DUMMYFUNCTION("""COMPUTED_VALUE""")," ")</f>
        <v> </v>
      </c>
      <c r="G477" s="44" t="str">
        <f>IFERROR(__xludf.DUMMYFUNCTION("""COMPUTED_VALUE"""),"")</f>
        <v/>
      </c>
      <c r="H477" s="44" t="str">
        <f>IFERROR(__xludf.DUMMYFUNCTION("""COMPUTED_VALUE""")," ")</f>
        <v> </v>
      </c>
      <c r="I477" s="44" t="str">
        <f>IFERROR(__xludf.DUMMYFUNCTION("""COMPUTED_VALUE""")," ")</f>
        <v> </v>
      </c>
      <c r="J477" s="44" t="str">
        <f>IFERROR(__xludf.DUMMYFUNCTION("""COMPUTED_VALUE"""),"")</f>
        <v/>
      </c>
      <c r="K477" s="42" t="str">
        <f>IFERROR(__xludf.DUMMYFUNCTION("""COMPUTED_VALUE"""),"Hospital Vargas de Caracas")</f>
        <v>Hospital Vargas de Caracas</v>
      </c>
    </row>
    <row r="478">
      <c r="A478" s="44">
        <v>477.0</v>
      </c>
      <c r="B478" s="44" t="str">
        <f>IFERROR(__xludf.DUMMYFUNCTION("""COMPUTED_VALUE"""),"Hospital Dr. José Gregorio Hern")</f>
        <v>Hospital Dr. José Gregorio Hern</v>
      </c>
      <c r="C478" s="45" t="str">
        <f>IFERROR(__xludf.DUMMYFUNCTION("""COMPUTED_VALUE"""),"PUEZO JUAN")</f>
        <v>PUEZO JUAN</v>
      </c>
      <c r="D478" s="44">
        <f>IFERROR(__xludf.DUMMYFUNCTION("""COMPUTED_VALUE"""),31.0)</f>
        <v>31</v>
      </c>
      <c r="E478" s="44" t="str">
        <f>IFERROR(__xludf.DUMMYFUNCTION("""COMPUTED_VALUE"""),"23565571")</f>
        <v>23565571</v>
      </c>
      <c r="F478" s="44" t="str">
        <f>IFERROR(__xludf.DUMMYFUNCTION("""COMPUTED_VALUE"""),"")</f>
        <v/>
      </c>
      <c r="G478" s="44" t="str">
        <f>IFERROR(__xludf.DUMMYFUNCTION("""COMPUTED_VALUE""")," ")</f>
        <v> </v>
      </c>
      <c r="H478" s="44" t="str">
        <f>IFERROR(__xludf.DUMMYFUNCTION("""COMPUTED_VALUE"""),"La Guaira")</f>
        <v>La Guaira</v>
      </c>
      <c r="I478" s="44" t="str">
        <f>IFERROR(__xludf.DUMMYFUNCTION("""COMPUTED_VALUE""")," ")</f>
        <v> </v>
      </c>
      <c r="J478" s="44" t="str">
        <f>IFERROR(__xludf.DUMMYFUNCTION("""COMPUTED_VALUE"""),"")</f>
        <v/>
      </c>
      <c r="K478" s="42" t="str">
        <f>IFERROR(__xludf.DUMMYFUNCTION("""COMPUTED_VALUE"""),"Hospital Dr. José Gregorio Hern")</f>
        <v>Hospital Dr. José Gregorio Hern</v>
      </c>
    </row>
    <row r="479">
      <c r="A479" s="44">
        <v>478.0</v>
      </c>
      <c r="B479" s="44" t="str">
        <f>IFERROR(__xludf.DUMMYFUNCTION("""COMPUTED_VALUE"""),"Hospital Dr. José Gregorio Hern")</f>
        <v>Hospital Dr. José Gregorio Hern</v>
      </c>
      <c r="C479" s="45" t="str">
        <f>IFERROR(__xludf.DUMMYFUNCTION("""COMPUTED_VALUE"""),"ROMERO LUIS")</f>
        <v>ROMERO LUIS</v>
      </c>
      <c r="D479" s="44">
        <f>IFERROR(__xludf.DUMMYFUNCTION("""COMPUTED_VALUE"""),31.0)</f>
        <v>31</v>
      </c>
      <c r="E479" s="44" t="str">
        <f>IFERROR(__xludf.DUMMYFUNCTION("""COMPUTED_VALUE"""),"23565721")</f>
        <v>23565721</v>
      </c>
      <c r="F479" s="44" t="str">
        <f>IFERROR(__xludf.DUMMYFUNCTION("""COMPUTED_VALUE"""),"")</f>
        <v/>
      </c>
      <c r="G479" s="44" t="str">
        <f>IFERROR(__xludf.DUMMYFUNCTION("""COMPUTED_VALUE""")," ")</f>
        <v> </v>
      </c>
      <c r="H479" s="44" t="str">
        <f>IFERROR(__xludf.DUMMYFUNCTION("""COMPUTED_VALUE"""),"La Guaira")</f>
        <v>La Guaira</v>
      </c>
      <c r="I479" s="44" t="str">
        <f>IFERROR(__xludf.DUMMYFUNCTION("""COMPUTED_VALUE""")," ")</f>
        <v> </v>
      </c>
      <c r="J479" s="44" t="str">
        <f>IFERROR(__xludf.DUMMYFUNCTION("""COMPUTED_VALUE"""),"")</f>
        <v/>
      </c>
      <c r="K479" s="42" t="str">
        <f>IFERROR(__xludf.DUMMYFUNCTION("""COMPUTED_VALUE"""),"Hospital Dr. José Gregorio Hern")</f>
        <v>Hospital Dr. José Gregorio Hern</v>
      </c>
    </row>
    <row r="480">
      <c r="A480" s="44">
        <v>479.0</v>
      </c>
      <c r="B480" s="44" t="str">
        <f>IFERROR(__xludf.DUMMYFUNCTION("""COMPUTED_VALUE"""),"Hospital Ana Francisca Pérez de")</f>
        <v>Hospital Ana Francisca Pérez de</v>
      </c>
      <c r="C480" s="45" t="str">
        <f>IFERROR(__xludf.DUMMYFUNCTION("""COMPUTED_VALUE"""),"DILAGRO ABATIMARCO")</f>
        <v>DILAGRO ABATIMARCO</v>
      </c>
      <c r="D480" s="44">
        <f>IFERROR(__xludf.DUMMYFUNCTION("""COMPUTED_VALUE"""),24.0)</f>
        <v>24</v>
      </c>
      <c r="E480" s="44" t="str">
        <f>IFERROR(__xludf.DUMMYFUNCTION("""COMPUTED_VALUE"""),"235760630")</f>
        <v>235760630</v>
      </c>
      <c r="F480" s="44" t="str">
        <f>IFERROR(__xludf.DUMMYFUNCTION("""COMPUTED_VALUE"""),"")</f>
        <v/>
      </c>
      <c r="G480" s="44" t="str">
        <f>IFERROR(__xludf.DUMMYFUNCTION("""COMPUTED_VALUE""")," ")</f>
        <v> </v>
      </c>
      <c r="H480" s="44" t="str">
        <f>IFERROR(__xludf.DUMMYFUNCTION("""COMPUTED_VALUE"""),"La Guaira")</f>
        <v>La Guaira</v>
      </c>
      <c r="I480" s="44" t="str">
        <f>IFERROR(__xludf.DUMMYFUNCTION("""COMPUTED_VALUE""")," ")</f>
        <v> </v>
      </c>
      <c r="J480" s="44" t="str">
        <f>IFERROR(__xludf.DUMMYFUNCTION("""COMPUTED_VALUE"""),"")</f>
        <v/>
      </c>
      <c r="K480" s="42" t="str">
        <f>IFERROR(__xludf.DUMMYFUNCTION("""COMPUTED_VALUE"""),"🔍 BUSCAR PACIENTES")</f>
        <v>🔍 BUSCAR PACIENTES</v>
      </c>
    </row>
    <row r="481">
      <c r="A481" s="44">
        <v>480.0</v>
      </c>
      <c r="B481" s="44" t="str">
        <f>IFERROR(__xludf.DUMMYFUNCTION("""COMPUTED_VALUE"""),"H. Jose Maria Vargas LG")</f>
        <v>H. Jose Maria Vargas LG</v>
      </c>
      <c r="C481" s="45" t="str">
        <f>IFERROR(__xludf.DUMMYFUNCTION("""COMPUTED_VALUE"""),"PACHECO ESTHER")</f>
        <v>PACHECO ESTHER</v>
      </c>
      <c r="D481" s="44" t="str">
        <f>IFERROR(__xludf.DUMMYFUNCTION("""COMPUTED_VALUE""")," ")</f>
        <v> </v>
      </c>
      <c r="E481" s="44" t="str">
        <f>IFERROR(__xludf.DUMMYFUNCTION("""COMPUTED_VALUE"""),"23617880")</f>
        <v>23617880</v>
      </c>
      <c r="F481" s="44" t="str">
        <f>IFERROR(__xludf.DUMMYFUNCTION("""COMPUTED_VALUE"""),"")</f>
        <v/>
      </c>
      <c r="G481" s="44" t="str">
        <f>IFERROR(__xludf.DUMMYFUNCTION("""COMPUTED_VALUE""")," ")</f>
        <v> </v>
      </c>
      <c r="H481" s="44" t="str">
        <f>IFERROR(__xludf.DUMMYFUNCTION("""COMPUTED_VALUE"""),"Caraballeda")</f>
        <v>Caraballeda</v>
      </c>
      <c r="I481" s="44" t="str">
        <f>IFERROR(__xludf.DUMMYFUNCTION("""COMPUTED_VALUE""")," ")</f>
        <v> </v>
      </c>
      <c r="J481" s="44" t="str">
        <f>IFERROR(__xludf.DUMMYFUNCTION("""COMPUTED_VALUE"""),"")</f>
        <v/>
      </c>
      <c r="K481" s="42" t="str">
        <f>IFERROR(__xludf.DUMMYFUNCTION("""COMPUTED_VALUE"""),"H. Jose Maria Vargas LG")</f>
        <v>H. Jose Maria Vargas LG</v>
      </c>
    </row>
    <row r="482">
      <c r="A482" s="44">
        <v>481.0</v>
      </c>
      <c r="B482" s="44" t="str">
        <f>IFERROR(__xludf.DUMMYFUNCTION("""COMPUTED_VALUE"""),"Seguro Social La Guaira")</f>
        <v>Seguro Social La Guaira</v>
      </c>
      <c r="C482" s="45" t="str">
        <f>IFERROR(__xludf.DUMMYFUNCTION("""COMPUTED_VALUE"""),"ESTHER PACHECO")</f>
        <v>ESTHER PACHECO</v>
      </c>
      <c r="D482" s="44" t="str">
        <f>IFERROR(__xludf.DUMMYFUNCTION("""COMPUTED_VALUE""")," ")</f>
        <v> </v>
      </c>
      <c r="E482" s="44" t="str">
        <f>IFERROR(__xludf.DUMMYFUNCTION("""COMPUTED_VALUE"""),"236178800")</f>
        <v>236178800</v>
      </c>
      <c r="F482" s="44" t="str">
        <f>IFERROR(__xludf.DUMMYFUNCTION("""COMPUTED_VALUE"""),"")</f>
        <v/>
      </c>
      <c r="G482" s="44" t="str">
        <f>IFERROR(__xludf.DUMMYFUNCTION("""COMPUTED_VALUE""")," ")</f>
        <v> </v>
      </c>
      <c r="H482" s="44" t="str">
        <f>IFERROR(__xludf.DUMMYFUNCTION("""COMPUTED_VALUE"""),"Hanover / Caraballeda")</f>
        <v>Hanover / Caraballeda</v>
      </c>
      <c r="I482" s="44" t="str">
        <f>IFERROR(__xludf.DUMMYFUNCTION("""COMPUTED_VALUE""")," ")</f>
        <v> </v>
      </c>
      <c r="J482" s="44" t="str">
        <f>IFERROR(__xludf.DUMMYFUNCTION("""COMPUTED_VALUE"""),"")</f>
        <v/>
      </c>
      <c r="K482" s="42" t="str">
        <f>IFERROR(__xludf.DUMMYFUNCTION("""COMPUTED_VALUE"""),"Seguro Social La Guaira")</f>
        <v>Seguro Social La Guaira</v>
      </c>
    </row>
    <row r="483">
      <c r="A483" s="44">
        <v>482.0</v>
      </c>
      <c r="B483" s="44" t="str">
        <f>IFERROR(__xludf.DUMMYFUNCTION("""COMPUTED_VALUE"""),"Hospital Militar Dr. C. Arvelo")</f>
        <v>Hospital Militar Dr. C. Arvelo</v>
      </c>
      <c r="C483" s="45" t="str">
        <f>IFERROR(__xludf.DUMMYFUNCTION("""COMPUTED_VALUE"""),"López Morales César")</f>
        <v>López Morales César</v>
      </c>
      <c r="D483" s="44">
        <f>IFERROR(__xludf.DUMMYFUNCTION("""COMPUTED_VALUE"""),30.0)</f>
        <v>30</v>
      </c>
      <c r="E483" s="44" t="str">
        <f>IFERROR(__xludf.DUMMYFUNCTION("""COMPUTED_VALUE"""),"23622267")</f>
        <v>23622267</v>
      </c>
      <c r="F483" s="44" t="str">
        <f>IFERROR(__xludf.DUMMYFUNCTION("""COMPUTED_VALUE"""),"")</f>
        <v/>
      </c>
      <c r="G483" s="44" t="str">
        <f>IFERROR(__xludf.DUMMYFUNCTION("""COMPUTED_VALUE"""),"")</f>
        <v/>
      </c>
      <c r="H483" s="44" t="str">
        <f>IFERROR(__xludf.DUMMYFUNCTION("""COMPUTED_VALUE"""),"M")</f>
        <v>M</v>
      </c>
      <c r="I483" s="44" t="str">
        <f>IFERROR(__xludf.DUMMYFUNCTION("""COMPUTED_VALUE"""),"Comandancia GNB Tte. GNB")</f>
        <v>Comandancia GNB Tte. GNB</v>
      </c>
      <c r="J483" s="44" t="str">
        <f>IFERROR(__xludf.DUMMYFUNCTION("""COMPUTED_VALUE"""),"24/6/2026")</f>
        <v>24/6/2026</v>
      </c>
      <c r="K483" s="42" t="str">
        <f>IFERROR(__xludf.DUMMYFUNCTION("""COMPUTED_VALUE"""),"Hospital Militar Dr. C. Arvelo")</f>
        <v>Hospital Militar Dr. C. Arvelo</v>
      </c>
    </row>
    <row r="484">
      <c r="A484" s="44">
        <v>483.0</v>
      </c>
      <c r="B484" s="44" t="str">
        <f>IFERROR(__xludf.DUMMYFUNCTION("""COMPUTED_VALUE"""),"Hospital Militar Dr. C. Arvelo")</f>
        <v>Hospital Militar Dr. C. Arvelo</v>
      </c>
      <c r="C484" s="45" t="str">
        <f>IFERROR(__xludf.DUMMYFUNCTION("""COMPUTED_VALUE"""),"Torres Yenile")</f>
        <v>Torres Yenile</v>
      </c>
      <c r="D484" s="44">
        <f>IFERROR(__xludf.DUMMYFUNCTION("""COMPUTED_VALUE"""),34.0)</f>
        <v>34</v>
      </c>
      <c r="E484" s="44" t="str">
        <f>IFERROR(__xludf.DUMMYFUNCTION("""COMPUTED_VALUE"""),"23634549")</f>
        <v>23634549</v>
      </c>
      <c r="F484" s="44" t="str">
        <f>IFERROR(__xludf.DUMMYFUNCTION("""COMPUTED_VALUE"""),"")</f>
        <v/>
      </c>
      <c r="G484" s="44" t="str">
        <f>IFERROR(__xludf.DUMMYFUNCTION("""COMPUTED_VALUE"""),"")</f>
        <v/>
      </c>
      <c r="H484" s="44" t="str">
        <f>IFERROR(__xludf.DUMMYFUNCTION("""COMPUTED_VALUE"""),"F")</f>
        <v>F</v>
      </c>
      <c r="I484" s="44" t="str">
        <f>IFERROR(__xludf.DUMMYFUNCTION("""COMPUTED_VALUE"""),"San Martín PNA")</f>
        <v>San Martín PNA</v>
      </c>
      <c r="J484" s="44" t="str">
        <f>IFERROR(__xludf.DUMMYFUNCTION("""COMPUTED_VALUE"""),"24/6/2026")</f>
        <v>24/6/2026</v>
      </c>
      <c r="K484" s="42" t="str">
        <f>IFERROR(__xludf.DUMMYFUNCTION("""COMPUTED_VALUE"""),"Hospital Militar Dr. C. Arvelo")</f>
        <v>Hospital Militar Dr. C. Arvelo</v>
      </c>
    </row>
    <row r="485">
      <c r="A485" s="44">
        <v>484.0</v>
      </c>
      <c r="B485" s="44" t="str">
        <f>IFERROR(__xludf.DUMMYFUNCTION("""COMPUTED_VALUE"""),"Hospital Pérez Carreño")</f>
        <v>Hospital Pérez Carreño</v>
      </c>
      <c r="C485" s="45" t="str">
        <f>IFERROR(__xludf.DUMMYFUNCTION("""COMPUTED_VALUE"""),"PEREZO RODOGO")</f>
        <v>PEREZO RODOGO</v>
      </c>
      <c r="D485" s="44" t="str">
        <f>IFERROR(__xludf.DUMMYFUNCTION("""COMPUTED_VALUE""")," ")</f>
        <v> </v>
      </c>
      <c r="E485" s="44" t="str">
        <f>IFERROR(__xludf.DUMMYFUNCTION("""COMPUTED_VALUE"""),"23650891")</f>
        <v>23650891</v>
      </c>
      <c r="F485" s="44" t="str">
        <f>IFERROR(__xludf.DUMMYFUNCTION("""COMPUTED_VALUE"""),"")</f>
        <v/>
      </c>
      <c r="G485" s="44" t="str">
        <f>IFERROR(__xludf.DUMMYFUNCTION("""COMPUTED_VALUE""")," ")</f>
        <v> </v>
      </c>
      <c r="H485" s="44" t="str">
        <f>IFERROR(__xludf.DUMMYFUNCTION("""COMPUTED_VALUE""")," ")</f>
        <v> </v>
      </c>
      <c r="I485" s="44" t="str">
        <f>IFERROR(__xludf.DUMMYFUNCTION("""COMPUTED_VALUE"""),"Internado")</f>
        <v>Internado</v>
      </c>
      <c r="J485" s="44" t="str">
        <f>IFERROR(__xludf.DUMMYFUNCTION("""COMPUTED_VALUE"""),"")</f>
        <v/>
      </c>
      <c r="K485" s="42" t="str">
        <f>IFERROR(__xludf.DUMMYFUNCTION("""COMPUTED_VALUE"""),"🔍 BUSCAR PACIENTES")</f>
        <v>🔍 BUSCAR PACIENTES</v>
      </c>
    </row>
    <row r="486">
      <c r="A486" s="44">
        <v>485.0</v>
      </c>
      <c r="B486" s="44" t="str">
        <f>IFERROR(__xludf.DUMMYFUNCTION("""COMPUTED_VALUE"""),"Seguro Social La Guaira")</f>
        <v>Seguro Social La Guaira</v>
      </c>
      <c r="C486" s="45" t="str">
        <f>IFERROR(__xludf.DUMMYFUNCTION("""COMPUTED_VALUE"""),"REINER RADA")</f>
        <v>REINER RADA</v>
      </c>
      <c r="D486" s="44">
        <f>IFERROR(__xludf.DUMMYFUNCTION("""COMPUTED_VALUE"""),5.0)</f>
        <v>5</v>
      </c>
      <c r="E486" s="44" t="str">
        <f>IFERROR(__xludf.DUMMYFUNCTION("""COMPUTED_VALUE"""),"237108520")</f>
        <v>237108520</v>
      </c>
      <c r="F486" s="44" t="str">
        <f>IFERROR(__xludf.DUMMYFUNCTION("""COMPUTED_VALUE"""),"")</f>
        <v/>
      </c>
      <c r="G486" s="44" t="str">
        <f>IFERROR(__xludf.DUMMYFUNCTION("""COMPUTED_VALUE""")," ")</f>
        <v> </v>
      </c>
      <c r="H486" s="44" t="str">
        <f>IFERROR(__xludf.DUMMYFUNCTION("""COMPUTED_VALUE"""),"Caribe OP27")</f>
        <v>Caribe OP27</v>
      </c>
      <c r="I486" s="44" t="str">
        <f>IFERROR(__xludf.DUMMYFUNCTION("""COMPUTED_VALUE""")," ")</f>
        <v> </v>
      </c>
      <c r="J486" s="44" t="str">
        <f>IFERROR(__xludf.DUMMYFUNCTION("""COMPUTED_VALUE"""),"")</f>
        <v/>
      </c>
      <c r="K486" s="42" t="str">
        <f>IFERROR(__xludf.DUMMYFUNCTION("""COMPUTED_VALUE"""),"Seguro Social La Guaira")</f>
        <v>Seguro Social La Guaira</v>
      </c>
    </row>
    <row r="487">
      <c r="A487" s="44">
        <v>486.0</v>
      </c>
      <c r="B487" s="44" t="str">
        <f>IFERROR(__xludf.DUMMYFUNCTION("""COMPUTED_VALUE"""),"Periférico de Catia")</f>
        <v>Periférico de Catia</v>
      </c>
      <c r="C487" s="45" t="str">
        <f>IFERROR(__xludf.DUMMYFUNCTION("""COMPUTED_VALUE"""),"ENDER RANGEL")</f>
        <v>ENDER RANGEL</v>
      </c>
      <c r="D487" s="44">
        <f>IFERROR(__xludf.DUMMYFUNCTION("""COMPUTED_VALUE"""),30.0)</f>
        <v>30</v>
      </c>
      <c r="E487" s="44" t="str">
        <f>IFERROR(__xludf.DUMMYFUNCTION("""COMPUTED_VALUE"""),"237180640")</f>
        <v>237180640</v>
      </c>
      <c r="F487" s="44" t="str">
        <f>IFERROR(__xludf.DUMMYFUNCTION("""COMPUTED_VALUE"""),"")</f>
        <v/>
      </c>
      <c r="G487" s="44" t="str">
        <f>IFERROR(__xludf.DUMMYFUNCTION("""COMPUTED_VALUE""")," ")</f>
        <v> </v>
      </c>
      <c r="H487" s="44" t="str">
        <f>IFERROR(__xludf.DUMMYFUNCTION("""COMPUTED_VALUE"""),"Caracas")</f>
        <v>Caracas</v>
      </c>
      <c r="I487" s="44" t="str">
        <f>IFERROR(__xludf.DUMMYFUNCTION("""COMPUTED_VALUE"""),"Sin información")</f>
        <v>Sin información</v>
      </c>
      <c r="J487" s="44" t="str">
        <f>IFERROR(__xludf.DUMMYFUNCTION("""COMPUTED_VALUE"""),"")</f>
        <v/>
      </c>
      <c r="K487" s="42" t="str">
        <f>IFERROR(__xludf.DUMMYFUNCTION("""COMPUTED_VALUE"""),"Periférico de Catia")</f>
        <v>Periférico de Catia</v>
      </c>
    </row>
    <row r="488">
      <c r="A488" s="44">
        <v>487.0</v>
      </c>
      <c r="B488" s="44" t="str">
        <f>IFERROR(__xludf.DUMMYFUNCTION("""COMPUTED_VALUE"""),"Hospital Pérez Carreño")</f>
        <v>Hospital Pérez Carreño</v>
      </c>
      <c r="C488" s="45" t="str">
        <f>IFERROR(__xludf.DUMMYFUNCTION("""COMPUTED_VALUE"""),"GRANADO CRISBEL")</f>
        <v>GRANADO CRISBEL</v>
      </c>
      <c r="D488" s="44" t="str">
        <f>IFERROR(__xludf.DUMMYFUNCTION("""COMPUTED_VALUE""")," ")</f>
        <v> </v>
      </c>
      <c r="E488" s="44" t="str">
        <f>IFERROR(__xludf.DUMMYFUNCTION("""COMPUTED_VALUE"""),"23926261")</f>
        <v>23926261</v>
      </c>
      <c r="F488" s="44" t="str">
        <f>IFERROR(__xludf.DUMMYFUNCTION("""COMPUTED_VALUE"""),"")</f>
        <v/>
      </c>
      <c r="G488" s="44" t="str">
        <f>IFERROR(__xludf.DUMMYFUNCTION("""COMPUTED_VALUE""")," ")</f>
        <v> </v>
      </c>
      <c r="H488" s="44" t="str">
        <f>IFERROR(__xludf.DUMMYFUNCTION("""COMPUTED_VALUE""")," ")</f>
        <v> </v>
      </c>
      <c r="I488" s="44" t="str">
        <f>IFERROR(__xludf.DUMMYFUNCTION("""COMPUTED_VALUE""")," ")</f>
        <v> </v>
      </c>
      <c r="J488" s="44" t="str">
        <f>IFERROR(__xludf.DUMMYFUNCTION("""COMPUTED_VALUE"""),"25/06/2026")</f>
        <v>25/06/2026</v>
      </c>
      <c r="K488" s="42" t="str">
        <f>IFERROR(__xludf.DUMMYFUNCTION("""COMPUTED_VALUE"""),"Hospital Pérez Carreño")</f>
        <v>Hospital Pérez Carreño</v>
      </c>
    </row>
    <row r="489">
      <c r="A489" s="44">
        <v>488.0</v>
      </c>
      <c r="B489" s="44" t="str">
        <f>IFERROR(__xludf.DUMMYFUNCTION("""COMPUTED_VALUE"""),"Hospital Pérez Carreño")</f>
        <v>Hospital Pérez Carreño</v>
      </c>
      <c r="C489" s="45" t="str">
        <f>IFERROR(__xludf.DUMMYFUNCTION("""COMPUTED_VALUE"""),"CRISBEL GRANADO")</f>
        <v>CRISBEL GRANADO</v>
      </c>
      <c r="D489" s="44" t="str">
        <f>IFERROR(__xludf.DUMMYFUNCTION("""COMPUTED_VALUE""")," ")</f>
        <v> </v>
      </c>
      <c r="E489" s="44" t="str">
        <f>IFERROR(__xludf.DUMMYFUNCTION("""COMPUTED_VALUE"""),"239262610")</f>
        <v>239262610</v>
      </c>
      <c r="F489" s="44" t="str">
        <f>IFERROR(__xludf.DUMMYFUNCTION("""COMPUTED_VALUE"""),"")</f>
        <v/>
      </c>
      <c r="G489" s="44" t="str">
        <f>IFERROR(__xludf.DUMMYFUNCTION("""COMPUTED_VALUE""")," ")</f>
        <v> </v>
      </c>
      <c r="H489" s="44" t="str">
        <f>IFERROR(__xludf.DUMMYFUNCTION("""COMPUTED_VALUE""")," ")</f>
        <v> </v>
      </c>
      <c r="I489" s="44" t="str">
        <f>IFERROR(__xludf.DUMMYFUNCTION("""COMPUTED_VALUE""")," ")</f>
        <v> </v>
      </c>
      <c r="J489" s="44" t="str">
        <f>IFERROR(__xludf.DUMMYFUNCTION("""COMPUTED_VALUE"""),"25/06/2026")</f>
        <v>25/06/2026</v>
      </c>
      <c r="K489" s="42" t="str">
        <f>IFERROR(__xludf.DUMMYFUNCTION("""COMPUTED_VALUE"""),"Hospital Pérez Carreño")</f>
        <v>Hospital Pérez Carreño</v>
      </c>
    </row>
    <row r="490">
      <c r="A490" s="44">
        <v>489.0</v>
      </c>
      <c r="B490" s="44" t="str">
        <f>IFERROR(__xludf.DUMMYFUNCTION("""COMPUTED_VALUE"""),"Hospital Pérez Carreño")</f>
        <v>Hospital Pérez Carreño</v>
      </c>
      <c r="C490" s="45" t="str">
        <f>IFERROR(__xludf.DUMMYFUNCTION("""COMPUTED_VALUE"""),"GRANADO CRISBEL")</f>
        <v>GRANADO CRISBEL</v>
      </c>
      <c r="D490" s="44" t="str">
        <f>IFERROR(__xludf.DUMMYFUNCTION("""COMPUTED_VALUE"""),"Sin información")</f>
        <v>Sin información</v>
      </c>
      <c r="E490" s="44" t="str">
        <f>IFERROR(__xludf.DUMMYFUNCTION("""COMPUTED_VALUE"""),"239362610")</f>
        <v>239362610</v>
      </c>
      <c r="F490" s="44" t="str">
        <f>IFERROR(__xludf.DUMMYFUNCTION("""COMPUTED_VALUE"""),"")</f>
        <v/>
      </c>
      <c r="G490" s="44" t="str">
        <f>IFERROR(__xludf.DUMMYFUNCTION("""COMPUTED_VALUE""")," ")</f>
        <v> </v>
      </c>
      <c r="H490" s="44" t="str">
        <f>IFERROR(__xludf.DUMMYFUNCTION("""COMPUTED_VALUE"""),"Sin información")</f>
        <v>Sin información</v>
      </c>
      <c r="I490" s="44" t="str">
        <f>IFERROR(__xludf.DUMMYFUNCTION("""COMPUTED_VALUE"""),"Sin información")</f>
        <v>Sin información</v>
      </c>
      <c r="J490" s="44" t="str">
        <f>IFERROR(__xludf.DUMMYFUNCTION("""COMPUTED_VALUE"""),"25/06/2026")</f>
        <v>25/06/2026</v>
      </c>
      <c r="K490" s="42" t="str">
        <f>IFERROR(__xludf.DUMMYFUNCTION("""COMPUTED_VALUE"""),"Hospital Pérez Carreño")</f>
        <v>Hospital Pérez Carreño</v>
      </c>
    </row>
    <row r="491">
      <c r="A491" s="44">
        <v>490.0</v>
      </c>
      <c r="B491" s="44" t="str">
        <f>IFERROR(__xludf.DUMMYFUNCTION("""COMPUTED_VALUE"""),"Hospital Pérez Carreño")</f>
        <v>Hospital Pérez Carreño</v>
      </c>
      <c r="C491" s="45" t="str">
        <f>IFERROR(__xludf.DUMMYFUNCTION("""COMPUTED_VALUE"""),"YEGUE EIDANI")</f>
        <v>YEGUE EIDANI</v>
      </c>
      <c r="D491" s="44" t="str">
        <f>IFERROR(__xludf.DUMMYFUNCTION("""COMPUTED_VALUE""")," ")</f>
        <v> </v>
      </c>
      <c r="E491" s="44" t="str">
        <f>IFERROR(__xludf.DUMMYFUNCTION("""COMPUTED_VALUE"""),"24058780")</f>
        <v>24058780</v>
      </c>
      <c r="F491" s="44" t="str">
        <f>IFERROR(__xludf.DUMMYFUNCTION("""COMPUTED_VALUE"""),"")</f>
        <v/>
      </c>
      <c r="G491" s="44" t="str">
        <f>IFERROR(__xludf.DUMMYFUNCTION("""COMPUTED_VALUE""")," ")</f>
        <v> </v>
      </c>
      <c r="H491" s="44" t="str">
        <f>IFERROR(__xludf.DUMMYFUNCTION("""COMPUTED_VALUE""")," ")</f>
        <v> </v>
      </c>
      <c r="I491" s="44" t="str">
        <f>IFERROR(__xludf.DUMMYFUNCTION("""COMPUTED_VALUE""")," ")</f>
        <v> </v>
      </c>
      <c r="J491" s="44" t="str">
        <f>IFERROR(__xludf.DUMMYFUNCTION("""COMPUTED_VALUE"""),"25/06/2026")</f>
        <v>25/06/2026</v>
      </c>
      <c r="K491" s="42" t="str">
        <f>IFERROR(__xludf.DUMMYFUNCTION("""COMPUTED_VALUE"""),"Hospital Pérez Carreño")</f>
        <v>Hospital Pérez Carreño</v>
      </c>
    </row>
    <row r="492">
      <c r="A492" s="44">
        <v>491.0</v>
      </c>
      <c r="B492" s="44" t="str">
        <f>IFERROR(__xludf.DUMMYFUNCTION("""COMPUTED_VALUE"""),"Hospital Pérez Carreño")</f>
        <v>Hospital Pérez Carreño</v>
      </c>
      <c r="C492" s="45" t="str">
        <f>IFERROR(__xludf.DUMMYFUNCTION("""COMPUTED_VALUE"""),"YEGUE EIBAN")</f>
        <v>YEGUE EIBAN</v>
      </c>
      <c r="D492" s="44" t="str">
        <f>IFERROR(__xludf.DUMMYFUNCTION("""COMPUTED_VALUE""")," ")</f>
        <v> </v>
      </c>
      <c r="E492" s="44" t="str">
        <f>IFERROR(__xludf.DUMMYFUNCTION("""COMPUTED_VALUE"""),"240587800")</f>
        <v>240587800</v>
      </c>
      <c r="F492" s="44" t="str">
        <f>IFERROR(__xludf.DUMMYFUNCTION("""COMPUTED_VALUE"""),"")</f>
        <v/>
      </c>
      <c r="G492" s="44" t="str">
        <f>IFERROR(__xludf.DUMMYFUNCTION("""COMPUTED_VALUE""")," ")</f>
        <v> </v>
      </c>
      <c r="H492" s="44" t="str">
        <f>IFERROR(__xludf.DUMMYFUNCTION("""COMPUTED_VALUE""")," ")</f>
        <v> </v>
      </c>
      <c r="I492" s="44" t="str">
        <f>IFERROR(__xludf.DUMMYFUNCTION("""COMPUTED_VALUE"""),"TRIAJE")</f>
        <v>TRIAJE</v>
      </c>
      <c r="J492" s="44" t="str">
        <f>IFERROR(__xludf.DUMMYFUNCTION("""COMPUTED_VALUE"""),"25/06/2026")</f>
        <v>25/06/2026</v>
      </c>
      <c r="K492" s="42" t="str">
        <f>IFERROR(__xludf.DUMMYFUNCTION("""COMPUTED_VALUE"""),"Hospital Pérez Carreño")</f>
        <v>Hospital Pérez Carreño</v>
      </c>
    </row>
    <row r="493">
      <c r="A493" s="44">
        <v>492.0</v>
      </c>
      <c r="B493" s="44" t="str">
        <f>IFERROR(__xludf.DUMMYFUNCTION("""COMPUTED_VALUE"""),"Hospital Universitario de Carac")</f>
        <v>Hospital Universitario de Carac</v>
      </c>
      <c r="C493" s="45" t="str">
        <f>IFERROR(__xludf.DUMMYFUNCTION("""COMPUTED_VALUE"""),"OROZCO YUSBELIS")</f>
        <v>OROZCO YUSBELIS</v>
      </c>
      <c r="D493" s="44">
        <f>IFERROR(__xludf.DUMMYFUNCTION("""COMPUTED_VALUE"""),35.0)</f>
        <v>35</v>
      </c>
      <c r="E493" s="44" t="str">
        <f>IFERROR(__xludf.DUMMYFUNCTION("""COMPUTED_VALUE"""),"24140952")</f>
        <v>24140952</v>
      </c>
      <c r="F493" s="44" t="str">
        <f>IFERROR(__xludf.DUMMYFUNCTION("""COMPUTED_VALUE"""),"")</f>
        <v/>
      </c>
      <c r="G493" s="44" t="str">
        <f>IFERROR(__xludf.DUMMYFUNCTION("""COMPUTED_VALUE"""),"0412-9970844")</f>
        <v>0412-9970844</v>
      </c>
      <c r="H493" s="44" t="str">
        <f>IFERROR(__xludf.DUMMYFUNCTION("""COMPUTED_VALUE""")," ")</f>
        <v> </v>
      </c>
      <c r="I493" s="44" t="str">
        <f>IFERROR(__xludf.DUMMYFUNCTION("""COMPUTED_VALUE""")," ")</f>
        <v> </v>
      </c>
      <c r="J493" s="44" t="str">
        <f>IFERROR(__xludf.DUMMYFUNCTION("""COMPUTED_VALUE"""),"")</f>
        <v/>
      </c>
      <c r="K493" s="42" t="str">
        <f>IFERROR(__xludf.DUMMYFUNCTION("""COMPUTED_VALUE"""),"Hospital Universitario de Carac")</f>
        <v>Hospital Universitario de Carac</v>
      </c>
    </row>
    <row r="494">
      <c r="A494" s="44">
        <v>493.0</v>
      </c>
      <c r="B494" s="44" t="str">
        <f>IFERROR(__xludf.DUMMYFUNCTION("""COMPUTED_VALUE"""),"Hospital Militar Dr. C. Arvelo")</f>
        <v>Hospital Militar Dr. C. Arvelo</v>
      </c>
      <c r="C494" s="45" t="str">
        <f>IFERROR(__xludf.DUMMYFUNCTION("""COMPUTED_VALUE"""),"Osorio Elvia")</f>
        <v>Osorio Elvia</v>
      </c>
      <c r="D494" s="44">
        <f>IFERROR(__xludf.DUMMYFUNCTION("""COMPUTED_VALUE"""),33.0)</f>
        <v>33</v>
      </c>
      <c r="E494" s="44" t="str">
        <f>IFERROR(__xludf.DUMMYFUNCTION("""COMPUTED_VALUE"""),"24153416")</f>
        <v>24153416</v>
      </c>
      <c r="F494" s="44" t="str">
        <f>IFERROR(__xludf.DUMMYFUNCTION("""COMPUTED_VALUE"""),"")</f>
        <v/>
      </c>
      <c r="G494" s="44" t="str">
        <f>IFERROR(__xludf.DUMMYFUNCTION("""COMPUTED_VALUE"""),"")</f>
        <v/>
      </c>
      <c r="H494" s="44" t="str">
        <f>IFERROR(__xludf.DUMMYFUNCTION("""COMPUTED_VALUE"""),"F")</f>
        <v>F</v>
      </c>
      <c r="I494" s="44" t="str">
        <f>IFERROR(__xludf.DUMMYFUNCTION("""COMPUTED_VALUE"""),"Macuto La Guaira S/M3 GNB")</f>
        <v>Macuto La Guaira S/M3 GNB</v>
      </c>
      <c r="J494" s="44" t="str">
        <f>IFERROR(__xludf.DUMMYFUNCTION("""COMPUTED_VALUE"""),"24/6/2026")</f>
        <v>24/6/2026</v>
      </c>
      <c r="K494" s="42" t="str">
        <f>IFERROR(__xludf.DUMMYFUNCTION("""COMPUTED_VALUE"""),"Hospital Militar Dr. C. Arvelo")</f>
        <v>Hospital Militar Dr. C. Arvelo</v>
      </c>
    </row>
    <row r="495">
      <c r="A495" s="44">
        <v>494.0</v>
      </c>
      <c r="B495" s="44" t="str">
        <f>IFERROR(__xludf.DUMMYFUNCTION("""COMPUTED_VALUE"""),"Hospital Universitario de Carac")</f>
        <v>Hospital Universitario de Carac</v>
      </c>
      <c r="C495" s="45" t="str">
        <f>IFERROR(__xludf.DUMMYFUNCTION("""COMPUTED_VALUE"""),"PEREZ ARIANI")</f>
        <v>PEREZ ARIANI</v>
      </c>
      <c r="D495" s="44">
        <f>IFERROR(__xludf.DUMMYFUNCTION("""COMPUTED_VALUE"""),20.0)</f>
        <v>20</v>
      </c>
      <c r="E495" s="44" t="str">
        <f>IFERROR(__xludf.DUMMYFUNCTION("""COMPUTED_VALUE"""),"24175821")</f>
        <v>24175821</v>
      </c>
      <c r="F495" s="44" t="str">
        <f>IFERROR(__xludf.DUMMYFUNCTION("""COMPUTED_VALUE"""),"")</f>
        <v/>
      </c>
      <c r="G495" s="44" t="str">
        <f>IFERROR(__xludf.DUMMYFUNCTION("""COMPUTED_VALUE"""),"0414-7335723 / 0424-7225723")</f>
        <v>0414-7335723 / 0424-7225723</v>
      </c>
      <c r="H495" s="44" t="str">
        <f>IFERROR(__xludf.DUMMYFUNCTION("""COMPUTED_VALUE""")," ")</f>
        <v> </v>
      </c>
      <c r="I495" s="44" t="str">
        <f>IFERROR(__xludf.DUMMYFUNCTION("""COMPUTED_VALUE""")," ")</f>
        <v> </v>
      </c>
      <c r="J495" s="44" t="str">
        <f>IFERROR(__xludf.DUMMYFUNCTION("""COMPUTED_VALUE"""),"")</f>
        <v/>
      </c>
      <c r="K495" s="42" t="str">
        <f>IFERROR(__xludf.DUMMYFUNCTION("""COMPUTED_VALUE"""),"Hospital Universitario de Carac")</f>
        <v>Hospital Universitario de Carac</v>
      </c>
    </row>
    <row r="496">
      <c r="A496" s="44">
        <v>495.0</v>
      </c>
      <c r="B496" s="44" t="str">
        <f>IFERROR(__xludf.DUMMYFUNCTION("""COMPUTED_VALUE"""),"Seguro Social La Guaira")</f>
        <v>Seguro Social La Guaira</v>
      </c>
      <c r="C496" s="45" t="str">
        <f>IFERROR(__xludf.DUMMYFUNCTION("""COMPUTED_VALUE"""),"ANA LUCIA MITDO")</f>
        <v>ANA LUCIA MITDO</v>
      </c>
      <c r="D496" s="44">
        <f>IFERROR(__xludf.DUMMYFUNCTION("""COMPUTED_VALUE"""),4.0)</f>
        <v>4</v>
      </c>
      <c r="E496" s="44" t="str">
        <f>IFERROR(__xludf.DUMMYFUNCTION("""COMPUTED_VALUE"""),"241822520")</f>
        <v>241822520</v>
      </c>
      <c r="F496" s="44" t="str">
        <f>IFERROR(__xludf.DUMMYFUNCTION("""COMPUTED_VALUE"""),"")</f>
        <v/>
      </c>
      <c r="G496" s="44" t="str">
        <f>IFERROR(__xludf.DUMMYFUNCTION("""COMPUTED_VALUE""")," ")</f>
        <v> </v>
      </c>
      <c r="H496" s="44" t="str">
        <f>IFERROR(__xludf.DUMMYFUNCTION("""COMPUTED_VALUE"""),"Caraballeda")</f>
        <v>Caraballeda</v>
      </c>
      <c r="I496" s="44" t="str">
        <f>IFERROR(__xludf.DUMMYFUNCTION("""COMPUTED_VALUE""")," ")</f>
        <v> </v>
      </c>
      <c r="J496" s="44" t="str">
        <f>IFERROR(__xludf.DUMMYFUNCTION("""COMPUTED_VALUE"""),"")</f>
        <v/>
      </c>
      <c r="K496" s="42" t="str">
        <f>IFERROR(__xludf.DUMMYFUNCTION("""COMPUTED_VALUE"""),"Seguro Social La Guaira")</f>
        <v>Seguro Social La Guaira</v>
      </c>
    </row>
    <row r="497">
      <c r="A497" s="44">
        <v>496.0</v>
      </c>
      <c r="B497" s="44" t="str">
        <f>IFERROR(__xludf.DUMMYFUNCTION("""COMPUTED_VALUE"""),"H. Jose Maria Vargas LG")</f>
        <v>H. Jose Maria Vargas LG</v>
      </c>
      <c r="C497" s="45" t="str">
        <f>IFERROR(__xludf.DUMMYFUNCTION("""COMPUTED_VALUE"""),"QUERALES YESIRE")</f>
        <v>QUERALES YESIRE</v>
      </c>
      <c r="D497" s="44" t="str">
        <f>IFERROR(__xludf.DUMMYFUNCTION("""COMPUTED_VALUE""")," ")</f>
        <v> </v>
      </c>
      <c r="E497" s="44" t="str">
        <f>IFERROR(__xludf.DUMMYFUNCTION("""COMPUTED_VALUE"""),"24182992")</f>
        <v>24182992</v>
      </c>
      <c r="F497" s="44" t="str">
        <f>IFERROR(__xludf.DUMMYFUNCTION("""COMPUTED_VALUE"""),"")</f>
        <v/>
      </c>
      <c r="G497" s="44" t="str">
        <f>IFERROR(__xludf.DUMMYFUNCTION("""COMPUTED_VALUE""")," ")</f>
        <v> </v>
      </c>
      <c r="H497" s="44" t="str">
        <f>IFERROR(__xludf.DUMMYFUNCTION("""COMPUTED_VALUE"""),"Los Corales")</f>
        <v>Los Corales</v>
      </c>
      <c r="I497" s="44" t="str">
        <f>IFERROR(__xludf.DUMMYFUNCTION("""COMPUTED_VALUE""")," ")</f>
        <v> </v>
      </c>
      <c r="J497" s="44" t="str">
        <f>IFERROR(__xludf.DUMMYFUNCTION("""COMPUTED_VALUE"""),"")</f>
        <v/>
      </c>
      <c r="K497" s="42" t="str">
        <f>IFERROR(__xludf.DUMMYFUNCTION("""COMPUTED_VALUE"""),"H. Jose Maria Vargas LG")</f>
        <v>H. Jose Maria Vargas LG</v>
      </c>
    </row>
    <row r="498">
      <c r="A498" s="44">
        <v>497.0</v>
      </c>
      <c r="B498" s="44" t="str">
        <f>IFERROR(__xludf.DUMMYFUNCTION("""COMPUTED_VALUE"""),"Seguro Social La Guaira")</f>
        <v>Seguro Social La Guaira</v>
      </c>
      <c r="C498" s="45" t="str">
        <f>IFERROR(__xludf.DUMMYFUNCTION("""COMPUTED_VALUE"""),"YESSIRE QUEVEDES")</f>
        <v>YESSIRE QUEVEDES</v>
      </c>
      <c r="D498" s="44" t="str">
        <f>IFERROR(__xludf.DUMMYFUNCTION("""COMPUTED_VALUE""")," ")</f>
        <v> </v>
      </c>
      <c r="E498" s="44" t="str">
        <f>IFERROR(__xludf.DUMMYFUNCTION("""COMPUTED_VALUE"""),"241879920")</f>
        <v>241879920</v>
      </c>
      <c r="F498" s="44" t="str">
        <f>IFERROR(__xludf.DUMMYFUNCTION("""COMPUTED_VALUE"""),"")</f>
        <v/>
      </c>
      <c r="G498" s="44" t="str">
        <f>IFERROR(__xludf.DUMMYFUNCTION("""COMPUTED_VALUE""")," ")</f>
        <v> </v>
      </c>
      <c r="H498" s="44" t="str">
        <f>IFERROR(__xludf.DUMMYFUNCTION("""COMPUTED_VALUE"""),"Los Corales")</f>
        <v>Los Corales</v>
      </c>
      <c r="I498" s="44" t="str">
        <f>IFERROR(__xludf.DUMMYFUNCTION("""COMPUTED_VALUE""")," ")</f>
        <v> </v>
      </c>
      <c r="J498" s="44" t="str">
        <f>IFERROR(__xludf.DUMMYFUNCTION("""COMPUTED_VALUE"""),"")</f>
        <v/>
      </c>
      <c r="K498" s="42" t="str">
        <f>IFERROR(__xludf.DUMMYFUNCTION("""COMPUTED_VALUE"""),"Seguro Social La Guaira")</f>
        <v>Seguro Social La Guaira</v>
      </c>
    </row>
    <row r="499">
      <c r="A499" s="44">
        <v>498.0</v>
      </c>
      <c r="B499" s="44" t="str">
        <f>IFERROR(__xludf.DUMMYFUNCTION("""COMPUTED_VALUE"""),"Hospital Vargas de Caracas")</f>
        <v>Hospital Vargas de Caracas</v>
      </c>
      <c r="C499" s="45" t="str">
        <f>IFERROR(__xludf.DUMMYFUNCTION("""COMPUTED_VALUE"""),"RODA GALICIA")</f>
        <v>RODA GALICIA</v>
      </c>
      <c r="D499" s="44">
        <f>IFERROR(__xludf.DUMMYFUNCTION("""COMPUTED_VALUE"""),7.0)</f>
        <v>7</v>
      </c>
      <c r="E499" s="44" t="str">
        <f>IFERROR(__xludf.DUMMYFUNCTION("""COMPUTED_VALUE"""),"24208194")</f>
        <v>24208194</v>
      </c>
      <c r="F499" s="44" t="str">
        <f>IFERROR(__xludf.DUMMYFUNCTION("""COMPUTED_VALUE""")," ")</f>
        <v> </v>
      </c>
      <c r="G499" s="44" t="str">
        <f>IFERROR(__xludf.DUMMYFUNCTION("""COMPUTED_VALUE"""),"")</f>
        <v/>
      </c>
      <c r="H499" s="44" t="str">
        <f>IFERROR(__xludf.DUMMYFUNCTION("""COMPUTED_VALUE"""),"La Guaira")</f>
        <v>La Guaira</v>
      </c>
      <c r="I499" s="44" t="str">
        <f>IFERROR(__xludf.DUMMYFUNCTION("""COMPUTED_VALUE"""),"UPT")</f>
        <v>UPT</v>
      </c>
      <c r="J499" s="44" t="str">
        <f>IFERROR(__xludf.DUMMYFUNCTION("""COMPUTED_VALUE"""),"")</f>
        <v/>
      </c>
      <c r="K499" s="42" t="str">
        <f>IFERROR(__xludf.DUMMYFUNCTION("""COMPUTED_VALUE"""),"Hospital Vargas de Caracas")</f>
        <v>Hospital Vargas de Caracas</v>
      </c>
    </row>
    <row r="500">
      <c r="A500" s="44">
        <v>499.0</v>
      </c>
      <c r="B500" s="44" t="str">
        <f>IFERROR(__xludf.DUMMYFUNCTION("""COMPUTED_VALUE"""),"Periférico de Catia")</f>
        <v>Periférico de Catia</v>
      </c>
      <c r="C500" s="45" t="str">
        <f>IFERROR(__xludf.DUMMYFUNCTION("""COMPUTED_VALUE"""),"MORA KIMBERLY")</f>
        <v>MORA KIMBERLY</v>
      </c>
      <c r="D500" s="44">
        <f>IFERROR(__xludf.DUMMYFUNCTION("""COMPUTED_VALUE"""),34.0)</f>
        <v>34</v>
      </c>
      <c r="E500" s="44" t="str">
        <f>IFERROR(__xludf.DUMMYFUNCTION("""COMPUTED_VALUE"""),"24331288")</f>
        <v>24331288</v>
      </c>
      <c r="F500" s="44" t="str">
        <f>IFERROR(__xludf.DUMMYFUNCTION("""COMPUTED_VALUE"""),"")</f>
        <v/>
      </c>
      <c r="G500" s="44" t="str">
        <f>IFERROR(__xludf.DUMMYFUNCTION("""COMPUTED_VALUE""")," ")</f>
        <v> </v>
      </c>
      <c r="H500" s="44" t="str">
        <f>IFERROR(__xludf.DUMMYFUNCTION("""COMPUTED_VALUE""")," ")</f>
        <v> </v>
      </c>
      <c r="I500" s="44" t="str">
        <f>IFERROR(__xludf.DUMMYFUNCTION("""COMPUTED_VALUE"""),"Cirugía/Trauma")</f>
        <v>Cirugía/Trauma</v>
      </c>
      <c r="J500" s="44" t="str">
        <f>IFERROR(__xludf.DUMMYFUNCTION("""COMPUTED_VALUE"""),"")</f>
        <v/>
      </c>
      <c r="K500" s="42" t="str">
        <f>IFERROR(__xludf.DUMMYFUNCTION("""COMPUTED_VALUE"""),"Periférico de Catia")</f>
        <v>Periférico de Catia</v>
      </c>
    </row>
    <row r="501">
      <c r="A501" s="44">
        <v>500.0</v>
      </c>
      <c r="B501" s="44" t="str">
        <f>IFERROR(__xludf.DUMMYFUNCTION("""COMPUTED_VALUE"""),"Periférico de Catia")</f>
        <v>Periférico de Catia</v>
      </c>
      <c r="C501" s="45" t="str">
        <f>IFERROR(__xludf.DUMMYFUNCTION("""COMPUTED_VALUE"""),"MORA KIMBERLY")</f>
        <v>MORA KIMBERLY</v>
      </c>
      <c r="D501" s="44">
        <f>IFERROR(__xludf.DUMMYFUNCTION("""COMPUTED_VALUE"""),34.0)</f>
        <v>34</v>
      </c>
      <c r="E501" s="44" t="str">
        <f>IFERROR(__xludf.DUMMYFUNCTION("""COMPUTED_VALUE"""),"243312880")</f>
        <v>243312880</v>
      </c>
      <c r="F501" s="44" t="str">
        <f>IFERROR(__xludf.DUMMYFUNCTION("""COMPUTED_VALUE"""),"")</f>
        <v/>
      </c>
      <c r="G501" s="44" t="str">
        <f>IFERROR(__xludf.DUMMYFUNCTION("""COMPUTED_VALUE""")," ")</f>
        <v> </v>
      </c>
      <c r="H501" s="44" t="str">
        <f>IFERROR(__xludf.DUMMYFUNCTION("""COMPUTED_VALUE"""),"Sin información")</f>
        <v>Sin información</v>
      </c>
      <c r="I501" s="44" t="str">
        <f>IFERROR(__xludf.DUMMYFUNCTION("""COMPUTED_VALUE"""),"Cirugía General")</f>
        <v>Cirugía General</v>
      </c>
      <c r="J501" s="44" t="str">
        <f>IFERROR(__xludf.DUMMYFUNCTION("""COMPUTED_VALUE"""),"")</f>
        <v/>
      </c>
      <c r="K501" s="42" t="str">
        <f>IFERROR(__xludf.DUMMYFUNCTION("""COMPUTED_VALUE"""),"Periférico de Catia")</f>
        <v>Periférico de Catia</v>
      </c>
    </row>
    <row r="502">
      <c r="A502" s="44">
        <v>501.0</v>
      </c>
      <c r="B502" s="44" t="str">
        <f>IFERROR(__xludf.DUMMYFUNCTION("""COMPUTED_VALUE"""),"Periférico de Catia")</f>
        <v>Periférico de Catia</v>
      </c>
      <c r="C502" s="45" t="str">
        <f>IFERROR(__xludf.DUMMYFUNCTION("""COMPUTED_VALUE"""),"KIMBERLY MORA")</f>
        <v>KIMBERLY MORA</v>
      </c>
      <c r="D502" s="44">
        <f>IFERROR(__xludf.DUMMYFUNCTION("""COMPUTED_VALUE"""),34.0)</f>
        <v>34</v>
      </c>
      <c r="E502" s="44" t="str">
        <f>IFERROR(__xludf.DUMMYFUNCTION("""COMPUTED_VALUE"""),"243372880")</f>
        <v>243372880</v>
      </c>
      <c r="F502" s="44" t="str">
        <f>IFERROR(__xludf.DUMMYFUNCTION("""COMPUTED_VALUE"""),"")</f>
        <v/>
      </c>
      <c r="G502" s="44" t="str">
        <f>IFERROR(__xludf.DUMMYFUNCTION("""COMPUTED_VALUE""")," ")</f>
        <v> </v>
      </c>
      <c r="H502" s="44" t="str">
        <f>IFERROR(__xludf.DUMMYFUNCTION("""COMPUTED_VALUE"""),"Sin información")</f>
        <v>Sin información</v>
      </c>
      <c r="I502" s="44" t="str">
        <f>IFERROR(__xludf.DUMMYFUNCTION("""COMPUTED_VALUE"""),"Cirugía / Trauma")</f>
        <v>Cirugía / Trauma</v>
      </c>
      <c r="J502" s="44" t="str">
        <f>IFERROR(__xludf.DUMMYFUNCTION("""COMPUTED_VALUE"""),"")</f>
        <v/>
      </c>
      <c r="K502" s="42" t="str">
        <f>IFERROR(__xludf.DUMMYFUNCTION("""COMPUTED_VALUE"""),"Periférico de Catia")</f>
        <v>Periférico de Catia</v>
      </c>
    </row>
    <row r="503">
      <c r="A503" s="44">
        <v>502.0</v>
      </c>
      <c r="B503" s="44" t="str">
        <f>IFERROR(__xludf.DUMMYFUNCTION("""COMPUTED_VALUE"""),"H. Jose Maria Vargas LG")</f>
        <v>H. Jose Maria Vargas LG</v>
      </c>
      <c r="C503" s="45" t="str">
        <f>IFERROR(__xludf.DUMMYFUNCTION("""COMPUTED_VALUE"""),"GARCIA YAMILETH PAOLA")</f>
        <v>GARCIA YAMILETH PAOLA</v>
      </c>
      <c r="D503" s="44" t="str">
        <f>IFERROR(__xludf.DUMMYFUNCTION("""COMPUTED_VALUE""")," ")</f>
        <v> </v>
      </c>
      <c r="E503" s="44" t="str">
        <f>IFERROR(__xludf.DUMMYFUNCTION("""COMPUTED_VALUE"""),"24713737")</f>
        <v>24713737</v>
      </c>
      <c r="F503" s="44" t="str">
        <f>IFERROR(__xludf.DUMMYFUNCTION("""COMPUTED_VALUE"""),"")</f>
        <v/>
      </c>
      <c r="G503" s="44" t="str">
        <f>IFERROR(__xludf.DUMMYFUNCTION("""COMPUTED_VALUE""")," ")</f>
        <v> </v>
      </c>
      <c r="H503" s="44" t="str">
        <f>IFERROR(__xludf.DUMMYFUNCTION("""COMPUTED_VALUE"""),"Aeropuerto")</f>
        <v>Aeropuerto</v>
      </c>
      <c r="I503" s="44" t="str">
        <f>IFERROR(__xludf.DUMMYFUNCTION("""COMPUTED_VALUE""")," ")</f>
        <v> </v>
      </c>
      <c r="J503" s="44" t="str">
        <f>IFERROR(__xludf.DUMMYFUNCTION("""COMPUTED_VALUE"""),"")</f>
        <v/>
      </c>
      <c r="K503" s="42" t="str">
        <f>IFERROR(__xludf.DUMMYFUNCTION("""COMPUTED_VALUE"""),"H. Jose Maria Vargas LG")</f>
        <v>H. Jose Maria Vargas LG</v>
      </c>
    </row>
    <row r="504">
      <c r="A504" s="44">
        <v>503.0</v>
      </c>
      <c r="B504" s="44" t="str">
        <f>IFERROR(__xludf.DUMMYFUNCTION("""COMPUTED_VALUE"""),"Hospital Pérez Carreño")</f>
        <v>Hospital Pérez Carreño</v>
      </c>
      <c r="C504" s="45" t="str">
        <f>IFERROR(__xludf.DUMMYFUNCTION("""COMPUTED_VALUE"""),"CNEPEO LOUVIA")</f>
        <v>CNEPEO LOUVIA</v>
      </c>
      <c r="D504" s="44" t="str">
        <f>IFERROR(__xludf.DUMMYFUNCTION("""COMPUTED_VALUE""")," ")</f>
        <v> </v>
      </c>
      <c r="E504" s="44" t="str">
        <f>IFERROR(__xludf.DUMMYFUNCTION("""COMPUTED_VALUE"""),"24718019")</f>
        <v>24718019</v>
      </c>
      <c r="F504" s="44" t="str">
        <f>IFERROR(__xludf.DUMMYFUNCTION("""COMPUTED_VALUE"""),"")</f>
        <v/>
      </c>
      <c r="G504" s="44" t="str">
        <f>IFERROR(__xludf.DUMMYFUNCTION("""COMPUTED_VALUE""")," ")</f>
        <v> </v>
      </c>
      <c r="H504" s="44" t="str">
        <f>IFERROR(__xludf.DUMMYFUNCTION("""COMPUTED_VALUE""")," ")</f>
        <v> </v>
      </c>
      <c r="I504" s="44" t="str">
        <f>IFERROR(__xludf.DUMMYFUNCTION("""COMPUTED_VALUE"""),"Internado")</f>
        <v>Internado</v>
      </c>
      <c r="J504" s="44" t="str">
        <f>IFERROR(__xludf.DUMMYFUNCTION("""COMPUTED_VALUE"""),"25/06/2026")</f>
        <v>25/06/2026</v>
      </c>
      <c r="K504" s="42" t="str">
        <f>IFERROR(__xludf.DUMMYFUNCTION("""COMPUTED_VALUE"""),"Hospital Pérez Carreño")</f>
        <v>Hospital Pérez Carreño</v>
      </c>
    </row>
    <row r="505">
      <c r="A505" s="44">
        <v>504.0</v>
      </c>
      <c r="B505" s="44" t="str">
        <f>IFERROR(__xludf.DUMMYFUNCTION("""COMPUTED_VALUE"""),"Hospital Militar Dr. C. Arvelo")</f>
        <v>Hospital Militar Dr. C. Arvelo</v>
      </c>
      <c r="C505" s="45" t="str">
        <f>IFERROR(__xludf.DUMMYFUNCTION("""COMPUTED_VALUE"""),"Olivares Heyryber")</f>
        <v>Olivares Heyryber</v>
      </c>
      <c r="D505" s="44">
        <f>IFERROR(__xludf.DUMMYFUNCTION("""COMPUTED_VALUE"""),41.0)</f>
        <v>41</v>
      </c>
      <c r="E505" s="44" t="str">
        <f>IFERROR(__xludf.DUMMYFUNCTION("""COMPUTED_VALUE"""),"24800896")</f>
        <v>24800896</v>
      </c>
      <c r="F505" s="44" t="str">
        <f>IFERROR(__xludf.DUMMYFUNCTION("""COMPUTED_VALUE"""),"")</f>
        <v/>
      </c>
      <c r="G505" s="44" t="str">
        <f>IFERROR(__xludf.DUMMYFUNCTION("""COMPUTED_VALUE"""),"")</f>
        <v/>
      </c>
      <c r="H505" s="44" t="str">
        <f>IFERROR(__xludf.DUMMYFUNCTION("""COMPUTED_VALUE"""),"M")</f>
        <v>M</v>
      </c>
      <c r="I505" s="44" t="str">
        <f>IFERROR(__xludf.DUMMYFUNCTION("""COMPUTED_VALUE"""),"La Guaira S/Of. GNB")</f>
        <v>La Guaira S/Of. GNB</v>
      </c>
      <c r="J505" s="44" t="str">
        <f>IFERROR(__xludf.DUMMYFUNCTION("""COMPUTED_VALUE"""),"24/6/2026")</f>
        <v>24/6/2026</v>
      </c>
      <c r="K505" s="42" t="str">
        <f>IFERROR(__xludf.DUMMYFUNCTION("""COMPUTED_VALUE"""),"Hospital Militar Dr. C. Arvelo")</f>
        <v>Hospital Militar Dr. C. Arvelo</v>
      </c>
    </row>
    <row r="506">
      <c r="A506" s="44">
        <v>505.0</v>
      </c>
      <c r="B506" s="44" t="str">
        <f>IFERROR(__xludf.DUMMYFUNCTION("""COMPUTED_VALUE"""),"Hospital Militar Dr. C. Arvelo")</f>
        <v>Hospital Militar Dr. C. Arvelo</v>
      </c>
      <c r="C506" s="45" t="str">
        <f>IFERROR(__xludf.DUMMYFUNCTION("""COMPUTED_VALUE"""),"Rodríguez Luis")</f>
        <v>Rodríguez Luis</v>
      </c>
      <c r="D506" s="44">
        <f>IFERROR(__xludf.DUMMYFUNCTION("""COMPUTED_VALUE"""),31.0)</f>
        <v>31</v>
      </c>
      <c r="E506" s="44" t="str">
        <f>IFERROR(__xludf.DUMMYFUNCTION("""COMPUTED_VALUE"""),"24802937")</f>
        <v>24802937</v>
      </c>
      <c r="F506" s="44" t="str">
        <f>IFERROR(__xludf.DUMMYFUNCTION("""COMPUTED_VALUE"""),"")</f>
        <v/>
      </c>
      <c r="G506" s="44" t="str">
        <f>IFERROR(__xludf.DUMMYFUNCTION("""COMPUTED_VALUE"""),"")</f>
        <v/>
      </c>
      <c r="H506" s="44" t="str">
        <f>IFERROR(__xludf.DUMMYFUNCTION("""COMPUTED_VALUE"""),"M")</f>
        <v>M</v>
      </c>
      <c r="I506" s="44" t="str">
        <f>IFERROR(__xludf.DUMMYFUNCTION("""COMPUTED_VALUE"""),"La Guaira PNA")</f>
        <v>La Guaira PNA</v>
      </c>
      <c r="J506" s="44" t="str">
        <f>IFERROR(__xludf.DUMMYFUNCTION("""COMPUTED_VALUE"""),"24/6/2026")</f>
        <v>24/6/2026</v>
      </c>
      <c r="K506" s="42" t="str">
        <f>IFERROR(__xludf.DUMMYFUNCTION("""COMPUTED_VALUE"""),"Hospital Militar Dr. C. Arvelo")</f>
        <v>Hospital Militar Dr. C. Arvelo</v>
      </c>
    </row>
    <row r="507">
      <c r="A507" s="44">
        <v>506.0</v>
      </c>
      <c r="B507" s="44" t="str">
        <f>IFERROR(__xludf.DUMMYFUNCTION("""COMPUTED_VALUE"""),"Hospital Militar Dr. C. Arvelo")</f>
        <v>Hospital Militar Dr. C. Arvelo</v>
      </c>
      <c r="C507" s="45" t="str">
        <f>IFERROR(__xludf.DUMMYFUNCTION("""COMPUTED_VALUE"""),"Santos Flores Mario H.")</f>
        <v>Santos Flores Mario H.</v>
      </c>
      <c r="D507" s="44">
        <f>IFERROR(__xludf.DUMMYFUNCTION("""COMPUTED_VALUE"""),30.0)</f>
        <v>30</v>
      </c>
      <c r="E507" s="44" t="str">
        <f>IFERROR(__xludf.DUMMYFUNCTION("""COMPUTED_VALUE"""),"24869842")</f>
        <v>24869842</v>
      </c>
      <c r="F507" s="44" t="str">
        <f>IFERROR(__xludf.DUMMYFUNCTION("""COMPUTED_VALUE"""),"")</f>
        <v/>
      </c>
      <c r="G507" s="44" t="str">
        <f>IFERROR(__xludf.DUMMYFUNCTION("""COMPUTED_VALUE"""),"")</f>
        <v/>
      </c>
      <c r="H507" s="44" t="str">
        <f>IFERROR(__xludf.DUMMYFUNCTION("""COMPUTED_VALUE"""),"M")</f>
        <v>M</v>
      </c>
      <c r="I507" s="44" t="str">
        <f>IFERROR(__xludf.DUMMYFUNCTION("""COMPUTED_VALUE"""),"La Guaira AFILIADO")</f>
        <v>La Guaira AFILIADO</v>
      </c>
      <c r="J507" s="44" t="str">
        <f>IFERROR(__xludf.DUMMYFUNCTION("""COMPUTED_VALUE"""),"24/6/2026")</f>
        <v>24/6/2026</v>
      </c>
      <c r="K507" s="42" t="str">
        <f>IFERROR(__xludf.DUMMYFUNCTION("""COMPUTED_VALUE"""),"Hospital Militar Dr. C. Arvelo")</f>
        <v>Hospital Militar Dr. C. Arvelo</v>
      </c>
    </row>
    <row r="508">
      <c r="A508" s="44">
        <v>507.0</v>
      </c>
      <c r="B508" s="44" t="str">
        <f>IFERROR(__xludf.DUMMYFUNCTION("""COMPUTED_VALUE"""),"H. Jose Maria Vargas LG")</f>
        <v>H. Jose Maria Vargas LG</v>
      </c>
      <c r="C508" s="45" t="str">
        <f>IFERROR(__xludf.DUMMYFUNCTION("""COMPUTED_VALUE"""),"CASTILLO VICTORIA")</f>
        <v>CASTILLO VICTORIA</v>
      </c>
      <c r="D508" s="44">
        <f>IFERROR(__xludf.DUMMYFUNCTION("""COMPUTED_VALUE"""),10.0)</f>
        <v>10</v>
      </c>
      <c r="E508" s="44" t="str">
        <f>IFERROR(__xludf.DUMMYFUNCTION("""COMPUTED_VALUE"""),"24942164")</f>
        <v>24942164</v>
      </c>
      <c r="F508" s="44" t="str">
        <f>IFERROR(__xludf.DUMMYFUNCTION("""COMPUTED_VALUE"""),"")</f>
        <v/>
      </c>
      <c r="G508" s="44" t="str">
        <f>IFERROR(__xludf.DUMMYFUNCTION("""COMPUTED_VALUE""")," ")</f>
        <v> </v>
      </c>
      <c r="H508" s="44" t="str">
        <f>IFERROR(__xludf.DUMMYFUNCTION("""COMPUTED_VALUE""")," ")</f>
        <v> </v>
      </c>
      <c r="I508" s="44" t="str">
        <f>IFERROR(__xludf.DUMMYFUNCTION("""COMPUTED_VALUE"""),"Internado")</f>
        <v>Internado</v>
      </c>
      <c r="J508" s="44" t="str">
        <f>IFERROR(__xludf.DUMMYFUNCTION("""COMPUTED_VALUE"""),"")</f>
        <v/>
      </c>
      <c r="K508" s="42" t="str">
        <f>IFERROR(__xludf.DUMMYFUNCTION("""COMPUTED_VALUE"""),"H. Jose Maria Vargas LG")</f>
        <v>H. Jose Maria Vargas LG</v>
      </c>
    </row>
    <row r="509">
      <c r="A509" s="44">
        <v>508.0</v>
      </c>
      <c r="B509" s="44" t="str">
        <f>IFERROR(__xludf.DUMMYFUNCTION("""COMPUTED_VALUE"""),"Seguro Social La Guaira")</f>
        <v>Seguro Social La Guaira</v>
      </c>
      <c r="C509" s="45" t="str">
        <f>IFERROR(__xludf.DUMMYFUNCTION("""COMPUTED_VALUE"""),"VICTORIA CASTILLO")</f>
        <v>VICTORIA CASTILLO</v>
      </c>
      <c r="D509" s="44">
        <f>IFERROR(__xludf.DUMMYFUNCTION("""COMPUTED_VALUE"""),10.0)</f>
        <v>10</v>
      </c>
      <c r="E509" s="44" t="str">
        <f>IFERROR(__xludf.DUMMYFUNCTION("""COMPUTED_VALUE"""),"249421640")</f>
        <v>249421640</v>
      </c>
      <c r="F509" s="44" t="str">
        <f>IFERROR(__xludf.DUMMYFUNCTION("""COMPUTED_VALUE"""),"")</f>
        <v/>
      </c>
      <c r="G509" s="44" t="str">
        <f>IFERROR(__xludf.DUMMYFUNCTION("""COMPUTED_VALUE""")," ")</f>
        <v> </v>
      </c>
      <c r="H509" s="44" t="str">
        <f>IFERROR(__xludf.DUMMYFUNCTION("""COMPUTED_VALUE"""),"Tanaguarena")</f>
        <v>Tanaguarena</v>
      </c>
      <c r="I509" s="44" t="str">
        <f>IFERROR(__xludf.DUMMYFUNCTION("""COMPUTED_VALUE""")," ")</f>
        <v> </v>
      </c>
      <c r="J509" s="44" t="str">
        <f>IFERROR(__xludf.DUMMYFUNCTION("""COMPUTED_VALUE"""),"")</f>
        <v/>
      </c>
      <c r="K509" s="42" t="str">
        <f>IFERROR(__xludf.DUMMYFUNCTION("""COMPUTED_VALUE"""),"Seguro Social La Guaira")</f>
        <v>Seguro Social La Guaira</v>
      </c>
    </row>
    <row r="510">
      <c r="A510" s="44">
        <v>509.0</v>
      </c>
      <c r="B510" s="44" t="str">
        <f>IFERROR(__xludf.DUMMYFUNCTION("""COMPUTED_VALUE"""),"Hospital Universitario de Carac")</f>
        <v>Hospital Universitario de Carac</v>
      </c>
      <c r="C510" s="45" t="str">
        <f>IFERROR(__xludf.DUMMYFUNCTION("""COMPUTED_VALUE"""),"CUBA ANDREINA")</f>
        <v>CUBA ANDREINA</v>
      </c>
      <c r="D510" s="44">
        <f>IFERROR(__xludf.DUMMYFUNCTION("""COMPUTED_VALUE"""),30.0)</f>
        <v>30</v>
      </c>
      <c r="E510" s="44" t="str">
        <f>IFERROR(__xludf.DUMMYFUNCTION("""COMPUTED_VALUE"""),"25000118")</f>
        <v>25000118</v>
      </c>
      <c r="F510" s="44" t="str">
        <f>IFERROR(__xludf.DUMMYFUNCTION("""COMPUTED_VALUE"""),"")</f>
        <v/>
      </c>
      <c r="G510" s="44" t="str">
        <f>IFERROR(__xludf.DUMMYFUNCTION("""COMPUTED_VALUE""")," ")</f>
        <v> </v>
      </c>
      <c r="H510" s="44" t="str">
        <f>IFERROR(__xludf.DUMMYFUNCTION("""COMPUTED_VALUE""")," ")</f>
        <v> </v>
      </c>
      <c r="I510" s="44" t="str">
        <f>IFERROR(__xludf.DUMMYFUNCTION("""COMPUTED_VALUE"""),"Politraumatismo")</f>
        <v>Politraumatismo</v>
      </c>
      <c r="J510" s="44" t="str">
        <f>IFERROR(__xludf.DUMMYFUNCTION("""COMPUTED_VALUE"""),"")</f>
        <v/>
      </c>
      <c r="K510" s="42" t="str">
        <f>IFERROR(__xludf.DUMMYFUNCTION("""COMPUTED_VALUE"""),"Hospital Universitario de Carac")</f>
        <v>Hospital Universitario de Carac</v>
      </c>
    </row>
    <row r="511">
      <c r="A511" s="44">
        <v>510.0</v>
      </c>
      <c r="B511" s="44" t="str">
        <f>IFERROR(__xludf.DUMMYFUNCTION("""COMPUTED_VALUE"""),"Hospital Pérez Carreño")</f>
        <v>Hospital Pérez Carreño</v>
      </c>
      <c r="C511" s="45" t="str">
        <f>IFERROR(__xludf.DUMMYFUNCTION("""COMPUTED_VALUE"""),"MONTILLA MARIA")</f>
        <v>MONTILLA MARIA</v>
      </c>
      <c r="D511" s="44" t="str">
        <f>IFERROR(__xludf.DUMMYFUNCTION("""COMPUTED_VALUE""")," ")</f>
        <v> </v>
      </c>
      <c r="E511" s="44" t="str">
        <f>IFERROR(__xludf.DUMMYFUNCTION("""COMPUTED_VALUE"""),"25025734")</f>
        <v>25025734</v>
      </c>
      <c r="F511" s="44" t="str">
        <f>IFERROR(__xludf.DUMMYFUNCTION("""COMPUTED_VALUE"""),"")</f>
        <v/>
      </c>
      <c r="G511" s="44" t="str">
        <f>IFERROR(__xludf.DUMMYFUNCTION("""COMPUTED_VALUE""")," ")</f>
        <v> </v>
      </c>
      <c r="H511" s="44" t="str">
        <f>IFERROR(__xludf.DUMMYFUNCTION("""COMPUTED_VALUE""")," ")</f>
        <v> </v>
      </c>
      <c r="I511" s="44" t="str">
        <f>IFERROR(__xludf.DUMMYFUNCTION("""COMPUTED_VALUE""")," ")</f>
        <v> </v>
      </c>
      <c r="J511" s="44" t="str">
        <f>IFERROR(__xludf.DUMMYFUNCTION("""COMPUTED_VALUE"""),"25/06/2026")</f>
        <v>25/06/2026</v>
      </c>
      <c r="K511" s="42" t="str">
        <f>IFERROR(__xludf.DUMMYFUNCTION("""COMPUTED_VALUE"""),"Hospital Pérez Carreño")</f>
        <v>Hospital Pérez Carreño</v>
      </c>
    </row>
    <row r="512">
      <c r="A512" s="44">
        <v>511.0</v>
      </c>
      <c r="B512" s="44" t="str">
        <f>IFERROR(__xludf.DUMMYFUNCTION("""COMPUTED_VALUE"""),"Hospital Pérez Carreño")</f>
        <v>Hospital Pérez Carreño</v>
      </c>
      <c r="C512" s="45" t="str">
        <f>IFERROR(__xludf.DUMMYFUNCTION("""COMPUTED_VALUE"""),"MARIA MONTOLLA")</f>
        <v>MARIA MONTOLLA</v>
      </c>
      <c r="D512" s="44" t="str">
        <f>IFERROR(__xludf.DUMMYFUNCTION("""COMPUTED_VALUE""")," ")</f>
        <v> </v>
      </c>
      <c r="E512" s="44" t="str">
        <f>IFERROR(__xludf.DUMMYFUNCTION("""COMPUTED_VALUE"""),"250257340")</f>
        <v>250257340</v>
      </c>
      <c r="F512" s="44" t="str">
        <f>IFERROR(__xludf.DUMMYFUNCTION("""COMPUTED_VALUE"""),"")</f>
        <v/>
      </c>
      <c r="G512" s="44" t="str">
        <f>IFERROR(__xludf.DUMMYFUNCTION("""COMPUTED_VALUE""")," ")</f>
        <v> </v>
      </c>
      <c r="H512" s="44" t="str">
        <f>IFERROR(__xludf.DUMMYFUNCTION("""COMPUTED_VALUE""")," ")</f>
        <v> </v>
      </c>
      <c r="I512" s="44" t="str">
        <f>IFERROR(__xludf.DUMMYFUNCTION("""COMPUTED_VALUE"""),"Triaje")</f>
        <v>Triaje</v>
      </c>
      <c r="J512" s="44" t="str">
        <f>IFERROR(__xludf.DUMMYFUNCTION("""COMPUTED_VALUE"""),"25/06/2026")</f>
        <v>25/06/2026</v>
      </c>
      <c r="K512" s="42" t="str">
        <f>IFERROR(__xludf.DUMMYFUNCTION("""COMPUTED_VALUE"""),"Hospital Pérez Carreño")</f>
        <v>Hospital Pérez Carreño</v>
      </c>
    </row>
    <row r="513">
      <c r="A513" s="44">
        <v>512.0</v>
      </c>
      <c r="B513" s="44" t="str">
        <f>IFERROR(__xludf.DUMMYFUNCTION("""COMPUTED_VALUE"""),"Hospital Pérez Carreño")</f>
        <v>Hospital Pérez Carreño</v>
      </c>
      <c r="C513" s="45" t="str">
        <f>IFERROR(__xludf.DUMMYFUNCTION("""COMPUTED_VALUE"""),"MOCERAL MARIA")</f>
        <v>MOCERAL MARIA</v>
      </c>
      <c r="D513" s="44" t="str">
        <f>IFERROR(__xludf.DUMMYFUNCTION("""COMPUTED_VALUE""")," ")</f>
        <v> </v>
      </c>
      <c r="E513" s="44" t="str">
        <f>IFERROR(__xludf.DUMMYFUNCTION("""COMPUTED_VALUE"""),"25049995")</f>
        <v>25049995</v>
      </c>
      <c r="F513" s="44" t="str">
        <f>IFERROR(__xludf.DUMMYFUNCTION("""COMPUTED_VALUE"""),"")</f>
        <v/>
      </c>
      <c r="G513" s="44" t="str">
        <f>IFERROR(__xludf.DUMMYFUNCTION("""COMPUTED_VALUE""")," ")</f>
        <v> </v>
      </c>
      <c r="H513" s="44" t="str">
        <f>IFERROR(__xludf.DUMMYFUNCTION("""COMPUTED_VALUE""")," ")</f>
        <v> </v>
      </c>
      <c r="I513" s="44" t="str">
        <f>IFERROR(__xludf.DUMMYFUNCTION("""COMPUTED_VALUE"""),"Internado")</f>
        <v>Internado</v>
      </c>
      <c r="J513" s="44" t="str">
        <f>IFERROR(__xludf.DUMMYFUNCTION("""COMPUTED_VALUE"""),"25/06/2026")</f>
        <v>25/06/2026</v>
      </c>
      <c r="K513" s="42" t="str">
        <f>IFERROR(__xludf.DUMMYFUNCTION("""COMPUTED_VALUE"""),"Hospital Pérez Carreño")</f>
        <v>Hospital Pérez Carreño</v>
      </c>
    </row>
    <row r="514">
      <c r="A514" s="44">
        <v>513.0</v>
      </c>
      <c r="B514" s="44" t="str">
        <f>IFERROR(__xludf.DUMMYFUNCTION("""COMPUTED_VALUE"""),"Hospital Ana Francisca Pérez de")</f>
        <v>Hospital Ana Francisca Pérez de</v>
      </c>
      <c r="C514" s="45" t="str">
        <f>IFERROR(__xludf.DUMMYFUNCTION("""COMPUTED_VALUE"""),"MALO CHINQUINQUIR")</f>
        <v>MALO CHINQUINQUIR</v>
      </c>
      <c r="D514" s="44">
        <f>IFERROR(__xludf.DUMMYFUNCTION("""COMPUTED_VALUE"""),61.0)</f>
        <v>61</v>
      </c>
      <c r="E514" s="44" t="str">
        <f>IFERROR(__xludf.DUMMYFUNCTION("""COMPUTED_VALUE"""),"25088412")</f>
        <v>25088412</v>
      </c>
      <c r="F514" s="44" t="str">
        <f>IFERROR(__xludf.DUMMYFUNCTION("""COMPUTED_VALUE"""),"")</f>
        <v/>
      </c>
      <c r="G514" s="44" t="str">
        <f>IFERROR(__xludf.DUMMYFUNCTION("""COMPUTED_VALUE""")," ")</f>
        <v> </v>
      </c>
      <c r="H514" s="44" t="str">
        <f>IFERROR(__xludf.DUMMYFUNCTION("""COMPUTED_VALUE"""),"Caripe")</f>
        <v>Caripe</v>
      </c>
      <c r="I514" s="44" t="str">
        <f>IFERROR(__xludf.DUMMYFUNCTION("""COMPUTED_VALUE""")," ")</f>
        <v> </v>
      </c>
      <c r="J514" s="44" t="str">
        <f>IFERROR(__xludf.DUMMYFUNCTION("""COMPUTED_VALUE"""),"")</f>
        <v/>
      </c>
      <c r="K514" s="42" t="str">
        <f>IFERROR(__xludf.DUMMYFUNCTION("""COMPUTED_VALUE"""),"Hospital Ana Francisca Pérez de")</f>
        <v>Hospital Ana Francisca Pérez de</v>
      </c>
    </row>
    <row r="515">
      <c r="A515" s="44">
        <v>514.0</v>
      </c>
      <c r="B515" s="44" t="str">
        <f>IFERROR(__xludf.DUMMYFUNCTION("""COMPUTED_VALUE"""),"Hospital Ana Francisca Pérez de")</f>
        <v>Hospital Ana Francisca Pérez de</v>
      </c>
      <c r="C515" s="45" t="str">
        <f>IFERROR(__xludf.DUMMYFUNCTION("""COMPUTED_VALUE"""),"CHINQUINQUEN ALALE")</f>
        <v>CHINQUINQUEN ALALE</v>
      </c>
      <c r="D515" s="44">
        <f>IFERROR(__xludf.DUMMYFUNCTION("""COMPUTED_VALUE"""),1.0)</f>
        <v>1</v>
      </c>
      <c r="E515" s="44" t="str">
        <f>IFERROR(__xludf.DUMMYFUNCTION("""COMPUTED_VALUE"""),"250884120")</f>
        <v>250884120</v>
      </c>
      <c r="F515" s="44" t="str">
        <f>IFERROR(__xludf.DUMMYFUNCTION("""COMPUTED_VALUE"""),"")</f>
        <v/>
      </c>
      <c r="G515" s="44" t="str">
        <f>IFERROR(__xludf.DUMMYFUNCTION("""COMPUTED_VALUE""")," ")</f>
        <v> </v>
      </c>
      <c r="H515" s="44" t="str">
        <f>IFERROR(__xludf.DUMMYFUNCTION("""COMPUTED_VALUE"""),"Caribe")</f>
        <v>Caribe</v>
      </c>
      <c r="I515" s="44" t="str">
        <f>IFERROR(__xludf.DUMMYFUNCTION("""COMPUTED_VALUE""")," ")</f>
        <v> </v>
      </c>
      <c r="J515" s="44" t="str">
        <f>IFERROR(__xludf.DUMMYFUNCTION("""COMPUTED_VALUE"""),"")</f>
        <v/>
      </c>
      <c r="K515" s="42" t="str">
        <f>IFERROR(__xludf.DUMMYFUNCTION("""COMPUTED_VALUE"""),"🔍 BUSCAR PACIENTES")</f>
        <v>🔍 BUSCAR PACIENTES</v>
      </c>
    </row>
    <row r="516">
      <c r="A516" s="44">
        <v>515.0</v>
      </c>
      <c r="B516" s="44" t="str">
        <f>IFERROR(__xludf.DUMMYFUNCTION("""COMPUTED_VALUE"""),"Hospital Militar Dr. C. Arvelo")</f>
        <v>Hospital Militar Dr. C. Arvelo</v>
      </c>
      <c r="C516" s="45" t="str">
        <f>IFERROR(__xludf.DUMMYFUNCTION("""COMPUTED_VALUE"""),"Garatli Cova")</f>
        <v>Garatli Cova</v>
      </c>
      <c r="D516" s="44">
        <f>IFERROR(__xludf.DUMMYFUNCTION("""COMPUTED_VALUE"""),24.0)</f>
        <v>24</v>
      </c>
      <c r="E516" s="44" t="str">
        <f>IFERROR(__xludf.DUMMYFUNCTION("""COMPUTED_VALUE"""),"25132946")</f>
        <v>25132946</v>
      </c>
      <c r="F516" s="44" t="str">
        <f>IFERROR(__xludf.DUMMYFUNCTION("""COMPUTED_VALUE"""),"")</f>
        <v/>
      </c>
      <c r="G516" s="44" t="str">
        <f>IFERROR(__xludf.DUMMYFUNCTION("""COMPUTED_VALUE"""),"")</f>
        <v/>
      </c>
      <c r="H516" s="44" t="str">
        <f>IFERROR(__xludf.DUMMYFUNCTION("""COMPUTED_VALUE"""),"F")</f>
        <v>F</v>
      </c>
      <c r="I516" s="44" t="str">
        <f>IFERROR(__xludf.DUMMYFUNCTION("""COMPUTED_VALUE"""),"La Guaira PNA")</f>
        <v>La Guaira PNA</v>
      </c>
      <c r="J516" s="44" t="str">
        <f>IFERROR(__xludf.DUMMYFUNCTION("""COMPUTED_VALUE"""),"24/6/2026")</f>
        <v>24/6/2026</v>
      </c>
      <c r="K516" s="42" t="str">
        <f>IFERROR(__xludf.DUMMYFUNCTION("""COMPUTED_VALUE"""),"Hospital Militar Dr. C. Arvelo")</f>
        <v>Hospital Militar Dr. C. Arvelo</v>
      </c>
    </row>
    <row r="517">
      <c r="A517" s="44">
        <v>516.0</v>
      </c>
      <c r="B517" s="44" t="str">
        <f>IFERROR(__xludf.DUMMYFUNCTION("""COMPUTED_VALUE"""),"Periférico de Catia")</f>
        <v>Periférico de Catia</v>
      </c>
      <c r="C517" s="45" t="str">
        <f>IFERROR(__xludf.DUMMYFUNCTION("""COMPUTED_VALUE"""),"SIVIRA LEONEIDY")</f>
        <v>SIVIRA LEONEIDY</v>
      </c>
      <c r="D517" s="44">
        <f>IFERROR(__xludf.DUMMYFUNCTION("""COMPUTED_VALUE"""),30.0)</f>
        <v>30</v>
      </c>
      <c r="E517" s="44" t="str">
        <f>IFERROR(__xludf.DUMMYFUNCTION("""COMPUTED_VALUE"""),"25175345")</f>
        <v>25175345</v>
      </c>
      <c r="F517" s="44" t="str">
        <f>IFERROR(__xludf.DUMMYFUNCTION("""COMPUTED_VALUE"""),"")</f>
        <v/>
      </c>
      <c r="G517" s="44" t="str">
        <f>IFERROR(__xludf.DUMMYFUNCTION("""COMPUTED_VALUE""")," ")</f>
        <v> </v>
      </c>
      <c r="H517" s="44" t="str">
        <f>IFERROR(__xludf.DUMMYFUNCTION("""COMPUTED_VALUE""")," ")</f>
        <v> </v>
      </c>
      <c r="I517" s="44" t="str">
        <f>IFERROR(__xludf.DUMMYFUNCTION("""COMPUTED_VALUE"""),"Cirugía General")</f>
        <v>Cirugía General</v>
      </c>
      <c r="J517" s="44" t="str">
        <f>IFERROR(__xludf.DUMMYFUNCTION("""COMPUTED_VALUE"""),"")</f>
        <v/>
      </c>
      <c r="K517" s="42" t="str">
        <f>IFERROR(__xludf.DUMMYFUNCTION("""COMPUTED_VALUE"""),"Periférico de Catia")</f>
        <v>Periférico de Catia</v>
      </c>
    </row>
    <row r="518">
      <c r="A518" s="44">
        <v>517.0</v>
      </c>
      <c r="B518" s="44" t="str">
        <f>IFERROR(__xludf.DUMMYFUNCTION("""COMPUTED_VALUE"""),"Periférico de Catia")</f>
        <v>Periférico de Catia</v>
      </c>
      <c r="C518" s="45" t="str">
        <f>IFERROR(__xludf.DUMMYFUNCTION("""COMPUTED_VALUE"""),"LEONEIDY SIVIRA")</f>
        <v>LEONEIDY SIVIRA</v>
      </c>
      <c r="D518" s="44">
        <f>IFERROR(__xludf.DUMMYFUNCTION("""COMPUTED_VALUE"""),30.0)</f>
        <v>30</v>
      </c>
      <c r="E518" s="44" t="str">
        <f>IFERROR(__xludf.DUMMYFUNCTION("""COMPUTED_VALUE"""),"251753450")</f>
        <v>251753450</v>
      </c>
      <c r="F518" s="44" t="str">
        <f>IFERROR(__xludf.DUMMYFUNCTION("""COMPUTED_VALUE"""),"")</f>
        <v/>
      </c>
      <c r="G518" s="44" t="str">
        <f>IFERROR(__xludf.DUMMYFUNCTION("""COMPUTED_VALUE""")," ")</f>
        <v> </v>
      </c>
      <c r="H518" s="44" t="str">
        <f>IFERROR(__xludf.DUMMYFUNCTION("""COMPUTED_VALUE"""),"Sin información")</f>
        <v>Sin información</v>
      </c>
      <c r="I518" s="44" t="str">
        <f>IFERROR(__xludf.DUMMYFUNCTION("""COMPUTED_VALUE"""),"Cirugía General")</f>
        <v>Cirugía General</v>
      </c>
      <c r="J518" s="44" t="str">
        <f>IFERROR(__xludf.DUMMYFUNCTION("""COMPUTED_VALUE"""),"")</f>
        <v/>
      </c>
      <c r="K518" s="42" t="str">
        <f>IFERROR(__xludf.DUMMYFUNCTION("""COMPUTED_VALUE"""),"Periférico de Catia")</f>
        <v>Periférico de Catia</v>
      </c>
    </row>
    <row r="519">
      <c r="A519" s="44">
        <v>518.0</v>
      </c>
      <c r="B519" s="44" t="str">
        <f>IFERROR(__xludf.DUMMYFUNCTION("""COMPUTED_VALUE"""),"Hospital Vargas de Caracas")</f>
        <v>Hospital Vargas de Caracas</v>
      </c>
      <c r="C519" s="45" t="str">
        <f>IFERROR(__xludf.DUMMYFUNCTION("""COMPUTED_VALUE"""),"RAMIREZ NAIROBIS")</f>
        <v>RAMIREZ NAIROBIS</v>
      </c>
      <c r="D519" s="44">
        <f>IFERROR(__xludf.DUMMYFUNCTION("""COMPUTED_VALUE"""),32.0)</f>
        <v>32</v>
      </c>
      <c r="E519" s="44" t="str">
        <f>IFERROR(__xludf.DUMMYFUNCTION("""COMPUTED_VALUE"""),"25176001")</f>
        <v>25176001</v>
      </c>
      <c r="F519" s="44" t="str">
        <f>IFERROR(__xludf.DUMMYFUNCTION("""COMPUTED_VALUE""")," ")</f>
        <v> </v>
      </c>
      <c r="G519" s="44" t="str">
        <f>IFERROR(__xludf.DUMMYFUNCTION("""COMPUTED_VALUE"""),"")</f>
        <v/>
      </c>
      <c r="H519" s="44" t="str">
        <f>IFERROR(__xludf.DUMMYFUNCTION("""COMPUTED_VALUE"""),"La Guaira")</f>
        <v>La Guaira</v>
      </c>
      <c r="I519" s="44" t="str">
        <f>IFERROR(__xludf.DUMMYFUNCTION("""COMPUTED_VALUE"""),"UPT")</f>
        <v>UPT</v>
      </c>
      <c r="J519" s="44" t="str">
        <f>IFERROR(__xludf.DUMMYFUNCTION("""COMPUTED_VALUE"""),"")</f>
        <v/>
      </c>
      <c r="K519" s="42" t="str">
        <f>IFERROR(__xludf.DUMMYFUNCTION("""COMPUTED_VALUE"""),"Hospital Vargas de Caracas")</f>
        <v>Hospital Vargas de Caracas</v>
      </c>
    </row>
    <row r="520">
      <c r="A520" s="44">
        <v>519.0</v>
      </c>
      <c r="B520" s="44" t="str">
        <f>IFERROR(__xludf.DUMMYFUNCTION("""COMPUTED_VALUE"""),"Hospital Militar Dr. C. Arvelo")</f>
        <v>Hospital Militar Dr. C. Arvelo</v>
      </c>
      <c r="C520" s="45" t="str">
        <f>IFERROR(__xludf.DUMMYFUNCTION("""COMPUTED_VALUE"""),"Peña Emma")</f>
        <v>Peña Emma</v>
      </c>
      <c r="D520" s="44">
        <f>IFERROR(__xludf.DUMMYFUNCTION("""COMPUTED_VALUE"""),86.0)</f>
        <v>86</v>
      </c>
      <c r="E520" s="44" t="str">
        <f>IFERROR(__xludf.DUMMYFUNCTION("""COMPUTED_VALUE"""),"2528862")</f>
        <v>2528862</v>
      </c>
      <c r="F520" s="44" t="str">
        <f>IFERROR(__xludf.DUMMYFUNCTION("""COMPUTED_VALUE"""),"")</f>
        <v/>
      </c>
      <c r="G520" s="44" t="str">
        <f>IFERROR(__xludf.DUMMYFUNCTION("""COMPUTED_VALUE"""),"")</f>
        <v/>
      </c>
      <c r="H520" s="44" t="str">
        <f>IFERROR(__xludf.DUMMYFUNCTION("""COMPUTED_VALUE"""),"F")</f>
        <v>F</v>
      </c>
      <c r="I520" s="44" t="str">
        <f>IFERROR(__xludf.DUMMYFUNCTION("""COMPUTED_VALUE"""),"San Martín PNA")</f>
        <v>San Martín PNA</v>
      </c>
      <c r="J520" s="44" t="str">
        <f>IFERROR(__xludf.DUMMYFUNCTION("""COMPUTED_VALUE"""),"24/6/2026")</f>
        <v>24/6/2026</v>
      </c>
      <c r="K520" s="42" t="str">
        <f>IFERROR(__xludf.DUMMYFUNCTION("""COMPUTED_VALUE"""),"Hospital Militar Dr. C. Arvelo")</f>
        <v>Hospital Militar Dr. C. Arvelo</v>
      </c>
    </row>
    <row r="521">
      <c r="A521" s="44">
        <v>520.0</v>
      </c>
      <c r="B521" s="44" t="str">
        <f>IFERROR(__xludf.DUMMYFUNCTION("""COMPUTED_VALUE"""),"Hospital Universitario de Carac")</f>
        <v>Hospital Universitario de Carac</v>
      </c>
      <c r="C521" s="45" t="str">
        <f>IFERROR(__xludf.DUMMYFUNCTION("""COMPUTED_VALUE"""),"PALACIO JHON")</f>
        <v>PALACIO JHON</v>
      </c>
      <c r="D521" s="44">
        <f>IFERROR(__xludf.DUMMYFUNCTION("""COMPUTED_VALUE"""),31.0)</f>
        <v>31</v>
      </c>
      <c r="E521" s="44" t="str">
        <f>IFERROR(__xludf.DUMMYFUNCTION("""COMPUTED_VALUE"""),"25304211")</f>
        <v>25304211</v>
      </c>
      <c r="F521" s="44" t="str">
        <f>IFERROR(__xludf.DUMMYFUNCTION("""COMPUTED_VALUE"""),"")</f>
        <v/>
      </c>
      <c r="G521" s="44" t="str">
        <f>IFERROR(__xludf.DUMMYFUNCTION("""COMPUTED_VALUE"""),"0412-5749550")</f>
        <v>0412-5749550</v>
      </c>
      <c r="H521" s="44" t="str">
        <f>IFERROR(__xludf.DUMMYFUNCTION("""COMPUTED_VALUE""")," ")</f>
        <v> </v>
      </c>
      <c r="I521" s="44" t="str">
        <f>IFERROR(__xludf.DUMMYFUNCTION("""COMPUTED_VALUE""")," ")</f>
        <v> </v>
      </c>
      <c r="J521" s="44" t="str">
        <f>IFERROR(__xludf.DUMMYFUNCTION("""COMPUTED_VALUE"""),"")</f>
        <v/>
      </c>
      <c r="K521" s="42" t="str">
        <f>IFERROR(__xludf.DUMMYFUNCTION("""COMPUTED_VALUE"""),"Hospital Universitario de Carac")</f>
        <v>Hospital Universitario de Carac</v>
      </c>
    </row>
    <row r="522">
      <c r="A522" s="44">
        <v>521.0</v>
      </c>
      <c r="B522" s="44" t="str">
        <f>IFERROR(__xludf.DUMMYFUNCTION("""COMPUTED_VALUE"""),"Hospital Pérez Carreño")</f>
        <v>Hospital Pérez Carreño</v>
      </c>
      <c r="C522" s="45" t="str">
        <f>IFERROR(__xludf.DUMMYFUNCTION("""COMPUTED_VALUE"""),"NIVER GARCIA")</f>
        <v>NIVER GARCIA</v>
      </c>
      <c r="D522" s="44" t="str">
        <f>IFERROR(__xludf.DUMMYFUNCTION("""COMPUTED_VALUE"""),"Sin información")</f>
        <v>Sin información</v>
      </c>
      <c r="E522" s="44" t="str">
        <f>IFERROR(__xludf.DUMMYFUNCTION("""COMPUTED_VALUE"""),"253375140")</f>
        <v>253375140</v>
      </c>
      <c r="F522" s="44" t="str">
        <f>IFERROR(__xludf.DUMMYFUNCTION("""COMPUTED_VALUE"""),"")</f>
        <v/>
      </c>
      <c r="G522" s="44" t="str">
        <f>IFERROR(__xludf.DUMMYFUNCTION("""COMPUTED_VALUE""")," ")</f>
        <v> </v>
      </c>
      <c r="H522" s="44" t="str">
        <f>IFERROR(__xludf.DUMMYFUNCTION("""COMPUTED_VALUE"""),"Sin información")</f>
        <v>Sin información</v>
      </c>
      <c r="I522" s="44" t="str">
        <f>IFERROR(__xludf.DUMMYFUNCTION("""COMPUTED_VALUE"""),"Sin información")</f>
        <v>Sin información</v>
      </c>
      <c r="J522" s="44" t="str">
        <f>IFERROR(__xludf.DUMMYFUNCTION("""COMPUTED_VALUE"""),"25/06/2026")</f>
        <v>25/06/2026</v>
      </c>
      <c r="K522" s="42" t="str">
        <f>IFERROR(__xludf.DUMMYFUNCTION("""COMPUTED_VALUE"""),"Hospital Pérez Carreño")</f>
        <v>Hospital Pérez Carreño</v>
      </c>
    </row>
    <row r="523">
      <c r="A523" s="44">
        <v>522.0</v>
      </c>
      <c r="B523" s="44" t="str">
        <f>IFERROR(__xludf.DUMMYFUNCTION("""COMPUTED_VALUE"""),"H. Jose Maria Vargas LG")</f>
        <v>H. Jose Maria Vargas LG</v>
      </c>
      <c r="C523" s="45" t="str">
        <f>IFERROR(__xludf.DUMMYFUNCTION("""COMPUTED_VALUE"""),"AMAYA ROSALBA")</f>
        <v>AMAYA ROSALBA</v>
      </c>
      <c r="D523" s="44" t="str">
        <f>IFERROR(__xludf.DUMMYFUNCTION("""COMPUTED_VALUE""")," ")</f>
        <v> </v>
      </c>
      <c r="E523" s="44" t="str">
        <f>IFERROR(__xludf.DUMMYFUNCTION("""COMPUTED_VALUE"""),"25464509")</f>
        <v>25464509</v>
      </c>
      <c r="F523" s="44" t="str">
        <f>IFERROR(__xludf.DUMMYFUNCTION("""COMPUTED_VALUE"""),"")</f>
        <v/>
      </c>
      <c r="G523" s="44" t="str">
        <f>IFERROR(__xludf.DUMMYFUNCTION("""COMPUTED_VALUE""")," ")</f>
        <v> </v>
      </c>
      <c r="H523" s="44" t="str">
        <f>IFERROR(__xludf.DUMMYFUNCTION("""COMPUTED_VALUE""")," ")</f>
        <v> </v>
      </c>
      <c r="I523" s="44" t="str">
        <f>IFERROR(__xludf.DUMMYFUNCTION("""COMPUTED_VALUE""")," ")</f>
        <v> </v>
      </c>
      <c r="J523" s="44" t="str">
        <f>IFERROR(__xludf.DUMMYFUNCTION("""COMPUTED_VALUE"""),"")</f>
        <v/>
      </c>
      <c r="K523" s="42" t="str">
        <f>IFERROR(__xludf.DUMMYFUNCTION("""COMPUTED_VALUE"""),"H. Jose Maria Vargas LG")</f>
        <v>H. Jose Maria Vargas LG</v>
      </c>
    </row>
    <row r="524">
      <c r="A524" s="44">
        <v>523.0</v>
      </c>
      <c r="B524" s="44" t="str">
        <f>IFERROR(__xludf.DUMMYFUNCTION("""COMPUTED_VALUE"""),"Seguro Social La Guaira")</f>
        <v>Seguro Social La Guaira</v>
      </c>
      <c r="C524" s="45" t="str">
        <f>IFERROR(__xludf.DUMMYFUNCTION("""COMPUTED_VALUE"""),"VICTORIA GONZALES")</f>
        <v>VICTORIA GONZALES</v>
      </c>
      <c r="D524" s="44">
        <f>IFERROR(__xludf.DUMMYFUNCTION("""COMPUTED_VALUE"""),3.0)</f>
        <v>3</v>
      </c>
      <c r="E524" s="44" t="str">
        <f>IFERROR(__xludf.DUMMYFUNCTION("""COMPUTED_VALUE"""),"254645090")</f>
        <v>254645090</v>
      </c>
      <c r="F524" s="44" t="str">
        <f>IFERROR(__xludf.DUMMYFUNCTION("""COMPUTED_VALUE"""),"")</f>
        <v/>
      </c>
      <c r="G524" s="44" t="str">
        <f>IFERROR(__xludf.DUMMYFUNCTION("""COMPUTED_VALUE""")," ")</f>
        <v> </v>
      </c>
      <c r="H524" s="44" t="str">
        <f>IFERROR(__xludf.DUMMYFUNCTION("""COMPUTED_VALUE"""),"Caribe")</f>
        <v>Caribe</v>
      </c>
      <c r="I524" s="44" t="str">
        <f>IFERROR(__xludf.DUMMYFUNCTION("""COMPUTED_VALUE""")," ")</f>
        <v> </v>
      </c>
      <c r="J524" s="44" t="str">
        <f>IFERROR(__xludf.DUMMYFUNCTION("""COMPUTED_VALUE"""),"")</f>
        <v/>
      </c>
      <c r="K524" s="42" t="str">
        <f>IFERROR(__xludf.DUMMYFUNCTION("""COMPUTED_VALUE"""),"Seguro Social La Guaira")</f>
        <v>Seguro Social La Guaira</v>
      </c>
    </row>
    <row r="525">
      <c r="A525" s="44">
        <v>524.0</v>
      </c>
      <c r="B525" s="44" t="str">
        <f>IFERROR(__xludf.DUMMYFUNCTION("""COMPUTED_VALUE"""),"H. Jose Maria Vargas LG")</f>
        <v>H. Jose Maria Vargas LG</v>
      </c>
      <c r="C525" s="45" t="str">
        <f>IFERROR(__xludf.DUMMYFUNCTION("""COMPUTED_VALUE"""),"SILVA GENESIS")</f>
        <v>SILVA GENESIS</v>
      </c>
      <c r="D525" s="44">
        <f>IFERROR(__xludf.DUMMYFUNCTION("""COMPUTED_VALUE"""),30.0)</f>
        <v>30</v>
      </c>
      <c r="E525" s="44" t="str">
        <f>IFERROR(__xludf.DUMMYFUNCTION("""COMPUTED_VALUE"""),"25574216")</f>
        <v>25574216</v>
      </c>
      <c r="F525" s="44" t="str">
        <f>IFERROR(__xludf.DUMMYFUNCTION("""COMPUTED_VALUE"""),"")</f>
        <v/>
      </c>
      <c r="G525" s="44" t="str">
        <f>IFERROR(__xludf.DUMMYFUNCTION("""COMPUTED_VALUE""")," ")</f>
        <v> </v>
      </c>
      <c r="H525" s="44" t="str">
        <f>IFERROR(__xludf.DUMMYFUNCTION("""COMPUTED_VALUE"""),"Los Corales")</f>
        <v>Los Corales</v>
      </c>
      <c r="I525" s="44" t="str">
        <f>IFERROR(__xludf.DUMMYFUNCTION("""COMPUTED_VALUE""")," ")</f>
        <v> </v>
      </c>
      <c r="J525" s="44" t="str">
        <f>IFERROR(__xludf.DUMMYFUNCTION("""COMPUTED_VALUE"""),"")</f>
        <v/>
      </c>
      <c r="K525" s="42" t="str">
        <f>IFERROR(__xludf.DUMMYFUNCTION("""COMPUTED_VALUE"""),"H. Jose Maria Vargas LG")</f>
        <v>H. Jose Maria Vargas LG</v>
      </c>
    </row>
    <row r="526">
      <c r="A526" s="44">
        <v>525.0</v>
      </c>
      <c r="B526" s="44" t="str">
        <f>IFERROR(__xludf.DUMMYFUNCTION("""COMPUTED_VALUE"""),"H. Jose Maria Vargas LG")</f>
        <v>H. Jose Maria Vargas LG</v>
      </c>
      <c r="C526" s="45" t="str">
        <f>IFERROR(__xludf.DUMMYFUNCTION("""COMPUTED_VALUE"""),"MUJICA NATIELYS")</f>
        <v>MUJICA NATIELYS</v>
      </c>
      <c r="D526" s="44" t="str">
        <f>IFERROR(__xludf.DUMMYFUNCTION("""COMPUTED_VALUE""")," ")</f>
        <v> </v>
      </c>
      <c r="E526" s="44" t="str">
        <f>IFERROR(__xludf.DUMMYFUNCTION("""COMPUTED_VALUE"""),"25575635")</f>
        <v>25575635</v>
      </c>
      <c r="F526" s="44" t="str">
        <f>IFERROR(__xludf.DUMMYFUNCTION("""COMPUTED_VALUE"""),"")</f>
        <v/>
      </c>
      <c r="G526" s="44" t="str">
        <f>IFERROR(__xludf.DUMMYFUNCTION("""COMPUTED_VALUE""")," ")</f>
        <v> </v>
      </c>
      <c r="H526" s="44" t="str">
        <f>IFERROR(__xludf.DUMMYFUNCTION("""COMPUTED_VALUE"""),"Los Corales")</f>
        <v>Los Corales</v>
      </c>
      <c r="I526" s="44" t="str">
        <f>IFERROR(__xludf.DUMMYFUNCTION("""COMPUTED_VALUE""")," ")</f>
        <v> </v>
      </c>
      <c r="J526" s="44" t="str">
        <f>IFERROR(__xludf.DUMMYFUNCTION("""COMPUTED_VALUE"""),"")</f>
        <v/>
      </c>
      <c r="K526" s="42" t="str">
        <f>IFERROR(__xludf.DUMMYFUNCTION("""COMPUTED_VALUE"""),"H. Jose Maria Vargas LG")</f>
        <v>H. Jose Maria Vargas LG</v>
      </c>
    </row>
    <row r="527">
      <c r="A527" s="44">
        <v>526.0</v>
      </c>
      <c r="B527" s="44" t="str">
        <f>IFERROR(__xludf.DUMMYFUNCTION("""COMPUTED_VALUE"""),"Hospital Dr. José Gregorio Hern")</f>
        <v>Hospital Dr. José Gregorio Hern</v>
      </c>
      <c r="C527" s="45" t="str">
        <f>IFERROR(__xludf.DUMMYFUNCTION("""COMPUTED_VALUE"""),"PALMERO SALVANI")</f>
        <v>PALMERO SALVANI</v>
      </c>
      <c r="D527" s="44">
        <f>IFERROR(__xludf.DUMMYFUNCTION("""COMPUTED_VALUE"""),68.0)</f>
        <v>68</v>
      </c>
      <c r="E527" s="44" t="str">
        <f>IFERROR(__xludf.DUMMYFUNCTION("""COMPUTED_VALUE"""),"25601129")</f>
        <v>25601129</v>
      </c>
      <c r="F527" s="44" t="str">
        <f>IFERROR(__xludf.DUMMYFUNCTION("""COMPUTED_VALUE"""),"")</f>
        <v/>
      </c>
      <c r="G527" s="44" t="str">
        <f>IFERROR(__xludf.DUMMYFUNCTION("""COMPUTED_VALUE""")," ")</f>
        <v> </v>
      </c>
      <c r="H527" s="44" t="str">
        <f>IFERROR(__xludf.DUMMYFUNCTION("""COMPUTED_VALUE"""),"Catia")</f>
        <v>Catia</v>
      </c>
      <c r="I527" s="44" t="str">
        <f>IFERROR(__xludf.DUMMYFUNCTION("""COMPUTED_VALUE""")," ")</f>
        <v> </v>
      </c>
      <c r="J527" s="44" t="str">
        <f>IFERROR(__xludf.DUMMYFUNCTION("""COMPUTED_VALUE"""),"")</f>
        <v/>
      </c>
      <c r="K527" s="42" t="str">
        <f>IFERROR(__xludf.DUMMYFUNCTION("""COMPUTED_VALUE"""),"Hospital Dr. José Gregorio Hern")</f>
        <v>Hospital Dr. José Gregorio Hern</v>
      </c>
    </row>
    <row r="528">
      <c r="A528" s="44">
        <v>527.0</v>
      </c>
      <c r="B528" s="44" t="str">
        <f>IFERROR(__xludf.DUMMYFUNCTION("""COMPUTED_VALUE"""),"Hospital Pérez Carreño")</f>
        <v>Hospital Pérez Carreño</v>
      </c>
      <c r="C528" s="45" t="str">
        <f>IFERROR(__xludf.DUMMYFUNCTION("""COMPUTED_VALUE"""),"ANA FERNANDEZ")</f>
        <v>ANA FERNANDEZ</v>
      </c>
      <c r="D528" s="44" t="str">
        <f>IFERROR(__xludf.DUMMYFUNCTION("""COMPUTED_VALUE"""),"Sin información")</f>
        <v>Sin información</v>
      </c>
      <c r="E528" s="44" t="str">
        <f>IFERROR(__xludf.DUMMYFUNCTION("""COMPUTED_VALUE"""),"256070540")</f>
        <v>256070540</v>
      </c>
      <c r="F528" s="44" t="str">
        <f>IFERROR(__xludf.DUMMYFUNCTION("""COMPUTED_VALUE"""),"")</f>
        <v/>
      </c>
      <c r="G528" s="44" t="str">
        <f>IFERROR(__xludf.DUMMYFUNCTION("""COMPUTED_VALUE""")," ")</f>
        <v> </v>
      </c>
      <c r="H528" s="44" t="str">
        <f>IFERROR(__xludf.DUMMYFUNCTION("""COMPUTED_VALUE"""),"Sin información")</f>
        <v>Sin información</v>
      </c>
      <c r="I528" s="44" t="str">
        <f>IFERROR(__xludf.DUMMYFUNCTION("""COMPUTED_VALUE"""),"Sin información")</f>
        <v>Sin información</v>
      </c>
      <c r="J528" s="44" t="str">
        <f>IFERROR(__xludf.DUMMYFUNCTION("""COMPUTED_VALUE"""),"25/06/2026")</f>
        <v>25/06/2026</v>
      </c>
      <c r="K528" s="42" t="str">
        <f>IFERROR(__xludf.DUMMYFUNCTION("""COMPUTED_VALUE"""),"Hospital Pérez Carreño")</f>
        <v>Hospital Pérez Carreño</v>
      </c>
    </row>
    <row r="529">
      <c r="A529" s="44">
        <v>528.0</v>
      </c>
      <c r="B529" s="44" t="str">
        <f>IFERROR(__xludf.DUMMYFUNCTION("""COMPUTED_VALUE"""),"Hospital Militar Dr. C. Arvelo")</f>
        <v>Hospital Militar Dr. C. Arvelo</v>
      </c>
      <c r="C529" s="45" t="str">
        <f>IFERROR(__xludf.DUMMYFUNCTION("""COMPUTED_VALUE"""),"Marcano Suse")</f>
        <v>Marcano Suse</v>
      </c>
      <c r="D529" s="44">
        <f>IFERROR(__xludf.DUMMYFUNCTION("""COMPUTED_VALUE"""),33.0)</f>
        <v>33</v>
      </c>
      <c r="E529" s="44" t="str">
        <f>IFERROR(__xludf.DUMMYFUNCTION("""COMPUTED_VALUE"""),"25612616")</f>
        <v>25612616</v>
      </c>
      <c r="F529" s="44" t="str">
        <f>IFERROR(__xludf.DUMMYFUNCTION("""COMPUTED_VALUE"""),"")</f>
        <v/>
      </c>
      <c r="G529" s="44" t="str">
        <f>IFERROR(__xludf.DUMMYFUNCTION("""COMPUTED_VALUE"""),"")</f>
        <v/>
      </c>
      <c r="H529" s="44" t="str">
        <f>IFERROR(__xludf.DUMMYFUNCTION("""COMPUTED_VALUE"""),"F")</f>
        <v>F</v>
      </c>
      <c r="I529" s="44" t="str">
        <f>IFERROR(__xludf.DUMMYFUNCTION("""COMPUTED_VALUE"""),"Catia PNA")</f>
        <v>Catia PNA</v>
      </c>
      <c r="J529" s="44" t="str">
        <f>IFERROR(__xludf.DUMMYFUNCTION("""COMPUTED_VALUE"""),"24/6/2026")</f>
        <v>24/6/2026</v>
      </c>
      <c r="K529" s="42" t="str">
        <f>IFERROR(__xludf.DUMMYFUNCTION("""COMPUTED_VALUE"""),"Hospital Militar Dr. C. Arvelo")</f>
        <v>Hospital Militar Dr. C. Arvelo</v>
      </c>
    </row>
    <row r="530">
      <c r="A530" s="44">
        <v>529.0</v>
      </c>
      <c r="B530" s="44" t="str">
        <f>IFERROR(__xludf.DUMMYFUNCTION("""COMPUTED_VALUE"""),"Hospital Pérez Carreño")</f>
        <v>Hospital Pérez Carreño</v>
      </c>
      <c r="C530" s="45" t="str">
        <f>IFERROR(__xludf.DUMMYFUNCTION("""COMPUTED_VALUE"""),"FENENECA ANA")</f>
        <v>FENENECA ANA</v>
      </c>
      <c r="D530" s="44" t="str">
        <f>IFERROR(__xludf.DUMMYFUNCTION("""COMPUTED_VALUE""")," ")</f>
        <v> </v>
      </c>
      <c r="E530" s="44" t="str">
        <f>IFERROR(__xludf.DUMMYFUNCTION("""COMPUTED_VALUE"""),"25699054")</f>
        <v>25699054</v>
      </c>
      <c r="F530" s="44" t="str">
        <f>IFERROR(__xludf.DUMMYFUNCTION("""COMPUTED_VALUE"""),"")</f>
        <v/>
      </c>
      <c r="G530" s="44" t="str">
        <f>IFERROR(__xludf.DUMMYFUNCTION("""COMPUTED_VALUE""")," ")</f>
        <v> </v>
      </c>
      <c r="H530" s="44" t="str">
        <f>IFERROR(__xludf.DUMMYFUNCTION("""COMPUTED_VALUE""")," ")</f>
        <v> </v>
      </c>
      <c r="I530" s="44" t="str">
        <f>IFERROR(__xludf.DUMMYFUNCTION("""COMPUTED_VALUE""")," ")</f>
        <v> </v>
      </c>
      <c r="J530" s="44" t="str">
        <f>IFERROR(__xludf.DUMMYFUNCTION("""COMPUTED_VALUE"""),"25/06/2026")</f>
        <v>25/06/2026</v>
      </c>
      <c r="K530" s="42" t="str">
        <f>IFERROR(__xludf.DUMMYFUNCTION("""COMPUTED_VALUE"""),"Hospital Pérez Carreño")</f>
        <v>Hospital Pérez Carreño</v>
      </c>
    </row>
    <row r="531">
      <c r="A531" s="44">
        <v>530.0</v>
      </c>
      <c r="B531" s="44" t="str">
        <f>IFERROR(__xludf.DUMMYFUNCTION("""COMPUTED_VALUE"""),"Hospital Pérez Carreño")</f>
        <v>Hospital Pérez Carreño</v>
      </c>
      <c r="C531" s="45" t="str">
        <f>IFERROR(__xludf.DUMMYFUNCTION("""COMPUTED_VALUE"""),"FERNANDEZ PINEDA ANA")</f>
        <v>FERNANDEZ PINEDA ANA</v>
      </c>
      <c r="D531" s="44" t="str">
        <f>IFERROR(__xludf.DUMMYFUNCTION("""COMPUTED_VALUE""")," ")</f>
        <v> </v>
      </c>
      <c r="E531" s="44" t="str">
        <f>IFERROR(__xludf.DUMMYFUNCTION("""COMPUTED_VALUE"""),"256990540")</f>
        <v>256990540</v>
      </c>
      <c r="F531" s="44" t="str">
        <f>IFERROR(__xludf.DUMMYFUNCTION("""COMPUTED_VALUE"""),"")</f>
        <v/>
      </c>
      <c r="G531" s="44" t="str">
        <f>IFERROR(__xludf.DUMMYFUNCTION("""COMPUTED_VALUE""")," ")</f>
        <v> </v>
      </c>
      <c r="H531" s="44" t="str">
        <f>IFERROR(__xludf.DUMMYFUNCTION("""COMPUTED_VALUE""")," ")</f>
        <v> </v>
      </c>
      <c r="I531" s="44" t="str">
        <f>IFERROR(__xludf.DUMMYFUNCTION("""COMPUTED_VALUE"""),"Triaje")</f>
        <v>Triaje</v>
      </c>
      <c r="J531" s="44" t="str">
        <f>IFERROR(__xludf.DUMMYFUNCTION("""COMPUTED_VALUE"""),"25/06/2026")</f>
        <v>25/06/2026</v>
      </c>
      <c r="K531" s="42" t="str">
        <f>IFERROR(__xludf.DUMMYFUNCTION("""COMPUTED_VALUE"""),"Hospital Pérez Carreño")</f>
        <v>Hospital Pérez Carreño</v>
      </c>
    </row>
    <row r="532">
      <c r="A532" s="44">
        <v>531.0</v>
      </c>
      <c r="B532" s="44" t="str">
        <f>IFERROR(__xludf.DUMMYFUNCTION("""COMPUTED_VALUE"""),"Hospital Pérez Carreño")</f>
        <v>Hospital Pérez Carreño</v>
      </c>
      <c r="C532" s="45" t="str">
        <f>IFERROR(__xludf.DUMMYFUNCTION("""COMPUTED_VALUE"""),"YOANDRA COLINA")</f>
        <v>YOANDRA COLINA</v>
      </c>
      <c r="D532" s="44" t="str">
        <f>IFERROR(__xludf.DUMMYFUNCTION("""COMPUTED_VALUE"""),"Sin información")</f>
        <v>Sin información</v>
      </c>
      <c r="E532" s="44" t="str">
        <f>IFERROR(__xludf.DUMMYFUNCTION("""COMPUTED_VALUE"""),"258123280")</f>
        <v>258123280</v>
      </c>
      <c r="F532" s="44" t="str">
        <f>IFERROR(__xludf.DUMMYFUNCTION("""COMPUTED_VALUE"""),"")</f>
        <v/>
      </c>
      <c r="G532" s="44" t="str">
        <f>IFERROR(__xludf.DUMMYFUNCTION("""COMPUTED_VALUE""")," ")</f>
        <v> </v>
      </c>
      <c r="H532" s="44" t="str">
        <f>IFERROR(__xludf.DUMMYFUNCTION("""COMPUTED_VALUE"""),"Sin información")</f>
        <v>Sin información</v>
      </c>
      <c r="I532" s="44" t="str">
        <f>IFERROR(__xludf.DUMMYFUNCTION("""COMPUTED_VALUE"""),"Sin información")</f>
        <v>Sin información</v>
      </c>
      <c r="J532" s="44" t="str">
        <f>IFERROR(__xludf.DUMMYFUNCTION("""COMPUTED_VALUE"""),"25/06/2026")</f>
        <v>25/06/2026</v>
      </c>
      <c r="K532" s="42" t="str">
        <f>IFERROR(__xludf.DUMMYFUNCTION("""COMPUTED_VALUE"""),"Hospital Pérez Carreño")</f>
        <v>Hospital Pérez Carreño</v>
      </c>
    </row>
    <row r="533">
      <c r="A533" s="44">
        <v>532.0</v>
      </c>
      <c r="B533" s="44" t="str">
        <f>IFERROR(__xludf.DUMMYFUNCTION("""COMPUTED_VALUE"""),"Hospital Universitario de Carac")</f>
        <v>Hospital Universitario de Carac</v>
      </c>
      <c r="C533" s="45" t="str">
        <f>IFERROR(__xludf.DUMMYFUNCTION("""COMPUTED_VALUE"""),"BENEDETTI YORLIANIS")</f>
        <v>BENEDETTI YORLIANIS</v>
      </c>
      <c r="D533" s="44">
        <f>IFERROR(__xludf.DUMMYFUNCTION("""COMPUTED_VALUE"""),29.0)</f>
        <v>29</v>
      </c>
      <c r="E533" s="44" t="str">
        <f>IFERROR(__xludf.DUMMYFUNCTION("""COMPUTED_VALUE"""),"25846221")</f>
        <v>25846221</v>
      </c>
      <c r="F533" s="44" t="str">
        <f>IFERROR(__xludf.DUMMYFUNCTION("""COMPUTED_VALUE"""),"")</f>
        <v/>
      </c>
      <c r="G533" s="44" t="str">
        <f>IFERROR(__xludf.DUMMYFUNCTION("""COMPUTED_VALUE"""),"0424-1737018")</f>
        <v>0424-1737018</v>
      </c>
      <c r="H533" s="44" t="str">
        <f>IFERROR(__xludf.DUMMYFUNCTION("""COMPUTED_VALUE""")," ")</f>
        <v> </v>
      </c>
      <c r="I533" s="44" t="str">
        <f>IFERROR(__xludf.DUMMYFUNCTION("""COMPUTED_VALUE""")," ")</f>
        <v> </v>
      </c>
      <c r="J533" s="44" t="str">
        <f>IFERROR(__xludf.DUMMYFUNCTION("""COMPUTED_VALUE"""),"")</f>
        <v/>
      </c>
      <c r="K533" s="42" t="str">
        <f>IFERROR(__xludf.DUMMYFUNCTION("""COMPUTED_VALUE"""),"Hospital Universitario de Carac")</f>
        <v>Hospital Universitario de Carac</v>
      </c>
    </row>
    <row r="534">
      <c r="A534" s="44">
        <v>533.0</v>
      </c>
      <c r="B534" s="44" t="str">
        <f>IFERROR(__xludf.DUMMYFUNCTION("""COMPUTED_VALUE"""),"Hospital Vargas de Caracas")</f>
        <v>Hospital Vargas de Caracas</v>
      </c>
      <c r="C534" s="45" t="str">
        <f>IFERROR(__xludf.DUMMYFUNCTION("""COMPUTED_VALUE"""),"DOMELIN OLMEDO")</f>
        <v>DOMELIN OLMEDO</v>
      </c>
      <c r="D534" s="44" t="str">
        <f>IFERROR(__xludf.DUMMYFUNCTION("""COMPUTED_VALUE""")," ")</f>
        <v> </v>
      </c>
      <c r="E534" s="44" t="str">
        <f>IFERROR(__xludf.DUMMYFUNCTION("""COMPUTED_VALUE"""),"25867263")</f>
        <v>25867263</v>
      </c>
      <c r="F534" s="44" t="str">
        <f>IFERROR(__xludf.DUMMYFUNCTION("""COMPUTED_VALUE""")," ")</f>
        <v> </v>
      </c>
      <c r="G534" s="44" t="str">
        <f>IFERROR(__xludf.DUMMYFUNCTION("""COMPUTED_VALUE"""),"")</f>
        <v/>
      </c>
      <c r="H534" s="44" t="str">
        <f>IFERROR(__xludf.DUMMYFUNCTION("""COMPUTED_VALUE"""),"Sala 19")</f>
        <v>Sala 19</v>
      </c>
      <c r="I534" s="44" t="str">
        <f>IFERROR(__xludf.DUMMYFUNCTION("""COMPUTED_VALUE""")," ")</f>
        <v> </v>
      </c>
      <c r="J534" s="44" t="str">
        <f>IFERROR(__xludf.DUMMYFUNCTION("""COMPUTED_VALUE"""),"")</f>
        <v/>
      </c>
      <c r="K534" s="42" t="str">
        <f>IFERROR(__xludf.DUMMYFUNCTION("""COMPUTED_VALUE"""),"Hospital Vargas de Caracas")</f>
        <v>Hospital Vargas de Caracas</v>
      </c>
    </row>
    <row r="535">
      <c r="A535" s="44">
        <v>534.0</v>
      </c>
      <c r="B535" s="44" t="str">
        <f>IFERROR(__xludf.DUMMYFUNCTION("""COMPUTED_VALUE"""),"HOSPITAL VARGAS")</f>
        <v>HOSPITAL VARGAS</v>
      </c>
      <c r="C535" s="45" t="str">
        <f>IFERROR(__xludf.DUMMYFUNCTION("""COMPUTED_VALUE"""),"Darwin Colmenarez")</f>
        <v>Darwin Colmenarez</v>
      </c>
      <c r="D535" s="44"/>
      <c r="E535" s="44" t="str">
        <f>IFERROR(__xludf.DUMMYFUNCTION("""COMPUTED_VALUE"""),"25867267")</f>
        <v>25867267</v>
      </c>
      <c r="F535" s="44" t="str">
        <f>IFERROR(__xludf.DUMMYFUNCTION("""COMPUTED_VALUE"""),"")</f>
        <v/>
      </c>
      <c r="G535" s="44" t="str">
        <f>IFERROR(__xludf.DUMMYFUNCTION("""COMPUTED_VALUE"""),"")</f>
        <v/>
      </c>
      <c r="H535" s="44" t="str">
        <f>IFERROR(__xludf.DUMMYFUNCTION("""COMPUTED_VALUE"""),"")</f>
        <v/>
      </c>
      <c r="I535" s="44" t="str">
        <f>IFERROR(__xludf.DUMMYFUNCTION("""COMPUTED_VALUE"""),"Herido / atendido")</f>
        <v>Herido / atendido</v>
      </c>
      <c r="J535" s="44" t="str">
        <f>IFERROR(__xludf.DUMMYFUNCTION("""COMPUTED_VALUE"""),"24.06.2026 ")</f>
        <v>24.06.2026 </v>
      </c>
      <c r="K535" s="42" t="str">
        <f>IFERROR(__xludf.DUMMYFUNCTION("""COMPUTED_VALUE"""),"HOSPITAL VARGAS")</f>
        <v>HOSPITAL VARGAS</v>
      </c>
    </row>
    <row r="536">
      <c r="A536" s="44">
        <v>535.0</v>
      </c>
      <c r="B536" s="44" t="str">
        <f>IFERROR(__xludf.DUMMYFUNCTION("""COMPUTED_VALUE"""),"Hospital Vargas de Caracas")</f>
        <v>Hospital Vargas de Caracas</v>
      </c>
      <c r="C536" s="45" t="str">
        <f>IFERROR(__xludf.DUMMYFUNCTION("""COMPUTED_VALUE"""),"COLMENARES DARWIN")</f>
        <v>COLMENARES DARWIN</v>
      </c>
      <c r="D536" s="44" t="str">
        <f>IFERROR(__xludf.DUMMYFUNCTION("""COMPUTED_VALUE""")," ")</f>
        <v> </v>
      </c>
      <c r="E536" s="44" t="str">
        <f>IFERROR(__xludf.DUMMYFUNCTION("""COMPUTED_VALUE"""),"258672670")</f>
        <v>258672670</v>
      </c>
      <c r="F536" s="44" t="str">
        <f>IFERROR(__xludf.DUMMYFUNCTION("""COMPUTED_VALUE""")," ")</f>
        <v> </v>
      </c>
      <c r="G536" s="44" t="str">
        <f>IFERROR(__xludf.DUMMYFUNCTION("""COMPUTED_VALUE"""),"")</f>
        <v/>
      </c>
      <c r="H536" s="44" t="str">
        <f>IFERROR(__xludf.DUMMYFUNCTION("""COMPUTED_VALUE""")," ")</f>
        <v> </v>
      </c>
      <c r="I536" s="44" t="str">
        <f>IFERROR(__xludf.DUMMYFUNCTION("""COMPUTED_VALUE""")," ")</f>
        <v> </v>
      </c>
      <c r="J536" s="44" t="str">
        <f>IFERROR(__xludf.DUMMYFUNCTION("""COMPUTED_VALUE"""),"")</f>
        <v/>
      </c>
      <c r="K536" s="42" t="str">
        <f>IFERROR(__xludf.DUMMYFUNCTION("""COMPUTED_VALUE"""),"Hospital Vargas de Caracas")</f>
        <v>Hospital Vargas de Caracas</v>
      </c>
    </row>
    <row r="537">
      <c r="A537" s="44">
        <v>536.0</v>
      </c>
      <c r="B537" s="44" t="str">
        <f>IFERROR(__xludf.DUMMYFUNCTION("""COMPUTED_VALUE"""),"Periférico de Catia")</f>
        <v>Periférico de Catia</v>
      </c>
      <c r="C537" s="45" t="str">
        <f>IFERROR(__xludf.DUMMYFUNCTION("""COMPUTED_VALUE"""),"ANGEL SILVA")</f>
        <v>ANGEL SILVA</v>
      </c>
      <c r="D537" s="44">
        <f>IFERROR(__xludf.DUMMYFUNCTION("""COMPUTED_VALUE"""),38.0)</f>
        <v>38</v>
      </c>
      <c r="E537" s="44" t="str">
        <f>IFERROR(__xludf.DUMMYFUNCTION("""COMPUTED_VALUE"""),"258703990")</f>
        <v>258703990</v>
      </c>
      <c r="F537" s="44" t="str">
        <f>IFERROR(__xludf.DUMMYFUNCTION("""COMPUTED_VALUE"""),"")</f>
        <v/>
      </c>
      <c r="G537" s="44" t="str">
        <f>IFERROR(__xludf.DUMMYFUNCTION("""COMPUTED_VALUE""")," ")</f>
        <v> </v>
      </c>
      <c r="H537" s="44" t="str">
        <f>IFERROR(__xludf.DUMMYFUNCTION("""COMPUTED_VALUE"""),"La Guaira")</f>
        <v>La Guaira</v>
      </c>
      <c r="I537" s="44" t="str">
        <f>IFERROR(__xludf.DUMMYFUNCTION("""COMPUTED_VALUE"""),"Sin información")</f>
        <v>Sin información</v>
      </c>
      <c r="J537" s="44" t="str">
        <f>IFERROR(__xludf.DUMMYFUNCTION("""COMPUTED_VALUE"""),"")</f>
        <v/>
      </c>
      <c r="K537" s="42" t="str">
        <f>IFERROR(__xludf.DUMMYFUNCTION("""COMPUTED_VALUE"""),"Periférico de Catia")</f>
        <v>Periférico de Catia</v>
      </c>
    </row>
    <row r="538">
      <c r="A538" s="44">
        <v>537.0</v>
      </c>
      <c r="B538" s="44" t="str">
        <f>IFERROR(__xludf.DUMMYFUNCTION("""COMPUTED_VALUE"""),"Hospital Pérez Carreño")</f>
        <v>Hospital Pérez Carreño</v>
      </c>
      <c r="C538" s="45" t="str">
        <f>IFERROR(__xludf.DUMMYFUNCTION("""COMPUTED_VALUE"""),"COLINA YOANDRI")</f>
        <v>COLINA YOANDRI</v>
      </c>
      <c r="D538" s="44" t="str">
        <f>IFERROR(__xludf.DUMMYFUNCTION("""COMPUTED_VALUE""")," ")</f>
        <v> </v>
      </c>
      <c r="E538" s="44" t="str">
        <f>IFERROR(__xludf.DUMMYFUNCTION("""COMPUTED_VALUE"""),"25872328")</f>
        <v>25872328</v>
      </c>
      <c r="F538" s="44" t="str">
        <f>IFERROR(__xludf.DUMMYFUNCTION("""COMPUTED_VALUE"""),"")</f>
        <v/>
      </c>
      <c r="G538" s="44" t="str">
        <f>IFERROR(__xludf.DUMMYFUNCTION("""COMPUTED_VALUE""")," ")</f>
        <v> </v>
      </c>
      <c r="H538" s="44" t="str">
        <f>IFERROR(__xludf.DUMMYFUNCTION("""COMPUTED_VALUE""")," ")</f>
        <v> </v>
      </c>
      <c r="I538" s="44" t="str">
        <f>IFERROR(__xludf.DUMMYFUNCTION("""COMPUTED_VALUE""")," ")</f>
        <v> </v>
      </c>
      <c r="J538" s="44" t="str">
        <f>IFERROR(__xludf.DUMMYFUNCTION("""COMPUTED_VALUE"""),"25/06/2026")</f>
        <v>25/06/2026</v>
      </c>
      <c r="K538" s="42" t="str">
        <f>IFERROR(__xludf.DUMMYFUNCTION("""COMPUTED_VALUE"""),"Hospital Pérez Carreño")</f>
        <v>Hospital Pérez Carreño</v>
      </c>
    </row>
    <row r="539">
      <c r="A539" s="44">
        <v>538.0</v>
      </c>
      <c r="B539" s="44" t="str">
        <f>IFERROR(__xludf.DUMMYFUNCTION("""COMPUTED_VALUE"""),"Hospital Pérez Carreño")</f>
        <v>Hospital Pérez Carreño</v>
      </c>
      <c r="C539" s="45" t="str">
        <f>IFERROR(__xludf.DUMMYFUNCTION("""COMPUTED_VALUE"""),"YOANDRI COLINA")</f>
        <v>YOANDRI COLINA</v>
      </c>
      <c r="D539" s="44" t="str">
        <f>IFERROR(__xludf.DUMMYFUNCTION("""COMPUTED_VALUE""")," ")</f>
        <v> </v>
      </c>
      <c r="E539" s="44" t="str">
        <f>IFERROR(__xludf.DUMMYFUNCTION("""COMPUTED_VALUE"""),"258723280")</f>
        <v>258723280</v>
      </c>
      <c r="F539" s="44" t="str">
        <f>IFERROR(__xludf.DUMMYFUNCTION("""COMPUTED_VALUE"""),"")</f>
        <v/>
      </c>
      <c r="G539" s="44" t="str">
        <f>IFERROR(__xludf.DUMMYFUNCTION("""COMPUTED_VALUE""")," ")</f>
        <v> </v>
      </c>
      <c r="H539" s="44" t="str">
        <f>IFERROR(__xludf.DUMMYFUNCTION("""COMPUTED_VALUE""")," ")</f>
        <v> </v>
      </c>
      <c r="I539" s="44" t="str">
        <f>IFERROR(__xludf.DUMMYFUNCTION("""COMPUTED_VALUE""")," ")</f>
        <v> </v>
      </c>
      <c r="J539" s="44" t="str">
        <f>IFERROR(__xludf.DUMMYFUNCTION("""COMPUTED_VALUE"""),"25/06/2026")</f>
        <v>25/06/2026</v>
      </c>
      <c r="K539" s="42" t="str">
        <f>IFERROR(__xludf.DUMMYFUNCTION("""COMPUTED_VALUE"""),"Hospital Pérez Carreño")</f>
        <v>Hospital Pérez Carreño</v>
      </c>
    </row>
    <row r="540">
      <c r="A540" s="44">
        <v>539.0</v>
      </c>
      <c r="B540" s="44" t="str">
        <f>IFERROR(__xludf.DUMMYFUNCTION("""COMPUTED_VALUE"""),"Hospital Militar Dr. C. Arvelo")</f>
        <v>Hospital Militar Dr. C. Arvelo</v>
      </c>
      <c r="C540" s="45" t="str">
        <f>IFERROR(__xludf.DUMMYFUNCTION("""COMPUTED_VALUE"""),"Génesis Silva")</f>
        <v>Génesis Silva</v>
      </c>
      <c r="D540" s="44">
        <f>IFERROR(__xludf.DUMMYFUNCTION("""COMPUTED_VALUE"""),30.0)</f>
        <v>30</v>
      </c>
      <c r="E540" s="44" t="str">
        <f>IFERROR(__xludf.DUMMYFUNCTION("""COMPUTED_VALUE"""),"25874216")</f>
        <v>25874216</v>
      </c>
      <c r="F540" s="44" t="str">
        <f>IFERROR(__xludf.DUMMYFUNCTION("""COMPUTED_VALUE"""),"")</f>
        <v/>
      </c>
      <c r="G540" s="44" t="str">
        <f>IFERROR(__xludf.DUMMYFUNCTION("""COMPUTED_VALUE"""),"")</f>
        <v/>
      </c>
      <c r="H540" s="44" t="str">
        <f>IFERROR(__xludf.DUMMYFUNCTION("""COMPUTED_VALUE"""),"F")</f>
        <v>F</v>
      </c>
      <c r="I540" s="44" t="str">
        <f>IFERROR(__xludf.DUMMYFUNCTION("""COMPUTED_VALUE"""),"La Guaira PNA")</f>
        <v>La Guaira PNA</v>
      </c>
      <c r="J540" s="44" t="str">
        <f>IFERROR(__xludf.DUMMYFUNCTION("""COMPUTED_VALUE"""),"24/6/2026")</f>
        <v>24/6/2026</v>
      </c>
      <c r="K540" s="42" t="str">
        <f>IFERROR(__xludf.DUMMYFUNCTION("""COMPUTED_VALUE"""),"Hospital Militar Dr. C. Arvelo")</f>
        <v>Hospital Militar Dr. C. Arvelo</v>
      </c>
    </row>
    <row r="541">
      <c r="A541" s="44">
        <v>540.0</v>
      </c>
      <c r="B541" s="44" t="str">
        <f>IFERROR(__xludf.DUMMYFUNCTION("""COMPUTED_VALUE"""),"Periférico de Catia")</f>
        <v>Periférico de Catia</v>
      </c>
      <c r="C541" s="45" t="str">
        <f>IFERROR(__xludf.DUMMYFUNCTION("""COMPUTED_VALUE"""),"LEONARDO MACHADO")</f>
        <v>LEONARDO MACHADO</v>
      </c>
      <c r="D541" s="44">
        <f>IFERROR(__xludf.DUMMYFUNCTION("""COMPUTED_VALUE"""),28.0)</f>
        <v>28</v>
      </c>
      <c r="E541" s="44" t="str">
        <f>IFERROR(__xludf.DUMMYFUNCTION("""COMPUTED_VALUE"""),"258785560")</f>
        <v>258785560</v>
      </c>
      <c r="F541" s="44" t="str">
        <f>IFERROR(__xludf.DUMMYFUNCTION("""COMPUTED_VALUE"""),"")</f>
        <v/>
      </c>
      <c r="G541" s="44" t="str">
        <f>IFERROR(__xludf.DUMMYFUNCTION("""COMPUTED_VALUE""")," ")</f>
        <v> </v>
      </c>
      <c r="H541" s="44" t="str">
        <f>IFERROR(__xludf.DUMMYFUNCTION("""COMPUTED_VALUE"""),"La Pastora")</f>
        <v>La Pastora</v>
      </c>
      <c r="I541" s="44" t="str">
        <f>IFERROR(__xludf.DUMMYFUNCTION("""COMPUTED_VALUE"""),"Sin información")</f>
        <v>Sin información</v>
      </c>
      <c r="J541" s="44" t="str">
        <f>IFERROR(__xludf.DUMMYFUNCTION("""COMPUTED_VALUE"""),"")</f>
        <v/>
      </c>
      <c r="K541" s="42" t="str">
        <f>IFERROR(__xludf.DUMMYFUNCTION("""COMPUTED_VALUE"""),"Periférico de Catia")</f>
        <v>Periférico de Catia</v>
      </c>
    </row>
    <row r="542">
      <c r="A542" s="44">
        <v>541.0</v>
      </c>
      <c r="B542" s="44" t="str">
        <f>IFERROR(__xludf.DUMMYFUNCTION("""COMPUTED_VALUE"""),"Hospital General del Oeste")</f>
        <v>Hospital General del Oeste</v>
      </c>
      <c r="C542" s="45" t="str">
        <f>IFERROR(__xludf.DUMMYFUNCTION("""COMPUTED_VALUE"""),"PÉREZ ÁMBAR")</f>
        <v>PÉREZ ÁMBAR</v>
      </c>
      <c r="D542" s="44" t="str">
        <f>IFERROR(__xludf.DUMMYFUNCTION("""COMPUTED_VALUE""")," ")</f>
        <v> </v>
      </c>
      <c r="E542" s="44" t="str">
        <f>IFERROR(__xludf.DUMMYFUNCTION("""COMPUTED_VALUE"""),"25964449")</f>
        <v>25964449</v>
      </c>
      <c r="F542" s="44" t="str">
        <f>IFERROR(__xludf.DUMMYFUNCTION("""COMPUTED_VALUE"""),"")</f>
        <v/>
      </c>
      <c r="G542" s="44" t="str">
        <f>IFERROR(__xludf.DUMMYFUNCTION("""COMPUTED_VALUE""")," ")</f>
        <v> </v>
      </c>
      <c r="H542" s="44" t="str">
        <f>IFERROR(__xludf.DUMMYFUNCTION("""COMPUTED_VALUE"""),"Casarabia")</f>
        <v>Casarabia</v>
      </c>
      <c r="I542" s="44" t="str">
        <f>IFERROR(__xludf.DUMMYFUNCTION("""COMPUTED_VALUE""")," ")</f>
        <v> </v>
      </c>
      <c r="J542" s="44" t="str">
        <f>IFERROR(__xludf.DUMMYFUNCTION("""COMPUTED_VALUE"""),"")</f>
        <v/>
      </c>
      <c r="K542" s="42" t="str">
        <f>IFERROR(__xludf.DUMMYFUNCTION("""COMPUTED_VALUE"""),"Hospital General del Oeste")</f>
        <v>Hospital General del Oeste</v>
      </c>
    </row>
    <row r="543">
      <c r="A543" s="44">
        <v>542.0</v>
      </c>
      <c r="B543" s="44" t="str">
        <f>IFERROR(__xludf.DUMMYFUNCTION("""COMPUTED_VALUE"""),"Hospital Vargas de Caracas")</f>
        <v>Hospital Vargas de Caracas</v>
      </c>
      <c r="C543" s="45" t="str">
        <f>IFERROR(__xludf.DUMMYFUNCTION("""COMPUTED_VALUE"""),"RODRIGUEZ JESUS")</f>
        <v>RODRIGUEZ JESUS</v>
      </c>
      <c r="D543" s="44">
        <f>IFERROR(__xludf.DUMMYFUNCTION("""COMPUTED_VALUE"""),28.0)</f>
        <v>28</v>
      </c>
      <c r="E543" s="44" t="str">
        <f>IFERROR(__xludf.DUMMYFUNCTION("""COMPUTED_VALUE"""),"25969769")</f>
        <v>25969769</v>
      </c>
      <c r="F543" s="44" t="str">
        <f>IFERROR(__xludf.DUMMYFUNCTION("""COMPUTED_VALUE""")," ")</f>
        <v> </v>
      </c>
      <c r="G543" s="44" t="str">
        <f>IFERROR(__xludf.DUMMYFUNCTION("""COMPUTED_VALUE"""),"")</f>
        <v/>
      </c>
      <c r="H543" s="44" t="str">
        <f>IFERROR(__xludf.DUMMYFUNCTION("""COMPUTED_VALUE"""),"La Guaira")</f>
        <v>La Guaira</v>
      </c>
      <c r="I543" s="44" t="str">
        <f>IFERROR(__xludf.DUMMYFUNCTION("""COMPUTED_VALUE"""),"UPT")</f>
        <v>UPT</v>
      </c>
      <c r="J543" s="44" t="str">
        <f>IFERROR(__xludf.DUMMYFUNCTION("""COMPUTED_VALUE"""),"")</f>
        <v/>
      </c>
      <c r="K543" s="42" t="str">
        <f>IFERROR(__xludf.DUMMYFUNCTION("""COMPUTED_VALUE"""),"Hospital Vargas de Caracas")</f>
        <v>Hospital Vargas de Caracas</v>
      </c>
    </row>
    <row r="544">
      <c r="A544" s="44">
        <v>543.0</v>
      </c>
      <c r="B544" s="44" t="str">
        <f>IFERROR(__xludf.DUMMYFUNCTION("""COMPUTED_VALUE"""),"Hospital Pérez Carreño")</f>
        <v>Hospital Pérez Carreño</v>
      </c>
      <c r="C544" s="45" t="str">
        <f>IFERROR(__xludf.DUMMYFUNCTION("""COMPUTED_VALUE"""),"GODERZA EMIIEA")</f>
        <v>GODERZA EMIIEA</v>
      </c>
      <c r="D544" s="44" t="str">
        <f>IFERROR(__xludf.DUMMYFUNCTION("""COMPUTED_VALUE""")," ")</f>
        <v> </v>
      </c>
      <c r="E544" s="44" t="str">
        <f>IFERROR(__xludf.DUMMYFUNCTION("""COMPUTED_VALUE"""),"26019884")</f>
        <v>26019884</v>
      </c>
      <c r="F544" s="44" t="str">
        <f>IFERROR(__xludf.DUMMYFUNCTION("""COMPUTED_VALUE"""),"")</f>
        <v/>
      </c>
      <c r="G544" s="44" t="str">
        <f>IFERROR(__xludf.DUMMYFUNCTION("""COMPUTED_VALUE""")," ")</f>
        <v> </v>
      </c>
      <c r="H544" s="44" t="str">
        <f>IFERROR(__xludf.DUMMYFUNCTION("""COMPUTED_VALUE""")," ")</f>
        <v> </v>
      </c>
      <c r="I544" s="44" t="str">
        <f>IFERROR(__xludf.DUMMYFUNCTION("""COMPUTED_VALUE""")," ")</f>
        <v> </v>
      </c>
      <c r="J544" s="44" t="str">
        <f>IFERROR(__xludf.DUMMYFUNCTION("""COMPUTED_VALUE"""),"25/06/2026")</f>
        <v>25/06/2026</v>
      </c>
      <c r="K544" s="42" t="str">
        <f>IFERROR(__xludf.DUMMYFUNCTION("""COMPUTED_VALUE"""),"Hospital Pérez Carreño")</f>
        <v>Hospital Pérez Carreño</v>
      </c>
    </row>
    <row r="545">
      <c r="A545" s="44">
        <v>544.0</v>
      </c>
      <c r="B545" s="44" t="str">
        <f>IFERROR(__xludf.DUMMYFUNCTION("""COMPUTED_VALUE"""),"Hospital Pérez Carreño")</f>
        <v>Hospital Pérez Carreño</v>
      </c>
      <c r="C545" s="45" t="str">
        <f>IFERROR(__xludf.DUMMYFUNCTION("""COMPUTED_VALUE"""),"EMIRA GUERRA")</f>
        <v>EMIRA GUERRA</v>
      </c>
      <c r="D545" s="44" t="str">
        <f>IFERROR(__xludf.DUMMYFUNCTION("""COMPUTED_VALUE""")," ")</f>
        <v> </v>
      </c>
      <c r="E545" s="44" t="str">
        <f>IFERROR(__xludf.DUMMYFUNCTION("""COMPUTED_VALUE"""),"260198840")</f>
        <v>260198840</v>
      </c>
      <c r="F545" s="44" t="str">
        <f>IFERROR(__xludf.DUMMYFUNCTION("""COMPUTED_VALUE"""),"")</f>
        <v/>
      </c>
      <c r="G545" s="44" t="str">
        <f>IFERROR(__xludf.DUMMYFUNCTION("""COMPUTED_VALUE""")," ")</f>
        <v> </v>
      </c>
      <c r="H545" s="44" t="str">
        <f>IFERROR(__xludf.DUMMYFUNCTION("""COMPUTED_VALUE""")," ")</f>
        <v> </v>
      </c>
      <c r="I545" s="44" t="str">
        <f>IFERROR(__xludf.DUMMYFUNCTION("""COMPUTED_VALUE"""),"  | Sin información")</f>
        <v>  | Sin información</v>
      </c>
      <c r="J545" s="44" t="str">
        <f>IFERROR(__xludf.DUMMYFUNCTION("""COMPUTED_VALUE"""),"25/06/2026")</f>
        <v>25/06/2026</v>
      </c>
      <c r="K545" s="42" t="str">
        <f>IFERROR(__xludf.DUMMYFUNCTION("""COMPUTED_VALUE"""),"Hospital Pérez Carreño")</f>
        <v>Hospital Pérez Carreño</v>
      </c>
    </row>
    <row r="546">
      <c r="A546" s="44">
        <v>545.0</v>
      </c>
      <c r="B546" s="44" t="str">
        <f>IFERROR(__xludf.DUMMYFUNCTION("""COMPUTED_VALUE"""),"Hospital Vargas de Caracas")</f>
        <v>Hospital Vargas de Caracas</v>
      </c>
      <c r="C546" s="45" t="str">
        <f>IFERROR(__xludf.DUMMYFUNCTION("""COMPUTED_VALUE"""),"PIAR PAULA")</f>
        <v>PIAR PAULA</v>
      </c>
      <c r="D546" s="44" t="str">
        <f>IFERROR(__xludf.DUMMYFUNCTION("""COMPUTED_VALUE""")," ")</f>
        <v> </v>
      </c>
      <c r="E546" s="44" t="str">
        <f>IFERROR(__xludf.DUMMYFUNCTION("""COMPUTED_VALUE"""),"26045569")</f>
        <v>26045569</v>
      </c>
      <c r="F546" s="44" t="str">
        <f>IFERROR(__xludf.DUMMYFUNCTION("""COMPUTED_VALUE""")," ")</f>
        <v> </v>
      </c>
      <c r="G546" s="44" t="str">
        <f>IFERROR(__xludf.DUMMYFUNCTION("""COMPUTED_VALUE"""),"")</f>
        <v/>
      </c>
      <c r="H546" s="44" t="str">
        <f>IFERROR(__xludf.DUMMYFUNCTION("""COMPUTED_VALUE""")," ")</f>
        <v> </v>
      </c>
      <c r="I546" s="44" t="str">
        <f>IFERROR(__xludf.DUMMYFUNCTION("""COMPUTED_VALUE""")," ")</f>
        <v> </v>
      </c>
      <c r="J546" s="44" t="str">
        <f>IFERROR(__xludf.DUMMYFUNCTION("""COMPUTED_VALUE"""),"")</f>
        <v/>
      </c>
      <c r="K546" s="42" t="str">
        <f>IFERROR(__xludf.DUMMYFUNCTION("""COMPUTED_VALUE"""),"Hospital Vargas de Caracas")</f>
        <v>Hospital Vargas de Caracas</v>
      </c>
    </row>
    <row r="547">
      <c r="A547" s="44">
        <v>546.0</v>
      </c>
      <c r="B547" s="44" t="str">
        <f>IFERROR(__xludf.DUMMYFUNCTION("""COMPUTED_VALUE"""),"Hospital Vargas de Caracas")</f>
        <v>Hospital Vargas de Caracas</v>
      </c>
      <c r="C547" s="45" t="str">
        <f>IFERROR(__xludf.DUMMYFUNCTION("""COMPUTED_VALUE"""),"DAN VILLECOS")</f>
        <v>DAN VILLECOS</v>
      </c>
      <c r="D547" s="44" t="str">
        <f>IFERROR(__xludf.DUMMYFUNCTION("""COMPUTED_VALUE""")," ")</f>
        <v> </v>
      </c>
      <c r="E547" s="44" t="str">
        <f>IFERROR(__xludf.DUMMYFUNCTION("""COMPUTED_VALUE"""),"26059358")</f>
        <v>26059358</v>
      </c>
      <c r="F547" s="44" t="str">
        <f>IFERROR(__xludf.DUMMYFUNCTION("""COMPUTED_VALUE""")," ")</f>
        <v> </v>
      </c>
      <c r="G547" s="44" t="str">
        <f>IFERROR(__xludf.DUMMYFUNCTION("""COMPUTED_VALUE"""),"")</f>
        <v/>
      </c>
      <c r="H547" s="44" t="str">
        <f>IFERROR(__xludf.DUMMYFUNCTION("""COMPUTED_VALUE"""),"Guaira")</f>
        <v>Guaira</v>
      </c>
      <c r="I547" s="44" t="str">
        <f>IFERROR(__xludf.DUMMYFUNCTION("""COMPUTED_VALUE""")," ")</f>
        <v> </v>
      </c>
      <c r="J547" s="44" t="str">
        <f>IFERROR(__xludf.DUMMYFUNCTION("""COMPUTED_VALUE"""),"")</f>
        <v/>
      </c>
      <c r="K547" s="42" t="str">
        <f>IFERROR(__xludf.DUMMYFUNCTION("""COMPUTED_VALUE"""),"Hospital Vargas de Caracas")</f>
        <v>Hospital Vargas de Caracas</v>
      </c>
    </row>
    <row r="548">
      <c r="A548" s="44">
        <v>547.0</v>
      </c>
      <c r="B548" s="44" t="str">
        <f>IFERROR(__xludf.DUMMYFUNCTION("""COMPUTED_VALUE"""),"Hospital Universitario de Carac")</f>
        <v>Hospital Universitario de Carac</v>
      </c>
      <c r="C548" s="45" t="str">
        <f>IFERROR(__xludf.DUMMYFUNCTION("""COMPUTED_VALUE"""),"Liz Closier")</f>
        <v>Liz Closier</v>
      </c>
      <c r="D548" s="44">
        <f>IFERROR(__xludf.DUMMYFUNCTION("""COMPUTED_VALUE"""),28.0)</f>
        <v>28</v>
      </c>
      <c r="E548" s="44" t="str">
        <f>IFERROR(__xludf.DUMMYFUNCTION("""COMPUTED_VALUE"""),"26063002")</f>
        <v>26063002</v>
      </c>
      <c r="F548" s="44" t="str">
        <f>IFERROR(__xludf.DUMMYFUNCTION("""COMPUTED_VALUE"""),"")</f>
        <v/>
      </c>
      <c r="G548" s="44"/>
      <c r="H548" s="44" t="str">
        <f>IFERROR(__xludf.DUMMYFUNCTION("""COMPUTED_VALUE"""),"La Guaira")</f>
        <v>La Guaira</v>
      </c>
      <c r="I548" s="44" t="str">
        <f>IFERROR(__xludf.DUMMYFUNCTION("""COMPUTED_VALUE"""),"Politraumatismo")</f>
        <v>Politraumatismo</v>
      </c>
      <c r="J548" s="44" t="str">
        <f>IFERROR(__xludf.DUMMYFUNCTION("""COMPUTED_VALUE"""),"")</f>
        <v/>
      </c>
      <c r="K548" s="42" t="str">
        <f>IFERROR(__xludf.DUMMYFUNCTION("""COMPUTED_VALUE"""),"Hospital Universitario de Carac")</f>
        <v>Hospital Universitario de Carac</v>
      </c>
    </row>
    <row r="549">
      <c r="A549" s="44">
        <v>548.0</v>
      </c>
      <c r="B549" s="44" t="str">
        <f>IFERROR(__xludf.DUMMYFUNCTION("""COMPUTED_VALUE"""),"Hospital Universitario de Carac")</f>
        <v>Hospital Universitario de Carac</v>
      </c>
      <c r="C549" s="45" t="str">
        <f>IFERROR(__xludf.DUMMYFUNCTION("""COMPUTED_VALUE"""),"ROSIER LIZ / CLOSSIER LIZ")</f>
        <v>ROSIER LIZ / CLOSSIER LIZ</v>
      </c>
      <c r="D549" s="44">
        <f>IFERROR(__xludf.DUMMYFUNCTION("""COMPUTED_VALUE"""),28.0)</f>
        <v>28</v>
      </c>
      <c r="E549" s="44" t="str">
        <f>IFERROR(__xludf.DUMMYFUNCTION("""COMPUTED_VALUE"""),"26068002")</f>
        <v>26068002</v>
      </c>
      <c r="F549" s="44" t="str">
        <f>IFERROR(__xludf.DUMMYFUNCTION("""COMPUTED_VALUE"""),"")</f>
        <v/>
      </c>
      <c r="G549" s="44" t="str">
        <f>IFERROR(__xludf.DUMMYFUNCTION("""COMPUTED_VALUE"""),"0412-9095086 / 0412-4095086")</f>
        <v>0412-9095086 / 0412-4095086</v>
      </c>
      <c r="H549" s="44" t="str">
        <f>IFERROR(__xludf.DUMMYFUNCTION("""COMPUTED_VALUE""")," ")</f>
        <v> </v>
      </c>
      <c r="I549" s="44" t="str">
        <f>IFERROR(__xludf.DUMMYFUNCTION("""COMPUTED_VALUE"""),"Politraumatismo; Fx pelvis")</f>
        <v>Politraumatismo; Fx pelvis</v>
      </c>
      <c r="J549" s="44" t="str">
        <f>IFERROR(__xludf.DUMMYFUNCTION("""COMPUTED_VALUE"""),"")</f>
        <v/>
      </c>
      <c r="K549" s="42" t="str">
        <f>IFERROR(__xludf.DUMMYFUNCTION("""COMPUTED_VALUE"""),"Hospital Universitario de Carac")</f>
        <v>Hospital Universitario de Carac</v>
      </c>
    </row>
    <row r="550">
      <c r="A550" s="44">
        <v>549.0</v>
      </c>
      <c r="B550" s="44" t="str">
        <f>IFERROR(__xludf.DUMMYFUNCTION("""COMPUTED_VALUE"""),"H. Jose Maria Vargas LG")</f>
        <v>H. Jose Maria Vargas LG</v>
      </c>
      <c r="C550" s="45" t="str">
        <f>IFERROR(__xludf.DUMMYFUNCTION("""COMPUTED_VALUE"""),"SERRA WEYNER")</f>
        <v>SERRA WEYNER</v>
      </c>
      <c r="D550" s="44" t="str">
        <f>IFERROR(__xludf.DUMMYFUNCTION("""COMPUTED_VALUE""")," ")</f>
        <v> </v>
      </c>
      <c r="E550" s="44" t="str">
        <f>IFERROR(__xludf.DUMMYFUNCTION("""COMPUTED_VALUE"""),"26131879")</f>
        <v>26131879</v>
      </c>
      <c r="F550" s="44" t="str">
        <f>IFERROR(__xludf.DUMMYFUNCTION("""COMPUTED_VALUE"""),"")</f>
        <v/>
      </c>
      <c r="G550" s="44" t="str">
        <f>IFERROR(__xludf.DUMMYFUNCTION("""COMPUTED_VALUE""")," ")</f>
        <v> </v>
      </c>
      <c r="H550" s="44" t="str">
        <f>IFERROR(__xludf.DUMMYFUNCTION("""COMPUTED_VALUE"""),"Los Corales")</f>
        <v>Los Corales</v>
      </c>
      <c r="I550" s="44" t="str">
        <f>IFERROR(__xludf.DUMMYFUNCTION("""COMPUTED_VALUE""")," ")</f>
        <v> </v>
      </c>
      <c r="J550" s="44" t="str">
        <f>IFERROR(__xludf.DUMMYFUNCTION("""COMPUTED_VALUE"""),"")</f>
        <v/>
      </c>
      <c r="K550" s="42" t="str">
        <f>IFERROR(__xludf.DUMMYFUNCTION("""COMPUTED_VALUE"""),"H. Jose Maria Vargas LG")</f>
        <v>H. Jose Maria Vargas LG</v>
      </c>
    </row>
    <row r="551">
      <c r="A551" s="44">
        <v>550.0</v>
      </c>
      <c r="B551" s="44" t="str">
        <f>IFERROR(__xludf.DUMMYFUNCTION("""COMPUTED_VALUE"""),"Seguro Social La Guaira")</f>
        <v>Seguro Social La Guaira</v>
      </c>
      <c r="C551" s="45" t="str">
        <f>IFERROR(__xludf.DUMMYFUNCTION("""COMPUTED_VALUE"""),"WEYNER SERRA")</f>
        <v>WEYNER SERRA</v>
      </c>
      <c r="D551" s="44" t="str">
        <f>IFERROR(__xludf.DUMMYFUNCTION("""COMPUTED_VALUE""")," ")</f>
        <v> </v>
      </c>
      <c r="E551" s="44" t="str">
        <f>IFERROR(__xludf.DUMMYFUNCTION("""COMPUTED_VALUE"""),"261318790")</f>
        <v>261318790</v>
      </c>
      <c r="F551" s="44" t="str">
        <f>IFERROR(__xludf.DUMMYFUNCTION("""COMPUTED_VALUE"""),"")</f>
        <v/>
      </c>
      <c r="G551" s="44" t="str">
        <f>IFERROR(__xludf.DUMMYFUNCTION("""COMPUTED_VALUE""")," ")</f>
        <v> </v>
      </c>
      <c r="H551" s="44" t="str">
        <f>IFERROR(__xludf.DUMMYFUNCTION("""COMPUTED_VALUE"""),"Corales")</f>
        <v>Corales</v>
      </c>
      <c r="I551" s="44" t="str">
        <f>IFERROR(__xludf.DUMMYFUNCTION("""COMPUTED_VALUE""")," ")</f>
        <v> </v>
      </c>
      <c r="J551" s="44" t="str">
        <f>IFERROR(__xludf.DUMMYFUNCTION("""COMPUTED_VALUE"""),"")</f>
        <v/>
      </c>
      <c r="K551" s="42" t="str">
        <f>IFERROR(__xludf.DUMMYFUNCTION("""COMPUTED_VALUE"""),"Seguro Social La Guaira")</f>
        <v>Seguro Social La Guaira</v>
      </c>
    </row>
    <row r="552">
      <c r="A552" s="44">
        <v>551.0</v>
      </c>
      <c r="B552" s="44" t="str">
        <f>IFERROR(__xludf.DUMMYFUNCTION("""COMPUTED_VALUE"""),"Hospital Dr. José Gregorio Hern")</f>
        <v>Hospital Dr. José Gregorio Hern</v>
      </c>
      <c r="C552" s="45" t="str">
        <f>IFERROR(__xludf.DUMMYFUNCTION("""COMPUTED_VALUE"""),"JIMENEZ HIDREL")</f>
        <v>JIMENEZ HIDREL</v>
      </c>
      <c r="D552" s="44">
        <f>IFERROR(__xludf.DUMMYFUNCTION("""COMPUTED_VALUE"""),29.0)</f>
        <v>29</v>
      </c>
      <c r="E552" s="44" t="str">
        <f>IFERROR(__xludf.DUMMYFUNCTION("""COMPUTED_VALUE"""),"26219522")</f>
        <v>26219522</v>
      </c>
      <c r="F552" s="44" t="str">
        <f>IFERROR(__xludf.DUMMYFUNCTION("""COMPUTED_VALUE"""),"")</f>
        <v/>
      </c>
      <c r="G552" s="44" t="str">
        <f>IFERROR(__xludf.DUMMYFUNCTION("""COMPUTED_VALUE""")," ")</f>
        <v> </v>
      </c>
      <c r="H552" s="44" t="str">
        <f>IFERROR(__xludf.DUMMYFUNCTION("""COMPUTED_VALUE"""),"Catia")</f>
        <v>Catia</v>
      </c>
      <c r="I552" s="44" t="str">
        <f>IFERROR(__xludf.DUMMYFUNCTION("""COMPUTED_VALUE""")," ")</f>
        <v> </v>
      </c>
      <c r="J552" s="44" t="str">
        <f>IFERROR(__xludf.DUMMYFUNCTION("""COMPUTED_VALUE"""),"")</f>
        <v/>
      </c>
      <c r="K552" s="42" t="str">
        <f>IFERROR(__xludf.DUMMYFUNCTION("""COMPUTED_VALUE"""),"Hospital Dr. José Gregorio Hern")</f>
        <v>Hospital Dr. José Gregorio Hern</v>
      </c>
    </row>
    <row r="553">
      <c r="A553" s="44">
        <v>552.0</v>
      </c>
      <c r="B553" s="44" t="str">
        <f>IFERROR(__xludf.DUMMYFUNCTION("""COMPUTED_VALUE"""),"Periférico de Catia")</f>
        <v>Periférico de Catia</v>
      </c>
      <c r="C553" s="45" t="str">
        <f>IFERROR(__xludf.DUMMYFUNCTION("""COMPUTED_VALUE"""),"ABDLY ABDELYS")</f>
        <v>ABDLY ABDELYS</v>
      </c>
      <c r="D553" s="44">
        <f>IFERROR(__xludf.DUMMYFUNCTION("""COMPUTED_VALUE"""),28.0)</f>
        <v>28</v>
      </c>
      <c r="E553" s="44" t="str">
        <f>IFERROR(__xludf.DUMMYFUNCTION("""COMPUTED_VALUE"""),"26254624")</f>
        <v>26254624</v>
      </c>
      <c r="F553" s="44" t="str">
        <f>IFERROR(__xludf.DUMMYFUNCTION("""COMPUTED_VALUE"""),"")</f>
        <v/>
      </c>
      <c r="G553" s="44" t="str">
        <f>IFERROR(__xludf.DUMMYFUNCTION("""COMPUTED_VALUE""")," ")</f>
        <v> </v>
      </c>
      <c r="H553" s="44" t="str">
        <f>IFERROR(__xludf.DUMMYFUNCTION("""COMPUTED_VALUE""")," ")</f>
        <v> </v>
      </c>
      <c r="I553" s="44" t="str">
        <f>IFERROR(__xludf.DUMMYFUNCTION("""COMPUTED_VALUE"""),"Cirugía General")</f>
        <v>Cirugía General</v>
      </c>
      <c r="J553" s="44" t="str">
        <f>IFERROR(__xludf.DUMMYFUNCTION("""COMPUTED_VALUE"""),"")</f>
        <v/>
      </c>
      <c r="K553" s="42" t="str">
        <f>IFERROR(__xludf.DUMMYFUNCTION("""COMPUTED_VALUE"""),"Periférico de Catia")</f>
        <v>Periférico de Catia</v>
      </c>
    </row>
    <row r="554">
      <c r="A554" s="44">
        <v>553.0</v>
      </c>
      <c r="B554" s="44" t="str">
        <f>IFERROR(__xludf.DUMMYFUNCTION("""COMPUTED_VALUE"""),"Seguro Social La Guaira")</f>
        <v>Seguro Social La Guaira</v>
      </c>
      <c r="C554" s="45" t="str">
        <f>IFERROR(__xludf.DUMMYFUNCTION("""COMPUTED_VALUE"""),"VANESA GOZALEZ")</f>
        <v>VANESA GOZALEZ</v>
      </c>
      <c r="D554" s="44">
        <f>IFERROR(__xludf.DUMMYFUNCTION("""COMPUTED_VALUE"""),29.0)</f>
        <v>29</v>
      </c>
      <c r="E554" s="44" t="str">
        <f>IFERROR(__xludf.DUMMYFUNCTION("""COMPUTED_VALUE"""),"263161320")</f>
        <v>263161320</v>
      </c>
      <c r="F554" s="44" t="str">
        <f>IFERROR(__xludf.DUMMYFUNCTION("""COMPUTED_VALUE"""),"")</f>
        <v/>
      </c>
      <c r="G554" s="44" t="str">
        <f>IFERROR(__xludf.DUMMYFUNCTION("""COMPUTED_VALUE""")," ")</f>
        <v> </v>
      </c>
      <c r="H554" s="44" t="str">
        <f>IFERROR(__xludf.DUMMYFUNCTION("""COMPUTED_VALUE"""),"Aeropuerto")</f>
        <v>Aeropuerto</v>
      </c>
      <c r="I554" s="44" t="str">
        <f>IFERROR(__xludf.DUMMYFUNCTION("""COMPUTED_VALUE""")," ")</f>
        <v> </v>
      </c>
      <c r="J554" s="44" t="str">
        <f>IFERROR(__xludf.DUMMYFUNCTION("""COMPUTED_VALUE"""),"")</f>
        <v/>
      </c>
      <c r="K554" s="42" t="str">
        <f>IFERROR(__xludf.DUMMYFUNCTION("""COMPUTED_VALUE"""),"Seguro Social La Guaira")</f>
        <v>Seguro Social La Guaira</v>
      </c>
    </row>
    <row r="555">
      <c r="A555" s="44">
        <v>554.0</v>
      </c>
      <c r="B555" s="44" t="str">
        <f>IFERROR(__xludf.DUMMYFUNCTION("""COMPUTED_VALUE"""),"Hospital Vargas de Caracas")</f>
        <v>Hospital Vargas de Caracas</v>
      </c>
      <c r="C555" s="45" t="str">
        <f>IFERROR(__xludf.DUMMYFUNCTION("""COMPUTED_VALUE"""),"BOWEYO JOSE")</f>
        <v>BOWEYO JOSE</v>
      </c>
      <c r="D555" s="44" t="str">
        <f>IFERROR(__xludf.DUMMYFUNCTION("""COMPUTED_VALUE""")," ")</f>
        <v> </v>
      </c>
      <c r="E555" s="44" t="str">
        <f>IFERROR(__xludf.DUMMYFUNCTION("""COMPUTED_VALUE"""),"26327360")</f>
        <v>26327360</v>
      </c>
      <c r="F555" s="44" t="str">
        <f>IFERROR(__xludf.DUMMYFUNCTION("""COMPUTED_VALUE""")," ")</f>
        <v> </v>
      </c>
      <c r="G555" s="44" t="str">
        <f>IFERROR(__xludf.DUMMYFUNCTION("""COMPUTED_VALUE"""),"")</f>
        <v/>
      </c>
      <c r="H555" s="44" t="str">
        <f>IFERROR(__xludf.DUMMYFUNCTION("""COMPUTED_VALUE"""),"Guaira")</f>
        <v>Guaira</v>
      </c>
      <c r="I555" s="44" t="str">
        <f>IFERROR(__xludf.DUMMYFUNCTION("""COMPUTED_VALUE""")," ")</f>
        <v> </v>
      </c>
      <c r="J555" s="44" t="str">
        <f>IFERROR(__xludf.DUMMYFUNCTION("""COMPUTED_VALUE"""),"")</f>
        <v/>
      </c>
      <c r="K555" s="42" t="str">
        <f>IFERROR(__xludf.DUMMYFUNCTION("""COMPUTED_VALUE"""),"Hospital Vargas de Caracas")</f>
        <v>Hospital Vargas de Caracas</v>
      </c>
    </row>
    <row r="556">
      <c r="A556" s="44">
        <v>555.0</v>
      </c>
      <c r="B556" s="44" t="str">
        <f>IFERROR(__xludf.DUMMYFUNCTION("""COMPUTED_VALUE"""),"Hospital Vargas de Caracas")</f>
        <v>Hospital Vargas de Caracas</v>
      </c>
      <c r="C556" s="45" t="str">
        <f>IFERROR(__xludf.DUMMYFUNCTION("""COMPUTED_VALUE"""),"BOWEYO JOSE")</f>
        <v>BOWEYO JOSE</v>
      </c>
      <c r="D556" s="44" t="str">
        <f>IFERROR(__xludf.DUMMYFUNCTION("""COMPUTED_VALUE""")," ")</f>
        <v> </v>
      </c>
      <c r="E556" s="44" t="str">
        <f>IFERROR(__xludf.DUMMYFUNCTION("""COMPUTED_VALUE"""),"263273600")</f>
        <v>263273600</v>
      </c>
      <c r="F556" s="44" t="str">
        <f>IFERROR(__xludf.DUMMYFUNCTION("""COMPUTED_VALUE""")," ")</f>
        <v> </v>
      </c>
      <c r="G556" s="44" t="str">
        <f>IFERROR(__xludf.DUMMYFUNCTION("""COMPUTED_VALUE"""),"")</f>
        <v/>
      </c>
      <c r="H556" s="44" t="str">
        <f>IFERROR(__xludf.DUMMYFUNCTION("""COMPUTED_VALUE""")," ")</f>
        <v> </v>
      </c>
      <c r="I556" s="44" t="str">
        <f>IFERROR(__xludf.DUMMYFUNCTION("""COMPUTED_VALUE""")," ")</f>
        <v> </v>
      </c>
      <c r="J556" s="44" t="str">
        <f>IFERROR(__xludf.DUMMYFUNCTION("""COMPUTED_VALUE"""),"")</f>
        <v/>
      </c>
      <c r="K556" s="42" t="str">
        <f>IFERROR(__xludf.DUMMYFUNCTION("""COMPUTED_VALUE"""),"Hospital Vargas de Caracas")</f>
        <v>Hospital Vargas de Caracas</v>
      </c>
    </row>
    <row r="557">
      <c r="A557" s="44">
        <v>556.0</v>
      </c>
      <c r="B557" s="44" t="str">
        <f>IFERROR(__xludf.DUMMYFUNCTION("""COMPUTED_VALUE"""),"Hospital Pérez Carreño")</f>
        <v>Hospital Pérez Carreño</v>
      </c>
      <c r="C557" s="45" t="str">
        <f>IFERROR(__xludf.DUMMYFUNCTION("""COMPUTED_VALUE"""),"PACHECO CESAR")</f>
        <v>PACHECO CESAR</v>
      </c>
      <c r="D557" s="44" t="str">
        <f>IFERROR(__xludf.DUMMYFUNCTION("""COMPUTED_VALUE""")," ")</f>
        <v> </v>
      </c>
      <c r="E557" s="44" t="str">
        <f>IFERROR(__xludf.DUMMYFUNCTION("""COMPUTED_VALUE"""),"26327366")</f>
        <v>26327366</v>
      </c>
      <c r="F557" s="44" t="str">
        <f>IFERROR(__xludf.DUMMYFUNCTION("""COMPUTED_VALUE"""),"")</f>
        <v/>
      </c>
      <c r="G557" s="44" t="str">
        <f>IFERROR(__xludf.DUMMYFUNCTION("""COMPUTED_VALUE""")," ")</f>
        <v> </v>
      </c>
      <c r="H557" s="44" t="str">
        <f>IFERROR(__xludf.DUMMYFUNCTION("""COMPUTED_VALUE""")," ")</f>
        <v> </v>
      </c>
      <c r="I557" s="44" t="str">
        <f>IFERROR(__xludf.DUMMYFUNCTION("""COMPUTED_VALUE""")," ")</f>
        <v> </v>
      </c>
      <c r="J557" s="44" t="str">
        <f>IFERROR(__xludf.DUMMYFUNCTION("""COMPUTED_VALUE"""),"25/06/2026")</f>
        <v>25/06/2026</v>
      </c>
      <c r="K557" s="42" t="str">
        <f>IFERROR(__xludf.DUMMYFUNCTION("""COMPUTED_VALUE"""),"Hospital Pérez Carreño")</f>
        <v>Hospital Pérez Carreño</v>
      </c>
    </row>
    <row r="558">
      <c r="A558" s="44">
        <v>557.0</v>
      </c>
      <c r="B558" s="44" t="str">
        <f>IFERROR(__xludf.DUMMYFUNCTION("""COMPUTED_VALUE"""),"Hospital Pérez Carreño")</f>
        <v>Hospital Pérez Carreño</v>
      </c>
      <c r="C558" s="45" t="str">
        <f>IFERROR(__xludf.DUMMYFUNCTION("""COMPUTED_VALUE"""),"PACHECO DIAZ CESAR EDUARDO")</f>
        <v>PACHECO DIAZ CESAR EDUARDO</v>
      </c>
      <c r="D558" s="44" t="str">
        <f>IFERROR(__xludf.DUMMYFUNCTION("""COMPUTED_VALUE"""),"Sin información")</f>
        <v>Sin información</v>
      </c>
      <c r="E558" s="44" t="str">
        <f>IFERROR(__xludf.DUMMYFUNCTION("""COMPUTED_VALUE"""),"263273660")</f>
        <v>263273660</v>
      </c>
      <c r="F558" s="44" t="str">
        <f>IFERROR(__xludf.DUMMYFUNCTION("""COMPUTED_VALUE"""),"")</f>
        <v/>
      </c>
      <c r="G558" s="44" t="str">
        <f>IFERROR(__xludf.DUMMYFUNCTION("""COMPUTED_VALUE""")," ")</f>
        <v> </v>
      </c>
      <c r="H558" s="44" t="str">
        <f>IFERROR(__xludf.DUMMYFUNCTION("""COMPUTED_VALUE"""),"Sin información")</f>
        <v>Sin información</v>
      </c>
      <c r="I558" s="44" t="str">
        <f>IFERROR(__xludf.DUMMYFUNCTION("""COMPUTED_VALUE"""),"Sin información")</f>
        <v>Sin información</v>
      </c>
      <c r="J558" s="44" t="str">
        <f>IFERROR(__xludf.DUMMYFUNCTION("""COMPUTED_VALUE"""),"25/06/2026")</f>
        <v>25/06/2026</v>
      </c>
      <c r="K558" s="42" t="str">
        <f>IFERROR(__xludf.DUMMYFUNCTION("""COMPUTED_VALUE"""),"Hospital Pérez Carreño")</f>
        <v>Hospital Pérez Carreño</v>
      </c>
    </row>
    <row r="559">
      <c r="A559" s="44">
        <v>558.0</v>
      </c>
      <c r="B559" s="44" t="str">
        <f>IFERROR(__xludf.DUMMYFUNCTION("""COMPUTED_VALUE"""),"Hospital Vargas de Caracas")</f>
        <v>Hospital Vargas de Caracas</v>
      </c>
      <c r="C559" s="45" t="str">
        <f>IFERROR(__xludf.DUMMYFUNCTION("""COMPUTED_VALUE"""),"BORREGO JOSE")</f>
        <v>BORREGO JOSE</v>
      </c>
      <c r="D559" s="44" t="str">
        <f>IFERROR(__xludf.DUMMYFUNCTION("""COMPUTED_VALUE""")," ")</f>
        <v> </v>
      </c>
      <c r="E559" s="44" t="str">
        <f>IFERROR(__xludf.DUMMYFUNCTION("""COMPUTED_VALUE"""),"26327370")</f>
        <v>26327370</v>
      </c>
      <c r="F559" s="44" t="str">
        <f>IFERROR(__xludf.DUMMYFUNCTION("""COMPUTED_VALUE""")," ")</f>
        <v> </v>
      </c>
      <c r="G559" s="44" t="str">
        <f>IFERROR(__xludf.DUMMYFUNCTION("""COMPUTED_VALUE"""),"")</f>
        <v/>
      </c>
      <c r="H559" s="44" t="str">
        <f>IFERROR(__xludf.DUMMYFUNCTION("""COMPUTED_VALUE""")," ")</f>
        <v> </v>
      </c>
      <c r="I559" s="44" t="str">
        <f>IFERROR(__xludf.DUMMYFUNCTION("""COMPUTED_VALUE""")," ")</f>
        <v> </v>
      </c>
      <c r="J559" s="44" t="str">
        <f>IFERROR(__xludf.DUMMYFUNCTION("""COMPUTED_VALUE"""),"")</f>
        <v/>
      </c>
      <c r="K559" s="42" t="str">
        <f>IFERROR(__xludf.DUMMYFUNCTION("""COMPUTED_VALUE"""),"Hospital Vargas de Caracas")</f>
        <v>Hospital Vargas de Caracas</v>
      </c>
    </row>
    <row r="560">
      <c r="A560" s="44">
        <v>559.0</v>
      </c>
      <c r="B560" s="44" t="str">
        <f>IFERROR(__xludf.DUMMYFUNCTION("""COMPUTED_VALUE"""),"Hospital Vargas de Caracas")</f>
        <v>Hospital Vargas de Caracas</v>
      </c>
      <c r="C560" s="45" t="str">
        <f>IFERROR(__xludf.DUMMYFUNCTION("""COMPUTED_VALUE"""),"CARIDAD VICTORIA")</f>
        <v>CARIDAD VICTORIA</v>
      </c>
      <c r="D560" s="44">
        <f>IFERROR(__xludf.DUMMYFUNCTION("""COMPUTED_VALUE"""),29.0)</f>
        <v>29</v>
      </c>
      <c r="E560" s="44" t="str">
        <f>IFERROR(__xludf.DUMMYFUNCTION("""COMPUTED_VALUE"""),"26327685")</f>
        <v>26327685</v>
      </c>
      <c r="F560" s="44" t="str">
        <f>IFERROR(__xludf.DUMMYFUNCTION("""COMPUTED_VALUE""")," ")</f>
        <v> </v>
      </c>
      <c r="G560" s="44" t="str">
        <f>IFERROR(__xludf.DUMMYFUNCTION("""COMPUTED_VALUE"""),"")</f>
        <v/>
      </c>
      <c r="H560" s="44" t="str">
        <f>IFERROR(__xludf.DUMMYFUNCTION("""COMPUTED_VALUE"""),"La Guaira")</f>
        <v>La Guaira</v>
      </c>
      <c r="I560" s="44" t="str">
        <f>IFERROR(__xludf.DUMMYFUNCTION("""COMPUTED_VALUE"""),"UPT")</f>
        <v>UPT</v>
      </c>
      <c r="J560" s="44" t="str">
        <f>IFERROR(__xludf.DUMMYFUNCTION("""COMPUTED_VALUE"""),"")</f>
        <v/>
      </c>
      <c r="K560" s="42" t="str">
        <f>IFERROR(__xludf.DUMMYFUNCTION("""COMPUTED_VALUE"""),"Hospital Vargas de Caracas")</f>
        <v>Hospital Vargas de Caracas</v>
      </c>
    </row>
    <row r="561">
      <c r="A561" s="44">
        <v>560.0</v>
      </c>
      <c r="B561" s="44" t="str">
        <f>IFERROR(__xludf.DUMMYFUNCTION("""COMPUTED_VALUE"""),"Hospital Pérez Carreño")</f>
        <v>Hospital Pérez Carreño</v>
      </c>
      <c r="C561" s="45" t="str">
        <f>IFERROR(__xludf.DUMMYFUNCTION("""COMPUTED_VALUE"""),"CASSTITO AYARI")</f>
        <v>CASSTITO AYARI</v>
      </c>
      <c r="D561" s="44" t="str">
        <f>IFERROR(__xludf.DUMMYFUNCTION("""COMPUTED_VALUE""")," ")</f>
        <v> </v>
      </c>
      <c r="E561" s="44" t="str">
        <f>IFERROR(__xludf.DUMMYFUNCTION("""COMPUTED_VALUE"""),"26327913")</f>
        <v>26327913</v>
      </c>
      <c r="F561" s="44" t="str">
        <f>IFERROR(__xludf.DUMMYFUNCTION("""COMPUTED_VALUE"""),"")</f>
        <v/>
      </c>
      <c r="G561" s="44" t="str">
        <f>IFERROR(__xludf.DUMMYFUNCTION("""COMPUTED_VALUE""")," ")</f>
        <v> </v>
      </c>
      <c r="H561" s="44" t="str">
        <f>IFERROR(__xludf.DUMMYFUNCTION("""COMPUTED_VALUE""")," ")</f>
        <v> </v>
      </c>
      <c r="I561" s="44" t="str">
        <f>IFERROR(__xludf.DUMMYFUNCTION("""COMPUTED_VALUE""")," ")</f>
        <v> </v>
      </c>
      <c r="J561" s="44" t="str">
        <f>IFERROR(__xludf.DUMMYFUNCTION("""COMPUTED_VALUE"""),"25/06/2026")</f>
        <v>25/06/2026</v>
      </c>
      <c r="K561" s="42" t="str">
        <f>IFERROR(__xludf.DUMMYFUNCTION("""COMPUTED_VALUE"""),"Hospital Pérez Carreño")</f>
        <v>Hospital Pérez Carreño</v>
      </c>
    </row>
    <row r="562">
      <c r="A562" s="44">
        <v>561.0</v>
      </c>
      <c r="B562" s="44" t="str">
        <f>IFERROR(__xludf.DUMMYFUNCTION("""COMPUTED_VALUE"""),"Hospital Pérez Carreño")</f>
        <v>Hospital Pérez Carreño</v>
      </c>
      <c r="C562" s="45" t="str">
        <f>IFERROR(__xludf.DUMMYFUNCTION("""COMPUTED_VALUE"""),"CASTILLO DESCARA AYARI")</f>
        <v>CASTILLO DESCARA AYARI</v>
      </c>
      <c r="D562" s="44" t="str">
        <f>IFERROR(__xludf.DUMMYFUNCTION("""COMPUTED_VALUE""")," ")</f>
        <v> </v>
      </c>
      <c r="E562" s="44" t="str">
        <f>IFERROR(__xludf.DUMMYFUNCTION("""COMPUTED_VALUE"""),"263279130")</f>
        <v>263279130</v>
      </c>
      <c r="F562" s="44" t="str">
        <f>IFERROR(__xludf.DUMMYFUNCTION("""COMPUTED_VALUE"""),"")</f>
        <v/>
      </c>
      <c r="G562" s="44" t="str">
        <f>IFERROR(__xludf.DUMMYFUNCTION("""COMPUTED_VALUE""")," ")</f>
        <v> </v>
      </c>
      <c r="H562" s="44" t="str">
        <f>IFERROR(__xludf.DUMMYFUNCTION("""COMPUTED_VALUE""")," ")</f>
        <v> </v>
      </c>
      <c r="I562" s="44" t="str">
        <f>IFERROR(__xludf.DUMMYFUNCTION("""COMPUTED_VALUE""")," ")</f>
        <v> </v>
      </c>
      <c r="J562" s="44" t="str">
        <f>IFERROR(__xludf.DUMMYFUNCTION("""COMPUTED_VALUE"""),"25/06/2026")</f>
        <v>25/06/2026</v>
      </c>
      <c r="K562" s="42" t="str">
        <f>IFERROR(__xludf.DUMMYFUNCTION("""COMPUTED_VALUE"""),"Hospital Pérez Carreño")</f>
        <v>Hospital Pérez Carreño</v>
      </c>
    </row>
    <row r="563">
      <c r="A563" s="44">
        <v>562.0</v>
      </c>
      <c r="B563" s="44" t="str">
        <f>IFERROR(__xludf.DUMMYFUNCTION("""COMPUTED_VALUE"""),"Hospital Pérez Carreño")</f>
        <v>Hospital Pérez Carreño</v>
      </c>
      <c r="C563" s="45" t="str">
        <f>IFERROR(__xludf.DUMMYFUNCTION("""COMPUTED_VALUE"""),"AURI CASTILLO")</f>
        <v>AURI CASTILLO</v>
      </c>
      <c r="D563" s="44" t="str">
        <f>IFERROR(__xludf.DUMMYFUNCTION("""COMPUTED_VALUE"""),"Sin información")</f>
        <v>Sin información</v>
      </c>
      <c r="E563" s="44" t="str">
        <f>IFERROR(__xludf.DUMMYFUNCTION("""COMPUTED_VALUE"""),"263291930")</f>
        <v>263291930</v>
      </c>
      <c r="F563" s="44" t="str">
        <f>IFERROR(__xludf.DUMMYFUNCTION("""COMPUTED_VALUE"""),"")</f>
        <v/>
      </c>
      <c r="G563" s="44" t="str">
        <f>IFERROR(__xludf.DUMMYFUNCTION("""COMPUTED_VALUE""")," ")</f>
        <v> </v>
      </c>
      <c r="H563" s="44" t="str">
        <f>IFERROR(__xludf.DUMMYFUNCTION("""COMPUTED_VALUE"""),"Sin información")</f>
        <v>Sin información</v>
      </c>
      <c r="I563" s="44" t="str">
        <f>IFERROR(__xludf.DUMMYFUNCTION("""COMPUTED_VALUE"""),"Sin información")</f>
        <v>Sin información</v>
      </c>
      <c r="J563" s="44" t="str">
        <f>IFERROR(__xludf.DUMMYFUNCTION("""COMPUTED_VALUE"""),"25/06/2026")</f>
        <v>25/06/2026</v>
      </c>
      <c r="K563" s="42" t="str">
        <f>IFERROR(__xludf.DUMMYFUNCTION("""COMPUTED_VALUE"""),"Hospital Pérez Carreño")</f>
        <v>Hospital Pérez Carreño</v>
      </c>
    </row>
    <row r="564">
      <c r="A564" s="44">
        <v>563.0</v>
      </c>
      <c r="B564" s="44" t="str">
        <f>IFERROR(__xludf.DUMMYFUNCTION("""COMPUTED_VALUE"""),"Hospital Universitario de Carac")</f>
        <v>Hospital Universitario de Carac</v>
      </c>
      <c r="C564" s="45" t="str">
        <f>IFERROR(__xludf.DUMMYFUNCTION("""COMPUTED_VALUE"""),"MOYANO JAIME")</f>
        <v>MOYANO JAIME</v>
      </c>
      <c r="D564" s="44">
        <f>IFERROR(__xludf.DUMMYFUNCTION("""COMPUTED_VALUE"""),28.0)</f>
        <v>28</v>
      </c>
      <c r="E564" s="44" t="str">
        <f>IFERROR(__xludf.DUMMYFUNCTION("""COMPUTED_VALUE"""),"26346743")</f>
        <v>26346743</v>
      </c>
      <c r="F564" s="44" t="str">
        <f>IFERROR(__xludf.DUMMYFUNCTION("""COMPUTED_VALUE"""),"")</f>
        <v/>
      </c>
      <c r="G564" s="44" t="str">
        <f>IFERROR(__xludf.DUMMYFUNCTION("""COMPUTED_VALUE"""),"0426-3844124")</f>
        <v>0426-3844124</v>
      </c>
      <c r="H564" s="44" t="str">
        <f>IFERROR(__xludf.DUMMYFUNCTION("""COMPUTED_VALUE""")," ")</f>
        <v> </v>
      </c>
      <c r="I564" s="44" t="str">
        <f>IFERROR(__xludf.DUMMYFUNCTION("""COMPUTED_VALUE"""),"Politraumatismo")</f>
        <v>Politraumatismo</v>
      </c>
      <c r="J564" s="44" t="str">
        <f>IFERROR(__xludf.DUMMYFUNCTION("""COMPUTED_VALUE"""),"")</f>
        <v/>
      </c>
      <c r="K564" s="42" t="str">
        <f>IFERROR(__xludf.DUMMYFUNCTION("""COMPUTED_VALUE"""),"Hospital Universitario de Carac")</f>
        <v>Hospital Universitario de Carac</v>
      </c>
    </row>
    <row r="565">
      <c r="A565" s="44">
        <v>564.0</v>
      </c>
      <c r="B565" s="44" t="str">
        <f>IFERROR(__xludf.DUMMYFUNCTION("""COMPUTED_VALUE"""),"Hospital Universitario de Carac")</f>
        <v>Hospital Universitario de Carac</v>
      </c>
      <c r="C565" s="45" t="str">
        <f>IFERROR(__xludf.DUMMYFUNCTION("""COMPUTED_VALUE"""),"Jaime Moyano")</f>
        <v>Jaime Moyano</v>
      </c>
      <c r="D565" s="44">
        <f>IFERROR(__xludf.DUMMYFUNCTION("""COMPUTED_VALUE"""),28.0)</f>
        <v>28</v>
      </c>
      <c r="E565" s="44" t="str">
        <f>IFERROR(__xludf.DUMMYFUNCTION("""COMPUTED_VALUE"""),"26346745")</f>
        <v>26346745</v>
      </c>
      <c r="F565" s="44" t="str">
        <f>IFERROR(__xludf.DUMMYFUNCTION("""COMPUTED_VALUE"""),"")</f>
        <v/>
      </c>
      <c r="G565" s="44"/>
      <c r="H565" s="44" t="str">
        <f>IFERROR(__xludf.DUMMYFUNCTION("""COMPUTED_VALUE"""),"Mariche")</f>
        <v>Mariche</v>
      </c>
      <c r="I565" s="44" t="str">
        <f>IFERROR(__xludf.DUMMYFUNCTION("""COMPUTED_VALUE"""),"Politraumatismo")</f>
        <v>Politraumatismo</v>
      </c>
      <c r="J565" s="44" t="str">
        <f>IFERROR(__xludf.DUMMYFUNCTION("""COMPUTED_VALUE"""),"")</f>
        <v/>
      </c>
      <c r="K565" s="42" t="str">
        <f>IFERROR(__xludf.DUMMYFUNCTION("""COMPUTED_VALUE"""),"Hospital Universitario de Carac")</f>
        <v>Hospital Universitario de Carac</v>
      </c>
    </row>
    <row r="566">
      <c r="A566" s="44">
        <v>565.0</v>
      </c>
      <c r="B566" s="44" t="str">
        <f>IFERROR(__xludf.DUMMYFUNCTION("""COMPUTED_VALUE"""),"H. Jose Maria Vargas LG")</f>
        <v>H. Jose Maria Vargas LG</v>
      </c>
      <c r="C566" s="45" t="str">
        <f>IFERROR(__xludf.DUMMYFUNCTION("""COMPUTED_VALUE"""),"OTEREALBA MERVIN")</f>
        <v>OTEREALBA MERVIN</v>
      </c>
      <c r="D566" s="44" t="str">
        <f>IFERROR(__xludf.DUMMYFUNCTION("""COMPUTED_VALUE""")," ")</f>
        <v> </v>
      </c>
      <c r="E566" s="44" t="str">
        <f>IFERROR(__xludf.DUMMYFUNCTION("""COMPUTED_VALUE"""),"26363002")</f>
        <v>26363002</v>
      </c>
      <c r="F566" s="44" t="str">
        <f>IFERROR(__xludf.DUMMYFUNCTION("""COMPUTED_VALUE"""),"")</f>
        <v/>
      </c>
      <c r="G566" s="44" t="str">
        <f>IFERROR(__xludf.DUMMYFUNCTION("""COMPUTED_VALUE""")," ")</f>
        <v> </v>
      </c>
      <c r="H566" s="44" t="str">
        <f>IFERROR(__xludf.DUMMYFUNCTION("""COMPUTED_VALUE""")," ")</f>
        <v> </v>
      </c>
      <c r="I566" s="44" t="str">
        <f>IFERROR(__xludf.DUMMYFUNCTION("""COMPUTED_VALUE"""),"Internado")</f>
        <v>Internado</v>
      </c>
      <c r="J566" s="44" t="str">
        <f>IFERROR(__xludf.DUMMYFUNCTION("""COMPUTED_VALUE"""),"")</f>
        <v/>
      </c>
      <c r="K566" s="42" t="str">
        <f>IFERROR(__xludf.DUMMYFUNCTION("""COMPUTED_VALUE"""),"H. Jose Maria Vargas LG")</f>
        <v>H. Jose Maria Vargas LG</v>
      </c>
    </row>
    <row r="567">
      <c r="A567" s="44">
        <v>566.0</v>
      </c>
      <c r="B567" s="44" t="str">
        <f>IFERROR(__xludf.DUMMYFUNCTION("""COMPUTED_VALUE"""),"Seguro Social La Guaira")</f>
        <v>Seguro Social La Guaira</v>
      </c>
      <c r="C567" s="45" t="str">
        <f>IFERROR(__xludf.DUMMYFUNCTION("""COMPUTED_VALUE"""),"MAIRIN ATEREALA")</f>
        <v>MAIRIN ATEREALA</v>
      </c>
      <c r="D567" s="44" t="str">
        <f>IFERROR(__xludf.DUMMYFUNCTION("""COMPUTED_VALUE""")," ")</f>
        <v> </v>
      </c>
      <c r="E567" s="44" t="str">
        <f>IFERROR(__xludf.DUMMYFUNCTION("""COMPUTED_VALUE"""),"263630020")</f>
        <v>263630020</v>
      </c>
      <c r="F567" s="44" t="str">
        <f>IFERROR(__xludf.DUMMYFUNCTION("""COMPUTED_VALUE"""),"")</f>
        <v/>
      </c>
      <c r="G567" s="44" t="str">
        <f>IFERROR(__xludf.DUMMYFUNCTION("""COMPUTED_VALUE""")," ")</f>
        <v> </v>
      </c>
      <c r="H567" s="44" t="str">
        <f>IFERROR(__xludf.DUMMYFUNCTION("""COMPUTED_VALUE"""),"Brisas del Aeropuerto")</f>
        <v>Brisas del Aeropuerto</v>
      </c>
      <c r="I567" s="44" t="str">
        <f>IFERROR(__xludf.DUMMYFUNCTION("""COMPUTED_VALUE""")," ")</f>
        <v> </v>
      </c>
      <c r="J567" s="44" t="str">
        <f>IFERROR(__xludf.DUMMYFUNCTION("""COMPUTED_VALUE"""),"")</f>
        <v/>
      </c>
      <c r="K567" s="42" t="str">
        <f>IFERROR(__xludf.DUMMYFUNCTION("""COMPUTED_VALUE"""),"Seguro Social La Guaira")</f>
        <v>Seguro Social La Guaira</v>
      </c>
    </row>
    <row r="568">
      <c r="A568" s="44">
        <v>567.0</v>
      </c>
      <c r="B568" s="44" t="str">
        <f>IFERROR(__xludf.DUMMYFUNCTION("""COMPUTED_VALUE"""),"H. Jose Maria Vargas LG")</f>
        <v>H. Jose Maria Vargas LG</v>
      </c>
      <c r="C568" s="45" t="str">
        <f>IFERROR(__xludf.DUMMYFUNCTION("""COMPUTED_VALUE"""),"TORREALBA MERI")</f>
        <v>TORREALBA MERI</v>
      </c>
      <c r="D568" s="44" t="str">
        <f>IFERROR(__xludf.DUMMYFUNCTION("""COMPUTED_VALUE""")," ")</f>
        <v> </v>
      </c>
      <c r="E568" s="44" t="str">
        <f>IFERROR(__xludf.DUMMYFUNCTION("""COMPUTED_VALUE"""),"26363021")</f>
        <v>26363021</v>
      </c>
      <c r="F568" s="44" t="str">
        <f>IFERROR(__xludf.DUMMYFUNCTION("""COMPUTED_VALUE"""),"")</f>
        <v/>
      </c>
      <c r="G568" s="44" t="str">
        <f>IFERROR(__xludf.DUMMYFUNCTION("""COMPUTED_VALUE""")," ")</f>
        <v> </v>
      </c>
      <c r="H568" s="44" t="str">
        <f>IFERROR(__xludf.DUMMYFUNCTION("""COMPUTED_VALUE"""),"Brisas del Aeropuerto")</f>
        <v>Brisas del Aeropuerto</v>
      </c>
      <c r="I568" s="44" t="str">
        <f>IFERROR(__xludf.DUMMYFUNCTION("""COMPUTED_VALUE""")," ")</f>
        <v> </v>
      </c>
      <c r="J568" s="44" t="str">
        <f>IFERROR(__xludf.DUMMYFUNCTION("""COMPUTED_VALUE"""),"")</f>
        <v/>
      </c>
      <c r="K568" s="42" t="str">
        <f>IFERROR(__xludf.DUMMYFUNCTION("""COMPUTED_VALUE"""),"H. Jose Maria Vargas LG")</f>
        <v>H. Jose Maria Vargas LG</v>
      </c>
    </row>
    <row r="569">
      <c r="A569" s="44">
        <v>568.0</v>
      </c>
      <c r="B569" s="44" t="str">
        <f>IFERROR(__xludf.DUMMYFUNCTION("""COMPUTED_VALUE"""),"Hospital Pérez Carreño")</f>
        <v>Hospital Pérez Carreño</v>
      </c>
      <c r="C569" s="45" t="str">
        <f>IFERROR(__xludf.DUMMYFUNCTION("""COMPUTED_VALUE"""),"TIRADO LOVERA YUNIOR DAVID")</f>
        <v>TIRADO LOVERA YUNIOR DAVID</v>
      </c>
      <c r="D569" s="44" t="str">
        <f>IFERROR(__xludf.DUMMYFUNCTION("""COMPUTED_VALUE""")," ")</f>
        <v> </v>
      </c>
      <c r="E569" s="44" t="str">
        <f>IFERROR(__xludf.DUMMYFUNCTION("""COMPUTED_VALUE"""),"26372024")</f>
        <v>26372024</v>
      </c>
      <c r="F569" s="44" t="str">
        <f>IFERROR(__xludf.DUMMYFUNCTION("""COMPUTED_VALUE"""),"")</f>
        <v/>
      </c>
      <c r="G569" s="44" t="str">
        <f>IFERROR(__xludf.DUMMYFUNCTION("""COMPUTED_VALUE""")," ")</f>
        <v> </v>
      </c>
      <c r="H569" s="44" t="str">
        <f>IFERROR(__xludf.DUMMYFUNCTION("""COMPUTED_VALUE""")," ")</f>
        <v> </v>
      </c>
      <c r="I569" s="44" t="str">
        <f>IFERROR(__xludf.DUMMYFUNCTION("""COMPUTED_VALUE""")," ")</f>
        <v> </v>
      </c>
      <c r="J569" s="44" t="str">
        <f>IFERROR(__xludf.DUMMYFUNCTION("""COMPUTED_VALUE"""),"25/06/2026")</f>
        <v>25/06/2026</v>
      </c>
      <c r="K569" s="42" t="str">
        <f>IFERROR(__xludf.DUMMYFUNCTION("""COMPUTED_VALUE"""),"Hospital Pérez Carreño")</f>
        <v>Hospital Pérez Carreño</v>
      </c>
    </row>
    <row r="570">
      <c r="A570" s="44">
        <v>569.0</v>
      </c>
      <c r="B570" s="44" t="str">
        <f>IFERROR(__xludf.DUMMYFUNCTION("""COMPUTED_VALUE"""),"Hospital Pérez Carreño")</f>
        <v>Hospital Pérez Carreño</v>
      </c>
      <c r="C570" s="45" t="str">
        <f>IFERROR(__xludf.DUMMYFUNCTION("""COMPUTED_VALUE"""),"YUNIOR TIRADO")</f>
        <v>YUNIOR TIRADO</v>
      </c>
      <c r="D570" s="44" t="str">
        <f>IFERROR(__xludf.DUMMYFUNCTION("""COMPUTED_VALUE""")," ")</f>
        <v> </v>
      </c>
      <c r="E570" s="44" t="str">
        <f>IFERROR(__xludf.DUMMYFUNCTION("""COMPUTED_VALUE"""),"263720240")</f>
        <v>263720240</v>
      </c>
      <c r="F570" s="44" t="str">
        <f>IFERROR(__xludf.DUMMYFUNCTION("""COMPUTED_VALUE"""),"")</f>
        <v/>
      </c>
      <c r="G570" s="44" t="str">
        <f>IFERROR(__xludf.DUMMYFUNCTION("""COMPUTED_VALUE""")," ")</f>
        <v> </v>
      </c>
      <c r="H570" s="44" t="str">
        <f>IFERROR(__xludf.DUMMYFUNCTION("""COMPUTED_VALUE""")," ")</f>
        <v> </v>
      </c>
      <c r="I570" s="44" t="str">
        <f>IFERROR(__xludf.DUMMYFUNCTION("""COMPUTED_VALUE""")," ")</f>
        <v> </v>
      </c>
      <c r="J570" s="44" t="str">
        <f>IFERROR(__xludf.DUMMYFUNCTION("""COMPUTED_VALUE"""),"25/06/2026")</f>
        <v>25/06/2026</v>
      </c>
      <c r="K570" s="42" t="str">
        <f>IFERROR(__xludf.DUMMYFUNCTION("""COMPUTED_VALUE"""),"Hospital Pérez Carreño")</f>
        <v>Hospital Pérez Carreño</v>
      </c>
    </row>
    <row r="571">
      <c r="A571" s="44">
        <v>570.0</v>
      </c>
      <c r="B571" s="44" t="str">
        <f>IFERROR(__xludf.DUMMYFUNCTION("""COMPUTED_VALUE"""),"Hospital Vargas de Caracas")</f>
        <v>Hospital Vargas de Caracas</v>
      </c>
      <c r="C571" s="45" t="str">
        <f>IFERROR(__xludf.DUMMYFUNCTION("""COMPUTED_VALUE"""),"VERONIC BORREGO")</f>
        <v>VERONIC BORREGO</v>
      </c>
      <c r="D571" s="44" t="str">
        <f>IFERROR(__xludf.DUMMYFUNCTION("""COMPUTED_VALUE""")," ")</f>
        <v> </v>
      </c>
      <c r="E571" s="44" t="str">
        <f>IFERROR(__xludf.DUMMYFUNCTION("""COMPUTED_VALUE"""),"26373503")</f>
        <v>26373503</v>
      </c>
      <c r="F571" s="44" t="str">
        <f>IFERROR(__xludf.DUMMYFUNCTION("""COMPUTED_VALUE""")," ")</f>
        <v> </v>
      </c>
      <c r="G571" s="44" t="str">
        <f>IFERROR(__xludf.DUMMYFUNCTION("""COMPUTED_VALUE"""),"")</f>
        <v/>
      </c>
      <c r="H571" s="44" t="str">
        <f>IFERROR(__xludf.DUMMYFUNCTION("""COMPUTED_VALUE"""),"Sala 19")</f>
        <v>Sala 19</v>
      </c>
      <c r="I571" s="44" t="str">
        <f>IFERROR(__xludf.DUMMYFUNCTION("""COMPUTED_VALUE""")," ")</f>
        <v> </v>
      </c>
      <c r="J571" s="44" t="str">
        <f>IFERROR(__xludf.DUMMYFUNCTION("""COMPUTED_VALUE"""),"")</f>
        <v/>
      </c>
      <c r="K571" s="42" t="str">
        <f>IFERROR(__xludf.DUMMYFUNCTION("""COMPUTED_VALUE"""),"Hospital Vargas de Caracas")</f>
        <v>Hospital Vargas de Caracas</v>
      </c>
    </row>
    <row r="572">
      <c r="A572" s="44">
        <v>571.0</v>
      </c>
      <c r="B572" s="44" t="str">
        <f>IFERROR(__xludf.DUMMYFUNCTION("""COMPUTED_VALUE"""),"Hospital Vargas de Caracas")</f>
        <v>Hospital Vargas de Caracas</v>
      </c>
      <c r="C572" s="45" t="str">
        <f>IFERROR(__xludf.DUMMYFUNCTION("""COMPUTED_VALUE"""),"TEJEDA GLADIS")</f>
        <v>TEJEDA GLADIS</v>
      </c>
      <c r="D572" s="44" t="str">
        <f>IFERROR(__xludf.DUMMYFUNCTION("""COMPUTED_VALUE""")," ")</f>
        <v> </v>
      </c>
      <c r="E572" s="44" t="str">
        <f>IFERROR(__xludf.DUMMYFUNCTION("""COMPUTED_VALUE"""),"2641506")</f>
        <v>2641506</v>
      </c>
      <c r="F572" s="44" t="str">
        <f>IFERROR(__xludf.DUMMYFUNCTION("""COMPUTED_VALUE""")," ")</f>
        <v> </v>
      </c>
      <c r="G572" s="44" t="str">
        <f>IFERROR(__xludf.DUMMYFUNCTION("""COMPUTED_VALUE"""),"")</f>
        <v/>
      </c>
      <c r="H572" s="44" t="str">
        <f>IFERROR(__xludf.DUMMYFUNCTION("""COMPUTED_VALUE""")," ")</f>
        <v> </v>
      </c>
      <c r="I572" s="44" t="str">
        <f>IFERROR(__xludf.DUMMYFUNCTION("""COMPUTED_VALUE""")," ")</f>
        <v> </v>
      </c>
      <c r="J572" s="44" t="str">
        <f>IFERROR(__xludf.DUMMYFUNCTION("""COMPUTED_VALUE"""),"")</f>
        <v/>
      </c>
      <c r="K572" s="42" t="str">
        <f>IFERROR(__xludf.DUMMYFUNCTION("""COMPUTED_VALUE"""),"Hospital Vargas de Caracas")</f>
        <v>Hospital Vargas de Caracas</v>
      </c>
    </row>
    <row r="573">
      <c r="A573" s="44">
        <v>572.0</v>
      </c>
      <c r="B573" s="44" t="str">
        <f>IFERROR(__xludf.DUMMYFUNCTION("""COMPUTED_VALUE"""),"Hospital Vargas de Caracas")</f>
        <v>Hospital Vargas de Caracas</v>
      </c>
      <c r="C573" s="45" t="str">
        <f>IFERROR(__xludf.DUMMYFUNCTION("""COMPUTED_VALUE"""),"MATUZALEN GLEDYS")</f>
        <v>MATUZALEN GLEDYS</v>
      </c>
      <c r="D573" s="44" t="str">
        <f>IFERROR(__xludf.DUMMYFUNCTION("""COMPUTED_VALUE""")," ")</f>
        <v> </v>
      </c>
      <c r="E573" s="44" t="str">
        <f>IFERROR(__xludf.DUMMYFUNCTION("""COMPUTED_VALUE"""),"26415500")</f>
        <v>26415500</v>
      </c>
      <c r="F573" s="44" t="str">
        <f>IFERROR(__xludf.DUMMYFUNCTION("""COMPUTED_VALUE""")," ")</f>
        <v> </v>
      </c>
      <c r="G573" s="44" t="str">
        <f>IFERROR(__xludf.DUMMYFUNCTION("""COMPUTED_VALUE"""),"")</f>
        <v/>
      </c>
      <c r="H573" s="44" t="str">
        <f>IFERROR(__xludf.DUMMYFUNCTION("""COMPUTED_VALUE""")," ")</f>
        <v> </v>
      </c>
      <c r="I573" s="44" t="str">
        <f>IFERROR(__xludf.DUMMYFUNCTION("""COMPUTED_VALUE""")," ")</f>
        <v> </v>
      </c>
      <c r="J573" s="44" t="str">
        <f>IFERROR(__xludf.DUMMYFUNCTION("""COMPUTED_VALUE"""),"")</f>
        <v/>
      </c>
      <c r="K573" s="42" t="str">
        <f>IFERROR(__xludf.DUMMYFUNCTION("""COMPUTED_VALUE"""),"Hospital Vargas de Caracas")</f>
        <v>Hospital Vargas de Caracas</v>
      </c>
    </row>
    <row r="574">
      <c r="A574" s="44">
        <v>573.0</v>
      </c>
      <c r="B574" s="44" t="str">
        <f>IFERROR(__xludf.DUMMYFUNCTION("""COMPUTED_VALUE"""),"Cruz Roja")</f>
        <v>Cruz Roja</v>
      </c>
      <c r="C574" s="45" t="str">
        <f>IFERROR(__xludf.DUMMYFUNCTION("""COMPUTED_VALUE"""),"CONTRERAS ELIANA")</f>
        <v>CONTRERAS ELIANA</v>
      </c>
      <c r="D574" s="44">
        <f>IFERROR(__xludf.DUMMYFUNCTION("""COMPUTED_VALUE"""),29.0)</f>
        <v>29</v>
      </c>
      <c r="E574" s="44" t="str">
        <f>IFERROR(__xludf.DUMMYFUNCTION("""COMPUTED_VALUE"""),"26423999")</f>
        <v>26423999</v>
      </c>
      <c r="F574" s="44" t="str">
        <f>IFERROR(__xludf.DUMMYFUNCTION("""COMPUTED_VALUE"""),"")</f>
        <v/>
      </c>
      <c r="G574" s="44" t="str">
        <f>IFERROR(__xludf.DUMMYFUNCTION("""COMPUTED_VALUE""")," ")</f>
        <v> </v>
      </c>
      <c r="H574" s="44" t="str">
        <f>IFERROR(__xludf.DUMMYFUNCTION("""COMPUTED_VALUE""")," ")</f>
        <v> </v>
      </c>
      <c r="I574" s="44" t="str">
        <f>IFERROR(__xludf.DUMMYFUNCTION("""COMPUTED_VALUE"""),"Internado")</f>
        <v>Internado</v>
      </c>
      <c r="J574" s="44" t="str">
        <f>IFERROR(__xludf.DUMMYFUNCTION("""COMPUTED_VALUE"""),"")</f>
        <v/>
      </c>
      <c r="K574" s="42" t="str">
        <f>IFERROR(__xludf.DUMMYFUNCTION("""COMPUTED_VALUE"""),"Cruz Roja")</f>
        <v>Cruz Roja</v>
      </c>
    </row>
    <row r="575">
      <c r="A575" s="44">
        <v>574.0</v>
      </c>
      <c r="B575" s="44" t="str">
        <f>IFERROR(__xludf.DUMMYFUNCTION("""COMPUTED_VALUE"""),"Hospital Pérez Carreño")</f>
        <v>Hospital Pérez Carreño</v>
      </c>
      <c r="C575" s="45" t="str">
        <f>IFERROR(__xludf.DUMMYFUNCTION("""COMPUTED_VALUE"""),"GONZALEZ MILEIBIS")</f>
        <v>GONZALEZ MILEIBIS</v>
      </c>
      <c r="D575" s="44" t="str">
        <f>IFERROR(__xludf.DUMMYFUNCTION("""COMPUTED_VALUE""")," ")</f>
        <v> </v>
      </c>
      <c r="E575" s="44" t="str">
        <f>IFERROR(__xludf.DUMMYFUNCTION("""COMPUTED_VALUE"""),"26468240")</f>
        <v>26468240</v>
      </c>
      <c r="F575" s="44" t="str">
        <f>IFERROR(__xludf.DUMMYFUNCTION("""COMPUTED_VALUE"""),"")</f>
        <v/>
      </c>
      <c r="G575" s="44" t="str">
        <f>IFERROR(__xludf.DUMMYFUNCTION("""COMPUTED_VALUE""")," ")</f>
        <v> </v>
      </c>
      <c r="H575" s="44" t="str">
        <f>IFERROR(__xludf.DUMMYFUNCTION("""COMPUTED_VALUE""")," ")</f>
        <v> </v>
      </c>
      <c r="I575" s="44" t="str">
        <f>IFERROR(__xludf.DUMMYFUNCTION("""COMPUTED_VALUE""")," ")</f>
        <v> </v>
      </c>
      <c r="J575" s="44" t="str">
        <f>IFERROR(__xludf.DUMMYFUNCTION("""COMPUTED_VALUE"""),"25/06/2026")</f>
        <v>25/06/2026</v>
      </c>
      <c r="K575" s="42" t="str">
        <f>IFERROR(__xludf.DUMMYFUNCTION("""COMPUTED_VALUE"""),"Hospital Pérez Carreño")</f>
        <v>Hospital Pérez Carreño</v>
      </c>
    </row>
    <row r="576">
      <c r="A576" s="44">
        <v>575.0</v>
      </c>
      <c r="B576" s="44" t="str">
        <f>IFERROR(__xludf.DUMMYFUNCTION("""COMPUTED_VALUE"""),"Hospital Pérez Carreño")</f>
        <v>Hospital Pérez Carreño</v>
      </c>
      <c r="C576" s="45" t="str">
        <f>IFERROR(__xludf.DUMMYFUNCTION("""COMPUTED_VALUE"""),"GONZALEZ MILEIBIS")</f>
        <v>GONZALEZ MILEIBIS</v>
      </c>
      <c r="D576" s="44" t="str">
        <f>IFERROR(__xludf.DUMMYFUNCTION("""COMPUTED_VALUE""")," ")</f>
        <v> </v>
      </c>
      <c r="E576" s="44" t="str">
        <f>IFERROR(__xludf.DUMMYFUNCTION("""COMPUTED_VALUE"""),"264682400")</f>
        <v>264682400</v>
      </c>
      <c r="F576" s="44" t="str">
        <f>IFERROR(__xludf.DUMMYFUNCTION("""COMPUTED_VALUE"""),"")</f>
        <v/>
      </c>
      <c r="G576" s="44" t="str">
        <f>IFERROR(__xludf.DUMMYFUNCTION("""COMPUTED_VALUE""")," ")</f>
        <v> </v>
      </c>
      <c r="H576" s="44" t="str">
        <f>IFERROR(__xludf.DUMMYFUNCTION("""COMPUTED_VALUE""")," ")</f>
        <v> </v>
      </c>
      <c r="I576" s="44" t="str">
        <f>IFERROR(__xludf.DUMMYFUNCTION("""COMPUTED_VALUE""")," ")</f>
        <v> </v>
      </c>
      <c r="J576" s="44" t="str">
        <f>IFERROR(__xludf.DUMMYFUNCTION("""COMPUTED_VALUE"""),"25/06/2026")</f>
        <v>25/06/2026</v>
      </c>
      <c r="K576" s="42" t="str">
        <f>IFERROR(__xludf.DUMMYFUNCTION("""COMPUTED_VALUE"""),"Hospital Pérez Carreño")</f>
        <v>Hospital Pérez Carreño</v>
      </c>
    </row>
    <row r="577">
      <c r="A577" s="44">
        <v>576.0</v>
      </c>
      <c r="B577" s="44" t="str">
        <f>IFERROR(__xludf.DUMMYFUNCTION("""COMPUTED_VALUE"""),"Hospital Vargas de Caracas")</f>
        <v>Hospital Vargas de Caracas</v>
      </c>
      <c r="C577" s="45" t="str">
        <f>IFERROR(__xludf.DUMMYFUNCTION("""COMPUTED_VALUE"""),"DAYLIBER BIOATOJA")</f>
        <v>DAYLIBER BIOATOJA</v>
      </c>
      <c r="D577" s="44" t="str">
        <f>IFERROR(__xludf.DUMMYFUNCTION("""COMPUTED_VALUE""")," ")</f>
        <v> </v>
      </c>
      <c r="E577" s="44" t="str">
        <f>IFERROR(__xludf.DUMMYFUNCTION("""COMPUTED_VALUE"""),"26590820")</f>
        <v>26590820</v>
      </c>
      <c r="F577" s="44" t="str">
        <f>IFERROR(__xludf.DUMMYFUNCTION("""COMPUTED_VALUE""")," ")</f>
        <v> </v>
      </c>
      <c r="G577" s="44" t="str">
        <f>IFERROR(__xludf.DUMMYFUNCTION("""COMPUTED_VALUE"""),"")</f>
        <v/>
      </c>
      <c r="H577" s="44" t="str">
        <f>IFERROR(__xludf.DUMMYFUNCTION("""COMPUTED_VALUE"""),"Guaira – Politraumatismo consult")</f>
        <v>Guaira – Politraumatismo consult</v>
      </c>
      <c r="I577" s="44" t="str">
        <f>IFERROR(__xludf.DUMMYFUNCTION("""COMPUTED_VALUE""")," ")</f>
        <v> </v>
      </c>
      <c r="J577" s="44" t="str">
        <f>IFERROR(__xludf.DUMMYFUNCTION("""COMPUTED_VALUE"""),"")</f>
        <v/>
      </c>
      <c r="K577" s="42" t="str">
        <f>IFERROR(__xludf.DUMMYFUNCTION("""COMPUTED_VALUE"""),"Hospital Vargas de Caracas")</f>
        <v>Hospital Vargas de Caracas</v>
      </c>
    </row>
    <row r="578">
      <c r="A578" s="44">
        <v>577.0</v>
      </c>
      <c r="B578" s="44" t="str">
        <f>IFERROR(__xludf.DUMMYFUNCTION("""COMPUTED_VALUE"""),"Hospital Pérez Carreño")</f>
        <v>Hospital Pérez Carreño</v>
      </c>
      <c r="C578" s="45" t="str">
        <f>IFERROR(__xludf.DUMMYFUNCTION("""COMPUTED_VALUE"""),"OROPEZA FRANCISCO")</f>
        <v>OROPEZA FRANCISCO</v>
      </c>
      <c r="D578" s="44" t="str">
        <f>IFERROR(__xludf.DUMMYFUNCTION("""COMPUTED_VALUE""")," ")</f>
        <v> </v>
      </c>
      <c r="E578" s="44" t="str">
        <f>IFERROR(__xludf.DUMMYFUNCTION("""COMPUTED_VALUE"""),"26647295")</f>
        <v>26647295</v>
      </c>
      <c r="F578" s="44" t="str">
        <f>IFERROR(__xludf.DUMMYFUNCTION("""COMPUTED_VALUE"""),"")</f>
        <v/>
      </c>
      <c r="G578" s="44" t="str">
        <f>IFERROR(__xludf.DUMMYFUNCTION("""COMPUTED_VALUE""")," ")</f>
        <v> </v>
      </c>
      <c r="H578" s="44" t="str">
        <f>IFERROR(__xludf.DUMMYFUNCTION("""COMPUTED_VALUE""")," ")</f>
        <v> </v>
      </c>
      <c r="I578" s="44" t="str">
        <f>IFERROR(__xludf.DUMMYFUNCTION("""COMPUTED_VALUE"""),"Nuevos Ingresos")</f>
        <v>Nuevos Ingresos</v>
      </c>
      <c r="J578" s="44" t="str">
        <f>IFERROR(__xludf.DUMMYFUNCTION("""COMPUTED_VALUE"""),"25/06/2026")</f>
        <v>25/06/2026</v>
      </c>
      <c r="K578" s="42" t="str">
        <f>IFERROR(__xludf.DUMMYFUNCTION("""COMPUTED_VALUE"""),"Hospital Pérez Carreño")</f>
        <v>Hospital Pérez Carreño</v>
      </c>
    </row>
    <row r="579">
      <c r="A579" s="44">
        <v>578.0</v>
      </c>
      <c r="B579" s="44" t="str">
        <f>IFERROR(__xludf.DUMMYFUNCTION("""COMPUTED_VALUE"""),"H. Jose Maria Vargas LG")</f>
        <v>H. Jose Maria Vargas LG</v>
      </c>
      <c r="C579" s="45" t="str">
        <f>IFERROR(__xludf.DUMMYFUNCTION("""COMPUTED_VALUE"""),"LOPEZ WILLIAM")</f>
        <v>LOPEZ WILLIAM</v>
      </c>
      <c r="D579" s="44">
        <f>IFERROR(__xludf.DUMMYFUNCTION("""COMPUTED_VALUE"""),28.0)</f>
        <v>28</v>
      </c>
      <c r="E579" s="44" t="str">
        <f>IFERROR(__xludf.DUMMYFUNCTION("""COMPUTED_VALUE"""),"26648434")</f>
        <v>26648434</v>
      </c>
      <c r="F579" s="44" t="str">
        <f>IFERROR(__xludf.DUMMYFUNCTION("""COMPUTED_VALUE"""),"")</f>
        <v/>
      </c>
      <c r="G579" s="44" t="str">
        <f>IFERROR(__xludf.DUMMYFUNCTION("""COMPUTED_VALUE""")," ")</f>
        <v> </v>
      </c>
      <c r="H579" s="44" t="str">
        <f>IFERROR(__xludf.DUMMYFUNCTION("""COMPUTED_VALUE"""),"Caraballeda")</f>
        <v>Caraballeda</v>
      </c>
      <c r="I579" s="44" t="str">
        <f>IFERROR(__xludf.DUMMYFUNCTION("""COMPUTED_VALUE""")," ")</f>
        <v> </v>
      </c>
      <c r="J579" s="44" t="str">
        <f>IFERROR(__xludf.DUMMYFUNCTION("""COMPUTED_VALUE"""),"")</f>
        <v/>
      </c>
      <c r="K579" s="42" t="str">
        <f>IFERROR(__xludf.DUMMYFUNCTION("""COMPUTED_VALUE"""),"H. Jose Maria Vargas LG")</f>
        <v>H. Jose Maria Vargas LG</v>
      </c>
    </row>
    <row r="580">
      <c r="A580" s="44">
        <v>579.0</v>
      </c>
      <c r="B580" s="44" t="str">
        <f>IFERROR(__xludf.DUMMYFUNCTION("""COMPUTED_VALUE"""),"Seguro Social La Guaira")</f>
        <v>Seguro Social La Guaira</v>
      </c>
      <c r="C580" s="45" t="str">
        <f>IFERROR(__xludf.DUMMYFUNCTION("""COMPUTED_VALUE"""),"WILLIAME LOPEZ")</f>
        <v>WILLIAME LOPEZ</v>
      </c>
      <c r="D580" s="44">
        <f>IFERROR(__xludf.DUMMYFUNCTION("""COMPUTED_VALUE"""),28.0)</f>
        <v>28</v>
      </c>
      <c r="E580" s="44" t="str">
        <f>IFERROR(__xludf.DUMMYFUNCTION("""COMPUTED_VALUE"""),"266484340")</f>
        <v>266484340</v>
      </c>
      <c r="F580" s="44" t="str">
        <f>IFERROR(__xludf.DUMMYFUNCTION("""COMPUTED_VALUE"""),"")</f>
        <v/>
      </c>
      <c r="G580" s="44" t="str">
        <f>IFERROR(__xludf.DUMMYFUNCTION("""COMPUTED_VALUE""")," ")</f>
        <v> </v>
      </c>
      <c r="H580" s="44" t="str">
        <f>IFERROR(__xludf.DUMMYFUNCTION("""COMPUTED_VALUE"""),"Caraballeda")</f>
        <v>Caraballeda</v>
      </c>
      <c r="I580" s="44" t="str">
        <f>IFERROR(__xludf.DUMMYFUNCTION("""COMPUTED_VALUE""")," ")</f>
        <v> </v>
      </c>
      <c r="J580" s="44" t="str">
        <f>IFERROR(__xludf.DUMMYFUNCTION("""COMPUTED_VALUE"""),"")</f>
        <v/>
      </c>
      <c r="K580" s="42" t="str">
        <f>IFERROR(__xludf.DUMMYFUNCTION("""COMPUTED_VALUE"""),"Seguro Social La Guaira")</f>
        <v>Seguro Social La Guaira</v>
      </c>
    </row>
    <row r="581">
      <c r="A581" s="44">
        <v>580.0</v>
      </c>
      <c r="B581" s="44" t="str">
        <f>IFERROR(__xludf.DUMMYFUNCTION("""COMPUTED_VALUE"""),"Hospital Militar Dr. C. Arvelo")</f>
        <v>Hospital Militar Dr. C. Arvelo</v>
      </c>
      <c r="C581" s="45" t="str">
        <f>IFERROR(__xludf.DUMMYFUNCTION("""COMPUTED_VALUE"""),"Visedha González")</f>
        <v>Visedha González</v>
      </c>
      <c r="D581" s="44">
        <f>IFERROR(__xludf.DUMMYFUNCTION("""COMPUTED_VALUE"""),28.0)</f>
        <v>28</v>
      </c>
      <c r="E581" s="44" t="str">
        <f>IFERROR(__xludf.DUMMYFUNCTION("""COMPUTED_VALUE"""),"26668182")</f>
        <v>26668182</v>
      </c>
      <c r="F581" s="44" t="str">
        <f>IFERROR(__xludf.DUMMYFUNCTION("""COMPUTED_VALUE"""),"")</f>
        <v/>
      </c>
      <c r="G581" s="44" t="str">
        <f>IFERROR(__xludf.DUMMYFUNCTION("""COMPUTED_VALUE"""),"")</f>
        <v/>
      </c>
      <c r="H581" s="44" t="str">
        <f>IFERROR(__xludf.DUMMYFUNCTION("""COMPUTED_VALUE"""),"M")</f>
        <v>M</v>
      </c>
      <c r="I581" s="44" t="str">
        <f>IFERROR(__xludf.DUMMYFUNCTION("""COMPUTED_VALUE"""),"El Paraíso PNA")</f>
        <v>El Paraíso PNA</v>
      </c>
      <c r="J581" s="44" t="str">
        <f>IFERROR(__xludf.DUMMYFUNCTION("""COMPUTED_VALUE"""),"24/6/2026")</f>
        <v>24/6/2026</v>
      </c>
      <c r="K581" s="42" t="str">
        <f>IFERROR(__xludf.DUMMYFUNCTION("""COMPUTED_VALUE"""),"Hospital Militar Dr. C. Arvelo")</f>
        <v>Hospital Militar Dr. C. Arvelo</v>
      </c>
    </row>
    <row r="582">
      <c r="A582" s="44">
        <v>581.0</v>
      </c>
      <c r="B582" s="44" t="str">
        <f>IFERROR(__xludf.DUMMYFUNCTION("""COMPUTED_VALUE"""),"Hospital Ana Francisca Pérez de")</f>
        <v>Hospital Ana Francisca Pérez de</v>
      </c>
      <c r="C582" s="45" t="str">
        <f>IFERROR(__xludf.DUMMYFUNCTION("""COMPUTED_VALUE"""),"DENWIN RAMOS")</f>
        <v>DENWIN RAMOS</v>
      </c>
      <c r="D582" s="44">
        <f>IFERROR(__xludf.DUMMYFUNCTION("""COMPUTED_VALUE"""),27.0)</f>
        <v>27</v>
      </c>
      <c r="E582" s="44" t="str">
        <f>IFERROR(__xludf.DUMMYFUNCTION("""COMPUTED_VALUE"""),"26763040")</f>
        <v>26763040</v>
      </c>
      <c r="F582" s="44" t="str">
        <f>IFERROR(__xludf.DUMMYFUNCTION("""COMPUTED_VALUE"""),"")</f>
        <v/>
      </c>
      <c r="G582" s="44" t="str">
        <f>IFERROR(__xludf.DUMMYFUNCTION("""COMPUTED_VALUE""")," ")</f>
        <v> </v>
      </c>
      <c r="H582" s="44" t="str">
        <f>IFERROR(__xludf.DUMMYFUNCTION("""COMPUTED_VALUE"""),"La Guaira")</f>
        <v>La Guaira</v>
      </c>
      <c r="I582" s="44" t="str">
        <f>IFERROR(__xludf.DUMMYFUNCTION("""COMPUTED_VALUE""")," ")</f>
        <v> </v>
      </c>
      <c r="J582" s="44" t="str">
        <f>IFERROR(__xludf.DUMMYFUNCTION("""COMPUTED_VALUE"""),"")</f>
        <v/>
      </c>
      <c r="K582" s="42" t="str">
        <f>IFERROR(__xludf.DUMMYFUNCTION("""COMPUTED_VALUE"""),"🔍 BUSCAR PACIENTES")</f>
        <v>🔍 BUSCAR PACIENTES</v>
      </c>
    </row>
    <row r="583">
      <c r="A583" s="44">
        <v>582.0</v>
      </c>
      <c r="B583" s="44" t="str">
        <f>IFERROR(__xludf.DUMMYFUNCTION("""COMPUTED_VALUE"""),"Hospital Ana Francisca Pérez de")</f>
        <v>Hospital Ana Francisca Pérez de</v>
      </c>
      <c r="C583" s="45" t="str">
        <f>IFERROR(__xludf.DUMMYFUNCTION("""COMPUTED_VALUE"""),"RAMOS DARWIN")</f>
        <v>RAMOS DARWIN</v>
      </c>
      <c r="D583" s="44">
        <f>IFERROR(__xludf.DUMMYFUNCTION("""COMPUTED_VALUE"""),27.0)</f>
        <v>27</v>
      </c>
      <c r="E583" s="44" t="str">
        <f>IFERROR(__xludf.DUMMYFUNCTION("""COMPUTED_VALUE"""),"26763304")</f>
        <v>26763304</v>
      </c>
      <c r="F583" s="44" t="str">
        <f>IFERROR(__xludf.DUMMYFUNCTION("""COMPUTED_VALUE"""),"")</f>
        <v/>
      </c>
      <c r="G583" s="44" t="str">
        <f>IFERROR(__xludf.DUMMYFUNCTION("""COMPUTED_VALUE""")," ")</f>
        <v> </v>
      </c>
      <c r="H583" s="44" t="str">
        <f>IFERROR(__xludf.DUMMYFUNCTION("""COMPUTED_VALUE"""),"La Guaira")</f>
        <v>La Guaira</v>
      </c>
      <c r="I583" s="44" t="str">
        <f>IFERROR(__xludf.DUMMYFUNCTION("""COMPUTED_VALUE""")," ")</f>
        <v> </v>
      </c>
      <c r="J583" s="44" t="str">
        <f>IFERROR(__xludf.DUMMYFUNCTION("""COMPUTED_VALUE"""),"")</f>
        <v/>
      </c>
      <c r="K583" s="42" t="str">
        <f>IFERROR(__xludf.DUMMYFUNCTION("""COMPUTED_VALUE"""),"Hospital Ana Francisca Pérez de")</f>
        <v>Hospital Ana Francisca Pérez de</v>
      </c>
    </row>
    <row r="584">
      <c r="A584" s="44">
        <v>583.0</v>
      </c>
      <c r="B584" s="44" t="str">
        <f>IFERROR(__xludf.DUMMYFUNCTION("""COMPUTED_VALUE"""),"Hospital Vargas de Caracas")</f>
        <v>Hospital Vargas de Caracas</v>
      </c>
      <c r="C584" s="45" t="str">
        <f>IFERROR(__xludf.DUMMYFUNCTION("""COMPUTED_VALUE"""),"SALTIERRA LEONARDO")</f>
        <v>SALTIERRA LEONARDO</v>
      </c>
      <c r="D584" s="44" t="str">
        <f>IFERROR(__xludf.DUMMYFUNCTION("""COMPUTED_VALUE""")," ")</f>
        <v> </v>
      </c>
      <c r="E584" s="44" t="str">
        <f>IFERROR(__xludf.DUMMYFUNCTION("""COMPUTED_VALUE"""),"26838425")</f>
        <v>26838425</v>
      </c>
      <c r="F584" s="44" t="str">
        <f>IFERROR(__xludf.DUMMYFUNCTION("""COMPUTED_VALUE""")," ")</f>
        <v> </v>
      </c>
      <c r="G584" s="44" t="str">
        <f>IFERROR(__xludf.DUMMYFUNCTION("""COMPUTED_VALUE"""),"")</f>
        <v/>
      </c>
      <c r="H584" s="44" t="str">
        <f>IFERROR(__xludf.DUMMYFUNCTION("""COMPUTED_VALUE""")," ")</f>
        <v> </v>
      </c>
      <c r="I584" s="44" t="str">
        <f>IFERROR(__xludf.DUMMYFUNCTION("""COMPUTED_VALUE""")," ")</f>
        <v> </v>
      </c>
      <c r="J584" s="44" t="str">
        <f>IFERROR(__xludf.DUMMYFUNCTION("""COMPUTED_VALUE"""),"")</f>
        <v/>
      </c>
      <c r="K584" s="42" t="str">
        <f>IFERROR(__xludf.DUMMYFUNCTION("""COMPUTED_VALUE"""),"Hospital Vargas de Caracas")</f>
        <v>Hospital Vargas de Caracas</v>
      </c>
    </row>
    <row r="585">
      <c r="A585" s="44">
        <v>584.0</v>
      </c>
      <c r="B585" s="44" t="str">
        <f>IFERROR(__xludf.DUMMYFUNCTION("""COMPUTED_VALUE"""),"Hospital Militar Dr. C. Arvelo")</f>
        <v>Hospital Militar Dr. C. Arvelo</v>
      </c>
      <c r="C585" s="45" t="str">
        <f>IFERROR(__xludf.DUMMYFUNCTION("""COMPUTED_VALUE"""),"Florián Cedeño Alberto")</f>
        <v>Florián Cedeño Alberto</v>
      </c>
      <c r="D585" s="44">
        <f>IFERROR(__xludf.DUMMYFUNCTION("""COMPUTED_VALUE"""),28.0)</f>
        <v>28</v>
      </c>
      <c r="E585" s="44" t="str">
        <f>IFERROR(__xludf.DUMMYFUNCTION("""COMPUTED_VALUE"""),"26898085")</f>
        <v>26898085</v>
      </c>
      <c r="F585" s="44" t="str">
        <f>IFERROR(__xludf.DUMMYFUNCTION("""COMPUTED_VALUE"""),"")</f>
        <v/>
      </c>
      <c r="G585" s="44" t="str">
        <f>IFERROR(__xludf.DUMMYFUNCTION("""COMPUTED_VALUE"""),"")</f>
        <v/>
      </c>
      <c r="H585" s="44" t="str">
        <f>IFERROR(__xludf.DUMMYFUNCTION("""COMPUTED_VALUE"""),"M")</f>
        <v>M</v>
      </c>
      <c r="I585" s="44" t="str">
        <f>IFERROR(__xludf.DUMMYFUNCTION("""COMPUTED_VALUE"""),"Guarenas S/M3")</f>
        <v>Guarenas S/M3</v>
      </c>
      <c r="J585" s="44" t="str">
        <f>IFERROR(__xludf.DUMMYFUNCTION("""COMPUTED_VALUE"""),"24/6/2026")</f>
        <v>24/6/2026</v>
      </c>
      <c r="K585" s="42" t="str">
        <f>IFERROR(__xludf.DUMMYFUNCTION("""COMPUTED_VALUE"""),"Hospital Militar Dr. C. Arvelo")</f>
        <v>Hospital Militar Dr. C. Arvelo</v>
      </c>
    </row>
    <row r="586">
      <c r="A586" s="44">
        <v>585.0</v>
      </c>
      <c r="B586" s="44" t="str">
        <f>IFERROR(__xludf.DUMMYFUNCTION("""COMPUTED_VALUE"""),"Hospital Militar Dr. C. Arvelo")</f>
        <v>Hospital Militar Dr. C. Arvelo</v>
      </c>
      <c r="C586" s="45" t="str">
        <f>IFERROR(__xludf.DUMMYFUNCTION("""COMPUTED_VALUE"""),"Herrera Víctor")</f>
        <v>Herrera Víctor</v>
      </c>
      <c r="D586" s="44">
        <f>IFERROR(__xludf.DUMMYFUNCTION("""COMPUTED_VALUE"""),27.0)</f>
        <v>27</v>
      </c>
      <c r="E586" s="44" t="str">
        <f>IFERROR(__xludf.DUMMYFUNCTION("""COMPUTED_VALUE"""),"26924423")</f>
        <v>26924423</v>
      </c>
      <c r="F586" s="44" t="str">
        <f>IFERROR(__xludf.DUMMYFUNCTION("""COMPUTED_VALUE"""),"")</f>
        <v/>
      </c>
      <c r="G586" s="44" t="str">
        <f>IFERROR(__xludf.DUMMYFUNCTION("""COMPUTED_VALUE"""),"")</f>
        <v/>
      </c>
      <c r="H586" s="44" t="str">
        <f>IFERROR(__xludf.DUMMYFUNCTION("""COMPUTED_VALUE"""),"M")</f>
        <v>M</v>
      </c>
      <c r="I586" s="44" t="str">
        <f>IFERROR(__xludf.DUMMYFUNCTION("""COMPUTED_VALUE"""),"La Guaira PNA")</f>
        <v>La Guaira PNA</v>
      </c>
      <c r="J586" s="44" t="str">
        <f>IFERROR(__xludf.DUMMYFUNCTION("""COMPUTED_VALUE"""),"24/6/2026")</f>
        <v>24/6/2026</v>
      </c>
      <c r="K586" s="42" t="str">
        <f>IFERROR(__xludf.DUMMYFUNCTION("""COMPUTED_VALUE"""),"Hospital Militar Dr. C. Arvelo")</f>
        <v>Hospital Militar Dr. C. Arvelo</v>
      </c>
    </row>
    <row r="587">
      <c r="A587" s="44">
        <v>586.0</v>
      </c>
      <c r="B587" s="44" t="str">
        <f>IFERROR(__xludf.DUMMYFUNCTION("""COMPUTED_VALUE"""),"Hospital Pérez Carreño")</f>
        <v>Hospital Pérez Carreño</v>
      </c>
      <c r="C587" s="45" t="str">
        <f>IFERROR(__xludf.DUMMYFUNCTION("""COMPUTED_VALUE"""),"PACNADO CRISBER")</f>
        <v>PACNADO CRISBER</v>
      </c>
      <c r="D587" s="44" t="str">
        <f>IFERROR(__xludf.DUMMYFUNCTION("""COMPUTED_VALUE""")," ")</f>
        <v> </v>
      </c>
      <c r="E587" s="44" t="str">
        <f>IFERROR(__xludf.DUMMYFUNCTION("""COMPUTED_VALUE"""),"26926366")</f>
        <v>26926366</v>
      </c>
      <c r="F587" s="44" t="str">
        <f>IFERROR(__xludf.DUMMYFUNCTION("""COMPUTED_VALUE"""),"")</f>
        <v/>
      </c>
      <c r="G587" s="44" t="str">
        <f>IFERROR(__xludf.DUMMYFUNCTION("""COMPUTED_VALUE""")," ")</f>
        <v> </v>
      </c>
      <c r="H587" s="44" t="str">
        <f>IFERROR(__xludf.DUMMYFUNCTION("""COMPUTED_VALUE""")," ")</f>
        <v> </v>
      </c>
      <c r="I587" s="44" t="str">
        <f>IFERROR(__xludf.DUMMYFUNCTION("""COMPUTED_VALUE"""),"Internado")</f>
        <v>Internado</v>
      </c>
      <c r="J587" s="44" t="str">
        <f>IFERROR(__xludf.DUMMYFUNCTION("""COMPUTED_VALUE"""),"")</f>
        <v/>
      </c>
      <c r="K587" s="42" t="str">
        <f>IFERROR(__xludf.DUMMYFUNCTION("""COMPUTED_VALUE"""),"🔍 BUSCAR PACIENTES")</f>
        <v>🔍 BUSCAR PACIENTES</v>
      </c>
    </row>
    <row r="588">
      <c r="A588" s="44">
        <v>587.0</v>
      </c>
      <c r="B588" s="44" t="str">
        <f>IFERROR(__xludf.DUMMYFUNCTION("""COMPUTED_VALUE"""),"Hospital Universitario de Carac")</f>
        <v>Hospital Universitario de Carac</v>
      </c>
      <c r="C588" s="45" t="str">
        <f>IFERROR(__xludf.DUMMYFUNCTION("""COMPUTED_VALUE"""),"GUZMAN RICHARTSON")</f>
        <v>GUZMAN RICHARTSON</v>
      </c>
      <c r="D588" s="44">
        <f>IFERROR(__xludf.DUMMYFUNCTION("""COMPUTED_VALUE"""),27.0)</f>
        <v>27</v>
      </c>
      <c r="E588" s="44" t="str">
        <f>IFERROR(__xludf.DUMMYFUNCTION("""COMPUTED_VALUE"""),"26938811")</f>
        <v>26938811</v>
      </c>
      <c r="F588" s="44" t="str">
        <f>IFERROR(__xludf.DUMMYFUNCTION("""COMPUTED_VALUE"""),"")</f>
        <v/>
      </c>
      <c r="G588" s="44" t="str">
        <f>IFERROR(__xludf.DUMMYFUNCTION("""COMPUTED_VALUE""")," ")</f>
        <v> </v>
      </c>
      <c r="H588" s="44" t="str">
        <f>IFERROR(__xludf.DUMMYFUNCTION("""COMPUTED_VALUE""")," ")</f>
        <v> </v>
      </c>
      <c r="I588" s="44" t="str">
        <f>IFERROR(__xludf.DUMMYFUNCTION("""COMPUTED_VALUE"""),"Politraumatismo")</f>
        <v>Politraumatismo</v>
      </c>
      <c r="J588" s="44" t="str">
        <f>IFERROR(__xludf.DUMMYFUNCTION("""COMPUTED_VALUE"""),"")</f>
        <v/>
      </c>
      <c r="K588" s="42" t="str">
        <f>IFERROR(__xludf.DUMMYFUNCTION("""COMPUTED_VALUE"""),"Hospital Universitario de Carac")</f>
        <v>Hospital Universitario de Carac</v>
      </c>
    </row>
    <row r="589">
      <c r="A589" s="44">
        <v>588.0</v>
      </c>
      <c r="B589" s="44" t="str">
        <f>IFERROR(__xludf.DUMMYFUNCTION("""COMPUTED_VALUE"""),"Hospital Pérez Carreño")</f>
        <v>Hospital Pérez Carreño</v>
      </c>
      <c r="C589" s="45" t="str">
        <f>IFERROR(__xludf.DUMMYFUNCTION("""COMPUTED_VALUE"""),"MAYORA MARIA V.")</f>
        <v>MAYORA MARIA V.</v>
      </c>
      <c r="D589" s="44">
        <f>IFERROR(__xludf.DUMMYFUNCTION("""COMPUTED_VALUE"""),28.0)</f>
        <v>28</v>
      </c>
      <c r="E589" s="44" t="str">
        <f>IFERROR(__xludf.DUMMYFUNCTION("""COMPUTED_VALUE"""),"26968781")</f>
        <v>26968781</v>
      </c>
      <c r="F589" s="44" t="str">
        <f>IFERROR(__xludf.DUMMYFUNCTION("""COMPUTED_VALUE"""),"")</f>
        <v/>
      </c>
      <c r="G589" s="44" t="str">
        <f>IFERROR(__xludf.DUMMYFUNCTION("""COMPUTED_VALUE""")," ")</f>
        <v> </v>
      </c>
      <c r="H589" s="44" t="str">
        <f>IFERROR(__xludf.DUMMYFUNCTION("""COMPUTED_VALUE""")," ")</f>
        <v> </v>
      </c>
      <c r="I589" s="44" t="str">
        <f>IFERROR(__xludf.DUMMYFUNCTION("""COMPUTED_VALUE""")," ")</f>
        <v> </v>
      </c>
      <c r="J589" s="44" t="str">
        <f>IFERROR(__xludf.DUMMYFUNCTION("""COMPUTED_VALUE"""),"25/06/2026")</f>
        <v>25/06/2026</v>
      </c>
      <c r="K589" s="42" t="str">
        <f>IFERROR(__xludf.DUMMYFUNCTION("""COMPUTED_VALUE"""),"Hospital Pérez Carreño")</f>
        <v>Hospital Pérez Carreño</v>
      </c>
    </row>
    <row r="590">
      <c r="A590" s="44">
        <v>589.0</v>
      </c>
      <c r="B590" s="44" t="str">
        <f>IFERROR(__xludf.DUMMYFUNCTION("""COMPUTED_VALUE"""),"Hospital Pérez Carreño")</f>
        <v>Hospital Pérez Carreño</v>
      </c>
      <c r="C590" s="45" t="str">
        <f>IFERROR(__xludf.DUMMYFUNCTION("""COMPUTED_VALUE"""),"RAMIREZ ORIANA")</f>
        <v>RAMIREZ ORIANA</v>
      </c>
      <c r="D590" s="44" t="str">
        <f>IFERROR(__xludf.DUMMYFUNCTION("""COMPUTED_VALUE""")," ")</f>
        <v> </v>
      </c>
      <c r="E590" s="44" t="str">
        <f>IFERROR(__xludf.DUMMYFUNCTION("""COMPUTED_VALUE"""),"27006264")</f>
        <v>27006264</v>
      </c>
      <c r="F590" s="44" t="str">
        <f>IFERROR(__xludf.DUMMYFUNCTION("""COMPUTED_VALUE"""),"")</f>
        <v/>
      </c>
      <c r="G590" s="44" t="str">
        <f>IFERROR(__xludf.DUMMYFUNCTION("""COMPUTED_VALUE""")," ")</f>
        <v> </v>
      </c>
      <c r="H590" s="44" t="str">
        <f>IFERROR(__xludf.DUMMYFUNCTION("""COMPUTED_VALUE""")," ")</f>
        <v> </v>
      </c>
      <c r="I590" s="44" t="str">
        <f>IFERROR(__xludf.DUMMYFUNCTION("""COMPUTED_VALUE""")," ")</f>
        <v> </v>
      </c>
      <c r="J590" s="44" t="str">
        <f>IFERROR(__xludf.DUMMYFUNCTION("""COMPUTED_VALUE"""),"25/06/2026")</f>
        <v>25/06/2026</v>
      </c>
      <c r="K590" s="42" t="str">
        <f>IFERROR(__xludf.DUMMYFUNCTION("""COMPUTED_VALUE"""),"Hospital Pérez Carreño")</f>
        <v>Hospital Pérez Carreño</v>
      </c>
    </row>
    <row r="591">
      <c r="A591" s="44">
        <v>590.0</v>
      </c>
      <c r="B591" s="44" t="str">
        <f>IFERROR(__xludf.DUMMYFUNCTION("""COMPUTED_VALUE"""),"Hospital Pérez Carreño")</f>
        <v>Hospital Pérez Carreño</v>
      </c>
      <c r="C591" s="45" t="str">
        <f>IFERROR(__xludf.DUMMYFUNCTION("""COMPUTED_VALUE"""),"ORIANA RAMIREZ")</f>
        <v>ORIANA RAMIREZ</v>
      </c>
      <c r="D591" s="44" t="str">
        <f>IFERROR(__xludf.DUMMYFUNCTION("""COMPUTED_VALUE""")," ")</f>
        <v> </v>
      </c>
      <c r="E591" s="44" t="str">
        <f>IFERROR(__xludf.DUMMYFUNCTION("""COMPUTED_VALUE"""),"270062640")</f>
        <v>270062640</v>
      </c>
      <c r="F591" s="44" t="str">
        <f>IFERROR(__xludf.DUMMYFUNCTION("""COMPUTED_VALUE"""),"")</f>
        <v/>
      </c>
      <c r="G591" s="44" t="str">
        <f>IFERROR(__xludf.DUMMYFUNCTION("""COMPUTED_VALUE""")," ")</f>
        <v> </v>
      </c>
      <c r="H591" s="44" t="str">
        <f>IFERROR(__xludf.DUMMYFUNCTION("""COMPUTED_VALUE""")," ")</f>
        <v> </v>
      </c>
      <c r="I591" s="44" t="str">
        <f>IFERROR(__xludf.DUMMYFUNCTION("""COMPUTED_VALUE""")," ")</f>
        <v> </v>
      </c>
      <c r="J591" s="44" t="str">
        <f>IFERROR(__xludf.DUMMYFUNCTION("""COMPUTED_VALUE"""),"25/06/2026")</f>
        <v>25/06/2026</v>
      </c>
      <c r="K591" s="42" t="str">
        <f>IFERROR(__xludf.DUMMYFUNCTION("""COMPUTED_VALUE"""),"Hospital Pérez Carreño")</f>
        <v>Hospital Pérez Carreño</v>
      </c>
    </row>
    <row r="592">
      <c r="A592" s="44">
        <v>591.0</v>
      </c>
      <c r="B592" s="44" t="str">
        <f>IFERROR(__xludf.DUMMYFUNCTION("""COMPUTED_VALUE"""),"Hospital Vargas de Caracas")</f>
        <v>Hospital Vargas de Caracas</v>
      </c>
      <c r="C592" s="45" t="str">
        <f>IFERROR(__xludf.DUMMYFUNCTION("""COMPUTED_VALUE"""),"MARIA PIRDEZ")</f>
        <v>MARIA PIRDEZ</v>
      </c>
      <c r="D592" s="44" t="str">
        <f>IFERROR(__xludf.DUMMYFUNCTION("""COMPUTED_VALUE""")," ")</f>
        <v> </v>
      </c>
      <c r="E592" s="44" t="str">
        <f>IFERROR(__xludf.DUMMYFUNCTION("""COMPUTED_VALUE"""),"27026323")</f>
        <v>27026323</v>
      </c>
      <c r="F592" s="44" t="str">
        <f>IFERROR(__xludf.DUMMYFUNCTION("""COMPUTED_VALUE""")," ")</f>
        <v> </v>
      </c>
      <c r="G592" s="44" t="str">
        <f>IFERROR(__xludf.DUMMYFUNCTION("""COMPUTED_VALUE"""),"")</f>
        <v/>
      </c>
      <c r="H592" s="44" t="str">
        <f>IFERROR(__xludf.DUMMYFUNCTION("""COMPUTED_VALUE"""),"Guaira")</f>
        <v>Guaira</v>
      </c>
      <c r="I592" s="44" t="str">
        <f>IFERROR(__xludf.DUMMYFUNCTION("""COMPUTED_VALUE""")," ")</f>
        <v> </v>
      </c>
      <c r="J592" s="44" t="str">
        <f>IFERROR(__xludf.DUMMYFUNCTION("""COMPUTED_VALUE"""),"")</f>
        <v/>
      </c>
      <c r="K592" s="42" t="str">
        <f>IFERROR(__xludf.DUMMYFUNCTION("""COMPUTED_VALUE"""),"Hospital Vargas de Caracas")</f>
        <v>Hospital Vargas de Caracas</v>
      </c>
    </row>
    <row r="593">
      <c r="A593" s="44">
        <v>592.0</v>
      </c>
      <c r="B593" s="44" t="str">
        <f>IFERROR(__xludf.DUMMYFUNCTION("""COMPUTED_VALUE"""),"Hospital Militar Dr. C. Arvelo")</f>
        <v>Hospital Militar Dr. C. Arvelo</v>
      </c>
      <c r="C593" s="45" t="str">
        <f>IFERROR(__xludf.DUMMYFUNCTION("""COMPUTED_VALUE"""),"Paola González")</f>
        <v>Paola González</v>
      </c>
      <c r="D593" s="44">
        <f>IFERROR(__xludf.DUMMYFUNCTION("""COMPUTED_VALUE"""),27.0)</f>
        <v>27</v>
      </c>
      <c r="E593" s="44" t="str">
        <f>IFERROR(__xludf.DUMMYFUNCTION("""COMPUTED_VALUE"""),"27042446")</f>
        <v>27042446</v>
      </c>
      <c r="F593" s="44" t="str">
        <f>IFERROR(__xludf.DUMMYFUNCTION("""COMPUTED_VALUE"""),"")</f>
        <v/>
      </c>
      <c r="G593" s="44" t="str">
        <f>IFERROR(__xludf.DUMMYFUNCTION("""COMPUTED_VALUE"""),"")</f>
        <v/>
      </c>
      <c r="H593" s="44" t="str">
        <f>IFERROR(__xludf.DUMMYFUNCTION("""COMPUTED_VALUE"""),"M")</f>
        <v>M</v>
      </c>
      <c r="I593" s="44" t="str">
        <f>IFERROR(__xludf.DUMMYFUNCTION("""COMPUTED_VALUE"""),"La Guaira S/A")</f>
        <v>La Guaira S/A</v>
      </c>
      <c r="J593" s="44" t="str">
        <f>IFERROR(__xludf.DUMMYFUNCTION("""COMPUTED_VALUE"""),"24/6/2026")</f>
        <v>24/6/2026</v>
      </c>
      <c r="K593" s="42" t="str">
        <f>IFERROR(__xludf.DUMMYFUNCTION("""COMPUTED_VALUE"""),"Hospital Militar Dr. C. Arvelo")</f>
        <v>Hospital Militar Dr. C. Arvelo</v>
      </c>
    </row>
    <row r="594">
      <c r="A594" s="44">
        <v>593.0</v>
      </c>
      <c r="B594" s="44" t="str">
        <f>IFERROR(__xludf.DUMMYFUNCTION("""COMPUTED_VALUE"""),"Hospital Pérez Carreño")</f>
        <v>Hospital Pérez Carreño</v>
      </c>
      <c r="C594" s="45" t="str">
        <f>IFERROR(__xludf.DUMMYFUNCTION("""COMPUTED_VALUE"""),"PARCERO JUVAN")</f>
        <v>PARCERO JUVAN</v>
      </c>
      <c r="D594" s="44" t="str">
        <f>IFERROR(__xludf.DUMMYFUNCTION("""COMPUTED_VALUE""")," ")</f>
        <v> </v>
      </c>
      <c r="E594" s="44" t="str">
        <f>IFERROR(__xludf.DUMMYFUNCTION("""COMPUTED_VALUE"""),"27044231")</f>
        <v>27044231</v>
      </c>
      <c r="F594" s="44" t="str">
        <f>IFERROR(__xludf.DUMMYFUNCTION("""COMPUTED_VALUE"""),"")</f>
        <v/>
      </c>
      <c r="G594" s="44" t="str">
        <f>IFERROR(__xludf.DUMMYFUNCTION("""COMPUTED_VALUE""")," ")</f>
        <v> </v>
      </c>
      <c r="H594" s="44" t="str">
        <f>IFERROR(__xludf.DUMMYFUNCTION("""COMPUTED_VALUE""")," ")</f>
        <v> </v>
      </c>
      <c r="I594" s="44" t="str">
        <f>IFERROR(__xludf.DUMMYFUNCTION("""COMPUTED_VALUE"""),"Internado")</f>
        <v>Internado</v>
      </c>
      <c r="J594" s="44" t="str">
        <f>IFERROR(__xludf.DUMMYFUNCTION("""COMPUTED_VALUE"""),"")</f>
        <v/>
      </c>
      <c r="K594" s="42" t="str">
        <f>IFERROR(__xludf.DUMMYFUNCTION("""COMPUTED_VALUE"""),"🔍 BUSCAR PACIENTES")</f>
        <v>🔍 BUSCAR PACIENTES</v>
      </c>
    </row>
    <row r="595">
      <c r="A595" s="44">
        <v>594.0</v>
      </c>
      <c r="B595" s="44" t="str">
        <f>IFERROR(__xludf.DUMMYFUNCTION("""COMPUTED_VALUE"""),"Hospital Pérez Carreño")</f>
        <v>Hospital Pérez Carreño</v>
      </c>
      <c r="C595" s="45" t="str">
        <f>IFERROR(__xludf.DUMMYFUNCTION("""COMPUTED_VALUE"""),"ZANORA MARIIA")</f>
        <v>ZANORA MARIIA</v>
      </c>
      <c r="D595" s="44" t="str">
        <f>IFERROR(__xludf.DUMMYFUNCTION("""COMPUTED_VALUE""")," ")</f>
        <v> </v>
      </c>
      <c r="E595" s="44" t="str">
        <f>IFERROR(__xludf.DUMMYFUNCTION("""COMPUTED_VALUE"""),"27044236")</f>
        <v>27044236</v>
      </c>
      <c r="F595" s="44" t="str">
        <f>IFERROR(__xludf.DUMMYFUNCTION("""COMPUTED_VALUE"""),"")</f>
        <v/>
      </c>
      <c r="G595" s="44" t="str">
        <f>IFERROR(__xludf.DUMMYFUNCTION("""COMPUTED_VALUE""")," ")</f>
        <v> </v>
      </c>
      <c r="H595" s="44" t="str">
        <f>IFERROR(__xludf.DUMMYFUNCTION("""COMPUTED_VALUE""")," ")</f>
        <v> </v>
      </c>
      <c r="I595" s="44" t="str">
        <f>IFERROR(__xludf.DUMMYFUNCTION("""COMPUTED_VALUE""")," ")</f>
        <v> </v>
      </c>
      <c r="J595" s="44" t="str">
        <f>IFERROR(__xludf.DUMMYFUNCTION("""COMPUTED_VALUE"""),"25/06/2026")</f>
        <v>25/06/2026</v>
      </c>
      <c r="K595" s="42" t="str">
        <f>IFERROR(__xludf.DUMMYFUNCTION("""COMPUTED_VALUE"""),"Hospital Pérez Carreño")</f>
        <v>Hospital Pérez Carreño</v>
      </c>
    </row>
    <row r="596">
      <c r="A596" s="44">
        <v>595.0</v>
      </c>
      <c r="B596" s="44" t="str">
        <f>IFERROR(__xludf.DUMMYFUNCTION("""COMPUTED_VALUE"""),"Hospital Pérez Carreño")</f>
        <v>Hospital Pérez Carreño</v>
      </c>
      <c r="C596" s="45" t="str">
        <f>IFERROR(__xludf.DUMMYFUNCTION("""COMPUTED_VALUE"""),"JUAN ZALAZAR")</f>
        <v>JUAN ZALAZAR</v>
      </c>
      <c r="D596" s="44" t="str">
        <f>IFERROR(__xludf.DUMMYFUNCTION("""COMPUTED_VALUE""")," ")</f>
        <v> </v>
      </c>
      <c r="E596" s="44" t="str">
        <f>IFERROR(__xludf.DUMMYFUNCTION("""COMPUTED_VALUE"""),"270442360")</f>
        <v>270442360</v>
      </c>
      <c r="F596" s="44" t="str">
        <f>IFERROR(__xludf.DUMMYFUNCTION("""COMPUTED_VALUE"""),"")</f>
        <v/>
      </c>
      <c r="G596" s="44" t="str">
        <f>IFERROR(__xludf.DUMMYFUNCTION("""COMPUTED_VALUE""")," ")</f>
        <v> </v>
      </c>
      <c r="H596" s="44" t="str">
        <f>IFERROR(__xludf.DUMMYFUNCTION("""COMPUTED_VALUE""")," ")</f>
        <v> </v>
      </c>
      <c r="I596" s="44" t="str">
        <f>IFERROR(__xludf.DUMMYFUNCTION("""COMPUTED_VALUE""")," ")</f>
        <v> </v>
      </c>
      <c r="J596" s="44" t="str">
        <f>IFERROR(__xludf.DUMMYFUNCTION("""COMPUTED_VALUE"""),"25/06/2026")</f>
        <v>25/06/2026</v>
      </c>
      <c r="K596" s="42" t="str">
        <f>IFERROR(__xludf.DUMMYFUNCTION("""COMPUTED_VALUE"""),"Hospital Pérez Carreño")</f>
        <v>Hospital Pérez Carreño</v>
      </c>
    </row>
    <row r="597">
      <c r="A597" s="44">
        <v>596.0</v>
      </c>
      <c r="B597" s="44" t="str">
        <f>IFERROR(__xludf.DUMMYFUNCTION("""COMPUTED_VALUE"""),"Hospital Dr. José Gregorio Hern")</f>
        <v>Hospital Dr. José Gregorio Hern</v>
      </c>
      <c r="C597" s="45" t="str">
        <f>IFERROR(__xludf.DUMMYFUNCTION("""COMPUTED_VALUE"""),"CASTRO YULIANYEL")</f>
        <v>CASTRO YULIANYEL</v>
      </c>
      <c r="D597" s="44">
        <f>IFERROR(__xludf.DUMMYFUNCTION("""COMPUTED_VALUE"""),7.0)</f>
        <v>7</v>
      </c>
      <c r="E597" s="44" t="str">
        <f>IFERROR(__xludf.DUMMYFUNCTION("""COMPUTED_VALUE"""),"27116321")</f>
        <v>27116321</v>
      </c>
      <c r="F597" s="44" t="str">
        <f>IFERROR(__xludf.DUMMYFUNCTION("""COMPUTED_VALUE"""),"")</f>
        <v/>
      </c>
      <c r="G597" s="44" t="str">
        <f>IFERROR(__xludf.DUMMYFUNCTION("""COMPUTED_VALUE""")," ")</f>
        <v> </v>
      </c>
      <c r="H597" s="44" t="str">
        <f>IFERROR(__xludf.DUMMYFUNCTION("""COMPUTED_VALUE""")," ")</f>
        <v> </v>
      </c>
      <c r="I597" s="44" t="str">
        <f>IFERROR(__xludf.DUMMYFUNCTION("""COMPUTED_VALUE"""),"Internado")</f>
        <v>Internado</v>
      </c>
      <c r="J597" s="44" t="str">
        <f>IFERROR(__xludf.DUMMYFUNCTION("""COMPUTED_VALUE"""),"")</f>
        <v/>
      </c>
      <c r="K597" s="42" t="str">
        <f>IFERROR(__xludf.DUMMYFUNCTION("""COMPUTED_VALUE"""),"Hospital Dr. José Gregorio Hern")</f>
        <v>Hospital Dr. José Gregorio Hern</v>
      </c>
    </row>
    <row r="598">
      <c r="A598" s="44">
        <v>597.0</v>
      </c>
      <c r="B598" s="44" t="str">
        <f>IFERROR(__xludf.DUMMYFUNCTION("""COMPUTED_VALUE"""),"Hospital Vargas de Caracas")</f>
        <v>Hospital Vargas de Caracas</v>
      </c>
      <c r="C598" s="45" t="str">
        <f>IFERROR(__xludf.DUMMYFUNCTION("""COMPUTED_VALUE"""),"ARIAS FRAN")</f>
        <v>ARIAS FRAN</v>
      </c>
      <c r="D598" s="44">
        <f>IFERROR(__xludf.DUMMYFUNCTION("""COMPUTED_VALUE"""),18.0)</f>
        <v>18</v>
      </c>
      <c r="E598" s="44" t="str">
        <f>IFERROR(__xludf.DUMMYFUNCTION("""COMPUTED_VALUE"""),"27127733")</f>
        <v>27127733</v>
      </c>
      <c r="F598" s="44" t="str">
        <f>IFERROR(__xludf.DUMMYFUNCTION("""COMPUTED_VALUE""")," ")</f>
        <v> </v>
      </c>
      <c r="G598" s="44" t="str">
        <f>IFERROR(__xludf.DUMMYFUNCTION("""COMPUTED_VALUE"""),"")</f>
        <v/>
      </c>
      <c r="H598" s="44" t="str">
        <f>IFERROR(__xludf.DUMMYFUNCTION("""COMPUTED_VALUE"""),"La Guaira")</f>
        <v>La Guaira</v>
      </c>
      <c r="I598" s="44" t="str">
        <f>IFERROR(__xludf.DUMMYFUNCTION("""COMPUTED_VALUE"""),"UPT – Aplastamiento")</f>
        <v>UPT – Aplastamiento</v>
      </c>
      <c r="J598" s="44" t="str">
        <f>IFERROR(__xludf.DUMMYFUNCTION("""COMPUTED_VALUE"""),"")</f>
        <v/>
      </c>
      <c r="K598" s="42" t="str">
        <f>IFERROR(__xludf.DUMMYFUNCTION("""COMPUTED_VALUE"""),"Hospital Vargas de Caracas")</f>
        <v>Hospital Vargas de Caracas</v>
      </c>
    </row>
    <row r="599">
      <c r="A599" s="44">
        <v>598.0</v>
      </c>
      <c r="B599" s="44" t="str">
        <f>IFERROR(__xludf.DUMMYFUNCTION("""COMPUTED_VALUE"""),"Hospital Militar Dr. C. Arvelo")</f>
        <v>Hospital Militar Dr. C. Arvelo</v>
      </c>
      <c r="C599" s="45" t="str">
        <f>IFERROR(__xludf.DUMMYFUNCTION("""COMPUTED_VALUE"""),"Jiménez Rosmeli")</f>
        <v>Jiménez Rosmeli</v>
      </c>
      <c r="D599" s="44">
        <f>IFERROR(__xludf.DUMMYFUNCTION("""COMPUTED_VALUE"""),28.0)</f>
        <v>28</v>
      </c>
      <c r="E599" s="44" t="str">
        <f>IFERROR(__xludf.DUMMYFUNCTION("""COMPUTED_VALUE"""),"27163747")</f>
        <v>27163747</v>
      </c>
      <c r="F599" s="44" t="str">
        <f>IFERROR(__xludf.DUMMYFUNCTION("""COMPUTED_VALUE"""),"")</f>
        <v/>
      </c>
      <c r="G599" s="44" t="str">
        <f>IFERROR(__xludf.DUMMYFUNCTION("""COMPUTED_VALUE"""),"")</f>
        <v/>
      </c>
      <c r="H599" s="44" t="str">
        <f>IFERROR(__xludf.DUMMYFUNCTION("""COMPUTED_VALUE"""),"F")</f>
        <v>F</v>
      </c>
      <c r="I599" s="44" t="str">
        <f>IFERROR(__xludf.DUMMYFUNCTION("""COMPUTED_VALUE"""),"Catia PNA")</f>
        <v>Catia PNA</v>
      </c>
      <c r="J599" s="44" t="str">
        <f>IFERROR(__xludf.DUMMYFUNCTION("""COMPUTED_VALUE"""),"24/6/2026")</f>
        <v>24/6/2026</v>
      </c>
      <c r="K599" s="42" t="str">
        <f>IFERROR(__xludf.DUMMYFUNCTION("""COMPUTED_VALUE"""),"Hospital Militar Dr. C. Arvelo")</f>
        <v>Hospital Militar Dr. C. Arvelo</v>
      </c>
    </row>
    <row r="600">
      <c r="A600" s="44">
        <v>599.0</v>
      </c>
      <c r="B600" s="44" t="str">
        <f>IFERROR(__xludf.DUMMYFUNCTION("""COMPUTED_VALUE"""),"Hospital Militar Dr. C. Arvelo")</f>
        <v>Hospital Militar Dr. C. Arvelo</v>
      </c>
      <c r="C600" s="45" t="str">
        <f>IFERROR(__xludf.DUMMYFUNCTION("""COMPUTED_VALUE"""),"Salazar Carlos")</f>
        <v>Salazar Carlos</v>
      </c>
      <c r="D600" s="44">
        <f>IFERROR(__xludf.DUMMYFUNCTION("""COMPUTED_VALUE"""),28.0)</f>
        <v>28</v>
      </c>
      <c r="E600" s="44" t="str">
        <f>IFERROR(__xludf.DUMMYFUNCTION("""COMPUTED_VALUE"""),"27178947")</f>
        <v>27178947</v>
      </c>
      <c r="F600" s="44" t="str">
        <f>IFERROR(__xludf.DUMMYFUNCTION("""COMPUTED_VALUE"""),"")</f>
        <v/>
      </c>
      <c r="G600" s="44" t="str">
        <f>IFERROR(__xludf.DUMMYFUNCTION("""COMPUTED_VALUE"""),"")</f>
        <v/>
      </c>
      <c r="H600" s="44" t="str">
        <f>IFERROR(__xludf.DUMMYFUNCTION("""COMPUTED_VALUE"""),"M")</f>
        <v>M</v>
      </c>
      <c r="I600" s="44" t="str">
        <f>IFERROR(__xludf.DUMMYFUNCTION("""COMPUTED_VALUE"""),"Paraí PT")</f>
        <v>Paraí PT</v>
      </c>
      <c r="J600" s="44" t="str">
        <f>IFERROR(__xludf.DUMMYFUNCTION("""COMPUTED_VALUE"""),"24/6/2026")</f>
        <v>24/6/2026</v>
      </c>
      <c r="K600" s="42" t="str">
        <f>IFERROR(__xludf.DUMMYFUNCTION("""COMPUTED_VALUE"""),"Hospital Militar Dr. C. Arvelo")</f>
        <v>Hospital Militar Dr. C. Arvelo</v>
      </c>
    </row>
    <row r="601">
      <c r="A601" s="44">
        <v>600.0</v>
      </c>
      <c r="B601" s="44" t="str">
        <f>IFERROR(__xludf.DUMMYFUNCTION("""COMPUTED_VALUE"""),"Hospital Pérez Carreño")</f>
        <v>Hospital Pérez Carreño</v>
      </c>
      <c r="C601" s="45" t="str">
        <f>IFERROR(__xludf.DUMMYFUNCTION("""COMPUTED_VALUE"""),"PEREEO ROTARAL")</f>
        <v>PEREEO ROTARAL</v>
      </c>
      <c r="D601" s="44" t="str">
        <f>IFERROR(__xludf.DUMMYFUNCTION("""COMPUTED_VALUE""")," ")</f>
        <v> </v>
      </c>
      <c r="E601" s="44" t="str">
        <f>IFERROR(__xludf.DUMMYFUNCTION("""COMPUTED_VALUE"""),"27217024")</f>
        <v>27217024</v>
      </c>
      <c r="F601" s="44" t="str">
        <f>IFERROR(__xludf.DUMMYFUNCTION("""COMPUTED_VALUE"""),"")</f>
        <v/>
      </c>
      <c r="G601" s="44" t="str">
        <f>IFERROR(__xludf.DUMMYFUNCTION("""COMPUTED_VALUE""")," ")</f>
        <v> </v>
      </c>
      <c r="H601" s="44" t="str">
        <f>IFERROR(__xludf.DUMMYFUNCTION("""COMPUTED_VALUE""")," ")</f>
        <v> </v>
      </c>
      <c r="I601" s="44" t="str">
        <f>IFERROR(__xludf.DUMMYFUNCTION("""COMPUTED_VALUE"""),"Internado")</f>
        <v>Internado</v>
      </c>
      <c r="J601" s="44" t="str">
        <f>IFERROR(__xludf.DUMMYFUNCTION("""COMPUTED_VALUE"""),"")</f>
        <v/>
      </c>
      <c r="K601" s="42" t="str">
        <f>IFERROR(__xludf.DUMMYFUNCTION("""COMPUTED_VALUE"""),"🔍 BUSCAR PACIENTES")</f>
        <v>🔍 BUSCAR PACIENTES</v>
      </c>
    </row>
    <row r="602">
      <c r="A602" s="44">
        <v>601.0</v>
      </c>
      <c r="B602" s="44" t="str">
        <f>IFERROR(__xludf.DUMMYFUNCTION("""COMPUTED_VALUE"""),"Hospital Dr. José Gregorio Hern")</f>
        <v>Hospital Dr. José Gregorio Hern</v>
      </c>
      <c r="C602" s="45" t="str">
        <f>IFERROR(__xludf.DUMMYFUNCTION("""COMPUTED_VALUE"""),"JUICES ERICK")</f>
        <v>JUICES ERICK</v>
      </c>
      <c r="D602" s="44">
        <f>IFERROR(__xludf.DUMMYFUNCTION("""COMPUTED_VALUE"""),27.0)</f>
        <v>27</v>
      </c>
      <c r="E602" s="44" t="str">
        <f>IFERROR(__xludf.DUMMYFUNCTION("""COMPUTED_VALUE"""),"27225952")</f>
        <v>27225952</v>
      </c>
      <c r="F602" s="44" t="str">
        <f>IFERROR(__xludf.DUMMYFUNCTION("""COMPUTED_VALUE"""),"")</f>
        <v/>
      </c>
      <c r="G602" s="44" t="str">
        <f>IFERROR(__xludf.DUMMYFUNCTION("""COMPUTED_VALUE""")," ")</f>
        <v> </v>
      </c>
      <c r="H602" s="44" t="str">
        <f>IFERROR(__xludf.DUMMYFUNCTION("""COMPUTED_VALUE"""),"Caribe")</f>
        <v>Caribe</v>
      </c>
      <c r="I602" s="44" t="str">
        <f>IFERROR(__xludf.DUMMYFUNCTION("""COMPUTED_VALUE""")," ")</f>
        <v> </v>
      </c>
      <c r="J602" s="44" t="str">
        <f>IFERROR(__xludf.DUMMYFUNCTION("""COMPUTED_VALUE"""),"")</f>
        <v/>
      </c>
      <c r="K602" s="42" t="str">
        <f>IFERROR(__xludf.DUMMYFUNCTION("""COMPUTED_VALUE"""),"Hospital Dr. José Gregorio Hern")</f>
        <v>Hospital Dr. José Gregorio Hern</v>
      </c>
    </row>
    <row r="603">
      <c r="A603" s="44">
        <v>602.0</v>
      </c>
      <c r="B603" s="44" t="str">
        <f>IFERROR(__xludf.DUMMYFUNCTION("""COMPUTED_VALUE"""),"Hospital Pérez Carreño")</f>
        <v>Hospital Pérez Carreño</v>
      </c>
      <c r="C603" s="45" t="str">
        <f>IFERROR(__xludf.DUMMYFUNCTION("""COMPUTED_VALUE"""),"ELISABETH CHACON")</f>
        <v>ELISABETH CHACON</v>
      </c>
      <c r="D603" s="44" t="str">
        <f>IFERROR(__xludf.DUMMYFUNCTION("""COMPUTED_VALUE"""),"Sin información")</f>
        <v>Sin información</v>
      </c>
      <c r="E603" s="44" t="str">
        <f>IFERROR(__xludf.DUMMYFUNCTION("""COMPUTED_VALUE"""),"273342880")</f>
        <v>273342880</v>
      </c>
      <c r="F603" s="44" t="str">
        <f>IFERROR(__xludf.DUMMYFUNCTION("""COMPUTED_VALUE"""),"")</f>
        <v/>
      </c>
      <c r="G603" s="44" t="str">
        <f>IFERROR(__xludf.DUMMYFUNCTION("""COMPUTED_VALUE""")," ")</f>
        <v> </v>
      </c>
      <c r="H603" s="44" t="str">
        <f>IFERROR(__xludf.DUMMYFUNCTION("""COMPUTED_VALUE"""),"Sin información")</f>
        <v>Sin información</v>
      </c>
      <c r="I603" s="44" t="str">
        <f>IFERROR(__xludf.DUMMYFUNCTION("""COMPUTED_VALUE"""),"Sin información")</f>
        <v>Sin información</v>
      </c>
      <c r="J603" s="44" t="str">
        <f>IFERROR(__xludf.DUMMYFUNCTION("""COMPUTED_VALUE"""),"25/06/2026")</f>
        <v>25/06/2026</v>
      </c>
      <c r="K603" s="42" t="str">
        <f>IFERROR(__xludf.DUMMYFUNCTION("""COMPUTED_VALUE"""),"Hospital Pérez Carreño")</f>
        <v>Hospital Pérez Carreño</v>
      </c>
    </row>
    <row r="604">
      <c r="A604" s="44">
        <v>603.0</v>
      </c>
      <c r="B604" s="44" t="str">
        <f>IFERROR(__xludf.DUMMYFUNCTION("""COMPUTED_VALUE"""),"Hospital Pérez Carreño")</f>
        <v>Hospital Pérez Carreño</v>
      </c>
      <c r="C604" s="45" t="str">
        <f>IFERROR(__xludf.DUMMYFUNCTION("""COMPUTED_VALUE"""),"CHACON ELIZABETH")</f>
        <v>CHACON ELIZABETH</v>
      </c>
      <c r="D604" s="44" t="str">
        <f>IFERROR(__xludf.DUMMYFUNCTION("""COMPUTED_VALUE""")," ")</f>
        <v> </v>
      </c>
      <c r="E604" s="44" t="str">
        <f>IFERROR(__xludf.DUMMYFUNCTION("""COMPUTED_VALUE"""),"2734286")</f>
        <v>2734286</v>
      </c>
      <c r="F604" s="44" t="str">
        <f>IFERROR(__xludf.DUMMYFUNCTION("""COMPUTED_VALUE"""),"")</f>
        <v/>
      </c>
      <c r="G604" s="44" t="str">
        <f>IFERROR(__xludf.DUMMYFUNCTION("""COMPUTED_VALUE""")," ")</f>
        <v> </v>
      </c>
      <c r="H604" s="44" t="str">
        <f>IFERROR(__xludf.DUMMYFUNCTION("""COMPUTED_VALUE""")," ")</f>
        <v> </v>
      </c>
      <c r="I604" s="44" t="str">
        <f>IFERROR(__xludf.DUMMYFUNCTION("""COMPUTED_VALUE""")," ")</f>
        <v> </v>
      </c>
      <c r="J604" s="44" t="str">
        <f>IFERROR(__xludf.DUMMYFUNCTION("""COMPUTED_VALUE"""),"25/06/2026")</f>
        <v>25/06/2026</v>
      </c>
      <c r="K604" s="42" t="str">
        <f>IFERROR(__xludf.DUMMYFUNCTION("""COMPUTED_VALUE"""),"Hospital Pérez Carreño")</f>
        <v>Hospital Pérez Carreño</v>
      </c>
    </row>
    <row r="605">
      <c r="A605" s="44">
        <v>604.0</v>
      </c>
      <c r="B605" s="44" t="str">
        <f>IFERROR(__xludf.DUMMYFUNCTION("""COMPUTED_VALUE"""),"Hospital Pérez Carreño")</f>
        <v>Hospital Pérez Carreño</v>
      </c>
      <c r="C605" s="45" t="str">
        <f>IFERROR(__xludf.DUMMYFUNCTION("""COMPUTED_VALUE"""),"CHACON ELIZABETH")</f>
        <v>CHACON ELIZABETH</v>
      </c>
      <c r="D605" s="44" t="str">
        <f>IFERROR(__xludf.DUMMYFUNCTION("""COMPUTED_VALUE""")," ")</f>
        <v> </v>
      </c>
      <c r="E605" s="44" t="str">
        <f>IFERROR(__xludf.DUMMYFUNCTION("""COMPUTED_VALUE"""),"27374286")</f>
        <v>27374286</v>
      </c>
      <c r="F605" s="44" t="str">
        <f>IFERROR(__xludf.DUMMYFUNCTION("""COMPUTED_VALUE"""),"")</f>
        <v/>
      </c>
      <c r="G605" s="44" t="str">
        <f>IFERROR(__xludf.DUMMYFUNCTION("""COMPUTED_VALUE""")," ")</f>
        <v> </v>
      </c>
      <c r="H605" s="44" t="str">
        <f>IFERROR(__xludf.DUMMYFUNCTION("""COMPUTED_VALUE""")," ")</f>
        <v> </v>
      </c>
      <c r="I605" s="44" t="str">
        <f>IFERROR(__xludf.DUMMYFUNCTION("""COMPUTED_VALUE""")," ")</f>
        <v> </v>
      </c>
      <c r="J605" s="44" t="str">
        <f>IFERROR(__xludf.DUMMYFUNCTION("""COMPUTED_VALUE"""),"25/06/2026")</f>
        <v>25/06/2026</v>
      </c>
      <c r="K605" s="42" t="str">
        <f>IFERROR(__xludf.DUMMYFUNCTION("""COMPUTED_VALUE"""),"Hospital Pérez Carreño")</f>
        <v>Hospital Pérez Carreño</v>
      </c>
    </row>
    <row r="606">
      <c r="A606" s="44">
        <v>605.0</v>
      </c>
      <c r="B606" s="44" t="str">
        <f>IFERROR(__xludf.DUMMYFUNCTION("""COMPUTED_VALUE"""),"Hospital Pérez Carreño")</f>
        <v>Hospital Pérez Carreño</v>
      </c>
      <c r="C606" s="45" t="str">
        <f>IFERROR(__xludf.DUMMYFUNCTION("""COMPUTED_VALUE"""),"ELISABETH CHACON")</f>
        <v>ELISABETH CHACON</v>
      </c>
      <c r="D606" s="44" t="str">
        <f>IFERROR(__xludf.DUMMYFUNCTION("""COMPUTED_VALUE""")," ")</f>
        <v> </v>
      </c>
      <c r="E606" s="44" t="str">
        <f>IFERROR(__xludf.DUMMYFUNCTION("""COMPUTED_VALUE"""),"273742860")</f>
        <v>273742860</v>
      </c>
      <c r="F606" s="44" t="str">
        <f>IFERROR(__xludf.DUMMYFUNCTION("""COMPUTED_VALUE"""),"")</f>
        <v/>
      </c>
      <c r="G606" s="44" t="str">
        <f>IFERROR(__xludf.DUMMYFUNCTION("""COMPUTED_VALUE""")," ")</f>
        <v> </v>
      </c>
      <c r="H606" s="44" t="str">
        <f>IFERROR(__xludf.DUMMYFUNCTION("""COMPUTED_VALUE""")," ")</f>
        <v> </v>
      </c>
      <c r="I606" s="44" t="str">
        <f>IFERROR(__xludf.DUMMYFUNCTION("""COMPUTED_VALUE"""),"Triaje")</f>
        <v>Triaje</v>
      </c>
      <c r="J606" s="44" t="str">
        <f>IFERROR(__xludf.DUMMYFUNCTION("""COMPUTED_VALUE"""),"25/06/2026")</f>
        <v>25/06/2026</v>
      </c>
      <c r="K606" s="42" t="str">
        <f>IFERROR(__xludf.DUMMYFUNCTION("""COMPUTED_VALUE"""),"Hospital Pérez Carreño")</f>
        <v>Hospital Pérez Carreño</v>
      </c>
    </row>
    <row r="607">
      <c r="A607" s="44">
        <v>606.0</v>
      </c>
      <c r="B607" s="44" t="str">
        <f>IFERROR(__xludf.DUMMYFUNCTION("""COMPUTED_VALUE"""),"Hospital Pérez Carreño")</f>
        <v>Hospital Pérez Carreño</v>
      </c>
      <c r="C607" s="45" t="str">
        <f>IFERROR(__xludf.DUMMYFUNCTION("""COMPUTED_VALUE"""),"GARCIA JUVER")</f>
        <v>GARCIA JUVER</v>
      </c>
      <c r="D607" s="44" t="str">
        <f>IFERROR(__xludf.DUMMYFUNCTION("""COMPUTED_VALUE""")," ")</f>
        <v> </v>
      </c>
      <c r="E607" s="44" t="str">
        <f>IFERROR(__xludf.DUMMYFUNCTION("""COMPUTED_VALUE"""),"27377514")</f>
        <v>27377514</v>
      </c>
      <c r="F607" s="44" t="str">
        <f>IFERROR(__xludf.DUMMYFUNCTION("""COMPUTED_VALUE"""),"")</f>
        <v/>
      </c>
      <c r="G607" s="44" t="str">
        <f>IFERROR(__xludf.DUMMYFUNCTION("""COMPUTED_VALUE""")," ")</f>
        <v> </v>
      </c>
      <c r="H607" s="44" t="str">
        <f>IFERROR(__xludf.DUMMYFUNCTION("""COMPUTED_VALUE""")," ")</f>
        <v> </v>
      </c>
      <c r="I607" s="44" t="str">
        <f>IFERROR(__xludf.DUMMYFUNCTION("""COMPUTED_VALUE""")," ")</f>
        <v> </v>
      </c>
      <c r="J607" s="44" t="str">
        <f>IFERROR(__xludf.DUMMYFUNCTION("""COMPUTED_VALUE"""),"25/06/2026")</f>
        <v>25/06/2026</v>
      </c>
      <c r="K607" s="42" t="str">
        <f>IFERROR(__xludf.DUMMYFUNCTION("""COMPUTED_VALUE"""),"Hospital Pérez Carreño")</f>
        <v>Hospital Pérez Carreño</v>
      </c>
    </row>
    <row r="608">
      <c r="A608" s="44">
        <v>607.0</v>
      </c>
      <c r="B608" s="44" t="str">
        <f>IFERROR(__xludf.DUMMYFUNCTION("""COMPUTED_VALUE"""),"Hospital Pérez Carreño")</f>
        <v>Hospital Pérez Carreño</v>
      </c>
      <c r="C608" s="45" t="str">
        <f>IFERROR(__xludf.DUMMYFUNCTION("""COMPUTED_VALUE"""),"JUVER GARCIA")</f>
        <v>JUVER GARCIA</v>
      </c>
      <c r="D608" s="44" t="str">
        <f>IFERROR(__xludf.DUMMYFUNCTION("""COMPUTED_VALUE""")," ")</f>
        <v> </v>
      </c>
      <c r="E608" s="44" t="str">
        <f>IFERROR(__xludf.DUMMYFUNCTION("""COMPUTED_VALUE"""),"273775140")</f>
        <v>273775140</v>
      </c>
      <c r="F608" s="44" t="str">
        <f>IFERROR(__xludf.DUMMYFUNCTION("""COMPUTED_VALUE"""),"")</f>
        <v/>
      </c>
      <c r="G608" s="44" t="str">
        <f>IFERROR(__xludf.DUMMYFUNCTION("""COMPUTED_VALUE""")," ")</f>
        <v> </v>
      </c>
      <c r="H608" s="44" t="str">
        <f>IFERROR(__xludf.DUMMYFUNCTION("""COMPUTED_VALUE""")," ")</f>
        <v> </v>
      </c>
      <c r="I608" s="44" t="str">
        <f>IFERROR(__xludf.DUMMYFUNCTION("""COMPUTED_VALUE""")," ")</f>
        <v> </v>
      </c>
      <c r="J608" s="44" t="str">
        <f>IFERROR(__xludf.DUMMYFUNCTION("""COMPUTED_VALUE"""),"25/06/2026")</f>
        <v>25/06/2026</v>
      </c>
      <c r="K608" s="42" t="str">
        <f>IFERROR(__xludf.DUMMYFUNCTION("""COMPUTED_VALUE"""),"Hospital Pérez Carreño")</f>
        <v>Hospital Pérez Carreño</v>
      </c>
    </row>
    <row r="609">
      <c r="A609" s="44">
        <v>608.0</v>
      </c>
      <c r="B609" s="44" t="str">
        <f>IFERROR(__xludf.DUMMYFUNCTION("""COMPUTED_VALUE"""),"Hospital Pérez Carreño")</f>
        <v>Hospital Pérez Carreño</v>
      </c>
      <c r="C609" s="45" t="str">
        <f>IFERROR(__xludf.DUMMYFUNCTION("""COMPUTED_VALUE"""),"MENDOZA ANDERSON")</f>
        <v>MENDOZA ANDERSON</v>
      </c>
      <c r="D609" s="44" t="str">
        <f>IFERROR(__xludf.DUMMYFUNCTION("""COMPUTED_VALUE""")," ")</f>
        <v> </v>
      </c>
      <c r="E609" s="44" t="str">
        <f>IFERROR(__xludf.DUMMYFUNCTION("""COMPUTED_VALUE"""),"27399207")</f>
        <v>27399207</v>
      </c>
      <c r="F609" s="44" t="str">
        <f>IFERROR(__xludf.DUMMYFUNCTION("""COMPUTED_VALUE"""),"")</f>
        <v/>
      </c>
      <c r="G609" s="44" t="str">
        <f>IFERROR(__xludf.DUMMYFUNCTION("""COMPUTED_VALUE""")," ")</f>
        <v> </v>
      </c>
      <c r="H609" s="44" t="str">
        <f>IFERROR(__xludf.DUMMYFUNCTION("""COMPUTED_VALUE""")," ")</f>
        <v> </v>
      </c>
      <c r="I609" s="44" t="str">
        <f>IFERROR(__xludf.DUMMYFUNCTION("""COMPUTED_VALUE"""),"SIN FAMILIAR – Pediátrico")</f>
        <v>SIN FAMILIAR – Pediátrico</v>
      </c>
      <c r="J609" s="44" t="str">
        <f>IFERROR(__xludf.DUMMYFUNCTION("""COMPUTED_VALUE"""),"25/06/2026")</f>
        <v>25/06/2026</v>
      </c>
      <c r="K609" s="42" t="str">
        <f>IFERROR(__xludf.DUMMYFUNCTION("""COMPUTED_VALUE"""),"Hospital Pérez Carreño")</f>
        <v>Hospital Pérez Carreño</v>
      </c>
    </row>
    <row r="610">
      <c r="A610" s="44">
        <v>609.0</v>
      </c>
      <c r="B610" s="44" t="str">
        <f>IFERROR(__xludf.DUMMYFUNCTION("""COMPUTED_VALUE"""),"Hospital Pérez Carreño")</f>
        <v>Hospital Pérez Carreño</v>
      </c>
      <c r="C610" s="45" t="str">
        <f>IFERROR(__xludf.DUMMYFUNCTION("""COMPUTED_VALUE"""),"ANDERSON MENDOZA")</f>
        <v>ANDERSON MENDOZA</v>
      </c>
      <c r="D610" s="44" t="str">
        <f>IFERROR(__xludf.DUMMYFUNCTION("""COMPUTED_VALUE""")," ")</f>
        <v> </v>
      </c>
      <c r="E610" s="44" t="str">
        <f>IFERROR(__xludf.DUMMYFUNCTION("""COMPUTED_VALUE"""),"273992070")</f>
        <v>273992070</v>
      </c>
      <c r="F610" s="44" t="str">
        <f>IFERROR(__xludf.DUMMYFUNCTION("""COMPUTED_VALUE"""),"")</f>
        <v/>
      </c>
      <c r="G610" s="44" t="str">
        <f>IFERROR(__xludf.DUMMYFUNCTION("""COMPUTED_VALUE""")," ")</f>
        <v> </v>
      </c>
      <c r="H610" s="44" t="str">
        <f>IFERROR(__xludf.DUMMYFUNCTION("""COMPUTED_VALUE""")," ")</f>
        <v> </v>
      </c>
      <c r="I610" s="44" t="str">
        <f>IFERROR(__xludf.DUMMYFUNCTION("""COMPUTED_VALUE""")," ")</f>
        <v> </v>
      </c>
      <c r="J610" s="44" t="str">
        <f>IFERROR(__xludf.DUMMYFUNCTION("""COMPUTED_VALUE"""),"25/06/2026")</f>
        <v>25/06/2026</v>
      </c>
      <c r="K610" s="42" t="str">
        <f>IFERROR(__xludf.DUMMYFUNCTION("""COMPUTED_VALUE"""),"Hospital Pérez Carreño")</f>
        <v>Hospital Pérez Carreño</v>
      </c>
    </row>
    <row r="611">
      <c r="A611" s="44">
        <v>610.0</v>
      </c>
      <c r="B611" s="44" t="str">
        <f>IFERROR(__xludf.DUMMYFUNCTION("""COMPUTED_VALUE"""),"Hospital Vargas de Caracas")</f>
        <v>Hospital Vargas de Caracas</v>
      </c>
      <c r="C611" s="45" t="str">
        <f>IFERROR(__xludf.DUMMYFUNCTION("""COMPUTED_VALUE"""),"GONZALEZ YAILYN")</f>
        <v>GONZALEZ YAILYN</v>
      </c>
      <c r="D611" s="44">
        <f>IFERROR(__xludf.DUMMYFUNCTION("""COMPUTED_VALUE"""),26.0)</f>
        <v>26</v>
      </c>
      <c r="E611" s="44" t="str">
        <f>IFERROR(__xludf.DUMMYFUNCTION("""COMPUTED_VALUE"""),"27439695")</f>
        <v>27439695</v>
      </c>
      <c r="F611" s="44" t="str">
        <f>IFERROR(__xludf.DUMMYFUNCTION("""COMPUTED_VALUE""")," ")</f>
        <v> </v>
      </c>
      <c r="G611" s="44" t="str">
        <f>IFERROR(__xludf.DUMMYFUNCTION("""COMPUTED_VALUE"""),"")</f>
        <v/>
      </c>
      <c r="H611" s="44" t="str">
        <f>IFERROR(__xludf.DUMMYFUNCTION("""COMPUTED_VALUE"""),"La Guaira")</f>
        <v>La Guaira</v>
      </c>
      <c r="I611" s="44" t="str">
        <f>IFERROR(__xludf.DUMMYFUNCTION("""COMPUTED_VALUE"""),"UPT")</f>
        <v>UPT</v>
      </c>
      <c r="J611" s="44" t="str">
        <f>IFERROR(__xludf.DUMMYFUNCTION("""COMPUTED_VALUE"""),"")</f>
        <v/>
      </c>
      <c r="K611" s="42" t="str">
        <f>IFERROR(__xludf.DUMMYFUNCTION("""COMPUTED_VALUE"""),"Hospital Vargas de Caracas")</f>
        <v>Hospital Vargas de Caracas</v>
      </c>
    </row>
    <row r="612">
      <c r="A612" s="44">
        <v>611.0</v>
      </c>
      <c r="B612" s="44" t="str">
        <f>IFERROR(__xludf.DUMMYFUNCTION("""COMPUTED_VALUE"""),"Hospital Militar Dr. C. Arvelo")</f>
        <v>Hospital Militar Dr. C. Arvelo</v>
      </c>
      <c r="C612" s="45" t="str">
        <f>IFERROR(__xludf.DUMMYFUNCTION("""COMPUTED_VALUE"""),"Jaidón Cadenas")</f>
        <v>Jaidón Cadenas</v>
      </c>
      <c r="D612" s="44">
        <f>IFERROR(__xludf.DUMMYFUNCTION("""COMPUTED_VALUE"""),25.0)</f>
        <v>25</v>
      </c>
      <c r="E612" s="44" t="str">
        <f>IFERROR(__xludf.DUMMYFUNCTION("""COMPUTED_VALUE"""),"27606935")</f>
        <v>27606935</v>
      </c>
      <c r="F612" s="44" t="str">
        <f>IFERROR(__xludf.DUMMYFUNCTION("""COMPUTED_VALUE"""),"")</f>
        <v/>
      </c>
      <c r="G612" s="44" t="str">
        <f>IFERROR(__xludf.DUMMYFUNCTION("""COMPUTED_VALUE"""),"")</f>
        <v/>
      </c>
      <c r="H612" s="44" t="str">
        <f>IFERROR(__xludf.DUMMYFUNCTION("""COMPUTED_VALUE"""),"F")</f>
        <v>F</v>
      </c>
      <c r="I612" s="44" t="str">
        <f>IFERROR(__xludf.DUMMYFUNCTION("""COMPUTED_VALUE"""),"Artigas PNA")</f>
        <v>Artigas PNA</v>
      </c>
      <c r="J612" s="44" t="str">
        <f>IFERROR(__xludf.DUMMYFUNCTION("""COMPUTED_VALUE"""),"24/6/2026")</f>
        <v>24/6/2026</v>
      </c>
      <c r="K612" s="42" t="str">
        <f>IFERROR(__xludf.DUMMYFUNCTION("""COMPUTED_VALUE"""),"Hospital Militar Dr. C. Arvelo")</f>
        <v>Hospital Militar Dr. C. Arvelo</v>
      </c>
    </row>
    <row r="613">
      <c r="A613" s="44">
        <v>612.0</v>
      </c>
      <c r="B613" s="44" t="str">
        <f>IFERROR(__xludf.DUMMYFUNCTION("""COMPUTED_VALUE"""),"Hospital Vargas de Caracas")</f>
        <v>Hospital Vargas de Caracas</v>
      </c>
      <c r="C613" s="45" t="str">
        <f>IFERROR(__xludf.DUMMYFUNCTION("""COMPUTED_VALUE"""),"GONZALEZ YHAJAHIRA")</f>
        <v>GONZALEZ YHAJAHIRA</v>
      </c>
      <c r="D613" s="44" t="str">
        <f>IFERROR(__xludf.DUMMYFUNCTION("""COMPUTED_VALUE""")," ")</f>
        <v> </v>
      </c>
      <c r="E613" s="44" t="str">
        <f>IFERROR(__xludf.DUMMYFUNCTION("""COMPUTED_VALUE"""),"2765012")</f>
        <v>2765012</v>
      </c>
      <c r="F613" s="44" t="str">
        <f>IFERROR(__xludf.DUMMYFUNCTION("""COMPUTED_VALUE""")," ")</f>
        <v> </v>
      </c>
      <c r="G613" s="44" t="str">
        <f>IFERROR(__xludf.DUMMYFUNCTION("""COMPUTED_VALUE"""),"")</f>
        <v/>
      </c>
      <c r="H613" s="44" t="str">
        <f>IFERROR(__xludf.DUMMYFUNCTION("""COMPUTED_VALUE""")," ")</f>
        <v> </v>
      </c>
      <c r="I613" s="44" t="str">
        <f>IFERROR(__xludf.DUMMYFUNCTION("""COMPUTED_VALUE""")," ")</f>
        <v> </v>
      </c>
      <c r="J613" s="44" t="str">
        <f>IFERROR(__xludf.DUMMYFUNCTION("""COMPUTED_VALUE"""),"")</f>
        <v/>
      </c>
      <c r="K613" s="42" t="str">
        <f>IFERROR(__xludf.DUMMYFUNCTION("""COMPUTED_VALUE"""),"Hospital Vargas de Caracas")</f>
        <v>Hospital Vargas de Caracas</v>
      </c>
    </row>
    <row r="614">
      <c r="A614" s="44">
        <v>613.0</v>
      </c>
      <c r="B614" s="44" t="str">
        <f>IFERROR(__xludf.DUMMYFUNCTION("""COMPUTED_VALUE"""),"Hospital Ana Francisca Pérez de")</f>
        <v>Hospital Ana Francisca Pérez de</v>
      </c>
      <c r="C614" s="45" t="str">
        <f>IFERROR(__xludf.DUMMYFUNCTION("""COMPUTED_VALUE"""),"MAITLIN GUTIERREZ")</f>
        <v>MAITLIN GUTIERREZ</v>
      </c>
      <c r="D614" s="44">
        <f>IFERROR(__xludf.DUMMYFUNCTION("""COMPUTED_VALUE"""),25.0)</f>
        <v>25</v>
      </c>
      <c r="E614" s="44" t="str">
        <f>IFERROR(__xludf.DUMMYFUNCTION("""COMPUTED_VALUE"""),"277461690")</f>
        <v>277461690</v>
      </c>
      <c r="F614" s="44" t="str">
        <f>IFERROR(__xludf.DUMMYFUNCTION("""COMPUTED_VALUE"""),"")</f>
        <v/>
      </c>
      <c r="G614" s="44" t="str">
        <f>IFERROR(__xludf.DUMMYFUNCTION("""COMPUTED_VALUE""")," ")</f>
        <v> </v>
      </c>
      <c r="H614" s="44" t="str">
        <f>IFERROR(__xludf.DUMMYFUNCTION("""COMPUTED_VALUE"""),"Barrio Betancourt")</f>
        <v>Barrio Betancourt</v>
      </c>
      <c r="I614" s="44" t="str">
        <f>IFERROR(__xludf.DUMMYFUNCTION("""COMPUTED_VALUE""")," ")</f>
        <v> </v>
      </c>
      <c r="J614" s="44" t="str">
        <f>IFERROR(__xludf.DUMMYFUNCTION("""COMPUTED_VALUE"""),"")</f>
        <v/>
      </c>
      <c r="K614" s="42" t="str">
        <f>IFERROR(__xludf.DUMMYFUNCTION("""COMPUTED_VALUE"""),"🔍 BUSCAR PACIENTES")</f>
        <v>🔍 BUSCAR PACIENTES</v>
      </c>
    </row>
    <row r="615">
      <c r="A615" s="44">
        <v>614.0</v>
      </c>
      <c r="B615" s="44" t="str">
        <f>IFERROR(__xludf.DUMMYFUNCTION("""COMPUTED_VALUE"""),"Hospital Ana Francisca Pérez de")</f>
        <v>Hospital Ana Francisca Pérez de</v>
      </c>
      <c r="C615" s="45" t="str">
        <f>IFERROR(__xludf.DUMMYFUNCTION("""COMPUTED_VALUE"""),"GUTIERREZ MALELLIN")</f>
        <v>GUTIERREZ MALELLIN</v>
      </c>
      <c r="D615" s="44">
        <f>IFERROR(__xludf.DUMMYFUNCTION("""COMPUTED_VALUE"""),25.0)</f>
        <v>25</v>
      </c>
      <c r="E615" s="44" t="str">
        <f>IFERROR(__xludf.DUMMYFUNCTION("""COMPUTED_VALUE"""),"27761169")</f>
        <v>27761169</v>
      </c>
      <c r="F615" s="44" t="str">
        <f>IFERROR(__xludf.DUMMYFUNCTION("""COMPUTED_VALUE"""),"")</f>
        <v/>
      </c>
      <c r="G615" s="44" t="str">
        <f>IFERROR(__xludf.DUMMYFUNCTION("""COMPUTED_VALUE""")," ")</f>
        <v> </v>
      </c>
      <c r="H615" s="44" t="str">
        <f>IFERROR(__xludf.DUMMYFUNCTION("""COMPUTED_VALUE"""),"Barrio Bolívar")</f>
        <v>Barrio Bolívar</v>
      </c>
      <c r="I615" s="44" t="str">
        <f>IFERROR(__xludf.DUMMYFUNCTION("""COMPUTED_VALUE""")," ")</f>
        <v> </v>
      </c>
      <c r="J615" s="44" t="str">
        <f>IFERROR(__xludf.DUMMYFUNCTION("""COMPUTED_VALUE"""),"")</f>
        <v/>
      </c>
      <c r="K615" s="42" t="str">
        <f>IFERROR(__xludf.DUMMYFUNCTION("""COMPUTED_VALUE"""),"Hospital Ana Francisca Pérez de")</f>
        <v>Hospital Ana Francisca Pérez de</v>
      </c>
    </row>
    <row r="616">
      <c r="A616" s="44">
        <v>615.0</v>
      </c>
      <c r="B616" s="44" t="str">
        <f>IFERROR(__xludf.DUMMYFUNCTION("""COMPUTED_VALUE"""),"Hospital Universitario de Carac")</f>
        <v>Hospital Universitario de Carac</v>
      </c>
      <c r="C616" s="45" t="str">
        <f>IFERROR(__xludf.DUMMYFUNCTION("""COMPUTED_VALUE"""),"MUÑOZ GEMA")</f>
        <v>MUÑOZ GEMA</v>
      </c>
      <c r="D616" s="44">
        <f>IFERROR(__xludf.DUMMYFUNCTION("""COMPUTED_VALUE"""),24.0)</f>
        <v>24</v>
      </c>
      <c r="E616" s="44" t="str">
        <f>IFERROR(__xludf.DUMMYFUNCTION("""COMPUTED_VALUE"""),"27797121")</f>
        <v>27797121</v>
      </c>
      <c r="F616" s="44" t="str">
        <f>IFERROR(__xludf.DUMMYFUNCTION("""COMPUTED_VALUE"""),"")</f>
        <v/>
      </c>
      <c r="G616" s="44" t="str">
        <f>IFERROR(__xludf.DUMMYFUNCTION("""COMPUTED_VALUE"""),"0416-7537984 / 0414-7537994")</f>
        <v>0416-7537984 / 0414-7537994</v>
      </c>
      <c r="H616" s="44" t="str">
        <f>IFERROR(__xludf.DUMMYFUNCTION("""COMPUTED_VALUE""")," ")</f>
        <v> </v>
      </c>
      <c r="I616" s="44" t="str">
        <f>IFERROR(__xludf.DUMMYFUNCTION("""COMPUTED_VALUE""")," ")</f>
        <v> </v>
      </c>
      <c r="J616" s="44" t="str">
        <f>IFERROR(__xludf.DUMMYFUNCTION("""COMPUTED_VALUE"""),"")</f>
        <v/>
      </c>
      <c r="K616" s="42" t="str">
        <f>IFERROR(__xludf.DUMMYFUNCTION("""COMPUTED_VALUE"""),"Hospital Universitario de Carac")</f>
        <v>Hospital Universitario de Carac</v>
      </c>
    </row>
    <row r="617">
      <c r="A617" s="44">
        <v>616.0</v>
      </c>
      <c r="B617" s="44" t="str">
        <f>IFERROR(__xludf.DUMMYFUNCTION("""COMPUTED_VALUE"""),"Hospital Vargas de Caracas")</f>
        <v>Hospital Vargas de Caracas</v>
      </c>
      <c r="C617" s="45" t="str">
        <f>IFERROR(__xludf.DUMMYFUNCTION("""COMPUTED_VALUE"""),"FRANCIA JORGE")</f>
        <v>FRANCIA JORGE</v>
      </c>
      <c r="D617" s="44" t="str">
        <f>IFERROR(__xludf.DUMMYFUNCTION("""COMPUTED_VALUE""")," ")</f>
        <v> </v>
      </c>
      <c r="E617" s="44" t="str">
        <f>IFERROR(__xludf.DUMMYFUNCTION("""COMPUTED_VALUE"""),"27915258")</f>
        <v>27915258</v>
      </c>
      <c r="F617" s="44" t="str">
        <f>IFERROR(__xludf.DUMMYFUNCTION("""COMPUTED_VALUE""")," ")</f>
        <v> </v>
      </c>
      <c r="G617" s="44" t="str">
        <f>IFERROR(__xludf.DUMMYFUNCTION("""COMPUTED_VALUE"""),"")</f>
        <v/>
      </c>
      <c r="H617" s="44" t="str">
        <f>IFERROR(__xludf.DUMMYFUNCTION("""COMPUTED_VALUE""")," ")</f>
        <v> </v>
      </c>
      <c r="I617" s="44" t="str">
        <f>IFERROR(__xludf.DUMMYFUNCTION("""COMPUTED_VALUE""")," ")</f>
        <v> </v>
      </c>
      <c r="J617" s="44" t="str">
        <f>IFERROR(__xludf.DUMMYFUNCTION("""COMPUTED_VALUE"""),"")</f>
        <v/>
      </c>
      <c r="K617" s="42" t="str">
        <f>IFERROR(__xludf.DUMMYFUNCTION("""COMPUTED_VALUE"""),"Hospital Vargas de Caracas")</f>
        <v>Hospital Vargas de Caracas</v>
      </c>
    </row>
    <row r="618">
      <c r="A618" s="44">
        <v>617.0</v>
      </c>
      <c r="B618" s="44" t="str">
        <f>IFERROR(__xludf.DUMMYFUNCTION("""COMPUTED_VALUE"""),"Hospital Ana Francisca Pérez de")</f>
        <v>Hospital Ana Francisca Pérez de</v>
      </c>
      <c r="C618" s="45" t="str">
        <f>IFERROR(__xludf.DUMMYFUNCTION("""COMPUTED_VALUE"""),"CEDENO ERICK")</f>
        <v>CEDENO ERICK</v>
      </c>
      <c r="D618" s="44">
        <f>IFERROR(__xludf.DUMMYFUNCTION("""COMPUTED_VALUE"""),14.0)</f>
        <v>14</v>
      </c>
      <c r="E618" s="44" t="str">
        <f>IFERROR(__xludf.DUMMYFUNCTION("""COMPUTED_VALUE"""),"27943786")</f>
        <v>27943786</v>
      </c>
      <c r="F618" s="44" t="str">
        <f>IFERROR(__xludf.DUMMYFUNCTION("""COMPUTED_VALUE"""),"")</f>
        <v/>
      </c>
      <c r="G618" s="44" t="str">
        <f>IFERROR(__xludf.DUMMYFUNCTION("""COMPUTED_VALUE""")," ")</f>
        <v> </v>
      </c>
      <c r="H618" s="44" t="str">
        <f>IFERROR(__xludf.DUMMYFUNCTION("""COMPUTED_VALUE"""),"La Guaira")</f>
        <v>La Guaira</v>
      </c>
      <c r="I618" s="44" t="str">
        <f>IFERROR(__xludf.DUMMYFUNCTION("""COMPUTED_VALUE""")," ")</f>
        <v> </v>
      </c>
      <c r="J618" s="44" t="str">
        <f>IFERROR(__xludf.DUMMYFUNCTION("""COMPUTED_VALUE"""),"")</f>
        <v/>
      </c>
      <c r="K618" s="42" t="str">
        <f>IFERROR(__xludf.DUMMYFUNCTION("""COMPUTED_VALUE"""),"Hospital Ana Francisca Pérez de")</f>
        <v>Hospital Ana Francisca Pérez de</v>
      </c>
    </row>
    <row r="619">
      <c r="A619" s="44">
        <v>618.0</v>
      </c>
      <c r="B619" s="44" t="str">
        <f>IFERROR(__xludf.DUMMYFUNCTION("""COMPUTED_VALUE"""),"Hospital Militar Dr. C. Arvelo")</f>
        <v>Hospital Militar Dr. C. Arvelo</v>
      </c>
      <c r="C619" s="45" t="str">
        <f>IFERROR(__xludf.DUMMYFUNCTION("""COMPUTED_VALUE"""),"Palmer Darliman")</f>
        <v>Palmer Darliman</v>
      </c>
      <c r="D619" s="44">
        <f>IFERROR(__xludf.DUMMYFUNCTION("""COMPUTED_VALUE"""),26.0)</f>
        <v>26</v>
      </c>
      <c r="E619" s="44" t="str">
        <f>IFERROR(__xludf.DUMMYFUNCTION("""COMPUTED_VALUE"""),"27956623")</f>
        <v>27956623</v>
      </c>
      <c r="F619" s="44" t="str">
        <f>IFERROR(__xludf.DUMMYFUNCTION("""COMPUTED_VALUE"""),"")</f>
        <v/>
      </c>
      <c r="G619" s="44" t="str">
        <f>IFERROR(__xludf.DUMMYFUNCTION("""COMPUTED_VALUE"""),"")</f>
        <v/>
      </c>
      <c r="H619" s="44" t="str">
        <f>IFERROR(__xludf.DUMMYFUNCTION("""COMPUTED_VALUE"""),"F")</f>
        <v>F</v>
      </c>
      <c r="I619" s="44" t="str">
        <f>IFERROR(__xludf.DUMMYFUNCTION("""COMPUTED_VALUE"""),"La Guaira PNA")</f>
        <v>La Guaira PNA</v>
      </c>
      <c r="J619" s="44" t="str">
        <f>IFERROR(__xludf.DUMMYFUNCTION("""COMPUTED_VALUE"""),"24/6/2026")</f>
        <v>24/6/2026</v>
      </c>
      <c r="K619" s="42" t="str">
        <f>IFERROR(__xludf.DUMMYFUNCTION("""COMPUTED_VALUE"""),"Hospital Militar Dr. C. Arvelo")</f>
        <v>Hospital Militar Dr. C. Arvelo</v>
      </c>
    </row>
    <row r="620">
      <c r="A620" s="44">
        <v>619.0</v>
      </c>
      <c r="B620" s="44" t="str">
        <f>IFERROR(__xludf.DUMMYFUNCTION("""COMPUTED_VALUE"""),"Hospital Militar Dr. C. Arvelo")</f>
        <v>Hospital Militar Dr. C. Arvelo</v>
      </c>
      <c r="C620" s="45" t="str">
        <f>IFERROR(__xludf.DUMMYFUNCTION("""COMPUTED_VALUE"""),"Medina Maritza")</f>
        <v>Medina Maritza</v>
      </c>
      <c r="D620" s="44">
        <f>IFERROR(__xludf.DUMMYFUNCTION("""COMPUTED_VALUE"""),20.0)</f>
        <v>20</v>
      </c>
      <c r="E620" s="44" t="str">
        <f>IFERROR(__xludf.DUMMYFUNCTION("""COMPUTED_VALUE"""),"28001615")</f>
        <v>28001615</v>
      </c>
      <c r="F620" s="44" t="str">
        <f>IFERROR(__xludf.DUMMYFUNCTION("""COMPUTED_VALUE"""),"")</f>
        <v/>
      </c>
      <c r="G620" s="44" t="str">
        <f>IFERROR(__xludf.DUMMYFUNCTION("""COMPUTED_VALUE"""),"")</f>
        <v/>
      </c>
      <c r="H620" s="44" t="str">
        <f>IFERROR(__xludf.DUMMYFUNCTION("""COMPUTED_VALUE"""),"F")</f>
        <v>F</v>
      </c>
      <c r="I620" s="44" t="str">
        <f>IFERROR(__xludf.DUMMYFUNCTION("""COMPUTED_VALUE"""),"La Guaira PNA")</f>
        <v>La Guaira PNA</v>
      </c>
      <c r="J620" s="44" t="str">
        <f>IFERROR(__xludf.DUMMYFUNCTION("""COMPUTED_VALUE"""),"24/6/2026")</f>
        <v>24/6/2026</v>
      </c>
      <c r="K620" s="42" t="str">
        <f>IFERROR(__xludf.DUMMYFUNCTION("""COMPUTED_VALUE"""),"Hospital Militar Dr. C. Arvelo")</f>
        <v>Hospital Militar Dr. C. Arvelo</v>
      </c>
    </row>
    <row r="621">
      <c r="A621" s="44">
        <v>620.0</v>
      </c>
      <c r="B621" s="44" t="str">
        <f>IFERROR(__xludf.DUMMYFUNCTION("""COMPUTED_VALUE"""),"Hospital Domingo Luciani")</f>
        <v>Hospital Domingo Luciani</v>
      </c>
      <c r="C621" s="45" t="str">
        <f>IFERROR(__xludf.DUMMYFUNCTION("""COMPUTED_VALUE"""),"SANCHEZ ESTIVEN")</f>
        <v>SANCHEZ ESTIVEN</v>
      </c>
      <c r="D621" s="44">
        <f>IFERROR(__xludf.DUMMYFUNCTION("""COMPUTED_VALUE"""),28.0)</f>
        <v>28</v>
      </c>
      <c r="E621" s="44" t="str">
        <f>IFERROR(__xludf.DUMMYFUNCTION("""COMPUTED_VALUE"""),"28037310")</f>
        <v>28037310</v>
      </c>
      <c r="F621" s="44" t="str">
        <f>IFERROR(__xludf.DUMMYFUNCTION("""COMPUTED_VALUE"""),"")</f>
        <v/>
      </c>
      <c r="G621" s="44" t="str">
        <f>IFERROR(__xludf.DUMMYFUNCTION("""COMPUTED_VALUE""")," ")</f>
        <v> </v>
      </c>
      <c r="H621" s="44" t="str">
        <f>IFERROR(__xludf.DUMMYFUNCTION("""COMPUTED_VALUE""")," ")</f>
        <v> </v>
      </c>
      <c r="I621" s="44" t="str">
        <f>IFERROR(__xludf.DUMMYFUNCTION("""COMPUTED_VALUE"""),"Internado; Alta")</f>
        <v>Internado; Alta</v>
      </c>
      <c r="J621" s="44" t="str">
        <f>IFERROR(__xludf.DUMMYFUNCTION("""COMPUTED_VALUE"""),"")</f>
        <v/>
      </c>
      <c r="K621" s="42" t="str">
        <f>IFERROR(__xludf.DUMMYFUNCTION("""COMPUTED_VALUE"""),"🔍 BUSCAR PACIENTES")</f>
        <v>🔍 BUSCAR PACIENTES</v>
      </c>
    </row>
    <row r="622">
      <c r="A622" s="44">
        <v>621.0</v>
      </c>
      <c r="B622" s="44" t="str">
        <f>IFERROR(__xludf.DUMMYFUNCTION("""COMPUTED_VALUE"""),"Hospital Pérez Carreño")</f>
        <v>Hospital Pérez Carreño</v>
      </c>
      <c r="C622" s="45" t="str">
        <f>IFERROR(__xludf.DUMMYFUNCTION("""COMPUTED_VALUE"""),"MARIA ARAQUE")</f>
        <v>MARIA ARAQUE</v>
      </c>
      <c r="D622" s="44" t="str">
        <f>IFERROR(__xludf.DUMMYFUNCTION("""COMPUTED_VALUE""")," ")</f>
        <v> </v>
      </c>
      <c r="E622" s="44" t="str">
        <f>IFERROR(__xludf.DUMMYFUNCTION("""COMPUTED_VALUE"""),"28100561")</f>
        <v>28100561</v>
      </c>
      <c r="F622" s="44" t="str">
        <f>IFERROR(__xludf.DUMMYFUNCTION("""COMPUTED_VALUE"""),"")</f>
        <v/>
      </c>
      <c r="G622" s="44" t="str">
        <f>IFERROR(__xludf.DUMMYFUNCTION("""COMPUTED_VALUE""")," ")</f>
        <v> </v>
      </c>
      <c r="H622" s="44" t="str">
        <f>IFERROR(__xludf.DUMMYFUNCTION("""COMPUTED_VALUE""")," ")</f>
        <v> </v>
      </c>
      <c r="I622" s="44" t="str">
        <f>IFERROR(__xludf.DUMMYFUNCTION("""COMPUTED_VALUE""")," ")</f>
        <v> </v>
      </c>
      <c r="J622" s="44" t="str">
        <f>IFERROR(__xludf.DUMMYFUNCTION("""COMPUTED_VALUE"""),"25/06/2026")</f>
        <v>25/06/2026</v>
      </c>
      <c r="K622" s="42" t="str">
        <f>IFERROR(__xludf.DUMMYFUNCTION("""COMPUTED_VALUE"""),"Hospital Pérez Carreño")</f>
        <v>Hospital Pérez Carreño</v>
      </c>
    </row>
    <row r="623">
      <c r="A623" s="44">
        <v>622.0</v>
      </c>
      <c r="B623" s="44" t="str">
        <f>IFERROR(__xludf.DUMMYFUNCTION("""COMPUTED_VALUE"""),"Hospital Pérez Carreño")</f>
        <v>Hospital Pérez Carreño</v>
      </c>
      <c r="C623" s="45" t="str">
        <f>IFERROR(__xludf.DUMMYFUNCTION("""COMPUTED_VALUE"""),"MARIA ARAQUE")</f>
        <v>MARIA ARAQUE</v>
      </c>
      <c r="D623" s="44" t="str">
        <f>IFERROR(__xludf.DUMMYFUNCTION("""COMPUTED_VALUE""")," ")</f>
        <v> </v>
      </c>
      <c r="E623" s="44" t="str">
        <f>IFERROR(__xludf.DUMMYFUNCTION("""COMPUTED_VALUE"""),"281005610")</f>
        <v>281005610</v>
      </c>
      <c r="F623" s="44" t="str">
        <f>IFERROR(__xludf.DUMMYFUNCTION("""COMPUTED_VALUE"""),"")</f>
        <v/>
      </c>
      <c r="G623" s="44" t="str">
        <f>IFERROR(__xludf.DUMMYFUNCTION("""COMPUTED_VALUE""")," ")</f>
        <v> </v>
      </c>
      <c r="H623" s="44" t="str">
        <f>IFERROR(__xludf.DUMMYFUNCTION("""COMPUTED_VALUE""")," ")</f>
        <v> </v>
      </c>
      <c r="I623" s="44" t="str">
        <f>IFERROR(__xludf.DUMMYFUNCTION("""COMPUTED_VALUE""")," ")</f>
        <v> </v>
      </c>
      <c r="J623" s="44" t="str">
        <f>IFERROR(__xludf.DUMMYFUNCTION("""COMPUTED_VALUE"""),"25/06/2026")</f>
        <v>25/06/2026</v>
      </c>
      <c r="K623" s="42" t="str">
        <f>IFERROR(__xludf.DUMMYFUNCTION("""COMPUTED_VALUE"""),"Hospital Pérez Carreño")</f>
        <v>Hospital Pérez Carreño</v>
      </c>
    </row>
    <row r="624">
      <c r="A624" s="44">
        <v>623.0</v>
      </c>
      <c r="B624" s="44" t="str">
        <f>IFERROR(__xludf.DUMMYFUNCTION("""COMPUTED_VALUE"""),"H. Jose Maria Vargas LG")</f>
        <v>H. Jose Maria Vargas LG</v>
      </c>
      <c r="C624" s="45" t="str">
        <f>IFERROR(__xludf.DUMMYFUNCTION("""COMPUTED_VALUE"""),"CARNEIRO RORAIMA")</f>
        <v>CARNEIRO RORAIMA</v>
      </c>
      <c r="D624" s="44">
        <f>IFERROR(__xludf.DUMMYFUNCTION("""COMPUTED_VALUE"""),26.0)</f>
        <v>26</v>
      </c>
      <c r="E624" s="44" t="str">
        <f>IFERROR(__xludf.DUMMYFUNCTION("""COMPUTED_VALUE"""),"28132141")</f>
        <v>28132141</v>
      </c>
      <c r="F624" s="44" t="str">
        <f>IFERROR(__xludf.DUMMYFUNCTION("""COMPUTED_VALUE"""),"")</f>
        <v/>
      </c>
      <c r="G624" s="44" t="str">
        <f>IFERROR(__xludf.DUMMYFUNCTION("""COMPUTED_VALUE""")," ")</f>
        <v> </v>
      </c>
      <c r="H624" s="44" t="str">
        <f>IFERROR(__xludf.DUMMYFUNCTION("""COMPUTED_VALUE"""),"Caribe")</f>
        <v>Caribe</v>
      </c>
      <c r="I624" s="44" t="str">
        <f>IFERROR(__xludf.DUMMYFUNCTION("""COMPUTED_VALUE""")," ")</f>
        <v> </v>
      </c>
      <c r="J624" s="44" t="str">
        <f>IFERROR(__xludf.DUMMYFUNCTION("""COMPUTED_VALUE"""),"")</f>
        <v/>
      </c>
      <c r="K624" s="42" t="str">
        <f>IFERROR(__xludf.DUMMYFUNCTION("""COMPUTED_VALUE"""),"H. Jose Maria Vargas LG")</f>
        <v>H. Jose Maria Vargas LG</v>
      </c>
    </row>
    <row r="625">
      <c r="A625" s="44">
        <v>624.0</v>
      </c>
      <c r="B625" s="44" t="str">
        <f>IFERROR(__xludf.DUMMYFUNCTION("""COMPUTED_VALUE"""),"Hospital Universitario de Carac")</f>
        <v>Hospital Universitario de Carac</v>
      </c>
      <c r="C625" s="45" t="str">
        <f>IFERROR(__xludf.DUMMYFUNCTION("""COMPUTED_VALUE"""),"ACOSTA YOLERFAN")</f>
        <v>ACOSTA YOLERFAN</v>
      </c>
      <c r="D625" s="44">
        <f>IFERROR(__xludf.DUMMYFUNCTION("""COMPUTED_VALUE"""),26.0)</f>
        <v>26</v>
      </c>
      <c r="E625" s="44" t="str">
        <f>IFERROR(__xludf.DUMMYFUNCTION("""COMPUTED_VALUE"""),"28136168")</f>
        <v>28136168</v>
      </c>
      <c r="F625" s="44" t="str">
        <f>IFERROR(__xludf.DUMMYFUNCTION("""COMPUTED_VALUE"""),"")</f>
        <v/>
      </c>
      <c r="G625" s="44" t="str">
        <f>IFERROR(__xludf.DUMMYFUNCTION("""COMPUTED_VALUE"""),"0412-3475759")</f>
        <v>0412-3475759</v>
      </c>
      <c r="H625" s="44" t="str">
        <f>IFERROR(__xludf.DUMMYFUNCTION("""COMPUTED_VALUE""")," ")</f>
        <v> </v>
      </c>
      <c r="I625" s="44" t="str">
        <f>IFERROR(__xludf.DUMMYFUNCTION("""COMPUTED_VALUE""")," ")</f>
        <v> </v>
      </c>
      <c r="J625" s="44" t="str">
        <f>IFERROR(__xludf.DUMMYFUNCTION("""COMPUTED_VALUE"""),"")</f>
        <v/>
      </c>
      <c r="K625" s="42" t="str">
        <f>IFERROR(__xludf.DUMMYFUNCTION("""COMPUTED_VALUE"""),"Hospital Universitario de Carac")</f>
        <v>Hospital Universitario de Carac</v>
      </c>
    </row>
    <row r="626">
      <c r="A626" s="44">
        <v>625.0</v>
      </c>
      <c r="B626" s="44" t="str">
        <f>IFERROR(__xludf.DUMMYFUNCTION("""COMPUTED_VALUE"""),"Hospital Pérez Carreño")</f>
        <v>Hospital Pérez Carreño</v>
      </c>
      <c r="C626" s="45" t="str">
        <f>IFERROR(__xludf.DUMMYFUNCTION("""COMPUTED_VALUE"""),"CARDENAS ALAXDIA")</f>
        <v>CARDENAS ALAXDIA</v>
      </c>
      <c r="D626" s="44" t="str">
        <f>IFERROR(__xludf.DUMMYFUNCTION("""COMPUTED_VALUE""")," ")</f>
        <v> </v>
      </c>
      <c r="E626" s="44" t="str">
        <f>IFERROR(__xludf.DUMMYFUNCTION("""COMPUTED_VALUE"""),"28143770")</f>
        <v>28143770</v>
      </c>
      <c r="F626" s="44" t="str">
        <f>IFERROR(__xludf.DUMMYFUNCTION("""COMPUTED_VALUE"""),"")</f>
        <v/>
      </c>
      <c r="G626" s="44" t="str">
        <f>IFERROR(__xludf.DUMMYFUNCTION("""COMPUTED_VALUE""")," ")</f>
        <v> </v>
      </c>
      <c r="H626" s="44" t="str">
        <f>IFERROR(__xludf.DUMMYFUNCTION("""COMPUTED_VALUE""")," ")</f>
        <v> </v>
      </c>
      <c r="I626" s="44" t="str">
        <f>IFERROR(__xludf.DUMMYFUNCTION("""COMPUTED_VALUE""")," ")</f>
        <v> </v>
      </c>
      <c r="J626" s="44" t="str">
        <f>IFERROR(__xludf.DUMMYFUNCTION("""COMPUTED_VALUE"""),"25/06/2026")</f>
        <v>25/06/2026</v>
      </c>
      <c r="K626" s="42" t="str">
        <f>IFERROR(__xludf.DUMMYFUNCTION("""COMPUTED_VALUE"""),"Hospital Pérez Carreño")</f>
        <v>Hospital Pérez Carreño</v>
      </c>
    </row>
    <row r="627">
      <c r="A627" s="44">
        <v>626.0</v>
      </c>
      <c r="B627" s="44" t="str">
        <f>IFERROR(__xludf.DUMMYFUNCTION("""COMPUTED_VALUE"""),"Hospital Pérez Carreño")</f>
        <v>Hospital Pérez Carreño</v>
      </c>
      <c r="C627" s="45" t="str">
        <f>IFERROR(__xludf.DUMMYFUNCTION("""COMPUTED_VALUE"""),"CARDENAS ALEXANDRA")</f>
        <v>CARDENAS ALEXANDRA</v>
      </c>
      <c r="D627" s="44" t="str">
        <f>IFERROR(__xludf.DUMMYFUNCTION("""COMPUTED_VALUE""")," ")</f>
        <v> </v>
      </c>
      <c r="E627" s="44" t="str">
        <f>IFERROR(__xludf.DUMMYFUNCTION("""COMPUTED_VALUE"""),"281437700")</f>
        <v>281437700</v>
      </c>
      <c r="F627" s="44" t="str">
        <f>IFERROR(__xludf.DUMMYFUNCTION("""COMPUTED_VALUE"""),"")</f>
        <v/>
      </c>
      <c r="G627" s="44" t="str">
        <f>IFERROR(__xludf.DUMMYFUNCTION("""COMPUTED_VALUE""")," ")</f>
        <v> </v>
      </c>
      <c r="H627" s="44" t="str">
        <f>IFERROR(__xludf.DUMMYFUNCTION("""COMPUTED_VALUE""")," ")</f>
        <v> </v>
      </c>
      <c r="I627" s="44" t="str">
        <f>IFERROR(__xludf.DUMMYFUNCTION("""COMPUTED_VALUE"""),"TRAUMASHOCK")</f>
        <v>TRAUMASHOCK</v>
      </c>
      <c r="J627" s="44" t="str">
        <f>IFERROR(__xludf.DUMMYFUNCTION("""COMPUTED_VALUE"""),"25/06/2026")</f>
        <v>25/06/2026</v>
      </c>
      <c r="K627" s="42" t="str">
        <f>IFERROR(__xludf.DUMMYFUNCTION("""COMPUTED_VALUE"""),"Hospital Pérez Carreño")</f>
        <v>Hospital Pérez Carreño</v>
      </c>
    </row>
    <row r="628">
      <c r="A628" s="44">
        <v>627.0</v>
      </c>
      <c r="B628" s="44" t="str">
        <f>IFERROR(__xludf.DUMMYFUNCTION("""COMPUTED_VALUE"""),"Hospital Pérez Carreño")</f>
        <v>Hospital Pérez Carreño</v>
      </c>
      <c r="C628" s="45" t="str">
        <f>IFERROR(__xludf.DUMMYFUNCTION("""COMPUTED_VALUE"""),"EMILI MOSQUERA")</f>
        <v>EMILI MOSQUERA</v>
      </c>
      <c r="D628" s="44" t="str">
        <f>IFERROR(__xludf.DUMMYFUNCTION("""COMPUTED_VALUE"""),"Sin información")</f>
        <v>Sin información</v>
      </c>
      <c r="E628" s="44" t="str">
        <f>IFERROR(__xludf.DUMMYFUNCTION("""COMPUTED_VALUE"""),"2826537790")</f>
        <v>2826537790</v>
      </c>
      <c r="F628" s="44" t="str">
        <f>IFERROR(__xludf.DUMMYFUNCTION("""COMPUTED_VALUE"""),"")</f>
        <v/>
      </c>
      <c r="G628" s="44" t="str">
        <f>IFERROR(__xludf.DUMMYFUNCTION("""COMPUTED_VALUE""")," ")</f>
        <v> </v>
      </c>
      <c r="H628" s="44" t="str">
        <f>IFERROR(__xludf.DUMMYFUNCTION("""COMPUTED_VALUE"""),"Sin información")</f>
        <v>Sin información</v>
      </c>
      <c r="I628" s="44" t="str">
        <f>IFERROR(__xludf.DUMMYFUNCTION("""COMPUTED_VALUE"""),"Sin información")</f>
        <v>Sin información</v>
      </c>
      <c r="J628" s="44" t="str">
        <f>IFERROR(__xludf.DUMMYFUNCTION("""COMPUTED_VALUE"""),"25/06/2026")</f>
        <v>25/06/2026</v>
      </c>
      <c r="K628" s="42" t="str">
        <f>IFERROR(__xludf.DUMMYFUNCTION("""COMPUTED_VALUE"""),"Hospital Pérez Carreño")</f>
        <v>Hospital Pérez Carreño</v>
      </c>
    </row>
    <row r="629">
      <c r="A629" s="44">
        <v>628.0</v>
      </c>
      <c r="B629" s="44" t="str">
        <f>IFERROR(__xludf.DUMMYFUNCTION("""COMPUTED_VALUE"""),"Hospital Pérez Carreño")</f>
        <v>Hospital Pérez Carreño</v>
      </c>
      <c r="C629" s="45" t="str">
        <f>IFERROR(__xludf.DUMMYFUNCTION("""COMPUTED_VALUE"""),"MOSQUERA EMILI")</f>
        <v>MOSQUERA EMILI</v>
      </c>
      <c r="D629" s="44" t="str">
        <f>IFERROR(__xludf.DUMMYFUNCTION("""COMPUTED_VALUE""")," ")</f>
        <v> </v>
      </c>
      <c r="E629" s="44" t="str">
        <f>IFERROR(__xludf.DUMMYFUNCTION("""COMPUTED_VALUE"""),"28285779")</f>
        <v>28285779</v>
      </c>
      <c r="F629" s="44" t="str">
        <f>IFERROR(__xludf.DUMMYFUNCTION("""COMPUTED_VALUE"""),"")</f>
        <v/>
      </c>
      <c r="G629" s="44" t="str">
        <f>IFERROR(__xludf.DUMMYFUNCTION("""COMPUTED_VALUE""")," ")</f>
        <v> </v>
      </c>
      <c r="H629" s="44" t="str">
        <f>IFERROR(__xludf.DUMMYFUNCTION("""COMPUTED_VALUE""")," ")</f>
        <v> </v>
      </c>
      <c r="I629" s="44" t="str">
        <f>IFERROR(__xludf.DUMMYFUNCTION("""COMPUTED_VALUE""")," ")</f>
        <v> </v>
      </c>
      <c r="J629" s="44" t="str">
        <f>IFERROR(__xludf.DUMMYFUNCTION("""COMPUTED_VALUE"""),"25/06/2026")</f>
        <v>25/06/2026</v>
      </c>
      <c r="K629" s="42" t="str">
        <f>IFERROR(__xludf.DUMMYFUNCTION("""COMPUTED_VALUE"""),"Hospital Pérez Carreño")</f>
        <v>Hospital Pérez Carreño</v>
      </c>
    </row>
    <row r="630">
      <c r="A630" s="44">
        <v>629.0</v>
      </c>
      <c r="B630" s="44" t="str">
        <f>IFERROR(__xludf.DUMMYFUNCTION("""COMPUTED_VALUE"""),"Hospital Pérez Carreño")</f>
        <v>Hospital Pérez Carreño</v>
      </c>
      <c r="C630" s="45" t="str">
        <f>IFERROR(__xludf.DUMMYFUNCTION("""COMPUTED_VALUE"""),"EMILI MOSQUERA")</f>
        <v>EMILI MOSQUERA</v>
      </c>
      <c r="D630" s="44" t="str">
        <f>IFERROR(__xludf.DUMMYFUNCTION("""COMPUTED_VALUE""")," ")</f>
        <v> </v>
      </c>
      <c r="E630" s="44" t="str">
        <f>IFERROR(__xludf.DUMMYFUNCTION("""COMPUTED_VALUE"""),"282857790")</f>
        <v>282857790</v>
      </c>
      <c r="F630" s="44" t="str">
        <f>IFERROR(__xludf.DUMMYFUNCTION("""COMPUTED_VALUE"""),"")</f>
        <v/>
      </c>
      <c r="G630" s="44" t="str">
        <f>IFERROR(__xludf.DUMMYFUNCTION("""COMPUTED_VALUE""")," ")</f>
        <v> </v>
      </c>
      <c r="H630" s="44" t="str">
        <f>IFERROR(__xludf.DUMMYFUNCTION("""COMPUTED_VALUE""")," ")</f>
        <v> </v>
      </c>
      <c r="I630" s="44" t="str">
        <f>IFERROR(__xludf.DUMMYFUNCTION("""COMPUTED_VALUE""")," ")</f>
        <v> </v>
      </c>
      <c r="J630" s="44" t="str">
        <f>IFERROR(__xludf.DUMMYFUNCTION("""COMPUTED_VALUE"""),"25/06/2026")</f>
        <v>25/06/2026</v>
      </c>
      <c r="K630" s="42" t="str">
        <f>IFERROR(__xludf.DUMMYFUNCTION("""COMPUTED_VALUE"""),"Hospital Pérez Carreño")</f>
        <v>Hospital Pérez Carreño</v>
      </c>
    </row>
    <row r="631">
      <c r="A631" s="44">
        <v>630.0</v>
      </c>
      <c r="B631" s="44" t="str">
        <f>IFERROR(__xludf.DUMMYFUNCTION("""COMPUTED_VALUE"""),"Hospital Vargas de Caracas")</f>
        <v>Hospital Vargas de Caracas</v>
      </c>
      <c r="C631" s="45" t="str">
        <f>IFERROR(__xludf.DUMMYFUNCTION("""COMPUTED_VALUE"""),"MARQUEZ ANA")</f>
        <v>MARQUEZ ANA</v>
      </c>
      <c r="D631" s="44">
        <f>IFERROR(__xludf.DUMMYFUNCTION("""COMPUTED_VALUE"""),24.0)</f>
        <v>24</v>
      </c>
      <c r="E631" s="44" t="str">
        <f>IFERROR(__xludf.DUMMYFUNCTION("""COMPUTED_VALUE"""),"28304997")</f>
        <v>28304997</v>
      </c>
      <c r="F631" s="44" t="str">
        <f>IFERROR(__xludf.DUMMYFUNCTION("""COMPUTED_VALUE""")," ")</f>
        <v> </v>
      </c>
      <c r="G631" s="44" t="str">
        <f>IFERROR(__xludf.DUMMYFUNCTION("""COMPUTED_VALUE"""),"")</f>
        <v/>
      </c>
      <c r="H631" s="44" t="str">
        <f>IFERROR(__xludf.DUMMYFUNCTION("""COMPUTED_VALUE"""),"La Guaira")</f>
        <v>La Guaira</v>
      </c>
      <c r="I631" s="44" t="str">
        <f>IFERROR(__xludf.DUMMYFUNCTION("""COMPUTED_VALUE"""),"UPT")</f>
        <v>UPT</v>
      </c>
      <c r="J631" s="44" t="str">
        <f>IFERROR(__xludf.DUMMYFUNCTION("""COMPUTED_VALUE"""),"")</f>
        <v/>
      </c>
      <c r="K631" s="42" t="str">
        <f>IFERROR(__xludf.DUMMYFUNCTION("""COMPUTED_VALUE"""),"Hospital Vargas de Caracas")</f>
        <v>Hospital Vargas de Caracas</v>
      </c>
    </row>
    <row r="632">
      <c r="A632" s="44">
        <v>631.0</v>
      </c>
      <c r="B632" s="44" t="str">
        <f>IFERROR(__xludf.DUMMYFUNCTION("""COMPUTED_VALUE"""),"Hospital Universitario de Carac")</f>
        <v>Hospital Universitario de Carac</v>
      </c>
      <c r="C632" s="45" t="str">
        <f>IFERROR(__xludf.DUMMYFUNCTION("""COMPUTED_VALUE"""),"MORA NATALIA")</f>
        <v>MORA NATALIA</v>
      </c>
      <c r="D632" s="44">
        <f>IFERROR(__xludf.DUMMYFUNCTION("""COMPUTED_VALUE"""),25.0)</f>
        <v>25</v>
      </c>
      <c r="E632" s="44" t="str">
        <f>IFERROR(__xludf.DUMMYFUNCTION("""COMPUTED_VALUE"""),"28312526")</f>
        <v>28312526</v>
      </c>
      <c r="F632" s="44" t="str">
        <f>IFERROR(__xludf.DUMMYFUNCTION("""COMPUTED_VALUE"""),"")</f>
        <v/>
      </c>
      <c r="G632" s="44" t="str">
        <f>IFERROR(__xludf.DUMMYFUNCTION("""COMPUTED_VALUE""")," ")</f>
        <v> </v>
      </c>
      <c r="H632" s="44" t="str">
        <f>IFERROR(__xludf.DUMMYFUNCTION("""COMPUTED_VALUE""")," ")</f>
        <v> </v>
      </c>
      <c r="I632" s="44" t="str">
        <f>IFERROR(__xludf.DUMMYFUNCTION("""COMPUTED_VALUE"""),"Politraumatismo")</f>
        <v>Politraumatismo</v>
      </c>
      <c r="J632" s="44" t="str">
        <f>IFERROR(__xludf.DUMMYFUNCTION("""COMPUTED_VALUE"""),"")</f>
        <v/>
      </c>
      <c r="K632" s="42" t="str">
        <f>IFERROR(__xludf.DUMMYFUNCTION("""COMPUTED_VALUE"""),"Hospital Universitario de Carac")</f>
        <v>Hospital Universitario de Carac</v>
      </c>
    </row>
    <row r="633">
      <c r="A633" s="44">
        <v>632.0</v>
      </c>
      <c r="B633" s="44" t="str">
        <f>IFERROR(__xludf.DUMMYFUNCTION("""COMPUTED_VALUE"""),"Hospital Militar Dr. C. Arvelo")</f>
        <v>Hospital Militar Dr. C. Arvelo</v>
      </c>
      <c r="C633" s="45" t="str">
        <f>IFERROR(__xludf.DUMMYFUNCTION("""COMPUTED_VALUE"""),"Murillo Landaeta Yorgelis Yadili")</f>
        <v>Murillo Landaeta Yorgelis Yadili</v>
      </c>
      <c r="D633" s="44">
        <f>IFERROR(__xludf.DUMMYFUNCTION("""COMPUTED_VALUE"""),26.0)</f>
        <v>26</v>
      </c>
      <c r="E633" s="44" t="str">
        <f>IFERROR(__xludf.DUMMYFUNCTION("""COMPUTED_VALUE"""),"28440024")</f>
        <v>28440024</v>
      </c>
      <c r="F633" s="44" t="str">
        <f>IFERROR(__xludf.DUMMYFUNCTION("""COMPUTED_VALUE"""),"")</f>
        <v/>
      </c>
      <c r="G633" s="44" t="str">
        <f>IFERROR(__xludf.DUMMYFUNCTION("""COMPUTED_VALUE"""),"")</f>
        <v/>
      </c>
      <c r="H633" s="44" t="str">
        <f>IFERROR(__xludf.DUMMYFUNCTION("""COMPUTED_VALUE"""),"F")</f>
        <v>F</v>
      </c>
      <c r="I633" s="44" t="str">
        <f>IFERROR(__xludf.DUMMYFUNCTION("""COMPUTED_VALUE"""),"San Martín PNA")</f>
        <v>San Martín PNA</v>
      </c>
      <c r="J633" s="44" t="str">
        <f>IFERROR(__xludf.DUMMYFUNCTION("""COMPUTED_VALUE"""),"24/6/2026")</f>
        <v>24/6/2026</v>
      </c>
      <c r="K633" s="42" t="str">
        <f>IFERROR(__xludf.DUMMYFUNCTION("""COMPUTED_VALUE"""),"Hospital Militar Dr. C. Arvelo")</f>
        <v>Hospital Militar Dr. C. Arvelo</v>
      </c>
    </row>
    <row r="634">
      <c r="A634" s="44">
        <v>633.0</v>
      </c>
      <c r="B634" s="44" t="str">
        <f>IFERROR(__xludf.DUMMYFUNCTION("""COMPUTED_VALUE"""),"Hospital Militar Dr. C. Arvelo")</f>
        <v>Hospital Militar Dr. C. Arvelo</v>
      </c>
      <c r="C634" s="45" t="str">
        <f>IFERROR(__xludf.DUMMYFUNCTION("""COMPUTED_VALUE"""),"Murillo Landaeta Kéliz")</f>
        <v>Murillo Landaeta Kéliz</v>
      </c>
      <c r="D634" s="44">
        <f>IFERROR(__xludf.DUMMYFUNCTION("""COMPUTED_VALUE"""),23.0)</f>
        <v>23</v>
      </c>
      <c r="E634" s="44" t="str">
        <f>IFERROR(__xludf.DUMMYFUNCTION("""COMPUTED_VALUE"""),"28443736")</f>
        <v>28443736</v>
      </c>
      <c r="F634" s="44" t="str">
        <f>IFERROR(__xludf.DUMMYFUNCTION("""COMPUTED_VALUE"""),"")</f>
        <v/>
      </c>
      <c r="G634" s="44" t="str">
        <f>IFERROR(__xludf.DUMMYFUNCTION("""COMPUTED_VALUE"""),"")</f>
        <v/>
      </c>
      <c r="H634" s="44" t="str">
        <f>IFERROR(__xludf.DUMMYFUNCTION("""COMPUTED_VALUE"""),"F")</f>
        <v>F</v>
      </c>
      <c r="I634" s="44" t="str">
        <f>IFERROR(__xludf.DUMMYFUNCTION("""COMPUTED_VALUE"""),"El Paraíso AFILIADA")</f>
        <v>El Paraíso AFILIADA</v>
      </c>
      <c r="J634" s="44" t="str">
        <f>IFERROR(__xludf.DUMMYFUNCTION("""COMPUTED_VALUE"""),"24/6/2026")</f>
        <v>24/6/2026</v>
      </c>
      <c r="K634" s="42" t="str">
        <f>IFERROR(__xludf.DUMMYFUNCTION("""COMPUTED_VALUE"""),"Hospital Militar Dr. C. Arvelo")</f>
        <v>Hospital Militar Dr. C. Arvelo</v>
      </c>
    </row>
    <row r="635">
      <c r="A635" s="44">
        <v>634.0</v>
      </c>
      <c r="B635" s="44" t="str">
        <f>IFERROR(__xludf.DUMMYFUNCTION("""COMPUTED_VALUE"""),"Hospital Pérez Carreño")</f>
        <v>Hospital Pérez Carreño</v>
      </c>
      <c r="C635" s="45" t="str">
        <f>IFERROR(__xludf.DUMMYFUNCTION("""COMPUTED_VALUE"""),"GUTIERREZ JOSE")</f>
        <v>GUTIERREZ JOSE</v>
      </c>
      <c r="D635" s="44" t="str">
        <f>IFERROR(__xludf.DUMMYFUNCTION("""COMPUTED_VALUE""")," ")</f>
        <v> </v>
      </c>
      <c r="E635" s="44" t="str">
        <f>IFERROR(__xludf.DUMMYFUNCTION("""COMPUTED_VALUE"""),"28447519")</f>
        <v>28447519</v>
      </c>
      <c r="F635" s="44" t="str">
        <f>IFERROR(__xludf.DUMMYFUNCTION("""COMPUTED_VALUE"""),"")</f>
        <v/>
      </c>
      <c r="G635" s="44" t="str">
        <f>IFERROR(__xludf.DUMMYFUNCTION("""COMPUTED_VALUE""")," ")</f>
        <v> </v>
      </c>
      <c r="H635" s="44" t="str">
        <f>IFERROR(__xludf.DUMMYFUNCTION("""COMPUTED_VALUE""")," ")</f>
        <v> </v>
      </c>
      <c r="I635" s="44" t="str">
        <f>IFERROR(__xludf.DUMMYFUNCTION("""COMPUTED_VALUE""")," ")</f>
        <v> </v>
      </c>
      <c r="J635" s="44" t="str">
        <f>IFERROR(__xludf.DUMMYFUNCTION("""COMPUTED_VALUE"""),"25/06/2026")</f>
        <v>25/06/2026</v>
      </c>
      <c r="K635" s="42" t="str">
        <f>IFERROR(__xludf.DUMMYFUNCTION("""COMPUTED_VALUE"""),"Hospital Pérez Carreño")</f>
        <v>Hospital Pérez Carreño</v>
      </c>
    </row>
    <row r="636">
      <c r="A636" s="44">
        <v>635.0</v>
      </c>
      <c r="B636" s="44" t="str">
        <f>IFERROR(__xludf.DUMMYFUNCTION("""COMPUTED_VALUE"""),"Hospital Militar Dr. C. Arvelo")</f>
        <v>Hospital Militar Dr. C. Arvelo</v>
      </c>
      <c r="C636" s="45" t="str">
        <f>IFERROR(__xludf.DUMMYFUNCTION("""COMPUTED_VALUE"""),"Stefaní Villegas")</f>
        <v>Stefaní Villegas</v>
      </c>
      <c r="D636" s="44">
        <f>IFERROR(__xludf.DUMMYFUNCTION("""COMPUTED_VALUE"""),25.0)</f>
        <v>25</v>
      </c>
      <c r="E636" s="44" t="str">
        <f>IFERROR(__xludf.DUMMYFUNCTION("""COMPUTED_VALUE"""),"28453309")</f>
        <v>28453309</v>
      </c>
      <c r="F636" s="44" t="str">
        <f>IFERROR(__xludf.DUMMYFUNCTION("""COMPUTED_VALUE"""),"")</f>
        <v/>
      </c>
      <c r="G636" s="44" t="str">
        <f>IFERROR(__xludf.DUMMYFUNCTION("""COMPUTED_VALUE"""),"")</f>
        <v/>
      </c>
      <c r="H636" s="44" t="str">
        <f>IFERROR(__xludf.DUMMYFUNCTION("""COMPUTED_VALUE"""),"F")</f>
        <v>F</v>
      </c>
      <c r="I636" s="44" t="str">
        <f>IFERROR(__xludf.DUMMYFUNCTION("""COMPUTED_VALUE"""),"La Guaira PNA")</f>
        <v>La Guaira PNA</v>
      </c>
      <c r="J636" s="44" t="str">
        <f>IFERROR(__xludf.DUMMYFUNCTION("""COMPUTED_VALUE"""),"24/6/2026")</f>
        <v>24/6/2026</v>
      </c>
      <c r="K636" s="42" t="str">
        <f>IFERROR(__xludf.DUMMYFUNCTION("""COMPUTED_VALUE"""),"Hospital Militar Dr. C. Arvelo")</f>
        <v>Hospital Militar Dr. C. Arvelo</v>
      </c>
    </row>
    <row r="637">
      <c r="A637" s="44">
        <v>636.0</v>
      </c>
      <c r="B637" s="44" t="str">
        <f>IFERROR(__xludf.DUMMYFUNCTION("""COMPUTED_VALUE"""),"Hospital Pérez Carreño")</f>
        <v>Hospital Pérez Carreño</v>
      </c>
      <c r="C637" s="45" t="str">
        <f>IFERROR(__xludf.DUMMYFUNCTION("""COMPUTED_VALUE"""),"AZOCAR VALERIA")</f>
        <v>AZOCAR VALERIA</v>
      </c>
      <c r="D637" s="44" t="str">
        <f>IFERROR(__xludf.DUMMYFUNCTION("""COMPUTED_VALUE""")," ")</f>
        <v> </v>
      </c>
      <c r="E637" s="44" t="str">
        <f>IFERROR(__xludf.DUMMYFUNCTION("""COMPUTED_VALUE"""),"28544619")</f>
        <v>28544619</v>
      </c>
      <c r="F637" s="44" t="str">
        <f>IFERROR(__xludf.DUMMYFUNCTION("""COMPUTED_VALUE"""),"")</f>
        <v/>
      </c>
      <c r="G637" s="44" t="str">
        <f>IFERROR(__xludf.DUMMYFUNCTION("""COMPUTED_VALUE""")," ")</f>
        <v> </v>
      </c>
      <c r="H637" s="44" t="str">
        <f>IFERROR(__xludf.DUMMYFUNCTION("""COMPUTED_VALUE""")," ")</f>
        <v> </v>
      </c>
      <c r="I637" s="44" t="str">
        <f>IFERROR(__xludf.DUMMYFUNCTION("""COMPUTED_VALUE""")," ")</f>
        <v> </v>
      </c>
      <c r="J637" s="44" t="str">
        <f>IFERROR(__xludf.DUMMYFUNCTION("""COMPUTED_VALUE"""),"25/06/2026")</f>
        <v>25/06/2026</v>
      </c>
      <c r="K637" s="42" t="str">
        <f>IFERROR(__xludf.DUMMYFUNCTION("""COMPUTED_VALUE"""),"Hospital Pérez Carreño")</f>
        <v>Hospital Pérez Carreño</v>
      </c>
    </row>
    <row r="638">
      <c r="A638" s="44">
        <v>637.0</v>
      </c>
      <c r="B638" s="44" t="str">
        <f>IFERROR(__xludf.DUMMYFUNCTION("""COMPUTED_VALUE"""),"Hospital Pérez Carreño")</f>
        <v>Hospital Pérez Carreño</v>
      </c>
      <c r="C638" s="45" t="str">
        <f>IFERROR(__xludf.DUMMYFUNCTION("""COMPUTED_VALUE"""),"VALERIA AZOCAR")</f>
        <v>VALERIA AZOCAR</v>
      </c>
      <c r="D638" s="44" t="str">
        <f>IFERROR(__xludf.DUMMYFUNCTION("""COMPUTED_VALUE""")," ")</f>
        <v> </v>
      </c>
      <c r="E638" s="44" t="str">
        <f>IFERROR(__xludf.DUMMYFUNCTION("""COMPUTED_VALUE"""),"285446190")</f>
        <v>285446190</v>
      </c>
      <c r="F638" s="44" t="str">
        <f>IFERROR(__xludf.DUMMYFUNCTION("""COMPUTED_VALUE"""),"")</f>
        <v/>
      </c>
      <c r="G638" s="44" t="str">
        <f>IFERROR(__xludf.DUMMYFUNCTION("""COMPUTED_VALUE""")," ")</f>
        <v> </v>
      </c>
      <c r="H638" s="44" t="str">
        <f>IFERROR(__xludf.DUMMYFUNCTION("""COMPUTED_VALUE""")," ")</f>
        <v> </v>
      </c>
      <c r="I638" s="44" t="str">
        <f>IFERROR(__xludf.DUMMYFUNCTION("""COMPUTED_VALUE"""),"Triaje")</f>
        <v>Triaje</v>
      </c>
      <c r="J638" s="44" t="str">
        <f>IFERROR(__xludf.DUMMYFUNCTION("""COMPUTED_VALUE"""),"25/06/2026")</f>
        <v>25/06/2026</v>
      </c>
      <c r="K638" s="42" t="str">
        <f>IFERROR(__xludf.DUMMYFUNCTION("""COMPUTED_VALUE"""),"Hospital Pérez Carreño")</f>
        <v>Hospital Pérez Carreño</v>
      </c>
    </row>
    <row r="639">
      <c r="A639" s="44">
        <v>638.0</v>
      </c>
      <c r="B639" s="44" t="str">
        <f>IFERROR(__xludf.DUMMYFUNCTION("""COMPUTED_VALUE"""),"Hospital Pérez Carreño")</f>
        <v>Hospital Pérez Carreño</v>
      </c>
      <c r="C639" s="45" t="str">
        <f>IFERROR(__xludf.DUMMYFUNCTION("""COMPUTED_VALUE"""),"MEDINA FRANIIS")</f>
        <v>MEDINA FRANIIS</v>
      </c>
      <c r="D639" s="44" t="str">
        <f>IFERROR(__xludf.DUMMYFUNCTION("""COMPUTED_VALUE""")," ")</f>
        <v> </v>
      </c>
      <c r="E639" s="44" t="str">
        <f>IFERROR(__xludf.DUMMYFUNCTION("""COMPUTED_VALUE"""),"285659")</f>
        <v>285659</v>
      </c>
      <c r="F639" s="44" t="str">
        <f>IFERROR(__xludf.DUMMYFUNCTION("""COMPUTED_VALUE"""),"")</f>
        <v/>
      </c>
      <c r="G639" s="44" t="str">
        <f>IFERROR(__xludf.DUMMYFUNCTION("""COMPUTED_VALUE""")," ")</f>
        <v> </v>
      </c>
      <c r="H639" s="44" t="str">
        <f>IFERROR(__xludf.DUMMYFUNCTION("""COMPUTED_VALUE""")," ")</f>
        <v> </v>
      </c>
      <c r="I639" s="44" t="str">
        <f>IFERROR(__xludf.DUMMYFUNCTION("""COMPUTED_VALUE"""),"Cédula ilegible")</f>
        <v>Cédula ilegible</v>
      </c>
      <c r="J639" s="44" t="str">
        <f>IFERROR(__xludf.DUMMYFUNCTION("""COMPUTED_VALUE"""),"25/06/2026")</f>
        <v>25/06/2026</v>
      </c>
      <c r="K639" s="42" t="str">
        <f>IFERROR(__xludf.DUMMYFUNCTION("""COMPUTED_VALUE"""),"Hospital Pérez Carreño")</f>
        <v>Hospital Pérez Carreño</v>
      </c>
    </row>
    <row r="640">
      <c r="A640" s="44">
        <v>639.0</v>
      </c>
      <c r="B640" s="44" t="str">
        <f>IFERROR(__xludf.DUMMYFUNCTION("""COMPUTED_VALUE"""),"Hospital Pérez Carreño")</f>
        <v>Hospital Pérez Carreño</v>
      </c>
      <c r="C640" s="45" t="str">
        <f>IFERROR(__xludf.DUMMYFUNCTION("""COMPUTED_VALUE"""),"FRANCIS MEDINA")</f>
        <v>FRANCIS MEDINA</v>
      </c>
      <c r="D640" s="44" t="str">
        <f>IFERROR(__xludf.DUMMYFUNCTION("""COMPUTED_VALUE""")," ")</f>
        <v> </v>
      </c>
      <c r="E640" s="44" t="str">
        <f>IFERROR(__xludf.DUMMYFUNCTION("""COMPUTED_VALUE"""),"2856590")</f>
        <v>2856590</v>
      </c>
      <c r="F640" s="44" t="str">
        <f>IFERROR(__xludf.DUMMYFUNCTION("""COMPUTED_VALUE"""),"")</f>
        <v/>
      </c>
      <c r="G640" s="44" t="str">
        <f>IFERROR(__xludf.DUMMYFUNCTION("""COMPUTED_VALUE""")," ")</f>
        <v> </v>
      </c>
      <c r="H640" s="44" t="str">
        <f>IFERROR(__xludf.DUMMYFUNCTION("""COMPUTED_VALUE""")," ")</f>
        <v> </v>
      </c>
      <c r="I640" s="44" t="str">
        <f>IFERROR(__xludf.DUMMYFUNCTION("""COMPUTED_VALUE""")," ")</f>
        <v> </v>
      </c>
      <c r="J640" s="44" t="str">
        <f>IFERROR(__xludf.DUMMYFUNCTION("""COMPUTED_VALUE"""),"25/06/2026")</f>
        <v>25/06/2026</v>
      </c>
      <c r="K640" s="42" t="str">
        <f>IFERROR(__xludf.DUMMYFUNCTION("""COMPUTED_VALUE"""),"Hospital Pérez Carreño")</f>
        <v>Hospital Pérez Carreño</v>
      </c>
    </row>
    <row r="641">
      <c r="A641" s="44">
        <v>640.0</v>
      </c>
      <c r="B641" s="44" t="str">
        <f>IFERROR(__xludf.DUMMYFUNCTION("""COMPUTED_VALUE"""),"Seguro Social La Guaira")</f>
        <v>Seguro Social La Guaira</v>
      </c>
      <c r="C641" s="45" t="str">
        <f>IFERROR(__xludf.DUMMYFUNCTION("""COMPUTED_VALUE"""),"GENESIS SILVA")</f>
        <v>GENESIS SILVA</v>
      </c>
      <c r="D641" s="44">
        <f>IFERROR(__xludf.DUMMYFUNCTION("""COMPUTED_VALUE"""),20.0)</f>
        <v>20</v>
      </c>
      <c r="E641" s="44" t="str">
        <f>IFERROR(__xludf.DUMMYFUNCTION("""COMPUTED_VALUE"""),"285742160")</f>
        <v>285742160</v>
      </c>
      <c r="F641" s="44" t="str">
        <f>IFERROR(__xludf.DUMMYFUNCTION("""COMPUTED_VALUE"""),"")</f>
        <v/>
      </c>
      <c r="G641" s="44" t="str">
        <f>IFERROR(__xludf.DUMMYFUNCTION("""COMPUTED_VALUE""")," ")</f>
        <v> </v>
      </c>
      <c r="H641" s="44" t="str">
        <f>IFERROR(__xludf.DUMMYFUNCTION("""COMPUTED_VALUE"""),"Corales")</f>
        <v>Corales</v>
      </c>
      <c r="I641" s="44" t="str">
        <f>IFERROR(__xludf.DUMMYFUNCTION("""COMPUTED_VALUE""")," ")</f>
        <v> </v>
      </c>
      <c r="J641" s="44" t="str">
        <f>IFERROR(__xludf.DUMMYFUNCTION("""COMPUTED_VALUE"""),"")</f>
        <v/>
      </c>
      <c r="K641" s="42" t="str">
        <f>IFERROR(__xludf.DUMMYFUNCTION("""COMPUTED_VALUE"""),"Seguro Social La Guaira")</f>
        <v>Seguro Social La Guaira</v>
      </c>
    </row>
    <row r="642">
      <c r="A642" s="44">
        <v>641.0</v>
      </c>
      <c r="B642" s="44" t="str">
        <f>IFERROR(__xludf.DUMMYFUNCTION("""COMPUTED_VALUE"""),"La Guaira Sin Hospital")</f>
        <v>La Guaira Sin Hospital</v>
      </c>
      <c r="C642" s="45" t="str">
        <f>IFERROR(__xludf.DUMMYFUNCTION("""COMPUTED_VALUE"""),"Gutierrez Jose")</f>
        <v>Gutierrez Jose</v>
      </c>
      <c r="D642" s="44" t="str">
        <f>IFERROR(__xludf.DUMMYFUNCTION("""COMPUTED_VALUE"""),"")</f>
        <v/>
      </c>
      <c r="E642" s="44" t="str">
        <f>IFERROR(__xludf.DUMMYFUNCTION("""COMPUTED_VALUE"""),"28743519")</f>
        <v>28743519</v>
      </c>
      <c r="F642" s="44" t="str">
        <f>IFERROR(__xludf.DUMMYFUNCTION("""COMPUTED_VALUE"""),"")</f>
        <v/>
      </c>
      <c r="G642" s="44" t="str">
        <f>IFERROR(__xludf.DUMMYFUNCTION("""COMPUTED_VALUE"""),"")</f>
        <v/>
      </c>
      <c r="H642" s="44"/>
      <c r="I642" s="44" t="str">
        <f>IFERROR(__xludf.DUMMYFUNCTION("""COMPUTED_VALUE"""),"Listas con cédula")</f>
        <v>Listas con cédula</v>
      </c>
      <c r="J642" s="44" t="str">
        <f>IFERROR(__xludf.DUMMYFUNCTION("""COMPUTED_VALUE"""),"")</f>
        <v/>
      </c>
      <c r="K642" s="42" t="str">
        <f>IFERROR(__xludf.DUMMYFUNCTION("""COMPUTED_VALUE"""),"La Guaira Sin Hospital")</f>
        <v>La Guaira Sin Hospital</v>
      </c>
    </row>
    <row r="643">
      <c r="A643" s="44">
        <v>642.0</v>
      </c>
      <c r="B643" s="44" t="str">
        <f>IFERROR(__xludf.DUMMYFUNCTION("""COMPUTED_VALUE"""),"Hospital Pérez Carreño")</f>
        <v>Hospital Pérez Carreño</v>
      </c>
      <c r="C643" s="45" t="str">
        <f>IFERROR(__xludf.DUMMYFUNCTION("""COMPUTED_VALUE"""),"Jose Gutierrez")</f>
        <v>Jose Gutierrez</v>
      </c>
      <c r="D643" s="44"/>
      <c r="E643" s="44" t="str">
        <f>IFERROR(__xludf.DUMMYFUNCTION("""COMPUTED_VALUE"""),"28747519")</f>
        <v>28747519</v>
      </c>
      <c r="F643" s="44" t="str">
        <f>IFERROR(__xludf.DUMMYFUNCTION("""COMPUTED_VALUE"""),"")</f>
        <v/>
      </c>
      <c r="G643" s="44" t="str">
        <f>IFERROR(__xludf.DUMMYFUNCTION("""COMPUTED_VALUE"""),"Listado de nombres")</f>
        <v>Listado de nombres</v>
      </c>
      <c r="H643" s="44" t="str">
        <f>IFERROR(__xludf.DUMMYFUNCTION("""COMPUTED_VALUE"""),"Hospital Miguel Perez Carreño")</f>
        <v>Hospital Miguel Perez Carreño</v>
      </c>
      <c r="I643" s="44"/>
      <c r="J643" s="44" t="str">
        <f>IFERROR(__xludf.DUMMYFUNCTION("""COMPUTED_VALUE"""),"26/6/26")</f>
        <v>26/6/26</v>
      </c>
      <c r="K643" s="42" t="str">
        <f>IFERROR(__xludf.DUMMYFUNCTION("""COMPUTED_VALUE"""),"Hospital Pérez Carreño")</f>
        <v>Hospital Pérez Carreño</v>
      </c>
    </row>
    <row r="644">
      <c r="A644" s="44">
        <v>643.0</v>
      </c>
      <c r="B644" s="44" t="str">
        <f>IFERROR(__xludf.DUMMYFUNCTION("""COMPUTED_VALUE"""),"Hospital Pérez Carreño")</f>
        <v>Hospital Pérez Carreño</v>
      </c>
      <c r="C644" s="45" t="str">
        <f>IFERROR(__xludf.DUMMYFUNCTION("""COMPUTED_VALUE"""),"GUTIERREZ JOSE")</f>
        <v>GUTIERREZ JOSE</v>
      </c>
      <c r="D644" s="44" t="str">
        <f>IFERROR(__xludf.DUMMYFUNCTION("""COMPUTED_VALUE""")," ")</f>
        <v> </v>
      </c>
      <c r="E644" s="44" t="str">
        <f>IFERROR(__xludf.DUMMYFUNCTION("""COMPUTED_VALUE"""),"287475190")</f>
        <v>287475190</v>
      </c>
      <c r="F644" s="44" t="str">
        <f>IFERROR(__xludf.DUMMYFUNCTION("""COMPUTED_VALUE"""),"")</f>
        <v/>
      </c>
      <c r="G644" s="44" t="str">
        <f>IFERROR(__xludf.DUMMYFUNCTION("""COMPUTED_VALUE""")," ")</f>
        <v> </v>
      </c>
      <c r="H644" s="44" t="str">
        <f>IFERROR(__xludf.DUMMYFUNCTION("""COMPUTED_VALUE""")," ")</f>
        <v> </v>
      </c>
      <c r="I644" s="44" t="str">
        <f>IFERROR(__xludf.DUMMYFUNCTION("""COMPUTED_VALUE""")," ")</f>
        <v> </v>
      </c>
      <c r="J644" s="44" t="str">
        <f>IFERROR(__xludf.DUMMYFUNCTION("""COMPUTED_VALUE"""),"25/06/2026")</f>
        <v>25/06/2026</v>
      </c>
      <c r="K644" s="42" t="str">
        <f>IFERROR(__xludf.DUMMYFUNCTION("""COMPUTED_VALUE"""),"Hospital Pérez Carreño")</f>
        <v>Hospital Pérez Carreño</v>
      </c>
    </row>
    <row r="645">
      <c r="A645" s="44">
        <v>644.0</v>
      </c>
      <c r="B645" s="44" t="str">
        <f>IFERROR(__xludf.DUMMYFUNCTION("""COMPUTED_VALUE"""),"Hospital Pérez Carreño")</f>
        <v>Hospital Pérez Carreño</v>
      </c>
      <c r="C645" s="45" t="str">
        <f>IFERROR(__xludf.DUMMYFUNCTION("""COMPUTED_VALUE"""),"JOSE GUTIERREZ")</f>
        <v>JOSE GUTIERREZ</v>
      </c>
      <c r="D645" s="44" t="str">
        <f>IFERROR(__xludf.DUMMYFUNCTION("""COMPUTED_VALUE"""),"Sin información")</f>
        <v>Sin información</v>
      </c>
      <c r="E645" s="44" t="str">
        <f>IFERROR(__xludf.DUMMYFUNCTION("""COMPUTED_VALUE"""),"289425190")</f>
        <v>289425190</v>
      </c>
      <c r="F645" s="44" t="str">
        <f>IFERROR(__xludf.DUMMYFUNCTION("""COMPUTED_VALUE"""),"")</f>
        <v/>
      </c>
      <c r="G645" s="44" t="str">
        <f>IFERROR(__xludf.DUMMYFUNCTION("""COMPUTED_VALUE""")," ")</f>
        <v> </v>
      </c>
      <c r="H645" s="44" t="str">
        <f>IFERROR(__xludf.DUMMYFUNCTION("""COMPUTED_VALUE"""),"Sin información")</f>
        <v>Sin información</v>
      </c>
      <c r="I645" s="44" t="str">
        <f>IFERROR(__xludf.DUMMYFUNCTION("""COMPUTED_VALUE"""),"Sin información")</f>
        <v>Sin información</v>
      </c>
      <c r="J645" s="44" t="str">
        <f>IFERROR(__xludf.DUMMYFUNCTION("""COMPUTED_VALUE"""),"25/06/2026")</f>
        <v>25/06/2026</v>
      </c>
      <c r="K645" s="42" t="str">
        <f>IFERROR(__xludf.DUMMYFUNCTION("""COMPUTED_VALUE"""),"Hospital Pérez Carreño")</f>
        <v>Hospital Pérez Carreño</v>
      </c>
    </row>
    <row r="646">
      <c r="A646" s="44">
        <v>645.0</v>
      </c>
      <c r="B646" s="44" t="str">
        <f>IFERROR(__xludf.DUMMYFUNCTION("""COMPUTED_VALUE"""),"Hospital Universitario de Carac")</f>
        <v>Hospital Universitario de Carac</v>
      </c>
      <c r="C646" s="45" t="str">
        <f>IFERROR(__xludf.DUMMYFUNCTION("""COMPUTED_VALUE"""),"Raymond Gosling")</f>
        <v>Raymond Gosling</v>
      </c>
      <c r="D646" s="44">
        <f>IFERROR(__xludf.DUMMYFUNCTION("""COMPUTED_VALUE"""),79.0)</f>
        <v>79</v>
      </c>
      <c r="E646" s="44" t="str">
        <f>IFERROR(__xludf.DUMMYFUNCTION("""COMPUTED_VALUE"""),"2900166")</f>
        <v>2900166</v>
      </c>
      <c r="F646" s="44" t="str">
        <f>IFERROR(__xludf.DUMMYFUNCTION("""COMPUTED_VALUE"""),"")</f>
        <v/>
      </c>
      <c r="G646" s="44"/>
      <c r="H646" s="44" t="str">
        <f>IFERROR(__xludf.DUMMYFUNCTION("""COMPUTED_VALUE"""),"La Guaira")</f>
        <v>La Guaira</v>
      </c>
      <c r="I646" s="44" t="str">
        <f>IFERROR(__xludf.DUMMYFUNCTION("""COMPUTED_VALUE"""),"Politraumatismo")</f>
        <v>Politraumatismo</v>
      </c>
      <c r="J646" s="44" t="str">
        <f>IFERROR(__xludf.DUMMYFUNCTION("""COMPUTED_VALUE"""),"")</f>
        <v/>
      </c>
      <c r="K646" s="42" t="str">
        <f>IFERROR(__xludf.DUMMYFUNCTION("""COMPUTED_VALUE"""),"Hospital Universitario de Carac")</f>
        <v>Hospital Universitario de Carac</v>
      </c>
    </row>
    <row r="647">
      <c r="A647" s="44">
        <v>646.0</v>
      </c>
      <c r="B647" s="44" t="str">
        <f>IFERROR(__xludf.DUMMYFUNCTION("""COMPUTED_VALUE"""),"Hospital Pérez Carreño")</f>
        <v>Hospital Pérez Carreño</v>
      </c>
      <c r="C647" s="45" t="str">
        <f>IFERROR(__xludf.DUMMYFUNCTION("""COMPUTED_VALUE"""),"CANDELARIO NAVAS")</f>
        <v>CANDELARIO NAVAS</v>
      </c>
      <c r="D647" s="44" t="str">
        <f>IFERROR(__xludf.DUMMYFUNCTION("""COMPUTED_VALUE"""),"Sin información")</f>
        <v>Sin información</v>
      </c>
      <c r="E647" s="44" t="str">
        <f>IFERROR(__xludf.DUMMYFUNCTION("""COMPUTED_VALUE"""),"294164930")</f>
        <v>294164930</v>
      </c>
      <c r="F647" s="44" t="str">
        <f>IFERROR(__xludf.DUMMYFUNCTION("""COMPUTED_VALUE"""),"")</f>
        <v/>
      </c>
      <c r="G647" s="44" t="str">
        <f>IFERROR(__xludf.DUMMYFUNCTION("""COMPUTED_VALUE""")," ")</f>
        <v> </v>
      </c>
      <c r="H647" s="44" t="str">
        <f>IFERROR(__xludf.DUMMYFUNCTION("""COMPUTED_VALUE"""),"Sin información")</f>
        <v>Sin información</v>
      </c>
      <c r="I647" s="44" t="str">
        <f>IFERROR(__xludf.DUMMYFUNCTION("""COMPUTED_VALUE"""),"Sin información")</f>
        <v>Sin información</v>
      </c>
      <c r="J647" s="44" t="str">
        <f>IFERROR(__xludf.DUMMYFUNCTION("""COMPUTED_VALUE"""),"25/06/2026")</f>
        <v>25/06/2026</v>
      </c>
      <c r="K647" s="42" t="str">
        <f>IFERROR(__xludf.DUMMYFUNCTION("""COMPUTED_VALUE"""),"Hospital Pérez Carreño")</f>
        <v>Hospital Pérez Carreño</v>
      </c>
    </row>
    <row r="648">
      <c r="A648" s="44">
        <v>647.0</v>
      </c>
      <c r="B648" s="44" t="str">
        <f>IFERROR(__xludf.DUMMYFUNCTION("""COMPUTED_VALUE"""),"Hospital Pérez Carreño")</f>
        <v>Hospital Pérez Carreño</v>
      </c>
      <c r="C648" s="45" t="str">
        <f>IFERROR(__xludf.DUMMYFUNCTION("""COMPUTED_VALUE"""),"SUCRE PETRA")</f>
        <v>SUCRE PETRA</v>
      </c>
      <c r="D648" s="44" t="str">
        <f>IFERROR(__xludf.DUMMYFUNCTION("""COMPUTED_VALUE""")," ")</f>
        <v> </v>
      </c>
      <c r="E648" s="44" t="str">
        <f>IFERROR(__xludf.DUMMYFUNCTION("""COMPUTED_VALUE"""),"2945823")</f>
        <v>2945823</v>
      </c>
      <c r="F648" s="44" t="str">
        <f>IFERROR(__xludf.DUMMYFUNCTION("""COMPUTED_VALUE"""),"")</f>
        <v/>
      </c>
      <c r="G648" s="44" t="str">
        <f>IFERROR(__xludf.DUMMYFUNCTION("""COMPUTED_VALUE""")," ")</f>
        <v> </v>
      </c>
      <c r="H648" s="44" t="str">
        <f>IFERROR(__xludf.DUMMYFUNCTION("""COMPUTED_VALUE""")," ")</f>
        <v> </v>
      </c>
      <c r="I648" s="44" t="str">
        <f>IFERROR(__xludf.DUMMYFUNCTION("""COMPUTED_VALUE"""),"traumachk")</f>
        <v>traumachk</v>
      </c>
      <c r="J648" s="44" t="str">
        <f>IFERROR(__xludf.DUMMYFUNCTION("""COMPUTED_VALUE"""),"25/06/2026")</f>
        <v>25/06/2026</v>
      </c>
      <c r="K648" s="42" t="str">
        <f>IFERROR(__xludf.DUMMYFUNCTION("""COMPUTED_VALUE"""),"Hospital Pérez Carreño")</f>
        <v>Hospital Pérez Carreño</v>
      </c>
    </row>
    <row r="649">
      <c r="A649" s="44">
        <v>648.0</v>
      </c>
      <c r="B649" s="44" t="str">
        <f>IFERROR(__xludf.DUMMYFUNCTION("""COMPUTED_VALUE"""),"Hospital Pérez Carreño")</f>
        <v>Hospital Pérez Carreño</v>
      </c>
      <c r="C649" s="45" t="str">
        <f>IFERROR(__xludf.DUMMYFUNCTION("""COMPUTED_VALUE"""),"PETRA SUCRE")</f>
        <v>PETRA SUCRE</v>
      </c>
      <c r="D649" s="44" t="str">
        <f>IFERROR(__xludf.DUMMYFUNCTION("""COMPUTED_VALUE""")," ")</f>
        <v> </v>
      </c>
      <c r="E649" s="44" t="str">
        <f>IFERROR(__xludf.DUMMYFUNCTION("""COMPUTED_VALUE"""),"29458230")</f>
        <v>29458230</v>
      </c>
      <c r="F649" s="44" t="str">
        <f>IFERROR(__xludf.DUMMYFUNCTION("""COMPUTED_VALUE"""),"")</f>
        <v/>
      </c>
      <c r="G649" s="44" t="str">
        <f>IFERROR(__xludf.DUMMYFUNCTION("""COMPUTED_VALUE""")," ")</f>
        <v> </v>
      </c>
      <c r="H649" s="44" t="str">
        <f>IFERROR(__xludf.DUMMYFUNCTION("""COMPUTED_VALUE""")," ")</f>
        <v> </v>
      </c>
      <c r="I649" s="44" t="str">
        <f>IFERROR(__xludf.DUMMYFUNCTION("""COMPUTED_VALUE""")," ")</f>
        <v> </v>
      </c>
      <c r="J649" s="44" t="str">
        <f>IFERROR(__xludf.DUMMYFUNCTION("""COMPUTED_VALUE"""),"25/06/2026")</f>
        <v>25/06/2026</v>
      </c>
      <c r="K649" s="42" t="str">
        <f>IFERROR(__xludf.DUMMYFUNCTION("""COMPUTED_VALUE"""),"Hospital Pérez Carreño")</f>
        <v>Hospital Pérez Carreño</v>
      </c>
    </row>
    <row r="650">
      <c r="A650" s="44">
        <v>649.0</v>
      </c>
      <c r="B650" s="44" t="str">
        <f>IFERROR(__xludf.DUMMYFUNCTION("""COMPUTED_VALUE"""),"Hospital Vargas de Caracas")</f>
        <v>Hospital Vargas de Caracas</v>
      </c>
      <c r="C650" s="45" t="str">
        <f>IFERROR(__xludf.DUMMYFUNCTION("""COMPUTED_VALUE"""),"PEROZA HILARY")</f>
        <v>PEROZA HILARY</v>
      </c>
      <c r="D650" s="44" t="str">
        <f>IFERROR(__xludf.DUMMYFUNCTION("""COMPUTED_VALUE""")," ")</f>
        <v> </v>
      </c>
      <c r="E650" s="44" t="str">
        <f>IFERROR(__xludf.DUMMYFUNCTION("""COMPUTED_VALUE"""),"29536123")</f>
        <v>29536123</v>
      </c>
      <c r="F650" s="44" t="str">
        <f>IFERROR(__xludf.DUMMYFUNCTION("""COMPUTED_VALUE""")," ")</f>
        <v> </v>
      </c>
      <c r="G650" s="44" t="str">
        <f>IFERROR(__xludf.DUMMYFUNCTION("""COMPUTED_VALUE"""),"")</f>
        <v/>
      </c>
      <c r="H650" s="44" t="str">
        <f>IFERROR(__xludf.DUMMYFUNCTION("""COMPUTED_VALUE"""),"Guaira")</f>
        <v>Guaira</v>
      </c>
      <c r="I650" s="44" t="str">
        <f>IFERROR(__xludf.DUMMYFUNCTION("""COMPUTED_VALUE""")," ")</f>
        <v> </v>
      </c>
      <c r="J650" s="44" t="str">
        <f>IFERROR(__xludf.DUMMYFUNCTION("""COMPUTED_VALUE"""),"")</f>
        <v/>
      </c>
      <c r="K650" s="42" t="str">
        <f>IFERROR(__xludf.DUMMYFUNCTION("""COMPUTED_VALUE"""),"Hospital Vargas de Caracas")</f>
        <v>Hospital Vargas de Caracas</v>
      </c>
    </row>
    <row r="651">
      <c r="A651" s="44">
        <v>650.0</v>
      </c>
      <c r="B651" s="44" t="str">
        <f>IFERROR(__xludf.DUMMYFUNCTION("""COMPUTED_VALUE"""),"HOSPITAL VARGAS")</f>
        <v>HOSPITAL VARGAS</v>
      </c>
      <c r="C651" s="45" t="str">
        <f>IFERROR(__xludf.DUMMYFUNCTION("""COMPUTED_VALUE"""),"Hilary Peroza")</f>
        <v>Hilary Peroza</v>
      </c>
      <c r="D651" s="44"/>
      <c r="E651" s="44" t="str">
        <f>IFERROR(__xludf.DUMMYFUNCTION("""COMPUTED_VALUE"""),"29536127")</f>
        <v>29536127</v>
      </c>
      <c r="F651" s="44" t="str">
        <f>IFERROR(__xludf.DUMMYFUNCTION("""COMPUTED_VALUE"""),"")</f>
        <v/>
      </c>
      <c r="G651" s="44" t="str">
        <f>IFERROR(__xludf.DUMMYFUNCTION("""COMPUTED_VALUE"""),"")</f>
        <v/>
      </c>
      <c r="H651" s="44" t="str">
        <f>IFERROR(__xludf.DUMMYFUNCTION("""COMPUTED_VALUE"""),"")</f>
        <v/>
      </c>
      <c r="I651" s="44" t="str">
        <f>IFERROR(__xludf.DUMMYFUNCTION("""COMPUTED_VALUE"""),"Herido / atendido")</f>
        <v>Herido / atendido</v>
      </c>
      <c r="J651" s="44" t="str">
        <f>IFERROR(__xludf.DUMMYFUNCTION("""COMPUTED_VALUE"""),"24.06.2026 ")</f>
        <v>24.06.2026 </v>
      </c>
      <c r="K651" s="42" t="str">
        <f>IFERROR(__xludf.DUMMYFUNCTION("""COMPUTED_VALUE"""),"HOSPITAL VARGAS")</f>
        <v>HOSPITAL VARGAS</v>
      </c>
    </row>
    <row r="652">
      <c r="A652" s="44">
        <v>651.0</v>
      </c>
      <c r="B652" s="44" t="str">
        <f>IFERROR(__xludf.DUMMYFUNCTION("""COMPUTED_VALUE"""),"Hospital Vargas de Caracas")</f>
        <v>Hospital Vargas de Caracas</v>
      </c>
      <c r="C652" s="45" t="str">
        <f>IFERROR(__xludf.DUMMYFUNCTION("""COMPUTED_VALUE"""),"PEROZA HILARY")</f>
        <v>PEROZA HILARY</v>
      </c>
      <c r="D652" s="44" t="str">
        <f>IFERROR(__xludf.DUMMYFUNCTION("""COMPUTED_VALUE""")," ")</f>
        <v> </v>
      </c>
      <c r="E652" s="44" t="str">
        <f>IFERROR(__xludf.DUMMYFUNCTION("""COMPUTED_VALUE"""),"295361270")</f>
        <v>295361270</v>
      </c>
      <c r="F652" s="44" t="str">
        <f>IFERROR(__xludf.DUMMYFUNCTION("""COMPUTED_VALUE""")," ")</f>
        <v> </v>
      </c>
      <c r="G652" s="44" t="str">
        <f>IFERROR(__xludf.DUMMYFUNCTION("""COMPUTED_VALUE"""),"")</f>
        <v/>
      </c>
      <c r="H652" s="44" t="str">
        <f>IFERROR(__xludf.DUMMYFUNCTION("""COMPUTED_VALUE""")," ")</f>
        <v> </v>
      </c>
      <c r="I652" s="44" t="str">
        <f>IFERROR(__xludf.DUMMYFUNCTION("""COMPUTED_VALUE""")," ")</f>
        <v> </v>
      </c>
      <c r="J652" s="44" t="str">
        <f>IFERROR(__xludf.DUMMYFUNCTION("""COMPUTED_VALUE"""),"")</f>
        <v/>
      </c>
      <c r="K652" s="42" t="str">
        <f>IFERROR(__xludf.DUMMYFUNCTION("""COMPUTED_VALUE"""),"Hospital Vargas de Caracas")</f>
        <v>Hospital Vargas de Caracas</v>
      </c>
    </row>
    <row r="653">
      <c r="A653" s="44">
        <v>652.0</v>
      </c>
      <c r="B653" s="44" t="str">
        <f>IFERROR(__xludf.DUMMYFUNCTION("""COMPUTED_VALUE"""),"Hospital Pérez Carreño")</f>
        <v>Hospital Pérez Carreño</v>
      </c>
      <c r="C653" s="45" t="str">
        <f>IFERROR(__xludf.DUMMYFUNCTION("""COMPUTED_VALUE"""),"MORALES LESVIA")</f>
        <v>MORALES LESVIA</v>
      </c>
      <c r="D653" s="44" t="str">
        <f>IFERROR(__xludf.DUMMYFUNCTION("""COMPUTED_VALUE""")," ")</f>
        <v> </v>
      </c>
      <c r="E653" s="44" t="str">
        <f>IFERROR(__xludf.DUMMYFUNCTION("""COMPUTED_VALUE"""),"29565096")</f>
        <v>29565096</v>
      </c>
      <c r="F653" s="44" t="str">
        <f>IFERROR(__xludf.DUMMYFUNCTION("""COMPUTED_VALUE"""),"")</f>
        <v/>
      </c>
      <c r="G653" s="44" t="str">
        <f>IFERROR(__xludf.DUMMYFUNCTION("""COMPUTED_VALUE""")," ")</f>
        <v> </v>
      </c>
      <c r="H653" s="44" t="str">
        <f>IFERROR(__xludf.DUMMYFUNCTION("""COMPUTED_VALUE""")," ")</f>
        <v> </v>
      </c>
      <c r="I653" s="44" t="str">
        <f>IFERROR(__xludf.DUMMYFUNCTION("""COMPUTED_VALUE""")," ")</f>
        <v> </v>
      </c>
      <c r="J653" s="44" t="str">
        <f>IFERROR(__xludf.DUMMYFUNCTION("""COMPUTED_VALUE"""),"25/06/2026")</f>
        <v>25/06/2026</v>
      </c>
      <c r="K653" s="42" t="str">
        <f>IFERROR(__xludf.DUMMYFUNCTION("""COMPUTED_VALUE"""),"Hospital Pérez Carreño")</f>
        <v>Hospital Pérez Carreño</v>
      </c>
    </row>
    <row r="654">
      <c r="A654" s="44">
        <v>653.0</v>
      </c>
      <c r="B654" s="44" t="str">
        <f>IFERROR(__xludf.DUMMYFUNCTION("""COMPUTED_VALUE"""),"Hospital Pérez Carreño")</f>
        <v>Hospital Pérez Carreño</v>
      </c>
      <c r="C654" s="45" t="str">
        <f>IFERROR(__xludf.DUMMYFUNCTION("""COMPUTED_VALUE"""),"MEDINA NATHAELIA")</f>
        <v>MEDINA NATHAELIA</v>
      </c>
      <c r="D654" s="44" t="str">
        <f>IFERROR(__xludf.DUMMYFUNCTION("""COMPUTED_VALUE""")," ")</f>
        <v> </v>
      </c>
      <c r="E654" s="44" t="str">
        <f>IFERROR(__xludf.DUMMYFUNCTION("""COMPUTED_VALUE"""),"29565365")</f>
        <v>29565365</v>
      </c>
      <c r="F654" s="44" t="str">
        <f>IFERROR(__xludf.DUMMYFUNCTION("""COMPUTED_VALUE"""),"")</f>
        <v/>
      </c>
      <c r="G654" s="44" t="str">
        <f>IFERROR(__xludf.DUMMYFUNCTION("""COMPUTED_VALUE""")," ")</f>
        <v> </v>
      </c>
      <c r="H654" s="44" t="str">
        <f>IFERROR(__xludf.DUMMYFUNCTION("""COMPUTED_VALUE""")," ")</f>
        <v> </v>
      </c>
      <c r="I654" s="44" t="str">
        <f>IFERROR(__xludf.DUMMYFUNCTION("""COMPUTED_VALUE""")," ")</f>
        <v> </v>
      </c>
      <c r="J654" s="44" t="str">
        <f>IFERROR(__xludf.DUMMYFUNCTION("""COMPUTED_VALUE"""),"25/06/2026")</f>
        <v>25/06/2026</v>
      </c>
      <c r="K654" s="42" t="str">
        <f>IFERROR(__xludf.DUMMYFUNCTION("""COMPUTED_VALUE"""),"Hospital Pérez Carreño")</f>
        <v>Hospital Pérez Carreño</v>
      </c>
    </row>
    <row r="655">
      <c r="A655" s="44">
        <v>654.0</v>
      </c>
      <c r="B655" s="44" t="str">
        <f>IFERROR(__xludf.DUMMYFUNCTION("""COMPUTED_VALUE"""),"Hospital Pérez Carreño")</f>
        <v>Hospital Pérez Carreño</v>
      </c>
      <c r="C655" s="45" t="str">
        <f>IFERROR(__xludf.DUMMYFUNCTION("""COMPUTED_VALUE"""),"NATHACHA MEDINA")</f>
        <v>NATHACHA MEDINA</v>
      </c>
      <c r="D655" s="44" t="str">
        <f>IFERROR(__xludf.DUMMYFUNCTION("""COMPUTED_VALUE""")," ")</f>
        <v> </v>
      </c>
      <c r="E655" s="44" t="str">
        <f>IFERROR(__xludf.DUMMYFUNCTION("""COMPUTED_VALUE"""),"295653650")</f>
        <v>295653650</v>
      </c>
      <c r="F655" s="44" t="str">
        <f>IFERROR(__xludf.DUMMYFUNCTION("""COMPUTED_VALUE"""),"")</f>
        <v/>
      </c>
      <c r="G655" s="44" t="str">
        <f>IFERROR(__xludf.DUMMYFUNCTION("""COMPUTED_VALUE""")," ")</f>
        <v> </v>
      </c>
      <c r="H655" s="44" t="str">
        <f>IFERROR(__xludf.DUMMYFUNCTION("""COMPUTED_VALUE""")," ")</f>
        <v> </v>
      </c>
      <c r="I655" s="44" t="str">
        <f>IFERROR(__xludf.DUMMYFUNCTION("""COMPUTED_VALUE""")," ")</f>
        <v> </v>
      </c>
      <c r="J655" s="44" t="str">
        <f>IFERROR(__xludf.DUMMYFUNCTION("""COMPUTED_VALUE"""),"25/06/2026")</f>
        <v>25/06/2026</v>
      </c>
      <c r="K655" s="42" t="str">
        <f>IFERROR(__xludf.DUMMYFUNCTION("""COMPUTED_VALUE"""),"Hospital Pérez Carreño")</f>
        <v>Hospital Pérez Carreño</v>
      </c>
    </row>
    <row r="656">
      <c r="A656" s="44">
        <v>655.0</v>
      </c>
      <c r="B656" s="44" t="str">
        <f>IFERROR(__xludf.DUMMYFUNCTION("""COMPUTED_VALUE"""),"Hospital Pérez Carreño")</f>
        <v>Hospital Pérez Carreño</v>
      </c>
      <c r="C656" s="45" t="str">
        <f>IFERROR(__xludf.DUMMYFUNCTION("""COMPUTED_VALUE"""),"ROMERO YUSLEIDY / ROMERO YULEIDY")</f>
        <v>ROMERO YUSLEIDY / ROMERO YULEIDY</v>
      </c>
      <c r="D656" s="44" t="str">
        <f>IFERROR(__xludf.DUMMYFUNCTION("""COMPUTED_VALUE""")," ")</f>
        <v> </v>
      </c>
      <c r="E656" s="44" t="str">
        <f>IFERROR(__xludf.DUMMYFUNCTION("""COMPUTED_VALUE"""),"29567050")</f>
        <v>29567050</v>
      </c>
      <c r="F656" s="44" t="str">
        <f>IFERROR(__xludf.DUMMYFUNCTION("""COMPUTED_VALUE"""),"")</f>
        <v/>
      </c>
      <c r="G656" s="44" t="str">
        <f>IFERROR(__xludf.DUMMYFUNCTION("""COMPUTED_VALUE""")," ")</f>
        <v> </v>
      </c>
      <c r="H656" s="44" t="str">
        <f>IFERROR(__xludf.DUMMYFUNCTION("""COMPUTED_VALUE""")," ")</f>
        <v> </v>
      </c>
      <c r="I656" s="44" t="str">
        <f>IFERROR(__xludf.DUMMYFUNCTION("""COMPUTED_VALUE"""),"Nuevos Ingresos")</f>
        <v>Nuevos Ingresos</v>
      </c>
      <c r="J656" s="44" t="str">
        <f>IFERROR(__xludf.DUMMYFUNCTION("""COMPUTED_VALUE"""),"25/06/2026")</f>
        <v>25/06/2026</v>
      </c>
      <c r="K656" s="42" t="str">
        <f>IFERROR(__xludf.DUMMYFUNCTION("""COMPUTED_VALUE"""),"Hospital Pérez Carreño")</f>
        <v>Hospital Pérez Carreño</v>
      </c>
    </row>
    <row r="657">
      <c r="A657" s="44">
        <v>656.0</v>
      </c>
      <c r="B657" s="44" t="str">
        <f>IFERROR(__xludf.DUMMYFUNCTION("""COMPUTED_VALUE"""),"Periférico de Catia")</f>
        <v>Periférico de Catia</v>
      </c>
      <c r="C657" s="45" t="str">
        <f>IFERROR(__xludf.DUMMYFUNCTION("""COMPUTED_VALUE"""),"ESTEVEZ JOHNSON")</f>
        <v>ESTEVEZ JOHNSON</v>
      </c>
      <c r="D657" s="44">
        <f>IFERROR(__xludf.DUMMYFUNCTION("""COMPUTED_VALUE"""),24.0)</f>
        <v>24</v>
      </c>
      <c r="E657" s="44" t="str">
        <f>IFERROR(__xludf.DUMMYFUNCTION("""COMPUTED_VALUE"""),"29571733")</f>
        <v>29571733</v>
      </c>
      <c r="F657" s="44" t="str">
        <f>IFERROR(__xludf.DUMMYFUNCTION("""COMPUTED_VALUE"""),"")</f>
        <v/>
      </c>
      <c r="G657" s="44" t="str">
        <f>IFERROR(__xludf.DUMMYFUNCTION("""COMPUTED_VALUE""")," ")</f>
        <v> </v>
      </c>
      <c r="H657" s="44" t="str">
        <f>IFERROR(__xludf.DUMMYFUNCTION("""COMPUTED_VALUE""")," ")</f>
        <v> </v>
      </c>
      <c r="I657" s="44" t="str">
        <f>IFERROR(__xludf.DUMMYFUNCTION("""COMPUTED_VALUE"""),"Cirugía General")</f>
        <v>Cirugía General</v>
      </c>
      <c r="J657" s="44" t="str">
        <f>IFERROR(__xludf.DUMMYFUNCTION("""COMPUTED_VALUE"""),"")</f>
        <v/>
      </c>
      <c r="K657" s="42" t="str">
        <f>IFERROR(__xludf.DUMMYFUNCTION("""COMPUTED_VALUE"""),"Periférico de Catia")</f>
        <v>Periférico de Catia</v>
      </c>
    </row>
    <row r="658">
      <c r="A658" s="44">
        <v>657.0</v>
      </c>
      <c r="B658" s="44" t="str">
        <f>IFERROR(__xludf.DUMMYFUNCTION("""COMPUTED_VALUE"""),"Periférico de Catia")</f>
        <v>Periférico de Catia</v>
      </c>
      <c r="C658" s="45" t="str">
        <f>IFERROR(__xludf.DUMMYFUNCTION("""COMPUTED_VALUE"""),"YONSON ESTEBEN")</f>
        <v>YONSON ESTEBEN</v>
      </c>
      <c r="D658" s="44">
        <f>IFERROR(__xludf.DUMMYFUNCTION("""COMPUTED_VALUE"""),24.0)</f>
        <v>24</v>
      </c>
      <c r="E658" s="44" t="str">
        <f>IFERROR(__xludf.DUMMYFUNCTION("""COMPUTED_VALUE"""),"295717330")</f>
        <v>295717330</v>
      </c>
      <c r="F658" s="44" t="str">
        <f>IFERROR(__xludf.DUMMYFUNCTION("""COMPUTED_VALUE"""),"")</f>
        <v/>
      </c>
      <c r="G658" s="44" t="str">
        <f>IFERROR(__xludf.DUMMYFUNCTION("""COMPUTED_VALUE""")," ")</f>
        <v> </v>
      </c>
      <c r="H658" s="44" t="str">
        <f>IFERROR(__xludf.DUMMYFUNCTION("""COMPUTED_VALUE"""),"Sin información")</f>
        <v>Sin información</v>
      </c>
      <c r="I658" s="44" t="str">
        <f>IFERROR(__xludf.DUMMYFUNCTION("""COMPUTED_VALUE"""),"Cirugía General")</f>
        <v>Cirugía General</v>
      </c>
      <c r="J658" s="44" t="str">
        <f>IFERROR(__xludf.DUMMYFUNCTION("""COMPUTED_VALUE"""),"")</f>
        <v/>
      </c>
      <c r="K658" s="42" t="str">
        <f>IFERROR(__xludf.DUMMYFUNCTION("""COMPUTED_VALUE"""),"Periférico de Catia")</f>
        <v>Periférico de Catia</v>
      </c>
    </row>
    <row r="659">
      <c r="A659" s="44">
        <v>658.0</v>
      </c>
      <c r="B659" s="44" t="str">
        <f>IFERROR(__xludf.DUMMYFUNCTION("""COMPUTED_VALUE"""),"Hospital Ana Francisca Pérez de")</f>
        <v>Hospital Ana Francisca Pérez de</v>
      </c>
      <c r="C659" s="45" t="str">
        <f>IFERROR(__xludf.DUMMYFUNCTION("""COMPUTED_VALUE"""),"GIL PATRICIA")</f>
        <v>GIL PATRICIA</v>
      </c>
      <c r="D659" s="44">
        <f>IFERROR(__xludf.DUMMYFUNCTION("""COMPUTED_VALUE"""),24.0)</f>
        <v>24</v>
      </c>
      <c r="E659" s="44" t="str">
        <f>IFERROR(__xludf.DUMMYFUNCTION("""COMPUTED_VALUE"""),"29572168")</f>
        <v>29572168</v>
      </c>
      <c r="F659" s="44" t="str">
        <f>IFERROR(__xludf.DUMMYFUNCTION("""COMPUTED_VALUE"""),"")</f>
        <v/>
      </c>
      <c r="G659" s="44" t="str">
        <f>IFERROR(__xludf.DUMMYFUNCTION("""COMPUTED_VALUE""")," ")</f>
        <v> </v>
      </c>
      <c r="H659" s="44" t="str">
        <f>IFERROR(__xludf.DUMMYFUNCTION("""COMPUTED_VALUE"""),"La Guaira")</f>
        <v>La Guaira</v>
      </c>
      <c r="I659" s="44" t="str">
        <f>IFERROR(__xludf.DUMMYFUNCTION("""COMPUTED_VALUE""")," ")</f>
        <v> </v>
      </c>
      <c r="J659" s="44" t="str">
        <f>IFERROR(__xludf.DUMMYFUNCTION("""COMPUTED_VALUE"""),"")</f>
        <v/>
      </c>
      <c r="K659" s="42" t="str">
        <f>IFERROR(__xludf.DUMMYFUNCTION("""COMPUTED_VALUE"""),"Hospital Ana Francisca Pérez de")</f>
        <v>Hospital Ana Francisca Pérez de</v>
      </c>
    </row>
    <row r="660">
      <c r="A660" s="44">
        <v>659.0</v>
      </c>
      <c r="B660" s="44" t="str">
        <f>IFERROR(__xludf.DUMMYFUNCTION("""COMPUTED_VALUE"""),"Hospital Ana Francisca Pérez de")</f>
        <v>Hospital Ana Francisca Pérez de</v>
      </c>
      <c r="C660" s="45" t="str">
        <f>IFERROR(__xludf.DUMMYFUNCTION("""COMPUTED_VALUE"""),"PATRICIA EGEL")</f>
        <v>PATRICIA EGEL</v>
      </c>
      <c r="D660" s="44">
        <f>IFERROR(__xludf.DUMMYFUNCTION("""COMPUTED_VALUE"""),24.0)</f>
        <v>24</v>
      </c>
      <c r="E660" s="44" t="str">
        <f>IFERROR(__xludf.DUMMYFUNCTION("""COMPUTED_VALUE"""),"295721680")</f>
        <v>295721680</v>
      </c>
      <c r="F660" s="44" t="str">
        <f>IFERROR(__xludf.DUMMYFUNCTION("""COMPUTED_VALUE"""),"")</f>
        <v/>
      </c>
      <c r="G660" s="44" t="str">
        <f>IFERROR(__xludf.DUMMYFUNCTION("""COMPUTED_VALUE""")," ")</f>
        <v> </v>
      </c>
      <c r="H660" s="44" t="str">
        <f>IFERROR(__xludf.DUMMYFUNCTION("""COMPUTED_VALUE"""),"La Guaira")</f>
        <v>La Guaira</v>
      </c>
      <c r="I660" s="44" t="str">
        <f>IFERROR(__xludf.DUMMYFUNCTION("""COMPUTED_VALUE""")," ")</f>
        <v> </v>
      </c>
      <c r="J660" s="44" t="str">
        <f>IFERROR(__xludf.DUMMYFUNCTION("""COMPUTED_VALUE"""),"")</f>
        <v/>
      </c>
      <c r="K660" s="42" t="str">
        <f>IFERROR(__xludf.DUMMYFUNCTION("""COMPUTED_VALUE"""),"🔍 BUSCAR PACIENTES")</f>
        <v>🔍 BUSCAR PACIENTES</v>
      </c>
    </row>
    <row r="661">
      <c r="A661" s="44">
        <v>660.0</v>
      </c>
      <c r="B661" s="44" t="str">
        <f>IFERROR(__xludf.DUMMYFUNCTION("""COMPUTED_VALUE"""),"Periférico de Catia")</f>
        <v>Periférico de Catia</v>
      </c>
      <c r="C661" s="45" t="str">
        <f>IFERROR(__xludf.DUMMYFUNCTION("""COMPUTED_VALUE"""),"MICHEL RIVERA")</f>
        <v>MICHEL RIVERA</v>
      </c>
      <c r="D661" s="44">
        <f>IFERROR(__xludf.DUMMYFUNCTION("""COMPUTED_VALUE"""),25.0)</f>
        <v>25</v>
      </c>
      <c r="E661" s="44" t="str">
        <f>IFERROR(__xludf.DUMMYFUNCTION("""COMPUTED_VALUE"""),"295919630")</f>
        <v>295919630</v>
      </c>
      <c r="F661" s="44" t="str">
        <f>IFERROR(__xludf.DUMMYFUNCTION("""COMPUTED_VALUE"""),"")</f>
        <v/>
      </c>
      <c r="G661" s="44" t="str">
        <f>IFERROR(__xludf.DUMMYFUNCTION("""COMPUTED_VALUE""")," ")</f>
        <v> </v>
      </c>
      <c r="H661" s="44" t="str">
        <f>IFERROR(__xludf.DUMMYFUNCTION("""COMPUTED_VALUE"""),"La Guaira")</f>
        <v>La Guaira</v>
      </c>
      <c r="I661" s="44" t="str">
        <f>IFERROR(__xludf.DUMMYFUNCTION("""COMPUTED_VALUE"""),"Sin información")</f>
        <v>Sin información</v>
      </c>
      <c r="J661" s="44" t="str">
        <f>IFERROR(__xludf.DUMMYFUNCTION("""COMPUTED_VALUE"""),"")</f>
        <v/>
      </c>
      <c r="K661" s="42" t="str">
        <f>IFERROR(__xludf.DUMMYFUNCTION("""COMPUTED_VALUE"""),"Periférico de Catia")</f>
        <v>Periférico de Catia</v>
      </c>
    </row>
    <row r="662">
      <c r="A662" s="44">
        <v>661.0</v>
      </c>
      <c r="B662" s="44" t="str">
        <f>IFERROR(__xludf.DUMMYFUNCTION("""COMPUTED_VALUE"""),"H. Jose Maria Vargas LG")</f>
        <v>H. Jose Maria Vargas LG</v>
      </c>
      <c r="C662" s="45" t="str">
        <f>IFERROR(__xludf.DUMMYFUNCTION("""COMPUTED_VALUE"""),"GOMEZ NICOLA")</f>
        <v>GOMEZ NICOLA</v>
      </c>
      <c r="D662" s="44">
        <f>IFERROR(__xludf.DUMMYFUNCTION("""COMPUTED_VALUE"""),24.0)</f>
        <v>24</v>
      </c>
      <c r="E662" s="44" t="str">
        <f>IFERROR(__xludf.DUMMYFUNCTION("""COMPUTED_VALUE"""),"29609660")</f>
        <v>29609660</v>
      </c>
      <c r="F662" s="44" t="str">
        <f>IFERROR(__xludf.DUMMYFUNCTION("""COMPUTED_VALUE"""),"")</f>
        <v/>
      </c>
      <c r="G662" s="44" t="str">
        <f>IFERROR(__xludf.DUMMYFUNCTION("""COMPUTED_VALUE""")," ")</f>
        <v> </v>
      </c>
      <c r="H662" s="44" t="str">
        <f>IFERROR(__xludf.DUMMYFUNCTION("""COMPUTED_VALUE"""),"Caribe")</f>
        <v>Caribe</v>
      </c>
      <c r="I662" s="44" t="str">
        <f>IFERROR(__xludf.DUMMYFUNCTION("""COMPUTED_VALUE""")," ")</f>
        <v> </v>
      </c>
      <c r="J662" s="44" t="str">
        <f>IFERROR(__xludf.DUMMYFUNCTION("""COMPUTED_VALUE"""),"")</f>
        <v/>
      </c>
      <c r="K662" s="42" t="str">
        <f>IFERROR(__xludf.DUMMYFUNCTION("""COMPUTED_VALUE"""),"H. Jose Maria Vargas LG")</f>
        <v>H. Jose Maria Vargas LG</v>
      </c>
    </row>
    <row r="663">
      <c r="A663" s="44">
        <v>662.0</v>
      </c>
      <c r="B663" s="44" t="str">
        <f>IFERROR(__xludf.DUMMYFUNCTION("""COMPUTED_VALUE"""),"Hospital Militar Dr. C. Arvelo")</f>
        <v>Hospital Militar Dr. C. Arvelo</v>
      </c>
      <c r="C663" s="45" t="str">
        <f>IFERROR(__xludf.DUMMYFUNCTION("""COMPUTED_VALUE"""),"Rangel Daphne")</f>
        <v>Rangel Daphne</v>
      </c>
      <c r="D663" s="44">
        <f>IFERROR(__xludf.DUMMYFUNCTION("""COMPUTED_VALUE"""),23.0)</f>
        <v>23</v>
      </c>
      <c r="E663" s="44" t="str">
        <f>IFERROR(__xludf.DUMMYFUNCTION("""COMPUTED_VALUE"""),"29619923")</f>
        <v>29619923</v>
      </c>
      <c r="F663" s="44" t="str">
        <f>IFERROR(__xludf.DUMMYFUNCTION("""COMPUTED_VALUE"""),"")</f>
        <v/>
      </c>
      <c r="G663" s="44" t="str">
        <f>IFERROR(__xludf.DUMMYFUNCTION("""COMPUTED_VALUE"""),"")</f>
        <v/>
      </c>
      <c r="H663" s="44" t="str">
        <f>IFERROR(__xludf.DUMMYFUNCTION("""COMPUTED_VALUE"""),"F")</f>
        <v>F</v>
      </c>
      <c r="I663" s="44" t="str">
        <f>IFERROR(__xludf.DUMMYFUNCTION("""COMPUTED_VALUE"""),"Macuto La Guaira S/2 GNB")</f>
        <v>Macuto La Guaira S/2 GNB</v>
      </c>
      <c r="J663" s="44" t="str">
        <f>IFERROR(__xludf.DUMMYFUNCTION("""COMPUTED_VALUE"""),"24/6/2026")</f>
        <v>24/6/2026</v>
      </c>
      <c r="K663" s="42" t="str">
        <f>IFERROR(__xludf.DUMMYFUNCTION("""COMPUTED_VALUE"""),"Hospital Militar Dr. C. Arvelo")</f>
        <v>Hospital Militar Dr. C. Arvelo</v>
      </c>
    </row>
    <row r="664">
      <c r="A664" s="44">
        <v>663.0</v>
      </c>
      <c r="B664" s="44" t="str">
        <f>IFERROR(__xludf.DUMMYFUNCTION("""COMPUTED_VALUE"""),"Hospital Militar Dr. C. Arvelo")</f>
        <v>Hospital Militar Dr. C. Arvelo</v>
      </c>
      <c r="C664" s="45" t="str">
        <f>IFERROR(__xludf.DUMMYFUNCTION("""COMPUTED_VALUE"""),"Torrellas María")</f>
        <v>Torrellas María</v>
      </c>
      <c r="D664" s="44">
        <f>IFERROR(__xludf.DUMMYFUNCTION("""COMPUTED_VALUE"""),29.0)</f>
        <v>29</v>
      </c>
      <c r="E664" s="44" t="str">
        <f>IFERROR(__xludf.DUMMYFUNCTION("""COMPUTED_VALUE"""),"29656134")</f>
        <v>29656134</v>
      </c>
      <c r="F664" s="44" t="str">
        <f>IFERROR(__xludf.DUMMYFUNCTION("""COMPUTED_VALUE"""),"")</f>
        <v/>
      </c>
      <c r="G664" s="44" t="str">
        <f>IFERROR(__xludf.DUMMYFUNCTION("""COMPUTED_VALUE"""),"")</f>
        <v/>
      </c>
      <c r="H664" s="44" t="str">
        <f>IFERROR(__xludf.DUMMYFUNCTION("""COMPUTED_VALUE"""),"F")</f>
        <v>F</v>
      </c>
      <c r="I664" s="44" t="str">
        <f>IFERROR(__xludf.DUMMYFUNCTION("""COMPUTED_VALUE"""),"La Guaira PNA")</f>
        <v>La Guaira PNA</v>
      </c>
      <c r="J664" s="44" t="str">
        <f>IFERROR(__xludf.DUMMYFUNCTION("""COMPUTED_VALUE"""),"24/6/2026")</f>
        <v>24/6/2026</v>
      </c>
      <c r="K664" s="42" t="str">
        <f>IFERROR(__xludf.DUMMYFUNCTION("""COMPUTED_VALUE"""),"Hospital Militar Dr. C. Arvelo")</f>
        <v>Hospital Militar Dr. C. Arvelo</v>
      </c>
    </row>
    <row r="665">
      <c r="A665" s="44">
        <v>664.0</v>
      </c>
      <c r="B665" s="44" t="str">
        <f>IFERROR(__xludf.DUMMYFUNCTION("""COMPUTED_VALUE"""),"H. Jose Maria Vargas LG")</f>
        <v>H. Jose Maria Vargas LG</v>
      </c>
      <c r="C665" s="45" t="str">
        <f>IFERROR(__xludf.DUMMYFUNCTION("""COMPUTED_VALUE"""),"GONZALES KERVI")</f>
        <v>GONZALES KERVI</v>
      </c>
      <c r="D665" s="44" t="str">
        <f>IFERROR(__xludf.DUMMYFUNCTION("""COMPUTED_VALUE""")," ")</f>
        <v> </v>
      </c>
      <c r="E665" s="44" t="str">
        <f>IFERROR(__xludf.DUMMYFUNCTION("""COMPUTED_VALUE"""),"29665230")</f>
        <v>29665230</v>
      </c>
      <c r="F665" s="44" t="str">
        <f>IFERROR(__xludf.DUMMYFUNCTION("""COMPUTED_VALUE"""),"")</f>
        <v/>
      </c>
      <c r="G665" s="44" t="str">
        <f>IFERROR(__xludf.DUMMYFUNCTION("""COMPUTED_VALUE""")," ")</f>
        <v> </v>
      </c>
      <c r="H665" s="44" t="str">
        <f>IFERROR(__xludf.DUMMYFUNCTION("""COMPUTED_VALUE"""),"Playa Grande")</f>
        <v>Playa Grande</v>
      </c>
      <c r="I665" s="44" t="str">
        <f>IFERROR(__xludf.DUMMYFUNCTION("""COMPUTED_VALUE""")," ")</f>
        <v> </v>
      </c>
      <c r="J665" s="44" t="str">
        <f>IFERROR(__xludf.DUMMYFUNCTION("""COMPUTED_VALUE"""),"")</f>
        <v/>
      </c>
      <c r="K665" s="42" t="str">
        <f>IFERROR(__xludf.DUMMYFUNCTION("""COMPUTED_VALUE"""),"H. Jose Maria Vargas LG")</f>
        <v>H. Jose Maria Vargas LG</v>
      </c>
    </row>
    <row r="666">
      <c r="A666" s="44">
        <v>665.0</v>
      </c>
      <c r="B666" s="44" t="str">
        <f>IFERROR(__xludf.DUMMYFUNCTION("""COMPUTED_VALUE"""),"Hospital Pérez Carreño")</f>
        <v>Hospital Pérez Carreño</v>
      </c>
      <c r="C666" s="45" t="str">
        <f>IFERROR(__xludf.DUMMYFUNCTION("""COMPUTED_VALUE"""),"MANUELA DE ANZOLA")</f>
        <v>MANUELA DE ANZOLA</v>
      </c>
      <c r="D666" s="44" t="str">
        <f>IFERROR(__xludf.DUMMYFUNCTION("""COMPUTED_VALUE"""),"Sin información")</f>
        <v>Sin información</v>
      </c>
      <c r="E666" s="44" t="str">
        <f>IFERROR(__xludf.DUMMYFUNCTION("""COMPUTED_VALUE"""),"29672230")</f>
        <v>29672230</v>
      </c>
      <c r="F666" s="44" t="str">
        <f>IFERROR(__xludf.DUMMYFUNCTION("""COMPUTED_VALUE"""),"")</f>
        <v/>
      </c>
      <c r="G666" s="44" t="str">
        <f>IFERROR(__xludf.DUMMYFUNCTION("""COMPUTED_VALUE""")," ")</f>
        <v> </v>
      </c>
      <c r="H666" s="44" t="str">
        <f>IFERROR(__xludf.DUMMYFUNCTION("""COMPUTED_VALUE"""),"Sin información")</f>
        <v>Sin información</v>
      </c>
      <c r="I666" s="44" t="str">
        <f>IFERROR(__xludf.DUMMYFUNCTION("""COMPUTED_VALUE"""),"Sin información")</f>
        <v>Sin información</v>
      </c>
      <c r="J666" s="44" t="str">
        <f>IFERROR(__xludf.DUMMYFUNCTION("""COMPUTED_VALUE"""),"25/06/2026")</f>
        <v>25/06/2026</v>
      </c>
      <c r="K666" s="42" t="str">
        <f>IFERROR(__xludf.DUMMYFUNCTION("""COMPUTED_VALUE"""),"Hospital Pérez Carreño")</f>
        <v>Hospital Pérez Carreño</v>
      </c>
    </row>
    <row r="667">
      <c r="A667" s="44">
        <v>666.0</v>
      </c>
      <c r="B667" s="44" t="str">
        <f>IFERROR(__xludf.DUMMYFUNCTION("""COMPUTED_VALUE"""),"Hospital Pérez Carreño")</f>
        <v>Hospital Pérez Carreño</v>
      </c>
      <c r="C667" s="45" t="str">
        <f>IFERROR(__xludf.DUMMYFUNCTION("""COMPUTED_VALUE"""),"DE ANZOLA MANUELA")</f>
        <v>DE ANZOLA MANUELA</v>
      </c>
      <c r="D667" s="44" t="str">
        <f>IFERROR(__xludf.DUMMYFUNCTION("""COMPUTED_VALUE""")," ")</f>
        <v> </v>
      </c>
      <c r="E667" s="44" t="str">
        <f>IFERROR(__xludf.DUMMYFUNCTION("""COMPUTED_VALUE"""),"296723")</f>
        <v>296723</v>
      </c>
      <c r="F667" s="44" t="str">
        <f>IFERROR(__xludf.DUMMYFUNCTION("""COMPUTED_VALUE"""),"")</f>
        <v/>
      </c>
      <c r="G667" s="44" t="str">
        <f>IFERROR(__xludf.DUMMYFUNCTION("""COMPUTED_VALUE""")," ")</f>
        <v> </v>
      </c>
      <c r="H667" s="44" t="str">
        <f>IFERROR(__xludf.DUMMYFUNCTION("""COMPUTED_VALUE""")," ")</f>
        <v> </v>
      </c>
      <c r="I667" s="44" t="str">
        <f>IFERROR(__xludf.DUMMYFUNCTION("""COMPUTED_VALUE""")," ")</f>
        <v> </v>
      </c>
      <c r="J667" s="44" t="str">
        <f>IFERROR(__xludf.DUMMYFUNCTION("""COMPUTED_VALUE"""),"25/06/2026")</f>
        <v>25/06/2026</v>
      </c>
      <c r="K667" s="42" t="str">
        <f>IFERROR(__xludf.DUMMYFUNCTION("""COMPUTED_VALUE"""),"Hospital Pérez Carreño")</f>
        <v>Hospital Pérez Carreño</v>
      </c>
    </row>
    <row r="668">
      <c r="A668" s="44">
        <v>667.0</v>
      </c>
      <c r="B668" s="44" t="str">
        <f>IFERROR(__xludf.DUMMYFUNCTION("""COMPUTED_VALUE"""),"Hospital Pérez Carreño")</f>
        <v>Hospital Pérez Carreño</v>
      </c>
      <c r="C668" s="45" t="str">
        <f>IFERROR(__xludf.DUMMYFUNCTION("""COMPUTED_VALUE"""),"MANUELA DE ANZOLA")</f>
        <v>MANUELA DE ANZOLA</v>
      </c>
      <c r="D668" s="44" t="str">
        <f>IFERROR(__xludf.DUMMYFUNCTION("""COMPUTED_VALUE""")," ")</f>
        <v> </v>
      </c>
      <c r="E668" s="44" t="str">
        <f>IFERROR(__xludf.DUMMYFUNCTION("""COMPUTED_VALUE"""),"2967230")</f>
        <v>2967230</v>
      </c>
      <c r="F668" s="44" t="str">
        <f>IFERROR(__xludf.DUMMYFUNCTION("""COMPUTED_VALUE"""),"")</f>
        <v/>
      </c>
      <c r="G668" s="44" t="str">
        <f>IFERROR(__xludf.DUMMYFUNCTION("""COMPUTED_VALUE""")," ")</f>
        <v> </v>
      </c>
      <c r="H668" s="44" t="str">
        <f>IFERROR(__xludf.DUMMYFUNCTION("""COMPUTED_VALUE""")," ")</f>
        <v> </v>
      </c>
      <c r="I668" s="44" t="str">
        <f>IFERROR(__xludf.DUMMYFUNCTION("""COMPUTED_VALUE"""),"Triaje")</f>
        <v>Triaje</v>
      </c>
      <c r="J668" s="44" t="str">
        <f>IFERROR(__xludf.DUMMYFUNCTION("""COMPUTED_VALUE"""),"25/06/2026")</f>
        <v>25/06/2026</v>
      </c>
      <c r="K668" s="42" t="str">
        <f>IFERROR(__xludf.DUMMYFUNCTION("""COMPUTED_VALUE"""),"Hospital Pérez Carreño")</f>
        <v>Hospital Pérez Carreño</v>
      </c>
    </row>
    <row r="669">
      <c r="A669" s="44">
        <v>668.0</v>
      </c>
      <c r="B669" s="44" t="str">
        <f>IFERROR(__xludf.DUMMYFUNCTION("""COMPUTED_VALUE"""),"Hospital Pérez Carreño")</f>
        <v>Hospital Pérez Carreño</v>
      </c>
      <c r="C669" s="45" t="str">
        <f>IFERROR(__xludf.DUMMYFUNCTION("""COMPUTED_VALUE"""),"GONZALEZ ISTURIZ ISABEL")</f>
        <v>GONZALEZ ISTURIZ ISABEL</v>
      </c>
      <c r="D669" s="44" t="str">
        <f>IFERROR(__xludf.DUMMYFUNCTION("""COMPUTED_VALUE""")," ")</f>
        <v> </v>
      </c>
      <c r="E669" s="44" t="str">
        <f>IFERROR(__xludf.DUMMYFUNCTION("""COMPUTED_VALUE"""),"29701695")</f>
        <v>29701695</v>
      </c>
      <c r="F669" s="44" t="str">
        <f>IFERROR(__xludf.DUMMYFUNCTION("""COMPUTED_VALUE"""),"")</f>
        <v/>
      </c>
      <c r="G669" s="44" t="str">
        <f>IFERROR(__xludf.DUMMYFUNCTION("""COMPUTED_VALUE""")," ")</f>
        <v> </v>
      </c>
      <c r="H669" s="44" t="str">
        <f>IFERROR(__xludf.DUMMYFUNCTION("""COMPUTED_VALUE""")," ")</f>
        <v> </v>
      </c>
      <c r="I669" s="44" t="str">
        <f>IFERROR(__xludf.DUMMYFUNCTION("""COMPUTED_VALUE""")," ")</f>
        <v> </v>
      </c>
      <c r="J669" s="44" t="str">
        <f>IFERROR(__xludf.DUMMYFUNCTION("""COMPUTED_VALUE"""),"25/06/2026")</f>
        <v>25/06/2026</v>
      </c>
      <c r="K669" s="42" t="str">
        <f>IFERROR(__xludf.DUMMYFUNCTION("""COMPUTED_VALUE"""),"Hospital Pérez Carreño")</f>
        <v>Hospital Pérez Carreño</v>
      </c>
    </row>
    <row r="670">
      <c r="A670" s="44">
        <v>669.0</v>
      </c>
      <c r="B670" s="44" t="str">
        <f>IFERROR(__xludf.DUMMYFUNCTION("""COMPUTED_VALUE"""),"Hospital Pérez Carreño")</f>
        <v>Hospital Pérez Carreño</v>
      </c>
      <c r="C670" s="45" t="str">
        <f>IFERROR(__xludf.DUMMYFUNCTION("""COMPUTED_VALUE"""),"ISABEL GONZALES")</f>
        <v>ISABEL GONZALES</v>
      </c>
      <c r="D670" s="44" t="str">
        <f>IFERROR(__xludf.DUMMYFUNCTION("""COMPUTED_VALUE""")," ")</f>
        <v> </v>
      </c>
      <c r="E670" s="44" t="str">
        <f>IFERROR(__xludf.DUMMYFUNCTION("""COMPUTED_VALUE"""),"297016950")</f>
        <v>297016950</v>
      </c>
      <c r="F670" s="44" t="str">
        <f>IFERROR(__xludf.DUMMYFUNCTION("""COMPUTED_VALUE"""),"")</f>
        <v/>
      </c>
      <c r="G670" s="44" t="str">
        <f>IFERROR(__xludf.DUMMYFUNCTION("""COMPUTED_VALUE""")," ")</f>
        <v> </v>
      </c>
      <c r="H670" s="44" t="str">
        <f>IFERROR(__xludf.DUMMYFUNCTION("""COMPUTED_VALUE""")," ")</f>
        <v> </v>
      </c>
      <c r="I670" s="44" t="str">
        <f>IFERROR(__xludf.DUMMYFUNCTION("""COMPUTED_VALUE"""),"  | Sin información")</f>
        <v>  | Sin información</v>
      </c>
      <c r="J670" s="44" t="str">
        <f>IFERROR(__xludf.DUMMYFUNCTION("""COMPUTED_VALUE"""),"25/06/2026")</f>
        <v>25/06/2026</v>
      </c>
      <c r="K670" s="42" t="str">
        <f>IFERROR(__xludf.DUMMYFUNCTION("""COMPUTED_VALUE"""),"Hospital Pérez Carreño")</f>
        <v>Hospital Pérez Carreño</v>
      </c>
    </row>
    <row r="671">
      <c r="A671" s="44">
        <v>670.0</v>
      </c>
      <c r="B671" s="44" t="str">
        <f>IFERROR(__xludf.DUMMYFUNCTION("""COMPUTED_VALUE"""),"Hospital Pérez Carreño")</f>
        <v>Hospital Pérez Carreño</v>
      </c>
      <c r="C671" s="45" t="str">
        <f>IFERROR(__xludf.DUMMYFUNCTION("""COMPUTED_VALUE"""),"MEDINA NAYICIA")</f>
        <v>MEDINA NAYICIA</v>
      </c>
      <c r="D671" s="44" t="str">
        <f>IFERROR(__xludf.DUMMYFUNCTION("""COMPUTED_VALUE""")," ")</f>
        <v> </v>
      </c>
      <c r="E671" s="44" t="str">
        <f>IFERROR(__xludf.DUMMYFUNCTION("""COMPUTED_VALUE"""),"29765360")</f>
        <v>29765360</v>
      </c>
      <c r="F671" s="44" t="str">
        <f>IFERROR(__xludf.DUMMYFUNCTION("""COMPUTED_VALUE"""),"")</f>
        <v/>
      </c>
      <c r="G671" s="44" t="str">
        <f>IFERROR(__xludf.DUMMYFUNCTION("""COMPUTED_VALUE""")," ")</f>
        <v> </v>
      </c>
      <c r="H671" s="44" t="str">
        <f>IFERROR(__xludf.DUMMYFUNCTION("""COMPUTED_VALUE""")," ")</f>
        <v> </v>
      </c>
      <c r="I671" s="44" t="str">
        <f>IFERROR(__xludf.DUMMYFUNCTION("""COMPUTED_VALUE"""),"Internado")</f>
        <v>Internado</v>
      </c>
      <c r="J671" s="44" t="str">
        <f>IFERROR(__xludf.DUMMYFUNCTION("""COMPUTED_VALUE"""),"25/06/2026")</f>
        <v>25/06/2026</v>
      </c>
      <c r="K671" s="42" t="str">
        <f>IFERROR(__xludf.DUMMYFUNCTION("""COMPUTED_VALUE"""),"Hospital Pérez Carreño")</f>
        <v>Hospital Pérez Carreño</v>
      </c>
    </row>
    <row r="672">
      <c r="A672" s="44">
        <v>671.0</v>
      </c>
      <c r="B672" s="44" t="str">
        <f>IFERROR(__xludf.DUMMYFUNCTION("""COMPUTED_VALUE"""),"Hospital Pérez Carreño")</f>
        <v>Hospital Pérez Carreño</v>
      </c>
      <c r="C672" s="45" t="str">
        <f>IFERROR(__xludf.DUMMYFUNCTION("""COMPUTED_VALUE"""),"MOLINA ORIANA")</f>
        <v>MOLINA ORIANA</v>
      </c>
      <c r="D672" s="44" t="str">
        <f>IFERROR(__xludf.DUMMYFUNCTION("""COMPUTED_VALUE""")," ")</f>
        <v> </v>
      </c>
      <c r="E672" s="44" t="str">
        <f>IFERROR(__xludf.DUMMYFUNCTION("""COMPUTED_VALUE"""),"29766267")</f>
        <v>29766267</v>
      </c>
      <c r="F672" s="44" t="str">
        <f>IFERROR(__xludf.DUMMYFUNCTION("""COMPUTED_VALUE"""),"")</f>
        <v/>
      </c>
      <c r="G672" s="44" t="str">
        <f>IFERROR(__xludf.DUMMYFUNCTION("""COMPUTED_VALUE""")," ")</f>
        <v> </v>
      </c>
      <c r="H672" s="44" t="str">
        <f>IFERROR(__xludf.DUMMYFUNCTION("""COMPUTED_VALUE""")," ")</f>
        <v> </v>
      </c>
      <c r="I672" s="44" t="str">
        <f>IFERROR(__xludf.DUMMYFUNCTION("""COMPUTED_VALUE"""),"Internado")</f>
        <v>Internado</v>
      </c>
      <c r="J672" s="44" t="str">
        <f>IFERROR(__xludf.DUMMYFUNCTION("""COMPUTED_VALUE"""),"25/06/2026")</f>
        <v>25/06/2026</v>
      </c>
      <c r="K672" s="42" t="str">
        <f>IFERROR(__xludf.DUMMYFUNCTION("""COMPUTED_VALUE"""),"Hospital Pérez Carreño")</f>
        <v>Hospital Pérez Carreño</v>
      </c>
    </row>
    <row r="673">
      <c r="A673" s="44">
        <v>672.0</v>
      </c>
      <c r="B673" s="44" t="str">
        <f>IFERROR(__xludf.DUMMYFUNCTION("""COMPUTED_VALUE"""),"Hospital Pérez Carreño")</f>
        <v>Hospital Pérez Carreño</v>
      </c>
      <c r="C673" s="45" t="str">
        <f>IFERROR(__xludf.DUMMYFUNCTION("""COMPUTED_VALUE"""),"MOLINA NAYIBI")</f>
        <v>MOLINA NAYIBI</v>
      </c>
      <c r="D673" s="44" t="str">
        <f>IFERROR(__xludf.DUMMYFUNCTION("""COMPUTED_VALUE""")," ")</f>
        <v> </v>
      </c>
      <c r="E673" s="44" t="str">
        <f>IFERROR(__xludf.DUMMYFUNCTION("""COMPUTED_VALUE"""),"29768360")</f>
        <v>29768360</v>
      </c>
      <c r="F673" s="44" t="str">
        <f>IFERROR(__xludf.DUMMYFUNCTION("""COMPUTED_VALUE"""),"")</f>
        <v/>
      </c>
      <c r="G673" s="44" t="str">
        <f>IFERROR(__xludf.DUMMYFUNCTION("""COMPUTED_VALUE""")," ")</f>
        <v> </v>
      </c>
      <c r="H673" s="44" t="str">
        <f>IFERROR(__xludf.DUMMYFUNCTION("""COMPUTED_VALUE""")," ")</f>
        <v> </v>
      </c>
      <c r="I673" s="44" t="str">
        <f>IFERROR(__xludf.DUMMYFUNCTION("""COMPUTED_VALUE""")," ")</f>
        <v> </v>
      </c>
      <c r="J673" s="44" t="str">
        <f>IFERROR(__xludf.DUMMYFUNCTION("""COMPUTED_VALUE"""),"25/06/2026")</f>
        <v>25/06/2026</v>
      </c>
      <c r="K673" s="42" t="str">
        <f>IFERROR(__xludf.DUMMYFUNCTION("""COMPUTED_VALUE"""),"Hospital Pérez Carreño")</f>
        <v>Hospital Pérez Carreño</v>
      </c>
    </row>
    <row r="674">
      <c r="A674" s="44">
        <v>673.0</v>
      </c>
      <c r="B674" s="44" t="str">
        <f>IFERROR(__xludf.DUMMYFUNCTION("""COMPUTED_VALUE"""),"Hospital Pérez Carreño")</f>
        <v>Hospital Pérez Carreño</v>
      </c>
      <c r="C674" s="45" t="str">
        <f>IFERROR(__xludf.DUMMYFUNCTION("""COMPUTED_VALUE"""),"MOLLINA NAYIICA")</f>
        <v>MOLLINA NAYIICA</v>
      </c>
      <c r="D674" s="44" t="str">
        <f>IFERROR(__xludf.DUMMYFUNCTION("""COMPUTED_VALUE""")," ")</f>
        <v> </v>
      </c>
      <c r="E674" s="44" t="str">
        <f>IFERROR(__xludf.DUMMYFUNCTION("""COMPUTED_VALUE"""),"297683600")</f>
        <v>297683600</v>
      </c>
      <c r="F674" s="44" t="str">
        <f>IFERROR(__xludf.DUMMYFUNCTION("""COMPUTED_VALUE"""),"")</f>
        <v/>
      </c>
      <c r="G674" s="44" t="str">
        <f>IFERROR(__xludf.DUMMYFUNCTION("""COMPUTED_VALUE""")," ")</f>
        <v> </v>
      </c>
      <c r="H674" s="44" t="str">
        <f>IFERROR(__xludf.DUMMYFUNCTION("""COMPUTED_VALUE""")," ")</f>
        <v> </v>
      </c>
      <c r="I674" s="44" t="str">
        <f>IFERROR(__xludf.DUMMYFUNCTION("""COMPUTED_VALUE""")," ")</f>
        <v> </v>
      </c>
      <c r="J674" s="44" t="str">
        <f>IFERROR(__xludf.DUMMYFUNCTION("""COMPUTED_VALUE"""),"25/06/2026")</f>
        <v>25/06/2026</v>
      </c>
      <c r="K674" s="42" t="str">
        <f>IFERROR(__xludf.DUMMYFUNCTION("""COMPUTED_VALUE"""),"Hospital Pérez Carreño")</f>
        <v>Hospital Pérez Carreño</v>
      </c>
    </row>
    <row r="675">
      <c r="A675" s="44">
        <v>674.0</v>
      </c>
      <c r="B675" s="44" t="str">
        <f>IFERROR(__xludf.DUMMYFUNCTION("""COMPUTED_VALUE"""),"H. Jose Maria Vargas LG")</f>
        <v>H. Jose Maria Vargas LG</v>
      </c>
      <c r="C675" s="45" t="str">
        <f>IFERROR(__xludf.DUMMYFUNCTION("""COMPUTED_VALUE"""),"SALAZAR HELLEN")</f>
        <v>SALAZAR HELLEN</v>
      </c>
      <c r="D675" s="44" t="str">
        <f>IFERROR(__xludf.DUMMYFUNCTION("""COMPUTED_VALUE""")," ")</f>
        <v> </v>
      </c>
      <c r="E675" s="44" t="str">
        <f>IFERROR(__xludf.DUMMYFUNCTION("""COMPUTED_VALUE"""),"29815405")</f>
        <v>29815405</v>
      </c>
      <c r="F675" s="44" t="str">
        <f>IFERROR(__xludf.DUMMYFUNCTION("""COMPUTED_VALUE"""),"")</f>
        <v/>
      </c>
      <c r="G675" s="44" t="str">
        <f>IFERROR(__xludf.DUMMYFUNCTION("""COMPUTED_VALUE""")," ")</f>
        <v> </v>
      </c>
      <c r="H675" s="44" t="str">
        <f>IFERROR(__xludf.DUMMYFUNCTION("""COMPUTED_VALUE"""),"Los Corales")</f>
        <v>Los Corales</v>
      </c>
      <c r="I675" s="44" t="str">
        <f>IFERROR(__xludf.DUMMYFUNCTION("""COMPUTED_VALUE""")," ")</f>
        <v> </v>
      </c>
      <c r="J675" s="44" t="str">
        <f>IFERROR(__xludf.DUMMYFUNCTION("""COMPUTED_VALUE"""),"")</f>
        <v/>
      </c>
      <c r="K675" s="42" t="str">
        <f>IFERROR(__xludf.DUMMYFUNCTION("""COMPUTED_VALUE"""),"H. Jose Maria Vargas LG")</f>
        <v>H. Jose Maria Vargas LG</v>
      </c>
    </row>
    <row r="676">
      <c r="A676" s="44">
        <v>675.0</v>
      </c>
      <c r="B676" s="44" t="str">
        <f>IFERROR(__xludf.DUMMYFUNCTION("""COMPUTED_VALUE"""),"Seguro Social La Guaira")</f>
        <v>Seguro Social La Guaira</v>
      </c>
      <c r="C676" s="45" t="str">
        <f>IFERROR(__xludf.DUMMYFUNCTION("""COMPUTED_VALUE"""),"HELEN SALAZAR")</f>
        <v>HELEN SALAZAR</v>
      </c>
      <c r="D676" s="44" t="str">
        <f>IFERROR(__xludf.DUMMYFUNCTION("""COMPUTED_VALUE""")," ")</f>
        <v> </v>
      </c>
      <c r="E676" s="44" t="str">
        <f>IFERROR(__xludf.DUMMYFUNCTION("""COMPUTED_VALUE"""),"298154050")</f>
        <v>298154050</v>
      </c>
      <c r="F676" s="44" t="str">
        <f>IFERROR(__xludf.DUMMYFUNCTION("""COMPUTED_VALUE"""),"")</f>
        <v/>
      </c>
      <c r="G676" s="44" t="str">
        <f>IFERROR(__xludf.DUMMYFUNCTION("""COMPUTED_VALUE""")," ")</f>
        <v> </v>
      </c>
      <c r="H676" s="44" t="str">
        <f>IFERROR(__xludf.DUMMYFUNCTION("""COMPUTED_VALUE"""),"Corales")</f>
        <v>Corales</v>
      </c>
      <c r="I676" s="44" t="str">
        <f>IFERROR(__xludf.DUMMYFUNCTION("""COMPUTED_VALUE""")," ")</f>
        <v> </v>
      </c>
      <c r="J676" s="44" t="str">
        <f>IFERROR(__xludf.DUMMYFUNCTION("""COMPUTED_VALUE"""),"")</f>
        <v/>
      </c>
      <c r="K676" s="42" t="str">
        <f>IFERROR(__xludf.DUMMYFUNCTION("""COMPUTED_VALUE"""),"Seguro Social La Guaira")</f>
        <v>Seguro Social La Guaira</v>
      </c>
    </row>
    <row r="677">
      <c r="A677" s="44">
        <v>676.0</v>
      </c>
      <c r="B677" s="44" t="str">
        <f>IFERROR(__xludf.DUMMYFUNCTION("""COMPUTED_VALUE"""),"Hospital Vargas de Caracas")</f>
        <v>Hospital Vargas de Caracas</v>
      </c>
      <c r="C677" s="45" t="str">
        <f>IFERROR(__xludf.DUMMYFUNCTION("""COMPUTED_VALUE"""),"LEDEZMA GRISELDA")</f>
        <v>LEDEZMA GRISELDA</v>
      </c>
      <c r="D677" s="44" t="str">
        <f>IFERROR(__xludf.DUMMYFUNCTION("""COMPUTED_VALUE""")," ")</f>
        <v> </v>
      </c>
      <c r="E677" s="44" t="str">
        <f>IFERROR(__xludf.DUMMYFUNCTION("""COMPUTED_VALUE"""),"2987711")</f>
        <v>2987711</v>
      </c>
      <c r="F677" s="44" t="str">
        <f>IFERROR(__xludf.DUMMYFUNCTION("""COMPUTED_VALUE""")," ")</f>
        <v> </v>
      </c>
      <c r="G677" s="44" t="str">
        <f>IFERROR(__xludf.DUMMYFUNCTION("""COMPUTED_VALUE"""),"")</f>
        <v/>
      </c>
      <c r="H677" s="44" t="str">
        <f>IFERROR(__xludf.DUMMYFUNCTION("""COMPUTED_VALUE""")," ")</f>
        <v> </v>
      </c>
      <c r="I677" s="44" t="str">
        <f>IFERROR(__xludf.DUMMYFUNCTION("""COMPUTED_VALUE""")," ")</f>
        <v> </v>
      </c>
      <c r="J677" s="44" t="str">
        <f>IFERROR(__xludf.DUMMYFUNCTION("""COMPUTED_VALUE"""),"")</f>
        <v/>
      </c>
      <c r="K677" s="42" t="str">
        <f>IFERROR(__xludf.DUMMYFUNCTION("""COMPUTED_VALUE"""),"Hospital Vargas de Caracas")</f>
        <v>Hospital Vargas de Caracas</v>
      </c>
    </row>
    <row r="678">
      <c r="A678" s="44">
        <v>677.0</v>
      </c>
      <c r="B678" s="44" t="str">
        <f>IFERROR(__xludf.DUMMYFUNCTION("""COMPUTED_VALUE"""),"Hospital Universitario de Caracas")</f>
        <v>Hospital Universitario de Caracas</v>
      </c>
      <c r="C678" s="45" t="str">
        <f>IFERROR(__xludf.DUMMYFUNCTION("""COMPUTED_VALUE"""),"GOSLING RAIMON")</f>
        <v>GOSLING RAIMON</v>
      </c>
      <c r="D678" s="44">
        <f>IFERROR(__xludf.DUMMYFUNCTION("""COMPUTED_VALUE"""),79.0)</f>
        <v>79</v>
      </c>
      <c r="E678" s="44" t="str">
        <f>IFERROR(__xludf.DUMMYFUNCTION("""COMPUTED_VALUE"""),"29900166")</f>
        <v>29900166</v>
      </c>
      <c r="F678" s="44" t="str">
        <f>IFERROR(__xludf.DUMMYFUNCTION("""COMPUTED_VALUE"""),"")</f>
        <v/>
      </c>
      <c r="G678" s="44" t="str">
        <f>IFERROR(__xludf.DUMMYFUNCTION("""COMPUTED_VALUE""")," ")</f>
        <v> </v>
      </c>
      <c r="H678" s="44" t="str">
        <f>IFERROR(__xludf.DUMMYFUNCTION("""COMPUTED_VALUE""")," ")</f>
        <v> </v>
      </c>
      <c r="I678" s="44" t="str">
        <f>IFERROR(__xludf.DUMMYFUNCTION("""COMPUTED_VALUE"""),"Sala Cirugía 19-F – Fx húmero derecho | Politraumatismo; Fx húmero derecho")</f>
        <v>Sala Cirugía 19-F – Fx húmero derecho | Politraumatismo; Fx húmero derecho</v>
      </c>
      <c r="J678" s="44" t="str">
        <f>IFERROR(__xludf.DUMMYFUNCTION("""COMPUTED_VALUE"""),"")</f>
        <v/>
      </c>
      <c r="K678" s="42" t="str">
        <f>IFERROR(__xludf.DUMMYFUNCTION("""COMPUTED_VALUE"""),"🔍 BUSCAR PACIENTES")</f>
        <v>🔍 BUSCAR PACIENTES</v>
      </c>
    </row>
    <row r="679">
      <c r="A679" s="44">
        <v>678.0</v>
      </c>
      <c r="B679" s="44" t="str">
        <f>IFERROR(__xludf.DUMMYFUNCTION("""COMPUTED_VALUE"""),"Seguro Social La Guaira")</f>
        <v>Seguro Social La Guaira</v>
      </c>
      <c r="C679" s="45" t="str">
        <f>IFERROR(__xludf.DUMMYFUNCTION("""COMPUTED_VALUE"""),"RODRIGO COLO")</f>
        <v>RODRIGO COLO</v>
      </c>
      <c r="D679" s="44" t="str">
        <f>IFERROR(__xludf.DUMMYFUNCTION("""COMPUTED_VALUE""")," ")</f>
        <v> </v>
      </c>
      <c r="E679" s="44" t="str">
        <f>IFERROR(__xludf.DUMMYFUNCTION("""COMPUTED_VALUE"""),"299106340")</f>
        <v>299106340</v>
      </c>
      <c r="F679" s="44" t="str">
        <f>IFERROR(__xludf.DUMMYFUNCTION("""COMPUTED_VALUE"""),"")</f>
        <v/>
      </c>
      <c r="G679" s="44" t="str">
        <f>IFERROR(__xludf.DUMMYFUNCTION("""COMPUTED_VALUE""")," ")</f>
        <v> </v>
      </c>
      <c r="H679" s="44" t="str">
        <f>IFERROR(__xludf.DUMMYFUNCTION("""COMPUTED_VALUE"""),"Naiguata")</f>
        <v>Naiguata</v>
      </c>
      <c r="I679" s="44" t="str">
        <f>IFERROR(__xludf.DUMMYFUNCTION("""COMPUTED_VALUE""")," ")</f>
        <v> </v>
      </c>
      <c r="J679" s="44" t="str">
        <f>IFERROR(__xludf.DUMMYFUNCTION("""COMPUTED_VALUE"""),"")</f>
        <v/>
      </c>
      <c r="K679" s="42" t="str">
        <f>IFERROR(__xludf.DUMMYFUNCTION("""COMPUTED_VALUE"""),"Seguro Social La Guaira")</f>
        <v>Seguro Social La Guaira</v>
      </c>
    </row>
    <row r="680">
      <c r="A680" s="44">
        <v>679.0</v>
      </c>
      <c r="B680" s="44" t="str">
        <f>IFERROR(__xludf.DUMMYFUNCTION("""COMPUTED_VALUE"""),"H. Jose Maria Vargas LG")</f>
        <v>H. Jose Maria Vargas LG</v>
      </c>
      <c r="C680" s="45" t="str">
        <f>IFERROR(__xludf.DUMMYFUNCTION("""COMPUTED_VALUE"""),"COLO RODRIGO")</f>
        <v>COLO RODRIGO</v>
      </c>
      <c r="D680" s="44" t="str">
        <f>IFERROR(__xludf.DUMMYFUNCTION("""COMPUTED_VALUE""")," ")</f>
        <v> </v>
      </c>
      <c r="E680" s="44" t="str">
        <f>IFERROR(__xludf.DUMMYFUNCTION("""COMPUTED_VALUE"""),"29910694")</f>
        <v>29910694</v>
      </c>
      <c r="F680" s="44" t="str">
        <f>IFERROR(__xludf.DUMMYFUNCTION("""COMPUTED_VALUE"""),"")</f>
        <v/>
      </c>
      <c r="G680" s="44" t="str">
        <f>IFERROR(__xludf.DUMMYFUNCTION("""COMPUTED_VALUE""")," ")</f>
        <v> </v>
      </c>
      <c r="H680" s="44" t="str">
        <f>IFERROR(__xludf.DUMMYFUNCTION("""COMPUTED_VALUE"""),"Naiguata")</f>
        <v>Naiguata</v>
      </c>
      <c r="I680" s="44" t="str">
        <f>IFERROR(__xludf.DUMMYFUNCTION("""COMPUTED_VALUE""")," ")</f>
        <v> </v>
      </c>
      <c r="J680" s="44" t="str">
        <f>IFERROR(__xludf.DUMMYFUNCTION("""COMPUTED_VALUE"""),"")</f>
        <v/>
      </c>
      <c r="K680" s="42" t="str">
        <f>IFERROR(__xludf.DUMMYFUNCTION("""COMPUTED_VALUE"""),"H. Jose Maria Vargas LG")</f>
        <v>H. Jose Maria Vargas LG</v>
      </c>
    </row>
    <row r="681">
      <c r="A681" s="44">
        <v>680.0</v>
      </c>
      <c r="B681" s="44" t="str">
        <f>IFERROR(__xludf.DUMMYFUNCTION("""COMPUTED_VALUE"""),"Hospital Militar Dr. C. Arvelo")</f>
        <v>Hospital Militar Dr. C. Arvelo</v>
      </c>
      <c r="C681" s="45" t="str">
        <f>IFERROR(__xludf.DUMMYFUNCTION("""COMPUTED_VALUE"""),"Piñero Díaz Ouikli (Fallecido)")</f>
        <v>Piñero Díaz Ouikli (Fallecido)</v>
      </c>
      <c r="D681" s="44">
        <f>IFERROR(__xludf.DUMMYFUNCTION("""COMPUTED_VALUE"""),23.0)</f>
        <v>23</v>
      </c>
      <c r="E681" s="44" t="str">
        <f>IFERROR(__xludf.DUMMYFUNCTION("""COMPUTED_VALUE"""),"29910706")</f>
        <v>29910706</v>
      </c>
      <c r="F681" s="44" t="str">
        <f>IFERROR(__xludf.DUMMYFUNCTION("""COMPUTED_VALUE"""),"")</f>
        <v/>
      </c>
      <c r="G681" s="44" t="str">
        <f>IFERROR(__xludf.DUMMYFUNCTION("""COMPUTED_VALUE"""),"")</f>
        <v/>
      </c>
      <c r="H681" s="44" t="str">
        <f>IFERROR(__xludf.DUMMYFUNCTION("""COMPUTED_VALUE"""),"M")</f>
        <v>M</v>
      </c>
      <c r="I681" s="44" t="str">
        <f>IFERROR(__xludf.DUMMYFUNCTION("""COMPUTED_VALUE"""),"La Guaira (Fallecido) PNA")</f>
        <v>La Guaira (Fallecido) PNA</v>
      </c>
      <c r="J681" s="44" t="str">
        <f>IFERROR(__xludf.DUMMYFUNCTION("""COMPUTED_VALUE"""),"24/6/2026")</f>
        <v>24/6/2026</v>
      </c>
      <c r="K681" s="42" t="str">
        <f>IFERROR(__xludf.DUMMYFUNCTION("""COMPUTED_VALUE"""),"Hospital Militar Dr. C. Arvelo")</f>
        <v>Hospital Militar Dr. C. Arvelo</v>
      </c>
    </row>
    <row r="682">
      <c r="A682" s="44">
        <v>681.0</v>
      </c>
      <c r="B682" s="44" t="str">
        <f>IFERROR(__xludf.DUMMYFUNCTION("""COMPUTED_VALUE"""),"Hospital General del Oeste")</f>
        <v>Hospital General del Oeste</v>
      </c>
      <c r="C682" s="45" t="str">
        <f>IFERROR(__xludf.DUMMYFUNCTION("""COMPUTED_VALUE"""),"TOVAR SAMUEL")</f>
        <v>TOVAR SAMUEL</v>
      </c>
      <c r="D682" s="44" t="str">
        <f>IFERROR(__xludf.DUMMYFUNCTION("""COMPUTED_VALUE""")," ")</f>
        <v> </v>
      </c>
      <c r="E682" s="44" t="str">
        <f>IFERROR(__xludf.DUMMYFUNCTION("""COMPUTED_VALUE"""),"30010914")</f>
        <v>30010914</v>
      </c>
      <c r="F682" s="44" t="str">
        <f>IFERROR(__xludf.DUMMYFUNCTION("""COMPUTED_VALUE"""),"")</f>
        <v/>
      </c>
      <c r="G682" s="44" t="str">
        <f>IFERROR(__xludf.DUMMYFUNCTION("""COMPUTED_VALUE""")," ")</f>
        <v> </v>
      </c>
      <c r="H682" s="44" t="str">
        <f>IFERROR(__xludf.DUMMYFUNCTION("""COMPUTED_VALUE"""),"Caribe")</f>
        <v>Caribe</v>
      </c>
      <c r="I682" s="44" t="str">
        <f>IFERROR(__xludf.DUMMYFUNCTION("""COMPUTED_VALUE""")," ")</f>
        <v> </v>
      </c>
      <c r="J682" s="44" t="str">
        <f>IFERROR(__xludf.DUMMYFUNCTION("""COMPUTED_VALUE"""),"")</f>
        <v/>
      </c>
      <c r="K682" s="42" t="str">
        <f>IFERROR(__xludf.DUMMYFUNCTION("""COMPUTED_VALUE"""),"Hospital General del Oeste")</f>
        <v>Hospital General del Oeste</v>
      </c>
    </row>
    <row r="683">
      <c r="A683" s="44">
        <v>682.0</v>
      </c>
      <c r="B683" s="44" t="str">
        <f>IFERROR(__xludf.DUMMYFUNCTION("""COMPUTED_VALUE"""),"Hospital General del Oeste")</f>
        <v>Hospital General del Oeste</v>
      </c>
      <c r="C683" s="45" t="str">
        <f>IFERROR(__xludf.DUMMYFUNCTION("""COMPUTED_VALUE"""),"GIL MICHELLE")</f>
        <v>GIL MICHELLE</v>
      </c>
      <c r="D683" s="44" t="str">
        <f>IFERROR(__xludf.DUMMYFUNCTION("""COMPUTED_VALUE""")," ")</f>
        <v> </v>
      </c>
      <c r="E683" s="44" t="str">
        <f>IFERROR(__xludf.DUMMYFUNCTION("""COMPUTED_VALUE"""),"30041537")</f>
        <v>30041537</v>
      </c>
      <c r="F683" s="44" t="str">
        <f>IFERROR(__xludf.DUMMYFUNCTION("""COMPUTED_VALUE"""),"")</f>
        <v/>
      </c>
      <c r="G683" s="44" t="str">
        <f>IFERROR(__xludf.DUMMYFUNCTION("""COMPUTED_VALUE""")," ")</f>
        <v> </v>
      </c>
      <c r="H683" s="44" t="str">
        <f>IFERROR(__xludf.DUMMYFUNCTION("""COMPUTED_VALUE"""),"Playa Grande")</f>
        <v>Playa Grande</v>
      </c>
      <c r="I683" s="44" t="str">
        <f>IFERROR(__xludf.DUMMYFUNCTION("""COMPUTED_VALUE""")," ")</f>
        <v> </v>
      </c>
      <c r="J683" s="44" t="str">
        <f>IFERROR(__xludf.DUMMYFUNCTION("""COMPUTED_VALUE"""),"")</f>
        <v/>
      </c>
      <c r="K683" s="42" t="str">
        <f>IFERROR(__xludf.DUMMYFUNCTION("""COMPUTED_VALUE"""),"Hospital General del Oeste")</f>
        <v>Hospital General del Oeste</v>
      </c>
    </row>
    <row r="684">
      <c r="A684" s="44">
        <v>683.0</v>
      </c>
      <c r="B684" s="44" t="str">
        <f>IFERROR(__xludf.DUMMYFUNCTION("""COMPUTED_VALUE"""),"Hospital Vargas de Caracas")</f>
        <v>Hospital Vargas de Caracas</v>
      </c>
      <c r="C684" s="45" t="str">
        <f>IFERROR(__xludf.DUMMYFUNCTION("""COMPUTED_VALUE"""),"BALAS LAURA")</f>
        <v>BALAS LAURA</v>
      </c>
      <c r="D684" s="44">
        <f>IFERROR(__xludf.DUMMYFUNCTION("""COMPUTED_VALUE"""),22.0)</f>
        <v>22</v>
      </c>
      <c r="E684" s="44" t="str">
        <f>IFERROR(__xludf.DUMMYFUNCTION("""COMPUTED_VALUE"""),"30041612")</f>
        <v>30041612</v>
      </c>
      <c r="F684" s="44" t="str">
        <f>IFERROR(__xludf.DUMMYFUNCTION("""COMPUTED_VALUE""")," ")</f>
        <v> </v>
      </c>
      <c r="G684" s="44" t="str">
        <f>IFERROR(__xludf.DUMMYFUNCTION("""COMPUTED_VALUE"""),"")</f>
        <v/>
      </c>
      <c r="H684" s="44" t="str">
        <f>IFERROR(__xludf.DUMMYFUNCTION("""COMPUTED_VALUE"""),"La Guaira")</f>
        <v>La Guaira</v>
      </c>
      <c r="I684" s="44" t="str">
        <f>IFERROR(__xludf.DUMMYFUNCTION("""COMPUTED_VALUE"""),"UPT")</f>
        <v>UPT</v>
      </c>
      <c r="J684" s="44" t="str">
        <f>IFERROR(__xludf.DUMMYFUNCTION("""COMPUTED_VALUE"""),"")</f>
        <v/>
      </c>
      <c r="K684" s="42" t="str">
        <f>IFERROR(__xludf.DUMMYFUNCTION("""COMPUTED_VALUE"""),"Hospital Vargas de Caracas")</f>
        <v>Hospital Vargas de Caracas</v>
      </c>
    </row>
    <row r="685">
      <c r="A685" s="44">
        <v>684.0</v>
      </c>
      <c r="B685" s="44" t="str">
        <f>IFERROR(__xludf.DUMMYFUNCTION("""COMPUTED_VALUE"""),"Hospital Dr. José Gregorio Hern")</f>
        <v>Hospital Dr. José Gregorio Hern</v>
      </c>
      <c r="C685" s="45" t="str">
        <f>IFERROR(__xludf.DUMMYFUNCTION("""COMPUTED_VALUE"""),"ALVAREZ MAIKILI")</f>
        <v>ALVAREZ MAIKILI</v>
      </c>
      <c r="D685" s="44" t="str">
        <f>IFERROR(__xludf.DUMMYFUNCTION("""COMPUTED_VALUE""")," ")</f>
        <v> </v>
      </c>
      <c r="E685" s="44" t="str">
        <f>IFERROR(__xludf.DUMMYFUNCTION("""COMPUTED_VALUE"""),"300454425")</f>
        <v>300454425</v>
      </c>
      <c r="F685" s="44" t="str">
        <f>IFERROR(__xludf.DUMMYFUNCTION("""COMPUTED_VALUE"""),"")</f>
        <v/>
      </c>
      <c r="G685" s="44" t="str">
        <f>IFERROR(__xludf.DUMMYFUNCTION("""COMPUTED_VALUE""")," ")</f>
        <v> </v>
      </c>
      <c r="H685" s="44" t="str">
        <f>IFERROR(__xludf.DUMMYFUNCTION("""COMPUTED_VALUE"""),"La Guaira")</f>
        <v>La Guaira</v>
      </c>
      <c r="I685" s="44" t="str">
        <f>IFERROR(__xludf.DUMMYFUNCTION("""COMPUTED_VALUE""")," ")</f>
        <v> </v>
      </c>
      <c r="J685" s="44" t="str">
        <f>IFERROR(__xludf.DUMMYFUNCTION("""COMPUTED_VALUE"""),"")</f>
        <v/>
      </c>
      <c r="K685" s="42" t="str">
        <f>IFERROR(__xludf.DUMMYFUNCTION("""COMPUTED_VALUE"""),"Hospital Dr. José Gregorio Hern")</f>
        <v>Hospital Dr. José Gregorio Hern</v>
      </c>
    </row>
    <row r="686">
      <c r="A686" s="44">
        <v>685.0</v>
      </c>
      <c r="B686" s="44" t="str">
        <f>IFERROR(__xludf.DUMMYFUNCTION("""COMPUTED_VALUE"""),"Hospital Pérez Carreño")</f>
        <v>Hospital Pérez Carreño</v>
      </c>
      <c r="C686" s="45" t="str">
        <f>IFERROR(__xludf.DUMMYFUNCTION("""COMPUTED_VALUE"""),"NAVAS YODALIS MERCEDES")</f>
        <v>NAVAS YODALIS MERCEDES</v>
      </c>
      <c r="D686" s="44" t="str">
        <f>IFERROR(__xludf.DUMMYFUNCTION("""COMPUTED_VALUE""")," ")</f>
        <v> </v>
      </c>
      <c r="E686" s="44" t="str">
        <f>IFERROR(__xludf.DUMMYFUNCTION("""COMPUTED_VALUE"""),"30072743")</f>
        <v>30072743</v>
      </c>
      <c r="F686" s="44" t="str">
        <f>IFERROR(__xludf.DUMMYFUNCTION("""COMPUTED_VALUE"""),"")</f>
        <v/>
      </c>
      <c r="G686" s="44" t="str">
        <f>IFERROR(__xludf.DUMMYFUNCTION("""COMPUTED_VALUE""")," ")</f>
        <v> </v>
      </c>
      <c r="H686" s="44" t="str">
        <f>IFERROR(__xludf.DUMMYFUNCTION("""COMPUTED_VALUE""")," ")</f>
        <v> </v>
      </c>
      <c r="I686" s="44" t="str">
        <f>IFERROR(__xludf.DUMMYFUNCTION("""COMPUTED_VALUE""")," ")</f>
        <v> </v>
      </c>
      <c r="J686" s="44" t="str">
        <f>IFERROR(__xludf.DUMMYFUNCTION("""COMPUTED_VALUE"""),"25/06/2026")</f>
        <v>25/06/2026</v>
      </c>
      <c r="K686" s="42" t="str">
        <f>IFERROR(__xludf.DUMMYFUNCTION("""COMPUTED_VALUE"""),"Hospital Pérez Carreño")</f>
        <v>Hospital Pérez Carreño</v>
      </c>
    </row>
    <row r="687">
      <c r="A687" s="44">
        <v>686.0</v>
      </c>
      <c r="B687" s="44" t="str">
        <f>IFERROR(__xludf.DUMMYFUNCTION("""COMPUTED_VALUE"""),"Hospital Pérez Carreño")</f>
        <v>Hospital Pérez Carreño</v>
      </c>
      <c r="C687" s="45" t="str">
        <f>IFERROR(__xludf.DUMMYFUNCTION("""COMPUTED_VALUE"""),"YODALIS NAVAS")</f>
        <v>YODALIS NAVAS</v>
      </c>
      <c r="D687" s="44" t="str">
        <f>IFERROR(__xludf.DUMMYFUNCTION("""COMPUTED_VALUE""")," ")</f>
        <v> </v>
      </c>
      <c r="E687" s="44" t="str">
        <f>IFERROR(__xludf.DUMMYFUNCTION("""COMPUTED_VALUE"""),"300727430")</f>
        <v>300727430</v>
      </c>
      <c r="F687" s="44" t="str">
        <f>IFERROR(__xludf.DUMMYFUNCTION("""COMPUTED_VALUE"""),"")</f>
        <v/>
      </c>
      <c r="G687" s="44" t="str">
        <f>IFERROR(__xludf.DUMMYFUNCTION("""COMPUTED_VALUE""")," ")</f>
        <v> </v>
      </c>
      <c r="H687" s="44" t="str">
        <f>IFERROR(__xludf.DUMMYFUNCTION("""COMPUTED_VALUE""")," ")</f>
        <v> </v>
      </c>
      <c r="I687" s="44" t="str">
        <f>IFERROR(__xludf.DUMMYFUNCTION("""COMPUTED_VALUE""")," ")</f>
        <v> </v>
      </c>
      <c r="J687" s="44" t="str">
        <f>IFERROR(__xludf.DUMMYFUNCTION("""COMPUTED_VALUE"""),"25/06/2026")</f>
        <v>25/06/2026</v>
      </c>
      <c r="K687" s="42" t="str">
        <f>IFERROR(__xludf.DUMMYFUNCTION("""COMPUTED_VALUE"""),"Hospital Pérez Carreño")</f>
        <v>Hospital Pérez Carreño</v>
      </c>
    </row>
    <row r="688">
      <c r="A688" s="44">
        <v>687.0</v>
      </c>
      <c r="B688" s="44" t="str">
        <f>IFERROR(__xludf.DUMMYFUNCTION("""COMPUTED_VALUE"""),"Hospital Dr. José Gregorio Hern")</f>
        <v>Hospital Dr. José Gregorio Hern</v>
      </c>
      <c r="C688" s="45" t="str">
        <f>IFERROR(__xludf.DUMMYFUNCTION("""COMPUTED_VALUE"""),"GIL MICHEL")</f>
        <v>GIL MICHEL</v>
      </c>
      <c r="D688" s="44">
        <f>IFERROR(__xludf.DUMMYFUNCTION("""COMPUTED_VALUE"""),22.0)</f>
        <v>22</v>
      </c>
      <c r="E688" s="44" t="str">
        <f>IFERROR(__xludf.DUMMYFUNCTION("""COMPUTED_VALUE"""),"30091537")</f>
        <v>30091537</v>
      </c>
      <c r="F688" s="44" t="str">
        <f>IFERROR(__xludf.DUMMYFUNCTION("""COMPUTED_VALUE"""),"")</f>
        <v/>
      </c>
      <c r="G688" s="44" t="str">
        <f>IFERROR(__xludf.DUMMYFUNCTION("""COMPUTED_VALUE""")," ")</f>
        <v> </v>
      </c>
      <c r="H688" s="44" t="str">
        <f>IFERROR(__xludf.DUMMYFUNCTION("""COMPUTED_VALUE"""),"Playa Grande")</f>
        <v>Playa Grande</v>
      </c>
      <c r="I688" s="44" t="str">
        <f>IFERROR(__xludf.DUMMYFUNCTION("""COMPUTED_VALUE""")," ")</f>
        <v> </v>
      </c>
      <c r="J688" s="44" t="str">
        <f>IFERROR(__xludf.DUMMYFUNCTION("""COMPUTED_VALUE"""),"")</f>
        <v/>
      </c>
      <c r="K688" s="42" t="str">
        <f>IFERROR(__xludf.DUMMYFUNCTION("""COMPUTED_VALUE"""),"Hospital Dr. José Gregorio Hern")</f>
        <v>Hospital Dr. José Gregorio Hern</v>
      </c>
    </row>
    <row r="689">
      <c r="A689" s="44">
        <v>688.0</v>
      </c>
      <c r="B689" s="44" t="str">
        <f>IFERROR(__xludf.DUMMYFUNCTION("""COMPUTED_VALUE"""),"Periférico de Catia")</f>
        <v>Periférico de Catia</v>
      </c>
      <c r="C689" s="45" t="str">
        <f>IFERROR(__xludf.DUMMYFUNCTION("""COMPUTED_VALUE"""),"GEORRIN VALELLA")</f>
        <v>GEORRIN VALELLA</v>
      </c>
      <c r="D689" s="44">
        <f>IFERROR(__xludf.DUMMYFUNCTION("""COMPUTED_VALUE"""),22.0)</f>
        <v>22</v>
      </c>
      <c r="E689" s="44" t="str">
        <f>IFERROR(__xludf.DUMMYFUNCTION("""COMPUTED_VALUE"""),"30114918")</f>
        <v>30114918</v>
      </c>
      <c r="F689" s="44" t="str">
        <f>IFERROR(__xludf.DUMMYFUNCTION("""COMPUTED_VALUE"""),"")</f>
        <v/>
      </c>
      <c r="G689" s="44" t="str">
        <f>IFERROR(__xludf.DUMMYFUNCTION("""COMPUTED_VALUE""")," ")</f>
        <v> </v>
      </c>
      <c r="H689" s="44" t="str">
        <f>IFERROR(__xludf.DUMMYFUNCTION("""COMPUTED_VALUE""")," ")</f>
        <v> </v>
      </c>
      <c r="I689" s="44" t="str">
        <f>IFERROR(__xludf.DUMMYFUNCTION("""COMPUTED_VALUE"""),"Cirugía General")</f>
        <v>Cirugía General</v>
      </c>
      <c r="J689" s="44" t="str">
        <f>IFERROR(__xludf.DUMMYFUNCTION("""COMPUTED_VALUE"""),"")</f>
        <v/>
      </c>
      <c r="K689" s="42" t="str">
        <f>IFERROR(__xludf.DUMMYFUNCTION("""COMPUTED_VALUE"""),"Periférico de Catia")</f>
        <v>Periférico de Catia</v>
      </c>
    </row>
    <row r="690">
      <c r="A690" s="44">
        <v>689.0</v>
      </c>
      <c r="B690" s="44" t="str">
        <f>IFERROR(__xludf.DUMMYFUNCTION("""COMPUTED_VALUE"""),"Periférico de Catia")</f>
        <v>Periférico de Catia</v>
      </c>
      <c r="C690" s="45" t="str">
        <f>IFERROR(__xludf.DUMMYFUNCTION("""COMPUTED_VALUE"""),"VALELLA GORRÍN")</f>
        <v>VALELLA GORRÍN</v>
      </c>
      <c r="D690" s="44">
        <f>IFERROR(__xludf.DUMMYFUNCTION("""COMPUTED_VALUE"""),22.0)</f>
        <v>22</v>
      </c>
      <c r="E690" s="44" t="str">
        <f>IFERROR(__xludf.DUMMYFUNCTION("""COMPUTED_VALUE"""),"301149180")</f>
        <v>301149180</v>
      </c>
      <c r="F690" s="44" t="str">
        <f>IFERROR(__xludf.DUMMYFUNCTION("""COMPUTED_VALUE"""),"")</f>
        <v/>
      </c>
      <c r="G690" s="44" t="str">
        <f>IFERROR(__xludf.DUMMYFUNCTION("""COMPUTED_VALUE""")," ")</f>
        <v> </v>
      </c>
      <c r="H690" s="44" t="str">
        <f>IFERROR(__xludf.DUMMYFUNCTION("""COMPUTED_VALUE"""),"Sin información")</f>
        <v>Sin información</v>
      </c>
      <c r="I690" s="44" t="str">
        <f>IFERROR(__xludf.DUMMYFUNCTION("""COMPUTED_VALUE"""),"Cirugía General")</f>
        <v>Cirugía General</v>
      </c>
      <c r="J690" s="44" t="str">
        <f>IFERROR(__xludf.DUMMYFUNCTION("""COMPUTED_VALUE"""),"")</f>
        <v/>
      </c>
      <c r="K690" s="42" t="str">
        <f>IFERROR(__xludf.DUMMYFUNCTION("""COMPUTED_VALUE"""),"Periférico de Catia")</f>
        <v>Periférico de Catia</v>
      </c>
    </row>
    <row r="691">
      <c r="A691" s="44">
        <v>690.0</v>
      </c>
      <c r="B691" s="44" t="str">
        <f>IFERROR(__xludf.DUMMYFUNCTION("""COMPUTED_VALUE"""),"Hospital Pérez Carreño")</f>
        <v>Hospital Pérez Carreño</v>
      </c>
      <c r="C691" s="45" t="str">
        <f>IFERROR(__xludf.DUMMYFUNCTION("""COMPUTED_VALUE"""),"BASTIDO VERONICA")</f>
        <v>BASTIDO VERONICA</v>
      </c>
      <c r="D691" s="44" t="str">
        <f>IFERROR(__xludf.DUMMYFUNCTION("""COMPUTED_VALUE""")," ")</f>
        <v> </v>
      </c>
      <c r="E691" s="44" t="str">
        <f>IFERROR(__xludf.DUMMYFUNCTION("""COMPUTED_VALUE"""),"30170626")</f>
        <v>30170626</v>
      </c>
      <c r="F691" s="44" t="str">
        <f>IFERROR(__xludf.DUMMYFUNCTION("""COMPUTED_VALUE"""),"")</f>
        <v/>
      </c>
      <c r="G691" s="44" t="str">
        <f>IFERROR(__xludf.DUMMYFUNCTION("""COMPUTED_VALUE""")," ")</f>
        <v> </v>
      </c>
      <c r="H691" s="44" t="str">
        <f>IFERROR(__xludf.DUMMYFUNCTION("""COMPUTED_VALUE""")," ")</f>
        <v> </v>
      </c>
      <c r="I691" s="44" t="str">
        <f>IFERROR(__xludf.DUMMYFUNCTION("""COMPUTED_VALUE""")," ")</f>
        <v> </v>
      </c>
      <c r="J691" s="44" t="str">
        <f>IFERROR(__xludf.DUMMYFUNCTION("""COMPUTED_VALUE"""),"25/06/2026")</f>
        <v>25/06/2026</v>
      </c>
      <c r="K691" s="42" t="str">
        <f>IFERROR(__xludf.DUMMYFUNCTION("""COMPUTED_VALUE"""),"Hospital Pérez Carreño")</f>
        <v>Hospital Pérez Carreño</v>
      </c>
    </row>
    <row r="692">
      <c r="A692" s="44">
        <v>691.0</v>
      </c>
      <c r="B692" s="44" t="str">
        <f>IFERROR(__xludf.DUMMYFUNCTION("""COMPUTED_VALUE"""),"Hospital Pérez Carreño")</f>
        <v>Hospital Pérez Carreño</v>
      </c>
      <c r="C692" s="45" t="str">
        <f>IFERROR(__xludf.DUMMYFUNCTION("""COMPUTED_VALUE"""),"BERONICA BASTARDA")</f>
        <v>BERONICA BASTARDA</v>
      </c>
      <c r="D692" s="44" t="str">
        <f>IFERROR(__xludf.DUMMYFUNCTION("""COMPUTED_VALUE""")," ")</f>
        <v> </v>
      </c>
      <c r="E692" s="44" t="str">
        <f>IFERROR(__xludf.DUMMYFUNCTION("""COMPUTED_VALUE"""),"301706260")</f>
        <v>301706260</v>
      </c>
      <c r="F692" s="44" t="str">
        <f>IFERROR(__xludf.DUMMYFUNCTION("""COMPUTED_VALUE"""),"")</f>
        <v/>
      </c>
      <c r="G692" s="44" t="str">
        <f>IFERROR(__xludf.DUMMYFUNCTION("""COMPUTED_VALUE""")," ")</f>
        <v> </v>
      </c>
      <c r="H692" s="44" t="str">
        <f>IFERROR(__xludf.DUMMYFUNCTION("""COMPUTED_VALUE""")," ")</f>
        <v> </v>
      </c>
      <c r="I692" s="44" t="str">
        <f>IFERROR(__xludf.DUMMYFUNCTION("""COMPUTED_VALUE""")," ")</f>
        <v> </v>
      </c>
      <c r="J692" s="44" t="str">
        <f>IFERROR(__xludf.DUMMYFUNCTION("""COMPUTED_VALUE"""),"25/06/2026")</f>
        <v>25/06/2026</v>
      </c>
      <c r="K692" s="42" t="str">
        <f>IFERROR(__xludf.DUMMYFUNCTION("""COMPUTED_VALUE"""),"Hospital Pérez Carreño")</f>
        <v>Hospital Pérez Carreño</v>
      </c>
    </row>
    <row r="693">
      <c r="A693" s="44">
        <v>692.0</v>
      </c>
      <c r="B693" s="44" t="str">
        <f>IFERROR(__xludf.DUMMYFUNCTION("""COMPUTED_VALUE"""),"La Guaira Sin Hospital")</f>
        <v>La Guaira Sin Hospital</v>
      </c>
      <c r="C693" s="45" t="str">
        <f>IFERROR(__xludf.DUMMYFUNCTION("""COMPUTED_VALUE"""),"Bastardo Veronica")</f>
        <v>Bastardo Veronica</v>
      </c>
      <c r="D693" s="44" t="str">
        <f>IFERROR(__xludf.DUMMYFUNCTION("""COMPUTED_VALUE"""),"")</f>
        <v/>
      </c>
      <c r="E693" s="44" t="str">
        <f>IFERROR(__xludf.DUMMYFUNCTION("""COMPUTED_VALUE"""),"30170676")</f>
        <v>30170676</v>
      </c>
      <c r="F693" s="44" t="str">
        <f>IFERROR(__xludf.DUMMYFUNCTION("""COMPUTED_VALUE"""),"")</f>
        <v/>
      </c>
      <c r="G693" s="44" t="str">
        <f>IFERROR(__xludf.DUMMYFUNCTION("""COMPUTED_VALUE"""),"")</f>
        <v/>
      </c>
      <c r="H693" s="44"/>
      <c r="I693" s="44" t="str">
        <f>IFERROR(__xludf.DUMMYFUNCTION("""COMPUTED_VALUE"""),"Listas con cédula")</f>
        <v>Listas con cédula</v>
      </c>
      <c r="J693" s="44" t="str">
        <f>IFERROR(__xludf.DUMMYFUNCTION("""COMPUTED_VALUE"""),"")</f>
        <v/>
      </c>
      <c r="K693" s="42" t="str">
        <f>IFERROR(__xludf.DUMMYFUNCTION("""COMPUTED_VALUE"""),"La Guaira Sin Hospital")</f>
        <v>La Guaira Sin Hospital</v>
      </c>
    </row>
    <row r="694">
      <c r="A694" s="44">
        <v>693.0</v>
      </c>
      <c r="B694" s="44" t="str">
        <f>IFERROR(__xludf.DUMMYFUNCTION("""COMPUTED_VALUE"""),"Hospital Pérez Carreño")</f>
        <v>Hospital Pérez Carreño</v>
      </c>
      <c r="C694" s="45" t="str">
        <f>IFERROR(__xludf.DUMMYFUNCTION("""COMPUTED_VALUE"""),"BASTARDO VERCIA")</f>
        <v>BASTARDO VERCIA</v>
      </c>
      <c r="D694" s="44" t="str">
        <f>IFERROR(__xludf.DUMMYFUNCTION("""COMPUTED_VALUE""")," ")</f>
        <v> </v>
      </c>
      <c r="E694" s="44" t="str">
        <f>IFERROR(__xludf.DUMMYFUNCTION("""COMPUTED_VALUE"""),"30170686")</f>
        <v>30170686</v>
      </c>
      <c r="F694" s="44" t="str">
        <f>IFERROR(__xludf.DUMMYFUNCTION("""COMPUTED_VALUE"""),"")</f>
        <v/>
      </c>
      <c r="G694" s="44" t="str">
        <f>IFERROR(__xludf.DUMMYFUNCTION("""COMPUTED_VALUE""")," ")</f>
        <v> </v>
      </c>
      <c r="H694" s="44" t="str">
        <f>IFERROR(__xludf.DUMMYFUNCTION("""COMPUTED_VALUE""")," ")</f>
        <v> </v>
      </c>
      <c r="I694" s="44" t="str">
        <f>IFERROR(__xludf.DUMMYFUNCTION("""COMPUTED_VALUE""")," ")</f>
        <v> </v>
      </c>
      <c r="J694" s="44" t="str">
        <f>IFERROR(__xludf.DUMMYFUNCTION("""COMPUTED_VALUE"""),"25/06/2026")</f>
        <v>25/06/2026</v>
      </c>
      <c r="K694" s="42" t="str">
        <f>IFERROR(__xludf.DUMMYFUNCTION("""COMPUTED_VALUE"""),"Hospital Pérez Carreño")</f>
        <v>Hospital Pérez Carreño</v>
      </c>
    </row>
    <row r="695">
      <c r="A695" s="44">
        <v>694.0</v>
      </c>
      <c r="B695" s="44" t="str">
        <f>IFERROR(__xludf.DUMMYFUNCTION("""COMPUTED_VALUE"""),"Hospital Vargas de Caracas")</f>
        <v>Hospital Vargas de Caracas</v>
      </c>
      <c r="C695" s="45" t="str">
        <f>IFERROR(__xludf.DUMMYFUNCTION("""COMPUTED_VALUE"""),"HERRERA JHOAN")</f>
        <v>HERRERA JHOAN</v>
      </c>
      <c r="D695" s="44" t="str">
        <f>IFERROR(__xludf.DUMMYFUNCTION("""COMPUTED_VALUE""")," ")</f>
        <v> </v>
      </c>
      <c r="E695" s="44" t="str">
        <f>IFERROR(__xludf.DUMMYFUNCTION("""COMPUTED_VALUE"""),"30186534")</f>
        <v>30186534</v>
      </c>
      <c r="F695" s="44" t="str">
        <f>IFERROR(__xludf.DUMMYFUNCTION("""COMPUTED_VALUE""")," ")</f>
        <v> </v>
      </c>
      <c r="G695" s="44" t="str">
        <f>IFERROR(__xludf.DUMMYFUNCTION("""COMPUTED_VALUE"""),"")</f>
        <v/>
      </c>
      <c r="H695" s="44" t="str">
        <f>IFERROR(__xludf.DUMMYFUNCTION("""COMPUTED_VALUE""")," ")</f>
        <v> </v>
      </c>
      <c r="I695" s="44" t="str">
        <f>IFERROR(__xludf.DUMMYFUNCTION("""COMPUTED_VALUE""")," ")</f>
        <v> </v>
      </c>
      <c r="J695" s="44" t="str">
        <f>IFERROR(__xludf.DUMMYFUNCTION("""COMPUTED_VALUE"""),"")</f>
        <v/>
      </c>
      <c r="K695" s="42" t="str">
        <f>IFERROR(__xludf.DUMMYFUNCTION("""COMPUTED_VALUE"""),"Hospital Vargas de Caracas")</f>
        <v>Hospital Vargas de Caracas</v>
      </c>
    </row>
    <row r="696">
      <c r="A696" s="44">
        <v>695.0</v>
      </c>
      <c r="B696" s="44" t="str">
        <f>IFERROR(__xludf.DUMMYFUNCTION("""COMPUTED_VALUE"""),"Hospital Dr. José Gregorio Hern")</f>
        <v>Hospital Dr. José Gregorio Hern</v>
      </c>
      <c r="C696" s="45" t="str">
        <f>IFERROR(__xludf.DUMMYFUNCTION("""COMPUTED_VALUE"""),"ARCEAR REINES")</f>
        <v>ARCEAR REINES</v>
      </c>
      <c r="D696" s="44">
        <f>IFERROR(__xludf.DUMMYFUNCTION("""COMPUTED_VALUE"""),22.0)</f>
        <v>22</v>
      </c>
      <c r="E696" s="44" t="str">
        <f>IFERROR(__xludf.DUMMYFUNCTION("""COMPUTED_VALUE"""),"30282613")</f>
        <v>30282613</v>
      </c>
      <c r="F696" s="44" t="str">
        <f>IFERROR(__xludf.DUMMYFUNCTION("""COMPUTED_VALUE"""),"")</f>
        <v/>
      </c>
      <c r="G696" s="44" t="str">
        <f>IFERROR(__xludf.DUMMYFUNCTION("""COMPUTED_VALUE""")," ")</f>
        <v> </v>
      </c>
      <c r="H696" s="44" t="str">
        <f>IFERROR(__xludf.DUMMYFUNCTION("""COMPUTED_VALUE"""),"Catia")</f>
        <v>Catia</v>
      </c>
      <c r="I696" s="44" t="str">
        <f>IFERROR(__xludf.DUMMYFUNCTION("""COMPUTED_VALUE""")," ")</f>
        <v> </v>
      </c>
      <c r="J696" s="44" t="str">
        <f>IFERROR(__xludf.DUMMYFUNCTION("""COMPUTED_VALUE"""),"")</f>
        <v/>
      </c>
      <c r="K696" s="42" t="str">
        <f>IFERROR(__xludf.DUMMYFUNCTION("""COMPUTED_VALUE"""),"Hospital Dr. José Gregorio Hern")</f>
        <v>Hospital Dr. José Gregorio Hern</v>
      </c>
    </row>
    <row r="697">
      <c r="A697" s="44">
        <v>696.0</v>
      </c>
      <c r="B697" s="44" t="str">
        <f>IFERROR(__xludf.DUMMYFUNCTION("""COMPUTED_VALUE"""),"Hospital Vargas de Caracas")</f>
        <v>Hospital Vargas de Caracas</v>
      </c>
      <c r="C697" s="45" t="str">
        <f>IFERROR(__xludf.DUMMYFUNCTION("""COMPUTED_VALUE"""),"GALIZ YALESKA")</f>
        <v>GALIZ YALESKA</v>
      </c>
      <c r="D697" s="44">
        <f>IFERROR(__xludf.DUMMYFUNCTION("""COMPUTED_VALUE"""),23.0)</f>
        <v>23</v>
      </c>
      <c r="E697" s="44" t="str">
        <f>IFERROR(__xludf.DUMMYFUNCTION("""COMPUTED_VALUE"""),"30314231")</f>
        <v>30314231</v>
      </c>
      <c r="F697" s="44" t="str">
        <f>IFERROR(__xludf.DUMMYFUNCTION("""COMPUTED_VALUE""")," ")</f>
        <v> </v>
      </c>
      <c r="G697" s="44" t="str">
        <f>IFERROR(__xludf.DUMMYFUNCTION("""COMPUTED_VALUE"""),"")</f>
        <v/>
      </c>
      <c r="H697" s="44" t="str">
        <f>IFERROR(__xludf.DUMMYFUNCTION("""COMPUTED_VALUE"""),"La Guaira")</f>
        <v>La Guaira</v>
      </c>
      <c r="I697" s="44" t="str">
        <f>IFERROR(__xludf.DUMMYFUNCTION("""COMPUTED_VALUE"""),"UPT")</f>
        <v>UPT</v>
      </c>
      <c r="J697" s="44" t="str">
        <f>IFERROR(__xludf.DUMMYFUNCTION("""COMPUTED_VALUE"""),"")</f>
        <v/>
      </c>
      <c r="K697" s="42" t="str">
        <f>IFERROR(__xludf.DUMMYFUNCTION("""COMPUTED_VALUE"""),"Hospital Vargas de Caracas")</f>
        <v>Hospital Vargas de Caracas</v>
      </c>
    </row>
    <row r="698">
      <c r="A698" s="44">
        <v>697.0</v>
      </c>
      <c r="B698" s="44" t="str">
        <f>IFERROR(__xludf.DUMMYFUNCTION("""COMPUTED_VALUE"""),"Seguro Social La Guaira")</f>
        <v>Seguro Social La Guaira</v>
      </c>
      <c r="C698" s="45" t="str">
        <f>IFERROR(__xludf.DUMMYFUNCTION("""COMPUTED_VALUE"""),"ARGENIS LANDAETA")</f>
        <v>ARGENIS LANDAETA</v>
      </c>
      <c r="D698" s="44" t="str">
        <f>IFERROR(__xludf.DUMMYFUNCTION("""COMPUTED_VALUE""")," ")</f>
        <v> </v>
      </c>
      <c r="E698" s="44" t="str">
        <f>IFERROR(__xludf.DUMMYFUNCTION("""COMPUTED_VALUE"""),"303243380")</f>
        <v>303243380</v>
      </c>
      <c r="F698" s="44" t="str">
        <f>IFERROR(__xludf.DUMMYFUNCTION("""COMPUTED_VALUE"""),"")</f>
        <v/>
      </c>
      <c r="G698" s="44" t="str">
        <f>IFERROR(__xludf.DUMMYFUNCTION("""COMPUTED_VALUE""")," ")</f>
        <v> </v>
      </c>
      <c r="H698" s="44" t="str">
        <f>IFERROR(__xludf.DUMMYFUNCTION("""COMPUTED_VALUE""")," ")</f>
        <v> </v>
      </c>
      <c r="I698" s="44" t="str">
        <f>IFERROR(__xludf.DUMMYFUNCTION("""COMPUTED_VALUE""")," ")</f>
        <v> </v>
      </c>
      <c r="J698" s="44" t="str">
        <f>IFERROR(__xludf.DUMMYFUNCTION("""COMPUTED_VALUE"""),"")</f>
        <v/>
      </c>
      <c r="K698" s="42" t="str">
        <f>IFERROR(__xludf.DUMMYFUNCTION("""COMPUTED_VALUE"""),"Seguro Social La Guaira")</f>
        <v>Seguro Social La Guaira</v>
      </c>
    </row>
    <row r="699">
      <c r="A699" s="44">
        <v>698.0</v>
      </c>
      <c r="B699" s="44" t="str">
        <f>IFERROR(__xludf.DUMMYFUNCTION("""COMPUTED_VALUE"""),"Hospital Universitario de Carac")</f>
        <v>Hospital Universitario de Carac</v>
      </c>
      <c r="C699" s="45" t="str">
        <f>IFERROR(__xludf.DUMMYFUNCTION("""COMPUTED_VALUE"""),"LA VERDE VICTOR")</f>
        <v>LA VERDE VICTOR</v>
      </c>
      <c r="D699" s="44">
        <f>IFERROR(__xludf.DUMMYFUNCTION("""COMPUTED_VALUE"""),18.0)</f>
        <v>18</v>
      </c>
      <c r="E699" s="44" t="str">
        <f>IFERROR(__xludf.DUMMYFUNCTION("""COMPUTED_VALUE"""),"30334452")</f>
        <v>30334452</v>
      </c>
      <c r="F699" s="44" t="str">
        <f>IFERROR(__xludf.DUMMYFUNCTION("""COMPUTED_VALUE"""),"")</f>
        <v/>
      </c>
      <c r="G699" s="44" t="str">
        <f>IFERROR(__xludf.DUMMYFUNCTION("""COMPUTED_VALUE"""),"0412-8162456 / 0412-4162486")</f>
        <v>0412-8162456 / 0412-4162486</v>
      </c>
      <c r="H699" s="44" t="str">
        <f>IFERROR(__xludf.DUMMYFUNCTION("""COMPUTED_VALUE""")," ")</f>
        <v> </v>
      </c>
      <c r="I699" s="44" t="str">
        <f>IFERROR(__xludf.DUMMYFUNCTION("""COMPUTED_VALUE""")," ")</f>
        <v> </v>
      </c>
      <c r="J699" s="44" t="str">
        <f>IFERROR(__xludf.DUMMYFUNCTION("""COMPUTED_VALUE"""),"")</f>
        <v/>
      </c>
      <c r="K699" s="42" t="str">
        <f>IFERROR(__xludf.DUMMYFUNCTION("""COMPUTED_VALUE"""),"Hospital Universitario de Carac")</f>
        <v>Hospital Universitario de Carac</v>
      </c>
    </row>
    <row r="700">
      <c r="A700" s="44">
        <v>699.0</v>
      </c>
      <c r="B700" s="44" t="str">
        <f>IFERROR(__xludf.DUMMYFUNCTION("""COMPUTED_VALUE"""),"Hospital Universitario de Carac")</f>
        <v>Hospital Universitario de Carac</v>
      </c>
      <c r="C700" s="45" t="str">
        <f>IFERROR(__xludf.DUMMYFUNCTION("""COMPUTED_VALUE"""),"NOGUERA FABIAN")</f>
        <v>NOGUERA FABIAN</v>
      </c>
      <c r="D700" s="44">
        <f>IFERROR(__xludf.DUMMYFUNCTION("""COMPUTED_VALUE"""),22.0)</f>
        <v>22</v>
      </c>
      <c r="E700" s="44" t="str">
        <f>IFERROR(__xludf.DUMMYFUNCTION("""COMPUTED_VALUE"""),"30334636")</f>
        <v>30334636</v>
      </c>
      <c r="F700" s="44" t="str">
        <f>IFERROR(__xludf.DUMMYFUNCTION("""COMPUTED_VALUE"""),"")</f>
        <v/>
      </c>
      <c r="G700" s="44" t="str">
        <f>IFERROR(__xludf.DUMMYFUNCTION("""COMPUTED_VALUE"""),"0424-2850105")</f>
        <v>0424-2850105</v>
      </c>
      <c r="H700" s="44" t="str">
        <f>IFERROR(__xludf.DUMMYFUNCTION("""COMPUTED_VALUE""")," ")</f>
        <v> </v>
      </c>
      <c r="I700" s="44" t="str">
        <f>IFERROR(__xludf.DUMMYFUNCTION("""COMPUTED_VALUE"""),"Politraumatismo")</f>
        <v>Politraumatismo</v>
      </c>
      <c r="J700" s="44" t="str">
        <f>IFERROR(__xludf.DUMMYFUNCTION("""COMPUTED_VALUE"""),"")</f>
        <v/>
      </c>
      <c r="K700" s="42" t="str">
        <f>IFERROR(__xludf.DUMMYFUNCTION("""COMPUTED_VALUE"""),"Hospital Universitario de Carac")</f>
        <v>Hospital Universitario de Carac</v>
      </c>
    </row>
    <row r="701">
      <c r="A701" s="44">
        <v>700.0</v>
      </c>
      <c r="B701" s="44" t="str">
        <f>IFERROR(__xludf.DUMMYFUNCTION("""COMPUTED_VALUE"""),"Hospital Universitario de Carac")</f>
        <v>Hospital Universitario de Carac</v>
      </c>
      <c r="C701" s="45" t="str">
        <f>IFERROR(__xludf.DUMMYFUNCTION("""COMPUTED_VALUE"""),"Fabian Noguera")</f>
        <v>Fabian Noguera</v>
      </c>
      <c r="D701" s="44">
        <f>IFERROR(__xludf.DUMMYFUNCTION("""COMPUTED_VALUE"""),22.0)</f>
        <v>22</v>
      </c>
      <c r="E701" s="44" t="str">
        <f>IFERROR(__xludf.DUMMYFUNCTION("""COMPUTED_VALUE"""),"30334666")</f>
        <v>30334666</v>
      </c>
      <c r="F701" s="44" t="str">
        <f>IFERROR(__xludf.DUMMYFUNCTION("""COMPUTED_VALUE"""),"")</f>
        <v/>
      </c>
      <c r="G701" s="44"/>
      <c r="H701" s="44" t="str">
        <f>IFERROR(__xludf.DUMMYFUNCTION("""COMPUTED_VALUE"""),"Pinto Salinas")</f>
        <v>Pinto Salinas</v>
      </c>
      <c r="I701" s="44" t="str">
        <f>IFERROR(__xludf.DUMMYFUNCTION("""COMPUTED_VALUE"""),"Politraumatismo")</f>
        <v>Politraumatismo</v>
      </c>
      <c r="J701" s="44" t="str">
        <f>IFERROR(__xludf.DUMMYFUNCTION("""COMPUTED_VALUE"""),"")</f>
        <v/>
      </c>
      <c r="K701" s="42" t="str">
        <f>IFERROR(__xludf.DUMMYFUNCTION("""COMPUTED_VALUE"""),"Hospital Universitario de Carac")</f>
        <v>Hospital Universitario de Carac</v>
      </c>
    </row>
    <row r="702">
      <c r="A702" s="44">
        <v>701.0</v>
      </c>
      <c r="B702" s="44" t="str">
        <f>IFERROR(__xludf.DUMMYFUNCTION("""COMPUTED_VALUE"""),"Seguro Social La Guaira")</f>
        <v>Seguro Social La Guaira</v>
      </c>
      <c r="C702" s="45" t="str">
        <f>IFERROR(__xludf.DUMMYFUNCTION("""COMPUTED_VALUE"""),"ARIANA BRANDO")</f>
        <v>ARIANA BRANDO</v>
      </c>
      <c r="D702" s="44" t="str">
        <f>IFERROR(__xludf.DUMMYFUNCTION("""COMPUTED_VALUE""")," ")</f>
        <v> </v>
      </c>
      <c r="E702" s="44" t="str">
        <f>IFERROR(__xludf.DUMMYFUNCTION("""COMPUTED_VALUE"""),"304565050")</f>
        <v>304565050</v>
      </c>
      <c r="F702" s="44" t="str">
        <f>IFERROR(__xludf.DUMMYFUNCTION("""COMPUTED_VALUE"""),"")</f>
        <v/>
      </c>
      <c r="G702" s="44" t="str">
        <f>IFERROR(__xludf.DUMMYFUNCTION("""COMPUTED_VALUE""")," ")</f>
        <v> </v>
      </c>
      <c r="H702" s="44" t="str">
        <f>IFERROR(__xludf.DUMMYFUNCTION("""COMPUTED_VALUE"""),"Tanaguarena")</f>
        <v>Tanaguarena</v>
      </c>
      <c r="I702" s="44" t="str">
        <f>IFERROR(__xludf.DUMMYFUNCTION("""COMPUTED_VALUE""")," ")</f>
        <v> </v>
      </c>
      <c r="J702" s="44" t="str">
        <f>IFERROR(__xludf.DUMMYFUNCTION("""COMPUTED_VALUE"""),"")</f>
        <v/>
      </c>
      <c r="K702" s="42" t="str">
        <f>IFERROR(__xludf.DUMMYFUNCTION("""COMPUTED_VALUE"""),"Seguro Social La Guaira")</f>
        <v>Seguro Social La Guaira</v>
      </c>
    </row>
    <row r="703">
      <c r="A703" s="44">
        <v>702.0</v>
      </c>
      <c r="B703" s="44" t="str">
        <f>IFERROR(__xludf.DUMMYFUNCTION("""COMPUTED_VALUE"""),"H. Jose Maria Vargas LG")</f>
        <v>H. Jose Maria Vargas LG</v>
      </c>
      <c r="C703" s="45" t="str">
        <f>IFERROR(__xludf.DUMMYFUNCTION("""COMPUTED_VALUE"""),"BRANDO ARIANE")</f>
        <v>BRANDO ARIANE</v>
      </c>
      <c r="D703" s="44" t="str">
        <f>IFERROR(__xludf.DUMMYFUNCTION("""COMPUTED_VALUE""")," ")</f>
        <v> </v>
      </c>
      <c r="E703" s="44" t="str">
        <f>IFERROR(__xludf.DUMMYFUNCTION("""COMPUTED_VALUE"""),"30456508")</f>
        <v>30456508</v>
      </c>
      <c r="F703" s="44" t="str">
        <f>IFERROR(__xludf.DUMMYFUNCTION("""COMPUTED_VALUE"""),"")</f>
        <v/>
      </c>
      <c r="G703" s="44" t="str">
        <f>IFERROR(__xludf.DUMMYFUNCTION("""COMPUTED_VALUE""")," ")</f>
        <v> </v>
      </c>
      <c r="H703" s="44" t="str">
        <f>IFERROR(__xludf.DUMMYFUNCTION("""COMPUTED_VALUE"""),"Tanaguarena")</f>
        <v>Tanaguarena</v>
      </c>
      <c r="I703" s="44" t="str">
        <f>IFERROR(__xludf.DUMMYFUNCTION("""COMPUTED_VALUE""")," ")</f>
        <v> </v>
      </c>
      <c r="J703" s="44" t="str">
        <f>IFERROR(__xludf.DUMMYFUNCTION("""COMPUTED_VALUE"""),"")</f>
        <v/>
      </c>
      <c r="K703" s="42" t="str">
        <f>IFERROR(__xludf.DUMMYFUNCTION("""COMPUTED_VALUE"""),"H. Jose Maria Vargas LG")</f>
        <v>H. Jose Maria Vargas LG</v>
      </c>
    </row>
    <row r="704">
      <c r="A704" s="44">
        <v>703.0</v>
      </c>
      <c r="B704" s="44" t="str">
        <f>IFERROR(__xludf.DUMMYFUNCTION("""COMPUTED_VALUE"""),"Hospital Militar Dr. C. Arvelo")</f>
        <v>Hospital Militar Dr. C. Arvelo</v>
      </c>
      <c r="C704" s="45" t="str">
        <f>IFERROR(__xludf.DUMMYFUNCTION("""COMPUTED_VALUE"""),"Wesolski Julia")</f>
        <v>Wesolski Julia</v>
      </c>
      <c r="D704" s="44">
        <f>IFERROR(__xludf.DUMMYFUNCTION("""COMPUTED_VALUE"""),72.0)</f>
        <v>72</v>
      </c>
      <c r="E704" s="44" t="str">
        <f>IFERROR(__xludf.DUMMYFUNCTION("""COMPUTED_VALUE"""),"3046825")</f>
        <v>3046825</v>
      </c>
      <c r="F704" s="44" t="str">
        <f>IFERROR(__xludf.DUMMYFUNCTION("""COMPUTED_VALUE"""),"")</f>
        <v/>
      </c>
      <c r="G704" s="44" t="str">
        <f>IFERROR(__xludf.DUMMYFUNCTION("""COMPUTED_VALUE"""),"")</f>
        <v/>
      </c>
      <c r="H704" s="44" t="str">
        <f>IFERROR(__xludf.DUMMYFUNCTION("""COMPUTED_VALUE"""),"F")</f>
        <v>F</v>
      </c>
      <c r="I704" s="44" t="str">
        <f>IFERROR(__xludf.DUMMYFUNCTION("""COMPUTED_VALUE"""),"La Guaira PNA")</f>
        <v>La Guaira PNA</v>
      </c>
      <c r="J704" s="44" t="str">
        <f>IFERROR(__xludf.DUMMYFUNCTION("""COMPUTED_VALUE"""),"24/6/2026")</f>
        <v>24/6/2026</v>
      </c>
      <c r="K704" s="42" t="str">
        <f>IFERROR(__xludf.DUMMYFUNCTION("""COMPUTED_VALUE"""),"Hospital Militar Dr. C. Arvelo")</f>
        <v>Hospital Militar Dr. C. Arvelo</v>
      </c>
    </row>
    <row r="705">
      <c r="A705" s="44">
        <v>704.0</v>
      </c>
      <c r="B705" s="44" t="str">
        <f>IFERROR(__xludf.DUMMYFUNCTION("""COMPUTED_VALUE"""),"Hospital Domingo Luciani")</f>
        <v>Hospital Domingo Luciani</v>
      </c>
      <c r="C705" s="45" t="str">
        <f>IFERROR(__xludf.DUMMYFUNCTION("""COMPUTED_VALUE"""),"GATO YALESKA")</f>
        <v>GATO YALESKA</v>
      </c>
      <c r="D705" s="44">
        <f>IFERROR(__xludf.DUMMYFUNCTION("""COMPUTED_VALUE"""),23.0)</f>
        <v>23</v>
      </c>
      <c r="E705" s="44" t="str">
        <f>IFERROR(__xludf.DUMMYFUNCTION("""COMPUTED_VALUE"""),"30514231")</f>
        <v>30514231</v>
      </c>
      <c r="F705" s="44" t="str">
        <f>IFERROR(__xludf.DUMMYFUNCTION("""COMPUTED_VALUE"""),"")</f>
        <v/>
      </c>
      <c r="G705" s="44" t="str">
        <f>IFERROR(__xludf.DUMMYFUNCTION("""COMPUTED_VALUE""")," ")</f>
        <v> </v>
      </c>
      <c r="H705" s="44" t="str">
        <f>IFERROR(__xludf.DUMMYFUNCTION("""COMPUTED_VALUE""")," ")</f>
        <v> </v>
      </c>
      <c r="I705" s="44" t="str">
        <f>IFERROR(__xludf.DUMMYFUNCTION("""COMPUTED_VALUE"""),"Internado")</f>
        <v>Internado</v>
      </c>
      <c r="J705" s="44" t="str">
        <f>IFERROR(__xludf.DUMMYFUNCTION("""COMPUTED_VALUE"""),"")</f>
        <v/>
      </c>
      <c r="K705" s="42" t="str">
        <f>IFERROR(__xludf.DUMMYFUNCTION("""COMPUTED_VALUE"""),"🔍 BUSCAR PACIENTES")</f>
        <v>🔍 BUSCAR PACIENTES</v>
      </c>
    </row>
    <row r="706">
      <c r="A706" s="44">
        <v>705.0</v>
      </c>
      <c r="B706" s="44" t="str">
        <f>IFERROR(__xludf.DUMMYFUNCTION("""COMPUTED_VALUE"""),"Hospital Vargas de Caracas")</f>
        <v>Hospital Vargas de Caracas</v>
      </c>
      <c r="C706" s="45" t="str">
        <f>IFERROR(__xludf.DUMMYFUNCTION("""COMPUTED_VALUE"""),"GONZALEZ DAIBERLYN")</f>
        <v>GONZALEZ DAIBERLYN</v>
      </c>
      <c r="D706" s="44" t="str">
        <f>IFERROR(__xludf.DUMMYFUNCTION("""COMPUTED_VALUE""")," ")</f>
        <v> </v>
      </c>
      <c r="E706" s="44" t="str">
        <f>IFERROR(__xludf.DUMMYFUNCTION("""COMPUTED_VALUE"""),"30523436")</f>
        <v>30523436</v>
      </c>
      <c r="F706" s="44" t="str">
        <f>IFERROR(__xludf.DUMMYFUNCTION("""COMPUTED_VALUE""")," ")</f>
        <v> </v>
      </c>
      <c r="G706" s="44" t="str">
        <f>IFERROR(__xludf.DUMMYFUNCTION("""COMPUTED_VALUE"""),"")</f>
        <v/>
      </c>
      <c r="H706" s="44" t="str">
        <f>IFERROR(__xludf.DUMMYFUNCTION("""COMPUTED_VALUE""")," ")</f>
        <v> </v>
      </c>
      <c r="I706" s="44" t="str">
        <f>IFERROR(__xludf.DUMMYFUNCTION("""COMPUTED_VALUE""")," ")</f>
        <v> </v>
      </c>
      <c r="J706" s="44" t="str">
        <f>IFERROR(__xludf.DUMMYFUNCTION("""COMPUTED_VALUE"""),"")</f>
        <v/>
      </c>
      <c r="K706" s="42" t="str">
        <f>IFERROR(__xludf.DUMMYFUNCTION("""COMPUTED_VALUE"""),"Hospital Vargas de Caracas")</f>
        <v>Hospital Vargas de Caracas</v>
      </c>
    </row>
    <row r="707">
      <c r="A707" s="44">
        <v>706.0</v>
      </c>
      <c r="B707" s="44" t="str">
        <f>IFERROR(__xludf.DUMMYFUNCTION("""COMPUTED_VALUE"""),"Hospital Vargas de Caracas")</f>
        <v>Hospital Vargas de Caracas</v>
      </c>
      <c r="C707" s="45" t="str">
        <f>IFERROR(__xludf.DUMMYFUNCTION("""COMPUTED_VALUE"""),"GAYALA DAIBERLIN")</f>
        <v>GAYALA DAIBERLIN</v>
      </c>
      <c r="D707" s="44" t="str">
        <f>IFERROR(__xludf.DUMMYFUNCTION("""COMPUTED_VALUE""")," ")</f>
        <v> </v>
      </c>
      <c r="E707" s="44" t="str">
        <f>IFERROR(__xludf.DUMMYFUNCTION("""COMPUTED_VALUE"""),"30527436")</f>
        <v>30527436</v>
      </c>
      <c r="F707" s="44" t="str">
        <f>IFERROR(__xludf.DUMMYFUNCTION("""COMPUTED_VALUE""")," ")</f>
        <v> </v>
      </c>
      <c r="G707" s="44" t="str">
        <f>IFERROR(__xludf.DUMMYFUNCTION("""COMPUTED_VALUE"""),"")</f>
        <v/>
      </c>
      <c r="H707" s="44" t="str">
        <f>IFERROR(__xludf.DUMMYFUNCTION("""COMPUTED_VALUE""")," ")</f>
        <v> </v>
      </c>
      <c r="I707" s="44" t="str">
        <f>IFERROR(__xludf.DUMMYFUNCTION("""COMPUTED_VALUE""")," ")</f>
        <v> </v>
      </c>
      <c r="J707" s="44" t="str">
        <f>IFERROR(__xludf.DUMMYFUNCTION("""COMPUTED_VALUE"""),"")</f>
        <v/>
      </c>
      <c r="K707" s="42" t="str">
        <f>IFERROR(__xludf.DUMMYFUNCTION("""COMPUTED_VALUE"""),"Hospital Vargas de Caracas")</f>
        <v>Hospital Vargas de Caracas</v>
      </c>
    </row>
    <row r="708">
      <c r="A708" s="44">
        <v>707.0</v>
      </c>
      <c r="B708" s="44" t="str">
        <f>IFERROR(__xludf.DUMMYFUNCTION("""COMPUTED_VALUE"""),"Hospital Vargas de Caracas")</f>
        <v>Hospital Vargas de Caracas</v>
      </c>
      <c r="C708" s="45" t="str">
        <f>IFERROR(__xludf.DUMMYFUNCTION("""COMPUTED_VALUE"""),"GONZALEZ DAIBERLY / GONZALEZ DARBEDLYN")</f>
        <v>GONZALEZ DAIBERLY / GONZALEZ DARBEDLYN</v>
      </c>
      <c r="D708" s="44" t="str">
        <f>IFERROR(__xludf.DUMMYFUNCTION("""COMPUTED_VALUE""")," ")</f>
        <v> </v>
      </c>
      <c r="E708" s="44" t="str">
        <f>IFERROR(__xludf.DUMMYFUNCTION("""COMPUTED_VALUE"""),"305274360")</f>
        <v>305274360</v>
      </c>
      <c r="F708" s="44" t="str">
        <f>IFERROR(__xludf.DUMMYFUNCTION("""COMPUTED_VALUE""")," ")</f>
        <v> </v>
      </c>
      <c r="G708" s="44" t="str">
        <f>IFERROR(__xludf.DUMMYFUNCTION("""COMPUTED_VALUE"""),"")</f>
        <v/>
      </c>
      <c r="H708" s="44" t="str">
        <f>IFERROR(__xludf.DUMMYFUNCTION("""COMPUTED_VALUE""")," ")</f>
        <v> </v>
      </c>
      <c r="I708" s="44" t="str">
        <f>IFERROR(__xludf.DUMMYFUNCTION("""COMPUTED_VALUE""")," ")</f>
        <v> </v>
      </c>
      <c r="J708" s="44" t="str">
        <f>IFERROR(__xludf.DUMMYFUNCTION("""COMPUTED_VALUE"""),"")</f>
        <v/>
      </c>
      <c r="K708" s="42" t="str">
        <f>IFERROR(__xludf.DUMMYFUNCTION("""COMPUTED_VALUE"""),"Hospital Vargas de Caracas")</f>
        <v>Hospital Vargas de Caracas</v>
      </c>
    </row>
    <row r="709">
      <c r="A709" s="44">
        <v>708.0</v>
      </c>
      <c r="B709" s="44" t="str">
        <f>IFERROR(__xludf.DUMMYFUNCTION("""COMPUTED_VALUE"""),"Periférico de Catia")</f>
        <v>Periférico de Catia</v>
      </c>
      <c r="C709" s="45" t="str">
        <f>IFERROR(__xludf.DUMMYFUNCTION("""COMPUTED_VALUE"""),"FRANCIS MÁRQUEZ")</f>
        <v>FRANCIS MÁRQUEZ</v>
      </c>
      <c r="D709" s="44">
        <f>IFERROR(__xludf.DUMMYFUNCTION("""COMPUTED_VALUE"""),22.0)</f>
        <v>22</v>
      </c>
      <c r="E709" s="44" t="str">
        <f>IFERROR(__xludf.DUMMYFUNCTION("""COMPUTED_VALUE"""),"305803690")</f>
        <v>305803690</v>
      </c>
      <c r="F709" s="44" t="str">
        <f>IFERROR(__xludf.DUMMYFUNCTION("""COMPUTED_VALUE"""),"")</f>
        <v/>
      </c>
      <c r="G709" s="44" t="str">
        <f>IFERROR(__xludf.DUMMYFUNCTION("""COMPUTED_VALUE""")," ")</f>
        <v> </v>
      </c>
      <c r="H709" s="44" t="str">
        <f>IFERROR(__xludf.DUMMYFUNCTION("""COMPUTED_VALUE"""),"Sin información")</f>
        <v>Sin información</v>
      </c>
      <c r="I709" s="44" t="str">
        <f>IFERROR(__xludf.DUMMYFUNCTION("""COMPUTED_VALUE"""),"Emergencia")</f>
        <v>Emergencia</v>
      </c>
      <c r="J709" s="44" t="str">
        <f>IFERROR(__xludf.DUMMYFUNCTION("""COMPUTED_VALUE"""),"")</f>
        <v/>
      </c>
      <c r="K709" s="42" t="str">
        <f>IFERROR(__xludf.DUMMYFUNCTION("""COMPUTED_VALUE"""),"Periférico de Catia")</f>
        <v>Periférico de Catia</v>
      </c>
    </row>
    <row r="710">
      <c r="A710" s="44">
        <v>709.0</v>
      </c>
      <c r="B710" s="44" t="str">
        <f>IFERROR(__xludf.DUMMYFUNCTION("""COMPUTED_VALUE"""),"Hospital Dr. José Gregorio Hern")</f>
        <v>Hospital Dr. José Gregorio Hern</v>
      </c>
      <c r="C710" s="45" t="str">
        <f>IFERROR(__xludf.DUMMYFUNCTION("""COMPUTED_VALUE"""),"RODRIGUEZ VANESSA")</f>
        <v>RODRIGUEZ VANESSA</v>
      </c>
      <c r="D710" s="44">
        <f>IFERROR(__xludf.DUMMYFUNCTION("""COMPUTED_VALUE"""),21.0)</f>
        <v>21</v>
      </c>
      <c r="E710" s="44" t="str">
        <f>IFERROR(__xludf.DUMMYFUNCTION("""COMPUTED_VALUE"""),"30633264")</f>
        <v>30633264</v>
      </c>
      <c r="F710" s="44" t="str">
        <f>IFERROR(__xludf.DUMMYFUNCTION("""COMPUTED_VALUE"""),"")</f>
        <v/>
      </c>
      <c r="G710" s="44" t="str">
        <f>IFERROR(__xludf.DUMMYFUNCTION("""COMPUTED_VALUE""")," ")</f>
        <v> </v>
      </c>
      <c r="H710" s="44" t="str">
        <f>IFERROR(__xludf.DUMMYFUNCTION("""COMPUTED_VALUE"""),"La Guaira")</f>
        <v>La Guaira</v>
      </c>
      <c r="I710" s="44" t="str">
        <f>IFERROR(__xludf.DUMMYFUNCTION("""COMPUTED_VALUE""")," ")</f>
        <v> </v>
      </c>
      <c r="J710" s="44" t="str">
        <f>IFERROR(__xludf.DUMMYFUNCTION("""COMPUTED_VALUE"""),"")</f>
        <v/>
      </c>
      <c r="K710" s="42" t="str">
        <f>IFERROR(__xludf.DUMMYFUNCTION("""COMPUTED_VALUE"""),"Hospital Dr. José Gregorio Hern")</f>
        <v>Hospital Dr. José Gregorio Hern</v>
      </c>
    </row>
    <row r="711">
      <c r="A711" s="44">
        <v>710.0</v>
      </c>
      <c r="B711" s="44" t="str">
        <f>IFERROR(__xludf.DUMMYFUNCTION("""COMPUTED_VALUE"""),"Hospital Pérez Carreño")</f>
        <v>Hospital Pérez Carreño</v>
      </c>
      <c r="C711" s="45" t="str">
        <f>IFERROR(__xludf.DUMMYFUNCTION("""COMPUTED_VALUE"""),"BRITO MORALES BRAYAN DAVID")</f>
        <v>BRITO MORALES BRAYAN DAVID</v>
      </c>
      <c r="D711" s="44" t="str">
        <f>IFERROR(__xludf.DUMMYFUNCTION("""COMPUTED_VALUE""")," ")</f>
        <v> </v>
      </c>
      <c r="E711" s="44" t="str">
        <f>IFERROR(__xludf.DUMMYFUNCTION("""COMPUTED_VALUE"""),"30678485")</f>
        <v>30678485</v>
      </c>
      <c r="F711" s="44" t="str">
        <f>IFERROR(__xludf.DUMMYFUNCTION("""COMPUTED_VALUE"""),"")</f>
        <v/>
      </c>
      <c r="G711" s="44" t="str">
        <f>IFERROR(__xludf.DUMMYFUNCTION("""COMPUTED_VALUE""")," ")</f>
        <v> </v>
      </c>
      <c r="H711" s="44" t="str">
        <f>IFERROR(__xludf.DUMMYFUNCTION("""COMPUTED_VALUE""")," ")</f>
        <v> </v>
      </c>
      <c r="I711" s="44" t="str">
        <f>IFERROR(__xludf.DUMMYFUNCTION("""COMPUTED_VALUE""")," ")</f>
        <v> </v>
      </c>
      <c r="J711" s="44" t="str">
        <f>IFERROR(__xludf.DUMMYFUNCTION("""COMPUTED_VALUE"""),"25/06/2026")</f>
        <v>25/06/2026</v>
      </c>
      <c r="K711" s="42" t="str">
        <f>IFERROR(__xludf.DUMMYFUNCTION("""COMPUTED_VALUE"""),"Hospital Pérez Carreño")</f>
        <v>Hospital Pérez Carreño</v>
      </c>
    </row>
    <row r="712">
      <c r="A712" s="44">
        <v>711.0</v>
      </c>
      <c r="B712" s="44" t="str">
        <f>IFERROR(__xludf.DUMMYFUNCTION("""COMPUTED_VALUE"""),"Hospital Pérez Carreño")</f>
        <v>Hospital Pérez Carreño</v>
      </c>
      <c r="C712" s="45" t="str">
        <f>IFERROR(__xludf.DUMMYFUNCTION("""COMPUTED_VALUE"""),"DAVID BRITO")</f>
        <v>DAVID BRITO</v>
      </c>
      <c r="D712" s="44" t="str">
        <f>IFERROR(__xludf.DUMMYFUNCTION("""COMPUTED_VALUE""")," ")</f>
        <v> </v>
      </c>
      <c r="E712" s="44" t="str">
        <f>IFERROR(__xludf.DUMMYFUNCTION("""COMPUTED_VALUE"""),"306784850")</f>
        <v>306784850</v>
      </c>
      <c r="F712" s="44" t="str">
        <f>IFERROR(__xludf.DUMMYFUNCTION("""COMPUTED_VALUE"""),"")</f>
        <v/>
      </c>
      <c r="G712" s="44" t="str">
        <f>IFERROR(__xludf.DUMMYFUNCTION("""COMPUTED_VALUE""")," ")</f>
        <v> </v>
      </c>
      <c r="H712" s="44" t="str">
        <f>IFERROR(__xludf.DUMMYFUNCTION("""COMPUTED_VALUE""")," ")</f>
        <v> </v>
      </c>
      <c r="I712" s="44" t="str">
        <f>IFERROR(__xludf.DUMMYFUNCTION("""COMPUTED_VALUE""")," ")</f>
        <v> </v>
      </c>
      <c r="J712" s="44" t="str">
        <f>IFERROR(__xludf.DUMMYFUNCTION("""COMPUTED_VALUE"""),"25/06/2026")</f>
        <v>25/06/2026</v>
      </c>
      <c r="K712" s="42" t="str">
        <f>IFERROR(__xludf.DUMMYFUNCTION("""COMPUTED_VALUE"""),"Hospital Pérez Carreño")</f>
        <v>Hospital Pérez Carreño</v>
      </c>
    </row>
    <row r="713">
      <c r="A713" s="44">
        <v>712.0</v>
      </c>
      <c r="B713" s="44" t="str">
        <f>IFERROR(__xludf.DUMMYFUNCTION("""COMPUTED_VALUE"""),"HOSPITAL VARGAS")</f>
        <v>HOSPITAL VARGAS</v>
      </c>
      <c r="C713" s="45" t="str">
        <f>IFERROR(__xludf.DUMMYFUNCTION("""COMPUTED_VALUE"""),"Mayerlin Díaz")</f>
        <v>Mayerlin Díaz</v>
      </c>
      <c r="D713" s="44"/>
      <c r="E713" s="44" t="str">
        <f>IFERROR(__xludf.DUMMYFUNCTION("""COMPUTED_VALUE"""),"30699885")</f>
        <v>30699885</v>
      </c>
      <c r="F713" s="44" t="str">
        <f>IFERROR(__xludf.DUMMYFUNCTION("""COMPUTED_VALUE"""),"")</f>
        <v/>
      </c>
      <c r="G713" s="44" t="str">
        <f>IFERROR(__xludf.DUMMYFUNCTION("""COMPUTED_VALUE"""),"")</f>
        <v/>
      </c>
      <c r="H713" s="44" t="str">
        <f>IFERROR(__xludf.DUMMYFUNCTION("""COMPUTED_VALUE"""),"")</f>
        <v/>
      </c>
      <c r="I713" s="44" t="str">
        <f>IFERROR(__xludf.DUMMYFUNCTION("""COMPUTED_VALUE"""),"Herido / atendido")</f>
        <v>Herido / atendido</v>
      </c>
      <c r="J713" s="44" t="str">
        <f>IFERROR(__xludf.DUMMYFUNCTION("""COMPUTED_VALUE"""),"24.06.2026 ")</f>
        <v>24.06.2026 </v>
      </c>
      <c r="K713" s="42" t="str">
        <f>IFERROR(__xludf.DUMMYFUNCTION("""COMPUTED_VALUE"""),"HOSPITAL VARGAS")</f>
        <v>HOSPITAL VARGAS</v>
      </c>
    </row>
    <row r="714">
      <c r="A714" s="44">
        <v>713.0</v>
      </c>
      <c r="B714" s="44" t="str">
        <f>IFERROR(__xludf.DUMMYFUNCTION("""COMPUTED_VALUE"""),"H. Jose Maria Vargas LG")</f>
        <v>H. Jose Maria Vargas LG</v>
      </c>
      <c r="C714" s="45" t="str">
        <f>IFERROR(__xludf.DUMMYFUNCTION("""COMPUTED_VALUE"""),"RAMIREZ DARIO")</f>
        <v>RAMIREZ DARIO</v>
      </c>
      <c r="D714" s="44">
        <f>IFERROR(__xludf.DUMMYFUNCTION("""COMPUTED_VALUE"""),21.0)</f>
        <v>21</v>
      </c>
      <c r="E714" s="44" t="str">
        <f>IFERROR(__xludf.DUMMYFUNCTION("""COMPUTED_VALUE"""),"30824977")</f>
        <v>30824977</v>
      </c>
      <c r="F714" s="44" t="str">
        <f>IFERROR(__xludf.DUMMYFUNCTION("""COMPUTED_VALUE"""),"")</f>
        <v/>
      </c>
      <c r="G714" s="44" t="str">
        <f>IFERROR(__xludf.DUMMYFUNCTION("""COMPUTED_VALUE""")," ")</f>
        <v> </v>
      </c>
      <c r="H714" s="44" t="str">
        <f>IFERROR(__xludf.DUMMYFUNCTION("""COMPUTED_VALUE"""),"Caraballeda")</f>
        <v>Caraballeda</v>
      </c>
      <c r="I714" s="44" t="str">
        <f>IFERROR(__xludf.DUMMYFUNCTION("""COMPUTED_VALUE""")," ")</f>
        <v> </v>
      </c>
      <c r="J714" s="44" t="str">
        <f>IFERROR(__xludf.DUMMYFUNCTION("""COMPUTED_VALUE"""),"")</f>
        <v/>
      </c>
      <c r="K714" s="42" t="str">
        <f>IFERROR(__xludf.DUMMYFUNCTION("""COMPUTED_VALUE"""),"H. Jose Maria Vargas LG")</f>
        <v>H. Jose Maria Vargas LG</v>
      </c>
    </row>
    <row r="715">
      <c r="A715" s="44">
        <v>714.0</v>
      </c>
      <c r="B715" s="44" t="str">
        <f>IFERROR(__xludf.DUMMYFUNCTION("""COMPUTED_VALUE"""),"Seguro Social La Guaira")</f>
        <v>Seguro Social La Guaira</v>
      </c>
      <c r="C715" s="45" t="str">
        <f>IFERROR(__xludf.DUMMYFUNCTION("""COMPUTED_VALUE"""),"DARIO RAMIREZ")</f>
        <v>DARIO RAMIREZ</v>
      </c>
      <c r="D715" s="44">
        <f>IFERROR(__xludf.DUMMYFUNCTION("""COMPUTED_VALUE"""),21.0)</f>
        <v>21</v>
      </c>
      <c r="E715" s="44" t="str">
        <f>IFERROR(__xludf.DUMMYFUNCTION("""COMPUTED_VALUE"""),"308249770")</f>
        <v>308249770</v>
      </c>
      <c r="F715" s="44" t="str">
        <f>IFERROR(__xludf.DUMMYFUNCTION("""COMPUTED_VALUE"""),"")</f>
        <v/>
      </c>
      <c r="G715" s="44" t="str">
        <f>IFERROR(__xludf.DUMMYFUNCTION("""COMPUTED_VALUE""")," ")</f>
        <v> </v>
      </c>
      <c r="H715" s="44" t="str">
        <f>IFERROR(__xludf.DUMMYFUNCTION("""COMPUTED_VALUE"""),"Caraballeda")</f>
        <v>Caraballeda</v>
      </c>
      <c r="I715" s="44" t="str">
        <f>IFERROR(__xludf.DUMMYFUNCTION("""COMPUTED_VALUE""")," ")</f>
        <v> </v>
      </c>
      <c r="J715" s="44" t="str">
        <f>IFERROR(__xludf.DUMMYFUNCTION("""COMPUTED_VALUE"""),"")</f>
        <v/>
      </c>
      <c r="K715" s="42" t="str">
        <f>IFERROR(__xludf.DUMMYFUNCTION("""COMPUTED_VALUE"""),"Seguro Social La Guaira")</f>
        <v>Seguro Social La Guaira</v>
      </c>
    </row>
    <row r="716">
      <c r="A716" s="44">
        <v>715.0</v>
      </c>
      <c r="B716" s="44" t="str">
        <f>IFERROR(__xludf.DUMMYFUNCTION("""COMPUTED_VALUE"""),"Hospital Vargas de Caracas")</f>
        <v>Hospital Vargas de Caracas</v>
      </c>
      <c r="C716" s="45" t="str">
        <f>IFERROR(__xludf.DUMMYFUNCTION("""COMPUTED_VALUE"""),"BARRIENTO ALIANA")</f>
        <v>BARRIENTO ALIANA</v>
      </c>
      <c r="D716" s="44" t="str">
        <f>IFERROR(__xludf.DUMMYFUNCTION("""COMPUTED_VALUE""")," ")</f>
        <v> </v>
      </c>
      <c r="E716" s="44" t="str">
        <f>IFERROR(__xludf.DUMMYFUNCTION("""COMPUTED_VALUE"""),"30939329")</f>
        <v>30939329</v>
      </c>
      <c r="F716" s="44" t="str">
        <f>IFERROR(__xludf.DUMMYFUNCTION("""COMPUTED_VALUE""")," ")</f>
        <v> </v>
      </c>
      <c r="G716" s="44" t="str">
        <f>IFERROR(__xludf.DUMMYFUNCTION("""COMPUTED_VALUE"""),"")</f>
        <v/>
      </c>
      <c r="H716" s="44" t="str">
        <f>IFERROR(__xludf.DUMMYFUNCTION("""COMPUTED_VALUE""")," ")</f>
        <v> </v>
      </c>
      <c r="I716" s="44" t="str">
        <f>IFERROR(__xludf.DUMMYFUNCTION("""COMPUTED_VALUE""")," ")</f>
        <v> </v>
      </c>
      <c r="J716" s="44" t="str">
        <f>IFERROR(__xludf.DUMMYFUNCTION("""COMPUTED_VALUE"""),"")</f>
        <v/>
      </c>
      <c r="K716" s="42" t="str">
        <f>IFERROR(__xludf.DUMMYFUNCTION("""COMPUTED_VALUE"""),"Hospital Vargas de Caracas")</f>
        <v>Hospital Vargas de Caracas</v>
      </c>
    </row>
    <row r="717">
      <c r="A717" s="44">
        <v>716.0</v>
      </c>
      <c r="B717" s="44" t="str">
        <f>IFERROR(__xludf.DUMMYFUNCTION("""COMPUTED_VALUE"""),"Hospital Pérez Carreño")</f>
        <v>Hospital Pérez Carreño</v>
      </c>
      <c r="C717" s="45" t="str">
        <f>IFERROR(__xludf.DUMMYFUNCTION("""COMPUTED_VALUE"""),"VICTORIA ALVARADO")</f>
        <v>VICTORIA ALVARADO</v>
      </c>
      <c r="D717" s="44" t="str">
        <f>IFERROR(__xludf.DUMMYFUNCTION("""COMPUTED_VALUE"""),"Sin información")</f>
        <v>Sin información</v>
      </c>
      <c r="E717" s="44" t="str">
        <f>IFERROR(__xludf.DUMMYFUNCTION("""COMPUTED_VALUE"""),"3104515880")</f>
        <v>3104515880</v>
      </c>
      <c r="F717" s="44" t="str">
        <f>IFERROR(__xludf.DUMMYFUNCTION("""COMPUTED_VALUE"""),"")</f>
        <v/>
      </c>
      <c r="G717" s="44" t="str">
        <f>IFERROR(__xludf.DUMMYFUNCTION("""COMPUTED_VALUE""")," ")</f>
        <v> </v>
      </c>
      <c r="H717" s="44" t="str">
        <f>IFERROR(__xludf.DUMMYFUNCTION("""COMPUTED_VALUE"""),"Sin información")</f>
        <v>Sin información</v>
      </c>
      <c r="I717" s="44" t="str">
        <f>IFERROR(__xludf.DUMMYFUNCTION("""COMPUTED_VALUE"""),"Sin información")</f>
        <v>Sin información</v>
      </c>
      <c r="J717" s="44" t="str">
        <f>IFERROR(__xludf.DUMMYFUNCTION("""COMPUTED_VALUE"""),"25/06/2026")</f>
        <v>25/06/2026</v>
      </c>
      <c r="K717" s="42" t="str">
        <f>IFERROR(__xludf.DUMMYFUNCTION("""COMPUTED_VALUE"""),"Hospital Pérez Carreño")</f>
        <v>Hospital Pérez Carreño</v>
      </c>
    </row>
    <row r="718">
      <c r="A718" s="44">
        <v>717.0</v>
      </c>
      <c r="B718" s="44" t="str">
        <f>IFERROR(__xludf.DUMMYFUNCTION("""COMPUTED_VALUE"""),"Hospital Universitario de Carac")</f>
        <v>Hospital Universitario de Carac</v>
      </c>
      <c r="C718" s="45" t="str">
        <f>IFERROR(__xludf.DUMMYFUNCTION("""COMPUTED_VALUE"""),"AVILA EDITH")</f>
        <v>AVILA EDITH</v>
      </c>
      <c r="D718" s="44">
        <f>IFERROR(__xludf.DUMMYFUNCTION("""COMPUTED_VALUE"""),20.0)</f>
        <v>20</v>
      </c>
      <c r="E718" s="44" t="str">
        <f>IFERROR(__xludf.DUMMYFUNCTION("""COMPUTED_VALUE"""),"31073850")</f>
        <v>31073850</v>
      </c>
      <c r="F718" s="44" t="str">
        <f>IFERROR(__xludf.DUMMYFUNCTION("""COMPUTED_VALUE"""),"")</f>
        <v/>
      </c>
      <c r="G718" s="44" t="str">
        <f>IFERROR(__xludf.DUMMYFUNCTION("""COMPUTED_VALUE""")," ")</f>
        <v> </v>
      </c>
      <c r="H718" s="44" t="str">
        <f>IFERROR(__xludf.DUMMYFUNCTION("""COMPUTED_VALUE""")," ")</f>
        <v> </v>
      </c>
      <c r="I718" s="44" t="str">
        <f>IFERROR(__xludf.DUMMYFUNCTION("""COMPUTED_VALUE"""),"Politraumatismo")</f>
        <v>Politraumatismo</v>
      </c>
      <c r="J718" s="44" t="str">
        <f>IFERROR(__xludf.DUMMYFUNCTION("""COMPUTED_VALUE"""),"")</f>
        <v/>
      </c>
      <c r="K718" s="42" t="str">
        <f>IFERROR(__xludf.DUMMYFUNCTION("""COMPUTED_VALUE"""),"Hospital Universitario de Carac")</f>
        <v>Hospital Universitario de Carac</v>
      </c>
    </row>
    <row r="719">
      <c r="A719" s="44">
        <v>718.0</v>
      </c>
      <c r="B719" s="44" t="str">
        <f>IFERROR(__xludf.DUMMYFUNCTION("""COMPUTED_VALUE"""),"Cruz Roja")</f>
        <v>Cruz Roja</v>
      </c>
      <c r="C719" s="45" t="str">
        <f>IFERROR(__xludf.DUMMYFUNCTION("""COMPUTED_VALUE"""),"CASTILLO VALERIA")</f>
        <v>CASTILLO VALERIA</v>
      </c>
      <c r="D719" s="44">
        <f>IFERROR(__xludf.DUMMYFUNCTION("""COMPUTED_VALUE"""),20.0)</f>
        <v>20</v>
      </c>
      <c r="E719" s="44" t="str">
        <f>IFERROR(__xludf.DUMMYFUNCTION("""COMPUTED_VALUE"""),"31088668")</f>
        <v>31088668</v>
      </c>
      <c r="F719" s="44" t="str">
        <f>IFERROR(__xludf.DUMMYFUNCTION("""COMPUTED_VALUE"""),"")</f>
        <v/>
      </c>
      <c r="G719" s="44" t="str">
        <f>IFERROR(__xludf.DUMMYFUNCTION("""COMPUTED_VALUE""")," ")</f>
        <v> </v>
      </c>
      <c r="H719" s="44" t="str">
        <f>IFERROR(__xludf.DUMMYFUNCTION("""COMPUTED_VALUE""")," ")</f>
        <v> </v>
      </c>
      <c r="I719" s="44" t="str">
        <f>IFERROR(__xludf.DUMMYFUNCTION("""COMPUTED_VALUE"""),"Internado")</f>
        <v>Internado</v>
      </c>
      <c r="J719" s="44" t="str">
        <f>IFERROR(__xludf.DUMMYFUNCTION("""COMPUTED_VALUE"""),"")</f>
        <v/>
      </c>
      <c r="K719" s="42" t="str">
        <f>IFERROR(__xludf.DUMMYFUNCTION("""COMPUTED_VALUE"""),"Cruz Roja")</f>
        <v>Cruz Roja</v>
      </c>
    </row>
    <row r="720">
      <c r="A720" s="44">
        <v>719.0</v>
      </c>
      <c r="B720" s="44" t="str">
        <f>IFERROR(__xludf.DUMMYFUNCTION("""COMPUTED_VALUE"""),"Hospital Vargas de Caracas")</f>
        <v>Hospital Vargas de Caracas</v>
      </c>
      <c r="C720" s="45" t="str">
        <f>IFERROR(__xludf.DUMMYFUNCTION("""COMPUTED_VALUE"""),"GIL HEILYN")</f>
        <v>GIL HEILYN</v>
      </c>
      <c r="D720" s="44" t="str">
        <f>IFERROR(__xludf.DUMMYFUNCTION("""COMPUTED_VALUE""")," ")</f>
        <v> </v>
      </c>
      <c r="E720" s="44" t="str">
        <f>IFERROR(__xludf.DUMMYFUNCTION("""COMPUTED_VALUE"""),"31178311")</f>
        <v>31178311</v>
      </c>
      <c r="F720" s="44" t="str">
        <f>IFERROR(__xludf.DUMMYFUNCTION("""COMPUTED_VALUE""")," ")</f>
        <v> </v>
      </c>
      <c r="G720" s="44" t="str">
        <f>IFERROR(__xludf.DUMMYFUNCTION("""COMPUTED_VALUE"""),"")</f>
        <v/>
      </c>
      <c r="H720" s="44" t="str">
        <f>IFERROR(__xludf.DUMMYFUNCTION("""COMPUTED_VALUE""")," ")</f>
        <v> </v>
      </c>
      <c r="I720" s="44" t="str">
        <f>IFERROR(__xludf.DUMMYFUNCTION("""COMPUTED_VALUE""")," ")</f>
        <v> </v>
      </c>
      <c r="J720" s="44" t="str">
        <f>IFERROR(__xludf.DUMMYFUNCTION("""COMPUTED_VALUE"""),"")</f>
        <v/>
      </c>
      <c r="K720" s="42" t="str">
        <f>IFERROR(__xludf.DUMMYFUNCTION("""COMPUTED_VALUE"""),"Hospital Vargas de Caracas")</f>
        <v>Hospital Vargas de Caracas</v>
      </c>
    </row>
    <row r="721">
      <c r="A721" s="44">
        <v>720.0</v>
      </c>
      <c r="B721" s="44" t="str">
        <f>IFERROR(__xludf.DUMMYFUNCTION("""COMPUTED_VALUE"""),"Hospital Vargas de Caracas")</f>
        <v>Hospital Vargas de Caracas</v>
      </c>
      <c r="C721" s="45" t="str">
        <f>IFERROR(__xludf.DUMMYFUNCTION("""COMPUTED_VALUE"""),"BAES MARIA")</f>
        <v>BAES MARIA</v>
      </c>
      <c r="D721" s="44" t="str">
        <f>IFERROR(__xludf.DUMMYFUNCTION("""COMPUTED_VALUE""")," ")</f>
        <v> </v>
      </c>
      <c r="E721" s="44" t="str">
        <f>IFERROR(__xludf.DUMMYFUNCTION("""COMPUTED_VALUE"""),"31178460")</f>
        <v>31178460</v>
      </c>
      <c r="F721" s="44" t="str">
        <f>IFERROR(__xludf.DUMMYFUNCTION("""COMPUTED_VALUE""")," ")</f>
        <v> </v>
      </c>
      <c r="G721" s="44" t="str">
        <f>IFERROR(__xludf.DUMMYFUNCTION("""COMPUTED_VALUE"""),"")</f>
        <v/>
      </c>
      <c r="H721" s="44" t="str">
        <f>IFERROR(__xludf.DUMMYFUNCTION("""COMPUTED_VALUE""")," ")</f>
        <v> </v>
      </c>
      <c r="I721" s="44" t="str">
        <f>IFERROR(__xludf.DUMMYFUNCTION("""COMPUTED_VALUE""")," ")</f>
        <v> </v>
      </c>
      <c r="J721" s="44" t="str">
        <f>IFERROR(__xludf.DUMMYFUNCTION("""COMPUTED_VALUE"""),"")</f>
        <v/>
      </c>
      <c r="K721" s="42" t="str">
        <f>IFERROR(__xludf.DUMMYFUNCTION("""COMPUTED_VALUE"""),"Hospital Vargas de Caracas")</f>
        <v>Hospital Vargas de Caracas</v>
      </c>
    </row>
    <row r="722">
      <c r="A722" s="44">
        <v>721.0</v>
      </c>
      <c r="B722" s="44" t="str">
        <f>IFERROR(__xludf.DUMMYFUNCTION("""COMPUTED_VALUE"""),"Hospital Ana Francisca Pérez de")</f>
        <v>Hospital Ana Francisca Pérez de</v>
      </c>
      <c r="C722" s="45" t="str">
        <f>IFERROR(__xludf.DUMMYFUNCTION("""COMPUTED_VALUE"""),"FAMILIA YORDIS")</f>
        <v>FAMILIA YORDIS</v>
      </c>
      <c r="D722" s="44">
        <f>IFERROR(__xludf.DUMMYFUNCTION("""COMPUTED_VALUE"""),20.0)</f>
        <v>20</v>
      </c>
      <c r="E722" s="44" t="str">
        <f>IFERROR(__xludf.DUMMYFUNCTION("""COMPUTED_VALUE"""),"31191432")</f>
        <v>31191432</v>
      </c>
      <c r="F722" s="44" t="str">
        <f>IFERROR(__xludf.DUMMYFUNCTION("""COMPUTED_VALUE"""),"")</f>
        <v/>
      </c>
      <c r="G722" s="44" t="str">
        <f>IFERROR(__xludf.DUMMYFUNCTION("""COMPUTED_VALUE""")," ")</f>
        <v> </v>
      </c>
      <c r="H722" s="44" t="str">
        <f>IFERROR(__xludf.DUMMYFUNCTION("""COMPUTED_VALUE"""),"La Guaira")</f>
        <v>La Guaira</v>
      </c>
      <c r="I722" s="44" t="str">
        <f>IFERROR(__xludf.DUMMYFUNCTION("""COMPUTED_VALUE""")," ")</f>
        <v> </v>
      </c>
      <c r="J722" s="44" t="str">
        <f>IFERROR(__xludf.DUMMYFUNCTION("""COMPUTED_VALUE"""),"")</f>
        <v/>
      </c>
      <c r="K722" s="42" t="str">
        <f>IFERROR(__xludf.DUMMYFUNCTION("""COMPUTED_VALUE"""),"Hospital Ana Francisca Pérez de")</f>
        <v>Hospital Ana Francisca Pérez de</v>
      </c>
    </row>
    <row r="723">
      <c r="A723" s="44">
        <v>722.0</v>
      </c>
      <c r="B723" s="44" t="str">
        <f>IFERROR(__xludf.DUMMYFUNCTION("""COMPUTED_VALUE"""),"Hospital Militar Dr. C. Arvelo")</f>
        <v>Hospital Militar Dr. C. Arvelo</v>
      </c>
      <c r="C723" s="45" t="str">
        <f>IFERROR(__xludf.DUMMYFUNCTION("""COMPUTED_VALUE"""),"Mariño Castello")</f>
        <v>Mariño Castello</v>
      </c>
      <c r="D723" s="44">
        <f>IFERROR(__xludf.DUMMYFUNCTION("""COMPUTED_VALUE"""),35.0)</f>
        <v>35</v>
      </c>
      <c r="E723" s="44" t="str">
        <f>IFERROR(__xludf.DUMMYFUNCTION("""COMPUTED_VALUE"""),"31289457")</f>
        <v>31289457</v>
      </c>
      <c r="F723" s="44" t="str">
        <f>IFERROR(__xludf.DUMMYFUNCTION("""COMPUTED_VALUE"""),"")</f>
        <v/>
      </c>
      <c r="G723" s="44" t="str">
        <f>IFERROR(__xludf.DUMMYFUNCTION("""COMPUTED_VALUE"""),"")</f>
        <v/>
      </c>
      <c r="H723" s="44" t="str">
        <f>IFERROR(__xludf.DUMMYFUNCTION("""COMPUTED_VALUE"""),"F")</f>
        <v>F</v>
      </c>
      <c r="I723" s="44" t="str">
        <f>IFERROR(__xludf.DUMMYFUNCTION("""COMPUTED_VALUE"""),"La Pastora Hijo Cnel. (F)")</f>
        <v>La Pastora Hijo Cnel. (F)</v>
      </c>
      <c r="J723" s="44" t="str">
        <f>IFERROR(__xludf.DUMMYFUNCTION("""COMPUTED_VALUE"""),"24/6/2026")</f>
        <v>24/6/2026</v>
      </c>
      <c r="K723" s="42" t="str">
        <f>IFERROR(__xludf.DUMMYFUNCTION("""COMPUTED_VALUE"""),"Hospital Militar Dr. C. Arvelo")</f>
        <v>Hospital Militar Dr. C. Arvelo</v>
      </c>
    </row>
    <row r="724">
      <c r="A724" s="44">
        <v>723.0</v>
      </c>
      <c r="B724" s="44" t="str">
        <f>IFERROR(__xludf.DUMMYFUNCTION("""COMPUTED_VALUE"""),"Hospital Pérez Carreño")</f>
        <v>Hospital Pérez Carreño</v>
      </c>
      <c r="C724" s="45" t="str">
        <f>IFERROR(__xludf.DUMMYFUNCTION("""COMPUTED_VALUE"""),"Andres Laya")</f>
        <v>Andres Laya</v>
      </c>
      <c r="D724" s="44"/>
      <c r="E724" s="44" t="str">
        <f>IFERROR(__xludf.DUMMYFUNCTION("""COMPUTED_VALUE"""),"31290288")</f>
        <v>31290288</v>
      </c>
      <c r="F724" s="44" t="str">
        <f>IFERROR(__xludf.DUMMYFUNCTION("""COMPUTED_VALUE"""),"")</f>
        <v/>
      </c>
      <c r="G724" s="44" t="str">
        <f>IFERROR(__xludf.DUMMYFUNCTION("""COMPUTED_VALUE"""),"Nuevos Ingresos 25/06/2026")</f>
        <v>Nuevos Ingresos 25/06/2026</v>
      </c>
      <c r="H724" s="44" t="str">
        <f>IFERROR(__xludf.DUMMYFUNCTION("""COMPUTED_VALUE"""),"Hospital Miguel Perez Carreño")</f>
        <v>Hospital Miguel Perez Carreño</v>
      </c>
      <c r="I724" s="44"/>
      <c r="J724" s="44" t="str">
        <f>IFERROR(__xludf.DUMMYFUNCTION("""COMPUTED_VALUE"""),"26/6/26")</f>
        <v>26/6/26</v>
      </c>
      <c r="K724" s="42" t="str">
        <f>IFERROR(__xludf.DUMMYFUNCTION("""COMPUTED_VALUE"""),"Hospital Pérez Carreño")</f>
        <v>Hospital Pérez Carreño</v>
      </c>
    </row>
    <row r="725">
      <c r="A725" s="44">
        <v>724.0</v>
      </c>
      <c r="B725" s="44" t="str">
        <f>IFERROR(__xludf.DUMMYFUNCTION("""COMPUTED_VALUE"""),"Hospital Pérez Carreño")</f>
        <v>Hospital Pérez Carreño</v>
      </c>
      <c r="C725" s="45" t="str">
        <f>IFERROR(__xludf.DUMMYFUNCTION("""COMPUTED_VALUE"""),"MEDINA DIEGO ALEJANDRO")</f>
        <v>MEDINA DIEGO ALEJANDRO</v>
      </c>
      <c r="D725" s="44">
        <f>IFERROR(__xludf.DUMMYFUNCTION("""COMPUTED_VALUE"""),20.0)</f>
        <v>20</v>
      </c>
      <c r="E725" s="44" t="str">
        <f>IFERROR(__xludf.DUMMYFUNCTION("""COMPUTED_VALUE"""),"31291319")</f>
        <v>31291319</v>
      </c>
      <c r="F725" s="44" t="str">
        <f>IFERROR(__xludf.DUMMYFUNCTION("""COMPUTED_VALUE"""),"")</f>
        <v/>
      </c>
      <c r="G725" s="44" t="str">
        <f>IFERROR(__xludf.DUMMYFUNCTION("""COMPUTED_VALUE""")," ")</f>
        <v> </v>
      </c>
      <c r="H725" s="44" t="str">
        <f>IFERROR(__xludf.DUMMYFUNCTION("""COMPUTED_VALUE""")," ")</f>
        <v> </v>
      </c>
      <c r="I725" s="44" t="str">
        <f>IFERROR(__xludf.DUMMYFUNCTION("""COMPUTED_VALUE""")," ")</f>
        <v> </v>
      </c>
      <c r="J725" s="44" t="str">
        <f>IFERROR(__xludf.DUMMYFUNCTION("""COMPUTED_VALUE"""),"25/06/2026")</f>
        <v>25/06/2026</v>
      </c>
      <c r="K725" s="42" t="str">
        <f>IFERROR(__xludf.DUMMYFUNCTION("""COMPUTED_VALUE"""),"Hospital Pérez Carreño")</f>
        <v>Hospital Pérez Carreño</v>
      </c>
    </row>
    <row r="726">
      <c r="A726" s="44">
        <v>725.0</v>
      </c>
      <c r="B726" s="44" t="str">
        <f>IFERROR(__xludf.DUMMYFUNCTION("""COMPUTED_VALUE"""),"Hospital Militar Dr. C. Arvelo")</f>
        <v>Hospital Militar Dr. C. Arvelo</v>
      </c>
      <c r="C726" s="45" t="str">
        <f>IFERROR(__xludf.DUMMYFUNCTION("""COMPUTED_VALUE"""),"Ismael Rumanca Torres")</f>
        <v>Ismael Rumanca Torres</v>
      </c>
      <c r="D726" s="44">
        <f>IFERROR(__xludf.DUMMYFUNCTION("""COMPUTED_VALUE"""),23.0)</f>
        <v>23</v>
      </c>
      <c r="E726" s="44" t="str">
        <f>IFERROR(__xludf.DUMMYFUNCTION("""COMPUTED_VALUE"""),"31312002")</f>
        <v>31312002</v>
      </c>
      <c r="F726" s="44" t="str">
        <f>IFERROR(__xludf.DUMMYFUNCTION("""COMPUTED_VALUE"""),"")</f>
        <v/>
      </c>
      <c r="G726" s="44" t="str">
        <f>IFERROR(__xludf.DUMMYFUNCTION("""COMPUTED_VALUE"""),"")</f>
        <v/>
      </c>
      <c r="H726" s="44" t="str">
        <f>IFERROR(__xludf.DUMMYFUNCTION("""COMPUTED_VALUE"""),"M")</f>
        <v>M</v>
      </c>
      <c r="I726" s="44" t="str">
        <f>IFERROR(__xludf.DUMMYFUNCTION("""COMPUTED_VALUE"""),"La Guaira S/Of. Seg.")</f>
        <v>La Guaira S/Of. Seg.</v>
      </c>
      <c r="J726" s="44" t="str">
        <f>IFERROR(__xludf.DUMMYFUNCTION("""COMPUTED_VALUE"""),"24/6/2026")</f>
        <v>24/6/2026</v>
      </c>
      <c r="K726" s="42" t="str">
        <f>IFERROR(__xludf.DUMMYFUNCTION("""COMPUTED_VALUE"""),"Hospital Militar Dr. C. Arvelo")</f>
        <v>Hospital Militar Dr. C. Arvelo</v>
      </c>
    </row>
    <row r="727">
      <c r="A727" s="44">
        <v>726.0</v>
      </c>
      <c r="B727" s="44" t="str">
        <f>IFERROR(__xludf.DUMMYFUNCTION("""COMPUTED_VALUE"""),"Hospital Universitario de Carac")</f>
        <v>Hospital Universitario de Carac</v>
      </c>
      <c r="C727" s="45" t="str">
        <f>IFERROR(__xludf.DUMMYFUNCTION("""COMPUTED_VALUE"""),"MARRERO YORGELIS")</f>
        <v>MARRERO YORGELIS</v>
      </c>
      <c r="D727" s="44">
        <f>IFERROR(__xludf.DUMMYFUNCTION("""COMPUTED_VALUE"""),20.0)</f>
        <v>20</v>
      </c>
      <c r="E727" s="44" t="str">
        <f>IFERROR(__xludf.DUMMYFUNCTION("""COMPUTED_VALUE"""),"31331652")</f>
        <v>31331652</v>
      </c>
      <c r="F727" s="44" t="str">
        <f>IFERROR(__xludf.DUMMYFUNCTION("""COMPUTED_VALUE"""),"")</f>
        <v/>
      </c>
      <c r="G727" s="44" t="str">
        <f>IFERROR(__xludf.DUMMYFUNCTION("""COMPUTED_VALUE"""),"0414-0209230")</f>
        <v>0414-0209230</v>
      </c>
      <c r="H727" s="44" t="str">
        <f>IFERROR(__xludf.DUMMYFUNCTION("""COMPUTED_VALUE""")," ")</f>
        <v> </v>
      </c>
      <c r="I727" s="44" t="str">
        <f>IFERROR(__xludf.DUMMYFUNCTION("""COMPUTED_VALUE""")," ")</f>
        <v> </v>
      </c>
      <c r="J727" s="44" t="str">
        <f>IFERROR(__xludf.DUMMYFUNCTION("""COMPUTED_VALUE"""),"")</f>
        <v/>
      </c>
      <c r="K727" s="42" t="str">
        <f>IFERROR(__xludf.DUMMYFUNCTION("""COMPUTED_VALUE"""),"Hospital Universitario de Carac")</f>
        <v>Hospital Universitario de Carac</v>
      </c>
    </row>
    <row r="728">
      <c r="A728" s="44">
        <v>727.0</v>
      </c>
      <c r="B728" s="44" t="str">
        <f>IFERROR(__xludf.DUMMYFUNCTION("""COMPUTED_VALUE"""),"Periférico de Catia")</f>
        <v>Periférico de Catia</v>
      </c>
      <c r="C728" s="45" t="str">
        <f>IFERROR(__xludf.DUMMYFUNCTION("""COMPUTED_VALUE"""),"LOPEZ VALERIA")</f>
        <v>LOPEZ VALERIA</v>
      </c>
      <c r="D728" s="44">
        <f>IFERROR(__xludf.DUMMYFUNCTION("""COMPUTED_VALUE"""),20.0)</f>
        <v>20</v>
      </c>
      <c r="E728" s="44" t="str">
        <f>IFERROR(__xludf.DUMMYFUNCTION("""COMPUTED_VALUE"""),"31341560")</f>
        <v>31341560</v>
      </c>
      <c r="F728" s="44" t="str">
        <f>IFERROR(__xludf.DUMMYFUNCTION("""COMPUTED_VALUE"""),"")</f>
        <v/>
      </c>
      <c r="G728" s="44" t="str">
        <f>IFERROR(__xludf.DUMMYFUNCTION("""COMPUTED_VALUE""")," ")</f>
        <v> </v>
      </c>
      <c r="H728" s="44" t="str">
        <f>IFERROR(__xludf.DUMMYFUNCTION("""COMPUTED_VALUE""")," ")</f>
        <v> </v>
      </c>
      <c r="I728" s="44" t="str">
        <f>IFERROR(__xludf.DUMMYFUNCTION("""COMPUTED_VALUE"""),"Cirugía General")</f>
        <v>Cirugía General</v>
      </c>
      <c r="J728" s="44" t="str">
        <f>IFERROR(__xludf.DUMMYFUNCTION("""COMPUTED_VALUE"""),"")</f>
        <v/>
      </c>
      <c r="K728" s="42" t="str">
        <f>IFERROR(__xludf.DUMMYFUNCTION("""COMPUTED_VALUE"""),"Periférico de Catia")</f>
        <v>Periférico de Catia</v>
      </c>
    </row>
    <row r="729">
      <c r="A729" s="44">
        <v>728.0</v>
      </c>
      <c r="B729" s="44" t="str">
        <f>IFERROR(__xludf.DUMMYFUNCTION("""COMPUTED_VALUE"""),"Periférico de Catia")</f>
        <v>Periférico de Catia</v>
      </c>
      <c r="C729" s="45" t="str">
        <f>IFERROR(__xludf.DUMMYFUNCTION("""COMPUTED_VALUE"""),"LOPEZ VALERIA")</f>
        <v>LOPEZ VALERIA</v>
      </c>
      <c r="D729" s="44">
        <f>IFERROR(__xludf.DUMMYFUNCTION("""COMPUTED_VALUE"""),20.0)</f>
        <v>20</v>
      </c>
      <c r="E729" s="44" t="str">
        <f>IFERROR(__xludf.DUMMYFUNCTION("""COMPUTED_VALUE"""),"313415600")</f>
        <v>313415600</v>
      </c>
      <c r="F729" s="44" t="str">
        <f>IFERROR(__xludf.DUMMYFUNCTION("""COMPUTED_VALUE"""),"")</f>
        <v/>
      </c>
      <c r="G729" s="44" t="str">
        <f>IFERROR(__xludf.DUMMYFUNCTION("""COMPUTED_VALUE""")," ")</f>
        <v> </v>
      </c>
      <c r="H729" s="44" t="str">
        <f>IFERROR(__xludf.DUMMYFUNCTION("""COMPUTED_VALUE""")," ")</f>
        <v> </v>
      </c>
      <c r="I729" s="44" t="str">
        <f>IFERROR(__xludf.DUMMYFUNCTION("""COMPUTED_VALUE"""),"Cirugía General")</f>
        <v>Cirugía General</v>
      </c>
      <c r="J729" s="44" t="str">
        <f>IFERROR(__xludf.DUMMYFUNCTION("""COMPUTED_VALUE"""),"")</f>
        <v/>
      </c>
      <c r="K729" s="42" t="str">
        <f>IFERROR(__xludf.DUMMYFUNCTION("""COMPUTED_VALUE"""),"Periférico de Catia")</f>
        <v>Periférico de Catia</v>
      </c>
    </row>
    <row r="730">
      <c r="A730" s="44">
        <v>729.0</v>
      </c>
      <c r="B730" s="44" t="str">
        <f>IFERROR(__xludf.DUMMYFUNCTION("""COMPUTED_VALUE"""),"Hospital Militar Dr. C. Arvelo")</f>
        <v>Hospital Militar Dr. C. Arvelo</v>
      </c>
      <c r="C730" s="45" t="str">
        <f>IFERROR(__xludf.DUMMYFUNCTION("""COMPUTED_VALUE"""),"Duque Valeria")</f>
        <v>Duque Valeria</v>
      </c>
      <c r="D730" s="44">
        <f>IFERROR(__xludf.DUMMYFUNCTION("""COMPUTED_VALUE"""),17.0)</f>
        <v>17</v>
      </c>
      <c r="E730" s="44" t="str">
        <f>IFERROR(__xludf.DUMMYFUNCTION("""COMPUTED_VALUE"""),"3138243")</f>
        <v>3138243</v>
      </c>
      <c r="F730" s="44" t="str">
        <f>IFERROR(__xludf.DUMMYFUNCTION("""COMPUTED_VALUE"""),"")</f>
        <v/>
      </c>
      <c r="G730" s="44" t="str">
        <f>IFERROR(__xludf.DUMMYFUNCTION("""COMPUTED_VALUE"""),"")</f>
        <v/>
      </c>
      <c r="H730" s="44" t="str">
        <f>IFERROR(__xludf.DUMMYFUNCTION("""COMPUTED_VALUE"""),"F")</f>
        <v>F</v>
      </c>
      <c r="I730" s="44" t="str">
        <f>IFERROR(__xludf.DUMMYFUNCTION("""COMPUTED_VALUE"""),"San Martín Hija GNB")</f>
        <v>San Martín Hija GNB</v>
      </c>
      <c r="J730" s="44" t="str">
        <f>IFERROR(__xludf.DUMMYFUNCTION("""COMPUTED_VALUE"""),"24/6/2026")</f>
        <v>24/6/2026</v>
      </c>
      <c r="K730" s="42" t="str">
        <f>IFERROR(__xludf.DUMMYFUNCTION("""COMPUTED_VALUE"""),"Hospital Militar Dr. C. Arvelo")</f>
        <v>Hospital Militar Dr. C. Arvelo</v>
      </c>
    </row>
    <row r="731">
      <c r="A731" s="44">
        <v>730.0</v>
      </c>
      <c r="B731" s="44" t="str">
        <f>IFERROR(__xludf.DUMMYFUNCTION("""COMPUTED_VALUE"""),"Hospital Vargas de Caracas")</f>
        <v>Hospital Vargas de Caracas</v>
      </c>
      <c r="C731" s="45" t="str">
        <f>IFERROR(__xludf.DUMMYFUNCTION("""COMPUTED_VALUE"""),"GONZALEZ VALERIA")</f>
        <v>GONZALEZ VALERIA</v>
      </c>
      <c r="D731" s="44" t="str">
        <f>IFERROR(__xludf.DUMMYFUNCTION("""COMPUTED_VALUE""")," ")</f>
        <v> </v>
      </c>
      <c r="E731" s="44" t="str">
        <f>IFERROR(__xludf.DUMMYFUNCTION("""COMPUTED_VALUE"""),"31383685")</f>
        <v>31383685</v>
      </c>
      <c r="F731" s="44" t="str">
        <f>IFERROR(__xludf.DUMMYFUNCTION("""COMPUTED_VALUE""")," ")</f>
        <v> </v>
      </c>
      <c r="G731" s="44" t="str">
        <f>IFERROR(__xludf.DUMMYFUNCTION("""COMPUTED_VALUE"""),"")</f>
        <v/>
      </c>
      <c r="H731" s="44" t="str">
        <f>IFERROR(__xludf.DUMMYFUNCTION("""COMPUTED_VALUE"""),"Guaira")</f>
        <v>Guaira</v>
      </c>
      <c r="I731" s="44" t="str">
        <f>IFERROR(__xludf.DUMMYFUNCTION("""COMPUTED_VALUE""")," ")</f>
        <v> </v>
      </c>
      <c r="J731" s="44" t="str">
        <f>IFERROR(__xludf.DUMMYFUNCTION("""COMPUTED_VALUE"""),"")</f>
        <v/>
      </c>
      <c r="K731" s="42" t="str">
        <f>IFERROR(__xludf.DUMMYFUNCTION("""COMPUTED_VALUE"""),"Hospital Vargas de Caracas")</f>
        <v>Hospital Vargas de Caracas</v>
      </c>
    </row>
    <row r="732">
      <c r="A732" s="44">
        <v>731.0</v>
      </c>
      <c r="B732" s="44" t="str">
        <f>IFERROR(__xludf.DUMMYFUNCTION("""COMPUTED_VALUE"""),"Hospital Vargas de Caracas")</f>
        <v>Hospital Vargas de Caracas</v>
      </c>
      <c r="C732" s="45" t="str">
        <f>IFERROR(__xludf.DUMMYFUNCTION("""COMPUTED_VALUE"""),"GONZALEZ VALERIA")</f>
        <v>GONZALEZ VALERIA</v>
      </c>
      <c r="D732" s="44" t="str">
        <f>IFERROR(__xludf.DUMMYFUNCTION("""COMPUTED_VALUE"""),"Sin información")</f>
        <v>Sin información</v>
      </c>
      <c r="E732" s="44" t="str">
        <f>IFERROR(__xludf.DUMMYFUNCTION("""COMPUTED_VALUE"""),"313836850")</f>
        <v>313836850</v>
      </c>
      <c r="F732" s="44" t="str">
        <f>IFERROR(__xludf.DUMMYFUNCTION("""COMPUTED_VALUE""")," ")</f>
        <v> </v>
      </c>
      <c r="G732" s="44" t="str">
        <f>IFERROR(__xludf.DUMMYFUNCTION("""COMPUTED_VALUE"""),"")</f>
        <v/>
      </c>
      <c r="H732" s="44" t="str">
        <f>IFERROR(__xludf.DUMMYFUNCTION("""COMPUTED_VALUE"""),"La Guaira")</f>
        <v>La Guaira</v>
      </c>
      <c r="I732" s="44" t="str">
        <f>IFERROR(__xludf.DUMMYFUNCTION("""COMPUTED_VALUE"""),"Sin información")</f>
        <v>Sin información</v>
      </c>
      <c r="J732" s="44" t="str">
        <f>IFERROR(__xludf.DUMMYFUNCTION("""COMPUTED_VALUE"""),"")</f>
        <v/>
      </c>
      <c r="K732" s="42" t="str">
        <f>IFERROR(__xludf.DUMMYFUNCTION("""COMPUTED_VALUE"""),"Hospital Vargas de Caracas")</f>
        <v>Hospital Vargas de Caracas</v>
      </c>
    </row>
    <row r="733">
      <c r="A733" s="44">
        <v>732.0</v>
      </c>
      <c r="B733" s="44" t="str">
        <f>IFERROR(__xludf.DUMMYFUNCTION("""COMPUTED_VALUE"""),"Hospital Vargas de Caracas")</f>
        <v>Hospital Vargas de Caracas</v>
      </c>
      <c r="C733" s="45" t="str">
        <f>IFERROR(__xludf.DUMMYFUNCTION("""COMPUTED_VALUE"""),"GLEASON GREIN")</f>
        <v>GLEASON GREIN</v>
      </c>
      <c r="D733" s="44" t="str">
        <f>IFERROR(__xludf.DUMMYFUNCTION("""COMPUTED_VALUE""")," ")</f>
        <v> </v>
      </c>
      <c r="E733" s="44" t="str">
        <f>IFERROR(__xludf.DUMMYFUNCTION("""COMPUTED_VALUE"""),"31426812")</f>
        <v>31426812</v>
      </c>
      <c r="F733" s="44" t="str">
        <f>IFERROR(__xludf.DUMMYFUNCTION("""COMPUTED_VALUE""")," ")</f>
        <v> </v>
      </c>
      <c r="G733" s="44" t="str">
        <f>IFERROR(__xludf.DUMMYFUNCTION("""COMPUTED_VALUE"""),"")</f>
        <v/>
      </c>
      <c r="H733" s="44" t="str">
        <f>IFERROR(__xludf.DUMMYFUNCTION("""COMPUTED_VALUE"""),"Guaira")</f>
        <v>Guaira</v>
      </c>
      <c r="I733" s="44" t="str">
        <f>IFERROR(__xludf.DUMMYFUNCTION("""COMPUTED_VALUE""")," ")</f>
        <v> </v>
      </c>
      <c r="J733" s="44" t="str">
        <f>IFERROR(__xludf.DUMMYFUNCTION("""COMPUTED_VALUE"""),"")</f>
        <v/>
      </c>
      <c r="K733" s="42" t="str">
        <f>IFERROR(__xludf.DUMMYFUNCTION("""COMPUTED_VALUE"""),"Hospital Vargas de Caracas")</f>
        <v>Hospital Vargas de Caracas</v>
      </c>
    </row>
    <row r="734">
      <c r="A734" s="44">
        <v>733.0</v>
      </c>
      <c r="B734" s="44" t="str">
        <f>IFERROR(__xludf.DUMMYFUNCTION("""COMPUTED_VALUE"""),"Hospital Pérez Carreño")</f>
        <v>Hospital Pérez Carreño</v>
      </c>
      <c r="C734" s="45" t="str">
        <f>IFERROR(__xludf.DUMMYFUNCTION("""COMPUTED_VALUE"""),"BRACAMONTE ROJAS GENESIS")</f>
        <v>BRACAMONTE ROJAS GENESIS</v>
      </c>
      <c r="D734" s="44" t="str">
        <f>IFERROR(__xludf.DUMMYFUNCTION("""COMPUTED_VALUE""")," ")</f>
        <v> </v>
      </c>
      <c r="E734" s="44" t="str">
        <f>IFERROR(__xludf.DUMMYFUNCTION("""COMPUTED_VALUE"""),"31428533")</f>
        <v>31428533</v>
      </c>
      <c r="F734" s="44" t="str">
        <f>IFERROR(__xludf.DUMMYFUNCTION("""COMPUTED_VALUE"""),"")</f>
        <v/>
      </c>
      <c r="G734" s="44" t="str">
        <f>IFERROR(__xludf.DUMMYFUNCTION("""COMPUTED_VALUE""")," ")</f>
        <v> </v>
      </c>
      <c r="H734" s="44" t="str">
        <f>IFERROR(__xludf.DUMMYFUNCTION("""COMPUTED_VALUE""")," ")</f>
        <v> </v>
      </c>
      <c r="I734" s="44" t="str">
        <f>IFERROR(__xludf.DUMMYFUNCTION("""COMPUTED_VALUE""")," ")</f>
        <v> </v>
      </c>
      <c r="J734" s="44" t="str">
        <f>IFERROR(__xludf.DUMMYFUNCTION("""COMPUTED_VALUE"""),"25/06/2026")</f>
        <v>25/06/2026</v>
      </c>
      <c r="K734" s="42" t="str">
        <f>IFERROR(__xludf.DUMMYFUNCTION("""COMPUTED_VALUE"""),"Hospital Pérez Carreño")</f>
        <v>Hospital Pérez Carreño</v>
      </c>
    </row>
    <row r="735">
      <c r="A735" s="44">
        <v>734.0</v>
      </c>
      <c r="B735" s="44" t="str">
        <f>IFERROR(__xludf.DUMMYFUNCTION("""COMPUTED_VALUE"""),"Hospital Pérez Carreño")</f>
        <v>Hospital Pérez Carreño</v>
      </c>
      <c r="C735" s="45" t="str">
        <f>IFERROR(__xludf.DUMMYFUNCTION("""COMPUTED_VALUE"""),"GENESIS BRACAMONTE")</f>
        <v>GENESIS BRACAMONTE</v>
      </c>
      <c r="D735" s="44" t="str">
        <f>IFERROR(__xludf.DUMMYFUNCTION("""COMPUTED_VALUE""")," ")</f>
        <v> </v>
      </c>
      <c r="E735" s="44" t="str">
        <f>IFERROR(__xludf.DUMMYFUNCTION("""COMPUTED_VALUE"""),"314285330")</f>
        <v>314285330</v>
      </c>
      <c r="F735" s="44" t="str">
        <f>IFERROR(__xludf.DUMMYFUNCTION("""COMPUTED_VALUE"""),"")</f>
        <v/>
      </c>
      <c r="G735" s="44" t="str">
        <f>IFERROR(__xludf.DUMMYFUNCTION("""COMPUTED_VALUE""")," ")</f>
        <v> </v>
      </c>
      <c r="H735" s="44" t="str">
        <f>IFERROR(__xludf.DUMMYFUNCTION("""COMPUTED_VALUE""")," ")</f>
        <v> </v>
      </c>
      <c r="I735" s="44" t="str">
        <f>IFERROR(__xludf.DUMMYFUNCTION("""COMPUTED_VALUE""")," ")</f>
        <v> </v>
      </c>
      <c r="J735" s="44" t="str">
        <f>IFERROR(__xludf.DUMMYFUNCTION("""COMPUTED_VALUE"""),"25/06/2026")</f>
        <v>25/06/2026</v>
      </c>
      <c r="K735" s="42" t="str">
        <f>IFERROR(__xludf.DUMMYFUNCTION("""COMPUTED_VALUE"""),"Hospital Pérez Carreño")</f>
        <v>Hospital Pérez Carreño</v>
      </c>
    </row>
    <row r="736">
      <c r="A736" s="44">
        <v>735.0</v>
      </c>
      <c r="B736" s="44" t="str">
        <f>IFERROR(__xludf.DUMMYFUNCTION("""COMPUTED_VALUE"""),"Hospital Vargas de Caracas")</f>
        <v>Hospital Vargas de Caracas</v>
      </c>
      <c r="C736" s="45" t="str">
        <f>IFERROR(__xludf.DUMMYFUNCTION("""COMPUTED_VALUE"""),"GUESSU ESTEFANI")</f>
        <v>GUESSU ESTEFANI</v>
      </c>
      <c r="D736" s="44" t="str">
        <f>IFERROR(__xludf.DUMMYFUNCTION("""COMPUTED_VALUE""")," ")</f>
        <v> </v>
      </c>
      <c r="E736" s="44" t="str">
        <f>IFERROR(__xludf.DUMMYFUNCTION("""COMPUTED_VALUE"""),"31428812")</f>
        <v>31428812</v>
      </c>
      <c r="F736" s="44" t="str">
        <f>IFERROR(__xludf.DUMMYFUNCTION("""COMPUTED_VALUE""")," ")</f>
        <v> </v>
      </c>
      <c r="G736" s="44" t="str">
        <f>IFERROR(__xludf.DUMMYFUNCTION("""COMPUTED_VALUE"""),"")</f>
        <v/>
      </c>
      <c r="H736" s="44" t="str">
        <f>IFERROR(__xludf.DUMMYFUNCTION("""COMPUTED_VALUE"""),"Guaira")</f>
        <v>Guaira</v>
      </c>
      <c r="I736" s="44" t="str">
        <f>IFERROR(__xludf.DUMMYFUNCTION("""COMPUTED_VALUE""")," ")</f>
        <v> </v>
      </c>
      <c r="J736" s="44" t="str">
        <f>IFERROR(__xludf.DUMMYFUNCTION("""COMPUTED_VALUE"""),"")</f>
        <v/>
      </c>
      <c r="K736" s="42" t="str">
        <f>IFERROR(__xludf.DUMMYFUNCTION("""COMPUTED_VALUE"""),"Hospital Vargas de Caracas")</f>
        <v>Hospital Vargas de Caracas</v>
      </c>
    </row>
    <row r="737">
      <c r="A737" s="44">
        <v>736.0</v>
      </c>
      <c r="B737" s="44" t="str">
        <f>IFERROR(__xludf.DUMMYFUNCTION("""COMPUTED_VALUE"""),"Seguro Social La Guaira")</f>
        <v>Seguro Social La Guaira</v>
      </c>
      <c r="C737" s="45" t="str">
        <f>IFERROR(__xludf.DUMMYFUNCTION("""COMPUTED_VALUE"""),"ESTEFANY JESSEN")</f>
        <v>ESTEFANY JESSEN</v>
      </c>
      <c r="D737" s="44" t="str">
        <f>IFERROR(__xludf.DUMMYFUNCTION("""COMPUTED_VALUE""")," ")</f>
        <v> </v>
      </c>
      <c r="E737" s="44" t="str">
        <f>IFERROR(__xludf.DUMMYFUNCTION("""COMPUTED_VALUE"""),"314288120")</f>
        <v>314288120</v>
      </c>
      <c r="F737" s="44" t="str">
        <f>IFERROR(__xludf.DUMMYFUNCTION("""COMPUTED_VALUE"""),"")</f>
        <v/>
      </c>
      <c r="G737" s="44" t="str">
        <f>IFERROR(__xludf.DUMMYFUNCTION("""COMPUTED_VALUE""")," ")</f>
        <v> </v>
      </c>
      <c r="H737" s="44" t="str">
        <f>IFERROR(__xludf.DUMMYFUNCTION("""COMPUTED_VALUE"""),"Caribe")</f>
        <v>Caribe</v>
      </c>
      <c r="I737" s="44" t="str">
        <f>IFERROR(__xludf.DUMMYFUNCTION("""COMPUTED_VALUE""")," ")</f>
        <v> </v>
      </c>
      <c r="J737" s="44" t="str">
        <f>IFERROR(__xludf.DUMMYFUNCTION("""COMPUTED_VALUE"""),"")</f>
        <v/>
      </c>
      <c r="K737" s="42" t="str">
        <f>IFERROR(__xludf.DUMMYFUNCTION("""COMPUTED_VALUE"""),"Seguro Social La Guaira")</f>
        <v>Seguro Social La Guaira</v>
      </c>
    </row>
    <row r="738">
      <c r="A738" s="44">
        <v>737.0</v>
      </c>
      <c r="B738" s="44" t="str">
        <f>IFERROR(__xludf.DUMMYFUNCTION("""COMPUTED_VALUE"""),"Hospital Universitario de Carac")</f>
        <v>Hospital Universitario de Carac</v>
      </c>
      <c r="C738" s="45" t="str">
        <f>IFERROR(__xludf.DUMMYFUNCTION("""COMPUTED_VALUE"""),"SOLORZANO AMARNO / OMAR")</f>
        <v>SOLORZANO AMARNO / OMAR</v>
      </c>
      <c r="D738" s="44">
        <f>IFERROR(__xludf.DUMMYFUNCTION("""COMPUTED_VALUE"""),18.0)</f>
        <v>18</v>
      </c>
      <c r="E738" s="44" t="str">
        <f>IFERROR(__xludf.DUMMYFUNCTION("""COMPUTED_VALUE"""),"31445070")</f>
        <v>31445070</v>
      </c>
      <c r="F738" s="44" t="str">
        <f>IFERROR(__xludf.DUMMYFUNCTION("""COMPUTED_VALUE"""),"")</f>
        <v/>
      </c>
      <c r="G738" s="44" t="str">
        <f>IFERROR(__xludf.DUMMYFUNCTION("""COMPUTED_VALUE"""),"0412-3175785")</f>
        <v>0412-3175785</v>
      </c>
      <c r="H738" s="44" t="str">
        <f>IFERROR(__xludf.DUMMYFUNCTION("""COMPUTED_VALUE""")," ")</f>
        <v> </v>
      </c>
      <c r="I738" s="44" t="str">
        <f>IFERROR(__xludf.DUMMYFUNCTION("""COMPUTED_VALUE""")," ")</f>
        <v> </v>
      </c>
      <c r="J738" s="44" t="str">
        <f>IFERROR(__xludf.DUMMYFUNCTION("""COMPUTED_VALUE"""),"")</f>
        <v/>
      </c>
      <c r="K738" s="42" t="str">
        <f>IFERROR(__xludf.DUMMYFUNCTION("""COMPUTED_VALUE"""),"Hospital Universitario de Carac")</f>
        <v>Hospital Universitario de Carac</v>
      </c>
    </row>
    <row r="739">
      <c r="A739" s="44">
        <v>738.0</v>
      </c>
      <c r="B739" s="44" t="str">
        <f>IFERROR(__xludf.DUMMYFUNCTION("""COMPUTED_VALUE"""),"H. Jose Maria Vargas LG")</f>
        <v>H. Jose Maria Vargas LG</v>
      </c>
      <c r="C739" s="45" t="str">
        <f>IFERROR(__xludf.DUMMYFUNCTION("""COMPUTED_VALUE"""),"SANCHEZ ENRIQUE")</f>
        <v>SANCHEZ ENRIQUE</v>
      </c>
      <c r="D739" s="44">
        <f>IFERROR(__xludf.DUMMYFUNCTION("""COMPUTED_VALUE"""),84.0)</f>
        <v>84</v>
      </c>
      <c r="E739" s="44" t="str">
        <f>IFERROR(__xludf.DUMMYFUNCTION("""COMPUTED_VALUE"""),"3147495")</f>
        <v>3147495</v>
      </c>
      <c r="F739" s="44" t="str">
        <f>IFERROR(__xludf.DUMMYFUNCTION("""COMPUTED_VALUE"""),"")</f>
        <v/>
      </c>
      <c r="G739" s="44" t="str">
        <f>IFERROR(__xludf.DUMMYFUNCTION("""COMPUTED_VALUE""")," ")</f>
        <v> </v>
      </c>
      <c r="H739" s="44" t="str">
        <f>IFERROR(__xludf.DUMMYFUNCTION("""COMPUTED_VALUE"""),"Caribe")</f>
        <v>Caribe</v>
      </c>
      <c r="I739" s="44" t="str">
        <f>IFERROR(__xludf.DUMMYFUNCTION("""COMPUTED_VALUE""")," ")</f>
        <v> </v>
      </c>
      <c r="J739" s="44" t="str">
        <f>IFERROR(__xludf.DUMMYFUNCTION("""COMPUTED_VALUE"""),"")</f>
        <v/>
      </c>
      <c r="K739" s="42" t="str">
        <f>IFERROR(__xludf.DUMMYFUNCTION("""COMPUTED_VALUE"""),"H. Jose Maria Vargas LG")</f>
        <v>H. Jose Maria Vargas LG</v>
      </c>
    </row>
    <row r="740">
      <c r="A740" s="44">
        <v>739.0</v>
      </c>
      <c r="B740" s="44" t="str">
        <f>IFERROR(__xludf.DUMMYFUNCTION("""COMPUTED_VALUE"""),"Hospital Vargas de Caracas")</f>
        <v>Hospital Vargas de Caracas</v>
      </c>
      <c r="C740" s="45" t="str">
        <f>IFERROR(__xludf.DUMMYFUNCTION("""COMPUTED_VALUE"""),"ESPERANZA GONZALEZ")</f>
        <v>ESPERANZA GONZALEZ</v>
      </c>
      <c r="D740" s="44" t="str">
        <f>IFERROR(__xludf.DUMMYFUNCTION("""COMPUTED_VALUE""")," ")</f>
        <v> </v>
      </c>
      <c r="E740" s="44" t="str">
        <f>IFERROR(__xludf.DUMMYFUNCTION("""COMPUTED_VALUE"""),"31541118")</f>
        <v>31541118</v>
      </c>
      <c r="F740" s="44" t="str">
        <f>IFERROR(__xludf.DUMMYFUNCTION("""COMPUTED_VALUE""")," ")</f>
        <v> </v>
      </c>
      <c r="G740" s="44" t="str">
        <f>IFERROR(__xludf.DUMMYFUNCTION("""COMPUTED_VALUE"""),"")</f>
        <v/>
      </c>
      <c r="H740" s="44" t="str">
        <f>IFERROR(__xludf.DUMMYFUNCTION("""COMPUTED_VALUE"""),"Guaira")</f>
        <v>Guaira</v>
      </c>
      <c r="I740" s="44" t="str">
        <f>IFERROR(__xludf.DUMMYFUNCTION("""COMPUTED_VALUE""")," ")</f>
        <v> </v>
      </c>
      <c r="J740" s="44" t="str">
        <f>IFERROR(__xludf.DUMMYFUNCTION("""COMPUTED_VALUE"""),"")</f>
        <v/>
      </c>
      <c r="K740" s="42" t="str">
        <f>IFERROR(__xludf.DUMMYFUNCTION("""COMPUTED_VALUE"""),"Hospital Vargas de Caracas")</f>
        <v>Hospital Vargas de Caracas</v>
      </c>
    </row>
    <row r="741">
      <c r="A741" s="44">
        <v>740.0</v>
      </c>
      <c r="B741" s="44" t="str">
        <f>IFERROR(__xludf.DUMMYFUNCTION("""COMPUTED_VALUE"""),"HOSPITAL VARGAS")</f>
        <v>HOSPITAL VARGAS</v>
      </c>
      <c r="C741" s="45" t="str">
        <f>IFERROR(__xludf.DUMMYFUNCTION("""COMPUTED_VALUE"""),"Envangelina González")</f>
        <v>Envangelina González</v>
      </c>
      <c r="D741" s="44"/>
      <c r="E741" s="44" t="str">
        <f>IFERROR(__xludf.DUMMYFUNCTION("""COMPUTED_VALUE"""),"3154118")</f>
        <v>3154118</v>
      </c>
      <c r="F741" s="44" t="str">
        <f>IFERROR(__xludf.DUMMYFUNCTION("""COMPUTED_VALUE"""),"")</f>
        <v/>
      </c>
      <c r="G741" s="44" t="str">
        <f>IFERROR(__xludf.DUMMYFUNCTION("""COMPUTED_VALUE"""),"")</f>
        <v/>
      </c>
      <c r="H741" s="44" t="str">
        <f>IFERROR(__xludf.DUMMYFUNCTION("""COMPUTED_VALUE"""),"")</f>
        <v/>
      </c>
      <c r="I741" s="44" t="str">
        <f>IFERROR(__xludf.DUMMYFUNCTION("""COMPUTED_VALUE"""),"Herido / atendido")</f>
        <v>Herido / atendido</v>
      </c>
      <c r="J741" s="44" t="str">
        <f>IFERROR(__xludf.DUMMYFUNCTION("""COMPUTED_VALUE"""),"24.06.2026 ")</f>
        <v>24.06.2026 </v>
      </c>
      <c r="K741" s="42" t="str">
        <f>IFERROR(__xludf.DUMMYFUNCTION("""COMPUTED_VALUE"""),"HOSPITAL VARGAS")</f>
        <v>HOSPITAL VARGAS</v>
      </c>
    </row>
    <row r="742">
      <c r="A742" s="44">
        <v>741.0</v>
      </c>
      <c r="B742" s="44" t="str">
        <f>IFERROR(__xludf.DUMMYFUNCTION("""COMPUTED_VALUE"""),"Hospital Militar Dr. C. Arvelo")</f>
        <v>Hospital Militar Dr. C. Arvelo</v>
      </c>
      <c r="C742" s="45" t="str">
        <f>IFERROR(__xludf.DUMMYFUNCTION("""COMPUTED_VALUE"""),"Guzmán Aracelis")</f>
        <v>Guzmán Aracelis</v>
      </c>
      <c r="D742" s="44">
        <f>IFERROR(__xludf.DUMMYFUNCTION("""COMPUTED_VALUE"""),20.0)</f>
        <v>20</v>
      </c>
      <c r="E742" s="44" t="str">
        <f>IFERROR(__xludf.DUMMYFUNCTION("""COMPUTED_VALUE"""),"31556775")</f>
        <v>31556775</v>
      </c>
      <c r="F742" s="44" t="str">
        <f>IFERROR(__xludf.DUMMYFUNCTION("""COMPUTED_VALUE"""),"")</f>
        <v/>
      </c>
      <c r="G742" s="44" t="str">
        <f>IFERROR(__xludf.DUMMYFUNCTION("""COMPUTED_VALUE"""),"")</f>
        <v/>
      </c>
      <c r="H742" s="44" t="str">
        <f>IFERROR(__xludf.DUMMYFUNCTION("""COMPUTED_VALUE"""),"F")</f>
        <v>F</v>
      </c>
      <c r="I742" s="44" t="str">
        <f>IFERROR(__xludf.DUMMYFUNCTION("""COMPUTED_VALUE"""),"San Antonio PNA")</f>
        <v>San Antonio PNA</v>
      </c>
      <c r="J742" s="44" t="str">
        <f>IFERROR(__xludf.DUMMYFUNCTION("""COMPUTED_VALUE"""),"24/6/2026")</f>
        <v>24/6/2026</v>
      </c>
      <c r="K742" s="42" t="str">
        <f>IFERROR(__xludf.DUMMYFUNCTION("""COMPUTED_VALUE"""),"Hospital Militar Dr. C. Arvelo")</f>
        <v>Hospital Militar Dr. C. Arvelo</v>
      </c>
    </row>
    <row r="743">
      <c r="A743" s="44">
        <v>742.0</v>
      </c>
      <c r="B743" s="44" t="str">
        <f>IFERROR(__xludf.DUMMYFUNCTION("""COMPUTED_VALUE"""),"Hospital Militar Dr. C. Arvelo")</f>
        <v>Hospital Militar Dr. C. Arvelo</v>
      </c>
      <c r="C743" s="45" t="str">
        <f>IFERROR(__xludf.DUMMYFUNCTION("""COMPUTED_VALUE"""),"Cogollo Deiner")</f>
        <v>Cogollo Deiner</v>
      </c>
      <c r="D743" s="44">
        <f>IFERROR(__xludf.DUMMYFUNCTION("""COMPUTED_VALUE"""),19.0)</f>
        <v>19</v>
      </c>
      <c r="E743" s="44" t="str">
        <f>IFERROR(__xludf.DUMMYFUNCTION("""COMPUTED_VALUE"""),"31572269")</f>
        <v>31572269</v>
      </c>
      <c r="F743" s="44" t="str">
        <f>IFERROR(__xludf.DUMMYFUNCTION("""COMPUTED_VALUE"""),"")</f>
        <v/>
      </c>
      <c r="G743" s="44" t="str">
        <f>IFERROR(__xludf.DUMMYFUNCTION("""COMPUTED_VALUE"""),"")</f>
        <v/>
      </c>
      <c r="H743" s="44" t="str">
        <f>IFERROR(__xludf.DUMMYFUNCTION("""COMPUTED_VALUE"""),"M")</f>
        <v>M</v>
      </c>
      <c r="I743" s="44" t="str">
        <f>IFERROR(__xludf.DUMMYFUNCTION("""COMPUTED_VALUE"""),"San Martín PNA")</f>
        <v>San Martín PNA</v>
      </c>
      <c r="J743" s="44" t="str">
        <f>IFERROR(__xludf.DUMMYFUNCTION("""COMPUTED_VALUE"""),"24/6/2026")</f>
        <v>24/6/2026</v>
      </c>
      <c r="K743" s="42" t="str">
        <f>IFERROR(__xludf.DUMMYFUNCTION("""COMPUTED_VALUE"""),"Hospital Militar Dr. C. Arvelo")</f>
        <v>Hospital Militar Dr. C. Arvelo</v>
      </c>
    </row>
    <row r="744">
      <c r="A744" s="44">
        <v>743.0</v>
      </c>
      <c r="B744" s="44" t="str">
        <f>IFERROR(__xludf.DUMMYFUNCTION("""COMPUTED_VALUE"""),"Hospital Ana Francisca Pérez de")</f>
        <v>Hospital Ana Francisca Pérez de</v>
      </c>
      <c r="C744" s="45" t="str">
        <f>IFERROR(__xludf.DUMMYFUNCTION("""COMPUTED_VALUE"""),"BLANCO DIAS SAMUEL ALGARDO")</f>
        <v>BLANCO DIAS SAMUEL ALGARDO</v>
      </c>
      <c r="D744" s="44">
        <f>IFERROR(__xludf.DUMMYFUNCTION("""COMPUTED_VALUE"""),23.0)</f>
        <v>23</v>
      </c>
      <c r="E744" s="44" t="str">
        <f>IFERROR(__xludf.DUMMYFUNCTION("""COMPUTED_VALUE"""),"31588884")</f>
        <v>31588884</v>
      </c>
      <c r="F744" s="44" t="str">
        <f>IFERROR(__xludf.DUMMYFUNCTION("""COMPUTED_VALUE"""),"")</f>
        <v/>
      </c>
      <c r="G744" s="44" t="str">
        <f>IFERROR(__xludf.DUMMYFUNCTION("""COMPUTED_VALUE""")," ")</f>
        <v> </v>
      </c>
      <c r="H744" s="44" t="str">
        <f>IFERROR(__xludf.DUMMYFUNCTION("""COMPUTED_VALUE"""),"La Guaira")</f>
        <v>La Guaira</v>
      </c>
      <c r="I744" s="44" t="str">
        <f>IFERROR(__xludf.DUMMYFUNCTION("""COMPUTED_VALUE""")," ")</f>
        <v> </v>
      </c>
      <c r="J744" s="44" t="str">
        <f>IFERROR(__xludf.DUMMYFUNCTION("""COMPUTED_VALUE"""),"")</f>
        <v/>
      </c>
      <c r="K744" s="42" t="str">
        <f>IFERROR(__xludf.DUMMYFUNCTION("""COMPUTED_VALUE"""),"Hospital Ana Francisca Pérez de")</f>
        <v>Hospital Ana Francisca Pérez de</v>
      </c>
    </row>
    <row r="745">
      <c r="A745" s="44">
        <v>744.0</v>
      </c>
      <c r="B745" s="44" t="str">
        <f>IFERROR(__xludf.DUMMYFUNCTION("""COMPUTED_VALUE"""),"Hospital Dr. José Gregorio Hern")</f>
        <v>Hospital Dr. José Gregorio Hern</v>
      </c>
      <c r="C745" s="45" t="str">
        <f>IFERROR(__xludf.DUMMYFUNCTION("""COMPUTED_VALUE"""),"MORENO SAMUEL")</f>
        <v>MORENO SAMUEL</v>
      </c>
      <c r="D745" s="44">
        <f>IFERROR(__xludf.DUMMYFUNCTION("""COMPUTED_VALUE"""),19.0)</f>
        <v>19</v>
      </c>
      <c r="E745" s="44" t="str">
        <f>IFERROR(__xludf.DUMMYFUNCTION("""COMPUTED_VALUE"""),"31656173")</f>
        <v>31656173</v>
      </c>
      <c r="F745" s="44" t="str">
        <f>IFERROR(__xludf.DUMMYFUNCTION("""COMPUTED_VALUE"""),"")</f>
        <v/>
      </c>
      <c r="G745" s="44" t="str">
        <f>IFERROR(__xludf.DUMMYFUNCTION("""COMPUTED_VALUE""")," ")</f>
        <v> </v>
      </c>
      <c r="H745" s="44" t="str">
        <f>IFERROR(__xludf.DUMMYFUNCTION("""COMPUTED_VALUE""")," ")</f>
        <v> </v>
      </c>
      <c r="I745" s="44" t="str">
        <f>IFERROR(__xludf.DUMMYFUNCTION("""COMPUTED_VALUE"""),"Internado")</f>
        <v>Internado</v>
      </c>
      <c r="J745" s="44" t="str">
        <f>IFERROR(__xludf.DUMMYFUNCTION("""COMPUTED_VALUE"""),"")</f>
        <v/>
      </c>
      <c r="K745" s="42" t="str">
        <f>IFERROR(__xludf.DUMMYFUNCTION("""COMPUTED_VALUE"""),"Hospital Dr. José Gregorio Hern")</f>
        <v>Hospital Dr. José Gregorio Hern</v>
      </c>
    </row>
    <row r="746">
      <c r="A746" s="44">
        <v>745.0</v>
      </c>
      <c r="B746" s="44" t="str">
        <f>IFERROR(__xludf.DUMMYFUNCTION("""COMPUTED_VALUE"""),"Hospital Universitario de Carac")</f>
        <v>Hospital Universitario de Carac</v>
      </c>
      <c r="C746" s="45" t="str">
        <f>IFERROR(__xludf.DUMMYFUNCTION("""COMPUTED_VALUE"""),"CASTRO GERAL")</f>
        <v>CASTRO GERAL</v>
      </c>
      <c r="D746" s="44">
        <f>IFERROR(__xludf.DUMMYFUNCTION("""COMPUTED_VALUE"""),11.0)</f>
        <v>11</v>
      </c>
      <c r="E746" s="44" t="str">
        <f>IFERROR(__xludf.DUMMYFUNCTION("""COMPUTED_VALUE"""),"31656363")</f>
        <v>31656363</v>
      </c>
      <c r="F746" s="44" t="str">
        <f>IFERROR(__xludf.DUMMYFUNCTION("""COMPUTED_VALUE"""),"")</f>
        <v/>
      </c>
      <c r="G746" s="44" t="str">
        <f>IFERROR(__xludf.DUMMYFUNCTION("""COMPUTED_VALUE""")," ")</f>
        <v> </v>
      </c>
      <c r="H746" s="44" t="str">
        <f>IFERROR(__xludf.DUMMYFUNCTION("""COMPUTED_VALUE""")," ")</f>
        <v> </v>
      </c>
      <c r="I746" s="44" t="str">
        <f>IFERROR(__xludf.DUMMYFUNCTION("""COMPUTED_VALUE"""),"Politraumatismo")</f>
        <v>Politraumatismo</v>
      </c>
      <c r="J746" s="44" t="str">
        <f>IFERROR(__xludf.DUMMYFUNCTION("""COMPUTED_VALUE"""),"")</f>
        <v/>
      </c>
      <c r="K746" s="42" t="str">
        <f>IFERROR(__xludf.DUMMYFUNCTION("""COMPUTED_VALUE"""),"Hospital Universitario de Carac")</f>
        <v>Hospital Universitario de Carac</v>
      </c>
    </row>
    <row r="747">
      <c r="A747" s="44">
        <v>746.0</v>
      </c>
      <c r="B747" s="44" t="str">
        <f>IFERROR(__xludf.DUMMYFUNCTION("""COMPUTED_VALUE"""),"Hospital Militar Dr. C. Arvelo")</f>
        <v>Hospital Militar Dr. C. Arvelo</v>
      </c>
      <c r="C747" s="45" t="str">
        <f>IFERROR(__xludf.DUMMYFUNCTION("""COMPUTED_VALUE"""),"Noguera Arángel")</f>
        <v>Noguera Arángel</v>
      </c>
      <c r="D747" s="44">
        <f>IFERROR(__xludf.DUMMYFUNCTION("""COMPUTED_VALUE"""),19.0)</f>
        <v>19</v>
      </c>
      <c r="E747" s="44" t="str">
        <f>IFERROR(__xludf.DUMMYFUNCTION("""COMPUTED_VALUE"""),"31752473")</f>
        <v>31752473</v>
      </c>
      <c r="F747" s="44" t="str">
        <f>IFERROR(__xludf.DUMMYFUNCTION("""COMPUTED_VALUE"""),"")</f>
        <v/>
      </c>
      <c r="G747" s="44" t="str">
        <f>IFERROR(__xludf.DUMMYFUNCTION("""COMPUTED_VALUE"""),"")</f>
        <v/>
      </c>
      <c r="H747" s="44" t="str">
        <f>IFERROR(__xludf.DUMMYFUNCTION("""COMPUTED_VALUE"""),"F")</f>
        <v>F</v>
      </c>
      <c r="I747" s="44" t="str">
        <f>IFERROR(__xludf.DUMMYFUNCTION("""COMPUTED_VALUE"""),"Macuto La Guaira S/2 GNB")</f>
        <v>Macuto La Guaira S/2 GNB</v>
      </c>
      <c r="J747" s="44" t="str">
        <f>IFERROR(__xludf.DUMMYFUNCTION("""COMPUTED_VALUE"""),"24/6/2026")</f>
        <v>24/6/2026</v>
      </c>
      <c r="K747" s="42" t="str">
        <f>IFERROR(__xludf.DUMMYFUNCTION("""COMPUTED_VALUE"""),"Hospital Militar Dr. C. Arvelo")</f>
        <v>Hospital Militar Dr. C. Arvelo</v>
      </c>
    </row>
    <row r="748">
      <c r="A748" s="44">
        <v>747.0</v>
      </c>
      <c r="B748" s="44" t="str">
        <f>IFERROR(__xludf.DUMMYFUNCTION("""COMPUTED_VALUE"""),"Hospital Militar Dr. C. Arvelo")</f>
        <v>Hospital Militar Dr. C. Arvelo</v>
      </c>
      <c r="C748" s="45" t="str">
        <f>IFERROR(__xludf.DUMMYFUNCTION("""COMPUTED_VALUE"""),"Yoselyn Guerra")</f>
        <v>Yoselyn Guerra</v>
      </c>
      <c r="D748" s="44">
        <f>IFERROR(__xludf.DUMMYFUNCTION("""COMPUTED_VALUE"""),19.0)</f>
        <v>19</v>
      </c>
      <c r="E748" s="44" t="str">
        <f>IFERROR(__xludf.DUMMYFUNCTION("""COMPUTED_VALUE"""),"31752478")</f>
        <v>31752478</v>
      </c>
      <c r="F748" s="44" t="str">
        <f>IFERROR(__xludf.DUMMYFUNCTION("""COMPUTED_VALUE"""),"")</f>
        <v/>
      </c>
      <c r="G748" s="44" t="str">
        <f>IFERROR(__xludf.DUMMYFUNCTION("""COMPUTED_VALUE"""),"")</f>
        <v/>
      </c>
      <c r="H748" s="44" t="str">
        <f>IFERROR(__xludf.DUMMYFUNCTION("""COMPUTED_VALUE"""),"F")</f>
        <v>F</v>
      </c>
      <c r="I748" s="44" t="str">
        <f>IFERROR(__xludf.DUMMYFUNCTION("""COMPUTED_VALUE"""),"La Guaira S/2 GNB")</f>
        <v>La Guaira S/2 GNB</v>
      </c>
      <c r="J748" s="44" t="str">
        <f>IFERROR(__xludf.DUMMYFUNCTION("""COMPUTED_VALUE"""),"24/6/2026")</f>
        <v>24/6/2026</v>
      </c>
      <c r="K748" s="42" t="str">
        <f>IFERROR(__xludf.DUMMYFUNCTION("""COMPUTED_VALUE"""),"Hospital Militar Dr. C. Arvelo")</f>
        <v>Hospital Militar Dr. C. Arvelo</v>
      </c>
    </row>
    <row r="749">
      <c r="A749" s="44">
        <v>748.0</v>
      </c>
      <c r="B749" s="44" t="str">
        <f>IFERROR(__xludf.DUMMYFUNCTION("""COMPUTED_VALUE"""),"Hospital Pérez Carreño")</f>
        <v>Hospital Pérez Carreño</v>
      </c>
      <c r="C749" s="45" t="str">
        <f>IFERROR(__xludf.DUMMYFUNCTION("""COMPUTED_VALUE"""),"AZOSTO YHELIA")</f>
        <v>AZOSTO YHELIA</v>
      </c>
      <c r="D749" s="44" t="str">
        <f>IFERROR(__xludf.DUMMYFUNCTION("""COMPUTED_VALUE""")," ")</f>
        <v> </v>
      </c>
      <c r="E749" s="44" t="str">
        <f>IFERROR(__xludf.DUMMYFUNCTION("""COMPUTED_VALUE"""),"31760907")</f>
        <v>31760907</v>
      </c>
      <c r="F749" s="44" t="str">
        <f>IFERROR(__xludf.DUMMYFUNCTION("""COMPUTED_VALUE"""),"")</f>
        <v/>
      </c>
      <c r="G749" s="44" t="str">
        <f>IFERROR(__xludf.DUMMYFUNCTION("""COMPUTED_VALUE""")," ")</f>
        <v> </v>
      </c>
      <c r="H749" s="44" t="str">
        <f>IFERROR(__xludf.DUMMYFUNCTION("""COMPUTED_VALUE""")," ")</f>
        <v> </v>
      </c>
      <c r="I749" s="44" t="str">
        <f>IFERROR(__xludf.DUMMYFUNCTION("""COMPUTED_VALUE""")," ")</f>
        <v> </v>
      </c>
      <c r="J749" s="44" t="str">
        <f>IFERROR(__xludf.DUMMYFUNCTION("""COMPUTED_VALUE"""),"25/06/2026")</f>
        <v>25/06/2026</v>
      </c>
      <c r="K749" s="42" t="str">
        <f>IFERROR(__xludf.DUMMYFUNCTION("""COMPUTED_VALUE"""),"Hospital Pérez Carreño")</f>
        <v>Hospital Pérez Carreño</v>
      </c>
    </row>
    <row r="750">
      <c r="A750" s="44">
        <v>749.0</v>
      </c>
      <c r="B750" s="44" t="str">
        <f>IFERROR(__xludf.DUMMYFUNCTION("""COMPUTED_VALUE"""),"Hospital Pérez Carreño")</f>
        <v>Hospital Pérez Carreño</v>
      </c>
      <c r="C750" s="45" t="str">
        <f>IFERROR(__xludf.DUMMYFUNCTION("""COMPUTED_VALUE"""),"YANELI ACOSTA")</f>
        <v>YANELI ACOSTA</v>
      </c>
      <c r="D750" s="44" t="str">
        <f>IFERROR(__xludf.DUMMYFUNCTION("""COMPUTED_VALUE""")," ")</f>
        <v> </v>
      </c>
      <c r="E750" s="44" t="str">
        <f>IFERROR(__xludf.DUMMYFUNCTION("""COMPUTED_VALUE"""),"317609070")</f>
        <v>317609070</v>
      </c>
      <c r="F750" s="44" t="str">
        <f>IFERROR(__xludf.DUMMYFUNCTION("""COMPUTED_VALUE"""),"")</f>
        <v/>
      </c>
      <c r="G750" s="44" t="str">
        <f>IFERROR(__xludf.DUMMYFUNCTION("""COMPUTED_VALUE""")," ")</f>
        <v> </v>
      </c>
      <c r="H750" s="44" t="str">
        <f>IFERROR(__xludf.DUMMYFUNCTION("""COMPUTED_VALUE""")," ")</f>
        <v> </v>
      </c>
      <c r="I750" s="44" t="str">
        <f>IFERROR(__xludf.DUMMYFUNCTION("""COMPUTED_VALUE"""),"Triaje")</f>
        <v>Triaje</v>
      </c>
      <c r="J750" s="44" t="str">
        <f>IFERROR(__xludf.DUMMYFUNCTION("""COMPUTED_VALUE"""),"25/06/2026")</f>
        <v>25/06/2026</v>
      </c>
      <c r="K750" s="42" t="str">
        <f>IFERROR(__xludf.DUMMYFUNCTION("""COMPUTED_VALUE"""),"Hospital Pérez Carreño")</f>
        <v>Hospital Pérez Carreño</v>
      </c>
    </row>
    <row r="751">
      <c r="A751" s="44">
        <v>750.0</v>
      </c>
      <c r="B751" s="44" t="str">
        <f>IFERROR(__xludf.DUMMYFUNCTION("""COMPUTED_VALUE"""),"Hospital Vargas de Caracas")</f>
        <v>Hospital Vargas de Caracas</v>
      </c>
      <c r="C751" s="45" t="str">
        <f>IFERROR(__xludf.DUMMYFUNCTION("""COMPUTED_VALUE"""),"DIAS MUGUEL")</f>
        <v>DIAS MUGUEL</v>
      </c>
      <c r="D751" s="44" t="str">
        <f>IFERROR(__xludf.DUMMYFUNCTION("""COMPUTED_VALUE""")," ")</f>
        <v> </v>
      </c>
      <c r="E751" s="44" t="str">
        <f>IFERROR(__xludf.DUMMYFUNCTION("""COMPUTED_VALUE"""),"31777653")</f>
        <v>31777653</v>
      </c>
      <c r="F751" s="44" t="str">
        <f>IFERROR(__xludf.DUMMYFUNCTION("""COMPUTED_VALUE""")," ")</f>
        <v> </v>
      </c>
      <c r="G751" s="44" t="str">
        <f>IFERROR(__xludf.DUMMYFUNCTION("""COMPUTED_VALUE"""),"")</f>
        <v/>
      </c>
      <c r="H751" s="44" t="str">
        <f>IFERROR(__xludf.DUMMYFUNCTION("""COMPUTED_VALUE""")," ")</f>
        <v> </v>
      </c>
      <c r="I751" s="44" t="str">
        <f>IFERROR(__xludf.DUMMYFUNCTION("""COMPUTED_VALUE""")," ")</f>
        <v> </v>
      </c>
      <c r="J751" s="44" t="str">
        <f>IFERROR(__xludf.DUMMYFUNCTION("""COMPUTED_VALUE"""),"")</f>
        <v/>
      </c>
      <c r="K751" s="42" t="str">
        <f>IFERROR(__xludf.DUMMYFUNCTION("""COMPUTED_VALUE"""),"Hospital Vargas de Caracas")</f>
        <v>Hospital Vargas de Caracas</v>
      </c>
    </row>
    <row r="752">
      <c r="A752" s="44">
        <v>751.0</v>
      </c>
      <c r="B752" s="44" t="str">
        <f>IFERROR(__xludf.DUMMYFUNCTION("""COMPUTED_VALUE"""),"Hospital Militar Dr. C. Arvelo")</f>
        <v>Hospital Militar Dr. C. Arvelo</v>
      </c>
      <c r="C752" s="45" t="str">
        <f>IFERROR(__xludf.DUMMYFUNCTION("""COMPUTED_VALUE"""),"Sánchez Alvarado Stefaní")</f>
        <v>Sánchez Alvarado Stefaní</v>
      </c>
      <c r="D752" s="44">
        <f>IFERROR(__xludf.DUMMYFUNCTION("""COMPUTED_VALUE"""),19.0)</f>
        <v>19</v>
      </c>
      <c r="E752" s="44" t="str">
        <f>IFERROR(__xludf.DUMMYFUNCTION("""COMPUTED_VALUE"""),"31913023")</f>
        <v>31913023</v>
      </c>
      <c r="F752" s="44" t="str">
        <f>IFERROR(__xludf.DUMMYFUNCTION("""COMPUTED_VALUE"""),"")</f>
        <v/>
      </c>
      <c r="G752" s="44" t="str">
        <f>IFERROR(__xludf.DUMMYFUNCTION("""COMPUTED_VALUE"""),"")</f>
        <v/>
      </c>
      <c r="H752" s="44" t="str">
        <f>IFERROR(__xludf.DUMMYFUNCTION("""COMPUTED_VALUE"""),"F")</f>
        <v>F</v>
      </c>
      <c r="I752" s="44" t="str">
        <f>IFERROR(__xludf.DUMMYFUNCTION("""COMPUTED_VALUE"""),"San Martín PNA")</f>
        <v>San Martín PNA</v>
      </c>
      <c r="J752" s="44" t="str">
        <f>IFERROR(__xludf.DUMMYFUNCTION("""COMPUTED_VALUE"""),"24/6/2026")</f>
        <v>24/6/2026</v>
      </c>
      <c r="K752" s="42" t="str">
        <f>IFERROR(__xludf.DUMMYFUNCTION("""COMPUTED_VALUE"""),"Hospital Militar Dr. C. Arvelo")</f>
        <v>Hospital Militar Dr. C. Arvelo</v>
      </c>
    </row>
    <row r="753">
      <c r="A753" s="44">
        <v>752.0</v>
      </c>
      <c r="B753" s="44" t="str">
        <f>IFERROR(__xludf.DUMMYFUNCTION("""COMPUTED_VALUE"""),"Hospital Ana Francisca Pérez de")</f>
        <v>Hospital Ana Francisca Pérez de</v>
      </c>
      <c r="C753" s="45" t="str">
        <f>IFERROR(__xludf.DUMMYFUNCTION("""COMPUTED_VALUE"""),"YORDIS FONETTE")</f>
        <v>YORDIS FONETTE</v>
      </c>
      <c r="D753" s="44">
        <f>IFERROR(__xludf.DUMMYFUNCTION("""COMPUTED_VALUE"""),20.0)</f>
        <v>20</v>
      </c>
      <c r="E753" s="44" t="str">
        <f>IFERROR(__xludf.DUMMYFUNCTION("""COMPUTED_VALUE"""),"31914320")</f>
        <v>31914320</v>
      </c>
      <c r="F753" s="44" t="str">
        <f>IFERROR(__xludf.DUMMYFUNCTION("""COMPUTED_VALUE"""),"")</f>
        <v/>
      </c>
      <c r="G753" s="44" t="str">
        <f>IFERROR(__xludf.DUMMYFUNCTION("""COMPUTED_VALUE""")," ")</f>
        <v> </v>
      </c>
      <c r="H753" s="44" t="str">
        <f>IFERROR(__xludf.DUMMYFUNCTION("""COMPUTED_VALUE"""),"La Guaira")</f>
        <v>La Guaira</v>
      </c>
      <c r="I753" s="44" t="str">
        <f>IFERROR(__xludf.DUMMYFUNCTION("""COMPUTED_VALUE""")," ")</f>
        <v> </v>
      </c>
      <c r="J753" s="44" t="str">
        <f>IFERROR(__xludf.DUMMYFUNCTION("""COMPUTED_VALUE"""),"")</f>
        <v/>
      </c>
      <c r="K753" s="42" t="str">
        <f>IFERROR(__xludf.DUMMYFUNCTION("""COMPUTED_VALUE"""),"🔍 BUSCAR PACIENTES")</f>
        <v>🔍 BUSCAR PACIENTES</v>
      </c>
    </row>
    <row r="754">
      <c r="A754" s="44">
        <v>753.0</v>
      </c>
      <c r="B754" s="44" t="str">
        <f>IFERROR(__xludf.DUMMYFUNCTION("""COMPUTED_VALUE"""),"Hospital Pérez Carreño")</f>
        <v>Hospital Pérez Carreño</v>
      </c>
      <c r="C754" s="45" t="str">
        <f>IFERROR(__xludf.DUMMYFUNCTION("""COMPUTED_VALUE"""),"Yermin Vaptista")</f>
        <v>Yermin Vaptista</v>
      </c>
      <c r="D754" s="44"/>
      <c r="E754" s="44" t="str">
        <f>IFERROR(__xludf.DUMMYFUNCTION("""COMPUTED_VALUE"""),"31948173")</f>
        <v>31948173</v>
      </c>
      <c r="F754" s="44" t="str">
        <f>IFERROR(__xludf.DUMMYFUNCTION("""COMPUTED_VALUE"""),"")</f>
        <v/>
      </c>
      <c r="G754" s="44" t="str">
        <f>IFERROR(__xludf.DUMMYFUNCTION("""COMPUTED_VALUE"""),"Listado de nombres")</f>
        <v>Listado de nombres</v>
      </c>
      <c r="H754" s="44" t="str">
        <f>IFERROR(__xludf.DUMMYFUNCTION("""COMPUTED_VALUE"""),"Hospital Miguel Perez Carreño")</f>
        <v>Hospital Miguel Perez Carreño</v>
      </c>
      <c r="I754" s="44"/>
      <c r="J754" s="44" t="str">
        <f>IFERROR(__xludf.DUMMYFUNCTION("""COMPUTED_VALUE"""),"26/6/26")</f>
        <v>26/6/26</v>
      </c>
      <c r="K754" s="42" t="str">
        <f>IFERROR(__xludf.DUMMYFUNCTION("""COMPUTED_VALUE"""),"Hospital Pérez Carreño")</f>
        <v>Hospital Pérez Carreño</v>
      </c>
    </row>
    <row r="755">
      <c r="A755" s="44">
        <v>754.0</v>
      </c>
      <c r="B755" s="44" t="str">
        <f>IFERROR(__xludf.DUMMYFUNCTION("""COMPUTED_VALUE"""),"Hospital Pérez Carreño")</f>
        <v>Hospital Pérez Carreño</v>
      </c>
      <c r="C755" s="45" t="str">
        <f>IFERROR(__xludf.DUMMYFUNCTION("""COMPUTED_VALUE"""),"YERMIN BAPTISTA")</f>
        <v>YERMIN BAPTISTA</v>
      </c>
      <c r="D755" s="44" t="str">
        <f>IFERROR(__xludf.DUMMYFUNCTION("""COMPUTED_VALUE""")," ")</f>
        <v> </v>
      </c>
      <c r="E755" s="44" t="str">
        <f>IFERROR(__xludf.DUMMYFUNCTION("""COMPUTED_VALUE"""),"319481730")</f>
        <v>319481730</v>
      </c>
      <c r="F755" s="44" t="str">
        <f>IFERROR(__xludf.DUMMYFUNCTION("""COMPUTED_VALUE"""),"")</f>
        <v/>
      </c>
      <c r="G755" s="44" t="str">
        <f>IFERROR(__xludf.DUMMYFUNCTION("""COMPUTED_VALUE""")," ")</f>
        <v> </v>
      </c>
      <c r="H755" s="44" t="str">
        <f>IFERROR(__xludf.DUMMYFUNCTION("""COMPUTED_VALUE""")," ")</f>
        <v> </v>
      </c>
      <c r="I755" s="44" t="str">
        <f>IFERROR(__xludf.DUMMYFUNCTION("""COMPUTED_VALUE""")," ")</f>
        <v> </v>
      </c>
      <c r="J755" s="44" t="str">
        <f>IFERROR(__xludf.DUMMYFUNCTION("""COMPUTED_VALUE"""),"25/06/2026")</f>
        <v>25/06/2026</v>
      </c>
      <c r="K755" s="42" t="str">
        <f>IFERROR(__xludf.DUMMYFUNCTION("""COMPUTED_VALUE"""),"Hospital Pérez Carreño")</f>
        <v>Hospital Pérez Carreño</v>
      </c>
    </row>
    <row r="756">
      <c r="A756" s="44">
        <v>755.0</v>
      </c>
      <c r="B756" s="44" t="str">
        <f>IFERROR(__xludf.DUMMYFUNCTION("""COMPUTED_VALUE"""),"Hospital Militar Dr. C. Arvelo")</f>
        <v>Hospital Militar Dr. C. Arvelo</v>
      </c>
      <c r="C756" s="45" t="str">
        <f>IFERROR(__xludf.DUMMYFUNCTION("""COMPUTED_VALUE"""),"Acosta Ámbar")</f>
        <v>Acosta Ámbar</v>
      </c>
      <c r="D756" s="44">
        <f>IFERROR(__xludf.DUMMYFUNCTION("""COMPUTED_VALUE"""),19.0)</f>
        <v>19</v>
      </c>
      <c r="E756" s="44" t="str">
        <f>IFERROR(__xludf.DUMMYFUNCTION("""COMPUTED_VALUE"""),"31950088")</f>
        <v>31950088</v>
      </c>
      <c r="F756" s="44" t="str">
        <f>IFERROR(__xludf.DUMMYFUNCTION("""COMPUTED_VALUE"""),"")</f>
        <v/>
      </c>
      <c r="G756" s="44" t="str">
        <f>IFERROR(__xludf.DUMMYFUNCTION("""COMPUTED_VALUE"""),"")</f>
        <v/>
      </c>
      <c r="H756" s="44" t="str">
        <f>IFERROR(__xludf.DUMMYFUNCTION("""COMPUTED_VALUE"""),"F")</f>
        <v>F</v>
      </c>
      <c r="I756" s="44" t="str">
        <f>IFERROR(__xludf.DUMMYFUNCTION("""COMPUTED_VALUE"""),"San Juan PNA")</f>
        <v>San Juan PNA</v>
      </c>
      <c r="J756" s="44" t="str">
        <f>IFERROR(__xludf.DUMMYFUNCTION("""COMPUTED_VALUE"""),"24/6/2026")</f>
        <v>24/6/2026</v>
      </c>
      <c r="K756" s="42" t="str">
        <f>IFERROR(__xludf.DUMMYFUNCTION("""COMPUTED_VALUE"""),"Hospital Militar Dr. C. Arvelo")</f>
        <v>Hospital Militar Dr. C. Arvelo</v>
      </c>
    </row>
    <row r="757">
      <c r="A757" s="44">
        <v>756.0</v>
      </c>
      <c r="B757" s="44" t="str">
        <f>IFERROR(__xludf.DUMMYFUNCTION("""COMPUTED_VALUE"""),"Periférico de Catia")</f>
        <v>Periférico de Catia</v>
      </c>
      <c r="C757" s="45" t="str">
        <f>IFERROR(__xludf.DUMMYFUNCTION("""COMPUTED_VALUE"""),"HIANGELY NIETO")</f>
        <v>HIANGELY NIETO</v>
      </c>
      <c r="D757" s="44">
        <f>IFERROR(__xludf.DUMMYFUNCTION("""COMPUTED_VALUE"""),18.0)</f>
        <v>18</v>
      </c>
      <c r="E757" s="44" t="str">
        <f>IFERROR(__xludf.DUMMYFUNCTION("""COMPUTED_VALUE"""),"319620870")</f>
        <v>319620870</v>
      </c>
      <c r="F757" s="44" t="str">
        <f>IFERROR(__xludf.DUMMYFUNCTION("""COMPUTED_VALUE"""),"")</f>
        <v/>
      </c>
      <c r="G757" s="44" t="str">
        <f>IFERROR(__xludf.DUMMYFUNCTION("""COMPUTED_VALUE""")," ")</f>
        <v> </v>
      </c>
      <c r="H757" s="44" t="str">
        <f>IFERROR(__xludf.DUMMYFUNCTION("""COMPUTED_VALUE"""),"Caraballeda, La Guaira")</f>
        <v>Caraballeda, La Guaira</v>
      </c>
      <c r="I757" s="44" t="str">
        <f>IFERROR(__xludf.DUMMYFUNCTION("""COMPUTED_VALUE"""),"TRM | Cirugía General")</f>
        <v>TRM | Cirugía General</v>
      </c>
      <c r="J757" s="44" t="str">
        <f>IFERROR(__xludf.DUMMYFUNCTION("""COMPUTED_VALUE"""),"")</f>
        <v/>
      </c>
      <c r="K757" s="42" t="str">
        <f>IFERROR(__xludf.DUMMYFUNCTION("""COMPUTED_VALUE"""),"Periférico de Catia")</f>
        <v>Periférico de Catia</v>
      </c>
    </row>
    <row r="758">
      <c r="A758" s="44">
        <v>757.0</v>
      </c>
      <c r="B758" s="44" t="str">
        <f>IFERROR(__xludf.DUMMYFUNCTION("""COMPUTED_VALUE"""),"Hospital Militar Dr. C. Arvelo")</f>
        <v>Hospital Militar Dr. C. Arvelo</v>
      </c>
      <c r="C758" s="45" t="str">
        <f>IFERROR(__xludf.DUMMYFUNCTION("""COMPUTED_VALUE"""),"Rivero Marina Rosa")</f>
        <v>Rivero Marina Rosa</v>
      </c>
      <c r="D758" s="44">
        <f>IFERROR(__xludf.DUMMYFUNCTION("""COMPUTED_VALUE"""),80.0)</f>
        <v>80</v>
      </c>
      <c r="E758" s="44" t="str">
        <f>IFERROR(__xludf.DUMMYFUNCTION("""COMPUTED_VALUE"""),"3197845")</f>
        <v>3197845</v>
      </c>
      <c r="F758" s="44" t="str">
        <f>IFERROR(__xludf.DUMMYFUNCTION("""COMPUTED_VALUE"""),"")</f>
        <v/>
      </c>
      <c r="G758" s="44" t="str">
        <f>IFERROR(__xludf.DUMMYFUNCTION("""COMPUTED_VALUE"""),"")</f>
        <v/>
      </c>
      <c r="H758" s="44" t="str">
        <f>IFERROR(__xludf.DUMMYFUNCTION("""COMPUTED_VALUE"""),"F")</f>
        <v>F</v>
      </c>
      <c r="I758" s="44" t="str">
        <f>IFERROR(__xludf.DUMMYFUNCTION("""COMPUTED_VALUE"""),"La Guaira Sra. GNB")</f>
        <v>La Guaira Sra. GNB</v>
      </c>
      <c r="J758" s="44" t="str">
        <f>IFERROR(__xludf.DUMMYFUNCTION("""COMPUTED_VALUE"""),"24/6/2026")</f>
        <v>24/6/2026</v>
      </c>
      <c r="K758" s="42" t="str">
        <f>IFERROR(__xludf.DUMMYFUNCTION("""COMPUTED_VALUE"""),"Hospital Militar Dr. C. Arvelo")</f>
        <v>Hospital Militar Dr. C. Arvelo</v>
      </c>
    </row>
    <row r="759">
      <c r="A759" s="44">
        <v>758.0</v>
      </c>
      <c r="B759" s="44" t="str">
        <f>IFERROR(__xludf.DUMMYFUNCTION("""COMPUTED_VALUE"""),"Periférico de Catia")</f>
        <v>Periférico de Catia</v>
      </c>
      <c r="C759" s="45" t="str">
        <f>IFERROR(__xludf.DUMMYFUNCTION("""COMPUTED_VALUE"""),"CHIRINOS ALEXANDRA")</f>
        <v>CHIRINOS ALEXANDRA</v>
      </c>
      <c r="D759" s="44">
        <f>IFERROR(__xludf.DUMMYFUNCTION("""COMPUTED_VALUE"""),21.0)</f>
        <v>21</v>
      </c>
      <c r="E759" s="44" t="str">
        <f>IFERROR(__xludf.DUMMYFUNCTION("""COMPUTED_VALUE"""),"31995517")</f>
        <v>31995517</v>
      </c>
      <c r="F759" s="44" t="str">
        <f>IFERROR(__xludf.DUMMYFUNCTION("""COMPUTED_VALUE"""),"")</f>
        <v/>
      </c>
      <c r="G759" s="44" t="str">
        <f>IFERROR(__xludf.DUMMYFUNCTION("""COMPUTED_VALUE""")," ")</f>
        <v> </v>
      </c>
      <c r="H759" s="44" t="str">
        <f>IFERROR(__xludf.DUMMYFUNCTION("""COMPUTED_VALUE""")," ")</f>
        <v> </v>
      </c>
      <c r="I759" s="44" t="str">
        <f>IFERROR(__xludf.DUMMYFUNCTION("""COMPUTED_VALUE"""),"Cirugía General")</f>
        <v>Cirugía General</v>
      </c>
      <c r="J759" s="44" t="str">
        <f>IFERROR(__xludf.DUMMYFUNCTION("""COMPUTED_VALUE"""),"")</f>
        <v/>
      </c>
      <c r="K759" s="42" t="str">
        <f>IFERROR(__xludf.DUMMYFUNCTION("""COMPUTED_VALUE"""),"Periférico de Catia")</f>
        <v>Periférico de Catia</v>
      </c>
    </row>
    <row r="760">
      <c r="A760" s="44">
        <v>759.0</v>
      </c>
      <c r="B760" s="44" t="str">
        <f>IFERROR(__xludf.DUMMYFUNCTION("""COMPUTED_VALUE"""),"Periférico de Catia")</f>
        <v>Periférico de Catia</v>
      </c>
      <c r="C760" s="45" t="str">
        <f>IFERROR(__xludf.DUMMYFUNCTION("""COMPUTED_VALUE"""),"ALEXANDRA CHIRINOS")</f>
        <v>ALEXANDRA CHIRINOS</v>
      </c>
      <c r="D760" s="44">
        <f>IFERROR(__xludf.DUMMYFUNCTION("""COMPUTED_VALUE"""),21.0)</f>
        <v>21</v>
      </c>
      <c r="E760" s="44" t="str">
        <f>IFERROR(__xludf.DUMMYFUNCTION("""COMPUTED_VALUE"""),"319955170")</f>
        <v>319955170</v>
      </c>
      <c r="F760" s="44" t="str">
        <f>IFERROR(__xludf.DUMMYFUNCTION("""COMPUTED_VALUE"""),"")</f>
        <v/>
      </c>
      <c r="G760" s="44" t="str">
        <f>IFERROR(__xludf.DUMMYFUNCTION("""COMPUTED_VALUE""")," ")</f>
        <v> </v>
      </c>
      <c r="H760" s="44" t="str">
        <f>IFERROR(__xludf.DUMMYFUNCTION("""COMPUTED_VALUE"""),"Sin información")</f>
        <v>Sin información</v>
      </c>
      <c r="I760" s="44" t="str">
        <f>IFERROR(__xludf.DUMMYFUNCTION("""COMPUTED_VALUE"""),"Cirugía General")</f>
        <v>Cirugía General</v>
      </c>
      <c r="J760" s="44" t="str">
        <f>IFERROR(__xludf.DUMMYFUNCTION("""COMPUTED_VALUE"""),"")</f>
        <v/>
      </c>
      <c r="K760" s="42" t="str">
        <f>IFERROR(__xludf.DUMMYFUNCTION("""COMPUTED_VALUE"""),"Periférico de Catia")</f>
        <v>Periférico de Catia</v>
      </c>
    </row>
    <row r="761">
      <c r="A761" s="44">
        <v>760.0</v>
      </c>
      <c r="B761" s="44" t="str">
        <f>IFERROR(__xludf.DUMMYFUNCTION("""COMPUTED_VALUE"""),"Hospital Militar Dr. C. Arvelo")</f>
        <v>Hospital Militar Dr. C. Arvelo</v>
      </c>
      <c r="C761" s="45" t="str">
        <f>IFERROR(__xludf.DUMMYFUNCTION("""COMPUTED_VALUE"""),"Silva Stefaní")</f>
        <v>Silva Stefaní</v>
      </c>
      <c r="D761" s="44">
        <f>IFERROR(__xludf.DUMMYFUNCTION("""COMPUTED_VALUE"""),19.0)</f>
        <v>19</v>
      </c>
      <c r="E761" s="44" t="str">
        <f>IFERROR(__xludf.DUMMYFUNCTION("""COMPUTED_VALUE"""),"32074333")</f>
        <v>32074333</v>
      </c>
      <c r="F761" s="44" t="str">
        <f>IFERROR(__xludf.DUMMYFUNCTION("""COMPUTED_VALUE"""),"")</f>
        <v/>
      </c>
      <c r="G761" s="44" t="str">
        <f>IFERROR(__xludf.DUMMYFUNCTION("""COMPUTED_VALUE"""),"")</f>
        <v/>
      </c>
      <c r="H761" s="44" t="str">
        <f>IFERROR(__xludf.DUMMYFUNCTION("""COMPUTED_VALUE"""),"F")</f>
        <v>F</v>
      </c>
      <c r="I761" s="44" t="str">
        <f>IFERROR(__xludf.DUMMYFUNCTION("""COMPUTED_VALUE"""),"La Guaira PNA")</f>
        <v>La Guaira PNA</v>
      </c>
      <c r="J761" s="44" t="str">
        <f>IFERROR(__xludf.DUMMYFUNCTION("""COMPUTED_VALUE"""),"24/6/2026")</f>
        <v>24/6/2026</v>
      </c>
      <c r="K761" s="42" t="str">
        <f>IFERROR(__xludf.DUMMYFUNCTION("""COMPUTED_VALUE"""),"Hospital Militar Dr. C. Arvelo")</f>
        <v>Hospital Militar Dr. C. Arvelo</v>
      </c>
    </row>
    <row r="762">
      <c r="A762" s="44">
        <v>761.0</v>
      </c>
      <c r="B762" s="44" t="str">
        <f>IFERROR(__xludf.DUMMYFUNCTION("""COMPUTED_VALUE"""),"Hospital Militar Dr. C. Arvelo")</f>
        <v>Hospital Militar Dr. C. Arvelo</v>
      </c>
      <c r="C762" s="45" t="str">
        <f>IFERROR(__xludf.DUMMYFUNCTION("""COMPUTED_VALUE"""),"Yan Ilduara")</f>
        <v>Yan Ilduara</v>
      </c>
      <c r="D762" s="44">
        <f>IFERROR(__xludf.DUMMYFUNCTION("""COMPUTED_VALUE"""),18.0)</f>
        <v>18</v>
      </c>
      <c r="E762" s="44" t="str">
        <f>IFERROR(__xludf.DUMMYFUNCTION("""COMPUTED_VALUE"""),"32106240")</f>
        <v>32106240</v>
      </c>
      <c r="F762" s="44" t="str">
        <f>IFERROR(__xludf.DUMMYFUNCTION("""COMPUTED_VALUE"""),"")</f>
        <v/>
      </c>
      <c r="G762" s="44" t="str">
        <f>IFERROR(__xludf.DUMMYFUNCTION("""COMPUTED_VALUE"""),"")</f>
        <v/>
      </c>
      <c r="H762" s="44" t="str">
        <f>IFERROR(__xludf.DUMMYFUNCTION("""COMPUTED_VALUE"""),"F")</f>
        <v>F</v>
      </c>
      <c r="I762" s="44" t="str">
        <f>IFERROR(__xludf.DUMMYFUNCTION("""COMPUTED_VALUE"""),"La Guaira PNA")</f>
        <v>La Guaira PNA</v>
      </c>
      <c r="J762" s="44" t="str">
        <f>IFERROR(__xludf.DUMMYFUNCTION("""COMPUTED_VALUE"""),"24/6/2026")</f>
        <v>24/6/2026</v>
      </c>
      <c r="K762" s="42" t="str">
        <f>IFERROR(__xludf.DUMMYFUNCTION("""COMPUTED_VALUE"""),"Hospital Militar Dr. C. Arvelo")</f>
        <v>Hospital Militar Dr. C. Arvelo</v>
      </c>
    </row>
    <row r="763">
      <c r="A763" s="44">
        <v>762.0</v>
      </c>
      <c r="B763" s="44" t="str">
        <f>IFERROR(__xludf.DUMMYFUNCTION("""COMPUTED_VALUE"""),"H. Jose Maria Vargas LG")</f>
        <v>H. Jose Maria Vargas LG</v>
      </c>
      <c r="C763" s="45" t="str">
        <f>IFERROR(__xludf.DUMMYFUNCTION("""COMPUTED_VALUE"""),"PEZ ILIANA")</f>
        <v>PEZ ILIANA</v>
      </c>
      <c r="D763" s="44" t="str">
        <f>IFERROR(__xludf.DUMMYFUNCTION("""COMPUTED_VALUE""")," ")</f>
        <v> </v>
      </c>
      <c r="E763" s="44" t="str">
        <f>IFERROR(__xludf.DUMMYFUNCTION("""COMPUTED_VALUE"""),"32106940")</f>
        <v>32106940</v>
      </c>
      <c r="F763" s="44" t="str">
        <f>IFERROR(__xludf.DUMMYFUNCTION("""COMPUTED_VALUE"""),"")</f>
        <v/>
      </c>
      <c r="G763" s="44" t="str">
        <f>IFERROR(__xludf.DUMMYFUNCTION("""COMPUTED_VALUE""")," ")</f>
        <v> </v>
      </c>
      <c r="H763" s="44" t="str">
        <f>IFERROR(__xludf.DUMMYFUNCTION("""COMPUTED_VALUE"""),"Playa Grande")</f>
        <v>Playa Grande</v>
      </c>
      <c r="I763" s="44" t="str">
        <f>IFERROR(__xludf.DUMMYFUNCTION("""COMPUTED_VALUE""")," ")</f>
        <v> </v>
      </c>
      <c r="J763" s="44" t="str">
        <f>IFERROR(__xludf.DUMMYFUNCTION("""COMPUTED_VALUE"""),"")</f>
        <v/>
      </c>
      <c r="K763" s="42" t="str">
        <f>IFERROR(__xludf.DUMMYFUNCTION("""COMPUTED_VALUE"""),"H. Jose Maria Vargas LG")</f>
        <v>H. Jose Maria Vargas LG</v>
      </c>
    </row>
    <row r="764">
      <c r="A764" s="44">
        <v>763.0</v>
      </c>
      <c r="B764" s="44" t="str">
        <f>IFERROR(__xludf.DUMMYFUNCTION("""COMPUTED_VALUE"""),"Seguro Social La Guaira")</f>
        <v>Seguro Social La Guaira</v>
      </c>
      <c r="C764" s="45" t="str">
        <f>IFERROR(__xludf.DUMMYFUNCTION("""COMPUTED_VALUE"""),"ILRANA PEZ")</f>
        <v>ILRANA PEZ</v>
      </c>
      <c r="D764" s="44" t="str">
        <f>IFERROR(__xludf.DUMMYFUNCTION("""COMPUTED_VALUE""")," ")</f>
        <v> </v>
      </c>
      <c r="E764" s="44" t="str">
        <f>IFERROR(__xludf.DUMMYFUNCTION("""COMPUTED_VALUE"""),"321069400")</f>
        <v>321069400</v>
      </c>
      <c r="F764" s="44" t="str">
        <f>IFERROR(__xludf.DUMMYFUNCTION("""COMPUTED_VALUE"""),"")</f>
        <v/>
      </c>
      <c r="G764" s="44" t="str">
        <f>IFERROR(__xludf.DUMMYFUNCTION("""COMPUTED_VALUE""")," ")</f>
        <v> </v>
      </c>
      <c r="H764" s="44" t="str">
        <f>IFERROR(__xludf.DUMMYFUNCTION("""COMPUTED_VALUE"""),"Playa Grande")</f>
        <v>Playa Grande</v>
      </c>
      <c r="I764" s="44" t="str">
        <f>IFERROR(__xludf.DUMMYFUNCTION("""COMPUTED_VALUE""")," ")</f>
        <v> </v>
      </c>
      <c r="J764" s="44" t="str">
        <f>IFERROR(__xludf.DUMMYFUNCTION("""COMPUTED_VALUE"""),"")</f>
        <v/>
      </c>
      <c r="K764" s="42" t="str">
        <f>IFERROR(__xludf.DUMMYFUNCTION("""COMPUTED_VALUE"""),"Seguro Social La Guaira")</f>
        <v>Seguro Social La Guaira</v>
      </c>
    </row>
    <row r="765">
      <c r="A765" s="44">
        <v>764.0</v>
      </c>
      <c r="B765" s="44" t="str">
        <f>IFERROR(__xludf.DUMMYFUNCTION("""COMPUTED_VALUE"""),"Hospital Universitario de Carac")</f>
        <v>Hospital Universitario de Carac</v>
      </c>
      <c r="C765" s="45" t="str">
        <f>IFERROR(__xludf.DUMMYFUNCTION("""COMPUTED_VALUE"""),"GARCIA MIRIAM")</f>
        <v>GARCIA MIRIAM</v>
      </c>
      <c r="D765" s="44">
        <f>IFERROR(__xludf.DUMMYFUNCTION("""COMPUTED_VALUE"""),58.0)</f>
        <v>58</v>
      </c>
      <c r="E765" s="44" t="str">
        <f>IFERROR(__xludf.DUMMYFUNCTION("""COMPUTED_VALUE"""),"32111714")</f>
        <v>32111714</v>
      </c>
      <c r="F765" s="44" t="str">
        <f>IFERROR(__xludf.DUMMYFUNCTION("""COMPUTED_VALUE"""),"")</f>
        <v/>
      </c>
      <c r="G765" s="44" t="str">
        <f>IFERROR(__xludf.DUMMYFUNCTION("""COMPUTED_VALUE""")," ")</f>
        <v> </v>
      </c>
      <c r="H765" s="44" t="str">
        <f>IFERROR(__xludf.DUMMYFUNCTION("""COMPUTED_VALUE""")," ")</f>
        <v> </v>
      </c>
      <c r="I765" s="44" t="str">
        <f>IFERROR(__xludf.DUMMYFUNCTION("""COMPUTED_VALUE"""),"Politraumatismo")</f>
        <v>Politraumatismo</v>
      </c>
      <c r="J765" s="44" t="str">
        <f>IFERROR(__xludf.DUMMYFUNCTION("""COMPUTED_VALUE"""),"")</f>
        <v/>
      </c>
      <c r="K765" s="42" t="str">
        <f>IFERROR(__xludf.DUMMYFUNCTION("""COMPUTED_VALUE"""),"Hospital Universitario de Carac")</f>
        <v>Hospital Universitario de Carac</v>
      </c>
    </row>
    <row r="766">
      <c r="A766" s="44">
        <v>765.0</v>
      </c>
      <c r="B766" s="44" t="str">
        <f>IFERROR(__xludf.DUMMYFUNCTION("""COMPUTED_VALUE"""),"Hospital Universitario de Carac")</f>
        <v>Hospital Universitario de Carac</v>
      </c>
      <c r="C766" s="45" t="str">
        <f>IFERROR(__xludf.DUMMYFUNCTION("""COMPUTED_VALUE"""),"RAMOS MARYELIS / RAMOS SILVA MARYELIS")</f>
        <v>RAMOS MARYELIS / RAMOS SILVA MARYELIS</v>
      </c>
      <c r="D766" s="44">
        <f>IFERROR(__xludf.DUMMYFUNCTION("""COMPUTED_VALUE"""),18.0)</f>
        <v>18</v>
      </c>
      <c r="E766" s="44" t="str">
        <f>IFERROR(__xludf.DUMMYFUNCTION("""COMPUTED_VALUE"""),"32111741")</f>
        <v>32111741</v>
      </c>
      <c r="F766" s="44" t="str">
        <f>IFERROR(__xludf.DUMMYFUNCTION("""COMPUTED_VALUE"""),"")</f>
        <v/>
      </c>
      <c r="G766" s="44" t="str">
        <f>IFERROR(__xludf.DUMMYFUNCTION("""COMPUTED_VALUE""")," ")</f>
        <v> </v>
      </c>
      <c r="H766" s="44" t="str">
        <f>IFERROR(__xludf.DUMMYFUNCTION("""COMPUTED_VALUE""")," ")</f>
        <v> </v>
      </c>
      <c r="I766" s="44" t="str">
        <f>IFERROR(__xludf.DUMMYFUNCTION("""COMPUTED_VALUE""")," ")</f>
        <v> </v>
      </c>
      <c r="J766" s="44" t="str">
        <f>IFERROR(__xludf.DUMMYFUNCTION("""COMPUTED_VALUE"""),"")</f>
        <v/>
      </c>
      <c r="K766" s="42" t="str">
        <f>IFERROR(__xludf.DUMMYFUNCTION("""COMPUTED_VALUE"""),"Hospital Universitario de Carac")</f>
        <v>Hospital Universitario de Carac</v>
      </c>
    </row>
    <row r="767">
      <c r="A767" s="44">
        <v>766.0</v>
      </c>
      <c r="B767" s="44" t="str">
        <f>IFERROR(__xludf.DUMMYFUNCTION("""COMPUTED_VALUE"""),"Hospital Vargas de Caracas")</f>
        <v>Hospital Vargas de Caracas</v>
      </c>
      <c r="C767" s="45" t="str">
        <f>IFERROR(__xludf.DUMMYFUNCTION("""COMPUTED_VALUE"""),"CRIQUELY MURGA")</f>
        <v>CRIQUELY MURGA</v>
      </c>
      <c r="D767" s="44" t="str">
        <f>IFERROR(__xludf.DUMMYFUNCTION("""COMPUTED_VALUE""")," ")</f>
        <v> </v>
      </c>
      <c r="E767" s="44" t="str">
        <f>IFERROR(__xludf.DUMMYFUNCTION("""COMPUTED_VALUE"""),"32191309")</f>
        <v>32191309</v>
      </c>
      <c r="F767" s="44" t="str">
        <f>IFERROR(__xludf.DUMMYFUNCTION("""COMPUTED_VALUE""")," ")</f>
        <v> </v>
      </c>
      <c r="G767" s="44" t="str">
        <f>IFERROR(__xludf.DUMMYFUNCTION("""COMPUTED_VALUE"""),"")</f>
        <v/>
      </c>
      <c r="H767" s="44" t="str">
        <f>IFERROR(__xludf.DUMMYFUNCTION("""COMPUTED_VALUE"""),"Guaira")</f>
        <v>Guaira</v>
      </c>
      <c r="I767" s="44" t="str">
        <f>IFERROR(__xludf.DUMMYFUNCTION("""COMPUTED_VALUE""")," ")</f>
        <v> </v>
      </c>
      <c r="J767" s="44" t="str">
        <f>IFERROR(__xludf.DUMMYFUNCTION("""COMPUTED_VALUE"""),"")</f>
        <v/>
      </c>
      <c r="K767" s="42" t="str">
        <f>IFERROR(__xludf.DUMMYFUNCTION("""COMPUTED_VALUE"""),"Hospital Vargas de Caracas")</f>
        <v>Hospital Vargas de Caracas</v>
      </c>
    </row>
    <row r="768">
      <c r="A768" s="44">
        <v>767.0</v>
      </c>
      <c r="B768" s="44" t="str">
        <f>IFERROR(__xludf.DUMMYFUNCTION("""COMPUTED_VALUE"""),"Hospital Vargas de Caracas")</f>
        <v>Hospital Vargas de Caracas</v>
      </c>
      <c r="C768" s="45" t="str">
        <f>IFERROR(__xludf.DUMMYFUNCTION("""COMPUTED_VALUE"""),"MARRERO NOHEMI")</f>
        <v>MARRERO NOHEMI</v>
      </c>
      <c r="D768" s="44">
        <f>IFERROR(__xludf.DUMMYFUNCTION("""COMPUTED_VALUE"""),20.0)</f>
        <v>20</v>
      </c>
      <c r="E768" s="44" t="str">
        <f>IFERROR(__xludf.DUMMYFUNCTION("""COMPUTED_VALUE"""),"32271433")</f>
        <v>32271433</v>
      </c>
      <c r="F768" s="44" t="str">
        <f>IFERROR(__xludf.DUMMYFUNCTION("""COMPUTED_VALUE""")," ")</f>
        <v> </v>
      </c>
      <c r="G768" s="44" t="str">
        <f>IFERROR(__xludf.DUMMYFUNCTION("""COMPUTED_VALUE"""),"")</f>
        <v/>
      </c>
      <c r="H768" s="44" t="str">
        <f>IFERROR(__xludf.DUMMYFUNCTION("""COMPUTED_VALUE"""),"La Guaira")</f>
        <v>La Guaira</v>
      </c>
      <c r="I768" s="44" t="str">
        <f>IFERROR(__xludf.DUMMYFUNCTION("""COMPUTED_VALUE"""),"UPT")</f>
        <v>UPT</v>
      </c>
      <c r="J768" s="44" t="str">
        <f>IFERROR(__xludf.DUMMYFUNCTION("""COMPUTED_VALUE"""),"")</f>
        <v/>
      </c>
      <c r="K768" s="42" t="str">
        <f>IFERROR(__xludf.DUMMYFUNCTION("""COMPUTED_VALUE"""),"Hospital Vargas de Caracas")</f>
        <v>Hospital Vargas de Caracas</v>
      </c>
    </row>
    <row r="769">
      <c r="A769" s="44">
        <v>768.0</v>
      </c>
      <c r="B769" s="44" t="str">
        <f>IFERROR(__xludf.DUMMYFUNCTION("""COMPUTED_VALUE"""),"H. Jose Maria Vargas LG")</f>
        <v>H. Jose Maria Vargas LG</v>
      </c>
      <c r="C769" s="45" t="str">
        <f>IFERROR(__xludf.DUMMYFUNCTION("""COMPUTED_VALUE"""),"CABARGA YENDELIS")</f>
        <v>CABARGA YENDELIS</v>
      </c>
      <c r="D769" s="44">
        <f>IFERROR(__xludf.DUMMYFUNCTION("""COMPUTED_VALUE"""),17.0)</f>
        <v>17</v>
      </c>
      <c r="E769" s="44" t="str">
        <f>IFERROR(__xludf.DUMMYFUNCTION("""COMPUTED_VALUE"""),"32273006")</f>
        <v>32273006</v>
      </c>
      <c r="F769" s="44" t="str">
        <f>IFERROR(__xludf.DUMMYFUNCTION("""COMPUTED_VALUE"""),"")</f>
        <v/>
      </c>
      <c r="G769" s="44" t="str">
        <f>IFERROR(__xludf.DUMMYFUNCTION("""COMPUTED_VALUE""")," ")</f>
        <v> </v>
      </c>
      <c r="H769" s="44" t="str">
        <f>IFERROR(__xludf.DUMMYFUNCTION("""COMPUTED_VALUE""")," ")</f>
        <v> </v>
      </c>
      <c r="I769" s="44" t="str">
        <f>IFERROR(__xludf.DUMMYFUNCTION("""COMPUTED_VALUE"""),"Internado")</f>
        <v>Internado</v>
      </c>
      <c r="J769" s="44" t="str">
        <f>IFERROR(__xludf.DUMMYFUNCTION("""COMPUTED_VALUE"""),"")</f>
        <v/>
      </c>
      <c r="K769" s="42" t="str">
        <f>IFERROR(__xludf.DUMMYFUNCTION("""COMPUTED_VALUE"""),"H. Jose Maria Vargas LG")</f>
        <v>H. Jose Maria Vargas LG</v>
      </c>
    </row>
    <row r="770">
      <c r="A770" s="44">
        <v>769.0</v>
      </c>
      <c r="B770" s="44" t="str">
        <f>IFERROR(__xludf.DUMMYFUNCTION("""COMPUTED_VALUE"""),"Seguro Social La Guaira")</f>
        <v>Seguro Social La Guaira</v>
      </c>
      <c r="C770" s="45" t="str">
        <f>IFERROR(__xludf.DUMMYFUNCTION("""COMPUTED_VALUE"""),"YENDELIS CABARGA")</f>
        <v>YENDELIS CABARGA</v>
      </c>
      <c r="D770" s="44">
        <f>IFERROR(__xludf.DUMMYFUNCTION("""COMPUTED_VALUE"""),13.0)</f>
        <v>13</v>
      </c>
      <c r="E770" s="44" t="str">
        <f>IFERROR(__xludf.DUMMYFUNCTION("""COMPUTED_VALUE"""),"322730060")</f>
        <v>322730060</v>
      </c>
      <c r="F770" s="44" t="str">
        <f>IFERROR(__xludf.DUMMYFUNCTION("""COMPUTED_VALUE"""),"")</f>
        <v/>
      </c>
      <c r="G770" s="44" t="str">
        <f>IFERROR(__xludf.DUMMYFUNCTION("""COMPUTED_VALUE""")," ")</f>
        <v> </v>
      </c>
      <c r="H770" s="44" t="str">
        <f>IFERROR(__xludf.DUMMYFUNCTION("""COMPUTED_VALUE"""),"Caribe")</f>
        <v>Caribe</v>
      </c>
      <c r="I770" s="44" t="str">
        <f>IFERROR(__xludf.DUMMYFUNCTION("""COMPUTED_VALUE""")," ")</f>
        <v> </v>
      </c>
      <c r="J770" s="44" t="str">
        <f>IFERROR(__xludf.DUMMYFUNCTION("""COMPUTED_VALUE"""),"")</f>
        <v/>
      </c>
      <c r="K770" s="42" t="str">
        <f>IFERROR(__xludf.DUMMYFUNCTION("""COMPUTED_VALUE"""),"Seguro Social La Guaira")</f>
        <v>Seguro Social La Guaira</v>
      </c>
    </row>
    <row r="771">
      <c r="A771" s="44">
        <v>770.0</v>
      </c>
      <c r="B771" s="44" t="str">
        <f>IFERROR(__xludf.DUMMYFUNCTION("""COMPUTED_VALUE"""),"Hospital Pérez Carreño")</f>
        <v>Hospital Pérez Carreño</v>
      </c>
      <c r="C771" s="45" t="str">
        <f>IFERROR(__xludf.DUMMYFUNCTION("""COMPUTED_VALUE"""),"VIZEES GAOLRIA")</f>
        <v>VIZEES GAOLRIA</v>
      </c>
      <c r="D771" s="44" t="str">
        <f>IFERROR(__xludf.DUMMYFUNCTION("""COMPUTED_VALUE""")," ")</f>
        <v> </v>
      </c>
      <c r="E771" s="44" t="str">
        <f>IFERROR(__xludf.DUMMYFUNCTION("""COMPUTED_VALUE"""),"32281459")</f>
        <v>32281459</v>
      </c>
      <c r="F771" s="44" t="str">
        <f>IFERROR(__xludf.DUMMYFUNCTION("""COMPUTED_VALUE"""),"")</f>
        <v/>
      </c>
      <c r="G771" s="44" t="str">
        <f>IFERROR(__xludf.DUMMYFUNCTION("""COMPUTED_VALUE""")," ")</f>
        <v> </v>
      </c>
      <c r="H771" s="44" t="str">
        <f>IFERROR(__xludf.DUMMYFUNCTION("""COMPUTED_VALUE""")," ")</f>
        <v> </v>
      </c>
      <c r="I771" s="44" t="str">
        <f>IFERROR(__xludf.DUMMYFUNCTION("""COMPUTED_VALUE"""),"Internado")</f>
        <v>Internado</v>
      </c>
      <c r="J771" s="44" t="str">
        <f>IFERROR(__xludf.DUMMYFUNCTION("""COMPUTED_VALUE"""),"")</f>
        <v/>
      </c>
      <c r="K771" s="42" t="str">
        <f>IFERROR(__xludf.DUMMYFUNCTION("""COMPUTED_VALUE"""),"🔍 BUSCAR PACIENTES")</f>
        <v>🔍 BUSCAR PACIENTES</v>
      </c>
    </row>
    <row r="772">
      <c r="A772" s="44">
        <v>771.0</v>
      </c>
      <c r="B772" s="44" t="str">
        <f>IFERROR(__xludf.DUMMYFUNCTION("""COMPUTED_VALUE"""),"Hospital Pérez Carreño")</f>
        <v>Hospital Pérez Carreño</v>
      </c>
      <c r="C772" s="45" t="str">
        <f>IFERROR(__xludf.DUMMYFUNCTION("""COMPUTED_VALUE"""),"GABRIEL BRIZUELA")</f>
        <v>GABRIEL BRIZUELA</v>
      </c>
      <c r="D772" s="44" t="str">
        <f>IFERROR(__xludf.DUMMYFUNCTION("""COMPUTED_VALUE"""),"Sin información")</f>
        <v>Sin información</v>
      </c>
      <c r="E772" s="44" t="str">
        <f>IFERROR(__xludf.DUMMYFUNCTION("""COMPUTED_VALUE"""),"322814590")</f>
        <v>322814590</v>
      </c>
      <c r="F772" s="44" t="str">
        <f>IFERROR(__xludf.DUMMYFUNCTION("""COMPUTED_VALUE"""),"")</f>
        <v/>
      </c>
      <c r="G772" s="44" t="str">
        <f>IFERROR(__xludf.DUMMYFUNCTION("""COMPUTED_VALUE""")," ")</f>
        <v> </v>
      </c>
      <c r="H772" s="44" t="str">
        <f>IFERROR(__xludf.DUMMYFUNCTION("""COMPUTED_VALUE"""),"Sin información")</f>
        <v>Sin información</v>
      </c>
      <c r="I772" s="44" t="str">
        <f>IFERROR(__xludf.DUMMYFUNCTION("""COMPUTED_VALUE"""),"Sin información")</f>
        <v>Sin información</v>
      </c>
      <c r="J772" s="44" t="str">
        <f>IFERROR(__xludf.DUMMYFUNCTION("""COMPUTED_VALUE"""),"25/06/2026")</f>
        <v>25/06/2026</v>
      </c>
      <c r="K772" s="42" t="str">
        <f>IFERROR(__xludf.DUMMYFUNCTION("""COMPUTED_VALUE"""),"Hospital Pérez Carreño")</f>
        <v>Hospital Pérez Carreño</v>
      </c>
    </row>
    <row r="773">
      <c r="A773" s="44">
        <v>772.0</v>
      </c>
      <c r="B773" s="44" t="str">
        <f>IFERROR(__xludf.DUMMYFUNCTION("""COMPUTED_VALUE"""),"H. Jose Maria Vargas LG")</f>
        <v>H. Jose Maria Vargas LG</v>
      </c>
      <c r="C773" s="45" t="str">
        <f>IFERROR(__xludf.DUMMYFUNCTION("""COMPUTED_VALUE"""),"TORO TORO ELIAS")</f>
        <v>TORO TORO ELIAS</v>
      </c>
      <c r="D773" s="44" t="str">
        <f>IFERROR(__xludf.DUMMYFUNCTION("""COMPUTED_VALUE""")," ")</f>
        <v> </v>
      </c>
      <c r="E773" s="44" t="str">
        <f>IFERROR(__xludf.DUMMYFUNCTION("""COMPUTED_VALUE"""),"32304284")</f>
        <v>32304284</v>
      </c>
      <c r="F773" s="44" t="str">
        <f>IFERROR(__xludf.DUMMYFUNCTION("""COMPUTED_VALUE"""),"")</f>
        <v/>
      </c>
      <c r="G773" s="44" t="str">
        <f>IFERROR(__xludf.DUMMYFUNCTION("""COMPUTED_VALUE""")," ")</f>
        <v> </v>
      </c>
      <c r="H773" s="44" t="str">
        <f>IFERROR(__xludf.DUMMYFUNCTION("""COMPUTED_VALUE""")," ")</f>
        <v> </v>
      </c>
      <c r="I773" s="44" t="str">
        <f>IFERROR(__xludf.DUMMYFUNCTION("""COMPUTED_VALUE""")," ")</f>
        <v> </v>
      </c>
      <c r="J773" s="44" t="str">
        <f>IFERROR(__xludf.DUMMYFUNCTION("""COMPUTED_VALUE"""),"")</f>
        <v/>
      </c>
      <c r="K773" s="42" t="str">
        <f>IFERROR(__xludf.DUMMYFUNCTION("""COMPUTED_VALUE"""),"H. Jose Maria Vargas LG")</f>
        <v>H. Jose Maria Vargas LG</v>
      </c>
    </row>
    <row r="774">
      <c r="A774" s="44">
        <v>773.0</v>
      </c>
      <c r="B774" s="44" t="str">
        <f>IFERROR(__xludf.DUMMYFUNCTION("""COMPUTED_VALUE"""),"Seguro Social La Guaira")</f>
        <v>Seguro Social La Guaira</v>
      </c>
      <c r="C774" s="45" t="str">
        <f>IFERROR(__xludf.DUMMYFUNCTION("""COMPUTED_VALUE"""),"ELIAS TORO TORO")</f>
        <v>ELIAS TORO TORO</v>
      </c>
      <c r="D774" s="44" t="str">
        <f>IFERROR(__xludf.DUMMYFUNCTION("""COMPUTED_VALUE""")," ")</f>
        <v> </v>
      </c>
      <c r="E774" s="44" t="str">
        <f>IFERROR(__xludf.DUMMYFUNCTION("""COMPUTED_VALUE"""),"323042840")</f>
        <v>323042840</v>
      </c>
      <c r="F774" s="44" t="str">
        <f>IFERROR(__xludf.DUMMYFUNCTION("""COMPUTED_VALUE"""),"")</f>
        <v/>
      </c>
      <c r="G774" s="44" t="str">
        <f>IFERROR(__xludf.DUMMYFUNCTION("""COMPUTED_VALUE""")," ")</f>
        <v> </v>
      </c>
      <c r="H774" s="44" t="str">
        <f>IFERROR(__xludf.DUMMYFUNCTION("""COMPUTED_VALUE"""),"Corales")</f>
        <v>Corales</v>
      </c>
      <c r="I774" s="44" t="str">
        <f>IFERROR(__xludf.DUMMYFUNCTION("""COMPUTED_VALUE""")," ")</f>
        <v> </v>
      </c>
      <c r="J774" s="44" t="str">
        <f>IFERROR(__xludf.DUMMYFUNCTION("""COMPUTED_VALUE"""),"")</f>
        <v/>
      </c>
      <c r="K774" s="42" t="str">
        <f>IFERROR(__xludf.DUMMYFUNCTION("""COMPUTED_VALUE"""),"Seguro Social La Guaira")</f>
        <v>Seguro Social La Guaira</v>
      </c>
    </row>
    <row r="775">
      <c r="A775" s="44">
        <v>774.0</v>
      </c>
      <c r="B775" s="44" t="str">
        <f>IFERROR(__xludf.DUMMYFUNCTION("""COMPUTED_VALUE"""),"Hospital Universitario de Carac")</f>
        <v>Hospital Universitario de Carac</v>
      </c>
      <c r="C775" s="45" t="str">
        <f>IFERROR(__xludf.DUMMYFUNCTION("""COMPUTED_VALUE"""),"SANCHEZ JOSE")</f>
        <v>SANCHEZ JOSE</v>
      </c>
      <c r="D775" s="44">
        <f>IFERROR(__xludf.DUMMYFUNCTION("""COMPUTED_VALUE"""),19.0)</f>
        <v>19</v>
      </c>
      <c r="E775" s="44" t="str">
        <f>IFERROR(__xludf.DUMMYFUNCTION("""COMPUTED_VALUE"""),"32320251")</f>
        <v>32320251</v>
      </c>
      <c r="F775" s="44" t="str">
        <f>IFERROR(__xludf.DUMMYFUNCTION("""COMPUTED_VALUE"""),"")</f>
        <v/>
      </c>
      <c r="G775" s="44" t="str">
        <f>IFERROR(__xludf.DUMMYFUNCTION("""COMPUTED_VALUE"""),"0412-3574177")</f>
        <v>0412-3574177</v>
      </c>
      <c r="H775" s="44" t="str">
        <f>IFERROR(__xludf.DUMMYFUNCTION("""COMPUTED_VALUE""")," ")</f>
        <v> </v>
      </c>
      <c r="I775" s="44" t="str">
        <f>IFERROR(__xludf.DUMMYFUNCTION("""COMPUTED_VALUE"""),"Emergencia Med 3 – CTCE moderado")</f>
        <v>Emergencia Med 3 – CTCE moderado</v>
      </c>
      <c r="J775" s="44" t="str">
        <f>IFERROR(__xludf.DUMMYFUNCTION("""COMPUTED_VALUE"""),"")</f>
        <v/>
      </c>
      <c r="K775" s="42" t="str">
        <f>IFERROR(__xludf.DUMMYFUNCTION("""COMPUTED_VALUE"""),"Hospital Universitario de Carac")</f>
        <v>Hospital Universitario de Carac</v>
      </c>
    </row>
    <row r="776">
      <c r="A776" s="44">
        <v>775.0</v>
      </c>
      <c r="B776" s="44" t="str">
        <f>IFERROR(__xludf.DUMMYFUNCTION("""COMPUTED_VALUE"""),"Hospital Vargas de Caracas")</f>
        <v>Hospital Vargas de Caracas</v>
      </c>
      <c r="C776" s="45" t="str">
        <f>IFERROR(__xludf.DUMMYFUNCTION("""COMPUTED_VALUE"""),"VASQUEZ ROSAEYS")</f>
        <v>VASQUEZ ROSAEYS</v>
      </c>
      <c r="D776" s="44">
        <f>IFERROR(__xludf.DUMMYFUNCTION("""COMPUTED_VALUE"""),18.0)</f>
        <v>18</v>
      </c>
      <c r="E776" s="44" t="str">
        <f>IFERROR(__xludf.DUMMYFUNCTION("""COMPUTED_VALUE"""),"32334040")</f>
        <v>32334040</v>
      </c>
      <c r="F776" s="44" t="str">
        <f>IFERROR(__xludf.DUMMYFUNCTION("""COMPUTED_VALUE""")," ")</f>
        <v> </v>
      </c>
      <c r="G776" s="44" t="str">
        <f>IFERROR(__xludf.DUMMYFUNCTION("""COMPUTED_VALUE"""),"")</f>
        <v/>
      </c>
      <c r="H776" s="44" t="str">
        <f>IFERROR(__xludf.DUMMYFUNCTION("""COMPUTED_VALUE"""),"La Guaira – Petare")</f>
        <v>La Guaira – Petare</v>
      </c>
      <c r="I776" s="44" t="str">
        <f>IFERROR(__xludf.DUMMYFUNCTION("""COMPUTED_VALUE"""),"UPT")</f>
        <v>UPT</v>
      </c>
      <c r="J776" s="44" t="str">
        <f>IFERROR(__xludf.DUMMYFUNCTION("""COMPUTED_VALUE"""),"")</f>
        <v/>
      </c>
      <c r="K776" s="42" t="str">
        <f>IFERROR(__xludf.DUMMYFUNCTION("""COMPUTED_VALUE"""),"Hospital Vargas de Caracas")</f>
        <v>Hospital Vargas de Caracas</v>
      </c>
    </row>
    <row r="777">
      <c r="A777" s="44">
        <v>776.0</v>
      </c>
      <c r="B777" s="44" t="str">
        <f>IFERROR(__xludf.DUMMYFUNCTION("""COMPUTED_VALUE"""),"Hospital Vargas de Caracas")</f>
        <v>Hospital Vargas de Caracas</v>
      </c>
      <c r="C777" s="45" t="str">
        <f>IFERROR(__xludf.DUMMYFUNCTION("""COMPUTED_VALUE"""),"VASQUEZ ROSALIS")</f>
        <v>VASQUEZ ROSALIS</v>
      </c>
      <c r="D777" s="44">
        <f>IFERROR(__xludf.DUMMYFUNCTION("""COMPUTED_VALUE"""),18.0)</f>
        <v>18</v>
      </c>
      <c r="E777" s="44" t="str">
        <f>IFERROR(__xludf.DUMMYFUNCTION("""COMPUTED_VALUE"""),"32334090")</f>
        <v>32334090</v>
      </c>
      <c r="F777" s="44" t="str">
        <f>IFERROR(__xludf.DUMMYFUNCTION("""COMPUTED_VALUE""")," ")</f>
        <v> </v>
      </c>
      <c r="G777" s="44" t="str">
        <f>IFERROR(__xludf.DUMMYFUNCTION("""COMPUTED_VALUE"""),"")</f>
        <v/>
      </c>
      <c r="H777" s="44" t="str">
        <f>IFERROR(__xludf.DUMMYFUNCTION("""COMPUTED_VALUE"""),"La Guaira")</f>
        <v>La Guaira</v>
      </c>
      <c r="I777" s="44" t="str">
        <f>IFERROR(__xludf.DUMMYFUNCTION("""COMPUTED_VALUE"""),"UPT")</f>
        <v>UPT</v>
      </c>
      <c r="J777" s="44" t="str">
        <f>IFERROR(__xludf.DUMMYFUNCTION("""COMPUTED_VALUE"""),"")</f>
        <v/>
      </c>
      <c r="K777" s="42" t="str">
        <f>IFERROR(__xludf.DUMMYFUNCTION("""COMPUTED_VALUE"""),"Hospital Vargas de Caracas")</f>
        <v>Hospital Vargas de Caracas</v>
      </c>
    </row>
    <row r="778">
      <c r="A778" s="44">
        <v>777.0</v>
      </c>
      <c r="B778" s="44" t="str">
        <f>IFERROR(__xludf.DUMMYFUNCTION("""COMPUTED_VALUE"""),"Hospital Militar Dr. C. Arvelo")</f>
        <v>Hospital Militar Dr. C. Arvelo</v>
      </c>
      <c r="C778" s="45" t="str">
        <f>IFERROR(__xludf.DUMMYFUNCTION("""COMPUTED_VALUE"""),"Elvis Etolino")</f>
        <v>Elvis Etolino</v>
      </c>
      <c r="D778" s="44">
        <f>IFERROR(__xludf.DUMMYFUNCTION("""COMPUTED_VALUE"""),19.0)</f>
        <v>19</v>
      </c>
      <c r="E778" s="44" t="str">
        <f>IFERROR(__xludf.DUMMYFUNCTION("""COMPUTED_VALUE"""),"32335642")</f>
        <v>32335642</v>
      </c>
      <c r="F778" s="44" t="str">
        <f>IFERROR(__xludf.DUMMYFUNCTION("""COMPUTED_VALUE"""),"")</f>
        <v/>
      </c>
      <c r="G778" s="44" t="str">
        <f>IFERROR(__xludf.DUMMYFUNCTION("""COMPUTED_VALUE"""),"")</f>
        <v/>
      </c>
      <c r="H778" s="44" t="str">
        <f>IFERROR(__xludf.DUMMYFUNCTION("""COMPUTED_VALUE"""),"M")</f>
        <v>M</v>
      </c>
      <c r="I778" s="44" t="str">
        <f>IFERROR(__xludf.DUMMYFUNCTION("""COMPUTED_VALUE"""),"La Guaira PNA")</f>
        <v>La Guaira PNA</v>
      </c>
      <c r="J778" s="44" t="str">
        <f>IFERROR(__xludf.DUMMYFUNCTION("""COMPUTED_VALUE"""),"24/6/2026")</f>
        <v>24/6/2026</v>
      </c>
      <c r="K778" s="42" t="str">
        <f>IFERROR(__xludf.DUMMYFUNCTION("""COMPUTED_VALUE"""),"Hospital Militar Dr. C. Arvelo")</f>
        <v>Hospital Militar Dr. C. Arvelo</v>
      </c>
    </row>
    <row r="779">
      <c r="A779" s="44">
        <v>778.0</v>
      </c>
      <c r="B779" s="44" t="str">
        <f>IFERROR(__xludf.DUMMYFUNCTION("""COMPUTED_VALUE"""),"Hospital Pérez Carreño")</f>
        <v>Hospital Pérez Carreño</v>
      </c>
      <c r="C779" s="45" t="str">
        <f>IFERROR(__xludf.DUMMYFUNCTION("""COMPUTED_VALUE"""),"IGLESIAS IBSEN")</f>
        <v>IGLESIAS IBSEN</v>
      </c>
      <c r="D779" s="44" t="str">
        <f>IFERROR(__xludf.DUMMYFUNCTION("""COMPUTED_VALUE""")," ")</f>
        <v> </v>
      </c>
      <c r="E779" s="44" t="str">
        <f>IFERROR(__xludf.DUMMYFUNCTION("""COMPUTED_VALUE"""),"32359883")</f>
        <v>32359883</v>
      </c>
      <c r="F779" s="44" t="str">
        <f>IFERROR(__xludf.DUMMYFUNCTION("""COMPUTED_VALUE"""),"")</f>
        <v/>
      </c>
      <c r="G779" s="44" t="str">
        <f>IFERROR(__xludf.DUMMYFUNCTION("""COMPUTED_VALUE""")," ")</f>
        <v> </v>
      </c>
      <c r="H779" s="44" t="str">
        <f>IFERROR(__xludf.DUMMYFUNCTION("""COMPUTED_VALUE""")," ")</f>
        <v> </v>
      </c>
      <c r="I779" s="44" t="str">
        <f>IFERROR(__xludf.DUMMYFUNCTION("""COMPUTED_VALUE""")," ")</f>
        <v> </v>
      </c>
      <c r="J779" s="44" t="str">
        <f>IFERROR(__xludf.DUMMYFUNCTION("""COMPUTED_VALUE"""),"25/06/2026")</f>
        <v>25/06/2026</v>
      </c>
      <c r="K779" s="42" t="str">
        <f>IFERROR(__xludf.DUMMYFUNCTION("""COMPUTED_VALUE"""),"Hospital Pérez Carreño")</f>
        <v>Hospital Pérez Carreño</v>
      </c>
    </row>
    <row r="780">
      <c r="A780" s="44">
        <v>779.0</v>
      </c>
      <c r="B780" s="44" t="str">
        <f>IFERROR(__xludf.DUMMYFUNCTION("""COMPUTED_VALUE"""),"Hospital Pérez Carreño")</f>
        <v>Hospital Pérez Carreño</v>
      </c>
      <c r="C780" s="45" t="str">
        <f>IFERROR(__xludf.DUMMYFUNCTION("""COMPUTED_VALUE"""),"IBSEN IGLESIAS")</f>
        <v>IBSEN IGLESIAS</v>
      </c>
      <c r="D780" s="44" t="str">
        <f>IFERROR(__xludf.DUMMYFUNCTION("""COMPUTED_VALUE""")," ")</f>
        <v> </v>
      </c>
      <c r="E780" s="44" t="str">
        <f>IFERROR(__xludf.DUMMYFUNCTION("""COMPUTED_VALUE"""),"323598830")</f>
        <v>323598830</v>
      </c>
      <c r="F780" s="44" t="str">
        <f>IFERROR(__xludf.DUMMYFUNCTION("""COMPUTED_VALUE"""),"")</f>
        <v/>
      </c>
      <c r="G780" s="44" t="str">
        <f>IFERROR(__xludf.DUMMYFUNCTION("""COMPUTED_VALUE""")," ")</f>
        <v> </v>
      </c>
      <c r="H780" s="44" t="str">
        <f>IFERROR(__xludf.DUMMYFUNCTION("""COMPUTED_VALUE""")," ")</f>
        <v> </v>
      </c>
      <c r="I780" s="44" t="str">
        <f>IFERROR(__xludf.DUMMYFUNCTION("""COMPUTED_VALUE""")," ")</f>
        <v> </v>
      </c>
      <c r="J780" s="44" t="str">
        <f>IFERROR(__xludf.DUMMYFUNCTION("""COMPUTED_VALUE"""),"25/06/2026")</f>
        <v>25/06/2026</v>
      </c>
      <c r="K780" s="42" t="str">
        <f>IFERROR(__xludf.DUMMYFUNCTION("""COMPUTED_VALUE"""),"Hospital Pérez Carreño")</f>
        <v>Hospital Pérez Carreño</v>
      </c>
    </row>
    <row r="781">
      <c r="A781" s="44">
        <v>780.0</v>
      </c>
      <c r="B781" s="44" t="str">
        <f>IFERROR(__xludf.DUMMYFUNCTION("""COMPUTED_VALUE"""),"HOSPITAL VARGAS")</f>
        <v>HOSPITAL VARGAS</v>
      </c>
      <c r="C781" s="45" t="str">
        <f>IFERROR(__xludf.DUMMYFUNCTION("""COMPUTED_VALUE"""),"Tisbeth Delgado")</f>
        <v>Tisbeth Delgado</v>
      </c>
      <c r="D781" s="44"/>
      <c r="E781" s="44" t="str">
        <f>IFERROR(__xludf.DUMMYFUNCTION("""COMPUTED_VALUE"""),"32446991")</f>
        <v>32446991</v>
      </c>
      <c r="F781" s="44" t="str">
        <f>IFERROR(__xludf.DUMMYFUNCTION("""COMPUTED_VALUE"""),"")</f>
        <v/>
      </c>
      <c r="G781" s="44" t="str">
        <f>IFERROR(__xludf.DUMMYFUNCTION("""COMPUTED_VALUE"""),"")</f>
        <v/>
      </c>
      <c r="H781" s="44" t="str">
        <f>IFERROR(__xludf.DUMMYFUNCTION("""COMPUTED_VALUE"""),"")</f>
        <v/>
      </c>
      <c r="I781" s="44" t="str">
        <f>IFERROR(__xludf.DUMMYFUNCTION("""COMPUTED_VALUE"""),"Herido / atendido")</f>
        <v>Herido / atendido</v>
      </c>
      <c r="J781" s="44" t="str">
        <f>IFERROR(__xludf.DUMMYFUNCTION("""COMPUTED_VALUE"""),"24.06.2026 ")</f>
        <v>24.06.2026 </v>
      </c>
      <c r="K781" s="42" t="str">
        <f>IFERROR(__xludf.DUMMYFUNCTION("""COMPUTED_VALUE"""),"HOSPITAL VARGAS")</f>
        <v>HOSPITAL VARGAS</v>
      </c>
    </row>
    <row r="782">
      <c r="A782" s="44">
        <v>781.0</v>
      </c>
      <c r="B782" s="44" t="str">
        <f>IFERROR(__xludf.DUMMYFUNCTION("""COMPUTED_VALUE"""),"Hospital Militar Dr. C. Arvelo")</f>
        <v>Hospital Militar Dr. C. Arvelo</v>
      </c>
      <c r="C782" s="45" t="str">
        <f>IFERROR(__xludf.DUMMYFUNCTION("""COMPUTED_VALUE"""),"Mariany Salazar")</f>
        <v>Mariany Salazar</v>
      </c>
      <c r="D782" s="44">
        <f>IFERROR(__xludf.DUMMYFUNCTION("""COMPUTED_VALUE"""),19.0)</f>
        <v>19</v>
      </c>
      <c r="E782" s="44" t="str">
        <f>IFERROR(__xludf.DUMMYFUNCTION("""COMPUTED_VALUE"""),"32454171")</f>
        <v>32454171</v>
      </c>
      <c r="F782" s="44" t="str">
        <f>IFERROR(__xludf.DUMMYFUNCTION("""COMPUTED_VALUE"""),"")</f>
        <v/>
      </c>
      <c r="G782" s="44" t="str">
        <f>IFERROR(__xludf.DUMMYFUNCTION("""COMPUTED_VALUE"""),"")</f>
        <v/>
      </c>
      <c r="H782" s="44" t="str">
        <f>IFERROR(__xludf.DUMMYFUNCTION("""COMPUTED_VALUE"""),"F")</f>
        <v>F</v>
      </c>
      <c r="I782" s="44" t="str">
        <f>IFERROR(__xludf.DUMMYFUNCTION("""COMPUTED_VALUE"""),"Macuto La Guaira S/2 GNB")</f>
        <v>Macuto La Guaira S/2 GNB</v>
      </c>
      <c r="J782" s="44" t="str">
        <f>IFERROR(__xludf.DUMMYFUNCTION("""COMPUTED_VALUE"""),"24/6/2026")</f>
        <v>24/6/2026</v>
      </c>
      <c r="K782" s="42" t="str">
        <f>IFERROR(__xludf.DUMMYFUNCTION("""COMPUTED_VALUE"""),"Hospital Militar Dr. C. Arvelo")</f>
        <v>Hospital Militar Dr. C. Arvelo</v>
      </c>
    </row>
    <row r="783">
      <c r="A783" s="44">
        <v>782.0</v>
      </c>
      <c r="B783" s="44" t="str">
        <f>IFERROR(__xludf.DUMMYFUNCTION("""COMPUTED_VALUE"""),"Periférico de Catia")</f>
        <v>Periférico de Catia</v>
      </c>
      <c r="C783" s="45" t="str">
        <f>IFERROR(__xludf.DUMMYFUNCTION("""COMPUTED_VALUE"""),"CARRENO DANIELA")</f>
        <v>CARRENO DANIELA</v>
      </c>
      <c r="D783" s="44">
        <f>IFERROR(__xludf.DUMMYFUNCTION("""COMPUTED_VALUE"""),15.0)</f>
        <v>15</v>
      </c>
      <c r="E783" s="44" t="str">
        <f>IFERROR(__xludf.DUMMYFUNCTION("""COMPUTED_VALUE"""),"32525559")</f>
        <v>32525559</v>
      </c>
      <c r="F783" s="44" t="str">
        <f>IFERROR(__xludf.DUMMYFUNCTION("""COMPUTED_VALUE"""),"")</f>
        <v/>
      </c>
      <c r="G783" s="44" t="str">
        <f>IFERROR(__xludf.DUMMYFUNCTION("""COMPUTED_VALUE""")," ")</f>
        <v> </v>
      </c>
      <c r="H783" s="44" t="str">
        <f>IFERROR(__xludf.DUMMYFUNCTION("""COMPUTED_VALUE""")," ")</f>
        <v> </v>
      </c>
      <c r="I783" s="44" t="str">
        <f>IFERROR(__xludf.DUMMYFUNCTION("""COMPUTED_VALUE"""),"Cirugía/Trauma")</f>
        <v>Cirugía/Trauma</v>
      </c>
      <c r="J783" s="44" t="str">
        <f>IFERROR(__xludf.DUMMYFUNCTION("""COMPUTED_VALUE"""),"")</f>
        <v/>
      </c>
      <c r="K783" s="42" t="str">
        <f>IFERROR(__xludf.DUMMYFUNCTION("""COMPUTED_VALUE"""),"Periférico de Catia")</f>
        <v>Periférico de Catia</v>
      </c>
    </row>
    <row r="784">
      <c r="A784" s="44">
        <v>783.0</v>
      </c>
      <c r="B784" s="44" t="str">
        <f>IFERROR(__xludf.DUMMYFUNCTION("""COMPUTED_VALUE"""),"Periférico de Catia")</f>
        <v>Periférico de Catia</v>
      </c>
      <c r="C784" s="45" t="str">
        <f>IFERROR(__xludf.DUMMYFUNCTION("""COMPUTED_VALUE"""),"DANIELA CARREÑO")</f>
        <v>DANIELA CARREÑO</v>
      </c>
      <c r="D784" s="44">
        <f>IFERROR(__xludf.DUMMYFUNCTION("""COMPUTED_VALUE"""),15.0)</f>
        <v>15</v>
      </c>
      <c r="E784" s="44" t="str">
        <f>IFERROR(__xludf.DUMMYFUNCTION("""COMPUTED_VALUE"""),"325255590")</f>
        <v>325255590</v>
      </c>
      <c r="F784" s="44" t="str">
        <f>IFERROR(__xludf.DUMMYFUNCTION("""COMPUTED_VALUE"""),"")</f>
        <v/>
      </c>
      <c r="G784" s="44" t="str">
        <f>IFERROR(__xludf.DUMMYFUNCTION("""COMPUTED_VALUE""")," ")</f>
        <v> </v>
      </c>
      <c r="H784" s="44" t="str">
        <f>IFERROR(__xludf.DUMMYFUNCTION("""COMPUTED_VALUE"""),"Sin información")</f>
        <v>Sin información</v>
      </c>
      <c r="I784" s="44" t="str">
        <f>IFERROR(__xludf.DUMMYFUNCTION("""COMPUTED_VALUE"""),"Cirugía General")</f>
        <v>Cirugía General</v>
      </c>
      <c r="J784" s="44" t="str">
        <f>IFERROR(__xludf.DUMMYFUNCTION("""COMPUTED_VALUE"""),"")</f>
        <v/>
      </c>
      <c r="K784" s="42" t="str">
        <f>IFERROR(__xludf.DUMMYFUNCTION("""COMPUTED_VALUE"""),"Periférico de Catia")</f>
        <v>Periférico de Catia</v>
      </c>
    </row>
    <row r="785">
      <c r="A785" s="44">
        <v>784.0</v>
      </c>
      <c r="B785" s="44" t="str">
        <f>IFERROR(__xludf.DUMMYFUNCTION("""COMPUTED_VALUE"""),"Hospital Pérez Carreño")</f>
        <v>Hospital Pérez Carreño</v>
      </c>
      <c r="C785" s="45" t="str">
        <f>IFERROR(__xludf.DUMMYFUNCTION("""COMPUTED_VALUE"""),"GARCIA HEILIMAR")</f>
        <v>GARCIA HEILIMAR</v>
      </c>
      <c r="D785" s="44" t="str">
        <f>IFERROR(__xludf.DUMMYFUNCTION("""COMPUTED_VALUE""")," ")</f>
        <v> </v>
      </c>
      <c r="E785" s="44" t="str">
        <f>IFERROR(__xludf.DUMMYFUNCTION("""COMPUTED_VALUE"""),"32543420")</f>
        <v>32543420</v>
      </c>
      <c r="F785" s="44" t="str">
        <f>IFERROR(__xludf.DUMMYFUNCTION("""COMPUTED_VALUE"""),"")</f>
        <v/>
      </c>
      <c r="G785" s="44" t="str">
        <f>IFERROR(__xludf.DUMMYFUNCTION("""COMPUTED_VALUE""")," ")</f>
        <v> </v>
      </c>
      <c r="H785" s="44" t="str">
        <f>IFERROR(__xludf.DUMMYFUNCTION("""COMPUTED_VALUE""")," ")</f>
        <v> </v>
      </c>
      <c r="I785" s="44" t="str">
        <f>IFERROR(__xludf.DUMMYFUNCTION("""COMPUTED_VALUE""")," ")</f>
        <v> </v>
      </c>
      <c r="J785" s="44" t="str">
        <f>IFERROR(__xludf.DUMMYFUNCTION("""COMPUTED_VALUE"""),"25/06/2026")</f>
        <v>25/06/2026</v>
      </c>
      <c r="K785" s="42" t="str">
        <f>IFERROR(__xludf.DUMMYFUNCTION("""COMPUTED_VALUE"""),"Hospital Pérez Carreño")</f>
        <v>Hospital Pérez Carreño</v>
      </c>
    </row>
    <row r="786">
      <c r="A786" s="44">
        <v>785.0</v>
      </c>
      <c r="B786" s="44" t="str">
        <f>IFERROR(__xludf.DUMMYFUNCTION("""COMPUTED_VALUE"""),"Hospital Pérez Carreño")</f>
        <v>Hospital Pérez Carreño</v>
      </c>
      <c r="C786" s="45" t="str">
        <f>IFERROR(__xludf.DUMMYFUNCTION("""COMPUTED_VALUE"""),"GARCIA HEILIMAR")</f>
        <v>GARCIA HEILIMAR</v>
      </c>
      <c r="D786" s="44" t="str">
        <f>IFERROR(__xludf.DUMMYFUNCTION("""COMPUTED_VALUE""")," ")</f>
        <v> </v>
      </c>
      <c r="E786" s="44" t="str">
        <f>IFERROR(__xludf.DUMMYFUNCTION("""COMPUTED_VALUE"""),"325434200")</f>
        <v>325434200</v>
      </c>
      <c r="F786" s="44" t="str">
        <f>IFERROR(__xludf.DUMMYFUNCTION("""COMPUTED_VALUE"""),"")</f>
        <v/>
      </c>
      <c r="G786" s="44" t="str">
        <f>IFERROR(__xludf.DUMMYFUNCTION("""COMPUTED_VALUE""")," ")</f>
        <v> </v>
      </c>
      <c r="H786" s="44" t="str">
        <f>IFERROR(__xludf.DUMMYFUNCTION("""COMPUTED_VALUE""")," ")</f>
        <v> </v>
      </c>
      <c r="I786" s="44" t="str">
        <f>IFERROR(__xludf.DUMMYFUNCTION("""COMPUTED_VALUE""")," ")</f>
        <v> </v>
      </c>
      <c r="J786" s="44" t="str">
        <f>IFERROR(__xludf.DUMMYFUNCTION("""COMPUTED_VALUE"""),"25/06/2026")</f>
        <v>25/06/2026</v>
      </c>
      <c r="K786" s="42" t="str">
        <f>IFERROR(__xludf.DUMMYFUNCTION("""COMPUTED_VALUE"""),"Hospital Pérez Carreño")</f>
        <v>Hospital Pérez Carreño</v>
      </c>
    </row>
    <row r="787">
      <c r="A787" s="44">
        <v>786.0</v>
      </c>
      <c r="B787" s="44" t="str">
        <f>IFERROR(__xludf.DUMMYFUNCTION("""COMPUTED_VALUE"""),"Hospital Pérez Carreño")</f>
        <v>Hospital Pérez Carreño</v>
      </c>
      <c r="C787" s="45" t="str">
        <f>IFERROR(__xludf.DUMMYFUNCTION("""COMPUTED_VALUE"""),"CISDELIS QUINTERO")</f>
        <v>CISDELIS QUINTERO</v>
      </c>
      <c r="D787" s="44" t="str">
        <f>IFERROR(__xludf.DUMMYFUNCTION("""COMPUTED_VALUE"""),"Sin información")</f>
        <v>Sin información</v>
      </c>
      <c r="E787" s="44" t="str">
        <f>IFERROR(__xludf.DUMMYFUNCTION("""COMPUTED_VALUE"""),"3260572960")</f>
        <v>3260572960</v>
      </c>
      <c r="F787" s="44" t="str">
        <f>IFERROR(__xludf.DUMMYFUNCTION("""COMPUTED_VALUE"""),"")</f>
        <v/>
      </c>
      <c r="G787" s="44" t="str">
        <f>IFERROR(__xludf.DUMMYFUNCTION("""COMPUTED_VALUE""")," ")</f>
        <v> </v>
      </c>
      <c r="H787" s="44" t="str">
        <f>IFERROR(__xludf.DUMMYFUNCTION("""COMPUTED_VALUE"""),"Sin información")</f>
        <v>Sin información</v>
      </c>
      <c r="I787" s="44" t="str">
        <f>IFERROR(__xludf.DUMMYFUNCTION("""COMPUTED_VALUE"""),"Sin información")</f>
        <v>Sin información</v>
      </c>
      <c r="J787" s="44" t="str">
        <f>IFERROR(__xludf.DUMMYFUNCTION("""COMPUTED_VALUE"""),"25/06/2026")</f>
        <v>25/06/2026</v>
      </c>
      <c r="K787" s="42" t="str">
        <f>IFERROR(__xludf.DUMMYFUNCTION("""COMPUTED_VALUE"""),"Hospital Pérez Carreño")</f>
        <v>Hospital Pérez Carreño</v>
      </c>
    </row>
    <row r="788">
      <c r="A788" s="44">
        <v>787.0</v>
      </c>
      <c r="B788" s="44" t="str">
        <f>IFERROR(__xludf.DUMMYFUNCTION("""COMPUTED_VALUE"""),"Hospital Militar Dr. C. Arvelo")</f>
        <v>Hospital Militar Dr. C. Arvelo</v>
      </c>
      <c r="C788" s="45" t="str">
        <f>IFERROR(__xludf.DUMMYFUNCTION("""COMPUTED_VALUE"""),"Sergio Pérez")</f>
        <v>Sergio Pérez</v>
      </c>
      <c r="D788" s="44">
        <f>IFERROR(__xludf.DUMMYFUNCTION("""COMPUTED_VALUE"""),15.0)</f>
        <v>15</v>
      </c>
      <c r="E788" s="44" t="str">
        <f>IFERROR(__xludf.DUMMYFUNCTION("""COMPUTED_VALUE"""),"32635244")</f>
        <v>32635244</v>
      </c>
      <c r="F788" s="44" t="str">
        <f>IFERROR(__xludf.DUMMYFUNCTION("""COMPUTED_VALUE"""),"")</f>
        <v/>
      </c>
      <c r="G788" s="44" t="str">
        <f>IFERROR(__xludf.DUMMYFUNCTION("""COMPUTED_VALUE"""),"")</f>
        <v/>
      </c>
      <c r="H788" s="44" t="str">
        <f>IFERROR(__xludf.DUMMYFUNCTION("""COMPUTED_VALUE"""),"M")</f>
        <v>M</v>
      </c>
      <c r="I788" s="44" t="str">
        <f>IFERROR(__xludf.DUMMYFUNCTION("""COMPUTED_VALUE"""),"La Guaira PNA")</f>
        <v>La Guaira PNA</v>
      </c>
      <c r="J788" s="44" t="str">
        <f>IFERROR(__xludf.DUMMYFUNCTION("""COMPUTED_VALUE"""),"24/6/2026")</f>
        <v>24/6/2026</v>
      </c>
      <c r="K788" s="42" t="str">
        <f>IFERROR(__xludf.DUMMYFUNCTION("""COMPUTED_VALUE"""),"Hospital Militar Dr. C. Arvelo")</f>
        <v>Hospital Militar Dr. C. Arvelo</v>
      </c>
    </row>
    <row r="789">
      <c r="A789" s="44">
        <v>788.0</v>
      </c>
      <c r="B789" s="44" t="str">
        <f>IFERROR(__xludf.DUMMYFUNCTION("""COMPUTED_VALUE"""),"Hospital Pérez Carreño")</f>
        <v>Hospital Pérez Carreño</v>
      </c>
      <c r="C789" s="45" t="str">
        <f>IFERROR(__xludf.DUMMYFUNCTION("""COMPUTED_VALUE"""),"FIGUERA YEANGEL")</f>
        <v>FIGUERA YEANGEL</v>
      </c>
      <c r="D789" s="44" t="str">
        <f>IFERROR(__xludf.DUMMYFUNCTION("""COMPUTED_VALUE""")," ")</f>
        <v> </v>
      </c>
      <c r="E789" s="44" t="str">
        <f>IFERROR(__xludf.DUMMYFUNCTION("""COMPUTED_VALUE"""),"32654924")</f>
        <v>32654924</v>
      </c>
      <c r="F789" s="44" t="str">
        <f>IFERROR(__xludf.DUMMYFUNCTION("""COMPUTED_VALUE"""),"")</f>
        <v/>
      </c>
      <c r="G789" s="44" t="str">
        <f>IFERROR(__xludf.DUMMYFUNCTION("""COMPUTED_VALUE""")," ")</f>
        <v> </v>
      </c>
      <c r="H789" s="44" t="str">
        <f>IFERROR(__xludf.DUMMYFUNCTION("""COMPUTED_VALUE""")," ")</f>
        <v> </v>
      </c>
      <c r="I789" s="44" t="str">
        <f>IFERROR(__xludf.DUMMYFUNCTION("""COMPUTED_VALUE"""),"Nuevos Ingresos")</f>
        <v>Nuevos Ingresos</v>
      </c>
      <c r="J789" s="44" t="str">
        <f>IFERROR(__xludf.DUMMYFUNCTION("""COMPUTED_VALUE"""),"25/06/2026")</f>
        <v>25/06/2026</v>
      </c>
      <c r="K789" s="42" t="str">
        <f>IFERROR(__xludf.DUMMYFUNCTION("""COMPUTED_VALUE"""),"Hospital Pérez Carreño")</f>
        <v>Hospital Pérez Carreño</v>
      </c>
    </row>
    <row r="790">
      <c r="A790" s="44">
        <v>789.0</v>
      </c>
      <c r="B790" s="44" t="str">
        <f>IFERROR(__xludf.DUMMYFUNCTION("""COMPUTED_VALUE"""),"La Guaira Sin Hospital")</f>
        <v>La Guaira Sin Hospital</v>
      </c>
      <c r="C790" s="45" t="str">
        <f>IFERROR(__xludf.DUMMYFUNCTION("""COMPUTED_VALUE"""),"Quintero Crisdelis")</f>
        <v>Quintero Crisdelis</v>
      </c>
      <c r="D790" s="44" t="str">
        <f>IFERROR(__xludf.DUMMYFUNCTION("""COMPUTED_VALUE"""),"")</f>
        <v/>
      </c>
      <c r="E790" s="44" t="str">
        <f>IFERROR(__xludf.DUMMYFUNCTION("""COMPUTED_VALUE"""),"32662296")</f>
        <v>32662296</v>
      </c>
      <c r="F790" s="44" t="str">
        <f>IFERROR(__xludf.DUMMYFUNCTION("""COMPUTED_VALUE"""),"")</f>
        <v/>
      </c>
      <c r="G790" s="44" t="str">
        <f>IFERROR(__xludf.DUMMYFUNCTION("""COMPUTED_VALUE"""),"")</f>
        <v/>
      </c>
      <c r="H790" s="44"/>
      <c r="I790" s="44" t="str">
        <f>IFERROR(__xludf.DUMMYFUNCTION("""COMPUTED_VALUE"""),"Listas con cédula")</f>
        <v>Listas con cédula</v>
      </c>
      <c r="J790" s="44" t="str">
        <f>IFERROR(__xludf.DUMMYFUNCTION("""COMPUTED_VALUE"""),"")</f>
        <v/>
      </c>
      <c r="K790" s="42" t="str">
        <f>IFERROR(__xludf.DUMMYFUNCTION("""COMPUTED_VALUE"""),"La Guaira Sin Hospital")</f>
        <v>La Guaira Sin Hospital</v>
      </c>
    </row>
    <row r="791">
      <c r="A791" s="44">
        <v>790.0</v>
      </c>
      <c r="B791" s="44" t="str">
        <f>IFERROR(__xludf.DUMMYFUNCTION("""COMPUTED_VALUE"""),"Hospital Pérez Carreño")</f>
        <v>Hospital Pérez Carreño</v>
      </c>
      <c r="C791" s="45" t="str">
        <f>IFERROR(__xludf.DUMMYFUNCTION("""COMPUTED_VALUE"""),"ROSALINDA VIERA")</f>
        <v>ROSALINDA VIERA</v>
      </c>
      <c r="D791" s="44" t="str">
        <f>IFERROR(__xludf.DUMMYFUNCTION("""COMPUTED_VALUE"""),"Sin información")</f>
        <v>Sin información</v>
      </c>
      <c r="E791" s="44" t="str">
        <f>IFERROR(__xludf.DUMMYFUNCTION("""COMPUTED_VALUE"""),"32720830")</f>
        <v>32720830</v>
      </c>
      <c r="F791" s="44" t="str">
        <f>IFERROR(__xludf.DUMMYFUNCTION("""COMPUTED_VALUE"""),"")</f>
        <v/>
      </c>
      <c r="G791" s="44" t="str">
        <f>IFERROR(__xludf.DUMMYFUNCTION("""COMPUTED_VALUE""")," ")</f>
        <v> </v>
      </c>
      <c r="H791" s="44" t="str">
        <f>IFERROR(__xludf.DUMMYFUNCTION("""COMPUTED_VALUE"""),"Sin información")</f>
        <v>Sin información</v>
      </c>
      <c r="I791" s="44" t="str">
        <f>IFERROR(__xludf.DUMMYFUNCTION("""COMPUTED_VALUE"""),"Sin información")</f>
        <v>Sin información</v>
      </c>
      <c r="J791" s="44" t="str">
        <f>IFERROR(__xludf.DUMMYFUNCTION("""COMPUTED_VALUE"""),"25/06/2026")</f>
        <v>25/06/2026</v>
      </c>
      <c r="K791" s="42" t="str">
        <f>IFERROR(__xludf.DUMMYFUNCTION("""COMPUTED_VALUE"""),"Hospital Pérez Carreño")</f>
        <v>Hospital Pérez Carreño</v>
      </c>
    </row>
    <row r="792">
      <c r="A792" s="44">
        <v>791.0</v>
      </c>
      <c r="B792" s="44" t="str">
        <f>IFERROR(__xludf.DUMMYFUNCTION("""COMPUTED_VALUE"""),"Hospital Militar Dr. C. Arvelo")</f>
        <v>Hospital Militar Dr. C. Arvelo</v>
      </c>
      <c r="C792" s="45" t="str">
        <f>IFERROR(__xludf.DUMMYFUNCTION("""COMPUTED_VALUE"""),"Brito Alvarado Camila")</f>
        <v>Brito Alvarado Camila</v>
      </c>
      <c r="D792" s="44">
        <f>IFERROR(__xludf.DUMMYFUNCTION("""COMPUTED_VALUE"""),17.0)</f>
        <v>17</v>
      </c>
      <c r="E792" s="44" t="str">
        <f>IFERROR(__xludf.DUMMYFUNCTION("""COMPUTED_VALUE"""),"32730226")</f>
        <v>32730226</v>
      </c>
      <c r="F792" s="44" t="str">
        <f>IFERROR(__xludf.DUMMYFUNCTION("""COMPUTED_VALUE"""),"")</f>
        <v/>
      </c>
      <c r="G792" s="44" t="str">
        <f>IFERROR(__xludf.DUMMYFUNCTION("""COMPUTED_VALUE"""),"")</f>
        <v/>
      </c>
      <c r="H792" s="44" t="str">
        <f>IFERROR(__xludf.DUMMYFUNCTION("""COMPUTED_VALUE"""),"F")</f>
        <v>F</v>
      </c>
      <c r="I792" s="44" t="str">
        <f>IFERROR(__xludf.DUMMYFUNCTION("""COMPUTED_VALUE"""),"Macuto PNA")</f>
        <v>Macuto PNA</v>
      </c>
      <c r="J792" s="44" t="str">
        <f>IFERROR(__xludf.DUMMYFUNCTION("""COMPUTED_VALUE"""),"24/6/2026")</f>
        <v>24/6/2026</v>
      </c>
      <c r="K792" s="42" t="str">
        <f>IFERROR(__xludf.DUMMYFUNCTION("""COMPUTED_VALUE"""),"Hospital Militar Dr. C. Arvelo")</f>
        <v>Hospital Militar Dr. C. Arvelo</v>
      </c>
    </row>
    <row r="793">
      <c r="A793" s="44">
        <v>792.0</v>
      </c>
      <c r="B793" s="44" t="str">
        <f>IFERROR(__xludf.DUMMYFUNCTION("""COMPUTED_VALUE"""),"Hospital Pérez Carreño")</f>
        <v>Hospital Pérez Carreño</v>
      </c>
      <c r="C793" s="45" t="str">
        <f>IFERROR(__xludf.DUMMYFUNCTION("""COMPUTED_VALUE"""),"ELIANNI IDALGO")</f>
        <v>ELIANNI IDALGO</v>
      </c>
      <c r="D793" s="44" t="str">
        <f>IFERROR(__xludf.DUMMYFUNCTION("""COMPUTED_VALUE"""),"Sin información")</f>
        <v>Sin información</v>
      </c>
      <c r="E793" s="44" t="str">
        <f>IFERROR(__xludf.DUMMYFUNCTION("""COMPUTED_VALUE"""),"327462290")</f>
        <v>327462290</v>
      </c>
      <c r="F793" s="44" t="str">
        <f>IFERROR(__xludf.DUMMYFUNCTION("""COMPUTED_VALUE"""),"")</f>
        <v/>
      </c>
      <c r="G793" s="44" t="str">
        <f>IFERROR(__xludf.DUMMYFUNCTION("""COMPUTED_VALUE""")," ")</f>
        <v> </v>
      </c>
      <c r="H793" s="44" t="str">
        <f>IFERROR(__xludf.DUMMYFUNCTION("""COMPUTED_VALUE"""),"Sin información")</f>
        <v>Sin información</v>
      </c>
      <c r="I793" s="44" t="str">
        <f>IFERROR(__xludf.DUMMYFUNCTION("""COMPUTED_VALUE"""),"Sin información")</f>
        <v>Sin información</v>
      </c>
      <c r="J793" s="44" t="str">
        <f>IFERROR(__xludf.DUMMYFUNCTION("""COMPUTED_VALUE"""),"25/06/2026")</f>
        <v>25/06/2026</v>
      </c>
      <c r="K793" s="42" t="str">
        <f>IFERROR(__xludf.DUMMYFUNCTION("""COMPUTED_VALUE"""),"Hospital Pérez Carreño")</f>
        <v>Hospital Pérez Carreño</v>
      </c>
    </row>
    <row r="794">
      <c r="A794" s="44">
        <v>793.0</v>
      </c>
      <c r="B794" s="44" t="str">
        <f>IFERROR(__xludf.DUMMYFUNCTION("""COMPUTED_VALUE"""),"Hospital Domingo Luciani")</f>
        <v>Hospital Domingo Luciani</v>
      </c>
      <c r="C794" s="45" t="str">
        <f>IFERROR(__xludf.DUMMYFUNCTION("""COMPUTED_VALUE"""),"MARRERO NOHEMI")</f>
        <v>MARRERO NOHEMI</v>
      </c>
      <c r="D794" s="44">
        <f>IFERROR(__xludf.DUMMYFUNCTION("""COMPUTED_VALUE"""),20.0)</f>
        <v>20</v>
      </c>
      <c r="E794" s="44" t="str">
        <f>IFERROR(__xludf.DUMMYFUNCTION("""COMPUTED_VALUE"""),"32771433")</f>
        <v>32771433</v>
      </c>
      <c r="F794" s="44" t="str">
        <f>IFERROR(__xludf.DUMMYFUNCTION("""COMPUTED_VALUE"""),"")</f>
        <v/>
      </c>
      <c r="G794" s="44" t="str">
        <f>IFERROR(__xludf.DUMMYFUNCTION("""COMPUTED_VALUE""")," ")</f>
        <v> </v>
      </c>
      <c r="H794" s="44" t="str">
        <f>IFERROR(__xludf.DUMMYFUNCTION("""COMPUTED_VALUE""")," ")</f>
        <v> </v>
      </c>
      <c r="I794" s="44" t="str">
        <f>IFERROR(__xludf.DUMMYFUNCTION("""COMPUTED_VALUE"""),"Internado | Internado; POLITRAUMA EMERG VIEJA")</f>
        <v>Internado | Internado; POLITRAUMA EMERG VIEJA</v>
      </c>
      <c r="J794" s="44" t="str">
        <f>IFERROR(__xludf.DUMMYFUNCTION("""COMPUTED_VALUE"""),"")</f>
        <v/>
      </c>
      <c r="K794" s="42" t="str">
        <f>IFERROR(__xludf.DUMMYFUNCTION("""COMPUTED_VALUE"""),"🔍 BUSCAR PACIENTES")</f>
        <v>🔍 BUSCAR PACIENTES</v>
      </c>
    </row>
    <row r="795">
      <c r="A795" s="44">
        <v>794.0</v>
      </c>
      <c r="B795" s="44" t="str">
        <f>IFERROR(__xludf.DUMMYFUNCTION("""COMPUTED_VALUE"""),"Hospital Pérez Carreño")</f>
        <v>Hospital Pérez Carreño</v>
      </c>
      <c r="C795" s="45" t="str">
        <f>IFERROR(__xludf.DUMMYFUNCTION("""COMPUTED_VALUE"""),"BRIZUELA GABRIEL")</f>
        <v>BRIZUELA GABRIEL</v>
      </c>
      <c r="D795" s="44" t="str">
        <f>IFERROR(__xludf.DUMMYFUNCTION("""COMPUTED_VALUE""")," ")</f>
        <v> </v>
      </c>
      <c r="E795" s="44" t="str">
        <f>IFERROR(__xludf.DUMMYFUNCTION("""COMPUTED_VALUE"""),"32781459")</f>
        <v>32781459</v>
      </c>
      <c r="F795" s="44" t="str">
        <f>IFERROR(__xludf.DUMMYFUNCTION("""COMPUTED_VALUE"""),"")</f>
        <v/>
      </c>
      <c r="G795" s="44" t="str">
        <f>IFERROR(__xludf.DUMMYFUNCTION("""COMPUTED_VALUE""")," ")</f>
        <v> </v>
      </c>
      <c r="H795" s="44" t="str">
        <f>IFERROR(__xludf.DUMMYFUNCTION("""COMPUTED_VALUE""")," ")</f>
        <v> </v>
      </c>
      <c r="I795" s="44" t="str">
        <f>IFERROR(__xludf.DUMMYFUNCTION("""COMPUTED_VALUE""")," ")</f>
        <v> </v>
      </c>
      <c r="J795" s="44" t="str">
        <f>IFERROR(__xludf.DUMMYFUNCTION("""COMPUTED_VALUE"""),"25/06/2026")</f>
        <v>25/06/2026</v>
      </c>
      <c r="K795" s="42" t="str">
        <f>IFERROR(__xludf.DUMMYFUNCTION("""COMPUTED_VALUE"""),"Hospital Pérez Carreño")</f>
        <v>Hospital Pérez Carreño</v>
      </c>
    </row>
    <row r="796">
      <c r="A796" s="44">
        <v>795.0</v>
      </c>
      <c r="B796" s="44" t="str">
        <f>IFERROR(__xludf.DUMMYFUNCTION("""COMPUTED_VALUE"""),"Hospital Pérez Carreño")</f>
        <v>Hospital Pérez Carreño</v>
      </c>
      <c r="C796" s="45" t="str">
        <f>IFERROR(__xludf.DUMMYFUNCTION("""COMPUTED_VALUE"""),"GABRIEL BRIZUELA")</f>
        <v>GABRIEL BRIZUELA</v>
      </c>
      <c r="D796" s="44" t="str">
        <f>IFERROR(__xludf.DUMMYFUNCTION("""COMPUTED_VALUE""")," ")</f>
        <v> </v>
      </c>
      <c r="E796" s="44" t="str">
        <f>IFERROR(__xludf.DUMMYFUNCTION("""COMPUTED_VALUE"""),"327814590")</f>
        <v>327814590</v>
      </c>
      <c r="F796" s="44" t="str">
        <f>IFERROR(__xludf.DUMMYFUNCTION("""COMPUTED_VALUE"""),"")</f>
        <v/>
      </c>
      <c r="G796" s="44" t="str">
        <f>IFERROR(__xludf.DUMMYFUNCTION("""COMPUTED_VALUE""")," ")</f>
        <v> </v>
      </c>
      <c r="H796" s="44" t="str">
        <f>IFERROR(__xludf.DUMMYFUNCTION("""COMPUTED_VALUE""")," ")</f>
        <v> </v>
      </c>
      <c r="I796" s="44" t="str">
        <f>IFERROR(__xludf.DUMMYFUNCTION("""COMPUTED_VALUE""")," ")</f>
        <v> </v>
      </c>
      <c r="J796" s="44" t="str">
        <f>IFERROR(__xludf.DUMMYFUNCTION("""COMPUTED_VALUE"""),"25/06/2026")</f>
        <v>25/06/2026</v>
      </c>
      <c r="K796" s="42" t="str">
        <f>IFERROR(__xludf.DUMMYFUNCTION("""COMPUTED_VALUE"""),"Hospital Pérez Carreño")</f>
        <v>Hospital Pérez Carreño</v>
      </c>
    </row>
    <row r="797">
      <c r="A797" s="44">
        <v>796.0</v>
      </c>
      <c r="B797" s="44" t="str">
        <f>IFERROR(__xludf.DUMMYFUNCTION("""COMPUTED_VALUE"""),"Hospital Universitario de Carac")</f>
        <v>Hospital Universitario de Carac</v>
      </c>
      <c r="C797" s="45" t="str">
        <f>IFERROR(__xludf.DUMMYFUNCTION("""COMPUTED_VALUE"""),"CACERES PATRICIA")</f>
        <v>CACERES PATRICIA</v>
      </c>
      <c r="D797" s="44">
        <f>IFERROR(__xludf.DUMMYFUNCTION("""COMPUTED_VALUE"""),18.0)</f>
        <v>18</v>
      </c>
      <c r="E797" s="44" t="str">
        <f>IFERROR(__xludf.DUMMYFUNCTION("""COMPUTED_VALUE"""),"32790475")</f>
        <v>32790475</v>
      </c>
      <c r="F797" s="44" t="str">
        <f>IFERROR(__xludf.DUMMYFUNCTION("""COMPUTED_VALUE"""),"")</f>
        <v/>
      </c>
      <c r="G797" s="44" t="str">
        <f>IFERROR(__xludf.DUMMYFUNCTION("""COMPUTED_VALUE"""),"0424-1507138")</f>
        <v>0424-1507138</v>
      </c>
      <c r="H797" s="44" t="str">
        <f>IFERROR(__xludf.DUMMYFUNCTION("""COMPUTED_VALUE""")," ")</f>
        <v> </v>
      </c>
      <c r="I797" s="44" t="str">
        <f>IFERROR(__xludf.DUMMYFUNCTION("""COMPUTED_VALUE""")," ")</f>
        <v> </v>
      </c>
      <c r="J797" s="44" t="str">
        <f>IFERROR(__xludf.DUMMYFUNCTION("""COMPUTED_VALUE"""),"")</f>
        <v/>
      </c>
      <c r="K797" s="42" t="str">
        <f>IFERROR(__xludf.DUMMYFUNCTION("""COMPUTED_VALUE"""),"Hospital Universitario de Carac")</f>
        <v>Hospital Universitario de Carac</v>
      </c>
    </row>
    <row r="798">
      <c r="A798" s="44">
        <v>797.0</v>
      </c>
      <c r="B798" s="44" t="str">
        <f>IFERROR(__xludf.DUMMYFUNCTION("""COMPUTED_VALUE"""),"Hospital Universitario de Caracas")</f>
        <v>Hospital Universitario de Caracas</v>
      </c>
      <c r="C798" s="45" t="str">
        <f>IFERROR(__xludf.DUMMYFUNCTION("""COMPUTED_VALUE"""),"MORALES MARIA")</f>
        <v>MORALES MARIA</v>
      </c>
      <c r="D798" s="44">
        <f>IFERROR(__xludf.DUMMYFUNCTION("""COMPUTED_VALUE"""),18.0)</f>
        <v>18</v>
      </c>
      <c r="E798" s="44" t="str">
        <f>IFERROR(__xludf.DUMMYFUNCTION("""COMPUTED_VALUE"""),"32807709")</f>
        <v>32807709</v>
      </c>
      <c r="F798" s="44" t="str">
        <f>IFERROR(__xludf.DUMMYFUNCTION("""COMPUTED_VALUE"""),"")</f>
        <v/>
      </c>
      <c r="G798" s="44" t="str">
        <f>IFERROR(__xludf.DUMMYFUNCTION("""COMPUTED_VALUE""")," ")</f>
        <v> </v>
      </c>
      <c r="H798" s="44" t="str">
        <f>IFERROR(__xludf.DUMMYFUNCTION("""COMPUTED_VALUE""")," ")</f>
        <v> </v>
      </c>
      <c r="I798" s="44" t="str">
        <f>IFERROR(__xludf.DUMMYFUNCTION("""COMPUTED_VALUE"""),"⚠ FALLECIDA")</f>
        <v>⚠ FALLECIDA</v>
      </c>
      <c r="J798" s="44" t="str">
        <f>IFERROR(__xludf.DUMMYFUNCTION("""COMPUTED_VALUE"""),"")</f>
        <v/>
      </c>
      <c r="K798" s="42" t="str">
        <f>IFERROR(__xludf.DUMMYFUNCTION("""COMPUTED_VALUE"""),"🔍 BUSCAR PACIENTES")</f>
        <v>🔍 BUSCAR PACIENTES</v>
      </c>
    </row>
    <row r="799">
      <c r="A799" s="44">
        <v>798.0</v>
      </c>
      <c r="B799" s="44" t="str">
        <f>IFERROR(__xludf.DUMMYFUNCTION("""COMPUTED_VALUE"""),"Hospital Universitario de Carac")</f>
        <v>Hospital Universitario de Carac</v>
      </c>
      <c r="C799" s="45" t="str">
        <f>IFERROR(__xludf.DUMMYFUNCTION("""COMPUTED_VALUE"""),"MORALES MARISA")</f>
        <v>MORALES MARISA</v>
      </c>
      <c r="D799" s="44">
        <f>IFERROR(__xludf.DUMMYFUNCTION("""COMPUTED_VALUE"""),18.0)</f>
        <v>18</v>
      </c>
      <c r="E799" s="44" t="str">
        <f>IFERROR(__xludf.DUMMYFUNCTION("""COMPUTED_VALUE"""),"32809709")</f>
        <v>32809709</v>
      </c>
      <c r="F799" s="44" t="str">
        <f>IFERROR(__xludf.DUMMYFUNCTION("""COMPUTED_VALUE"""),"")</f>
        <v/>
      </c>
      <c r="G799" s="44" t="str">
        <f>IFERROR(__xludf.DUMMYFUNCTION("""COMPUTED_VALUE""")," ")</f>
        <v> </v>
      </c>
      <c r="H799" s="44" t="str">
        <f>IFERROR(__xludf.DUMMYFUNCTION("""COMPUTED_VALUE""")," ")</f>
        <v> </v>
      </c>
      <c r="I799" s="44" t="str">
        <f>IFERROR(__xludf.DUMMYFUNCTION("""COMPUTED_VALUE"""),"⚠ FALLECIDA")</f>
        <v>⚠ FALLECIDA</v>
      </c>
      <c r="J799" s="44" t="str">
        <f>IFERROR(__xludf.DUMMYFUNCTION("""COMPUTED_VALUE"""),"")</f>
        <v/>
      </c>
      <c r="K799" s="42" t="str">
        <f>IFERROR(__xludf.DUMMYFUNCTION("""COMPUTED_VALUE"""),"Hospital Universitario de Carac")</f>
        <v>Hospital Universitario de Carac</v>
      </c>
    </row>
    <row r="800">
      <c r="A800" s="44">
        <v>799.0</v>
      </c>
      <c r="B800" s="44" t="str">
        <f>IFERROR(__xludf.DUMMYFUNCTION("""COMPUTED_VALUE"""),"Hospital Pérez Carreño")</f>
        <v>Hospital Pérez Carreño</v>
      </c>
      <c r="C800" s="45" t="str">
        <f>IFERROR(__xludf.DUMMYFUNCTION("""COMPUTED_VALUE"""),"Crisdeilis Quintero")</f>
        <v>Crisdeilis Quintero</v>
      </c>
      <c r="D800" s="44"/>
      <c r="E800" s="44" t="str">
        <f>IFERROR(__xludf.DUMMYFUNCTION("""COMPUTED_VALUE"""),"32865296")</f>
        <v>32865296</v>
      </c>
      <c r="F800" s="44" t="str">
        <f>IFERROR(__xludf.DUMMYFUNCTION("""COMPUTED_VALUE"""),"")</f>
        <v/>
      </c>
      <c r="G800" s="44" t="str">
        <f>IFERROR(__xludf.DUMMYFUNCTION("""COMPUTED_VALUE"""),"Listado de nombres")</f>
        <v>Listado de nombres</v>
      </c>
      <c r="H800" s="44" t="str">
        <f>IFERROR(__xludf.DUMMYFUNCTION("""COMPUTED_VALUE"""),"Hospital Miguel Perez Carreño")</f>
        <v>Hospital Miguel Perez Carreño</v>
      </c>
      <c r="I800" s="44"/>
      <c r="J800" s="44" t="str">
        <f>IFERROR(__xludf.DUMMYFUNCTION("""COMPUTED_VALUE"""),"26/6/26")</f>
        <v>26/6/26</v>
      </c>
      <c r="K800" s="42" t="str">
        <f>IFERROR(__xludf.DUMMYFUNCTION("""COMPUTED_VALUE"""),"Hospital Pérez Carreño")</f>
        <v>Hospital Pérez Carreño</v>
      </c>
    </row>
    <row r="801">
      <c r="A801" s="44">
        <v>800.0</v>
      </c>
      <c r="B801" s="44" t="str">
        <f>IFERROR(__xludf.DUMMYFUNCTION("""COMPUTED_VALUE"""),"Hospital Pérez Carreño")</f>
        <v>Hospital Pérez Carreño</v>
      </c>
      <c r="C801" s="45" t="str">
        <f>IFERROR(__xludf.DUMMYFUNCTION("""COMPUTED_VALUE"""),"QUINTERO CRISDEILIS")</f>
        <v>QUINTERO CRISDEILIS</v>
      </c>
      <c r="D801" s="44" t="str">
        <f>IFERROR(__xludf.DUMMYFUNCTION("""COMPUTED_VALUE"""),"Sin información")</f>
        <v>Sin información</v>
      </c>
      <c r="E801" s="44" t="str">
        <f>IFERROR(__xludf.DUMMYFUNCTION("""COMPUTED_VALUE"""),"328652960")</f>
        <v>328652960</v>
      </c>
      <c r="F801" s="44" t="str">
        <f>IFERROR(__xludf.DUMMYFUNCTION("""COMPUTED_VALUE"""),"")</f>
        <v/>
      </c>
      <c r="G801" s="44" t="str">
        <f>IFERROR(__xludf.DUMMYFUNCTION("""COMPUTED_VALUE""")," ")</f>
        <v> </v>
      </c>
      <c r="H801" s="44" t="str">
        <f>IFERROR(__xludf.DUMMYFUNCTION("""COMPUTED_VALUE"""),"Sin información")</f>
        <v>Sin información</v>
      </c>
      <c r="I801" s="44" t="str">
        <f>IFERROR(__xludf.DUMMYFUNCTION("""COMPUTED_VALUE"""),"Sin información |  ")</f>
        <v>Sin información |  </v>
      </c>
      <c r="J801" s="44" t="str">
        <f>IFERROR(__xludf.DUMMYFUNCTION("""COMPUTED_VALUE"""),"25/06/2026")</f>
        <v>25/06/2026</v>
      </c>
      <c r="K801" s="42" t="str">
        <f>IFERROR(__xludf.DUMMYFUNCTION("""COMPUTED_VALUE"""),"Hospital Pérez Carreño")</f>
        <v>Hospital Pérez Carreño</v>
      </c>
    </row>
    <row r="802">
      <c r="A802" s="44">
        <v>801.0</v>
      </c>
      <c r="B802" s="44" t="str">
        <f>IFERROR(__xludf.DUMMYFUNCTION("""COMPUTED_VALUE"""),"Hospital Pérez Carreño")</f>
        <v>Hospital Pérez Carreño</v>
      </c>
      <c r="C802" s="45" t="str">
        <f>IFERROR(__xludf.DUMMYFUNCTION("""COMPUTED_VALUE"""),"HERNDZO CRUSEL")</f>
        <v>HERNDZO CRUSEL</v>
      </c>
      <c r="D802" s="44" t="str">
        <f>IFERROR(__xludf.DUMMYFUNCTION("""COMPUTED_VALUE""")," ")</f>
        <v> </v>
      </c>
      <c r="E802" s="44" t="str">
        <f>IFERROR(__xludf.DUMMYFUNCTION("""COMPUTED_VALUE"""),"32866722")</f>
        <v>32866722</v>
      </c>
      <c r="F802" s="44" t="str">
        <f>IFERROR(__xludf.DUMMYFUNCTION("""COMPUTED_VALUE"""),"")</f>
        <v/>
      </c>
      <c r="G802" s="44" t="str">
        <f>IFERROR(__xludf.DUMMYFUNCTION("""COMPUTED_VALUE""")," ")</f>
        <v> </v>
      </c>
      <c r="H802" s="44" t="str">
        <f>IFERROR(__xludf.DUMMYFUNCTION("""COMPUTED_VALUE""")," ")</f>
        <v> </v>
      </c>
      <c r="I802" s="44" t="str">
        <f>IFERROR(__xludf.DUMMYFUNCTION("""COMPUTED_VALUE"""),"Internado")</f>
        <v>Internado</v>
      </c>
      <c r="J802" s="44" t="str">
        <f>IFERROR(__xludf.DUMMYFUNCTION("""COMPUTED_VALUE"""),"25/06/2026")</f>
        <v>25/06/2026</v>
      </c>
      <c r="K802" s="42" t="str">
        <f>IFERROR(__xludf.DUMMYFUNCTION("""COMPUTED_VALUE"""),"Hospital Pérez Carreño")</f>
        <v>Hospital Pérez Carreño</v>
      </c>
    </row>
    <row r="803">
      <c r="A803" s="44">
        <v>802.0</v>
      </c>
      <c r="B803" s="44" t="str">
        <f>IFERROR(__xludf.DUMMYFUNCTION("""COMPUTED_VALUE"""),"HOSPITAL VARGAS")</f>
        <v>HOSPITAL VARGAS</v>
      </c>
      <c r="C803" s="45" t="str">
        <f>IFERROR(__xludf.DUMMYFUNCTION("""COMPUTED_VALUE"""),"Cristofer Gil")</f>
        <v>Cristofer Gil</v>
      </c>
      <c r="D803" s="44"/>
      <c r="E803" s="44" t="str">
        <f>IFERROR(__xludf.DUMMYFUNCTION("""COMPUTED_VALUE"""),"32919200")</f>
        <v>32919200</v>
      </c>
      <c r="F803" s="44" t="str">
        <f>IFERROR(__xludf.DUMMYFUNCTION("""COMPUTED_VALUE"""),"")</f>
        <v/>
      </c>
      <c r="G803" s="44" t="str">
        <f>IFERROR(__xludf.DUMMYFUNCTION("""COMPUTED_VALUE"""),"")</f>
        <v/>
      </c>
      <c r="H803" s="44" t="str">
        <f>IFERROR(__xludf.DUMMYFUNCTION("""COMPUTED_VALUE"""),"")</f>
        <v/>
      </c>
      <c r="I803" s="44" t="str">
        <f>IFERROR(__xludf.DUMMYFUNCTION("""COMPUTED_VALUE"""),"Herido / atendido")</f>
        <v>Herido / atendido</v>
      </c>
      <c r="J803" s="44" t="str">
        <f>IFERROR(__xludf.DUMMYFUNCTION("""COMPUTED_VALUE"""),"24.06.2026 ")</f>
        <v>24.06.2026 </v>
      </c>
      <c r="K803" s="42" t="str">
        <f>IFERROR(__xludf.DUMMYFUNCTION("""COMPUTED_VALUE"""),"HOSPITAL VARGAS")</f>
        <v>HOSPITAL VARGAS</v>
      </c>
    </row>
    <row r="804">
      <c r="A804" s="44">
        <v>803.0</v>
      </c>
      <c r="B804" s="44" t="str">
        <f>IFERROR(__xludf.DUMMYFUNCTION("""COMPUTED_VALUE"""),"Hospital Vargas de Caracas")</f>
        <v>Hospital Vargas de Caracas</v>
      </c>
      <c r="C804" s="45" t="str">
        <f>IFERROR(__xludf.DUMMYFUNCTION("""COMPUTED_VALUE"""),"GIL CRISTOPER")</f>
        <v>GIL CRISTOPER</v>
      </c>
      <c r="D804" s="44" t="str">
        <f>IFERROR(__xludf.DUMMYFUNCTION("""COMPUTED_VALUE""")," ")</f>
        <v> </v>
      </c>
      <c r="E804" s="44" t="str">
        <f>IFERROR(__xludf.DUMMYFUNCTION("""COMPUTED_VALUE"""),"32919700")</f>
        <v>32919700</v>
      </c>
      <c r="F804" s="44" t="str">
        <f>IFERROR(__xludf.DUMMYFUNCTION("""COMPUTED_VALUE""")," ")</f>
        <v> </v>
      </c>
      <c r="G804" s="44" t="str">
        <f>IFERROR(__xludf.DUMMYFUNCTION("""COMPUTED_VALUE"""),"")</f>
        <v/>
      </c>
      <c r="H804" s="44" t="str">
        <f>IFERROR(__xludf.DUMMYFUNCTION("""COMPUTED_VALUE"""),"Guaira")</f>
        <v>Guaira</v>
      </c>
      <c r="I804" s="44" t="str">
        <f>IFERROR(__xludf.DUMMYFUNCTION("""COMPUTED_VALUE""")," ")</f>
        <v> </v>
      </c>
      <c r="J804" s="44" t="str">
        <f>IFERROR(__xludf.DUMMYFUNCTION("""COMPUTED_VALUE"""),"")</f>
        <v/>
      </c>
      <c r="K804" s="42" t="str">
        <f>IFERROR(__xludf.DUMMYFUNCTION("""COMPUTED_VALUE"""),"Hospital Vargas de Caracas")</f>
        <v>Hospital Vargas de Caracas</v>
      </c>
    </row>
    <row r="805">
      <c r="A805" s="44">
        <v>804.0</v>
      </c>
      <c r="B805" s="44" t="str">
        <f>IFERROR(__xludf.DUMMYFUNCTION("""COMPUTED_VALUE"""),"Hospital Vargas de Caracas")</f>
        <v>Hospital Vargas de Caracas</v>
      </c>
      <c r="C805" s="45" t="str">
        <f>IFERROR(__xludf.DUMMYFUNCTION("""COMPUTED_VALUE"""),"GIL CRISTOFER")</f>
        <v>GIL CRISTOFER</v>
      </c>
      <c r="D805" s="44" t="str">
        <f>IFERROR(__xludf.DUMMYFUNCTION("""COMPUTED_VALUE""")," ")</f>
        <v> </v>
      </c>
      <c r="E805" s="44" t="str">
        <f>IFERROR(__xludf.DUMMYFUNCTION("""COMPUTED_VALUE"""),"329197000")</f>
        <v>329197000</v>
      </c>
      <c r="F805" s="44" t="str">
        <f>IFERROR(__xludf.DUMMYFUNCTION("""COMPUTED_VALUE""")," ")</f>
        <v> </v>
      </c>
      <c r="G805" s="44" t="str">
        <f>IFERROR(__xludf.DUMMYFUNCTION("""COMPUTED_VALUE"""),"")</f>
        <v/>
      </c>
      <c r="H805" s="44" t="str">
        <f>IFERROR(__xludf.DUMMYFUNCTION("""COMPUTED_VALUE""")," ")</f>
        <v> </v>
      </c>
      <c r="I805" s="44" t="str">
        <f>IFERROR(__xludf.DUMMYFUNCTION("""COMPUTED_VALUE""")," ")</f>
        <v> </v>
      </c>
      <c r="J805" s="44" t="str">
        <f>IFERROR(__xludf.DUMMYFUNCTION("""COMPUTED_VALUE"""),"")</f>
        <v/>
      </c>
      <c r="K805" s="42" t="str">
        <f>IFERROR(__xludf.DUMMYFUNCTION("""COMPUTED_VALUE"""),"Hospital Vargas de Caracas")</f>
        <v>Hospital Vargas de Caracas</v>
      </c>
    </row>
    <row r="806">
      <c r="A806" s="44">
        <v>805.0</v>
      </c>
      <c r="B806" s="44" t="str">
        <f>IFERROR(__xludf.DUMMYFUNCTION("""COMPUTED_VALUE"""),"Hospital Militar Dr. C. Arvelo")</f>
        <v>Hospital Militar Dr. C. Arvelo</v>
      </c>
      <c r="C806" s="45" t="str">
        <f>IFERROR(__xludf.DUMMYFUNCTION("""COMPUTED_VALUE"""),"Hamer Moríes Álvarez")</f>
        <v>Hamer Moríes Álvarez</v>
      </c>
      <c r="D806" s="44">
        <f>IFERROR(__xludf.DUMMYFUNCTION("""COMPUTED_VALUE"""),16.0)</f>
        <v>16</v>
      </c>
      <c r="E806" s="44" t="str">
        <f>IFERROR(__xludf.DUMMYFUNCTION("""COMPUTED_VALUE"""),"32922380")</f>
        <v>32922380</v>
      </c>
      <c r="F806" s="44" t="str">
        <f>IFERROR(__xludf.DUMMYFUNCTION("""COMPUTED_VALUE"""),"")</f>
        <v/>
      </c>
      <c r="G806" s="44" t="str">
        <f>IFERROR(__xludf.DUMMYFUNCTION("""COMPUTED_VALUE"""),"")</f>
        <v/>
      </c>
      <c r="H806" s="44" t="str">
        <f>IFERROR(__xludf.DUMMYFUNCTION("""COMPUTED_VALUE"""),"M")</f>
        <v>M</v>
      </c>
      <c r="I806" s="44" t="str">
        <f>IFERROR(__xludf.DUMMYFUNCTION("""COMPUTED_VALUE"""),"La Guaira PNA")</f>
        <v>La Guaira PNA</v>
      </c>
      <c r="J806" s="44" t="str">
        <f>IFERROR(__xludf.DUMMYFUNCTION("""COMPUTED_VALUE"""),"24/6/2026")</f>
        <v>24/6/2026</v>
      </c>
      <c r="K806" s="42" t="str">
        <f>IFERROR(__xludf.DUMMYFUNCTION("""COMPUTED_VALUE"""),"Hospital Militar Dr. C. Arvelo")</f>
        <v>Hospital Militar Dr. C. Arvelo</v>
      </c>
    </row>
    <row r="807">
      <c r="A807" s="44">
        <v>806.0</v>
      </c>
      <c r="B807" s="44" t="str">
        <f>IFERROR(__xludf.DUMMYFUNCTION("""COMPUTED_VALUE"""),"Hospital Ana Francisca Pérez de")</f>
        <v>Hospital Ana Francisca Pérez de</v>
      </c>
      <c r="C807" s="45" t="str">
        <f>IFERROR(__xludf.DUMMYFUNCTION("""COMPUTED_VALUE"""),"ERICK CERDINO")</f>
        <v>ERICK CERDINO</v>
      </c>
      <c r="D807" s="44">
        <f>IFERROR(__xludf.DUMMYFUNCTION("""COMPUTED_VALUE"""),14.0)</f>
        <v>14</v>
      </c>
      <c r="E807" s="44" t="str">
        <f>IFERROR(__xludf.DUMMYFUNCTION("""COMPUTED_VALUE"""),"329437860")</f>
        <v>329437860</v>
      </c>
      <c r="F807" s="44" t="str">
        <f>IFERROR(__xludf.DUMMYFUNCTION("""COMPUTED_VALUE"""),"")</f>
        <v/>
      </c>
      <c r="G807" s="44" t="str">
        <f>IFERROR(__xludf.DUMMYFUNCTION("""COMPUTED_VALUE""")," ")</f>
        <v> </v>
      </c>
      <c r="H807" s="44" t="str">
        <f>IFERROR(__xludf.DUMMYFUNCTION("""COMPUTED_VALUE"""),"La Guaira")</f>
        <v>La Guaira</v>
      </c>
      <c r="I807" s="44" t="str">
        <f>IFERROR(__xludf.DUMMYFUNCTION("""COMPUTED_VALUE""")," ")</f>
        <v> </v>
      </c>
      <c r="J807" s="44" t="str">
        <f>IFERROR(__xludf.DUMMYFUNCTION("""COMPUTED_VALUE"""),"")</f>
        <v/>
      </c>
      <c r="K807" s="42" t="str">
        <f>IFERROR(__xludf.DUMMYFUNCTION("""COMPUTED_VALUE"""),"🔍 BUSCAR PACIENTES")</f>
        <v>🔍 BUSCAR PACIENTES</v>
      </c>
    </row>
    <row r="808">
      <c r="A808" s="44">
        <v>807.0</v>
      </c>
      <c r="B808" s="44" t="str">
        <f>IFERROR(__xludf.DUMMYFUNCTION("""COMPUTED_VALUE"""),"Periférico de Catia")</f>
        <v>Periférico de Catia</v>
      </c>
      <c r="C808" s="45" t="str">
        <f>IFERROR(__xludf.DUMMYFUNCTION("""COMPUTED_VALUE"""),"LUISANGELY ZAPATA")</f>
        <v>LUISANGELY ZAPATA</v>
      </c>
      <c r="D808" s="44">
        <f>IFERROR(__xludf.DUMMYFUNCTION("""COMPUTED_VALUE"""),22.0)</f>
        <v>22</v>
      </c>
      <c r="E808" s="44" t="str">
        <f>IFERROR(__xludf.DUMMYFUNCTION("""COMPUTED_VALUE"""),"329722370")</f>
        <v>329722370</v>
      </c>
      <c r="F808" s="44" t="str">
        <f>IFERROR(__xludf.DUMMYFUNCTION("""COMPUTED_VALUE"""),"")</f>
        <v/>
      </c>
      <c r="G808" s="44" t="str">
        <f>IFERROR(__xludf.DUMMYFUNCTION("""COMPUTED_VALUE""")," ")</f>
        <v> </v>
      </c>
      <c r="H808" s="44" t="str">
        <f>IFERROR(__xludf.DUMMYFUNCTION("""COMPUTED_VALUE""")," ")</f>
        <v> </v>
      </c>
      <c r="I808" s="44" t="str">
        <f>IFERROR(__xludf.DUMMYFUNCTION("""COMPUTED_VALUE"""),"Esposa | Cirugía General")</f>
        <v>Esposa | Cirugía General</v>
      </c>
      <c r="J808" s="44" t="str">
        <f>IFERROR(__xludf.DUMMYFUNCTION("""COMPUTED_VALUE"""),"")</f>
        <v/>
      </c>
      <c r="K808" s="42" t="str">
        <f>IFERROR(__xludf.DUMMYFUNCTION("""COMPUTED_VALUE"""),"Periférico de Catia")</f>
        <v>Periférico de Catia</v>
      </c>
    </row>
    <row r="809">
      <c r="A809" s="44">
        <v>808.0</v>
      </c>
      <c r="B809" s="44" t="str">
        <f>IFERROR(__xludf.DUMMYFUNCTION("""COMPUTED_VALUE"""),"Hospital Pérez Carreño")</f>
        <v>Hospital Pérez Carreño</v>
      </c>
      <c r="C809" s="45" t="str">
        <f>IFERROR(__xludf.DUMMYFUNCTION("""COMPUTED_VALUE"""),"HIDALGO ELIANNI")</f>
        <v>HIDALGO ELIANNI</v>
      </c>
      <c r="D809" s="44" t="str">
        <f>IFERROR(__xludf.DUMMYFUNCTION("""COMPUTED_VALUE""")," ")</f>
        <v> </v>
      </c>
      <c r="E809" s="44" t="str">
        <f>IFERROR(__xludf.DUMMYFUNCTION("""COMPUTED_VALUE"""),"32976229")</f>
        <v>32976229</v>
      </c>
      <c r="F809" s="44" t="str">
        <f>IFERROR(__xludf.DUMMYFUNCTION("""COMPUTED_VALUE"""),"")</f>
        <v/>
      </c>
      <c r="G809" s="44" t="str">
        <f>IFERROR(__xludf.DUMMYFUNCTION("""COMPUTED_VALUE""")," ")</f>
        <v> </v>
      </c>
      <c r="H809" s="44" t="str">
        <f>IFERROR(__xludf.DUMMYFUNCTION("""COMPUTED_VALUE""")," ")</f>
        <v> </v>
      </c>
      <c r="I809" s="44" t="str">
        <f>IFERROR(__xludf.DUMMYFUNCTION("""COMPUTED_VALUE""")," ")</f>
        <v> </v>
      </c>
      <c r="J809" s="44" t="str">
        <f>IFERROR(__xludf.DUMMYFUNCTION("""COMPUTED_VALUE"""),"25/06/2026")</f>
        <v>25/06/2026</v>
      </c>
      <c r="K809" s="42" t="str">
        <f>IFERROR(__xludf.DUMMYFUNCTION("""COMPUTED_VALUE"""),"Hospital Pérez Carreño")</f>
        <v>Hospital Pérez Carreño</v>
      </c>
    </row>
    <row r="810">
      <c r="A810" s="44">
        <v>809.0</v>
      </c>
      <c r="B810" s="44" t="str">
        <f>IFERROR(__xludf.DUMMYFUNCTION("""COMPUTED_VALUE"""),"Hospital Pérez Carreño")</f>
        <v>Hospital Pérez Carreño</v>
      </c>
      <c r="C810" s="45" t="str">
        <f>IFERROR(__xludf.DUMMYFUNCTION("""COMPUTED_VALUE"""),"ELIANNI IDALGO")</f>
        <v>ELIANNI IDALGO</v>
      </c>
      <c r="D810" s="44" t="str">
        <f>IFERROR(__xludf.DUMMYFUNCTION("""COMPUTED_VALUE""")," ")</f>
        <v> </v>
      </c>
      <c r="E810" s="44" t="str">
        <f>IFERROR(__xludf.DUMMYFUNCTION("""COMPUTED_VALUE"""),"329762290")</f>
        <v>329762290</v>
      </c>
      <c r="F810" s="44" t="str">
        <f>IFERROR(__xludf.DUMMYFUNCTION("""COMPUTED_VALUE"""),"")</f>
        <v/>
      </c>
      <c r="G810" s="44" t="str">
        <f>IFERROR(__xludf.DUMMYFUNCTION("""COMPUTED_VALUE""")," ")</f>
        <v> </v>
      </c>
      <c r="H810" s="44" t="str">
        <f>IFERROR(__xludf.DUMMYFUNCTION("""COMPUTED_VALUE""")," ")</f>
        <v> </v>
      </c>
      <c r="I810" s="44" t="str">
        <f>IFERROR(__xludf.DUMMYFUNCTION("""COMPUTED_VALUE""")," ")</f>
        <v> </v>
      </c>
      <c r="J810" s="44" t="str">
        <f>IFERROR(__xludf.DUMMYFUNCTION("""COMPUTED_VALUE"""),"25/06/2026")</f>
        <v>25/06/2026</v>
      </c>
      <c r="K810" s="42" t="str">
        <f>IFERROR(__xludf.DUMMYFUNCTION("""COMPUTED_VALUE"""),"Hospital Pérez Carreño")</f>
        <v>Hospital Pérez Carreño</v>
      </c>
    </row>
    <row r="811">
      <c r="A811" s="44">
        <v>810.0</v>
      </c>
      <c r="B811" s="44" t="str">
        <f>IFERROR(__xludf.DUMMYFUNCTION("""COMPUTED_VALUE"""),"Hospital Militar Dr. C. Arvelo")</f>
        <v>Hospital Militar Dr. C. Arvelo</v>
      </c>
      <c r="C811" s="45" t="str">
        <f>IFERROR(__xludf.DUMMYFUNCTION("""COMPUTED_VALUE"""),"Marcano González Mara")</f>
        <v>Marcano González Mara</v>
      </c>
      <c r="D811" s="44">
        <f>IFERROR(__xludf.DUMMYFUNCTION("""COMPUTED_VALUE"""),16.0)</f>
        <v>16</v>
      </c>
      <c r="E811" s="44" t="str">
        <f>IFERROR(__xludf.DUMMYFUNCTION("""COMPUTED_VALUE"""),"33010536")</f>
        <v>33010536</v>
      </c>
      <c r="F811" s="44" t="str">
        <f>IFERROR(__xludf.DUMMYFUNCTION("""COMPUTED_VALUE"""),"")</f>
        <v/>
      </c>
      <c r="G811" s="44" t="str">
        <f>IFERROR(__xludf.DUMMYFUNCTION("""COMPUTED_VALUE"""),"")</f>
        <v/>
      </c>
      <c r="H811" s="44" t="str">
        <f>IFERROR(__xludf.DUMMYFUNCTION("""COMPUTED_VALUE"""),"F")</f>
        <v>F</v>
      </c>
      <c r="I811" s="44" t="str">
        <f>IFERROR(__xludf.DUMMYFUNCTION("""COMPUTED_VALUE"""),"La Guaira PNA")</f>
        <v>La Guaira PNA</v>
      </c>
      <c r="J811" s="44" t="str">
        <f>IFERROR(__xludf.DUMMYFUNCTION("""COMPUTED_VALUE"""),"24/6/2026")</f>
        <v>24/6/2026</v>
      </c>
      <c r="K811" s="42" t="str">
        <f>IFERROR(__xludf.DUMMYFUNCTION("""COMPUTED_VALUE"""),"Hospital Militar Dr. C. Arvelo")</f>
        <v>Hospital Militar Dr. C. Arvelo</v>
      </c>
    </row>
    <row r="812">
      <c r="A812" s="44">
        <v>811.0</v>
      </c>
      <c r="B812" s="44" t="str">
        <f>IFERROR(__xludf.DUMMYFUNCTION("""COMPUTED_VALUE"""),"Hospital Pérez Carreño")</f>
        <v>Hospital Pérez Carreño</v>
      </c>
      <c r="C812" s="45" t="str">
        <f>IFERROR(__xludf.DUMMYFUNCTION("""COMPUTED_VALUE"""),"PEROZA SAMUEL")</f>
        <v>PEROZA SAMUEL</v>
      </c>
      <c r="D812" s="44" t="str">
        <f>IFERROR(__xludf.DUMMYFUNCTION("""COMPUTED_VALUE""")," ")</f>
        <v> </v>
      </c>
      <c r="E812" s="44" t="str">
        <f>IFERROR(__xludf.DUMMYFUNCTION("""COMPUTED_VALUE"""),"33020891")</f>
        <v>33020891</v>
      </c>
      <c r="F812" s="44" t="str">
        <f>IFERROR(__xludf.DUMMYFUNCTION("""COMPUTED_VALUE"""),"")</f>
        <v/>
      </c>
      <c r="G812" s="44" t="str">
        <f>IFERROR(__xludf.DUMMYFUNCTION("""COMPUTED_VALUE""")," ")</f>
        <v> </v>
      </c>
      <c r="H812" s="44" t="str">
        <f>IFERROR(__xludf.DUMMYFUNCTION("""COMPUTED_VALUE""")," ")</f>
        <v> </v>
      </c>
      <c r="I812" s="44" t="str">
        <f>IFERROR(__xludf.DUMMYFUNCTION("""COMPUTED_VALUE""")," ")</f>
        <v> </v>
      </c>
      <c r="J812" s="44" t="str">
        <f>IFERROR(__xludf.DUMMYFUNCTION("""COMPUTED_VALUE"""),"25/06/2026")</f>
        <v>25/06/2026</v>
      </c>
      <c r="K812" s="42" t="str">
        <f>IFERROR(__xludf.DUMMYFUNCTION("""COMPUTED_VALUE"""),"Hospital Pérez Carreño")</f>
        <v>Hospital Pérez Carreño</v>
      </c>
    </row>
    <row r="813">
      <c r="A813" s="44">
        <v>812.0</v>
      </c>
      <c r="B813" s="44" t="str">
        <f>IFERROR(__xludf.DUMMYFUNCTION("""COMPUTED_VALUE"""),"Hospital Pérez Carreño")</f>
        <v>Hospital Pérez Carreño</v>
      </c>
      <c r="C813" s="45" t="str">
        <f>IFERROR(__xludf.DUMMYFUNCTION("""COMPUTED_VALUE"""),"SAMUEL PEROZA")</f>
        <v>SAMUEL PEROZA</v>
      </c>
      <c r="D813" s="44" t="str">
        <f>IFERROR(__xludf.DUMMYFUNCTION("""COMPUTED_VALUE""")," ")</f>
        <v> </v>
      </c>
      <c r="E813" s="44" t="str">
        <f>IFERROR(__xludf.DUMMYFUNCTION("""COMPUTED_VALUE"""),"330208910")</f>
        <v>330208910</v>
      </c>
      <c r="F813" s="44" t="str">
        <f>IFERROR(__xludf.DUMMYFUNCTION("""COMPUTED_VALUE"""),"")</f>
        <v/>
      </c>
      <c r="G813" s="44" t="str">
        <f>IFERROR(__xludf.DUMMYFUNCTION("""COMPUTED_VALUE""")," ")</f>
        <v> </v>
      </c>
      <c r="H813" s="44" t="str">
        <f>IFERROR(__xludf.DUMMYFUNCTION("""COMPUTED_VALUE""")," ")</f>
        <v> </v>
      </c>
      <c r="I813" s="44" t="str">
        <f>IFERROR(__xludf.DUMMYFUNCTION("""COMPUTED_VALUE""")," ")</f>
        <v> </v>
      </c>
      <c r="J813" s="44" t="str">
        <f>IFERROR(__xludf.DUMMYFUNCTION("""COMPUTED_VALUE"""),"25/06/2026")</f>
        <v>25/06/2026</v>
      </c>
      <c r="K813" s="42" t="str">
        <f>IFERROR(__xludf.DUMMYFUNCTION("""COMPUTED_VALUE"""),"Hospital Pérez Carreño")</f>
        <v>Hospital Pérez Carreño</v>
      </c>
    </row>
    <row r="814">
      <c r="A814" s="44">
        <v>813.0</v>
      </c>
      <c r="B814" s="44" t="str">
        <f>IFERROR(__xludf.DUMMYFUNCTION("""COMPUTED_VALUE"""),"Hospital Militar Dr. C. Arvelo")</f>
        <v>Hospital Militar Dr. C. Arvelo</v>
      </c>
      <c r="C814" s="45" t="str">
        <f>IFERROR(__xludf.DUMMYFUNCTION("""COMPUTED_VALUE"""),"Gómez Crispulo")</f>
        <v>Gómez Crispulo</v>
      </c>
      <c r="D814" s="44">
        <f>IFERROR(__xludf.DUMMYFUNCTION("""COMPUTED_VALUE"""),20.0)</f>
        <v>20</v>
      </c>
      <c r="E814" s="44" t="str">
        <f>IFERROR(__xludf.DUMMYFUNCTION("""COMPUTED_VALUE"""),"33025749")</f>
        <v>33025749</v>
      </c>
      <c r="F814" s="44" t="str">
        <f>IFERROR(__xludf.DUMMYFUNCTION("""COMPUTED_VALUE"""),"")</f>
        <v/>
      </c>
      <c r="G814" s="44" t="str">
        <f>IFERROR(__xludf.DUMMYFUNCTION("""COMPUTED_VALUE"""),"")</f>
        <v/>
      </c>
      <c r="H814" s="44" t="str">
        <f>IFERROR(__xludf.DUMMYFUNCTION("""COMPUTED_VALUE"""),"M")</f>
        <v>M</v>
      </c>
      <c r="I814" s="44" t="str">
        <f>IFERROR(__xludf.DUMMYFUNCTION("""COMPUTED_VALUE"""),"Guarataro AFILIADO")</f>
        <v>Guarataro AFILIADO</v>
      </c>
      <c r="J814" s="44" t="str">
        <f>IFERROR(__xludf.DUMMYFUNCTION("""COMPUTED_VALUE"""),"24/6/2026")</f>
        <v>24/6/2026</v>
      </c>
      <c r="K814" s="42" t="str">
        <f>IFERROR(__xludf.DUMMYFUNCTION("""COMPUTED_VALUE"""),"Hospital Militar Dr. C. Arvelo")</f>
        <v>Hospital Militar Dr. C. Arvelo</v>
      </c>
    </row>
    <row r="815">
      <c r="A815" s="44">
        <v>814.0</v>
      </c>
      <c r="B815" s="44" t="str">
        <f>IFERROR(__xludf.DUMMYFUNCTION("""COMPUTED_VALUE"""),"Hospital Dr. José Gregorio Hern")</f>
        <v>Hospital Dr. José Gregorio Hern</v>
      </c>
      <c r="C815" s="45" t="str">
        <f>IFERROR(__xludf.DUMMYFUNCTION("""COMPUTED_VALUE"""),"ESCORA TULIO")</f>
        <v>ESCORA TULIO</v>
      </c>
      <c r="D815" s="44">
        <f>IFERROR(__xludf.DUMMYFUNCTION("""COMPUTED_VALUE"""),17.0)</f>
        <v>17</v>
      </c>
      <c r="E815" s="44" t="str">
        <f>IFERROR(__xludf.DUMMYFUNCTION("""COMPUTED_VALUE"""),"33037605")</f>
        <v>33037605</v>
      </c>
      <c r="F815" s="44" t="str">
        <f>IFERROR(__xludf.DUMMYFUNCTION("""COMPUTED_VALUE"""),"")</f>
        <v/>
      </c>
      <c r="G815" s="44" t="str">
        <f>IFERROR(__xludf.DUMMYFUNCTION("""COMPUTED_VALUE""")," ")</f>
        <v> </v>
      </c>
      <c r="H815" s="44" t="str">
        <f>IFERROR(__xludf.DUMMYFUNCTION("""COMPUTED_VALUE""")," ")</f>
        <v> </v>
      </c>
      <c r="I815" s="44" t="str">
        <f>IFERROR(__xludf.DUMMYFUNCTION("""COMPUTED_VALUE"""),"Internado")</f>
        <v>Internado</v>
      </c>
      <c r="J815" s="44" t="str">
        <f>IFERROR(__xludf.DUMMYFUNCTION("""COMPUTED_VALUE"""),"")</f>
        <v/>
      </c>
      <c r="K815" s="42" t="str">
        <f>IFERROR(__xludf.DUMMYFUNCTION("""COMPUTED_VALUE"""),"Hospital Dr. José Gregorio Hern")</f>
        <v>Hospital Dr. José Gregorio Hern</v>
      </c>
    </row>
    <row r="816">
      <c r="A816" s="44">
        <v>815.0</v>
      </c>
      <c r="B816" s="44" t="str">
        <f>IFERROR(__xludf.DUMMYFUNCTION("""COMPUTED_VALUE"""),"Hospital Militar Dr. C. Arvelo")</f>
        <v>Hospital Militar Dr. C. Arvelo</v>
      </c>
      <c r="C816" s="45" t="str">
        <f>IFERROR(__xludf.DUMMYFUNCTION("""COMPUTED_VALUE"""),"Suares Tomasa")</f>
        <v>Suares Tomasa</v>
      </c>
      <c r="D816" s="44">
        <f>IFERROR(__xludf.DUMMYFUNCTION("""COMPUTED_VALUE"""),16.0)</f>
        <v>16</v>
      </c>
      <c r="E816" s="44" t="str">
        <f>IFERROR(__xludf.DUMMYFUNCTION("""COMPUTED_VALUE"""),"33067691")</f>
        <v>33067691</v>
      </c>
      <c r="F816" s="44" t="str">
        <f>IFERROR(__xludf.DUMMYFUNCTION("""COMPUTED_VALUE"""),"")</f>
        <v/>
      </c>
      <c r="G816" s="44" t="str">
        <f>IFERROR(__xludf.DUMMYFUNCTION("""COMPUTED_VALUE"""),"")</f>
        <v/>
      </c>
      <c r="H816" s="44" t="str">
        <f>IFERROR(__xludf.DUMMYFUNCTION("""COMPUTED_VALUE"""),"F")</f>
        <v>F</v>
      </c>
      <c r="I816" s="44" t="str">
        <f>IFERROR(__xludf.DUMMYFUNCTION("""COMPUTED_VALUE"""),"La Guaira AFILIADO")</f>
        <v>La Guaira AFILIADO</v>
      </c>
      <c r="J816" s="44" t="str">
        <f>IFERROR(__xludf.DUMMYFUNCTION("""COMPUTED_VALUE"""),"24/6/2026")</f>
        <v>24/6/2026</v>
      </c>
      <c r="K816" s="42" t="str">
        <f>IFERROR(__xludf.DUMMYFUNCTION("""COMPUTED_VALUE"""),"Hospital Militar Dr. C. Arvelo")</f>
        <v>Hospital Militar Dr. C. Arvelo</v>
      </c>
    </row>
    <row r="817">
      <c r="A817" s="44">
        <v>816.0</v>
      </c>
      <c r="B817" s="44" t="str">
        <f>IFERROR(__xludf.DUMMYFUNCTION("""COMPUTED_VALUE"""),"H. Jose Maria Vargas LG")</f>
        <v>H. Jose Maria Vargas LG</v>
      </c>
      <c r="C817" s="45" t="str">
        <f>IFERROR(__xludf.DUMMYFUNCTION("""COMPUTED_VALUE"""),"JESSEN ESTEFFANY")</f>
        <v>JESSEN ESTEFFANY</v>
      </c>
      <c r="D817" s="44" t="str">
        <f>IFERROR(__xludf.DUMMYFUNCTION("""COMPUTED_VALUE""")," ")</f>
        <v> </v>
      </c>
      <c r="E817" s="44" t="str">
        <f>IFERROR(__xludf.DUMMYFUNCTION("""COMPUTED_VALUE"""),"33106940")</f>
        <v>33106940</v>
      </c>
      <c r="F817" s="44" t="str">
        <f>IFERROR(__xludf.DUMMYFUNCTION("""COMPUTED_VALUE"""),"")</f>
        <v/>
      </c>
      <c r="G817" s="44" t="str">
        <f>IFERROR(__xludf.DUMMYFUNCTION("""COMPUTED_VALUE""")," ")</f>
        <v> </v>
      </c>
      <c r="H817" s="44" t="str">
        <f>IFERROR(__xludf.DUMMYFUNCTION("""COMPUTED_VALUE"""),"Caribe")</f>
        <v>Caribe</v>
      </c>
      <c r="I817" s="44" t="str">
        <f>IFERROR(__xludf.DUMMYFUNCTION("""COMPUTED_VALUE""")," ")</f>
        <v> </v>
      </c>
      <c r="J817" s="44" t="str">
        <f>IFERROR(__xludf.DUMMYFUNCTION("""COMPUTED_VALUE"""),"")</f>
        <v/>
      </c>
      <c r="K817" s="42" t="str">
        <f>IFERROR(__xludf.DUMMYFUNCTION("""COMPUTED_VALUE"""),"H. Jose Maria Vargas LG")</f>
        <v>H. Jose Maria Vargas LG</v>
      </c>
    </row>
    <row r="818">
      <c r="A818" s="44">
        <v>817.0</v>
      </c>
      <c r="B818" s="44" t="str">
        <f>IFERROR(__xludf.DUMMYFUNCTION("""COMPUTED_VALUE"""),"Hospital Vargas de Caracas")</f>
        <v>Hospital Vargas de Caracas</v>
      </c>
      <c r="C818" s="45" t="str">
        <f>IFERROR(__xludf.DUMMYFUNCTION("""COMPUTED_VALUE"""),"GARCIA ANDREA")</f>
        <v>GARCIA ANDREA</v>
      </c>
      <c r="D818" s="44" t="str">
        <f>IFERROR(__xludf.DUMMYFUNCTION("""COMPUTED_VALUE""")," ")</f>
        <v> </v>
      </c>
      <c r="E818" s="44" t="str">
        <f>IFERROR(__xludf.DUMMYFUNCTION("""COMPUTED_VALUE"""),"33140119")</f>
        <v>33140119</v>
      </c>
      <c r="F818" s="44" t="str">
        <f>IFERROR(__xludf.DUMMYFUNCTION("""COMPUTED_VALUE""")," ")</f>
        <v> </v>
      </c>
      <c r="G818" s="44" t="str">
        <f>IFERROR(__xludf.DUMMYFUNCTION("""COMPUTED_VALUE"""),"")</f>
        <v/>
      </c>
      <c r="H818" s="44" t="str">
        <f>IFERROR(__xludf.DUMMYFUNCTION("""COMPUTED_VALUE""")," ")</f>
        <v> </v>
      </c>
      <c r="I818" s="44" t="str">
        <f>IFERROR(__xludf.DUMMYFUNCTION("""COMPUTED_VALUE""")," ")</f>
        <v> </v>
      </c>
      <c r="J818" s="44" t="str">
        <f>IFERROR(__xludf.DUMMYFUNCTION("""COMPUTED_VALUE"""),"")</f>
        <v/>
      </c>
      <c r="K818" s="42" t="str">
        <f>IFERROR(__xludf.DUMMYFUNCTION("""COMPUTED_VALUE"""),"Hospital Vargas de Caracas")</f>
        <v>Hospital Vargas de Caracas</v>
      </c>
    </row>
    <row r="819">
      <c r="A819" s="44">
        <v>818.0</v>
      </c>
      <c r="B819" s="44" t="str">
        <f>IFERROR(__xludf.DUMMYFUNCTION("""COMPUTED_VALUE"""),"H. Jose Maria Vargas LG")</f>
        <v>H. Jose Maria Vargas LG</v>
      </c>
      <c r="C819" s="45" t="str">
        <f>IFERROR(__xludf.DUMMYFUNCTION("""COMPUTED_VALUE"""),"GOMEZ TOMAS")</f>
        <v>GOMEZ TOMAS</v>
      </c>
      <c r="D819" s="44" t="str">
        <f>IFERROR(__xludf.DUMMYFUNCTION("""COMPUTED_VALUE""")," ")</f>
        <v> </v>
      </c>
      <c r="E819" s="44" t="str">
        <f>IFERROR(__xludf.DUMMYFUNCTION("""COMPUTED_VALUE"""),"33218202")</f>
        <v>33218202</v>
      </c>
      <c r="F819" s="44" t="str">
        <f>IFERROR(__xludf.DUMMYFUNCTION("""COMPUTED_VALUE"""),"")</f>
        <v/>
      </c>
      <c r="G819" s="44" t="str">
        <f>IFERROR(__xludf.DUMMYFUNCTION("""COMPUTED_VALUE""")," ")</f>
        <v> </v>
      </c>
      <c r="H819" s="44" t="str">
        <f>IFERROR(__xludf.DUMMYFUNCTION("""COMPUTED_VALUE"""),"Caribe")</f>
        <v>Caribe</v>
      </c>
      <c r="I819" s="44" t="str">
        <f>IFERROR(__xludf.DUMMYFUNCTION("""COMPUTED_VALUE""")," ")</f>
        <v> </v>
      </c>
      <c r="J819" s="44" t="str">
        <f>IFERROR(__xludf.DUMMYFUNCTION("""COMPUTED_VALUE"""),"")</f>
        <v/>
      </c>
      <c r="K819" s="42" t="str">
        <f>IFERROR(__xludf.DUMMYFUNCTION("""COMPUTED_VALUE"""),"H. Jose Maria Vargas LG")</f>
        <v>H. Jose Maria Vargas LG</v>
      </c>
    </row>
    <row r="820">
      <c r="A820" s="44">
        <v>819.0</v>
      </c>
      <c r="B820" s="44" t="str">
        <f>IFERROR(__xludf.DUMMYFUNCTION("""COMPUTED_VALUE"""),"Seguro Social La Guaira")</f>
        <v>Seguro Social La Guaira</v>
      </c>
      <c r="C820" s="45" t="str">
        <f>IFERROR(__xludf.DUMMYFUNCTION("""COMPUTED_VALUE"""),"TOMAS GOMEZ")</f>
        <v>TOMAS GOMEZ</v>
      </c>
      <c r="D820" s="44" t="str">
        <f>IFERROR(__xludf.DUMMYFUNCTION("""COMPUTED_VALUE""")," ")</f>
        <v> </v>
      </c>
      <c r="E820" s="44" t="str">
        <f>IFERROR(__xludf.DUMMYFUNCTION("""COMPUTED_VALUE"""),"332182120")</f>
        <v>332182120</v>
      </c>
      <c r="F820" s="44" t="str">
        <f>IFERROR(__xludf.DUMMYFUNCTION("""COMPUTED_VALUE"""),"")</f>
        <v/>
      </c>
      <c r="G820" s="44" t="str">
        <f>IFERROR(__xludf.DUMMYFUNCTION("""COMPUTED_VALUE""")," ")</f>
        <v> </v>
      </c>
      <c r="H820" s="44" t="str">
        <f>IFERROR(__xludf.DUMMYFUNCTION("""COMPUTED_VALUE"""),"Caribe / Bahia del Mar")</f>
        <v>Caribe / Bahia del Mar</v>
      </c>
      <c r="I820" s="44" t="str">
        <f>IFERROR(__xludf.DUMMYFUNCTION("""COMPUTED_VALUE""")," ")</f>
        <v> </v>
      </c>
      <c r="J820" s="44" t="str">
        <f>IFERROR(__xludf.DUMMYFUNCTION("""COMPUTED_VALUE"""),"")</f>
        <v/>
      </c>
      <c r="K820" s="42" t="str">
        <f>IFERROR(__xludf.DUMMYFUNCTION("""COMPUTED_VALUE"""),"Seguro Social La Guaira")</f>
        <v>Seguro Social La Guaira</v>
      </c>
    </row>
    <row r="821">
      <c r="A821" s="44">
        <v>820.0</v>
      </c>
      <c r="B821" s="44" t="str">
        <f>IFERROR(__xludf.DUMMYFUNCTION("""COMPUTED_VALUE"""),"H. Jose Maria Vargas LG")</f>
        <v>H. Jose Maria Vargas LG</v>
      </c>
      <c r="C821" s="45" t="str">
        <f>IFERROR(__xludf.DUMMYFUNCTION("""COMPUTED_VALUE"""),"PICCARDO CAMILA")</f>
        <v>PICCARDO CAMILA</v>
      </c>
      <c r="D821" s="44">
        <f>IFERROR(__xludf.DUMMYFUNCTION("""COMPUTED_VALUE"""),16.0)</f>
        <v>16</v>
      </c>
      <c r="E821" s="44" t="str">
        <f>IFERROR(__xludf.DUMMYFUNCTION("""COMPUTED_VALUE"""),"33218403")</f>
        <v>33218403</v>
      </c>
      <c r="F821" s="44" t="str">
        <f>IFERROR(__xludf.DUMMYFUNCTION("""COMPUTED_VALUE"""),"")</f>
        <v/>
      </c>
      <c r="G821" s="44" t="str">
        <f>IFERROR(__xludf.DUMMYFUNCTION("""COMPUTED_VALUE""")," ")</f>
        <v> </v>
      </c>
      <c r="H821" s="44" t="str">
        <f>IFERROR(__xludf.DUMMYFUNCTION("""COMPUTED_VALUE"""),"Caribe")</f>
        <v>Caribe</v>
      </c>
      <c r="I821" s="44" t="str">
        <f>IFERROR(__xludf.DUMMYFUNCTION("""COMPUTED_VALUE""")," ")</f>
        <v> </v>
      </c>
      <c r="J821" s="44" t="str">
        <f>IFERROR(__xludf.DUMMYFUNCTION("""COMPUTED_VALUE"""),"")</f>
        <v/>
      </c>
      <c r="K821" s="42" t="str">
        <f>IFERROR(__xludf.DUMMYFUNCTION("""COMPUTED_VALUE"""),"H. Jose Maria Vargas LG")</f>
        <v>H. Jose Maria Vargas LG</v>
      </c>
    </row>
    <row r="822">
      <c r="A822" s="44">
        <v>821.0</v>
      </c>
      <c r="B822" s="44" t="str">
        <f>IFERROR(__xludf.DUMMYFUNCTION("""COMPUTED_VALUE"""),"Hospital Militar Dr. C. Arvelo")</f>
        <v>Hospital Militar Dr. C. Arvelo</v>
      </c>
      <c r="C822" s="45" t="str">
        <f>IFERROR(__xludf.DUMMYFUNCTION("""COMPUTED_VALUE"""),"Pérez Infantes")</f>
        <v>Pérez Infantes</v>
      </c>
      <c r="D822" s="44">
        <f>IFERROR(__xludf.DUMMYFUNCTION("""COMPUTED_VALUE"""),18.0)</f>
        <v>18</v>
      </c>
      <c r="E822" s="44" t="str">
        <f>IFERROR(__xludf.DUMMYFUNCTION("""COMPUTED_VALUE"""),"33218435")</f>
        <v>33218435</v>
      </c>
      <c r="F822" s="44" t="str">
        <f>IFERROR(__xludf.DUMMYFUNCTION("""COMPUTED_VALUE"""),"")</f>
        <v/>
      </c>
      <c r="G822" s="44" t="str">
        <f>IFERROR(__xludf.DUMMYFUNCTION("""COMPUTED_VALUE"""),"")</f>
        <v/>
      </c>
      <c r="H822" s="44" t="str">
        <f>IFERROR(__xludf.DUMMYFUNCTION("""COMPUTED_VALUE"""),"F")</f>
        <v>F</v>
      </c>
      <c r="I822" s="44" t="str">
        <f>IFERROR(__xludf.DUMMYFUNCTION("""COMPUTED_VALUE"""),"La Guaira PNA")</f>
        <v>La Guaira PNA</v>
      </c>
      <c r="J822" s="44" t="str">
        <f>IFERROR(__xludf.DUMMYFUNCTION("""COMPUTED_VALUE"""),"24/6/2026")</f>
        <v>24/6/2026</v>
      </c>
      <c r="K822" s="42" t="str">
        <f>IFERROR(__xludf.DUMMYFUNCTION("""COMPUTED_VALUE"""),"Hospital Militar Dr. C. Arvelo")</f>
        <v>Hospital Militar Dr. C. Arvelo</v>
      </c>
    </row>
    <row r="823">
      <c r="A823" s="44">
        <v>822.0</v>
      </c>
      <c r="B823" s="44" t="str">
        <f>IFERROR(__xludf.DUMMYFUNCTION("""COMPUTED_VALUE"""),"Hospital Universitario de Carac")</f>
        <v>Hospital Universitario de Carac</v>
      </c>
      <c r="C823" s="45" t="str">
        <f>IFERROR(__xludf.DUMMYFUNCTION("""COMPUTED_VALUE"""),"LOPEZ FRANCISCA")</f>
        <v>LOPEZ FRANCISCA</v>
      </c>
      <c r="D823" s="44">
        <f>IFERROR(__xludf.DUMMYFUNCTION("""COMPUTED_VALUE"""),16.0)</f>
        <v>16</v>
      </c>
      <c r="E823" s="44" t="str">
        <f>IFERROR(__xludf.DUMMYFUNCTION("""COMPUTED_VALUE"""),"33230043")</f>
        <v>33230043</v>
      </c>
      <c r="F823" s="44" t="str">
        <f>IFERROR(__xludf.DUMMYFUNCTION("""COMPUTED_VALUE"""),"")</f>
        <v/>
      </c>
      <c r="G823" s="44" t="str">
        <f>IFERROR(__xludf.DUMMYFUNCTION("""COMPUTED_VALUE"""),"0424-2414874")</f>
        <v>0424-2414874</v>
      </c>
      <c r="H823" s="44" t="str">
        <f>IFERROR(__xludf.DUMMYFUNCTION("""COMPUTED_VALUE""")," ")</f>
        <v> </v>
      </c>
      <c r="I823" s="44" t="str">
        <f>IFERROR(__xludf.DUMMYFUNCTION("""COMPUTED_VALUE""")," ")</f>
        <v> </v>
      </c>
      <c r="J823" s="44" t="str">
        <f>IFERROR(__xludf.DUMMYFUNCTION("""COMPUTED_VALUE"""),"")</f>
        <v/>
      </c>
      <c r="K823" s="42" t="str">
        <f>IFERROR(__xludf.DUMMYFUNCTION("""COMPUTED_VALUE"""),"Hospital Universitario de Carac")</f>
        <v>Hospital Universitario de Carac</v>
      </c>
    </row>
    <row r="824">
      <c r="A824" s="44">
        <v>823.0</v>
      </c>
      <c r="B824" s="44" t="str">
        <f>IFERROR(__xludf.DUMMYFUNCTION("""COMPUTED_VALUE"""),"Hospital Pérez Carreño")</f>
        <v>Hospital Pérez Carreño</v>
      </c>
      <c r="C824" s="45" t="str">
        <f>IFERROR(__xludf.DUMMYFUNCTION("""COMPUTED_VALUE"""),"CARRIZO VIVANA")</f>
        <v>CARRIZO VIVANA</v>
      </c>
      <c r="D824" s="44" t="str">
        <f>IFERROR(__xludf.DUMMYFUNCTION("""COMPUTED_VALUE""")," ")</f>
        <v> </v>
      </c>
      <c r="E824" s="44" t="str">
        <f>IFERROR(__xludf.DUMMYFUNCTION("""COMPUTED_VALUE"""),"33232603")</f>
        <v>33232603</v>
      </c>
      <c r="F824" s="44" t="str">
        <f>IFERROR(__xludf.DUMMYFUNCTION("""COMPUTED_VALUE"""),"")</f>
        <v/>
      </c>
      <c r="G824" s="44" t="str">
        <f>IFERROR(__xludf.DUMMYFUNCTION("""COMPUTED_VALUE""")," ")</f>
        <v> </v>
      </c>
      <c r="H824" s="44" t="str">
        <f>IFERROR(__xludf.DUMMYFUNCTION("""COMPUTED_VALUE""")," ")</f>
        <v> </v>
      </c>
      <c r="I824" s="44" t="str">
        <f>IFERROR(__xludf.DUMMYFUNCTION("""COMPUTED_VALUE""")," ")</f>
        <v> </v>
      </c>
      <c r="J824" s="44" t="str">
        <f>IFERROR(__xludf.DUMMYFUNCTION("""COMPUTED_VALUE"""),"25/06/2026")</f>
        <v>25/06/2026</v>
      </c>
      <c r="K824" s="42" t="str">
        <f>IFERROR(__xludf.DUMMYFUNCTION("""COMPUTED_VALUE"""),"Hospital Pérez Carreño")</f>
        <v>Hospital Pérez Carreño</v>
      </c>
    </row>
    <row r="825">
      <c r="A825" s="44">
        <v>824.0</v>
      </c>
      <c r="B825" s="44" t="str">
        <f>IFERROR(__xludf.DUMMYFUNCTION("""COMPUTED_VALUE"""),"Hospital Ana Francisca Pérez de")</f>
        <v>Hospital Ana Francisca Pérez de</v>
      </c>
      <c r="C825" s="45" t="str">
        <f>IFERROR(__xludf.DUMMYFUNCTION("""COMPUTED_VALUE"""),"CORNIZO NUVIANA")</f>
        <v>CORNIZO NUVIANA</v>
      </c>
      <c r="D825" s="44">
        <f>IFERROR(__xludf.DUMMYFUNCTION("""COMPUTED_VALUE"""),16.0)</f>
        <v>16</v>
      </c>
      <c r="E825" s="44" t="str">
        <f>IFERROR(__xludf.DUMMYFUNCTION("""COMPUTED_VALUE"""),"33232686")</f>
        <v>33232686</v>
      </c>
      <c r="F825" s="44" t="str">
        <f>IFERROR(__xludf.DUMMYFUNCTION("""COMPUTED_VALUE"""),"")</f>
        <v/>
      </c>
      <c r="G825" s="44" t="str">
        <f>IFERROR(__xludf.DUMMYFUNCTION("""COMPUTED_VALUE""")," ")</f>
        <v> </v>
      </c>
      <c r="H825" s="44" t="str">
        <f>IFERROR(__xludf.DUMMYFUNCTION("""COMPUTED_VALUE"""),"Playa Grande / Monte Bono")</f>
        <v>Playa Grande / Monte Bono</v>
      </c>
      <c r="I825" s="44" t="str">
        <f>IFERROR(__xludf.DUMMYFUNCTION("""COMPUTED_VALUE""")," ")</f>
        <v> </v>
      </c>
      <c r="J825" s="44" t="str">
        <f>IFERROR(__xludf.DUMMYFUNCTION("""COMPUTED_VALUE"""),"")</f>
        <v/>
      </c>
      <c r="K825" s="42" t="str">
        <f>IFERROR(__xludf.DUMMYFUNCTION("""COMPUTED_VALUE"""),"Hospital Ana Francisca Pérez de")</f>
        <v>Hospital Ana Francisca Pérez de</v>
      </c>
    </row>
    <row r="826">
      <c r="A826" s="44">
        <v>825.0</v>
      </c>
      <c r="B826" s="44" t="str">
        <f>IFERROR(__xludf.DUMMYFUNCTION("""COMPUTED_VALUE"""),"Hospital Ana Francisca Pérez de")</f>
        <v>Hospital Ana Francisca Pérez de</v>
      </c>
      <c r="C826" s="45" t="str">
        <f>IFERROR(__xludf.DUMMYFUNCTION("""COMPUTED_VALUE"""),"VIVIANA CARRIZO")</f>
        <v>VIVIANA CARRIZO</v>
      </c>
      <c r="D826" s="44">
        <f>IFERROR(__xludf.DUMMYFUNCTION("""COMPUTED_VALUE"""),16.0)</f>
        <v>16</v>
      </c>
      <c r="E826" s="44" t="str">
        <f>IFERROR(__xludf.DUMMYFUNCTION("""COMPUTED_VALUE"""),"332326860")</f>
        <v>332326860</v>
      </c>
      <c r="F826" s="44" t="str">
        <f>IFERROR(__xludf.DUMMYFUNCTION("""COMPUTED_VALUE"""),"")</f>
        <v/>
      </c>
      <c r="G826" s="44" t="str">
        <f>IFERROR(__xludf.DUMMYFUNCTION("""COMPUTED_VALUE""")," ")</f>
        <v> </v>
      </c>
      <c r="H826" s="44" t="str">
        <f>IFERROR(__xludf.DUMMYFUNCTION("""COMPUTED_VALUE"""),"Playa Grande")</f>
        <v>Playa Grande</v>
      </c>
      <c r="I826" s="44" t="str">
        <f>IFERROR(__xludf.DUMMYFUNCTION("""COMPUTED_VALUE""")," ")</f>
        <v> </v>
      </c>
      <c r="J826" s="44" t="str">
        <f>IFERROR(__xludf.DUMMYFUNCTION("""COMPUTED_VALUE"""),"")</f>
        <v/>
      </c>
      <c r="K826" s="42" t="str">
        <f>IFERROR(__xludf.DUMMYFUNCTION("""COMPUTED_VALUE"""),"🔍 BUSCAR PACIENTES")</f>
        <v>🔍 BUSCAR PACIENTES</v>
      </c>
    </row>
    <row r="827">
      <c r="A827" s="44">
        <v>826.0</v>
      </c>
      <c r="B827" s="44" t="str">
        <f>IFERROR(__xludf.DUMMYFUNCTION("""COMPUTED_VALUE"""),"Hospital Dr. José Gregorio Hern")</f>
        <v>Hospital Dr. José Gregorio Hern</v>
      </c>
      <c r="C827" s="45" t="str">
        <f>IFERROR(__xludf.DUMMYFUNCTION("""COMPUTED_VALUE"""),"DUISON MARIA")</f>
        <v>DUISON MARIA</v>
      </c>
      <c r="D827" s="44">
        <f>IFERROR(__xludf.DUMMYFUNCTION("""COMPUTED_VALUE"""),85.0)</f>
        <v>85</v>
      </c>
      <c r="E827" s="44" t="str">
        <f>IFERROR(__xludf.DUMMYFUNCTION("""COMPUTED_VALUE"""),"3323366")</f>
        <v>3323366</v>
      </c>
      <c r="F827" s="44" t="str">
        <f>IFERROR(__xludf.DUMMYFUNCTION("""COMPUTED_VALUE"""),"")</f>
        <v/>
      </c>
      <c r="G827" s="44" t="str">
        <f>IFERROR(__xludf.DUMMYFUNCTION("""COMPUTED_VALUE""")," ")</f>
        <v> </v>
      </c>
      <c r="H827" s="44" t="str">
        <f>IFERROR(__xludf.DUMMYFUNCTION("""COMPUTED_VALUE"""),"Catia BIPI")</f>
        <v>Catia BIPI</v>
      </c>
      <c r="I827" s="44" t="str">
        <f>IFERROR(__xludf.DUMMYFUNCTION("""COMPUTED_VALUE""")," ")</f>
        <v> </v>
      </c>
      <c r="J827" s="44" t="str">
        <f>IFERROR(__xludf.DUMMYFUNCTION("""COMPUTED_VALUE"""),"")</f>
        <v/>
      </c>
      <c r="K827" s="42" t="str">
        <f>IFERROR(__xludf.DUMMYFUNCTION("""COMPUTED_VALUE"""),"Hospital Dr. José Gregorio Hern")</f>
        <v>Hospital Dr. José Gregorio Hern</v>
      </c>
    </row>
    <row r="828">
      <c r="A828" s="44">
        <v>827.0</v>
      </c>
      <c r="B828" s="44" t="str">
        <f>IFERROR(__xludf.DUMMYFUNCTION("""COMPUTED_VALUE"""),"Hospital Universitario de Carac")</f>
        <v>Hospital Universitario de Carac</v>
      </c>
      <c r="C828" s="45" t="str">
        <f>IFERROR(__xludf.DUMMYFUNCTION("""COMPUTED_VALUE"""),"Patricia Caceres")</f>
        <v>Patricia Caceres</v>
      </c>
      <c r="D828" s="44">
        <f>IFERROR(__xludf.DUMMYFUNCTION("""COMPUTED_VALUE"""),18.0)</f>
        <v>18</v>
      </c>
      <c r="E828" s="44" t="str">
        <f>IFERROR(__xludf.DUMMYFUNCTION("""COMPUTED_VALUE"""),"332730475")</f>
        <v>332730475</v>
      </c>
      <c r="F828" s="44" t="str">
        <f>IFERROR(__xludf.DUMMYFUNCTION("""COMPUTED_VALUE"""),"")</f>
        <v/>
      </c>
      <c r="G828" s="44"/>
      <c r="H828" s="44" t="str">
        <f>IFERROR(__xludf.DUMMYFUNCTION("""COMPUTED_VALUE"""),"La Guaira")</f>
        <v>La Guaira</v>
      </c>
      <c r="I828" s="44" t="str">
        <f>IFERROR(__xludf.DUMMYFUNCTION("""COMPUTED_VALUE"""),"Politraumatismo")</f>
        <v>Politraumatismo</v>
      </c>
      <c r="J828" s="44" t="str">
        <f>IFERROR(__xludf.DUMMYFUNCTION("""COMPUTED_VALUE"""),"")</f>
        <v/>
      </c>
      <c r="K828" s="42" t="str">
        <f>IFERROR(__xludf.DUMMYFUNCTION("""COMPUTED_VALUE"""),"Hospital Universitario de Carac")</f>
        <v>Hospital Universitario de Carac</v>
      </c>
    </row>
    <row r="829">
      <c r="A829" s="44">
        <v>828.0</v>
      </c>
      <c r="B829" s="44" t="str">
        <f>IFERROR(__xludf.DUMMYFUNCTION("""COMPUTED_VALUE"""),"Hospital Domingo Luciani")</f>
        <v>Hospital Domingo Luciani</v>
      </c>
      <c r="C829" s="45" t="str">
        <f>IFERROR(__xludf.DUMMYFUNCTION("""COMPUTED_VALUE"""),"SANTIAGO RIVAS")</f>
        <v>SANTIAGO RIVAS</v>
      </c>
      <c r="D829" s="44">
        <f>IFERROR(__xludf.DUMMYFUNCTION("""COMPUTED_VALUE"""),16.0)</f>
        <v>16</v>
      </c>
      <c r="E829" s="44" t="str">
        <f>IFERROR(__xludf.DUMMYFUNCTION("""COMPUTED_VALUE"""),"33285910")</f>
        <v>33285910</v>
      </c>
      <c r="F829" s="44" t="str">
        <f>IFERROR(__xludf.DUMMYFUNCTION("""COMPUTED_VALUE"""),"")</f>
        <v/>
      </c>
      <c r="G829" s="44" t="str">
        <f>IFERROR(__xludf.DUMMYFUNCTION("""COMPUTED_VALUE""")," ")</f>
        <v> </v>
      </c>
      <c r="H829" s="44" t="str">
        <f>IFERROR(__xludf.DUMMYFUNCTION("""COMPUTED_VALUE""")," ")</f>
        <v> </v>
      </c>
      <c r="I829" s="44" t="str">
        <f>IFERROR(__xludf.DUMMYFUNCTION("""COMPUTED_VALUE"""),"Internado")</f>
        <v>Internado</v>
      </c>
      <c r="J829" s="44" t="str">
        <f>IFERROR(__xludf.DUMMYFUNCTION("""COMPUTED_VALUE"""),"")</f>
        <v/>
      </c>
      <c r="K829" s="42" t="str">
        <f>IFERROR(__xludf.DUMMYFUNCTION("""COMPUTED_VALUE"""),"🔍 BUSCAR PACIENTES")</f>
        <v>🔍 BUSCAR PACIENTES</v>
      </c>
    </row>
    <row r="830">
      <c r="A830" s="44">
        <v>829.0</v>
      </c>
      <c r="B830" s="44" t="str">
        <f>IFERROR(__xludf.DUMMYFUNCTION("""COMPUTED_VALUE"""),"Hospital Vargas de Caracas")</f>
        <v>Hospital Vargas de Caracas</v>
      </c>
      <c r="C830" s="45" t="str">
        <f>IFERROR(__xludf.DUMMYFUNCTION("""COMPUTED_VALUE"""),"RIVAS SANTIAGO")</f>
        <v>RIVAS SANTIAGO</v>
      </c>
      <c r="D830" s="44">
        <f>IFERROR(__xludf.DUMMYFUNCTION("""COMPUTED_VALUE"""),16.0)</f>
        <v>16</v>
      </c>
      <c r="E830" s="44" t="str">
        <f>IFERROR(__xludf.DUMMYFUNCTION("""COMPUTED_VALUE"""),"33285940")</f>
        <v>33285940</v>
      </c>
      <c r="F830" s="44" t="str">
        <f>IFERROR(__xludf.DUMMYFUNCTION("""COMPUTED_VALUE""")," ")</f>
        <v> </v>
      </c>
      <c r="G830" s="44" t="str">
        <f>IFERROR(__xludf.DUMMYFUNCTION("""COMPUTED_VALUE"""),"")</f>
        <v/>
      </c>
      <c r="H830" s="44" t="str">
        <f>IFERROR(__xludf.DUMMYFUNCTION("""COMPUTED_VALUE"""),"La Guaira")</f>
        <v>La Guaira</v>
      </c>
      <c r="I830" s="44" t="str">
        <f>IFERROR(__xludf.DUMMYFUNCTION("""COMPUTED_VALUE"""),"UPT")</f>
        <v>UPT</v>
      </c>
      <c r="J830" s="44" t="str">
        <f>IFERROR(__xludf.DUMMYFUNCTION("""COMPUTED_VALUE"""),"")</f>
        <v/>
      </c>
      <c r="K830" s="42" t="str">
        <f>IFERROR(__xludf.DUMMYFUNCTION("""COMPUTED_VALUE"""),"Hospital Vargas de Caracas")</f>
        <v>Hospital Vargas de Caracas</v>
      </c>
    </row>
    <row r="831">
      <c r="A831" s="44">
        <v>830.0</v>
      </c>
      <c r="B831" s="44" t="str">
        <f>IFERROR(__xludf.DUMMYFUNCTION("""COMPUTED_VALUE"""),"Hospital Pérez Carreño")</f>
        <v>Hospital Pérez Carreño</v>
      </c>
      <c r="C831" s="45" t="str">
        <f>IFERROR(__xludf.DUMMYFUNCTION("""COMPUTED_VALUE"""),"VIVIAN CARRIZO")</f>
        <v>VIVIAN CARRIZO</v>
      </c>
      <c r="D831" s="44" t="str">
        <f>IFERROR(__xludf.DUMMYFUNCTION("""COMPUTED_VALUE"""),"Sin información")</f>
        <v>Sin información</v>
      </c>
      <c r="E831" s="44" t="str">
        <f>IFERROR(__xludf.DUMMYFUNCTION("""COMPUTED_VALUE"""),"333326030")</f>
        <v>333326030</v>
      </c>
      <c r="F831" s="44" t="str">
        <f>IFERROR(__xludf.DUMMYFUNCTION("""COMPUTED_VALUE"""),"")</f>
        <v/>
      </c>
      <c r="G831" s="44" t="str">
        <f>IFERROR(__xludf.DUMMYFUNCTION("""COMPUTED_VALUE""")," ")</f>
        <v> </v>
      </c>
      <c r="H831" s="44" t="str">
        <f>IFERROR(__xludf.DUMMYFUNCTION("""COMPUTED_VALUE"""),"Sin información")</f>
        <v>Sin información</v>
      </c>
      <c r="I831" s="44" t="str">
        <f>IFERROR(__xludf.DUMMYFUNCTION("""COMPUTED_VALUE"""),"Sin información |  ")</f>
        <v>Sin información |  </v>
      </c>
      <c r="J831" s="44" t="str">
        <f>IFERROR(__xludf.DUMMYFUNCTION("""COMPUTED_VALUE"""),"25/06/2026")</f>
        <v>25/06/2026</v>
      </c>
      <c r="K831" s="42" t="str">
        <f>IFERROR(__xludf.DUMMYFUNCTION("""COMPUTED_VALUE"""),"Hospital Pérez Carreño")</f>
        <v>Hospital Pérez Carreño</v>
      </c>
    </row>
    <row r="832">
      <c r="A832" s="44">
        <v>831.0</v>
      </c>
      <c r="B832" s="44" t="str">
        <f>IFERROR(__xludf.DUMMYFUNCTION("""COMPUTED_VALUE"""),"H. Jose Maria Vargas LG")</f>
        <v>H. Jose Maria Vargas LG</v>
      </c>
      <c r="C832" s="45" t="str">
        <f>IFERROR(__xludf.DUMMYFUNCTION("""COMPUTED_VALUE"""),"MALAVE REBECA")</f>
        <v>MALAVE REBECA</v>
      </c>
      <c r="D832" s="44" t="str">
        <f>IFERROR(__xludf.DUMMYFUNCTION("""COMPUTED_VALUE""")," ")</f>
        <v> </v>
      </c>
      <c r="E832" s="44" t="str">
        <f>IFERROR(__xludf.DUMMYFUNCTION("""COMPUTED_VALUE"""),"33344762")</f>
        <v>33344762</v>
      </c>
      <c r="F832" s="44" t="str">
        <f>IFERROR(__xludf.DUMMYFUNCTION("""COMPUTED_VALUE"""),"")</f>
        <v/>
      </c>
      <c r="G832" s="44" t="str">
        <f>IFERROR(__xludf.DUMMYFUNCTION("""COMPUTED_VALUE""")," ")</f>
        <v> </v>
      </c>
      <c r="H832" s="44" t="str">
        <f>IFERROR(__xludf.DUMMYFUNCTION("""COMPUTED_VALUE"""),"Macuto")</f>
        <v>Macuto</v>
      </c>
      <c r="I832" s="44" t="str">
        <f>IFERROR(__xludf.DUMMYFUNCTION("""COMPUTED_VALUE""")," ")</f>
        <v> </v>
      </c>
      <c r="J832" s="44" t="str">
        <f>IFERROR(__xludf.DUMMYFUNCTION("""COMPUTED_VALUE"""),"")</f>
        <v/>
      </c>
      <c r="K832" s="42" t="str">
        <f>IFERROR(__xludf.DUMMYFUNCTION("""COMPUTED_VALUE"""),"H. Jose Maria Vargas LG")</f>
        <v>H. Jose Maria Vargas LG</v>
      </c>
    </row>
    <row r="833">
      <c r="A833" s="44">
        <v>832.0</v>
      </c>
      <c r="B833" s="44" t="str">
        <f>IFERROR(__xludf.DUMMYFUNCTION("""COMPUTED_VALUE"""),"Hospital Domingo Luciani")</f>
        <v>Hospital Domingo Luciani</v>
      </c>
      <c r="C833" s="45" t="str">
        <f>IFERROR(__xludf.DUMMYFUNCTION("""COMPUTED_VALUE"""),"ARELLANO CAMILA")</f>
        <v>ARELLANO CAMILA</v>
      </c>
      <c r="D833" s="44">
        <f>IFERROR(__xludf.DUMMYFUNCTION("""COMPUTED_VALUE"""),17.0)</f>
        <v>17</v>
      </c>
      <c r="E833" s="44" t="str">
        <f>IFERROR(__xludf.DUMMYFUNCTION("""COMPUTED_VALUE"""),"33420428")</f>
        <v>33420428</v>
      </c>
      <c r="F833" s="44" t="str">
        <f>IFERROR(__xludf.DUMMYFUNCTION("""COMPUTED_VALUE"""),"")</f>
        <v/>
      </c>
      <c r="G833" s="44" t="str">
        <f>IFERROR(__xludf.DUMMYFUNCTION("""COMPUTED_VALUE""")," ")</f>
        <v> </v>
      </c>
      <c r="H833" s="44" t="str">
        <f>IFERROR(__xludf.DUMMYFUNCTION("""COMPUTED_VALUE""")," ")</f>
        <v> </v>
      </c>
      <c r="I833" s="44" t="str">
        <f>IFERROR(__xludf.DUMMYFUNCTION("""COMPUTED_VALUE"""),"Internado")</f>
        <v>Internado</v>
      </c>
      <c r="J833" s="44" t="str">
        <f>IFERROR(__xludf.DUMMYFUNCTION("""COMPUTED_VALUE"""),"")</f>
        <v/>
      </c>
      <c r="K833" s="42" t="str">
        <f>IFERROR(__xludf.DUMMYFUNCTION("""COMPUTED_VALUE"""),"🔍 BUSCAR PACIENTES")</f>
        <v>🔍 BUSCAR PACIENTES</v>
      </c>
    </row>
    <row r="834">
      <c r="A834" s="44">
        <v>833.0</v>
      </c>
      <c r="B834" s="44" t="str">
        <f>IFERROR(__xludf.DUMMYFUNCTION("""COMPUTED_VALUE"""),"Hospital Pérez Carreño")</f>
        <v>Hospital Pérez Carreño</v>
      </c>
      <c r="C834" s="45" t="str">
        <f>IFERROR(__xludf.DUMMYFUNCTION("""COMPUTED_VALUE"""),"GARCIA DIEGO")</f>
        <v>GARCIA DIEGO</v>
      </c>
      <c r="D834" s="44" t="str">
        <f>IFERROR(__xludf.DUMMYFUNCTION("""COMPUTED_VALUE""")," ")</f>
        <v> </v>
      </c>
      <c r="E834" s="44" t="str">
        <f>IFERROR(__xludf.DUMMYFUNCTION("""COMPUTED_VALUE"""),"33423811")</f>
        <v>33423811</v>
      </c>
      <c r="F834" s="44" t="str">
        <f>IFERROR(__xludf.DUMMYFUNCTION("""COMPUTED_VALUE"""),"")</f>
        <v/>
      </c>
      <c r="G834" s="44" t="str">
        <f>IFERROR(__xludf.DUMMYFUNCTION("""COMPUTED_VALUE""")," ")</f>
        <v> </v>
      </c>
      <c r="H834" s="44" t="str">
        <f>IFERROR(__xludf.DUMMYFUNCTION("""COMPUTED_VALUE""")," ")</f>
        <v> </v>
      </c>
      <c r="I834" s="44" t="str">
        <f>IFERROR(__xludf.DUMMYFUNCTION("""COMPUTED_VALUE""")," ")</f>
        <v> </v>
      </c>
      <c r="J834" s="44" t="str">
        <f>IFERROR(__xludf.DUMMYFUNCTION("""COMPUTED_VALUE"""),"25/06/2026")</f>
        <v>25/06/2026</v>
      </c>
      <c r="K834" s="42" t="str">
        <f>IFERROR(__xludf.DUMMYFUNCTION("""COMPUTED_VALUE"""),"Hospital Pérez Carreño")</f>
        <v>Hospital Pérez Carreño</v>
      </c>
    </row>
    <row r="835">
      <c r="A835" s="44">
        <v>834.0</v>
      </c>
      <c r="B835" s="44" t="str">
        <f>IFERROR(__xludf.DUMMYFUNCTION("""COMPUTED_VALUE"""),"Hospital Pérez Carreño")</f>
        <v>Hospital Pérez Carreño</v>
      </c>
      <c r="C835" s="45" t="str">
        <f>IFERROR(__xludf.DUMMYFUNCTION("""COMPUTED_VALUE"""),"GARCIA MENDOZA DIEGO")</f>
        <v>GARCIA MENDOZA DIEGO</v>
      </c>
      <c r="D835" s="44" t="str">
        <f>IFERROR(__xludf.DUMMYFUNCTION("""COMPUTED_VALUE""")," ")</f>
        <v> </v>
      </c>
      <c r="E835" s="44" t="str">
        <f>IFERROR(__xludf.DUMMYFUNCTION("""COMPUTED_VALUE"""),"334238110")</f>
        <v>334238110</v>
      </c>
      <c r="F835" s="44" t="str">
        <f>IFERROR(__xludf.DUMMYFUNCTION("""COMPUTED_VALUE"""),"")</f>
        <v/>
      </c>
      <c r="G835" s="44" t="str">
        <f>IFERROR(__xludf.DUMMYFUNCTION("""COMPUTED_VALUE""")," ")</f>
        <v> </v>
      </c>
      <c r="H835" s="44" t="str">
        <f>IFERROR(__xludf.DUMMYFUNCTION("""COMPUTED_VALUE""")," ")</f>
        <v> </v>
      </c>
      <c r="I835" s="44" t="str">
        <f>IFERROR(__xludf.DUMMYFUNCTION("""COMPUTED_VALUE""")," ")</f>
        <v> </v>
      </c>
      <c r="J835" s="44" t="str">
        <f>IFERROR(__xludf.DUMMYFUNCTION("""COMPUTED_VALUE"""),"25/06/2026")</f>
        <v>25/06/2026</v>
      </c>
      <c r="K835" s="42" t="str">
        <f>IFERROR(__xludf.DUMMYFUNCTION("""COMPUTED_VALUE"""),"Hospital Pérez Carreño")</f>
        <v>Hospital Pérez Carreño</v>
      </c>
    </row>
    <row r="836">
      <c r="A836" s="44">
        <v>835.0</v>
      </c>
      <c r="B836" s="44" t="str">
        <f>IFERROR(__xludf.DUMMYFUNCTION("""COMPUTED_VALUE"""),"Hospital Militar Dr. C. Arvelo")</f>
        <v>Hospital Militar Dr. C. Arvelo</v>
      </c>
      <c r="C836" s="45" t="str">
        <f>IFERROR(__xludf.DUMMYFUNCTION("""COMPUTED_VALUE"""),"Pinto Luisa")</f>
        <v>Pinto Luisa</v>
      </c>
      <c r="D836" s="44">
        <f>IFERROR(__xludf.DUMMYFUNCTION("""COMPUTED_VALUE"""),77.0)</f>
        <v>77</v>
      </c>
      <c r="E836" s="44" t="str">
        <f>IFERROR(__xludf.DUMMYFUNCTION("""COMPUTED_VALUE"""),"3342558")</f>
        <v>3342558</v>
      </c>
      <c r="F836" s="44" t="str">
        <f>IFERROR(__xludf.DUMMYFUNCTION("""COMPUTED_VALUE"""),"")</f>
        <v/>
      </c>
      <c r="G836" s="44" t="str">
        <f>IFERROR(__xludf.DUMMYFUNCTION("""COMPUTED_VALUE"""),"")</f>
        <v/>
      </c>
      <c r="H836" s="44" t="str">
        <f>IFERROR(__xludf.DUMMYFUNCTION("""COMPUTED_VALUE"""),"F")</f>
        <v>F</v>
      </c>
      <c r="I836" s="44" t="str">
        <f>IFERROR(__xludf.DUMMYFUNCTION("""COMPUTED_VALUE"""),"La Guaira PNA")</f>
        <v>La Guaira PNA</v>
      </c>
      <c r="J836" s="44" t="str">
        <f>IFERROR(__xludf.DUMMYFUNCTION("""COMPUTED_VALUE"""),"24/6/2026")</f>
        <v>24/6/2026</v>
      </c>
      <c r="K836" s="42" t="str">
        <f>IFERROR(__xludf.DUMMYFUNCTION("""COMPUTED_VALUE"""),"Hospital Militar Dr. C. Arvelo")</f>
        <v>Hospital Militar Dr. C. Arvelo</v>
      </c>
    </row>
    <row r="837">
      <c r="A837" s="44">
        <v>836.0</v>
      </c>
      <c r="B837" s="44" t="str">
        <f>IFERROR(__xludf.DUMMYFUNCTION("""COMPUTED_VALUE"""),"Hospital Universitario de Carac")</f>
        <v>Hospital Universitario de Carac</v>
      </c>
      <c r="C837" s="45" t="str">
        <f>IFERROR(__xludf.DUMMYFUNCTION("""COMPUTED_VALUE"""),"Victor La Vende")</f>
        <v>Victor La Vende</v>
      </c>
      <c r="D837" s="44">
        <f>IFERROR(__xludf.DUMMYFUNCTION("""COMPUTED_VALUE"""),18.0)</f>
        <v>18</v>
      </c>
      <c r="E837" s="44" t="str">
        <f>IFERROR(__xludf.DUMMYFUNCTION("""COMPUTED_VALUE"""),"3344528")</f>
        <v>3344528</v>
      </c>
      <c r="F837" s="44" t="str">
        <f>IFERROR(__xludf.DUMMYFUNCTION("""COMPUTED_VALUE"""),"")</f>
        <v/>
      </c>
      <c r="G837" s="44"/>
      <c r="H837" s="44" t="str">
        <f>IFERROR(__xludf.DUMMYFUNCTION("""COMPUTED_VALUE"""),"La Guaira")</f>
        <v>La Guaira</v>
      </c>
      <c r="I837" s="44" t="str">
        <f>IFERROR(__xludf.DUMMYFUNCTION("""COMPUTED_VALUE"""),"Politraumatismo")</f>
        <v>Politraumatismo</v>
      </c>
      <c r="J837" s="44" t="str">
        <f>IFERROR(__xludf.DUMMYFUNCTION("""COMPUTED_VALUE"""),"")</f>
        <v/>
      </c>
      <c r="K837" s="42" t="str">
        <f>IFERROR(__xludf.DUMMYFUNCTION("""COMPUTED_VALUE"""),"Hospital Universitario de Carac")</f>
        <v>Hospital Universitario de Carac</v>
      </c>
    </row>
    <row r="838">
      <c r="A838" s="44">
        <v>837.0</v>
      </c>
      <c r="B838" s="44" t="str">
        <f>IFERROR(__xludf.DUMMYFUNCTION("""COMPUTED_VALUE"""),"H. Jose Maria Vargas LG")</f>
        <v>H. Jose Maria Vargas LG</v>
      </c>
      <c r="C838" s="45" t="str">
        <f>IFERROR(__xludf.DUMMYFUNCTION("""COMPUTED_VALUE"""),"FERNANDEZ HEYDER")</f>
        <v>FERNANDEZ HEYDER</v>
      </c>
      <c r="D838" s="44" t="str">
        <f>IFERROR(__xludf.DUMMYFUNCTION("""COMPUTED_VALUE""")," ")</f>
        <v> </v>
      </c>
      <c r="E838" s="44" t="str">
        <f>IFERROR(__xludf.DUMMYFUNCTION("""COMPUTED_VALUE"""),"33594902")</f>
        <v>33594902</v>
      </c>
      <c r="F838" s="44" t="str">
        <f>IFERROR(__xludf.DUMMYFUNCTION("""COMPUTED_VALUE"""),"")</f>
        <v/>
      </c>
      <c r="G838" s="44" t="str">
        <f>IFERROR(__xludf.DUMMYFUNCTION("""COMPUTED_VALUE""")," ")</f>
        <v> </v>
      </c>
      <c r="H838" s="44" t="str">
        <f>IFERROR(__xludf.DUMMYFUNCTION("""COMPUTED_VALUE""")," ")</f>
        <v> </v>
      </c>
      <c r="I838" s="44" t="str">
        <f>IFERROR(__xludf.DUMMYFUNCTION("""COMPUTED_VALUE"""),"Internado")</f>
        <v>Internado</v>
      </c>
      <c r="J838" s="44" t="str">
        <f>IFERROR(__xludf.DUMMYFUNCTION("""COMPUTED_VALUE"""),"")</f>
        <v/>
      </c>
      <c r="K838" s="42" t="str">
        <f>IFERROR(__xludf.DUMMYFUNCTION("""COMPUTED_VALUE"""),"H. Jose Maria Vargas LG")</f>
        <v>H. Jose Maria Vargas LG</v>
      </c>
    </row>
    <row r="839">
      <c r="A839" s="44">
        <v>838.0</v>
      </c>
      <c r="B839" s="44" t="str">
        <f>IFERROR(__xludf.DUMMYFUNCTION("""COMPUTED_VALUE"""),"H. Jose Maria Vargas LG")</f>
        <v>H. Jose Maria Vargas LG</v>
      </c>
      <c r="C839" s="45" t="str">
        <f>IFERROR(__xludf.DUMMYFUNCTION("""COMPUTED_VALUE"""),"PARDO HEYDERA FERNANDEZ")</f>
        <v>PARDO HEYDERA FERNANDEZ</v>
      </c>
      <c r="D839" s="44" t="str">
        <f>IFERROR(__xludf.DUMMYFUNCTION("""COMPUTED_VALUE""")," ")</f>
        <v> </v>
      </c>
      <c r="E839" s="44" t="str">
        <f>IFERROR(__xludf.DUMMYFUNCTION("""COMPUTED_VALUE"""),"33594982")</f>
        <v>33594982</v>
      </c>
      <c r="F839" s="44" t="str">
        <f>IFERROR(__xludf.DUMMYFUNCTION("""COMPUTED_VALUE"""),"")</f>
        <v/>
      </c>
      <c r="G839" s="44" t="str">
        <f>IFERROR(__xludf.DUMMYFUNCTION("""COMPUTED_VALUE""")," ")</f>
        <v> </v>
      </c>
      <c r="H839" s="44" t="str">
        <f>IFERROR(__xludf.DUMMYFUNCTION("""COMPUTED_VALUE"""),"Los Corales")</f>
        <v>Los Corales</v>
      </c>
      <c r="I839" s="44" t="str">
        <f>IFERROR(__xludf.DUMMYFUNCTION("""COMPUTED_VALUE""")," ")</f>
        <v> </v>
      </c>
      <c r="J839" s="44" t="str">
        <f>IFERROR(__xludf.DUMMYFUNCTION("""COMPUTED_VALUE"""),"")</f>
        <v/>
      </c>
      <c r="K839" s="42" t="str">
        <f>IFERROR(__xludf.DUMMYFUNCTION("""COMPUTED_VALUE"""),"H. Jose Maria Vargas LG")</f>
        <v>H. Jose Maria Vargas LG</v>
      </c>
    </row>
    <row r="840">
      <c r="A840" s="44">
        <v>839.0</v>
      </c>
      <c r="B840" s="44" t="str">
        <f>IFERROR(__xludf.DUMMYFUNCTION("""COMPUTED_VALUE"""),"Seguro Social La Guaira")</f>
        <v>Seguro Social La Guaira</v>
      </c>
      <c r="C840" s="45" t="str">
        <f>IFERROR(__xludf.DUMMYFUNCTION("""COMPUTED_VALUE"""),"HAYDER FAWADY")</f>
        <v>HAYDER FAWADY</v>
      </c>
      <c r="D840" s="44" t="str">
        <f>IFERROR(__xludf.DUMMYFUNCTION("""COMPUTED_VALUE""")," ")</f>
        <v> </v>
      </c>
      <c r="E840" s="44" t="str">
        <f>IFERROR(__xludf.DUMMYFUNCTION("""COMPUTED_VALUE"""),"335949820")</f>
        <v>335949820</v>
      </c>
      <c r="F840" s="44" t="str">
        <f>IFERROR(__xludf.DUMMYFUNCTION("""COMPUTED_VALUE"""),"")</f>
        <v/>
      </c>
      <c r="G840" s="44" t="str">
        <f>IFERROR(__xludf.DUMMYFUNCTION("""COMPUTED_VALUE""")," ")</f>
        <v> </v>
      </c>
      <c r="H840" s="44" t="str">
        <f>IFERROR(__xludf.DUMMYFUNCTION("""COMPUTED_VALUE"""),"Corales")</f>
        <v>Corales</v>
      </c>
      <c r="I840" s="44" t="str">
        <f>IFERROR(__xludf.DUMMYFUNCTION("""COMPUTED_VALUE""")," ")</f>
        <v> </v>
      </c>
      <c r="J840" s="44" t="str">
        <f>IFERROR(__xludf.DUMMYFUNCTION("""COMPUTED_VALUE"""),"")</f>
        <v/>
      </c>
      <c r="K840" s="42" t="str">
        <f>IFERROR(__xludf.DUMMYFUNCTION("""COMPUTED_VALUE"""),"Seguro Social La Guaira")</f>
        <v>Seguro Social La Guaira</v>
      </c>
    </row>
    <row r="841">
      <c r="A841" s="44">
        <v>840.0</v>
      </c>
      <c r="B841" s="44" t="str">
        <f>IFERROR(__xludf.DUMMYFUNCTION("""COMPUTED_VALUE"""),"Hospital Pérez Carreño")</f>
        <v>Hospital Pérez Carreño</v>
      </c>
      <c r="C841" s="45" t="str">
        <f>IFERROR(__xludf.DUMMYFUNCTION("""COMPUTED_VALUE"""),"ORTEGA CRISTINA")</f>
        <v>ORTEGA CRISTINA</v>
      </c>
      <c r="D841" s="44" t="str">
        <f>IFERROR(__xludf.DUMMYFUNCTION("""COMPUTED_VALUE""")," ")</f>
        <v> </v>
      </c>
      <c r="E841" s="44" t="str">
        <f>IFERROR(__xludf.DUMMYFUNCTION("""COMPUTED_VALUE"""),"33645919")</f>
        <v>33645919</v>
      </c>
      <c r="F841" s="44" t="str">
        <f>IFERROR(__xludf.DUMMYFUNCTION("""COMPUTED_VALUE"""),"")</f>
        <v/>
      </c>
      <c r="G841" s="44" t="str">
        <f>IFERROR(__xludf.DUMMYFUNCTION("""COMPUTED_VALUE""")," ")</f>
        <v> </v>
      </c>
      <c r="H841" s="44" t="str">
        <f>IFERROR(__xludf.DUMMYFUNCTION("""COMPUTED_VALUE""")," ")</f>
        <v> </v>
      </c>
      <c r="I841" s="44" t="str">
        <f>IFERROR(__xludf.DUMMYFUNCTION("""COMPUTED_VALUE"""),"Nuevos Ingresos")</f>
        <v>Nuevos Ingresos</v>
      </c>
      <c r="J841" s="44" t="str">
        <f>IFERROR(__xludf.DUMMYFUNCTION("""COMPUTED_VALUE"""),"25/06/2026")</f>
        <v>25/06/2026</v>
      </c>
      <c r="K841" s="42" t="str">
        <f>IFERROR(__xludf.DUMMYFUNCTION("""COMPUTED_VALUE"""),"Hospital Pérez Carreño")</f>
        <v>Hospital Pérez Carreño</v>
      </c>
    </row>
    <row r="842">
      <c r="A842" s="44">
        <v>841.0</v>
      </c>
      <c r="B842" s="44" t="str">
        <f>IFERROR(__xludf.DUMMYFUNCTION("""COMPUTED_VALUE"""),"Hospital Ana Francisca Pérez de")</f>
        <v>Hospital Ana Francisca Pérez de</v>
      </c>
      <c r="C842" s="45" t="str">
        <f>IFERROR(__xludf.DUMMYFUNCTION("""COMPUTED_VALUE"""),"MENDOZA JERRY")</f>
        <v>MENDOZA JERRY</v>
      </c>
      <c r="D842" s="44">
        <f>IFERROR(__xludf.DUMMYFUNCTION("""COMPUTED_VALUE"""),17.0)</f>
        <v>17</v>
      </c>
      <c r="E842" s="44" t="str">
        <f>IFERROR(__xludf.DUMMYFUNCTION("""COMPUTED_VALUE"""),"33729687")</f>
        <v>33729687</v>
      </c>
      <c r="F842" s="44" t="str">
        <f>IFERROR(__xludf.DUMMYFUNCTION("""COMPUTED_VALUE"""),"")</f>
        <v/>
      </c>
      <c r="G842" s="44" t="str">
        <f>IFERROR(__xludf.DUMMYFUNCTION("""COMPUTED_VALUE""")," ")</f>
        <v> </v>
      </c>
      <c r="H842" s="44" t="str">
        <f>IFERROR(__xludf.DUMMYFUNCTION("""COMPUTED_VALUE""")," ")</f>
        <v> </v>
      </c>
      <c r="I842" s="44" t="str">
        <f>IFERROR(__xludf.DUMMYFUNCTION("""COMPUTED_VALUE"""),"Internado")</f>
        <v>Internado</v>
      </c>
      <c r="J842" s="44" t="str">
        <f>IFERROR(__xludf.DUMMYFUNCTION("""COMPUTED_VALUE"""),"")</f>
        <v/>
      </c>
      <c r="K842" s="42" t="str">
        <f>IFERROR(__xludf.DUMMYFUNCTION("""COMPUTED_VALUE"""),"Hospital Ana Francisca Pérez de")</f>
        <v>Hospital Ana Francisca Pérez de</v>
      </c>
    </row>
    <row r="843">
      <c r="A843" s="44">
        <v>842.0</v>
      </c>
      <c r="B843" s="44" t="str">
        <f>IFERROR(__xludf.DUMMYFUNCTION("""COMPUTED_VALUE"""),"Hospital Vargas de Caracas")</f>
        <v>Hospital Vargas de Caracas</v>
      </c>
      <c r="C843" s="45" t="str">
        <f>IFERROR(__xludf.DUMMYFUNCTION("""COMPUTED_VALUE"""),"ADAD FIGUEROA")</f>
        <v>ADAD FIGUEROA</v>
      </c>
      <c r="D843" s="44">
        <f>IFERROR(__xludf.DUMMYFUNCTION("""COMPUTED_VALUE"""),14.0)</f>
        <v>14</v>
      </c>
      <c r="E843" s="44" t="str">
        <f>IFERROR(__xludf.DUMMYFUNCTION("""COMPUTED_VALUE"""),"33916334")</f>
        <v>33916334</v>
      </c>
      <c r="F843" s="44" t="str">
        <f>IFERROR(__xludf.DUMMYFUNCTION("""COMPUTED_VALUE""")," ")</f>
        <v> </v>
      </c>
      <c r="G843" s="44" t="str">
        <f>IFERROR(__xludf.DUMMYFUNCTION("""COMPUTED_VALUE"""),"")</f>
        <v/>
      </c>
      <c r="H843" s="44" t="str">
        <f>IFERROR(__xludf.DUMMYFUNCTION("""COMPUTED_VALUE"""),"La Guaira")</f>
        <v>La Guaira</v>
      </c>
      <c r="I843" s="44" t="str">
        <f>IFERROR(__xludf.DUMMYFUNCTION("""COMPUTED_VALUE"""),"UPT")</f>
        <v>UPT</v>
      </c>
      <c r="J843" s="44" t="str">
        <f>IFERROR(__xludf.DUMMYFUNCTION("""COMPUTED_VALUE"""),"")</f>
        <v/>
      </c>
      <c r="K843" s="42" t="str">
        <f>IFERROR(__xludf.DUMMYFUNCTION("""COMPUTED_VALUE"""),"Hospital Vargas de Caracas")</f>
        <v>Hospital Vargas de Caracas</v>
      </c>
    </row>
    <row r="844">
      <c r="A844" s="44">
        <v>843.0</v>
      </c>
      <c r="B844" s="44" t="str">
        <f>IFERROR(__xludf.DUMMYFUNCTION("""COMPUTED_VALUE"""),"Hospital General del Oeste")</f>
        <v>Hospital General del Oeste</v>
      </c>
      <c r="C844" s="45" t="str">
        <f>IFERROR(__xludf.DUMMYFUNCTION("""COMPUTED_VALUE"""),"GENIRE ELIANGELIS")</f>
        <v>GENIRE ELIANGELIS</v>
      </c>
      <c r="D844" s="44" t="str">
        <f>IFERROR(__xludf.DUMMYFUNCTION("""COMPUTED_VALUE""")," ")</f>
        <v> </v>
      </c>
      <c r="E844" s="44" t="str">
        <f>IFERROR(__xludf.DUMMYFUNCTION("""COMPUTED_VALUE"""),"33916827")</f>
        <v>33916827</v>
      </c>
      <c r="F844" s="44" t="str">
        <f>IFERROR(__xludf.DUMMYFUNCTION("""COMPUTED_VALUE"""),"")</f>
        <v/>
      </c>
      <c r="G844" s="44" t="str">
        <f>IFERROR(__xludf.DUMMYFUNCTION("""COMPUTED_VALUE""")," ")</f>
        <v> </v>
      </c>
      <c r="H844" s="44" t="str">
        <f>IFERROR(__xludf.DUMMYFUNCTION("""COMPUTED_VALUE"""),"Maiquetía")</f>
        <v>Maiquetía</v>
      </c>
      <c r="I844" s="44" t="str">
        <f>IFERROR(__xludf.DUMMYFUNCTION("""COMPUTED_VALUE""")," ")</f>
        <v> </v>
      </c>
      <c r="J844" s="44" t="str">
        <f>IFERROR(__xludf.DUMMYFUNCTION("""COMPUTED_VALUE"""),"")</f>
        <v/>
      </c>
      <c r="K844" s="42" t="str">
        <f>IFERROR(__xludf.DUMMYFUNCTION("""COMPUTED_VALUE"""),"Hospital General del Oeste")</f>
        <v>Hospital General del Oeste</v>
      </c>
    </row>
    <row r="845">
      <c r="A845" s="44">
        <v>844.0</v>
      </c>
      <c r="B845" s="44" t="str">
        <f>IFERROR(__xludf.DUMMYFUNCTION("""COMPUTED_VALUE"""),"Hospital Pérez Carreño")</f>
        <v>Hospital Pérez Carreño</v>
      </c>
      <c r="C845" s="45" t="str">
        <f>IFERROR(__xludf.DUMMYFUNCTION("""COMPUTED_VALUE"""),"MERADRO VICORIA")</f>
        <v>MERADRO VICORIA</v>
      </c>
      <c r="D845" s="44" t="str">
        <f>IFERROR(__xludf.DUMMYFUNCTION("""COMPUTED_VALUE""")," ")</f>
        <v> </v>
      </c>
      <c r="E845" s="44" t="str">
        <f>IFERROR(__xludf.DUMMYFUNCTION("""COMPUTED_VALUE"""),"34054588")</f>
        <v>34054588</v>
      </c>
      <c r="F845" s="44" t="str">
        <f>IFERROR(__xludf.DUMMYFUNCTION("""COMPUTED_VALUE"""),"")</f>
        <v/>
      </c>
      <c r="G845" s="44" t="str">
        <f>IFERROR(__xludf.DUMMYFUNCTION("""COMPUTED_VALUE""")," ")</f>
        <v> </v>
      </c>
      <c r="H845" s="44" t="str">
        <f>IFERROR(__xludf.DUMMYFUNCTION("""COMPUTED_VALUE""")," ")</f>
        <v> </v>
      </c>
      <c r="I845" s="44" t="str">
        <f>IFERROR(__xludf.DUMMYFUNCTION("""COMPUTED_VALUE""")," ")</f>
        <v> </v>
      </c>
      <c r="J845" s="44" t="str">
        <f>IFERROR(__xludf.DUMMYFUNCTION("""COMPUTED_VALUE"""),"25/06/2026")</f>
        <v>25/06/2026</v>
      </c>
      <c r="K845" s="42" t="str">
        <f>IFERROR(__xludf.DUMMYFUNCTION("""COMPUTED_VALUE"""),"Hospital Pérez Carreño")</f>
        <v>Hospital Pérez Carreño</v>
      </c>
    </row>
    <row r="846">
      <c r="A846" s="44">
        <v>845.0</v>
      </c>
      <c r="B846" s="44" t="str">
        <f>IFERROR(__xludf.DUMMYFUNCTION("""COMPUTED_VALUE"""),"Hospital Pérez Carreño")</f>
        <v>Hospital Pérez Carreño</v>
      </c>
      <c r="C846" s="45" t="str">
        <f>IFERROR(__xludf.DUMMYFUNCTION("""COMPUTED_VALUE"""),"VICTORIA MIRANDA")</f>
        <v>VICTORIA MIRANDA</v>
      </c>
      <c r="D846" s="44" t="str">
        <f>IFERROR(__xludf.DUMMYFUNCTION("""COMPUTED_VALUE""")," ")</f>
        <v> </v>
      </c>
      <c r="E846" s="44" t="str">
        <f>IFERROR(__xludf.DUMMYFUNCTION("""COMPUTED_VALUE"""),"340545880")</f>
        <v>340545880</v>
      </c>
      <c r="F846" s="44" t="str">
        <f>IFERROR(__xludf.DUMMYFUNCTION("""COMPUTED_VALUE"""),"")</f>
        <v/>
      </c>
      <c r="G846" s="44" t="str">
        <f>IFERROR(__xludf.DUMMYFUNCTION("""COMPUTED_VALUE""")," ")</f>
        <v> </v>
      </c>
      <c r="H846" s="44" t="str">
        <f>IFERROR(__xludf.DUMMYFUNCTION("""COMPUTED_VALUE""")," ")</f>
        <v> </v>
      </c>
      <c r="I846" s="44" t="str">
        <f>IFERROR(__xludf.DUMMYFUNCTION("""COMPUTED_VALUE""")," ")</f>
        <v> </v>
      </c>
      <c r="J846" s="44" t="str">
        <f>IFERROR(__xludf.DUMMYFUNCTION("""COMPUTED_VALUE"""),"25/06/2026")</f>
        <v>25/06/2026</v>
      </c>
      <c r="K846" s="42" t="str">
        <f>IFERROR(__xludf.DUMMYFUNCTION("""COMPUTED_VALUE"""),"Hospital Pérez Carreño")</f>
        <v>Hospital Pérez Carreño</v>
      </c>
    </row>
    <row r="847">
      <c r="A847" s="44">
        <v>846.0</v>
      </c>
      <c r="B847" s="44" t="str">
        <f>IFERROR(__xludf.DUMMYFUNCTION("""COMPUTED_VALUE"""),"Hospital Domingo Luciani")</f>
        <v>Hospital Domingo Luciani</v>
      </c>
      <c r="C847" s="45" t="str">
        <f>IFERROR(__xludf.DUMMYFUNCTION("""COMPUTED_VALUE"""),"CHACON CARLOS")</f>
        <v>CHACON CARLOS</v>
      </c>
      <c r="D847" s="44">
        <f>IFERROR(__xludf.DUMMYFUNCTION("""COMPUTED_VALUE"""),13.0)</f>
        <v>13</v>
      </c>
      <c r="E847" s="44" t="str">
        <f>IFERROR(__xludf.DUMMYFUNCTION("""COMPUTED_VALUE"""),"34055246")</f>
        <v>34055246</v>
      </c>
      <c r="F847" s="44" t="str">
        <f>IFERROR(__xludf.DUMMYFUNCTION("""COMPUTED_VALUE"""),"")</f>
        <v/>
      </c>
      <c r="G847" s="44" t="str">
        <f>IFERROR(__xludf.DUMMYFUNCTION("""COMPUTED_VALUE""")," ")</f>
        <v> </v>
      </c>
      <c r="H847" s="44" t="str">
        <f>IFERROR(__xludf.DUMMYFUNCTION("""COMPUTED_VALUE"""),"Caribe")</f>
        <v>Caribe</v>
      </c>
      <c r="I847" s="44" t="str">
        <f>IFERROR(__xludf.DUMMYFUNCTION("""COMPUTED_VALUE"""),"Pediatría – Madre: Alexandra Gonzalez 0424-2086080")</f>
        <v>Pediatría – Madre: Alexandra Gonzalez 0424-2086080</v>
      </c>
      <c r="J847" s="44" t="str">
        <f>IFERROR(__xludf.DUMMYFUNCTION("""COMPUTED_VALUE"""),"")</f>
        <v/>
      </c>
      <c r="K847" s="42" t="str">
        <f>IFERROR(__xludf.DUMMYFUNCTION("""COMPUTED_VALUE"""),"🔍 BUSCAR PACIENTES")</f>
        <v>🔍 BUSCAR PACIENTES</v>
      </c>
    </row>
    <row r="848">
      <c r="A848" s="44">
        <v>847.0</v>
      </c>
      <c r="B848" s="44" t="str">
        <f>IFERROR(__xludf.DUMMYFUNCTION("""COMPUTED_VALUE"""),"Hospital Pérez Carreño")</f>
        <v>Hospital Pérez Carreño</v>
      </c>
      <c r="C848" s="45" t="str">
        <f>IFERROR(__xludf.DUMMYFUNCTION("""COMPUTED_VALUE"""),"Erik Donante")</f>
        <v>Erik Donante</v>
      </c>
      <c r="D848" s="44"/>
      <c r="E848" s="44" t="str">
        <f>IFERROR(__xludf.DUMMYFUNCTION("""COMPUTED_VALUE"""),"34055886")</f>
        <v>34055886</v>
      </c>
      <c r="F848" s="44" t="str">
        <f>IFERROR(__xludf.DUMMYFUNCTION("""COMPUTED_VALUE"""),"")</f>
        <v/>
      </c>
      <c r="G848" s="44" t="str">
        <f>IFERROR(__xludf.DUMMYFUNCTION("""COMPUTED_VALUE"""),"Nuevos Ingresos 25/06/2026")</f>
        <v>Nuevos Ingresos 25/06/2026</v>
      </c>
      <c r="H848" s="44" t="str">
        <f>IFERROR(__xludf.DUMMYFUNCTION("""COMPUTED_VALUE"""),"Hospital Miguel Perez Carreño")</f>
        <v>Hospital Miguel Perez Carreño</v>
      </c>
      <c r="I848" s="44"/>
      <c r="J848" s="44" t="str">
        <f>IFERROR(__xludf.DUMMYFUNCTION("""COMPUTED_VALUE"""),"26/6/26")</f>
        <v>26/6/26</v>
      </c>
      <c r="K848" s="42" t="str">
        <f>IFERROR(__xludf.DUMMYFUNCTION("""COMPUTED_VALUE"""),"Hospital Pérez Carreño")</f>
        <v>Hospital Pérez Carreño</v>
      </c>
    </row>
    <row r="849">
      <c r="A849" s="44">
        <v>848.0</v>
      </c>
      <c r="B849" s="44" t="str">
        <f>IFERROR(__xludf.DUMMYFUNCTION("""COMPUTED_VALUE"""),"Hospital Ana Francisca Pérez de")</f>
        <v>Hospital Ana Francisca Pérez de</v>
      </c>
      <c r="C849" s="45" t="str">
        <f>IFERROR(__xludf.DUMMYFUNCTION("""COMPUTED_VALUE"""),"DE SOUSA AUGUSTO")</f>
        <v>DE SOUSA AUGUSTO</v>
      </c>
      <c r="D849" s="44">
        <f>IFERROR(__xludf.DUMMYFUNCTION("""COMPUTED_VALUE"""),11.0)</f>
        <v>11</v>
      </c>
      <c r="E849" s="44" t="str">
        <f>IFERROR(__xludf.DUMMYFUNCTION("""COMPUTED_VALUE"""),"34055981")</f>
        <v>34055981</v>
      </c>
      <c r="F849" s="44" t="str">
        <f>IFERROR(__xludf.DUMMYFUNCTION("""COMPUTED_VALUE"""),"")</f>
        <v/>
      </c>
      <c r="G849" s="44" t="str">
        <f>IFERROR(__xludf.DUMMYFUNCTION("""COMPUTED_VALUE""")," ")</f>
        <v> </v>
      </c>
      <c r="H849" s="44" t="str">
        <f>IFERROR(__xludf.DUMMYFUNCTION("""COMPUTED_VALUE""")," ")</f>
        <v> </v>
      </c>
      <c r="I849" s="44" t="str">
        <f>IFERROR(__xludf.DUMMYFUNCTION("""COMPUTED_VALUE"""),"Internado; QUIROFANO")</f>
        <v>Internado; QUIROFANO</v>
      </c>
      <c r="J849" s="44" t="str">
        <f>IFERROR(__xludf.DUMMYFUNCTION("""COMPUTED_VALUE"""),"")</f>
        <v/>
      </c>
      <c r="K849" s="42" t="str">
        <f>IFERROR(__xludf.DUMMYFUNCTION("""COMPUTED_VALUE"""),"Hospital Ana Francisca Pérez de")</f>
        <v>Hospital Ana Francisca Pérez de</v>
      </c>
    </row>
    <row r="850">
      <c r="A850" s="44">
        <v>849.0</v>
      </c>
      <c r="B850" s="44" t="str">
        <f>IFERROR(__xludf.DUMMYFUNCTION("""COMPUTED_VALUE"""),"H. Jose Maria Vargas LG")</f>
        <v>H. Jose Maria Vargas LG</v>
      </c>
      <c r="C850" s="45" t="str">
        <f>IFERROR(__xludf.DUMMYFUNCTION("""COMPUTED_VALUE"""),"SALAZAR ARTURO")</f>
        <v>SALAZAR ARTURO</v>
      </c>
      <c r="D850" s="44">
        <f>IFERROR(__xludf.DUMMYFUNCTION("""COMPUTED_VALUE"""),13.0)</f>
        <v>13</v>
      </c>
      <c r="E850" s="44" t="str">
        <f>IFERROR(__xludf.DUMMYFUNCTION("""COMPUTED_VALUE"""),"34056073")</f>
        <v>34056073</v>
      </c>
      <c r="F850" s="44" t="str">
        <f>IFERROR(__xludf.DUMMYFUNCTION("""COMPUTED_VALUE"""),"")</f>
        <v/>
      </c>
      <c r="G850" s="44" t="str">
        <f>IFERROR(__xludf.DUMMYFUNCTION("""COMPUTED_VALUE""")," ")</f>
        <v> </v>
      </c>
      <c r="H850" s="44" t="str">
        <f>IFERROR(__xludf.DUMMYFUNCTION("""COMPUTED_VALUE""")," ")</f>
        <v> </v>
      </c>
      <c r="I850" s="44" t="str">
        <f>IFERROR(__xludf.DUMMYFUNCTION("""COMPUTED_VALUE"""),"Internado")</f>
        <v>Internado</v>
      </c>
      <c r="J850" s="44" t="str">
        <f>IFERROR(__xludf.DUMMYFUNCTION("""COMPUTED_VALUE"""),"")</f>
        <v/>
      </c>
      <c r="K850" s="42" t="str">
        <f>IFERROR(__xludf.DUMMYFUNCTION("""COMPUTED_VALUE"""),"H. Jose Maria Vargas LG")</f>
        <v>H. Jose Maria Vargas LG</v>
      </c>
    </row>
    <row r="851">
      <c r="A851" s="44">
        <v>850.0</v>
      </c>
      <c r="B851" s="44" t="str">
        <f>IFERROR(__xludf.DUMMYFUNCTION("""COMPUTED_VALUE"""),"Seguro Social La Guaira")</f>
        <v>Seguro Social La Guaira</v>
      </c>
      <c r="C851" s="45" t="str">
        <f>IFERROR(__xludf.DUMMYFUNCTION("""COMPUTED_VALUE"""),"ALONZO SALAZAR BAO")</f>
        <v>ALONZO SALAZAR BAO</v>
      </c>
      <c r="D851" s="44" t="str">
        <f>IFERROR(__xludf.DUMMYFUNCTION("""COMPUTED_VALUE""")," ")</f>
        <v> </v>
      </c>
      <c r="E851" s="44" t="str">
        <f>IFERROR(__xludf.DUMMYFUNCTION("""COMPUTED_VALUE"""),"340560730")</f>
        <v>340560730</v>
      </c>
      <c r="F851" s="44" t="str">
        <f>IFERROR(__xludf.DUMMYFUNCTION("""COMPUTED_VALUE"""),"")</f>
        <v/>
      </c>
      <c r="G851" s="44" t="str">
        <f>IFERROR(__xludf.DUMMYFUNCTION("""COMPUTED_VALUE""")," ")</f>
        <v> </v>
      </c>
      <c r="H851" s="44" t="str">
        <f>IFERROR(__xludf.DUMMYFUNCTION("""COMPUTED_VALUE"""),"Caraballeda")</f>
        <v>Caraballeda</v>
      </c>
      <c r="I851" s="44" t="str">
        <f>IFERROR(__xludf.DUMMYFUNCTION("""COMPUTED_VALUE""")," ")</f>
        <v> </v>
      </c>
      <c r="J851" s="44" t="str">
        <f>IFERROR(__xludf.DUMMYFUNCTION("""COMPUTED_VALUE"""),"")</f>
        <v/>
      </c>
      <c r="K851" s="42" t="str">
        <f>IFERROR(__xludf.DUMMYFUNCTION("""COMPUTED_VALUE"""),"Seguro Social La Guaira")</f>
        <v>Seguro Social La Guaira</v>
      </c>
    </row>
    <row r="852">
      <c r="A852" s="44">
        <v>851.0</v>
      </c>
      <c r="B852" s="44" t="str">
        <f>IFERROR(__xludf.DUMMYFUNCTION("""COMPUTED_VALUE"""),"Hospital Universitario de Carac")</f>
        <v>Hospital Universitario de Carac</v>
      </c>
      <c r="C852" s="45" t="str">
        <f>IFERROR(__xludf.DUMMYFUNCTION("""COMPUTED_VALUE"""),"SOLORZANO MARGOT")</f>
        <v>SOLORZANO MARGOT</v>
      </c>
      <c r="D852" s="44">
        <f>IFERROR(__xludf.DUMMYFUNCTION("""COMPUTED_VALUE"""),68.0)</f>
        <v>68</v>
      </c>
      <c r="E852" s="44" t="str">
        <f>IFERROR(__xludf.DUMMYFUNCTION("""COMPUTED_VALUE"""),"3405970")</f>
        <v>3405970</v>
      </c>
      <c r="F852" s="44" t="str">
        <f>IFERROR(__xludf.DUMMYFUNCTION("""COMPUTED_VALUE"""),"")</f>
        <v/>
      </c>
      <c r="G852" s="44" t="str">
        <f>IFERROR(__xludf.DUMMYFUNCTION("""COMPUTED_VALUE""")," ")</f>
        <v> </v>
      </c>
      <c r="H852" s="44" t="str">
        <f>IFERROR(__xludf.DUMMYFUNCTION("""COMPUTED_VALUE""")," ")</f>
        <v> </v>
      </c>
      <c r="I852" s="44" t="str">
        <f>IFERROR(__xludf.DUMMYFUNCTION("""COMPUTED_VALUE"""),"Politraumatismo")</f>
        <v>Politraumatismo</v>
      </c>
      <c r="J852" s="44" t="str">
        <f>IFERROR(__xludf.DUMMYFUNCTION("""COMPUTED_VALUE"""),"")</f>
        <v/>
      </c>
      <c r="K852" s="42" t="str">
        <f>IFERROR(__xludf.DUMMYFUNCTION("""COMPUTED_VALUE"""),"Hospital Universitario de Carac")</f>
        <v>Hospital Universitario de Carac</v>
      </c>
    </row>
    <row r="853">
      <c r="A853" s="44">
        <v>852.0</v>
      </c>
      <c r="B853" s="44" t="str">
        <f>IFERROR(__xludf.DUMMYFUNCTION("""COMPUTED_VALUE"""),"Hospital Vargas de Caracas")</f>
        <v>Hospital Vargas de Caracas</v>
      </c>
      <c r="C853" s="45" t="str">
        <f>IFERROR(__xludf.DUMMYFUNCTION("""COMPUTED_VALUE"""),"ALI JOSE")</f>
        <v>ALI JOSE</v>
      </c>
      <c r="D853" s="44" t="str">
        <f>IFERROR(__xludf.DUMMYFUNCTION("""COMPUTED_VALUE""")," ")</f>
        <v> </v>
      </c>
      <c r="E853" s="44" t="str">
        <f>IFERROR(__xludf.DUMMYFUNCTION("""COMPUTED_VALUE"""),"34063891")</f>
        <v>34063891</v>
      </c>
      <c r="F853" s="44" t="str">
        <f>IFERROR(__xludf.DUMMYFUNCTION("""COMPUTED_VALUE""")," ")</f>
        <v> </v>
      </c>
      <c r="G853" s="44" t="str">
        <f>IFERROR(__xludf.DUMMYFUNCTION("""COMPUTED_VALUE"""),"")</f>
        <v/>
      </c>
      <c r="H853" s="44" t="str">
        <f>IFERROR(__xludf.DUMMYFUNCTION("""COMPUTED_VALUE""")," ")</f>
        <v> </v>
      </c>
      <c r="I853" s="44" t="str">
        <f>IFERROR(__xludf.DUMMYFUNCTION("""COMPUTED_VALUE""")," ")</f>
        <v> </v>
      </c>
      <c r="J853" s="44" t="str">
        <f>IFERROR(__xludf.DUMMYFUNCTION("""COMPUTED_VALUE"""),"")</f>
        <v/>
      </c>
      <c r="K853" s="42" t="str">
        <f>IFERROR(__xludf.DUMMYFUNCTION("""COMPUTED_VALUE"""),"Hospital Vargas de Caracas")</f>
        <v>Hospital Vargas de Caracas</v>
      </c>
    </row>
    <row r="854">
      <c r="A854" s="44">
        <v>853.0</v>
      </c>
      <c r="B854" s="44" t="str">
        <f>IFERROR(__xludf.DUMMYFUNCTION("""COMPUTED_VALUE"""),"H. Jose Maria Vargas LG")</f>
        <v>H. Jose Maria Vargas LG</v>
      </c>
      <c r="C854" s="45" t="str">
        <f>IFERROR(__xludf.DUMMYFUNCTION("""COMPUTED_VALUE"""),"SEQUERA SOFIA")</f>
        <v>SEQUERA SOFIA</v>
      </c>
      <c r="D854" s="44">
        <f>IFERROR(__xludf.DUMMYFUNCTION("""COMPUTED_VALUE"""),15.0)</f>
        <v>15</v>
      </c>
      <c r="E854" s="44" t="str">
        <f>IFERROR(__xludf.DUMMYFUNCTION("""COMPUTED_VALUE"""),"34064137")</f>
        <v>34064137</v>
      </c>
      <c r="F854" s="44" t="str">
        <f>IFERROR(__xludf.DUMMYFUNCTION("""COMPUTED_VALUE"""),"")</f>
        <v/>
      </c>
      <c r="G854" s="44" t="str">
        <f>IFERROR(__xludf.DUMMYFUNCTION("""COMPUTED_VALUE""")," ")</f>
        <v> </v>
      </c>
      <c r="H854" s="44" t="str">
        <f>IFERROR(__xludf.DUMMYFUNCTION("""COMPUTED_VALUE""")," ")</f>
        <v> </v>
      </c>
      <c r="I854" s="44" t="str">
        <f>IFERROR(__xludf.DUMMYFUNCTION("""COMPUTED_VALUE"""),"Internado")</f>
        <v>Internado</v>
      </c>
      <c r="J854" s="44" t="str">
        <f>IFERROR(__xludf.DUMMYFUNCTION("""COMPUTED_VALUE"""),"")</f>
        <v/>
      </c>
      <c r="K854" s="42" t="str">
        <f>IFERROR(__xludf.DUMMYFUNCTION("""COMPUTED_VALUE"""),"H. Jose Maria Vargas LG")</f>
        <v>H. Jose Maria Vargas LG</v>
      </c>
    </row>
    <row r="855">
      <c r="A855" s="44">
        <v>854.0</v>
      </c>
      <c r="B855" s="44" t="str">
        <f>IFERROR(__xludf.DUMMYFUNCTION("""COMPUTED_VALUE"""),"Seguro Social La Guaira")</f>
        <v>Seguro Social La Guaira</v>
      </c>
      <c r="C855" s="45" t="str">
        <f>IFERROR(__xludf.DUMMYFUNCTION("""COMPUTED_VALUE"""),"SOFIA SOGUERE")</f>
        <v>SOFIA SOGUERE</v>
      </c>
      <c r="D855" s="44">
        <f>IFERROR(__xludf.DUMMYFUNCTION("""COMPUTED_VALUE"""),15.0)</f>
        <v>15</v>
      </c>
      <c r="E855" s="44" t="str">
        <f>IFERROR(__xludf.DUMMYFUNCTION("""COMPUTED_VALUE"""),"340641390")</f>
        <v>340641390</v>
      </c>
      <c r="F855" s="44" t="str">
        <f>IFERROR(__xludf.DUMMYFUNCTION("""COMPUTED_VALUE"""),"")</f>
        <v/>
      </c>
      <c r="G855" s="44" t="str">
        <f>IFERROR(__xludf.DUMMYFUNCTION("""COMPUTED_VALUE""")," ")</f>
        <v> </v>
      </c>
      <c r="H855" s="44" t="str">
        <f>IFERROR(__xludf.DUMMYFUNCTION("""COMPUTED_VALUE"""),"Playa Grande")</f>
        <v>Playa Grande</v>
      </c>
      <c r="I855" s="44" t="str">
        <f>IFERROR(__xludf.DUMMYFUNCTION("""COMPUTED_VALUE""")," ")</f>
        <v> </v>
      </c>
      <c r="J855" s="44" t="str">
        <f>IFERROR(__xludf.DUMMYFUNCTION("""COMPUTED_VALUE"""),"")</f>
        <v/>
      </c>
      <c r="K855" s="42" t="str">
        <f>IFERROR(__xludf.DUMMYFUNCTION("""COMPUTED_VALUE"""),"Seguro Social La Guaira")</f>
        <v>Seguro Social La Guaira</v>
      </c>
    </row>
    <row r="856">
      <c r="A856" s="44">
        <v>855.0</v>
      </c>
      <c r="B856" s="44" t="str">
        <f>IFERROR(__xludf.DUMMYFUNCTION("""COMPUTED_VALUE"""),"Hospital Vargas de Caracas")</f>
        <v>Hospital Vargas de Caracas</v>
      </c>
      <c r="C856" s="45" t="str">
        <f>IFERROR(__xludf.DUMMYFUNCTION("""COMPUTED_VALUE"""),"MARIN ANTONELLA")</f>
        <v>MARIN ANTONELLA</v>
      </c>
      <c r="D856" s="44">
        <f>IFERROR(__xludf.DUMMYFUNCTION("""COMPUTED_VALUE"""),17.0)</f>
        <v>17</v>
      </c>
      <c r="E856" s="44" t="str">
        <f>IFERROR(__xludf.DUMMYFUNCTION("""COMPUTED_VALUE"""),"34064183")</f>
        <v>34064183</v>
      </c>
      <c r="F856" s="44" t="str">
        <f>IFERROR(__xludf.DUMMYFUNCTION("""COMPUTED_VALUE""")," ")</f>
        <v> </v>
      </c>
      <c r="G856" s="44" t="str">
        <f>IFERROR(__xludf.DUMMYFUNCTION("""COMPUTED_VALUE"""),"")</f>
        <v/>
      </c>
      <c r="H856" s="44" t="str">
        <f>IFERROR(__xludf.DUMMYFUNCTION("""COMPUTED_VALUE"""),"La Guaira")</f>
        <v>La Guaira</v>
      </c>
      <c r="I856" s="44" t="str">
        <f>IFERROR(__xludf.DUMMYFUNCTION("""COMPUTED_VALUE"""),"UPT")</f>
        <v>UPT</v>
      </c>
      <c r="J856" s="44" t="str">
        <f>IFERROR(__xludf.DUMMYFUNCTION("""COMPUTED_VALUE"""),"")</f>
        <v/>
      </c>
      <c r="K856" s="42" t="str">
        <f>IFERROR(__xludf.DUMMYFUNCTION("""COMPUTED_VALUE"""),"Hospital Vargas de Caracas")</f>
        <v>Hospital Vargas de Caracas</v>
      </c>
    </row>
    <row r="857">
      <c r="A857" s="44">
        <v>856.0</v>
      </c>
      <c r="B857" s="44" t="str">
        <f>IFERROR(__xludf.DUMMYFUNCTION("""COMPUTED_VALUE"""),"Hospital Universitario de Carac")</f>
        <v>Hospital Universitario de Carac</v>
      </c>
      <c r="C857" s="45" t="str">
        <f>IFERROR(__xludf.DUMMYFUNCTION("""COMPUTED_VALUE"""),"SOSA EMILIA")</f>
        <v>SOSA EMILIA</v>
      </c>
      <c r="D857" s="44">
        <f>IFERROR(__xludf.DUMMYFUNCTION("""COMPUTED_VALUE"""),78.0)</f>
        <v>78</v>
      </c>
      <c r="E857" s="44" t="str">
        <f>IFERROR(__xludf.DUMMYFUNCTION("""COMPUTED_VALUE"""),"3409148")</f>
        <v>3409148</v>
      </c>
      <c r="F857" s="44" t="str">
        <f>IFERROR(__xludf.DUMMYFUNCTION("""COMPUTED_VALUE"""),"")</f>
        <v/>
      </c>
      <c r="G857" s="44" t="str">
        <f>IFERROR(__xludf.DUMMYFUNCTION("""COMPUTED_VALUE"""),"0414-3367038 / 0414-3361038")</f>
        <v>0414-3367038 / 0414-3361038</v>
      </c>
      <c r="H857" s="44" t="str">
        <f>IFERROR(__xludf.DUMMYFUNCTION("""COMPUTED_VALUE""")," ")</f>
        <v> </v>
      </c>
      <c r="I857" s="44" t="str">
        <f>IFERROR(__xludf.DUMMYFUNCTION("""COMPUTED_VALUE""")," ")</f>
        <v> </v>
      </c>
      <c r="J857" s="44" t="str">
        <f>IFERROR(__xludf.DUMMYFUNCTION("""COMPUTED_VALUE"""),"")</f>
        <v/>
      </c>
      <c r="K857" s="42" t="str">
        <f>IFERROR(__xludf.DUMMYFUNCTION("""COMPUTED_VALUE"""),"Hospital Universitario de Carac")</f>
        <v>Hospital Universitario de Carac</v>
      </c>
    </row>
    <row r="858">
      <c r="A858" s="44">
        <v>857.0</v>
      </c>
      <c r="B858" s="44" t="str">
        <f>IFERROR(__xludf.DUMMYFUNCTION("""COMPUTED_VALUE"""),"Hospital Domingo Luciani")</f>
        <v>Hospital Domingo Luciani</v>
      </c>
      <c r="C858" s="45" t="str">
        <f>IFERROR(__xludf.DUMMYFUNCTION("""COMPUTED_VALUE"""),"RODRIGUEZ CAMILA")</f>
        <v>RODRIGUEZ CAMILA</v>
      </c>
      <c r="D858" s="44">
        <f>IFERROR(__xludf.DUMMYFUNCTION("""COMPUTED_VALUE"""),17.0)</f>
        <v>17</v>
      </c>
      <c r="E858" s="44" t="str">
        <f>IFERROR(__xludf.DUMMYFUNCTION("""COMPUTED_VALUE"""),"34234386")</f>
        <v>34234386</v>
      </c>
      <c r="F858" s="44" t="str">
        <f>IFERROR(__xludf.DUMMYFUNCTION("""COMPUTED_VALUE"""),"")</f>
        <v/>
      </c>
      <c r="G858" s="44" t="str">
        <f>IFERROR(__xludf.DUMMYFUNCTION("""COMPUTED_VALUE""")," ")</f>
        <v> </v>
      </c>
      <c r="H858" s="44" t="str">
        <f>IFERROR(__xludf.DUMMYFUNCTION("""COMPUTED_VALUE""")," ")</f>
        <v> </v>
      </c>
      <c r="I858" s="44" t="str">
        <f>IFERROR(__xludf.DUMMYFUNCTION("""COMPUTED_VALUE"""),"Internado; Triaje")</f>
        <v>Internado; Triaje</v>
      </c>
      <c r="J858" s="44" t="str">
        <f>IFERROR(__xludf.DUMMYFUNCTION("""COMPUTED_VALUE"""),"")</f>
        <v/>
      </c>
      <c r="K858" s="42" t="str">
        <f>IFERROR(__xludf.DUMMYFUNCTION("""COMPUTED_VALUE"""),"🔍 BUSCAR PACIENTES")</f>
        <v>🔍 BUSCAR PACIENTES</v>
      </c>
    </row>
    <row r="859">
      <c r="A859" s="44">
        <v>858.0</v>
      </c>
      <c r="B859" s="44" t="str">
        <f>IFERROR(__xludf.DUMMYFUNCTION("""COMPUTED_VALUE"""),"Periférico de Catia")</f>
        <v>Periférico de Catia</v>
      </c>
      <c r="C859" s="45" t="str">
        <f>IFERROR(__xludf.DUMMYFUNCTION("""COMPUTED_VALUE"""),"VEGAS JENCO")</f>
        <v>VEGAS JENCO</v>
      </c>
      <c r="D859" s="44">
        <f>IFERROR(__xludf.DUMMYFUNCTION("""COMPUTED_VALUE"""),14.0)</f>
        <v>14</v>
      </c>
      <c r="E859" s="44" t="str">
        <f>IFERROR(__xludf.DUMMYFUNCTION("""COMPUTED_VALUE"""),"34273706")</f>
        <v>34273706</v>
      </c>
      <c r="F859" s="44" t="str">
        <f>IFERROR(__xludf.DUMMYFUNCTION("""COMPUTED_VALUE"""),"")</f>
        <v/>
      </c>
      <c r="G859" s="44" t="str">
        <f>IFERROR(__xludf.DUMMYFUNCTION("""COMPUTED_VALUE""")," ")</f>
        <v> </v>
      </c>
      <c r="H859" s="44" t="str">
        <f>IFERROR(__xludf.DUMMYFUNCTION("""COMPUTED_VALUE""")," ")</f>
        <v> </v>
      </c>
      <c r="I859" s="44" t="str">
        <f>IFERROR(__xludf.DUMMYFUNCTION("""COMPUTED_VALUE"""),"Cirugía/Trauma")</f>
        <v>Cirugía/Trauma</v>
      </c>
      <c r="J859" s="44" t="str">
        <f>IFERROR(__xludf.DUMMYFUNCTION("""COMPUTED_VALUE"""),"")</f>
        <v/>
      </c>
      <c r="K859" s="42" t="str">
        <f>IFERROR(__xludf.DUMMYFUNCTION("""COMPUTED_VALUE"""),"Periférico de Catia")</f>
        <v>Periférico de Catia</v>
      </c>
    </row>
    <row r="860">
      <c r="A860" s="44">
        <v>859.0</v>
      </c>
      <c r="B860" s="44" t="str">
        <f>IFERROR(__xludf.DUMMYFUNCTION("""COMPUTED_VALUE"""),"Periférico de Catia")</f>
        <v>Periférico de Catia</v>
      </c>
      <c r="C860" s="45" t="str">
        <f>IFERROR(__xludf.DUMMYFUNCTION("""COMPUTED_VALUE"""),"JESUS VEGAS")</f>
        <v>JESUS VEGAS</v>
      </c>
      <c r="D860" s="44">
        <f>IFERROR(__xludf.DUMMYFUNCTION("""COMPUTED_VALUE"""),14.0)</f>
        <v>14</v>
      </c>
      <c r="E860" s="44" t="str">
        <f>IFERROR(__xludf.DUMMYFUNCTION("""COMPUTED_VALUE"""),"342737060")</f>
        <v>342737060</v>
      </c>
      <c r="F860" s="44" t="str">
        <f>IFERROR(__xludf.DUMMYFUNCTION("""COMPUTED_VALUE"""),"")</f>
        <v/>
      </c>
      <c r="G860" s="44" t="str">
        <f>IFERROR(__xludf.DUMMYFUNCTION("""COMPUTED_VALUE""")," ")</f>
        <v> </v>
      </c>
      <c r="H860" s="44" t="str">
        <f>IFERROR(__xludf.DUMMYFUNCTION("""COMPUTED_VALUE"""),"Sin información")</f>
        <v>Sin información</v>
      </c>
      <c r="I860" s="44" t="str">
        <f>IFERROR(__xludf.DUMMYFUNCTION("""COMPUTED_VALUE"""),"Cirugía / Trauma")</f>
        <v>Cirugía / Trauma</v>
      </c>
      <c r="J860" s="44" t="str">
        <f>IFERROR(__xludf.DUMMYFUNCTION("""COMPUTED_VALUE"""),"")</f>
        <v/>
      </c>
      <c r="K860" s="42" t="str">
        <f>IFERROR(__xludf.DUMMYFUNCTION("""COMPUTED_VALUE"""),"Periférico de Catia")</f>
        <v>Periférico de Catia</v>
      </c>
    </row>
    <row r="861">
      <c r="A861" s="44">
        <v>860.0</v>
      </c>
      <c r="B861" s="44" t="str">
        <f>IFERROR(__xludf.DUMMYFUNCTION("""COMPUTED_VALUE"""),"Hospital Ana Francisca Pérez de")</f>
        <v>Hospital Ana Francisca Pérez de</v>
      </c>
      <c r="C861" s="45" t="str">
        <f>IFERROR(__xludf.DUMMYFUNCTION("""COMPUTED_VALUE"""),"CORDOVA IVAN")</f>
        <v>CORDOVA IVAN</v>
      </c>
      <c r="D861" s="44">
        <f>IFERROR(__xludf.DUMMYFUNCTION("""COMPUTED_VALUE"""),17.0)</f>
        <v>17</v>
      </c>
      <c r="E861" s="44" t="str">
        <f>IFERROR(__xludf.DUMMYFUNCTION("""COMPUTED_VALUE"""),"34309424")</f>
        <v>34309424</v>
      </c>
      <c r="F861" s="44" t="str">
        <f>IFERROR(__xludf.DUMMYFUNCTION("""COMPUTED_VALUE"""),"")</f>
        <v/>
      </c>
      <c r="G861" s="44" t="str">
        <f>IFERROR(__xludf.DUMMYFUNCTION("""COMPUTED_VALUE""")," ")</f>
        <v> </v>
      </c>
      <c r="H861" s="44" t="str">
        <f>IFERROR(__xludf.DUMMYFUNCTION("""COMPUTED_VALUE""")," ")</f>
        <v> </v>
      </c>
      <c r="I861" s="44" t="str">
        <f>IFERROR(__xludf.DUMMYFUNCTION("""COMPUTED_VALUE"""),"Internado")</f>
        <v>Internado</v>
      </c>
      <c r="J861" s="44" t="str">
        <f>IFERROR(__xludf.DUMMYFUNCTION("""COMPUTED_VALUE"""),"")</f>
        <v/>
      </c>
      <c r="K861" s="42" t="str">
        <f>IFERROR(__xludf.DUMMYFUNCTION("""COMPUTED_VALUE"""),"Hospital Ana Francisca Pérez de")</f>
        <v>Hospital Ana Francisca Pérez de</v>
      </c>
    </row>
    <row r="862">
      <c r="A862" s="44">
        <v>861.0</v>
      </c>
      <c r="B862" s="44" t="str">
        <f>IFERROR(__xludf.DUMMYFUNCTION("""COMPUTED_VALUE"""),"Hospital Dr. José Gregorio Hern")</f>
        <v>Hospital Dr. José Gregorio Hern</v>
      </c>
      <c r="C862" s="45" t="str">
        <f>IFERROR(__xludf.DUMMYFUNCTION("""COMPUTED_VALUE"""),"CANTERO TUNILDA")</f>
        <v>CANTERO TUNILDA</v>
      </c>
      <c r="D862" s="44">
        <f>IFERROR(__xludf.DUMMYFUNCTION("""COMPUTED_VALUE"""),41.0)</f>
        <v>41</v>
      </c>
      <c r="E862" s="44" t="str">
        <f>IFERROR(__xludf.DUMMYFUNCTION("""COMPUTED_VALUE"""),"34316929")</f>
        <v>34316929</v>
      </c>
      <c r="F862" s="44" t="str">
        <f>IFERROR(__xludf.DUMMYFUNCTION("""COMPUTED_VALUE"""),"")</f>
        <v/>
      </c>
      <c r="G862" s="44" t="str">
        <f>IFERROR(__xludf.DUMMYFUNCTION("""COMPUTED_VALUE""")," ")</f>
        <v> </v>
      </c>
      <c r="H862" s="44" t="str">
        <f>IFERROR(__xludf.DUMMYFUNCTION("""COMPUTED_VALUE"""),"Catia")</f>
        <v>Catia</v>
      </c>
      <c r="I862" s="44" t="str">
        <f>IFERROR(__xludf.DUMMYFUNCTION("""COMPUTED_VALUE""")," ")</f>
        <v> </v>
      </c>
      <c r="J862" s="44" t="str">
        <f>IFERROR(__xludf.DUMMYFUNCTION("""COMPUTED_VALUE"""),"")</f>
        <v/>
      </c>
      <c r="K862" s="42" t="str">
        <f>IFERROR(__xludf.DUMMYFUNCTION("""COMPUTED_VALUE"""),"Hospital Dr. José Gregorio Hern")</f>
        <v>Hospital Dr. José Gregorio Hern</v>
      </c>
    </row>
    <row r="863">
      <c r="A863" s="44">
        <v>862.0</v>
      </c>
      <c r="B863" s="44" t="str">
        <f>IFERROR(__xludf.DUMMYFUNCTION("""COMPUTED_VALUE"""),"Hospital Pérez Carreño")</f>
        <v>Hospital Pérez Carreño</v>
      </c>
      <c r="C863" s="45" t="str">
        <f>IFERROR(__xludf.DUMMYFUNCTION("""COMPUTED_VALUE"""),"ADRIANA SANDOVAL")</f>
        <v>ADRIANA SANDOVAL</v>
      </c>
      <c r="D863" s="44" t="str">
        <f>IFERROR(__xludf.DUMMYFUNCTION("""COMPUTED_VALUE""")," ")</f>
        <v> </v>
      </c>
      <c r="E863" s="44" t="str">
        <f>IFERROR(__xludf.DUMMYFUNCTION("""COMPUTED_VALUE"""),"345188770")</f>
        <v>345188770</v>
      </c>
      <c r="F863" s="44" t="str">
        <f>IFERROR(__xludf.DUMMYFUNCTION("""COMPUTED_VALUE"""),"")</f>
        <v/>
      </c>
      <c r="G863" s="44" t="str">
        <f>IFERROR(__xludf.DUMMYFUNCTION("""COMPUTED_VALUE""")," ")</f>
        <v> </v>
      </c>
      <c r="H863" s="44" t="str">
        <f>IFERROR(__xludf.DUMMYFUNCTION("""COMPUTED_VALUE""")," ")</f>
        <v> </v>
      </c>
      <c r="I863" s="44" t="str">
        <f>IFERROR(__xludf.DUMMYFUNCTION("""COMPUTED_VALUE""")," ")</f>
        <v> </v>
      </c>
      <c r="J863" s="44" t="str">
        <f>IFERROR(__xludf.DUMMYFUNCTION("""COMPUTED_VALUE"""),"25/06/2026")</f>
        <v>25/06/2026</v>
      </c>
      <c r="K863" s="42" t="str">
        <f>IFERROR(__xludf.DUMMYFUNCTION("""COMPUTED_VALUE"""),"Hospital Pérez Carreño")</f>
        <v>Hospital Pérez Carreño</v>
      </c>
    </row>
    <row r="864">
      <c r="A864" s="44">
        <v>863.0</v>
      </c>
      <c r="B864" s="44" t="str">
        <f>IFERROR(__xludf.DUMMYFUNCTION("""COMPUTED_VALUE"""),"Hospital Pérez Carreño")</f>
        <v>Hospital Pérez Carreño</v>
      </c>
      <c r="C864" s="45" t="str">
        <f>IFERROR(__xludf.DUMMYFUNCTION("""COMPUTED_VALUE"""),"SANDOVAL ARIANA")</f>
        <v>SANDOVAL ARIANA</v>
      </c>
      <c r="D864" s="44" t="str">
        <f>IFERROR(__xludf.DUMMYFUNCTION("""COMPUTED_VALUE""")," ")</f>
        <v> </v>
      </c>
      <c r="E864" s="44" t="str">
        <f>IFERROR(__xludf.DUMMYFUNCTION("""COMPUTED_VALUE"""),"34518879")</f>
        <v>34518879</v>
      </c>
      <c r="F864" s="44" t="str">
        <f>IFERROR(__xludf.DUMMYFUNCTION("""COMPUTED_VALUE"""),"")</f>
        <v/>
      </c>
      <c r="G864" s="44" t="str">
        <f>IFERROR(__xludf.DUMMYFUNCTION("""COMPUTED_VALUE""")," ")</f>
        <v> </v>
      </c>
      <c r="H864" s="44" t="str">
        <f>IFERROR(__xludf.DUMMYFUNCTION("""COMPUTED_VALUE""")," ")</f>
        <v> </v>
      </c>
      <c r="I864" s="44" t="str">
        <f>IFERROR(__xludf.DUMMYFUNCTION("""COMPUTED_VALUE""")," ")</f>
        <v> </v>
      </c>
      <c r="J864" s="44" t="str">
        <f>IFERROR(__xludf.DUMMYFUNCTION("""COMPUTED_VALUE"""),"25/06/2026")</f>
        <v>25/06/2026</v>
      </c>
      <c r="K864" s="42" t="str">
        <f>IFERROR(__xludf.DUMMYFUNCTION("""COMPUTED_VALUE"""),"Hospital Pérez Carreño")</f>
        <v>Hospital Pérez Carreño</v>
      </c>
    </row>
    <row r="865">
      <c r="A865" s="44">
        <v>864.0</v>
      </c>
      <c r="B865" s="44" t="str">
        <f>IFERROR(__xludf.DUMMYFUNCTION("""COMPUTED_VALUE"""),"Hospital Pérez Carreño")</f>
        <v>Hospital Pérez Carreño</v>
      </c>
      <c r="C865" s="45" t="str">
        <f>IFERROR(__xludf.DUMMYFUNCTION("""COMPUTED_VALUE"""),"ARIANA O ADRIANA SANDOVAL")</f>
        <v>ARIANA O ADRIANA SANDOVAL</v>
      </c>
      <c r="D865" s="44" t="str">
        <f>IFERROR(__xludf.DUMMYFUNCTION("""COMPUTED_VALUE"""),"Sin información")</f>
        <v>Sin información</v>
      </c>
      <c r="E865" s="44" t="str">
        <f>IFERROR(__xludf.DUMMYFUNCTION("""COMPUTED_VALUE"""),"345188790")</f>
        <v>345188790</v>
      </c>
      <c r="F865" s="44" t="str">
        <f>IFERROR(__xludf.DUMMYFUNCTION("""COMPUTED_VALUE"""),"")</f>
        <v/>
      </c>
      <c r="G865" s="44" t="str">
        <f>IFERROR(__xludf.DUMMYFUNCTION("""COMPUTED_VALUE""")," ")</f>
        <v> </v>
      </c>
      <c r="H865" s="44" t="str">
        <f>IFERROR(__xludf.DUMMYFUNCTION("""COMPUTED_VALUE"""),"Sin información")</f>
        <v>Sin información</v>
      </c>
      <c r="I865" s="44" t="str">
        <f>IFERROR(__xludf.DUMMYFUNCTION("""COMPUTED_VALUE"""),"Traslado desde La Guaira")</f>
        <v>Traslado desde La Guaira</v>
      </c>
      <c r="J865" s="44" t="str">
        <f>IFERROR(__xludf.DUMMYFUNCTION("""COMPUTED_VALUE"""),"25/06/2026")</f>
        <v>25/06/2026</v>
      </c>
      <c r="K865" s="42" t="str">
        <f>IFERROR(__xludf.DUMMYFUNCTION("""COMPUTED_VALUE"""),"Hospital Pérez Carreño")</f>
        <v>Hospital Pérez Carreño</v>
      </c>
    </row>
    <row r="866">
      <c r="A866" s="44">
        <v>865.0</v>
      </c>
      <c r="B866" s="44" t="str">
        <f>IFERROR(__xludf.DUMMYFUNCTION("""COMPUTED_VALUE"""),"Hospital Pérez Carreño")</f>
        <v>Hospital Pérez Carreño</v>
      </c>
      <c r="C866" s="45" t="str">
        <f>IFERROR(__xludf.DUMMYFUNCTION("""COMPUTED_VALUE"""),"ADRIANA SANDOVAL")</f>
        <v>ADRIANA SANDOVAL</v>
      </c>
      <c r="D866" s="44" t="str">
        <f>IFERROR(__xludf.DUMMYFUNCTION("""COMPUTED_VALUE"""),"Sin información")</f>
        <v>Sin información</v>
      </c>
      <c r="E866" s="44" t="str">
        <f>IFERROR(__xludf.DUMMYFUNCTION("""COMPUTED_VALUE"""),"345283770")</f>
        <v>345283770</v>
      </c>
      <c r="F866" s="44" t="str">
        <f>IFERROR(__xludf.DUMMYFUNCTION("""COMPUTED_VALUE"""),"")</f>
        <v/>
      </c>
      <c r="G866" s="44" t="str">
        <f>IFERROR(__xludf.DUMMYFUNCTION("""COMPUTED_VALUE""")," ")</f>
        <v> </v>
      </c>
      <c r="H866" s="44" t="str">
        <f>IFERROR(__xludf.DUMMYFUNCTION("""COMPUTED_VALUE"""),"Sin información")</f>
        <v>Sin información</v>
      </c>
      <c r="I866" s="44" t="str">
        <f>IFERROR(__xludf.DUMMYFUNCTION("""COMPUTED_VALUE"""),"Sin información")</f>
        <v>Sin información</v>
      </c>
      <c r="J866" s="44" t="str">
        <f>IFERROR(__xludf.DUMMYFUNCTION("""COMPUTED_VALUE"""),"25/06/2026")</f>
        <v>25/06/2026</v>
      </c>
      <c r="K866" s="42" t="str">
        <f>IFERROR(__xludf.DUMMYFUNCTION("""COMPUTED_VALUE"""),"Hospital Pérez Carreño")</f>
        <v>Hospital Pérez Carreño</v>
      </c>
    </row>
    <row r="867">
      <c r="A867" s="44">
        <v>866.0</v>
      </c>
      <c r="B867" s="44" t="str">
        <f>IFERROR(__xludf.DUMMYFUNCTION("""COMPUTED_VALUE"""),"Hospital Universitario de Carac")</f>
        <v>Hospital Universitario de Carac</v>
      </c>
      <c r="C867" s="45" t="str">
        <f>IFERROR(__xludf.DUMMYFUNCTION("""COMPUTED_VALUE"""),"WU SUSUP / SUSANA")</f>
        <v>WU SUSUP / SUSANA</v>
      </c>
      <c r="D867" s="44">
        <f>IFERROR(__xludf.DUMMYFUNCTION("""COMPUTED_VALUE"""),14.0)</f>
        <v>14</v>
      </c>
      <c r="E867" s="44" t="str">
        <f>IFERROR(__xludf.DUMMYFUNCTION("""COMPUTED_VALUE"""),"34553337")</f>
        <v>34553337</v>
      </c>
      <c r="F867" s="44" t="str">
        <f>IFERROR(__xludf.DUMMYFUNCTION("""COMPUTED_VALUE"""),"")</f>
        <v/>
      </c>
      <c r="G867" s="44" t="str">
        <f>IFERROR(__xludf.DUMMYFUNCTION("""COMPUTED_VALUE"""),"0412-3758541")</f>
        <v>0412-3758541</v>
      </c>
      <c r="H867" s="44" t="str">
        <f>IFERROR(__xludf.DUMMYFUNCTION("""COMPUTED_VALUE""")," ")</f>
        <v> </v>
      </c>
      <c r="I867" s="44" t="str">
        <f>IFERROR(__xludf.DUMMYFUNCTION("""COMPUTED_VALUE"""),"Politraumatismo")</f>
        <v>Politraumatismo</v>
      </c>
      <c r="J867" s="44" t="str">
        <f>IFERROR(__xludf.DUMMYFUNCTION("""COMPUTED_VALUE"""),"")</f>
        <v/>
      </c>
      <c r="K867" s="42" t="str">
        <f>IFERROR(__xludf.DUMMYFUNCTION("""COMPUTED_VALUE"""),"Hospital Universitario de Carac")</f>
        <v>Hospital Universitario de Carac</v>
      </c>
    </row>
    <row r="868">
      <c r="A868" s="44">
        <v>867.0</v>
      </c>
      <c r="B868" s="44" t="str">
        <f>IFERROR(__xludf.DUMMYFUNCTION("""COMPUTED_VALUE"""),"Hospital Pérez Carreño")</f>
        <v>Hospital Pérez Carreño</v>
      </c>
      <c r="C868" s="45" t="str">
        <f>IFERROR(__xludf.DUMMYFUNCTION("""COMPUTED_VALUE"""),"MORILLO ANABELLA")</f>
        <v>MORILLO ANABELLA</v>
      </c>
      <c r="D868" s="44" t="str">
        <f>IFERROR(__xludf.DUMMYFUNCTION("""COMPUTED_VALUE""")," ")</f>
        <v> </v>
      </c>
      <c r="E868" s="44" t="str">
        <f>IFERROR(__xludf.DUMMYFUNCTION("""COMPUTED_VALUE"""),"34588981")</f>
        <v>34588981</v>
      </c>
      <c r="F868" s="44" t="str">
        <f>IFERROR(__xludf.DUMMYFUNCTION("""COMPUTED_VALUE"""),"")</f>
        <v/>
      </c>
      <c r="G868" s="44" t="str">
        <f>IFERROR(__xludf.DUMMYFUNCTION("""COMPUTED_VALUE""")," ")</f>
        <v> </v>
      </c>
      <c r="H868" s="44" t="str">
        <f>IFERROR(__xludf.DUMMYFUNCTION("""COMPUTED_VALUE""")," ")</f>
        <v> </v>
      </c>
      <c r="I868" s="44" t="str">
        <f>IFERROR(__xludf.DUMMYFUNCTION("""COMPUTED_VALUE""")," ")</f>
        <v> </v>
      </c>
      <c r="J868" s="44" t="str">
        <f>IFERROR(__xludf.DUMMYFUNCTION("""COMPUTED_VALUE"""),"25/06/2026")</f>
        <v>25/06/2026</v>
      </c>
      <c r="K868" s="42" t="str">
        <f>IFERROR(__xludf.DUMMYFUNCTION("""COMPUTED_VALUE"""),"Hospital Pérez Carreño")</f>
        <v>Hospital Pérez Carreño</v>
      </c>
    </row>
    <row r="869">
      <c r="A869" s="44">
        <v>868.0</v>
      </c>
      <c r="B869" s="44" t="str">
        <f>IFERROR(__xludf.DUMMYFUNCTION("""COMPUTED_VALUE"""),"Hospital Pérez Carreño")</f>
        <v>Hospital Pérez Carreño</v>
      </c>
      <c r="C869" s="45" t="str">
        <f>IFERROR(__xludf.DUMMYFUNCTION("""COMPUTED_VALUE"""),"ANABELA MORILLO")</f>
        <v>ANABELA MORILLO</v>
      </c>
      <c r="D869" s="44" t="str">
        <f>IFERROR(__xludf.DUMMYFUNCTION("""COMPUTED_VALUE""")," ")</f>
        <v> </v>
      </c>
      <c r="E869" s="44" t="str">
        <f>IFERROR(__xludf.DUMMYFUNCTION("""COMPUTED_VALUE"""),"345889810")</f>
        <v>345889810</v>
      </c>
      <c r="F869" s="44" t="str">
        <f>IFERROR(__xludf.DUMMYFUNCTION("""COMPUTED_VALUE"""),"")</f>
        <v/>
      </c>
      <c r="G869" s="44" t="str">
        <f>IFERROR(__xludf.DUMMYFUNCTION("""COMPUTED_VALUE""")," ")</f>
        <v> </v>
      </c>
      <c r="H869" s="44" t="str">
        <f>IFERROR(__xludf.DUMMYFUNCTION("""COMPUTED_VALUE""")," ")</f>
        <v> </v>
      </c>
      <c r="I869" s="44" t="str">
        <f>IFERROR(__xludf.DUMMYFUNCTION("""COMPUTED_VALUE"""),"Triaje")</f>
        <v>Triaje</v>
      </c>
      <c r="J869" s="44" t="str">
        <f>IFERROR(__xludf.DUMMYFUNCTION("""COMPUTED_VALUE"""),"25/06/2026")</f>
        <v>25/06/2026</v>
      </c>
      <c r="K869" s="42" t="str">
        <f>IFERROR(__xludf.DUMMYFUNCTION("""COMPUTED_VALUE"""),"Hospital Pérez Carreño")</f>
        <v>Hospital Pérez Carreño</v>
      </c>
    </row>
    <row r="870">
      <c r="A870" s="44">
        <v>869.0</v>
      </c>
      <c r="B870" s="44" t="str">
        <f>IFERROR(__xludf.DUMMYFUNCTION("""COMPUTED_VALUE"""),"Hospital Pérez Carreño")</f>
        <v>Hospital Pérez Carreño</v>
      </c>
      <c r="C870" s="45" t="str">
        <f>IFERROR(__xludf.DUMMYFUNCTION("""COMPUTED_VALUE"""),"BECERRA LEONARDO")</f>
        <v>BECERRA LEONARDO</v>
      </c>
      <c r="D870" s="44" t="str">
        <f>IFERROR(__xludf.DUMMYFUNCTION("""COMPUTED_VALUE""")," ")</f>
        <v> </v>
      </c>
      <c r="E870" s="44" t="str">
        <f>IFERROR(__xludf.DUMMYFUNCTION("""COMPUTED_VALUE"""),"34800366")</f>
        <v>34800366</v>
      </c>
      <c r="F870" s="44" t="str">
        <f>IFERROR(__xludf.DUMMYFUNCTION("""COMPUTED_VALUE"""),"")</f>
        <v/>
      </c>
      <c r="G870" s="44" t="str">
        <f>IFERROR(__xludf.DUMMYFUNCTION("""COMPUTED_VALUE""")," ")</f>
        <v> </v>
      </c>
      <c r="H870" s="44" t="str">
        <f>IFERROR(__xludf.DUMMYFUNCTION("""COMPUTED_VALUE""")," ")</f>
        <v> </v>
      </c>
      <c r="I870" s="44" t="str">
        <f>IFERROR(__xludf.DUMMYFUNCTION("""COMPUTED_VALUE""")," ")</f>
        <v> </v>
      </c>
      <c r="J870" s="44" t="str">
        <f>IFERROR(__xludf.DUMMYFUNCTION("""COMPUTED_VALUE"""),"25/06/2026")</f>
        <v>25/06/2026</v>
      </c>
      <c r="K870" s="42" t="str">
        <f>IFERROR(__xludf.DUMMYFUNCTION("""COMPUTED_VALUE"""),"Hospital Pérez Carreño")</f>
        <v>Hospital Pérez Carreño</v>
      </c>
    </row>
    <row r="871">
      <c r="A871" s="44">
        <v>870.0</v>
      </c>
      <c r="B871" s="44" t="str">
        <f>IFERROR(__xludf.DUMMYFUNCTION("""COMPUTED_VALUE"""),"Hospital Pérez Carreño")</f>
        <v>Hospital Pérez Carreño</v>
      </c>
      <c r="C871" s="45" t="str">
        <f>IFERROR(__xludf.DUMMYFUNCTION("""COMPUTED_VALUE"""),"LEONARDO BECERRA")</f>
        <v>LEONARDO BECERRA</v>
      </c>
      <c r="D871" s="44" t="str">
        <f>IFERROR(__xludf.DUMMYFUNCTION("""COMPUTED_VALUE""")," ")</f>
        <v> </v>
      </c>
      <c r="E871" s="44" t="str">
        <f>IFERROR(__xludf.DUMMYFUNCTION("""COMPUTED_VALUE"""),"348003660")</f>
        <v>348003660</v>
      </c>
      <c r="F871" s="44" t="str">
        <f>IFERROR(__xludf.DUMMYFUNCTION("""COMPUTED_VALUE"""),"")</f>
        <v/>
      </c>
      <c r="G871" s="44" t="str">
        <f>IFERROR(__xludf.DUMMYFUNCTION("""COMPUTED_VALUE""")," ")</f>
        <v> </v>
      </c>
      <c r="H871" s="44" t="str">
        <f>IFERROR(__xludf.DUMMYFUNCTION("""COMPUTED_VALUE""")," ")</f>
        <v> </v>
      </c>
      <c r="I871" s="44" t="str">
        <f>IFERROR(__xludf.DUMMYFUNCTION("""COMPUTED_VALUE""")," ")</f>
        <v> </v>
      </c>
      <c r="J871" s="44" t="str">
        <f>IFERROR(__xludf.DUMMYFUNCTION("""COMPUTED_VALUE"""),"25/06/2026")</f>
        <v>25/06/2026</v>
      </c>
      <c r="K871" s="42" t="str">
        <f>IFERROR(__xludf.DUMMYFUNCTION("""COMPUTED_VALUE"""),"Hospital Pérez Carreño")</f>
        <v>Hospital Pérez Carreño</v>
      </c>
    </row>
    <row r="872">
      <c r="A872" s="44">
        <v>871.0</v>
      </c>
      <c r="B872" s="44" t="str">
        <f>IFERROR(__xludf.DUMMYFUNCTION("""COMPUTED_VALUE"""),"Hospital Pérez Carreño")</f>
        <v>Hospital Pérez Carreño</v>
      </c>
      <c r="C872" s="45" t="str">
        <f>IFERROR(__xludf.DUMMYFUNCTION("""COMPUTED_VALUE"""),"RLZZIAS IBSENI")</f>
        <v>RLZZIAS IBSENI</v>
      </c>
      <c r="D872" s="44" t="str">
        <f>IFERROR(__xludf.DUMMYFUNCTION("""COMPUTED_VALUE""")," ")</f>
        <v> </v>
      </c>
      <c r="E872" s="44" t="str">
        <f>IFERROR(__xludf.DUMMYFUNCTION("""COMPUTED_VALUE"""),"34891836")</f>
        <v>34891836</v>
      </c>
      <c r="F872" s="44" t="str">
        <f>IFERROR(__xludf.DUMMYFUNCTION("""COMPUTED_VALUE"""),"")</f>
        <v/>
      </c>
      <c r="G872" s="44" t="str">
        <f>IFERROR(__xludf.DUMMYFUNCTION("""COMPUTED_VALUE""")," ")</f>
        <v> </v>
      </c>
      <c r="H872" s="44" t="str">
        <f>IFERROR(__xludf.DUMMYFUNCTION("""COMPUTED_VALUE""")," ")</f>
        <v> </v>
      </c>
      <c r="I872" s="44" t="str">
        <f>IFERROR(__xludf.DUMMYFUNCTION("""COMPUTED_VALUE"""),"Internado")</f>
        <v>Internado</v>
      </c>
      <c r="J872" s="44" t="str">
        <f>IFERROR(__xludf.DUMMYFUNCTION("""COMPUTED_VALUE"""),"")</f>
        <v/>
      </c>
      <c r="K872" s="42" t="str">
        <f>IFERROR(__xludf.DUMMYFUNCTION("""COMPUTED_VALUE"""),"🔍 BUSCAR PACIENTES")</f>
        <v>🔍 BUSCAR PACIENTES</v>
      </c>
    </row>
    <row r="873">
      <c r="A873" s="44">
        <v>872.0</v>
      </c>
      <c r="B873" s="44" t="str">
        <f>IFERROR(__xludf.DUMMYFUNCTION("""COMPUTED_VALUE"""),"Hospital Dr. José Gregorio Hern")</f>
        <v>Hospital Dr. José Gregorio Hern</v>
      </c>
      <c r="C873" s="45" t="str">
        <f>IFERROR(__xludf.DUMMYFUNCTION("""COMPUTED_VALUE"""),"TOVAR SAMUEL")</f>
        <v>TOVAR SAMUEL</v>
      </c>
      <c r="D873" s="44">
        <f>IFERROR(__xludf.DUMMYFUNCTION("""COMPUTED_VALUE"""),13.0)</f>
        <v>13</v>
      </c>
      <c r="E873" s="44" t="str">
        <f>IFERROR(__xludf.DUMMYFUNCTION("""COMPUTED_VALUE"""),"35010914")</f>
        <v>35010914</v>
      </c>
      <c r="F873" s="44" t="str">
        <f>IFERROR(__xludf.DUMMYFUNCTION("""COMPUTED_VALUE"""),"")</f>
        <v/>
      </c>
      <c r="G873" s="44" t="str">
        <f>IFERROR(__xludf.DUMMYFUNCTION("""COMPUTED_VALUE""")," ")</f>
        <v> </v>
      </c>
      <c r="H873" s="44" t="str">
        <f>IFERROR(__xludf.DUMMYFUNCTION("""COMPUTED_VALUE"""),"Ciudad Caribea")</f>
        <v>Ciudad Caribea</v>
      </c>
      <c r="I873" s="44" t="str">
        <f>IFERROR(__xludf.DUMMYFUNCTION("""COMPUTED_VALUE""")," ")</f>
        <v> </v>
      </c>
      <c r="J873" s="44" t="str">
        <f>IFERROR(__xludf.DUMMYFUNCTION("""COMPUTED_VALUE"""),"")</f>
        <v/>
      </c>
      <c r="K873" s="42" t="str">
        <f>IFERROR(__xludf.DUMMYFUNCTION("""COMPUTED_VALUE"""),"Hospital Dr. José Gregorio Hern")</f>
        <v>Hospital Dr. José Gregorio Hern</v>
      </c>
    </row>
    <row r="874">
      <c r="A874" s="44">
        <v>873.0</v>
      </c>
      <c r="B874" s="44" t="str">
        <f>IFERROR(__xludf.DUMMYFUNCTION("""COMPUTED_VALUE"""),"Hospital Ana Francisca Pérez de")</f>
        <v>Hospital Ana Francisca Pérez de</v>
      </c>
      <c r="C874" s="45" t="str">
        <f>IFERROR(__xludf.DUMMYFUNCTION("""COMPUTED_VALUE"""),"FABIANA ALVAREZ")</f>
        <v>FABIANA ALVAREZ</v>
      </c>
      <c r="D874" s="44">
        <f>IFERROR(__xludf.DUMMYFUNCTION("""COMPUTED_VALUE"""),12.0)</f>
        <v>12</v>
      </c>
      <c r="E874" s="44" t="str">
        <f>IFERROR(__xludf.DUMMYFUNCTION("""COMPUTED_VALUE"""),"350150440")</f>
        <v>350150440</v>
      </c>
      <c r="F874" s="44" t="str">
        <f>IFERROR(__xludf.DUMMYFUNCTION("""COMPUTED_VALUE"""),"")</f>
        <v/>
      </c>
      <c r="G874" s="44" t="str">
        <f>IFERROR(__xludf.DUMMYFUNCTION("""COMPUTED_VALUE""")," ")</f>
        <v> </v>
      </c>
      <c r="H874" s="44" t="str">
        <f>IFERROR(__xludf.DUMMYFUNCTION("""COMPUTED_VALUE"""),"La Guaira")</f>
        <v>La Guaira</v>
      </c>
      <c r="I874" s="44" t="str">
        <f>IFERROR(__xludf.DUMMYFUNCTION("""COMPUTED_VALUE""")," ")</f>
        <v> </v>
      </c>
      <c r="J874" s="44" t="str">
        <f>IFERROR(__xludf.DUMMYFUNCTION("""COMPUTED_VALUE"""),"")</f>
        <v/>
      </c>
      <c r="K874" s="42" t="str">
        <f>IFERROR(__xludf.DUMMYFUNCTION("""COMPUTED_VALUE"""),"🔍 BUSCAR PACIENTES")</f>
        <v>🔍 BUSCAR PACIENTES</v>
      </c>
    </row>
    <row r="875">
      <c r="A875" s="44">
        <v>874.0</v>
      </c>
      <c r="B875" s="44" t="str">
        <f>IFERROR(__xludf.DUMMYFUNCTION("""COMPUTED_VALUE"""),"Hospital Ana Francisca Pérez de")</f>
        <v>Hospital Ana Francisca Pérez de</v>
      </c>
      <c r="C875" s="45" t="str">
        <f>IFERROR(__xludf.DUMMYFUNCTION("""COMPUTED_VALUE"""),"ALVAREZ FABIANA")</f>
        <v>ALVAREZ FABIANA</v>
      </c>
      <c r="D875" s="44">
        <f>IFERROR(__xludf.DUMMYFUNCTION("""COMPUTED_VALUE"""),12.0)</f>
        <v>12</v>
      </c>
      <c r="E875" s="44" t="str">
        <f>IFERROR(__xludf.DUMMYFUNCTION("""COMPUTED_VALUE"""),"3505049")</f>
        <v>3505049</v>
      </c>
      <c r="F875" s="44" t="str">
        <f>IFERROR(__xludf.DUMMYFUNCTION("""COMPUTED_VALUE"""),"")</f>
        <v/>
      </c>
      <c r="G875" s="44" t="str">
        <f>IFERROR(__xludf.DUMMYFUNCTION("""COMPUTED_VALUE""")," ")</f>
        <v> </v>
      </c>
      <c r="H875" s="44" t="str">
        <f>IFERROR(__xludf.DUMMYFUNCTION("""COMPUTED_VALUE"""),"La Guaira")</f>
        <v>La Guaira</v>
      </c>
      <c r="I875" s="44" t="str">
        <f>IFERROR(__xludf.DUMMYFUNCTION("""COMPUTED_VALUE""")," ")</f>
        <v> </v>
      </c>
      <c r="J875" s="44" t="str">
        <f>IFERROR(__xludf.DUMMYFUNCTION("""COMPUTED_VALUE"""),"")</f>
        <v/>
      </c>
      <c r="K875" s="42" t="str">
        <f>IFERROR(__xludf.DUMMYFUNCTION("""COMPUTED_VALUE"""),"Hospital Ana Francisca Pérez de")</f>
        <v>Hospital Ana Francisca Pérez de</v>
      </c>
    </row>
    <row r="876">
      <c r="A876" s="44">
        <v>875.0</v>
      </c>
      <c r="B876" s="44" t="str">
        <f>IFERROR(__xludf.DUMMYFUNCTION("""COMPUTED_VALUE"""),"Hospital Militar Dr. C. Arvelo")</f>
        <v>Hospital Militar Dr. C. Arvelo</v>
      </c>
      <c r="C876" s="45" t="str">
        <f>IFERROR(__xludf.DUMMYFUNCTION("""COMPUTED_VALUE"""),"Tadrón Mirian")</f>
        <v>Tadrón Mirian</v>
      </c>
      <c r="D876" s="44">
        <f>IFERROR(__xludf.DUMMYFUNCTION("""COMPUTED_VALUE"""),78.0)</f>
        <v>78</v>
      </c>
      <c r="E876" s="44" t="str">
        <f>IFERROR(__xludf.DUMMYFUNCTION("""COMPUTED_VALUE"""),"3551082")</f>
        <v>3551082</v>
      </c>
      <c r="F876" s="44" t="str">
        <f>IFERROR(__xludf.DUMMYFUNCTION("""COMPUTED_VALUE"""),"")</f>
        <v/>
      </c>
      <c r="G876" s="44" t="str">
        <f>IFERROR(__xludf.DUMMYFUNCTION("""COMPUTED_VALUE"""),"")</f>
        <v/>
      </c>
      <c r="H876" s="44" t="str">
        <f>IFERROR(__xludf.DUMMYFUNCTION("""COMPUTED_VALUE"""),"F")</f>
        <v>F</v>
      </c>
      <c r="I876" s="44" t="str">
        <f>IFERROR(__xludf.DUMMYFUNCTION("""COMPUTED_VALUE"""),"Capuchino AFILIADA")</f>
        <v>Capuchino AFILIADA</v>
      </c>
      <c r="J876" s="44" t="str">
        <f>IFERROR(__xludf.DUMMYFUNCTION("""COMPUTED_VALUE"""),"24/6/2026")</f>
        <v>24/6/2026</v>
      </c>
      <c r="K876" s="42" t="str">
        <f>IFERROR(__xludf.DUMMYFUNCTION("""COMPUTED_VALUE"""),"Hospital Militar Dr. C. Arvelo")</f>
        <v>Hospital Militar Dr. C. Arvelo</v>
      </c>
    </row>
    <row r="877">
      <c r="A877" s="44">
        <v>876.0</v>
      </c>
      <c r="B877" s="44" t="str">
        <f>IFERROR(__xludf.DUMMYFUNCTION("""COMPUTED_VALUE"""),"Periférico de Catia")</f>
        <v>Periférico de Catia</v>
      </c>
      <c r="C877" s="45" t="str">
        <f>IFERROR(__xludf.DUMMYFUNCTION("""COMPUTED_VALUE"""),"YANES SILVIA")</f>
        <v>YANES SILVIA</v>
      </c>
      <c r="D877" s="44">
        <f>IFERROR(__xludf.DUMMYFUNCTION("""COMPUTED_VALUE"""),77.0)</f>
        <v>77</v>
      </c>
      <c r="E877" s="44" t="str">
        <f>IFERROR(__xludf.DUMMYFUNCTION("""COMPUTED_VALUE"""),"3557870")</f>
        <v>3557870</v>
      </c>
      <c r="F877" s="44" t="str">
        <f>IFERROR(__xludf.DUMMYFUNCTION("""COMPUTED_VALUE"""),"")</f>
        <v/>
      </c>
      <c r="G877" s="44" t="str">
        <f>IFERROR(__xludf.DUMMYFUNCTION("""COMPUTED_VALUE""")," ")</f>
        <v> </v>
      </c>
      <c r="H877" s="44" t="str">
        <f>IFERROR(__xludf.DUMMYFUNCTION("""COMPUTED_VALUE""")," ")</f>
        <v> </v>
      </c>
      <c r="I877" s="44" t="str">
        <f>IFERROR(__xludf.DUMMYFUNCTION("""COMPUTED_VALUE"""),"Cirugía General")</f>
        <v>Cirugía General</v>
      </c>
      <c r="J877" s="44" t="str">
        <f>IFERROR(__xludf.DUMMYFUNCTION("""COMPUTED_VALUE"""),"")</f>
        <v/>
      </c>
      <c r="K877" s="42" t="str">
        <f>IFERROR(__xludf.DUMMYFUNCTION("""COMPUTED_VALUE"""),"Periférico de Catia")</f>
        <v>Periférico de Catia</v>
      </c>
    </row>
    <row r="878">
      <c r="A878" s="44">
        <v>877.0</v>
      </c>
      <c r="B878" s="44" t="str">
        <f>IFERROR(__xludf.DUMMYFUNCTION("""COMPUTED_VALUE"""),"Periférico de Catia")</f>
        <v>Periférico de Catia</v>
      </c>
      <c r="C878" s="45" t="str">
        <f>IFERROR(__xludf.DUMMYFUNCTION("""COMPUTED_VALUE"""),"YANES SILVIA")</f>
        <v>YANES SILVIA</v>
      </c>
      <c r="D878" s="44">
        <f>IFERROR(__xludf.DUMMYFUNCTION("""COMPUTED_VALUE"""),77.0)</f>
        <v>77</v>
      </c>
      <c r="E878" s="44" t="str">
        <f>IFERROR(__xludf.DUMMYFUNCTION("""COMPUTED_VALUE"""),"35578700")</f>
        <v>35578700</v>
      </c>
      <c r="F878" s="44" t="str">
        <f>IFERROR(__xludf.DUMMYFUNCTION("""COMPUTED_VALUE"""),"")</f>
        <v/>
      </c>
      <c r="G878" s="44" t="str">
        <f>IFERROR(__xludf.DUMMYFUNCTION("""COMPUTED_VALUE""")," ")</f>
        <v> </v>
      </c>
      <c r="H878" s="44" t="str">
        <f>IFERROR(__xludf.DUMMYFUNCTION("""COMPUTED_VALUE""")," ")</f>
        <v> </v>
      </c>
      <c r="I878" s="44" t="str">
        <f>IFERROR(__xludf.DUMMYFUNCTION("""COMPUTED_VALUE"""),"Cirugía General")</f>
        <v>Cirugía General</v>
      </c>
      <c r="J878" s="44" t="str">
        <f>IFERROR(__xludf.DUMMYFUNCTION("""COMPUTED_VALUE"""),"")</f>
        <v/>
      </c>
      <c r="K878" s="42" t="str">
        <f>IFERROR(__xludf.DUMMYFUNCTION("""COMPUTED_VALUE"""),"Periférico de Catia")</f>
        <v>Periférico de Catia</v>
      </c>
    </row>
    <row r="879">
      <c r="A879" s="44">
        <v>878.0</v>
      </c>
      <c r="B879" s="44" t="str">
        <f>IFERROR(__xludf.DUMMYFUNCTION("""COMPUTED_VALUE"""),"Hospital Universitario de Carac")</f>
        <v>Hospital Universitario de Carac</v>
      </c>
      <c r="C879" s="45" t="str">
        <f>IFERROR(__xludf.DUMMYFUNCTION("""COMPUTED_VALUE"""),"PANTOJA RAINER")</f>
        <v>PANTOJA RAINER</v>
      </c>
      <c r="D879" s="44">
        <f>IFERROR(__xludf.DUMMYFUNCTION("""COMPUTED_VALUE"""),17.0)</f>
        <v>17</v>
      </c>
      <c r="E879" s="44" t="str">
        <f>IFERROR(__xludf.DUMMYFUNCTION("""COMPUTED_VALUE"""),"36085467")</f>
        <v>36085467</v>
      </c>
      <c r="F879" s="44" t="str">
        <f>IFERROR(__xludf.DUMMYFUNCTION("""COMPUTED_VALUE"""),"")</f>
        <v/>
      </c>
      <c r="G879" s="44" t="str">
        <f>IFERROR(__xludf.DUMMYFUNCTION("""COMPUTED_VALUE"""),"0424-2562305")</f>
        <v>0424-2562305</v>
      </c>
      <c r="H879" s="44" t="str">
        <f>IFERROR(__xludf.DUMMYFUNCTION("""COMPUTED_VALUE""")," ")</f>
        <v> </v>
      </c>
      <c r="I879" s="44" t="str">
        <f>IFERROR(__xludf.DUMMYFUNCTION("""COMPUTED_VALUE""")," ")</f>
        <v> </v>
      </c>
      <c r="J879" s="44" t="str">
        <f>IFERROR(__xludf.DUMMYFUNCTION("""COMPUTED_VALUE"""),"")</f>
        <v/>
      </c>
      <c r="K879" s="42" t="str">
        <f>IFERROR(__xludf.DUMMYFUNCTION("""COMPUTED_VALUE"""),"Hospital Universitario de Carac")</f>
        <v>Hospital Universitario de Carac</v>
      </c>
    </row>
    <row r="880">
      <c r="A880" s="44">
        <v>879.0</v>
      </c>
      <c r="B880" s="44" t="str">
        <f>IFERROR(__xludf.DUMMYFUNCTION("""COMPUTED_VALUE"""),"Hospital Pérez Carreño")</f>
        <v>Hospital Pérez Carreño</v>
      </c>
      <c r="C880" s="45" t="str">
        <f>IFERROR(__xludf.DUMMYFUNCTION("""COMPUTED_VALUE"""),"RIVERO KARLEIDI")</f>
        <v>RIVERO KARLEIDI</v>
      </c>
      <c r="D880" s="44" t="str">
        <f>IFERROR(__xludf.DUMMYFUNCTION("""COMPUTED_VALUE""")," ")</f>
        <v> </v>
      </c>
      <c r="E880" s="44" t="str">
        <f>IFERROR(__xludf.DUMMYFUNCTION("""COMPUTED_VALUE"""),"36091784")</f>
        <v>36091784</v>
      </c>
      <c r="F880" s="44" t="str">
        <f>IFERROR(__xludf.DUMMYFUNCTION("""COMPUTED_VALUE"""),"")</f>
        <v/>
      </c>
      <c r="G880" s="44" t="str">
        <f>IFERROR(__xludf.DUMMYFUNCTION("""COMPUTED_VALUE""")," ")</f>
        <v> </v>
      </c>
      <c r="H880" s="44" t="str">
        <f>IFERROR(__xludf.DUMMYFUNCTION("""COMPUTED_VALUE""")," ")</f>
        <v> </v>
      </c>
      <c r="I880" s="44" t="str">
        <f>IFERROR(__xludf.DUMMYFUNCTION("""COMPUTED_VALUE""")," ")</f>
        <v> </v>
      </c>
      <c r="J880" s="44" t="str">
        <f>IFERROR(__xludf.DUMMYFUNCTION("""COMPUTED_VALUE"""),"25/06/2026")</f>
        <v>25/06/2026</v>
      </c>
      <c r="K880" s="42" t="str">
        <f>IFERROR(__xludf.DUMMYFUNCTION("""COMPUTED_VALUE"""),"Hospital Pérez Carreño")</f>
        <v>Hospital Pérez Carreño</v>
      </c>
    </row>
    <row r="881">
      <c r="A881" s="44">
        <v>880.0</v>
      </c>
      <c r="B881" s="44" t="str">
        <f>IFERROR(__xludf.DUMMYFUNCTION("""COMPUTED_VALUE"""),"Hospital Pérez Carreño")</f>
        <v>Hospital Pérez Carreño</v>
      </c>
      <c r="C881" s="45" t="str">
        <f>IFERROR(__xludf.DUMMYFUNCTION("""COMPUTED_VALUE"""),"HARLEIDI RIVERO")</f>
        <v>HARLEIDI RIVERO</v>
      </c>
      <c r="D881" s="44" t="str">
        <f>IFERROR(__xludf.DUMMYFUNCTION("""COMPUTED_VALUE""")," ")</f>
        <v> </v>
      </c>
      <c r="E881" s="44" t="str">
        <f>IFERROR(__xludf.DUMMYFUNCTION("""COMPUTED_VALUE"""),"360917840")</f>
        <v>360917840</v>
      </c>
      <c r="F881" s="44" t="str">
        <f>IFERROR(__xludf.DUMMYFUNCTION("""COMPUTED_VALUE"""),"")</f>
        <v/>
      </c>
      <c r="G881" s="44" t="str">
        <f>IFERROR(__xludf.DUMMYFUNCTION("""COMPUTED_VALUE""")," ")</f>
        <v> </v>
      </c>
      <c r="H881" s="44" t="str">
        <f>IFERROR(__xludf.DUMMYFUNCTION("""COMPUTED_VALUE""")," ")</f>
        <v> </v>
      </c>
      <c r="I881" s="44" t="str">
        <f>IFERROR(__xludf.DUMMYFUNCTION("""COMPUTED_VALUE"""),"Triaje")</f>
        <v>Triaje</v>
      </c>
      <c r="J881" s="44" t="str">
        <f>IFERROR(__xludf.DUMMYFUNCTION("""COMPUTED_VALUE"""),"25/06/2026")</f>
        <v>25/06/2026</v>
      </c>
      <c r="K881" s="42" t="str">
        <f>IFERROR(__xludf.DUMMYFUNCTION("""COMPUTED_VALUE"""),"Hospital Pérez Carreño")</f>
        <v>Hospital Pérez Carreño</v>
      </c>
    </row>
    <row r="882">
      <c r="A882" s="44">
        <v>881.0</v>
      </c>
      <c r="B882" s="44" t="str">
        <f>IFERROR(__xludf.DUMMYFUNCTION("""COMPUTED_VALUE"""),"Hospital Ana Francisca Pérez de")</f>
        <v>Hospital Ana Francisca Pérez de</v>
      </c>
      <c r="C882" s="45" t="str">
        <f>IFERROR(__xludf.DUMMYFUNCTION("""COMPUTED_VALUE"""),"CAMILA ORFAO")</f>
        <v>CAMILA ORFAO</v>
      </c>
      <c r="D882" s="44">
        <f>IFERROR(__xludf.DUMMYFUNCTION("""COMPUTED_VALUE"""),12.0)</f>
        <v>12</v>
      </c>
      <c r="E882" s="44" t="str">
        <f>IFERROR(__xludf.DUMMYFUNCTION("""COMPUTED_VALUE"""),"361081510")</f>
        <v>361081510</v>
      </c>
      <c r="F882" s="44" t="str">
        <f>IFERROR(__xludf.DUMMYFUNCTION("""COMPUTED_VALUE"""),"")</f>
        <v/>
      </c>
      <c r="G882" s="44" t="str">
        <f>IFERROR(__xludf.DUMMYFUNCTION("""COMPUTED_VALUE""")," ")</f>
        <v> </v>
      </c>
      <c r="H882" s="44" t="str">
        <f>IFERROR(__xludf.DUMMYFUNCTION("""COMPUTED_VALUE"""),"La Guaira")</f>
        <v>La Guaira</v>
      </c>
      <c r="I882" s="44" t="str">
        <f>IFERROR(__xludf.DUMMYFUNCTION("""COMPUTED_VALUE""")," ")</f>
        <v> </v>
      </c>
      <c r="J882" s="44" t="str">
        <f>IFERROR(__xludf.DUMMYFUNCTION("""COMPUTED_VALUE"""),"")</f>
        <v/>
      </c>
      <c r="K882" s="42" t="str">
        <f>IFERROR(__xludf.DUMMYFUNCTION("""COMPUTED_VALUE"""),"🔍 BUSCAR PACIENTES")</f>
        <v>🔍 BUSCAR PACIENTES</v>
      </c>
    </row>
    <row r="883">
      <c r="A883" s="44">
        <v>882.0</v>
      </c>
      <c r="B883" s="44" t="str">
        <f>IFERROR(__xludf.DUMMYFUNCTION("""COMPUTED_VALUE"""),"Hospital Militar Dr. C. Arvelo")</f>
        <v>Hospital Militar Dr. C. Arvelo</v>
      </c>
      <c r="C883" s="45" t="str">
        <f>IFERROR(__xludf.DUMMYFUNCTION("""COMPUTED_VALUE"""),"Guanche Delfín")</f>
        <v>Guanche Delfín</v>
      </c>
      <c r="D883" s="44">
        <f>IFERROR(__xludf.DUMMYFUNCTION("""COMPUTED_VALUE"""),74.0)</f>
        <v>74</v>
      </c>
      <c r="E883" s="44" t="str">
        <f>IFERROR(__xludf.DUMMYFUNCTION("""COMPUTED_VALUE"""),"3611764")</f>
        <v>3611764</v>
      </c>
      <c r="F883" s="44" t="str">
        <f>IFERROR(__xludf.DUMMYFUNCTION("""COMPUTED_VALUE"""),"")</f>
        <v/>
      </c>
      <c r="G883" s="44" t="str">
        <f>IFERROR(__xludf.DUMMYFUNCTION("""COMPUTED_VALUE"""),"")</f>
        <v/>
      </c>
      <c r="H883" s="44" t="str">
        <f>IFERROR(__xludf.DUMMYFUNCTION("""COMPUTED_VALUE"""),"M")</f>
        <v>M</v>
      </c>
      <c r="I883" s="44" t="str">
        <f>IFERROR(__xludf.DUMMYFUNCTION("""COMPUTED_VALUE"""),"La Guaira PNA")</f>
        <v>La Guaira PNA</v>
      </c>
      <c r="J883" s="44" t="str">
        <f>IFERROR(__xludf.DUMMYFUNCTION("""COMPUTED_VALUE"""),"24/6/2026")</f>
        <v>24/6/2026</v>
      </c>
      <c r="K883" s="42" t="str">
        <f>IFERROR(__xludf.DUMMYFUNCTION("""COMPUTED_VALUE"""),"Hospital Militar Dr. C. Arvelo")</f>
        <v>Hospital Militar Dr. C. Arvelo</v>
      </c>
    </row>
    <row r="884">
      <c r="A884" s="44">
        <v>883.0</v>
      </c>
      <c r="B884" s="44" t="str">
        <f>IFERROR(__xludf.DUMMYFUNCTION("""COMPUTED_VALUE"""),"Hospital Universitario de Carac")</f>
        <v>Hospital Universitario de Carac</v>
      </c>
      <c r="C884" s="45" t="str">
        <f>IFERROR(__xludf.DUMMYFUNCTION("""COMPUTED_VALUE"""),"CACERES NATALIA")</f>
        <v>CACERES NATALIA</v>
      </c>
      <c r="D884" s="44">
        <f>IFERROR(__xludf.DUMMYFUNCTION("""COMPUTED_VALUE"""),13.0)</f>
        <v>13</v>
      </c>
      <c r="E884" s="44" t="str">
        <f>IFERROR(__xludf.DUMMYFUNCTION("""COMPUTED_VALUE"""),"36192938")</f>
        <v>36192938</v>
      </c>
      <c r="F884" s="44" t="str">
        <f>IFERROR(__xludf.DUMMYFUNCTION("""COMPUTED_VALUE"""),"")</f>
        <v/>
      </c>
      <c r="G884" s="44" t="str">
        <f>IFERROR(__xludf.DUMMYFUNCTION("""COMPUTED_VALUE"""),"0424-1507138")</f>
        <v>0424-1507138</v>
      </c>
      <c r="H884" s="44" t="str">
        <f>IFERROR(__xludf.DUMMYFUNCTION("""COMPUTED_VALUE""")," ")</f>
        <v> </v>
      </c>
      <c r="I884" s="44" t="str">
        <f>IFERROR(__xludf.DUMMYFUNCTION("""COMPUTED_VALUE""")," ")</f>
        <v> </v>
      </c>
      <c r="J884" s="44" t="str">
        <f>IFERROR(__xludf.DUMMYFUNCTION("""COMPUTED_VALUE"""),"")</f>
        <v/>
      </c>
      <c r="K884" s="42" t="str">
        <f>IFERROR(__xludf.DUMMYFUNCTION("""COMPUTED_VALUE"""),"Hospital Universitario de Carac")</f>
        <v>Hospital Universitario de Carac</v>
      </c>
    </row>
    <row r="885">
      <c r="A885" s="44">
        <v>884.0</v>
      </c>
      <c r="B885" s="44" t="str">
        <f>IFERROR(__xludf.DUMMYFUNCTION("""COMPUTED_VALUE"""),"Hospital Ana Francisca Pérez de")</f>
        <v>Hospital Ana Francisca Pérez de</v>
      </c>
      <c r="C885" s="45" t="str">
        <f>IFERROR(__xludf.DUMMYFUNCTION("""COMPUTED_VALUE"""),"ORFAO PAMELA")</f>
        <v>ORFAO PAMELA</v>
      </c>
      <c r="D885" s="44">
        <f>IFERROR(__xludf.DUMMYFUNCTION("""COMPUTED_VALUE"""),12.0)</f>
        <v>12</v>
      </c>
      <c r="E885" s="44" t="str">
        <f>IFERROR(__xludf.DUMMYFUNCTION("""COMPUTED_VALUE"""),"36308151")</f>
        <v>36308151</v>
      </c>
      <c r="F885" s="44" t="str">
        <f>IFERROR(__xludf.DUMMYFUNCTION("""COMPUTED_VALUE"""),"")</f>
        <v/>
      </c>
      <c r="G885" s="44" t="str">
        <f>IFERROR(__xludf.DUMMYFUNCTION("""COMPUTED_VALUE""")," ")</f>
        <v> </v>
      </c>
      <c r="H885" s="44" t="str">
        <f>IFERROR(__xludf.DUMMYFUNCTION("""COMPUTED_VALUE"""),"La Guaira")</f>
        <v>La Guaira</v>
      </c>
      <c r="I885" s="44" t="str">
        <f>IFERROR(__xludf.DUMMYFUNCTION("""COMPUTED_VALUE""")," ")</f>
        <v> </v>
      </c>
      <c r="J885" s="44" t="str">
        <f>IFERROR(__xludf.DUMMYFUNCTION("""COMPUTED_VALUE"""),"")</f>
        <v/>
      </c>
      <c r="K885" s="42" t="str">
        <f>IFERROR(__xludf.DUMMYFUNCTION("""COMPUTED_VALUE"""),"Hospital Ana Francisca Pérez de")</f>
        <v>Hospital Ana Francisca Pérez de</v>
      </c>
    </row>
    <row r="886">
      <c r="A886" s="44">
        <v>885.0</v>
      </c>
      <c r="B886" s="44" t="str">
        <f>IFERROR(__xludf.DUMMYFUNCTION("""COMPUTED_VALUE"""),"Hospital Vargas de Caracas")</f>
        <v>Hospital Vargas de Caracas</v>
      </c>
      <c r="C886" s="45" t="str">
        <f>IFERROR(__xludf.DUMMYFUNCTION("""COMPUTED_VALUE"""),"CARRASQUELO SANTIAGO")</f>
        <v>CARRASQUELO SANTIAGO</v>
      </c>
      <c r="D886" s="44">
        <f>IFERROR(__xludf.DUMMYFUNCTION("""COMPUTED_VALUE"""),14.0)</f>
        <v>14</v>
      </c>
      <c r="E886" s="44" t="str">
        <f>IFERROR(__xludf.DUMMYFUNCTION("""COMPUTED_VALUE"""),"36337677")</f>
        <v>36337677</v>
      </c>
      <c r="F886" s="44" t="str">
        <f>IFERROR(__xludf.DUMMYFUNCTION("""COMPUTED_VALUE""")," ")</f>
        <v> </v>
      </c>
      <c r="G886" s="44" t="str">
        <f>IFERROR(__xludf.DUMMYFUNCTION("""COMPUTED_VALUE"""),"")</f>
        <v/>
      </c>
      <c r="H886" s="44" t="str">
        <f>IFERROR(__xludf.DUMMYFUNCTION("""COMPUTED_VALUE"""),"La Guaira")</f>
        <v>La Guaira</v>
      </c>
      <c r="I886" s="44" t="str">
        <f>IFERROR(__xludf.DUMMYFUNCTION("""COMPUTED_VALUE"""),"UPT")</f>
        <v>UPT</v>
      </c>
      <c r="J886" s="44" t="str">
        <f>IFERROR(__xludf.DUMMYFUNCTION("""COMPUTED_VALUE"""),"")</f>
        <v/>
      </c>
      <c r="K886" s="42" t="str">
        <f>IFERROR(__xludf.DUMMYFUNCTION("""COMPUTED_VALUE"""),"Hospital Vargas de Caracas")</f>
        <v>Hospital Vargas de Caracas</v>
      </c>
    </row>
    <row r="887">
      <c r="A887" s="44">
        <v>886.0</v>
      </c>
      <c r="B887" s="44" t="str">
        <f>IFERROR(__xludf.DUMMYFUNCTION("""COMPUTED_VALUE"""),"Seguro Social La Guaira")</f>
        <v>Seguro Social La Guaira</v>
      </c>
      <c r="C887" s="45" t="str">
        <f>IFERROR(__xludf.DUMMYFUNCTION("""COMPUTED_VALUE"""),"SANTIAGO CARASQUEL")</f>
        <v>SANTIAGO CARASQUEL</v>
      </c>
      <c r="D887" s="44" t="str">
        <f>IFERROR(__xludf.DUMMYFUNCTION("""COMPUTED_VALUE""")," ")</f>
        <v> </v>
      </c>
      <c r="E887" s="44" t="str">
        <f>IFERROR(__xludf.DUMMYFUNCTION("""COMPUTED_VALUE"""),"363376770")</f>
        <v>363376770</v>
      </c>
      <c r="F887" s="44" t="str">
        <f>IFERROR(__xludf.DUMMYFUNCTION("""COMPUTED_VALUE"""),"")</f>
        <v/>
      </c>
      <c r="G887" s="44" t="str">
        <f>IFERROR(__xludf.DUMMYFUNCTION("""COMPUTED_VALUE""")," ")</f>
        <v> </v>
      </c>
      <c r="H887" s="44" t="str">
        <f>IFERROR(__xludf.DUMMYFUNCTION("""COMPUTED_VALUE"""),"Corales")</f>
        <v>Corales</v>
      </c>
      <c r="I887" s="44" t="str">
        <f>IFERROR(__xludf.DUMMYFUNCTION("""COMPUTED_VALUE""")," ")</f>
        <v> </v>
      </c>
      <c r="J887" s="44" t="str">
        <f>IFERROR(__xludf.DUMMYFUNCTION("""COMPUTED_VALUE"""),"")</f>
        <v/>
      </c>
      <c r="K887" s="42" t="str">
        <f>IFERROR(__xludf.DUMMYFUNCTION("""COMPUTED_VALUE"""),"Seguro Social La Guaira")</f>
        <v>Seguro Social La Guaira</v>
      </c>
    </row>
    <row r="888">
      <c r="A888" s="44">
        <v>887.0</v>
      </c>
      <c r="B888" s="44" t="str">
        <f>IFERROR(__xludf.DUMMYFUNCTION("""COMPUTED_VALUE"""),"Hospital Universitario de Carac")</f>
        <v>Hospital Universitario de Carac</v>
      </c>
      <c r="C888" s="45" t="str">
        <f>IFERROR(__xludf.DUMMYFUNCTION("""COMPUTED_VALUE"""),"Susana Wu")</f>
        <v>Susana Wu</v>
      </c>
      <c r="D888" s="44">
        <f>IFERROR(__xludf.DUMMYFUNCTION("""COMPUTED_VALUE"""),14.0)</f>
        <v>14</v>
      </c>
      <c r="E888" s="44" t="str">
        <f>IFERROR(__xludf.DUMMYFUNCTION("""COMPUTED_VALUE"""),"36533334")</f>
        <v>36533334</v>
      </c>
      <c r="F888" s="44" t="str">
        <f>IFERROR(__xludf.DUMMYFUNCTION("""COMPUTED_VALUE"""),"")</f>
        <v/>
      </c>
      <c r="G888" s="44"/>
      <c r="H888" s="44" t="str">
        <f>IFERROR(__xludf.DUMMYFUNCTION("""COMPUTED_VALUE"""),"La Guaira")</f>
        <v>La Guaira</v>
      </c>
      <c r="I888" s="44" t="str">
        <f>IFERROR(__xludf.DUMMYFUNCTION("""COMPUTED_VALUE"""),"Politraumatismo")</f>
        <v>Politraumatismo</v>
      </c>
      <c r="J888" s="44" t="str">
        <f>IFERROR(__xludf.DUMMYFUNCTION("""COMPUTED_VALUE"""),"")</f>
        <v/>
      </c>
      <c r="K888" s="42" t="str">
        <f>IFERROR(__xludf.DUMMYFUNCTION("""COMPUTED_VALUE"""),"Hospital Universitario de Carac")</f>
        <v>Hospital Universitario de Carac</v>
      </c>
    </row>
    <row r="889">
      <c r="A889" s="44">
        <v>888.0</v>
      </c>
      <c r="B889" s="44" t="str">
        <f>IFERROR(__xludf.DUMMYFUNCTION("""COMPUTED_VALUE"""),"Hospital Vargas de Caracas")</f>
        <v>Hospital Vargas de Caracas</v>
      </c>
      <c r="C889" s="45" t="str">
        <f>IFERROR(__xludf.DUMMYFUNCTION("""COMPUTED_VALUE"""),"RODRIGUEZ DIONIS")</f>
        <v>RODRIGUEZ DIONIS</v>
      </c>
      <c r="D889" s="44" t="str">
        <f>IFERROR(__xludf.DUMMYFUNCTION("""COMPUTED_VALUE""")," ")</f>
        <v> </v>
      </c>
      <c r="E889" s="44" t="str">
        <f>IFERROR(__xludf.DUMMYFUNCTION("""COMPUTED_VALUE"""),"36542050")</f>
        <v>36542050</v>
      </c>
      <c r="F889" s="44" t="str">
        <f>IFERROR(__xludf.DUMMYFUNCTION("""COMPUTED_VALUE""")," ")</f>
        <v> </v>
      </c>
      <c r="G889" s="44" t="str">
        <f>IFERROR(__xludf.DUMMYFUNCTION("""COMPUTED_VALUE"""),"")</f>
        <v/>
      </c>
      <c r="H889" s="44" t="str">
        <f>IFERROR(__xludf.DUMMYFUNCTION("""COMPUTED_VALUE""")," ")</f>
        <v> </v>
      </c>
      <c r="I889" s="44" t="str">
        <f>IFERROR(__xludf.DUMMYFUNCTION("""COMPUTED_VALUE""")," ")</f>
        <v> </v>
      </c>
      <c r="J889" s="44" t="str">
        <f>IFERROR(__xludf.DUMMYFUNCTION("""COMPUTED_VALUE"""),"")</f>
        <v/>
      </c>
      <c r="K889" s="42" t="str">
        <f>IFERROR(__xludf.DUMMYFUNCTION("""COMPUTED_VALUE"""),"Hospital Vargas de Caracas")</f>
        <v>Hospital Vargas de Caracas</v>
      </c>
    </row>
    <row r="890">
      <c r="A890" s="44">
        <v>889.0</v>
      </c>
      <c r="B890" s="44" t="str">
        <f>IFERROR(__xludf.DUMMYFUNCTION("""COMPUTED_VALUE"""),"Hospital Pérez Carreño")</f>
        <v>Hospital Pérez Carreño</v>
      </c>
      <c r="C890" s="45" t="str">
        <f>IFERROR(__xludf.DUMMYFUNCTION("""COMPUTED_VALUE"""),"BECERO LESEDI")</f>
        <v>BECERO LESEDI</v>
      </c>
      <c r="D890" s="44" t="str">
        <f>IFERROR(__xludf.DUMMYFUNCTION("""COMPUTED_VALUE""")," ")</f>
        <v> </v>
      </c>
      <c r="E890" s="44" t="str">
        <f>IFERROR(__xludf.DUMMYFUNCTION("""COMPUTED_VALUE"""),"36800384")</f>
        <v>36800384</v>
      </c>
      <c r="F890" s="44" t="str">
        <f>IFERROR(__xludf.DUMMYFUNCTION("""COMPUTED_VALUE"""),"")</f>
        <v/>
      </c>
      <c r="G890" s="44" t="str">
        <f>IFERROR(__xludf.DUMMYFUNCTION("""COMPUTED_VALUE""")," ")</f>
        <v> </v>
      </c>
      <c r="H890" s="44" t="str">
        <f>IFERROR(__xludf.DUMMYFUNCTION("""COMPUTED_VALUE""")," ")</f>
        <v> </v>
      </c>
      <c r="I890" s="44" t="str">
        <f>IFERROR(__xludf.DUMMYFUNCTION("""COMPUTED_VALUE"""),"Internado")</f>
        <v>Internado</v>
      </c>
      <c r="J890" s="44" t="str">
        <f>IFERROR(__xludf.DUMMYFUNCTION("""COMPUTED_VALUE"""),"25/06/2026")</f>
        <v>25/06/2026</v>
      </c>
      <c r="K890" s="42" t="str">
        <f>IFERROR(__xludf.DUMMYFUNCTION("""COMPUTED_VALUE"""),"Hospital Pérez Carreño")</f>
        <v>Hospital Pérez Carreño</v>
      </c>
    </row>
    <row r="891">
      <c r="A891" s="44">
        <v>890.0</v>
      </c>
      <c r="B891" s="44" t="str">
        <f>IFERROR(__xludf.DUMMYFUNCTION("""COMPUTED_VALUE"""),"Hospital Pérez Carreño")</f>
        <v>Hospital Pérez Carreño</v>
      </c>
      <c r="C891" s="45" t="str">
        <f>IFERROR(__xludf.DUMMYFUNCTION("""COMPUTED_VALUE"""),"JUDID PAREDES")</f>
        <v>JUDID PAREDES</v>
      </c>
      <c r="D891" s="44" t="str">
        <f>IFERROR(__xludf.DUMMYFUNCTION("""COMPUTED_VALUE"""),"Sin información")</f>
        <v>Sin información</v>
      </c>
      <c r="E891" s="44" t="str">
        <f>IFERROR(__xludf.DUMMYFUNCTION("""COMPUTED_VALUE"""),"36834210")</f>
        <v>36834210</v>
      </c>
      <c r="F891" s="44" t="str">
        <f>IFERROR(__xludf.DUMMYFUNCTION("""COMPUTED_VALUE"""),"")</f>
        <v/>
      </c>
      <c r="G891" s="44" t="str">
        <f>IFERROR(__xludf.DUMMYFUNCTION("""COMPUTED_VALUE""")," ")</f>
        <v> </v>
      </c>
      <c r="H891" s="44" t="str">
        <f>IFERROR(__xludf.DUMMYFUNCTION("""COMPUTED_VALUE"""),"Sin información")</f>
        <v>Sin información</v>
      </c>
      <c r="I891" s="44" t="str">
        <f>IFERROR(__xludf.DUMMYFUNCTION("""COMPUTED_VALUE"""),"Sin información")</f>
        <v>Sin información</v>
      </c>
      <c r="J891" s="44" t="str">
        <f>IFERROR(__xludf.DUMMYFUNCTION("""COMPUTED_VALUE"""),"25/06/2026")</f>
        <v>25/06/2026</v>
      </c>
      <c r="K891" s="42" t="str">
        <f>IFERROR(__xludf.DUMMYFUNCTION("""COMPUTED_VALUE"""),"Hospital Pérez Carreño")</f>
        <v>Hospital Pérez Carreño</v>
      </c>
    </row>
    <row r="892">
      <c r="A892" s="44">
        <v>891.0</v>
      </c>
      <c r="B892" s="44" t="str">
        <f>IFERROR(__xludf.DUMMYFUNCTION("""COMPUTED_VALUE"""),"Hospital Pérez Carreño")</f>
        <v>Hospital Pérez Carreño</v>
      </c>
      <c r="C892" s="45" t="str">
        <f>IFERROR(__xludf.DUMMYFUNCTION("""COMPUTED_VALUE"""),"Maite Hernandez")</f>
        <v>Maite Hernandez</v>
      </c>
      <c r="D892" s="44"/>
      <c r="E892" s="44" t="str">
        <f>IFERROR(__xludf.DUMMYFUNCTION("""COMPUTED_VALUE"""),"36929034")</f>
        <v>36929034</v>
      </c>
      <c r="F892" s="44" t="str">
        <f>IFERROR(__xludf.DUMMYFUNCTION("""COMPUTED_VALUE"""),"")</f>
        <v/>
      </c>
      <c r="G892" s="44" t="str">
        <f>IFERROR(__xludf.DUMMYFUNCTION("""COMPUTED_VALUE"""),"Traumashock ")</f>
        <v>Traumashock </v>
      </c>
      <c r="H892" s="44" t="str">
        <f>IFERROR(__xludf.DUMMYFUNCTION("""COMPUTED_VALUE"""),"Hospital Miguel Perez Carreño")</f>
        <v>Hospital Miguel Perez Carreño</v>
      </c>
      <c r="I892" s="44"/>
      <c r="J892" s="44" t="str">
        <f>IFERROR(__xludf.DUMMYFUNCTION("""COMPUTED_VALUE"""),"26/6/26")</f>
        <v>26/6/26</v>
      </c>
      <c r="K892" s="42" t="str">
        <f>IFERROR(__xludf.DUMMYFUNCTION("""COMPUTED_VALUE"""),"Hospital Pérez Carreño")</f>
        <v>Hospital Pérez Carreño</v>
      </c>
    </row>
    <row r="893">
      <c r="A893" s="44">
        <v>892.0</v>
      </c>
      <c r="B893" s="44" t="str">
        <f>IFERROR(__xludf.DUMMYFUNCTION("""COMPUTED_VALUE"""),"Hospital Vargas de Caracas")</f>
        <v>Hospital Vargas de Caracas</v>
      </c>
      <c r="C893" s="45" t="str">
        <f>IFERROR(__xludf.DUMMYFUNCTION("""COMPUTED_VALUE"""),"ESTREJO LUIS")</f>
        <v>ESTREJO LUIS</v>
      </c>
      <c r="D893" s="44" t="str">
        <f>IFERROR(__xludf.DUMMYFUNCTION("""COMPUTED_VALUE""")," ")</f>
        <v> </v>
      </c>
      <c r="E893" s="44" t="str">
        <f>IFERROR(__xludf.DUMMYFUNCTION("""COMPUTED_VALUE"""),"37143398")</f>
        <v>37143398</v>
      </c>
      <c r="F893" s="44" t="str">
        <f>IFERROR(__xludf.DUMMYFUNCTION("""COMPUTED_VALUE""")," ")</f>
        <v> </v>
      </c>
      <c r="G893" s="44" t="str">
        <f>IFERROR(__xludf.DUMMYFUNCTION("""COMPUTED_VALUE"""),"")</f>
        <v/>
      </c>
      <c r="H893" s="44" t="str">
        <f>IFERROR(__xludf.DUMMYFUNCTION("""COMPUTED_VALUE""")," ")</f>
        <v> </v>
      </c>
      <c r="I893" s="44" t="str">
        <f>IFERROR(__xludf.DUMMYFUNCTION("""COMPUTED_VALUE""")," ")</f>
        <v> </v>
      </c>
      <c r="J893" s="44" t="str">
        <f>IFERROR(__xludf.DUMMYFUNCTION("""COMPUTED_VALUE"""),"")</f>
        <v/>
      </c>
      <c r="K893" s="42" t="str">
        <f>IFERROR(__xludf.DUMMYFUNCTION("""COMPUTED_VALUE"""),"Hospital Vargas de Caracas")</f>
        <v>Hospital Vargas de Caracas</v>
      </c>
    </row>
    <row r="894">
      <c r="A894" s="44">
        <v>893.0</v>
      </c>
      <c r="B894" s="44" t="str">
        <f>IFERROR(__xludf.DUMMYFUNCTION("""COMPUTED_VALUE"""),"Hospital Vargas de Caracas")</f>
        <v>Hospital Vargas de Caracas</v>
      </c>
      <c r="C894" s="45" t="str">
        <f>IFERROR(__xludf.DUMMYFUNCTION("""COMPUTED_VALUE"""),"TORRES LUNA")</f>
        <v>TORRES LUNA</v>
      </c>
      <c r="D894" s="44">
        <f>IFERROR(__xludf.DUMMYFUNCTION("""COMPUTED_VALUE"""),2.0)</f>
        <v>2</v>
      </c>
      <c r="E894" s="44" t="str">
        <f>IFERROR(__xludf.DUMMYFUNCTION("""COMPUTED_VALUE"""),"37441738")</f>
        <v>37441738</v>
      </c>
      <c r="F894" s="44" t="str">
        <f>IFERROR(__xludf.DUMMYFUNCTION("""COMPUTED_VALUE""")," ")</f>
        <v> </v>
      </c>
      <c r="G894" s="44" t="str">
        <f>IFERROR(__xludf.DUMMYFUNCTION("""COMPUTED_VALUE"""),"")</f>
        <v/>
      </c>
      <c r="H894" s="44" t="str">
        <f>IFERROR(__xludf.DUMMYFUNCTION("""COMPUTED_VALUE"""),"La Guaira")</f>
        <v>La Guaira</v>
      </c>
      <c r="I894" s="44" t="str">
        <f>IFERROR(__xludf.DUMMYFUNCTION("""COMPUTED_VALUE"""),"UPT")</f>
        <v>UPT</v>
      </c>
      <c r="J894" s="44" t="str">
        <f>IFERROR(__xludf.DUMMYFUNCTION("""COMPUTED_VALUE"""),"")</f>
        <v/>
      </c>
      <c r="K894" s="42" t="str">
        <f>IFERROR(__xludf.DUMMYFUNCTION("""COMPUTED_VALUE"""),"Hospital Vargas de Caracas")</f>
        <v>Hospital Vargas de Caracas</v>
      </c>
    </row>
    <row r="895">
      <c r="A895" s="44">
        <v>894.0</v>
      </c>
      <c r="B895" s="44" t="str">
        <f>IFERROR(__xludf.DUMMYFUNCTION("""COMPUTED_VALUE"""),"Hospital Dr. José Gregorio Hern")</f>
        <v>Hospital Dr. José Gregorio Hern</v>
      </c>
      <c r="C895" s="45" t="str">
        <f>IFERROR(__xludf.DUMMYFUNCTION("""COMPUTED_VALUE"""),"AGUERO JOHANNA")</f>
        <v>AGUERO JOHANNA</v>
      </c>
      <c r="D895" s="44">
        <f>IFERROR(__xludf.DUMMYFUNCTION("""COMPUTED_VALUE"""),26.0)</f>
        <v>26</v>
      </c>
      <c r="E895" s="44" t="str">
        <f>IFERROR(__xludf.DUMMYFUNCTION("""COMPUTED_VALUE"""),"37454987")</f>
        <v>37454987</v>
      </c>
      <c r="F895" s="44" t="str">
        <f>IFERROR(__xludf.DUMMYFUNCTION("""COMPUTED_VALUE"""),"")</f>
        <v/>
      </c>
      <c r="G895" s="44" t="str">
        <f>IFERROR(__xludf.DUMMYFUNCTION("""COMPUTED_VALUE""")," ")</f>
        <v> </v>
      </c>
      <c r="H895" s="44" t="str">
        <f>IFERROR(__xludf.DUMMYFUNCTION("""COMPUTED_VALUE"""),"Nuevo Jesús")</f>
        <v>Nuevo Jesús</v>
      </c>
      <c r="I895" s="44" t="str">
        <f>IFERROR(__xludf.DUMMYFUNCTION("""COMPUTED_VALUE"""),"Reporte Diario Emergencia 26/06/26")</f>
        <v>Reporte Diario Emergencia 26/06/26</v>
      </c>
      <c r="J895" s="44" t="str">
        <f>IFERROR(__xludf.DUMMYFUNCTION("""COMPUTED_VALUE"""),"")</f>
        <v/>
      </c>
      <c r="K895" s="42" t="str">
        <f>IFERROR(__xludf.DUMMYFUNCTION("""COMPUTED_VALUE"""),"Hospital Dr. José Gregorio Hern")</f>
        <v>Hospital Dr. José Gregorio Hern</v>
      </c>
    </row>
    <row r="896">
      <c r="A896" s="44">
        <v>895.0</v>
      </c>
      <c r="B896" s="44" t="str">
        <f>IFERROR(__xludf.DUMMYFUNCTION("""COMPUTED_VALUE"""),"Hospital Pérez Carreño")</f>
        <v>Hospital Pérez Carreño</v>
      </c>
      <c r="C896" s="45" t="str">
        <f>IFERROR(__xludf.DUMMYFUNCTION("""COMPUTED_VALUE"""),"BIVZELA HARERID")</f>
        <v>BIVZELA HARERID</v>
      </c>
      <c r="D896" s="44" t="str">
        <f>IFERROR(__xludf.DUMMYFUNCTION("""COMPUTED_VALUE""")," ")</f>
        <v> </v>
      </c>
      <c r="E896" s="44" t="str">
        <f>IFERROR(__xludf.DUMMYFUNCTION("""COMPUTED_VALUE"""),"37890594")</f>
        <v>37890594</v>
      </c>
      <c r="F896" s="44" t="str">
        <f>IFERROR(__xludf.DUMMYFUNCTION("""COMPUTED_VALUE"""),"")</f>
        <v/>
      </c>
      <c r="G896" s="44" t="str">
        <f>IFERROR(__xludf.DUMMYFUNCTION("""COMPUTED_VALUE""")," ")</f>
        <v> </v>
      </c>
      <c r="H896" s="44" t="str">
        <f>IFERROR(__xludf.DUMMYFUNCTION("""COMPUTED_VALUE""")," ")</f>
        <v> </v>
      </c>
      <c r="I896" s="44" t="str">
        <f>IFERROR(__xludf.DUMMYFUNCTION("""COMPUTED_VALUE"""),"Internado")</f>
        <v>Internado</v>
      </c>
      <c r="J896" s="44" t="str">
        <f>IFERROR(__xludf.DUMMYFUNCTION("""COMPUTED_VALUE"""),"25/06/2026")</f>
        <v>25/06/2026</v>
      </c>
      <c r="K896" s="42" t="str">
        <f>IFERROR(__xludf.DUMMYFUNCTION("""COMPUTED_VALUE"""),"Hospital Pérez Carreño")</f>
        <v>Hospital Pérez Carreño</v>
      </c>
    </row>
    <row r="897">
      <c r="A897" s="44">
        <v>896.0</v>
      </c>
      <c r="B897" s="44" t="str">
        <f>IFERROR(__xludf.DUMMYFUNCTION("""COMPUTED_VALUE"""),"Hospital Universitario de Carac")</f>
        <v>Hospital Universitario de Carac</v>
      </c>
      <c r="C897" s="45" t="str">
        <f>IFERROR(__xludf.DUMMYFUNCTION("""COMPUTED_VALUE"""),"RUANO GLORIA")</f>
        <v>RUANO GLORIA</v>
      </c>
      <c r="D897" s="44">
        <f>IFERROR(__xludf.DUMMYFUNCTION("""COMPUTED_VALUE"""),76.0)</f>
        <v>76</v>
      </c>
      <c r="E897" s="44" t="str">
        <f>IFERROR(__xludf.DUMMYFUNCTION("""COMPUTED_VALUE"""),"3806228")</f>
        <v>3806228</v>
      </c>
      <c r="F897" s="44" t="str">
        <f>IFERROR(__xludf.DUMMYFUNCTION("""COMPUTED_VALUE"""),"")</f>
        <v/>
      </c>
      <c r="G897" s="44" t="str">
        <f>IFERROR(__xludf.DUMMYFUNCTION("""COMPUTED_VALUE""")," ")</f>
        <v> </v>
      </c>
      <c r="H897" s="44" t="str">
        <f>IFERROR(__xludf.DUMMYFUNCTION("""COMPUTED_VALUE""")," ")</f>
        <v> </v>
      </c>
      <c r="I897" s="44" t="str">
        <f>IFERROR(__xludf.DUMMYFUNCTION("""COMPUTED_VALUE"""),"Politraumatismo")</f>
        <v>Politraumatismo</v>
      </c>
      <c r="J897" s="44" t="str">
        <f>IFERROR(__xludf.DUMMYFUNCTION("""COMPUTED_VALUE"""),"")</f>
        <v/>
      </c>
      <c r="K897" s="42" t="str">
        <f>IFERROR(__xludf.DUMMYFUNCTION("""COMPUTED_VALUE"""),"Hospital Universitario de Carac")</f>
        <v>Hospital Universitario de Carac</v>
      </c>
    </row>
    <row r="898">
      <c r="A898" s="44">
        <v>897.0</v>
      </c>
      <c r="B898" s="44" t="str">
        <f>IFERROR(__xludf.DUMMYFUNCTION("""COMPUTED_VALUE"""),"Hospital Pérez Carreño")</f>
        <v>Hospital Pérez Carreño</v>
      </c>
      <c r="C898" s="45" t="str">
        <f>IFERROR(__xludf.DUMMYFUNCTION("""COMPUTED_VALUE"""),"PAREDES YUDI")</f>
        <v>PAREDES YUDI</v>
      </c>
      <c r="D898" s="44" t="str">
        <f>IFERROR(__xludf.DUMMYFUNCTION("""COMPUTED_VALUE""")," ")</f>
        <v> </v>
      </c>
      <c r="E898" s="44" t="str">
        <f>IFERROR(__xludf.DUMMYFUNCTION("""COMPUTED_VALUE"""),"3883421")</f>
        <v>3883421</v>
      </c>
      <c r="F898" s="44" t="str">
        <f>IFERROR(__xludf.DUMMYFUNCTION("""COMPUTED_VALUE"""),"")</f>
        <v/>
      </c>
      <c r="G898" s="44" t="str">
        <f>IFERROR(__xludf.DUMMYFUNCTION("""COMPUTED_VALUE""")," ")</f>
        <v> </v>
      </c>
      <c r="H898" s="44" t="str">
        <f>IFERROR(__xludf.DUMMYFUNCTION("""COMPUTED_VALUE""")," ")</f>
        <v> </v>
      </c>
      <c r="I898" s="44" t="str">
        <f>IFERROR(__xludf.DUMMYFUNCTION("""COMPUTED_VALUE""")," ")</f>
        <v> </v>
      </c>
      <c r="J898" s="44" t="str">
        <f>IFERROR(__xludf.DUMMYFUNCTION("""COMPUTED_VALUE"""),"25/06/2026")</f>
        <v>25/06/2026</v>
      </c>
      <c r="K898" s="42" t="str">
        <f>IFERROR(__xludf.DUMMYFUNCTION("""COMPUTED_VALUE"""),"Hospital Pérez Carreño")</f>
        <v>Hospital Pérez Carreño</v>
      </c>
    </row>
    <row r="899">
      <c r="A899" s="44">
        <v>898.0</v>
      </c>
      <c r="B899" s="44" t="str">
        <f>IFERROR(__xludf.DUMMYFUNCTION("""COMPUTED_VALUE"""),"Hospital Pérez Carreño")</f>
        <v>Hospital Pérez Carreño</v>
      </c>
      <c r="C899" s="45" t="str">
        <f>IFERROR(__xludf.DUMMYFUNCTION("""COMPUTED_VALUE"""),"YUDI PAREDES")</f>
        <v>YUDI PAREDES</v>
      </c>
      <c r="D899" s="44" t="str">
        <f>IFERROR(__xludf.DUMMYFUNCTION("""COMPUTED_VALUE""")," ")</f>
        <v> </v>
      </c>
      <c r="E899" s="44" t="str">
        <f>IFERROR(__xludf.DUMMYFUNCTION("""COMPUTED_VALUE"""),"38834210")</f>
        <v>38834210</v>
      </c>
      <c r="F899" s="44" t="str">
        <f>IFERROR(__xludf.DUMMYFUNCTION("""COMPUTED_VALUE"""),"")</f>
        <v/>
      </c>
      <c r="G899" s="44" t="str">
        <f>IFERROR(__xludf.DUMMYFUNCTION("""COMPUTED_VALUE""")," ")</f>
        <v> </v>
      </c>
      <c r="H899" s="44" t="str">
        <f>IFERROR(__xludf.DUMMYFUNCTION("""COMPUTED_VALUE""")," ")</f>
        <v> </v>
      </c>
      <c r="I899" s="44" t="str">
        <f>IFERROR(__xludf.DUMMYFUNCTION("""COMPUTED_VALUE""")," ")</f>
        <v> </v>
      </c>
      <c r="J899" s="44" t="str">
        <f>IFERROR(__xludf.DUMMYFUNCTION("""COMPUTED_VALUE"""),"25/06/2026")</f>
        <v>25/06/2026</v>
      </c>
      <c r="K899" s="42" t="str">
        <f>IFERROR(__xludf.DUMMYFUNCTION("""COMPUTED_VALUE"""),"Hospital Pérez Carreño")</f>
        <v>Hospital Pérez Carreño</v>
      </c>
    </row>
    <row r="900">
      <c r="A900" s="44">
        <v>899.0</v>
      </c>
      <c r="B900" s="44" t="str">
        <f>IFERROR(__xludf.DUMMYFUNCTION("""COMPUTED_VALUE"""),"Hospital Pérez Carreño")</f>
        <v>Hospital Pérez Carreño</v>
      </c>
      <c r="C900" s="45" t="str">
        <f>IFERROR(__xludf.DUMMYFUNCTION("""COMPUTED_VALUE"""),"YUDI PAREDES")</f>
        <v>YUDI PAREDES</v>
      </c>
      <c r="D900" s="44" t="str">
        <f>IFERROR(__xludf.DUMMYFUNCTION("""COMPUTED_VALUE""")," ")</f>
        <v> </v>
      </c>
      <c r="E900" s="44" t="str">
        <f>IFERROR(__xludf.DUMMYFUNCTION("""COMPUTED_VALUE"""),"3883440")</f>
        <v>3883440</v>
      </c>
      <c r="F900" s="44" t="str">
        <f>IFERROR(__xludf.DUMMYFUNCTION("""COMPUTED_VALUE"""),"")</f>
        <v/>
      </c>
      <c r="G900" s="44" t="str">
        <f>IFERROR(__xludf.DUMMYFUNCTION("""COMPUTED_VALUE""")," ")</f>
        <v> </v>
      </c>
      <c r="H900" s="44" t="str">
        <f>IFERROR(__xludf.DUMMYFUNCTION("""COMPUTED_VALUE""")," ")</f>
        <v> </v>
      </c>
      <c r="I900" s="44" t="str">
        <f>IFERROR(__xludf.DUMMYFUNCTION("""COMPUTED_VALUE"""),"TraumaShock")</f>
        <v>TraumaShock</v>
      </c>
      <c r="J900" s="44" t="str">
        <f>IFERROR(__xludf.DUMMYFUNCTION("""COMPUTED_VALUE"""),"25/06/2026")</f>
        <v>25/06/2026</v>
      </c>
      <c r="K900" s="42" t="str">
        <f>IFERROR(__xludf.DUMMYFUNCTION("""COMPUTED_VALUE"""),"Hospital Pérez Carreño")</f>
        <v>Hospital Pérez Carreño</v>
      </c>
    </row>
    <row r="901">
      <c r="A901" s="44">
        <v>900.0</v>
      </c>
      <c r="B901" s="44" t="str">
        <f>IFERROR(__xludf.DUMMYFUNCTION("""COMPUTED_VALUE"""),"Hospital Pérez Carreño")</f>
        <v>Hospital Pérez Carreño</v>
      </c>
      <c r="C901" s="45" t="str">
        <f>IFERROR(__xludf.DUMMYFUNCTION("""COMPUTED_VALUE"""),"PAREDES YUDI")</f>
        <v>PAREDES YUDI</v>
      </c>
      <c r="D901" s="44" t="str">
        <f>IFERROR(__xludf.DUMMYFUNCTION("""COMPUTED_VALUE""")," ")</f>
        <v> </v>
      </c>
      <c r="E901" s="44" t="str">
        <f>IFERROR(__xludf.DUMMYFUNCTION("""COMPUTED_VALUE"""),"388347210")</f>
        <v>388347210</v>
      </c>
      <c r="F901" s="44" t="str">
        <f>IFERROR(__xludf.DUMMYFUNCTION("""COMPUTED_VALUE"""),"")</f>
        <v/>
      </c>
      <c r="G901" s="44" t="str">
        <f>IFERROR(__xludf.DUMMYFUNCTION("""COMPUTED_VALUE""")," ")</f>
        <v> </v>
      </c>
      <c r="H901" s="44" t="str">
        <f>IFERROR(__xludf.DUMMYFUNCTION("""COMPUTED_VALUE""")," ")</f>
        <v> </v>
      </c>
      <c r="I901" s="44" t="str">
        <f>IFERROR(__xludf.DUMMYFUNCTION("""COMPUTED_VALUE"""),"TRAUMASHOCK")</f>
        <v>TRAUMASHOCK</v>
      </c>
      <c r="J901" s="44" t="str">
        <f>IFERROR(__xludf.DUMMYFUNCTION("""COMPUTED_VALUE"""),"25/06/2026")</f>
        <v>25/06/2026</v>
      </c>
      <c r="K901" s="42" t="str">
        <f>IFERROR(__xludf.DUMMYFUNCTION("""COMPUTED_VALUE"""),"Hospital Pérez Carreño")</f>
        <v>Hospital Pérez Carreño</v>
      </c>
    </row>
    <row r="902">
      <c r="A902" s="44">
        <v>901.0</v>
      </c>
      <c r="B902" s="44" t="str">
        <f>IFERROR(__xludf.DUMMYFUNCTION("""COMPUTED_VALUE"""),"Hospital Militar Dr. C. Arvelo")</f>
        <v>Hospital Militar Dr. C. Arvelo</v>
      </c>
      <c r="C902" s="45" t="str">
        <f>IFERROR(__xludf.DUMMYFUNCTION("""COMPUTED_VALUE"""),"Briceño Mirabal Josefina")</f>
        <v>Briceño Mirabal Josefina</v>
      </c>
      <c r="D902" s="44">
        <f>IFERROR(__xludf.DUMMYFUNCTION("""COMPUTED_VALUE"""),77.0)</f>
        <v>77</v>
      </c>
      <c r="E902" s="44" t="str">
        <f>IFERROR(__xludf.DUMMYFUNCTION("""COMPUTED_VALUE"""),"3970261")</f>
        <v>3970261</v>
      </c>
      <c r="F902" s="44" t="str">
        <f>IFERROR(__xludf.DUMMYFUNCTION("""COMPUTED_VALUE"""),"")</f>
        <v/>
      </c>
      <c r="G902" s="44" t="str">
        <f>IFERROR(__xludf.DUMMYFUNCTION("""COMPUTED_VALUE"""),"")</f>
        <v/>
      </c>
      <c r="H902" s="44" t="str">
        <f>IFERROR(__xludf.DUMMYFUNCTION("""COMPUTED_VALUE"""),"F")</f>
        <v>F</v>
      </c>
      <c r="I902" s="44" t="str">
        <f>IFERROR(__xludf.DUMMYFUNCTION("""COMPUTED_VALUE"""),"Catia PNA")</f>
        <v>Catia PNA</v>
      </c>
      <c r="J902" s="44" t="str">
        <f>IFERROR(__xludf.DUMMYFUNCTION("""COMPUTED_VALUE"""),"24/6/2026")</f>
        <v>24/6/2026</v>
      </c>
      <c r="K902" s="42" t="str">
        <f>IFERROR(__xludf.DUMMYFUNCTION("""COMPUTED_VALUE"""),"Hospital Militar Dr. C. Arvelo")</f>
        <v>Hospital Militar Dr. C. Arvelo</v>
      </c>
    </row>
    <row r="903">
      <c r="A903" s="44">
        <v>902.0</v>
      </c>
      <c r="B903" s="44" t="str">
        <f>IFERROR(__xludf.DUMMYFUNCTION("""COMPUTED_VALUE"""),"Hospital Universitario de Carac")</f>
        <v>Hospital Universitario de Carac</v>
      </c>
      <c r="C903" s="45" t="str">
        <f>IFERROR(__xludf.DUMMYFUNCTION("""COMPUTED_VALUE"""),"SANDOVAL DORIS")</f>
        <v>SANDOVAL DORIS</v>
      </c>
      <c r="D903" s="44">
        <f>IFERROR(__xludf.DUMMYFUNCTION("""COMPUTED_VALUE"""),80.0)</f>
        <v>80</v>
      </c>
      <c r="E903" s="44" t="str">
        <f>IFERROR(__xludf.DUMMYFUNCTION("""COMPUTED_VALUE"""),"4029093")</f>
        <v>4029093</v>
      </c>
      <c r="F903" s="44" t="str">
        <f>IFERROR(__xludf.DUMMYFUNCTION("""COMPUTED_VALUE"""),"")</f>
        <v/>
      </c>
      <c r="G903" s="44" t="str">
        <f>IFERROR(__xludf.DUMMYFUNCTION("""COMPUTED_VALUE"""),"0424-2577096")</f>
        <v>0424-2577096</v>
      </c>
      <c r="H903" s="44" t="str">
        <f>IFERROR(__xludf.DUMMYFUNCTION("""COMPUTED_VALUE""")," ")</f>
        <v> </v>
      </c>
      <c r="I903" s="44" t="str">
        <f>IFERROR(__xludf.DUMMYFUNCTION("""COMPUTED_VALUE""")," ")</f>
        <v> </v>
      </c>
      <c r="J903" s="44" t="str">
        <f>IFERROR(__xludf.DUMMYFUNCTION("""COMPUTED_VALUE"""),"")</f>
        <v/>
      </c>
      <c r="K903" s="42" t="str">
        <f>IFERROR(__xludf.DUMMYFUNCTION("""COMPUTED_VALUE"""),"Hospital Universitario de Carac")</f>
        <v>Hospital Universitario de Carac</v>
      </c>
    </row>
    <row r="904">
      <c r="A904" s="44">
        <v>903.0</v>
      </c>
      <c r="B904" s="44" t="str">
        <f>IFERROR(__xludf.DUMMYFUNCTION("""COMPUTED_VALUE"""),"Hospital Vargas de Caracas")</f>
        <v>Hospital Vargas de Caracas</v>
      </c>
      <c r="C904" s="45" t="str">
        <f>IFERROR(__xludf.DUMMYFUNCTION("""COMPUTED_VALUE"""),"SUAREZ MARLENE")</f>
        <v>SUAREZ MARLENE</v>
      </c>
      <c r="D904" s="44" t="str">
        <f>IFERROR(__xludf.DUMMYFUNCTION("""COMPUTED_VALUE""")," ")</f>
        <v> </v>
      </c>
      <c r="E904" s="44" t="str">
        <f>IFERROR(__xludf.DUMMYFUNCTION("""COMPUTED_VALUE"""),"4110985")</f>
        <v>4110985</v>
      </c>
      <c r="F904" s="44" t="str">
        <f>IFERROR(__xludf.DUMMYFUNCTION("""COMPUTED_VALUE""")," ")</f>
        <v> </v>
      </c>
      <c r="G904" s="44" t="str">
        <f>IFERROR(__xludf.DUMMYFUNCTION("""COMPUTED_VALUE"""),"")</f>
        <v/>
      </c>
      <c r="H904" s="44" t="str">
        <f>IFERROR(__xludf.DUMMYFUNCTION("""COMPUTED_VALUE""")," ")</f>
        <v> </v>
      </c>
      <c r="I904" s="44" t="str">
        <f>IFERROR(__xludf.DUMMYFUNCTION("""COMPUTED_VALUE""")," ")</f>
        <v> </v>
      </c>
      <c r="J904" s="44" t="str">
        <f>IFERROR(__xludf.DUMMYFUNCTION("""COMPUTED_VALUE"""),"")</f>
        <v/>
      </c>
      <c r="K904" s="42" t="str">
        <f>IFERROR(__xludf.DUMMYFUNCTION("""COMPUTED_VALUE"""),"Hospital Vargas de Caracas")</f>
        <v>Hospital Vargas de Caracas</v>
      </c>
    </row>
    <row r="905">
      <c r="A905" s="44">
        <v>904.0</v>
      </c>
      <c r="B905" s="44" t="str">
        <f>IFERROR(__xludf.DUMMYFUNCTION("""COMPUTED_VALUE"""),"H. Jose Maria Vargas LG")</f>
        <v>H. Jose Maria Vargas LG</v>
      </c>
      <c r="C905" s="45" t="str">
        <f>IFERROR(__xludf.DUMMYFUNCTION("""COMPUTED_VALUE"""),"MORON JUAN")</f>
        <v>MORON JUAN</v>
      </c>
      <c r="D905" s="44" t="str">
        <f>IFERROR(__xludf.DUMMYFUNCTION("""COMPUTED_VALUE""")," ")</f>
        <v> </v>
      </c>
      <c r="E905" s="44" t="str">
        <f>IFERROR(__xludf.DUMMYFUNCTION("""COMPUTED_VALUE"""),"4121307")</f>
        <v>4121307</v>
      </c>
      <c r="F905" s="44" t="str">
        <f>IFERROR(__xludf.DUMMYFUNCTION("""COMPUTED_VALUE"""),"")</f>
        <v/>
      </c>
      <c r="G905" s="44" t="str">
        <f>IFERROR(__xludf.DUMMYFUNCTION("""COMPUTED_VALUE""")," ")</f>
        <v> </v>
      </c>
      <c r="H905" s="44" t="str">
        <f>IFERROR(__xludf.DUMMYFUNCTION("""COMPUTED_VALUE""")," ")</f>
        <v> </v>
      </c>
      <c r="I905" s="44" t="str">
        <f>IFERROR(__xludf.DUMMYFUNCTION("""COMPUTED_VALUE""")," ")</f>
        <v> </v>
      </c>
      <c r="J905" s="44" t="str">
        <f>IFERROR(__xludf.DUMMYFUNCTION("""COMPUTED_VALUE"""),"")</f>
        <v/>
      </c>
      <c r="K905" s="42" t="str">
        <f>IFERROR(__xludf.DUMMYFUNCTION("""COMPUTED_VALUE"""),"H. Jose Maria Vargas LG")</f>
        <v>H. Jose Maria Vargas LG</v>
      </c>
    </row>
    <row r="906">
      <c r="A906" s="44">
        <v>905.0</v>
      </c>
      <c r="B906" s="44" t="str">
        <f>IFERROR(__xludf.DUMMYFUNCTION("""COMPUTED_VALUE"""),"Hospital Pérez Carreño")</f>
        <v>Hospital Pérez Carreño</v>
      </c>
      <c r="C906" s="45" t="str">
        <f>IFERROR(__xludf.DUMMYFUNCTION("""COMPUTED_VALUE"""),"MARCANO ROSA")</f>
        <v>MARCANO ROSA</v>
      </c>
      <c r="D906" s="44" t="str">
        <f>IFERROR(__xludf.DUMMYFUNCTION("""COMPUTED_VALUE""")," ")</f>
        <v> </v>
      </c>
      <c r="E906" s="44" t="str">
        <f>IFERROR(__xludf.DUMMYFUNCTION("""COMPUTED_VALUE"""),"41498435")</f>
        <v>41498435</v>
      </c>
      <c r="F906" s="44" t="str">
        <f>IFERROR(__xludf.DUMMYFUNCTION("""COMPUTED_VALUE"""),"")</f>
        <v/>
      </c>
      <c r="G906" s="44" t="str">
        <f>IFERROR(__xludf.DUMMYFUNCTION("""COMPUTED_VALUE""")," ")</f>
        <v> </v>
      </c>
      <c r="H906" s="44" t="str">
        <f>IFERROR(__xludf.DUMMYFUNCTION("""COMPUTED_VALUE""")," ")</f>
        <v> </v>
      </c>
      <c r="I906" s="44" t="str">
        <f>IFERROR(__xludf.DUMMYFUNCTION("""COMPUTED_VALUE""")," ")</f>
        <v> </v>
      </c>
      <c r="J906" s="44" t="str">
        <f>IFERROR(__xludf.DUMMYFUNCTION("""COMPUTED_VALUE"""),"25/06/2026")</f>
        <v>25/06/2026</v>
      </c>
      <c r="K906" s="42" t="str">
        <f>IFERROR(__xludf.DUMMYFUNCTION("""COMPUTED_VALUE"""),"Hospital Pérez Carreño")</f>
        <v>Hospital Pérez Carreño</v>
      </c>
    </row>
    <row r="907">
      <c r="A907" s="44">
        <v>906.0</v>
      </c>
      <c r="B907" s="44" t="str">
        <f>IFERROR(__xludf.DUMMYFUNCTION("""COMPUTED_VALUE"""),"Hospital Pérez Carreño")</f>
        <v>Hospital Pérez Carreño</v>
      </c>
      <c r="C907" s="45" t="str">
        <f>IFERROR(__xludf.DUMMYFUNCTION("""COMPUTED_VALUE"""),"ORTIZ ALVARO")</f>
        <v>ORTIZ ALVARO</v>
      </c>
      <c r="D907" s="44" t="str">
        <f>IFERROR(__xludf.DUMMYFUNCTION("""COMPUTED_VALUE""")," ")</f>
        <v> </v>
      </c>
      <c r="E907" s="44" t="str">
        <f>IFERROR(__xludf.DUMMYFUNCTION("""COMPUTED_VALUE"""),"41634669")</f>
        <v>41634669</v>
      </c>
      <c r="F907" s="44" t="str">
        <f>IFERROR(__xludf.DUMMYFUNCTION("""COMPUTED_VALUE"""),"")</f>
        <v/>
      </c>
      <c r="G907" s="44" t="str">
        <f>IFERROR(__xludf.DUMMYFUNCTION("""COMPUTED_VALUE""")," ")</f>
        <v> </v>
      </c>
      <c r="H907" s="44" t="str">
        <f>IFERROR(__xludf.DUMMYFUNCTION("""COMPUTED_VALUE""")," ")</f>
        <v> </v>
      </c>
      <c r="I907" s="44" t="str">
        <f>IFERROR(__xludf.DUMMYFUNCTION("""COMPUTED_VALUE""")," ")</f>
        <v> </v>
      </c>
      <c r="J907" s="44" t="str">
        <f>IFERROR(__xludf.DUMMYFUNCTION("""COMPUTED_VALUE"""),"25/06/2026")</f>
        <v>25/06/2026</v>
      </c>
      <c r="K907" s="42" t="str">
        <f>IFERROR(__xludf.DUMMYFUNCTION("""COMPUTED_VALUE"""),"Hospital Pérez Carreño")</f>
        <v>Hospital Pérez Carreño</v>
      </c>
    </row>
    <row r="908">
      <c r="A908" s="44">
        <v>907.0</v>
      </c>
      <c r="B908" s="44" t="str">
        <f>IFERROR(__xludf.DUMMYFUNCTION("""COMPUTED_VALUE"""),"Hospital Pérez Carreño")</f>
        <v>Hospital Pérez Carreño</v>
      </c>
      <c r="C908" s="45" t="str">
        <f>IFERROR(__xludf.DUMMYFUNCTION("""COMPUTED_VALUE"""),"Alvaro Ortiz")</f>
        <v>Alvaro Ortiz</v>
      </c>
      <c r="D908" s="44"/>
      <c r="E908" s="44" t="str">
        <f>IFERROR(__xludf.DUMMYFUNCTION("""COMPUTED_VALUE"""),"4163469")</f>
        <v>4163469</v>
      </c>
      <c r="F908" s="44" t="str">
        <f>IFERROR(__xludf.DUMMYFUNCTION("""COMPUTED_VALUE"""),"")</f>
        <v/>
      </c>
      <c r="G908" s="44" t="str">
        <f>IFERROR(__xludf.DUMMYFUNCTION("""COMPUTED_VALUE"""),"Listado de nombres")</f>
        <v>Listado de nombres</v>
      </c>
      <c r="H908" s="44" t="str">
        <f>IFERROR(__xludf.DUMMYFUNCTION("""COMPUTED_VALUE"""),"Hospital Miguel Perez Carreño")</f>
        <v>Hospital Miguel Perez Carreño</v>
      </c>
      <c r="I908" s="44"/>
      <c r="J908" s="44" t="str">
        <f>IFERROR(__xludf.DUMMYFUNCTION("""COMPUTED_VALUE"""),"26/6/26")</f>
        <v>26/6/26</v>
      </c>
      <c r="K908" s="42" t="str">
        <f>IFERROR(__xludf.DUMMYFUNCTION("""COMPUTED_VALUE"""),"Hospital Pérez Carreño")</f>
        <v>Hospital Pérez Carreño</v>
      </c>
    </row>
    <row r="909">
      <c r="A909" s="44">
        <v>908.0</v>
      </c>
      <c r="B909" s="44" t="str">
        <f>IFERROR(__xludf.DUMMYFUNCTION("""COMPUTED_VALUE"""),"Hospital Pérez Carreño")</f>
        <v>Hospital Pérez Carreño</v>
      </c>
      <c r="C909" s="45" t="str">
        <f>IFERROR(__xludf.DUMMYFUNCTION("""COMPUTED_VALUE"""),"ORTIZ ALVARO")</f>
        <v>ORTIZ ALVARO</v>
      </c>
      <c r="D909" s="44" t="str">
        <f>IFERROR(__xludf.DUMMYFUNCTION("""COMPUTED_VALUE""")," ")</f>
        <v> </v>
      </c>
      <c r="E909" s="44" t="str">
        <f>IFERROR(__xludf.DUMMYFUNCTION("""COMPUTED_VALUE"""),"41634690")</f>
        <v>41634690</v>
      </c>
      <c r="F909" s="44" t="str">
        <f>IFERROR(__xludf.DUMMYFUNCTION("""COMPUTED_VALUE"""),"")</f>
        <v/>
      </c>
      <c r="G909" s="44" t="str">
        <f>IFERROR(__xludf.DUMMYFUNCTION("""COMPUTED_VALUE""")," ")</f>
        <v> </v>
      </c>
      <c r="H909" s="44" t="str">
        <f>IFERROR(__xludf.DUMMYFUNCTION("""COMPUTED_VALUE""")," ")</f>
        <v> </v>
      </c>
      <c r="I909" s="44" t="str">
        <f>IFERROR(__xludf.DUMMYFUNCTION("""COMPUTED_VALUE""")," ")</f>
        <v> </v>
      </c>
      <c r="J909" s="44" t="str">
        <f>IFERROR(__xludf.DUMMYFUNCTION("""COMPUTED_VALUE"""),"25/06/2026")</f>
        <v>25/06/2026</v>
      </c>
      <c r="K909" s="42" t="str">
        <f>IFERROR(__xludf.DUMMYFUNCTION("""COMPUTED_VALUE"""),"Hospital Pérez Carreño")</f>
        <v>Hospital Pérez Carreño</v>
      </c>
    </row>
    <row r="910">
      <c r="A910" s="44">
        <v>909.0</v>
      </c>
      <c r="B910" s="44" t="str">
        <f>IFERROR(__xludf.DUMMYFUNCTION("""COMPUTED_VALUE"""),"Hospital Pérez Carreño")</f>
        <v>Hospital Pérez Carreño</v>
      </c>
      <c r="C910" s="45" t="str">
        <f>IFERROR(__xludf.DUMMYFUNCTION("""COMPUTED_VALUE"""),"OLIVERO ANA")</f>
        <v>OLIVERO ANA</v>
      </c>
      <c r="D910" s="44" t="str">
        <f>IFERROR(__xludf.DUMMYFUNCTION("""COMPUTED_VALUE""")," ")</f>
        <v> </v>
      </c>
      <c r="E910" s="44" t="str">
        <f>IFERROR(__xludf.DUMMYFUNCTION("""COMPUTED_VALUE"""),"4281217")</f>
        <v>4281217</v>
      </c>
      <c r="F910" s="44" t="str">
        <f>IFERROR(__xludf.DUMMYFUNCTION("""COMPUTED_VALUE"""),"")</f>
        <v/>
      </c>
      <c r="G910" s="44" t="str">
        <f>IFERROR(__xludf.DUMMYFUNCTION("""COMPUTED_VALUE""")," ")</f>
        <v> </v>
      </c>
      <c r="H910" s="44" t="str">
        <f>IFERROR(__xludf.DUMMYFUNCTION("""COMPUTED_VALUE""")," ")</f>
        <v> </v>
      </c>
      <c r="I910" s="44" t="str">
        <f>IFERROR(__xludf.DUMMYFUNCTION("""COMPUTED_VALUE""")," ")</f>
        <v> </v>
      </c>
      <c r="J910" s="44" t="str">
        <f>IFERROR(__xludf.DUMMYFUNCTION("""COMPUTED_VALUE"""),"25/06/2026")</f>
        <v>25/06/2026</v>
      </c>
      <c r="K910" s="42" t="str">
        <f>IFERROR(__xludf.DUMMYFUNCTION("""COMPUTED_VALUE"""),"Hospital Pérez Carreño")</f>
        <v>Hospital Pérez Carreño</v>
      </c>
    </row>
    <row r="911">
      <c r="A911" s="44">
        <v>910.0</v>
      </c>
      <c r="B911" s="44" t="str">
        <f>IFERROR(__xludf.DUMMYFUNCTION("""COMPUTED_VALUE"""),"Hospital Pérez Carreño")</f>
        <v>Hospital Pérez Carreño</v>
      </c>
      <c r="C911" s="45" t="str">
        <f>IFERROR(__xludf.DUMMYFUNCTION("""COMPUTED_VALUE"""),"ANA OLIVERO")</f>
        <v>ANA OLIVERO</v>
      </c>
      <c r="D911" s="44" t="str">
        <f>IFERROR(__xludf.DUMMYFUNCTION("""COMPUTED_VALUE""")," ")</f>
        <v> </v>
      </c>
      <c r="E911" s="44" t="str">
        <f>IFERROR(__xludf.DUMMYFUNCTION("""COMPUTED_VALUE"""),"42812170")</f>
        <v>42812170</v>
      </c>
      <c r="F911" s="44" t="str">
        <f>IFERROR(__xludf.DUMMYFUNCTION("""COMPUTED_VALUE"""),"")</f>
        <v/>
      </c>
      <c r="G911" s="44" t="str">
        <f>IFERROR(__xludf.DUMMYFUNCTION("""COMPUTED_VALUE""")," ")</f>
        <v> </v>
      </c>
      <c r="H911" s="44" t="str">
        <f>IFERROR(__xludf.DUMMYFUNCTION("""COMPUTED_VALUE""")," ")</f>
        <v> </v>
      </c>
      <c r="I911" s="44" t="str">
        <f>IFERROR(__xludf.DUMMYFUNCTION("""COMPUTED_VALUE""")," ")</f>
        <v> </v>
      </c>
      <c r="J911" s="44" t="str">
        <f>IFERROR(__xludf.DUMMYFUNCTION("""COMPUTED_VALUE"""),"25/06/2026")</f>
        <v>25/06/2026</v>
      </c>
      <c r="K911" s="42" t="str">
        <f>IFERROR(__xludf.DUMMYFUNCTION("""COMPUTED_VALUE"""),"Hospital Pérez Carreño")</f>
        <v>Hospital Pérez Carreño</v>
      </c>
    </row>
    <row r="912">
      <c r="A912" s="44">
        <v>911.0</v>
      </c>
      <c r="B912" s="44" t="str">
        <f>IFERROR(__xludf.DUMMYFUNCTION("""COMPUTED_VALUE"""),"H. Jose Maria Vargas LG")</f>
        <v>H. Jose Maria Vargas LG</v>
      </c>
      <c r="C912" s="45" t="str">
        <f>IFERROR(__xludf.DUMMYFUNCTION("""COMPUTED_VALUE"""),"MARTINEZ MATILDE")</f>
        <v>MARTINEZ MATILDE</v>
      </c>
      <c r="D912" s="44" t="str">
        <f>IFERROR(__xludf.DUMMYFUNCTION("""COMPUTED_VALUE""")," ")</f>
        <v> </v>
      </c>
      <c r="E912" s="44" t="str">
        <f>IFERROR(__xludf.DUMMYFUNCTION("""COMPUTED_VALUE"""),"4348517")</f>
        <v>4348517</v>
      </c>
      <c r="F912" s="44" t="str">
        <f>IFERROR(__xludf.DUMMYFUNCTION("""COMPUTED_VALUE"""),"")</f>
        <v/>
      </c>
      <c r="G912" s="44" t="str">
        <f>IFERROR(__xludf.DUMMYFUNCTION("""COMPUTED_VALUE""")," ")</f>
        <v> </v>
      </c>
      <c r="H912" s="44" t="str">
        <f>IFERROR(__xludf.DUMMYFUNCTION("""COMPUTED_VALUE"""),"Los Corales")</f>
        <v>Los Corales</v>
      </c>
      <c r="I912" s="44" t="str">
        <f>IFERROR(__xludf.DUMMYFUNCTION("""COMPUTED_VALUE""")," ")</f>
        <v> </v>
      </c>
      <c r="J912" s="44" t="str">
        <f>IFERROR(__xludf.DUMMYFUNCTION("""COMPUTED_VALUE"""),"")</f>
        <v/>
      </c>
      <c r="K912" s="42" t="str">
        <f>IFERROR(__xludf.DUMMYFUNCTION("""COMPUTED_VALUE"""),"H. Jose Maria Vargas LG")</f>
        <v>H. Jose Maria Vargas LG</v>
      </c>
    </row>
    <row r="913">
      <c r="A913" s="44">
        <v>912.0</v>
      </c>
      <c r="B913" s="44" t="str">
        <f>IFERROR(__xludf.DUMMYFUNCTION("""COMPUTED_VALUE"""),"Hospital Pérez Carreño")</f>
        <v>Hospital Pérez Carreño</v>
      </c>
      <c r="C913" s="45" t="str">
        <f>IFERROR(__xludf.DUMMYFUNCTION("""COMPUTED_VALUE"""),"ROSA MARCANO")</f>
        <v>ROSA MARCANO</v>
      </c>
      <c r="D913" s="44" t="str">
        <f>IFERROR(__xludf.DUMMYFUNCTION("""COMPUTED_VALUE""")," ")</f>
        <v> </v>
      </c>
      <c r="E913" s="44" t="str">
        <f>IFERROR(__xludf.DUMMYFUNCTION("""COMPUTED_VALUE"""),"44934350")</f>
        <v>44934350</v>
      </c>
      <c r="F913" s="44" t="str">
        <f>IFERROR(__xludf.DUMMYFUNCTION("""COMPUTED_VALUE"""),"")</f>
        <v/>
      </c>
      <c r="G913" s="44" t="str">
        <f>IFERROR(__xludf.DUMMYFUNCTION("""COMPUTED_VALUE""")," ")</f>
        <v> </v>
      </c>
      <c r="H913" s="44" t="str">
        <f>IFERROR(__xludf.DUMMYFUNCTION("""COMPUTED_VALUE""")," ")</f>
        <v> </v>
      </c>
      <c r="I913" s="44" t="str">
        <f>IFERROR(__xludf.DUMMYFUNCTION("""COMPUTED_VALUE""")," ")</f>
        <v> </v>
      </c>
      <c r="J913" s="44" t="str">
        <f>IFERROR(__xludf.DUMMYFUNCTION("""COMPUTED_VALUE"""),"25/06/2026")</f>
        <v>25/06/2026</v>
      </c>
      <c r="K913" s="42" t="str">
        <f>IFERROR(__xludf.DUMMYFUNCTION("""COMPUTED_VALUE"""),"Hospital Pérez Carreño")</f>
        <v>Hospital Pérez Carreño</v>
      </c>
    </row>
    <row r="914">
      <c r="A914" s="44">
        <v>913.0</v>
      </c>
      <c r="B914" s="44" t="str">
        <f>IFERROR(__xludf.DUMMYFUNCTION("""COMPUTED_VALUE"""),"La Guaira Sin Hospital")</f>
        <v>La Guaira Sin Hospital</v>
      </c>
      <c r="C914" s="45" t="str">
        <f>IFERROR(__xludf.DUMMYFUNCTION("""COMPUTED_VALUE"""),"Marcano Rosa")</f>
        <v>Marcano Rosa</v>
      </c>
      <c r="D914" s="44" t="str">
        <f>IFERROR(__xludf.DUMMYFUNCTION("""COMPUTED_VALUE"""),"")</f>
        <v/>
      </c>
      <c r="E914" s="44" t="str">
        <f>IFERROR(__xludf.DUMMYFUNCTION("""COMPUTED_VALUE"""),"4498435")</f>
        <v>4498435</v>
      </c>
      <c r="F914" s="44" t="str">
        <f>IFERROR(__xludf.DUMMYFUNCTION("""COMPUTED_VALUE"""),"")</f>
        <v/>
      </c>
      <c r="G914" s="44" t="str">
        <f>IFERROR(__xludf.DUMMYFUNCTION("""COMPUTED_VALUE"""),"")</f>
        <v/>
      </c>
      <c r="H914" s="44"/>
      <c r="I914" s="44" t="str">
        <f>IFERROR(__xludf.DUMMYFUNCTION("""COMPUTED_VALUE"""),"Listas con cédula")</f>
        <v>Listas con cédula</v>
      </c>
      <c r="J914" s="44" t="str">
        <f>IFERROR(__xludf.DUMMYFUNCTION("""COMPUTED_VALUE"""),"")</f>
        <v/>
      </c>
      <c r="K914" s="42" t="str">
        <f>IFERROR(__xludf.DUMMYFUNCTION("""COMPUTED_VALUE"""),"La Guaira Sin Hospital")</f>
        <v>La Guaira Sin Hospital</v>
      </c>
    </row>
    <row r="915">
      <c r="A915" s="44">
        <v>914.0</v>
      </c>
      <c r="B915" s="44" t="str">
        <f>IFERROR(__xludf.DUMMYFUNCTION("""COMPUTED_VALUE"""),"Hospital Pérez Carreño")</f>
        <v>Hospital Pérez Carreño</v>
      </c>
      <c r="C915" s="45" t="str">
        <f>IFERROR(__xludf.DUMMYFUNCTION("""COMPUTED_VALUE"""),"MARCANO ROSA")</f>
        <v>MARCANO ROSA</v>
      </c>
      <c r="D915" s="44" t="str">
        <f>IFERROR(__xludf.DUMMYFUNCTION("""COMPUTED_VALUE""")," ")</f>
        <v> </v>
      </c>
      <c r="E915" s="44" t="str">
        <f>IFERROR(__xludf.DUMMYFUNCTION("""COMPUTED_VALUE"""),"44984350")</f>
        <v>44984350</v>
      </c>
      <c r="F915" s="44" t="str">
        <f>IFERROR(__xludf.DUMMYFUNCTION("""COMPUTED_VALUE"""),"")</f>
        <v/>
      </c>
      <c r="G915" s="44" t="str">
        <f>IFERROR(__xludf.DUMMYFUNCTION("""COMPUTED_VALUE""")," ")</f>
        <v> </v>
      </c>
      <c r="H915" s="44" t="str">
        <f>IFERROR(__xludf.DUMMYFUNCTION("""COMPUTED_VALUE""")," ")</f>
        <v> </v>
      </c>
      <c r="I915" s="44" t="str">
        <f>IFERROR(__xludf.DUMMYFUNCTION("""COMPUTED_VALUE""")," ")</f>
        <v> </v>
      </c>
      <c r="J915" s="44" t="str">
        <f>IFERROR(__xludf.DUMMYFUNCTION("""COMPUTED_VALUE"""),"25/06/2026")</f>
        <v>25/06/2026</v>
      </c>
      <c r="K915" s="42" t="str">
        <f>IFERROR(__xludf.DUMMYFUNCTION("""COMPUTED_VALUE"""),"Hospital Pérez Carreño")</f>
        <v>Hospital Pérez Carreño</v>
      </c>
    </row>
    <row r="916">
      <c r="A916" s="44">
        <v>915.0</v>
      </c>
      <c r="B916" s="44" t="str">
        <f>IFERROR(__xludf.DUMMYFUNCTION("""COMPUTED_VALUE"""),"Hospital Pérez Carreño")</f>
        <v>Hospital Pérez Carreño</v>
      </c>
      <c r="C916" s="45" t="str">
        <f>IFERROR(__xludf.DUMMYFUNCTION("""COMPUTED_VALUE"""),"Rosa Marcano")</f>
        <v>Rosa Marcano</v>
      </c>
      <c r="D916" s="44"/>
      <c r="E916" s="44" t="str">
        <f>IFERROR(__xludf.DUMMYFUNCTION("""COMPUTED_VALUE"""),"44984354493435")</f>
        <v>44984354493435</v>
      </c>
      <c r="F916" s="44" t="str">
        <f>IFERROR(__xludf.DUMMYFUNCTION("""COMPUTED_VALUE"""),"")</f>
        <v/>
      </c>
      <c r="G916" s="44" t="str">
        <f>IFERROR(__xludf.DUMMYFUNCTION("""COMPUTED_VALUE"""),"Listado de nombres")</f>
        <v>Listado de nombres</v>
      </c>
      <c r="H916" s="44" t="str">
        <f>IFERROR(__xludf.DUMMYFUNCTION("""COMPUTED_VALUE"""),"Hospital Miguel Perez Carreño")</f>
        <v>Hospital Miguel Perez Carreño</v>
      </c>
      <c r="I916" s="44"/>
      <c r="J916" s="44" t="str">
        <f>IFERROR(__xludf.DUMMYFUNCTION("""COMPUTED_VALUE"""),"26/6/26")</f>
        <v>26/6/26</v>
      </c>
      <c r="K916" s="42" t="str">
        <f>IFERROR(__xludf.DUMMYFUNCTION("""COMPUTED_VALUE"""),"Hospital Pérez Carreño")</f>
        <v>Hospital Pérez Carreño</v>
      </c>
    </row>
    <row r="917">
      <c r="A917" s="44">
        <v>916.0</v>
      </c>
      <c r="B917" s="44" t="str">
        <f>IFERROR(__xludf.DUMMYFUNCTION("""COMPUTED_VALUE"""),"Hospital Militar Dr. C. Arvelo")</f>
        <v>Hospital Militar Dr. C. Arvelo</v>
      </c>
      <c r="C917" s="45" t="str">
        <f>IFERROR(__xludf.DUMMYFUNCTION("""COMPUTED_VALUE"""),"María Fragoza Peña")</f>
        <v>María Fragoza Peña</v>
      </c>
      <c r="D917" s="44">
        <f>IFERROR(__xludf.DUMMYFUNCTION("""COMPUTED_VALUE"""),69.0)</f>
        <v>69</v>
      </c>
      <c r="E917" s="44" t="str">
        <f>IFERROR(__xludf.DUMMYFUNCTION("""COMPUTED_VALUE"""),"4556514")</f>
        <v>4556514</v>
      </c>
      <c r="F917" s="44" t="str">
        <f>IFERROR(__xludf.DUMMYFUNCTION("""COMPUTED_VALUE"""),"")</f>
        <v/>
      </c>
      <c r="G917" s="44" t="str">
        <f>IFERROR(__xludf.DUMMYFUNCTION("""COMPUTED_VALUE"""),"")</f>
        <v/>
      </c>
      <c r="H917" s="44" t="str">
        <f>IFERROR(__xludf.DUMMYFUNCTION("""COMPUTED_VALUE"""),"F")</f>
        <v>F</v>
      </c>
      <c r="I917" s="44" t="str">
        <f>IFERROR(__xludf.DUMMYFUNCTION("""COMPUTED_VALUE"""),"La Guaira PNA")</f>
        <v>La Guaira PNA</v>
      </c>
      <c r="J917" s="44" t="str">
        <f>IFERROR(__xludf.DUMMYFUNCTION("""COMPUTED_VALUE"""),"24/6/2026")</f>
        <v>24/6/2026</v>
      </c>
      <c r="K917" s="42" t="str">
        <f>IFERROR(__xludf.DUMMYFUNCTION("""COMPUTED_VALUE"""),"Hospital Militar Dr. C. Arvelo")</f>
        <v>Hospital Militar Dr. C. Arvelo</v>
      </c>
    </row>
    <row r="918">
      <c r="A918" s="44">
        <v>917.0</v>
      </c>
      <c r="B918" s="44" t="str">
        <f>IFERROR(__xludf.DUMMYFUNCTION("""COMPUTED_VALUE"""),"Hospital Militar Dr. C. Arvelo")</f>
        <v>Hospital Militar Dr. C. Arvelo</v>
      </c>
      <c r="C918" s="45" t="str">
        <f>IFERROR(__xludf.DUMMYFUNCTION("""COMPUTED_VALUE"""),"Ana de Pablo")</f>
        <v>Ana de Pablo</v>
      </c>
      <c r="D918" s="44">
        <f>IFERROR(__xludf.DUMMYFUNCTION("""COMPUTED_VALUE"""),76.0)</f>
        <v>76</v>
      </c>
      <c r="E918" s="44" t="str">
        <f>IFERROR(__xludf.DUMMYFUNCTION("""COMPUTED_VALUE"""),"4631806")</f>
        <v>4631806</v>
      </c>
      <c r="F918" s="44" t="str">
        <f>IFERROR(__xludf.DUMMYFUNCTION("""COMPUTED_VALUE"""),"")</f>
        <v/>
      </c>
      <c r="G918" s="44" t="str">
        <f>IFERROR(__xludf.DUMMYFUNCTION("""COMPUTED_VALUE"""),"")</f>
        <v/>
      </c>
      <c r="H918" s="44" t="str">
        <f>IFERROR(__xludf.DUMMYFUNCTION("""COMPUTED_VALUE"""),"F")</f>
        <v>F</v>
      </c>
      <c r="I918" s="44" t="str">
        <f>IFERROR(__xludf.DUMMYFUNCTION("""COMPUTED_VALUE"""),"La Guaira PNA")</f>
        <v>La Guaira PNA</v>
      </c>
      <c r="J918" s="44" t="str">
        <f>IFERROR(__xludf.DUMMYFUNCTION("""COMPUTED_VALUE"""),"24/6/2026")</f>
        <v>24/6/2026</v>
      </c>
      <c r="K918" s="42" t="str">
        <f>IFERROR(__xludf.DUMMYFUNCTION("""COMPUTED_VALUE"""),"Hospital Militar Dr. C. Arvelo")</f>
        <v>Hospital Militar Dr. C. Arvelo</v>
      </c>
    </row>
    <row r="919">
      <c r="A919" s="44">
        <v>918.0</v>
      </c>
      <c r="B919" s="44" t="str">
        <f>IFERROR(__xludf.DUMMYFUNCTION("""COMPUTED_VALUE"""),"Hospital Pérez Carreño")</f>
        <v>Hospital Pérez Carreño</v>
      </c>
      <c r="C919" s="45" t="str">
        <f>IFERROR(__xludf.DUMMYFUNCTION("""COMPUTED_VALUE"""),"HERNANDEZ CRUZ")</f>
        <v>HERNANDEZ CRUZ</v>
      </c>
      <c r="D919" s="44" t="str">
        <f>IFERROR(__xludf.DUMMYFUNCTION("""COMPUTED_VALUE""")," ")</f>
        <v> </v>
      </c>
      <c r="E919" s="44" t="str">
        <f>IFERROR(__xludf.DUMMYFUNCTION("""COMPUTED_VALUE"""),"4636722")</f>
        <v>4636722</v>
      </c>
      <c r="F919" s="44" t="str">
        <f>IFERROR(__xludf.DUMMYFUNCTION("""COMPUTED_VALUE"""),"")</f>
        <v/>
      </c>
      <c r="G919" s="44" t="str">
        <f>IFERROR(__xludf.DUMMYFUNCTION("""COMPUTED_VALUE""")," ")</f>
        <v> </v>
      </c>
      <c r="H919" s="44" t="str">
        <f>IFERROR(__xludf.DUMMYFUNCTION("""COMPUTED_VALUE""")," ")</f>
        <v> </v>
      </c>
      <c r="I919" s="44" t="str">
        <f>IFERROR(__xludf.DUMMYFUNCTION("""COMPUTED_VALUE""")," ")</f>
        <v> </v>
      </c>
      <c r="J919" s="44" t="str">
        <f>IFERROR(__xludf.DUMMYFUNCTION("""COMPUTED_VALUE"""),"25/06/2026")</f>
        <v>25/06/2026</v>
      </c>
      <c r="K919" s="42" t="str">
        <f>IFERROR(__xludf.DUMMYFUNCTION("""COMPUTED_VALUE"""),"Hospital Pérez Carreño")</f>
        <v>Hospital Pérez Carreño</v>
      </c>
    </row>
    <row r="920">
      <c r="A920" s="44">
        <v>919.0</v>
      </c>
      <c r="B920" s="44" t="str">
        <f>IFERROR(__xludf.DUMMYFUNCTION("""COMPUTED_VALUE"""),"Hospital Pérez Carreño")</f>
        <v>Hospital Pérez Carreño</v>
      </c>
      <c r="C920" s="45" t="str">
        <f>IFERROR(__xludf.DUMMYFUNCTION("""COMPUTED_VALUE"""),"CRUZ HERNANDEZ")</f>
        <v>CRUZ HERNANDEZ</v>
      </c>
      <c r="D920" s="44" t="str">
        <f>IFERROR(__xludf.DUMMYFUNCTION("""COMPUTED_VALUE""")," ")</f>
        <v> </v>
      </c>
      <c r="E920" s="44" t="str">
        <f>IFERROR(__xludf.DUMMYFUNCTION("""COMPUTED_VALUE"""),"46367220")</f>
        <v>46367220</v>
      </c>
      <c r="F920" s="44" t="str">
        <f>IFERROR(__xludf.DUMMYFUNCTION("""COMPUTED_VALUE"""),"")</f>
        <v/>
      </c>
      <c r="G920" s="44" t="str">
        <f>IFERROR(__xludf.DUMMYFUNCTION("""COMPUTED_VALUE""")," ")</f>
        <v> </v>
      </c>
      <c r="H920" s="44" t="str">
        <f>IFERROR(__xludf.DUMMYFUNCTION("""COMPUTED_VALUE""")," ")</f>
        <v> </v>
      </c>
      <c r="I920" s="44" t="str">
        <f>IFERROR(__xludf.DUMMYFUNCTION("""COMPUTED_VALUE""")," ")</f>
        <v> </v>
      </c>
      <c r="J920" s="44" t="str">
        <f>IFERROR(__xludf.DUMMYFUNCTION("""COMPUTED_VALUE"""),"25/06/2026")</f>
        <v>25/06/2026</v>
      </c>
      <c r="K920" s="42" t="str">
        <f>IFERROR(__xludf.DUMMYFUNCTION("""COMPUTED_VALUE"""),"Hospital Pérez Carreño")</f>
        <v>Hospital Pérez Carreño</v>
      </c>
    </row>
    <row r="921">
      <c r="A921" s="44">
        <v>920.0</v>
      </c>
      <c r="B921" s="44" t="str">
        <f>IFERROR(__xludf.DUMMYFUNCTION("""COMPUTED_VALUE"""),"Hospital Pérez Carreño")</f>
        <v>Hospital Pérez Carreño</v>
      </c>
      <c r="C921" s="45" t="str">
        <f>IFERROR(__xludf.DUMMYFUNCTION("""COMPUTED_VALUE"""),"RENDON CRUZA")</f>
        <v>RENDON CRUZA</v>
      </c>
      <c r="D921" s="44" t="str">
        <f>IFERROR(__xludf.DUMMYFUNCTION("""COMPUTED_VALUE""")," ")</f>
        <v> </v>
      </c>
      <c r="E921" s="44" t="str">
        <f>IFERROR(__xludf.DUMMYFUNCTION("""COMPUTED_VALUE"""),"4656862")</f>
        <v>4656862</v>
      </c>
      <c r="F921" s="44" t="str">
        <f>IFERROR(__xludf.DUMMYFUNCTION("""COMPUTED_VALUE"""),"")</f>
        <v/>
      </c>
      <c r="G921" s="44" t="str">
        <f>IFERROR(__xludf.DUMMYFUNCTION("""COMPUTED_VALUE""")," ")</f>
        <v> </v>
      </c>
      <c r="H921" s="44" t="str">
        <f>IFERROR(__xludf.DUMMYFUNCTION("""COMPUTED_VALUE""")," ")</f>
        <v> </v>
      </c>
      <c r="I921" s="44" t="str">
        <f>IFERROR(__xludf.DUMMYFUNCTION("""COMPUTED_VALUE"""),"Internado")</f>
        <v>Internado</v>
      </c>
      <c r="J921" s="44" t="str">
        <f>IFERROR(__xludf.DUMMYFUNCTION("""COMPUTED_VALUE"""),"")</f>
        <v/>
      </c>
      <c r="K921" s="42" t="str">
        <f>IFERROR(__xludf.DUMMYFUNCTION("""COMPUTED_VALUE"""),"🔍 BUSCAR PACIENTES")</f>
        <v>🔍 BUSCAR PACIENTES</v>
      </c>
    </row>
    <row r="922">
      <c r="A922" s="44">
        <v>921.0</v>
      </c>
      <c r="B922" s="44" t="str">
        <f>IFERROR(__xludf.DUMMYFUNCTION("""COMPUTED_VALUE"""),"Hospital Pérez Carreño")</f>
        <v>Hospital Pérez Carreño</v>
      </c>
      <c r="C922" s="45" t="str">
        <f>IFERROR(__xludf.DUMMYFUNCTION("""COMPUTED_VALUE"""),"MORZELO LESVIA")</f>
        <v>MORZELO LESVIA</v>
      </c>
      <c r="D922" s="44" t="str">
        <f>IFERROR(__xludf.DUMMYFUNCTION("""COMPUTED_VALUE""")," ")</f>
        <v> </v>
      </c>
      <c r="E922" s="44" t="str">
        <f>IFERROR(__xludf.DUMMYFUNCTION("""COMPUTED_VALUE"""),"46965996")</f>
        <v>46965996</v>
      </c>
      <c r="F922" s="44" t="str">
        <f>IFERROR(__xludf.DUMMYFUNCTION("""COMPUTED_VALUE"""),"")</f>
        <v/>
      </c>
      <c r="G922" s="44" t="str">
        <f>IFERROR(__xludf.DUMMYFUNCTION("""COMPUTED_VALUE""")," ")</f>
        <v> </v>
      </c>
      <c r="H922" s="44" t="str">
        <f>IFERROR(__xludf.DUMMYFUNCTION("""COMPUTED_VALUE""")," ")</f>
        <v> </v>
      </c>
      <c r="I922" s="44" t="str">
        <f>IFERROR(__xludf.DUMMYFUNCTION("""COMPUTED_VALUE"""),"Internado")</f>
        <v>Internado</v>
      </c>
      <c r="J922" s="44" t="str">
        <f>IFERROR(__xludf.DUMMYFUNCTION("""COMPUTED_VALUE"""),"25/06/2026")</f>
        <v>25/06/2026</v>
      </c>
      <c r="K922" s="42" t="str">
        <f>IFERROR(__xludf.DUMMYFUNCTION("""COMPUTED_VALUE"""),"Hospital Pérez Carreño")</f>
        <v>Hospital Pérez Carreño</v>
      </c>
    </row>
    <row r="923">
      <c r="A923" s="44">
        <v>922.0</v>
      </c>
      <c r="B923" s="44" t="str">
        <f>IFERROR(__xludf.DUMMYFUNCTION("""COMPUTED_VALUE"""),"Hospital Pérez Carreño")</f>
        <v>Hospital Pérez Carreño</v>
      </c>
      <c r="C923" s="45" t="str">
        <f>IFERROR(__xludf.DUMMYFUNCTION("""COMPUTED_VALUE"""),"TORRES ISABEL")</f>
        <v>TORRES ISABEL</v>
      </c>
      <c r="D923" s="44" t="str">
        <f>IFERROR(__xludf.DUMMYFUNCTION("""COMPUTED_VALUE""")," ")</f>
        <v> </v>
      </c>
      <c r="E923" s="44" t="str">
        <f>IFERROR(__xludf.DUMMYFUNCTION("""COMPUTED_VALUE"""),"4718019")</f>
        <v>4718019</v>
      </c>
      <c r="F923" s="44" t="str">
        <f>IFERROR(__xludf.DUMMYFUNCTION("""COMPUTED_VALUE"""),"")</f>
        <v/>
      </c>
      <c r="G923" s="44" t="str">
        <f>IFERROR(__xludf.DUMMYFUNCTION("""COMPUTED_VALUE""")," ")</f>
        <v> </v>
      </c>
      <c r="H923" s="44" t="str">
        <f>IFERROR(__xludf.DUMMYFUNCTION("""COMPUTED_VALUE""")," ")</f>
        <v> </v>
      </c>
      <c r="I923" s="44" t="str">
        <f>IFERROR(__xludf.DUMMYFUNCTION("""COMPUTED_VALUE""")," ")</f>
        <v> </v>
      </c>
      <c r="J923" s="44" t="str">
        <f>IFERROR(__xludf.DUMMYFUNCTION("""COMPUTED_VALUE"""),"25/06/2026")</f>
        <v>25/06/2026</v>
      </c>
      <c r="K923" s="42" t="str">
        <f>IFERROR(__xludf.DUMMYFUNCTION("""COMPUTED_VALUE"""),"Hospital Pérez Carreño")</f>
        <v>Hospital Pérez Carreño</v>
      </c>
    </row>
    <row r="924">
      <c r="A924" s="44">
        <v>923.0</v>
      </c>
      <c r="B924" s="44" t="str">
        <f>IFERROR(__xludf.DUMMYFUNCTION("""COMPUTED_VALUE"""),"Hospital Pérez Carreño")</f>
        <v>Hospital Pérez Carreño</v>
      </c>
      <c r="C924" s="45" t="str">
        <f>IFERROR(__xludf.DUMMYFUNCTION("""COMPUTED_VALUE"""),"ISABEL TORRES")</f>
        <v>ISABEL TORRES</v>
      </c>
      <c r="D924" s="44" t="str">
        <f>IFERROR(__xludf.DUMMYFUNCTION("""COMPUTED_VALUE""")," ")</f>
        <v> </v>
      </c>
      <c r="E924" s="44" t="str">
        <f>IFERROR(__xludf.DUMMYFUNCTION("""COMPUTED_VALUE"""),"47180190")</f>
        <v>47180190</v>
      </c>
      <c r="F924" s="44" t="str">
        <f>IFERROR(__xludf.DUMMYFUNCTION("""COMPUTED_VALUE"""),"")</f>
        <v/>
      </c>
      <c r="G924" s="44" t="str">
        <f>IFERROR(__xludf.DUMMYFUNCTION("""COMPUTED_VALUE""")," ")</f>
        <v> </v>
      </c>
      <c r="H924" s="44" t="str">
        <f>IFERROR(__xludf.DUMMYFUNCTION("""COMPUTED_VALUE""")," ")</f>
        <v> </v>
      </c>
      <c r="I924" s="44" t="str">
        <f>IFERROR(__xludf.DUMMYFUNCTION("""COMPUTED_VALUE"""),"Triaje")</f>
        <v>Triaje</v>
      </c>
      <c r="J924" s="44" t="str">
        <f>IFERROR(__xludf.DUMMYFUNCTION("""COMPUTED_VALUE"""),"25/06/2026")</f>
        <v>25/06/2026</v>
      </c>
      <c r="K924" s="42" t="str">
        <f>IFERROR(__xludf.DUMMYFUNCTION("""COMPUTED_VALUE"""),"Hospital Pérez Carreño")</f>
        <v>Hospital Pérez Carreño</v>
      </c>
    </row>
    <row r="925">
      <c r="A925" s="44">
        <v>924.0</v>
      </c>
      <c r="B925" s="44" t="str">
        <f>IFERROR(__xludf.DUMMYFUNCTION("""COMPUTED_VALUE"""),"Hospital Vargas de Caracas")</f>
        <v>Hospital Vargas de Caracas</v>
      </c>
      <c r="C925" s="45" t="str">
        <f>IFERROR(__xludf.DUMMYFUNCTION("""COMPUTED_VALUE"""),"GUZMAN JOSEFINA")</f>
        <v>GUZMAN JOSEFINA</v>
      </c>
      <c r="D925" s="44" t="str">
        <f>IFERROR(__xludf.DUMMYFUNCTION("""COMPUTED_VALUE""")," ")</f>
        <v> </v>
      </c>
      <c r="E925" s="44" t="str">
        <f>IFERROR(__xludf.DUMMYFUNCTION("""COMPUTED_VALUE"""),"4817701")</f>
        <v>4817701</v>
      </c>
      <c r="F925" s="44" t="str">
        <f>IFERROR(__xludf.DUMMYFUNCTION("""COMPUTED_VALUE""")," ")</f>
        <v> </v>
      </c>
      <c r="G925" s="44" t="str">
        <f>IFERROR(__xludf.DUMMYFUNCTION("""COMPUTED_VALUE"""),"")</f>
        <v/>
      </c>
      <c r="H925" s="44" t="str">
        <f>IFERROR(__xludf.DUMMYFUNCTION("""COMPUTED_VALUE""")," ")</f>
        <v> </v>
      </c>
      <c r="I925" s="44" t="str">
        <f>IFERROR(__xludf.DUMMYFUNCTION("""COMPUTED_VALUE""")," ")</f>
        <v> </v>
      </c>
      <c r="J925" s="44" t="str">
        <f>IFERROR(__xludf.DUMMYFUNCTION("""COMPUTED_VALUE"""),"")</f>
        <v/>
      </c>
      <c r="K925" s="42" t="str">
        <f>IFERROR(__xludf.DUMMYFUNCTION("""COMPUTED_VALUE"""),"Hospital Vargas de Caracas")</f>
        <v>Hospital Vargas de Caracas</v>
      </c>
    </row>
    <row r="926">
      <c r="A926" s="44">
        <v>925.0</v>
      </c>
      <c r="B926" s="44" t="str">
        <f>IFERROR(__xludf.DUMMYFUNCTION("""COMPUTED_VALUE"""),"Hospital Dr. José Gregorio Hern")</f>
        <v>Hospital Dr. José Gregorio Hern</v>
      </c>
      <c r="C926" s="45" t="str">
        <f>IFERROR(__xludf.DUMMYFUNCTION("""COMPUTED_VALUE"""),"COSTANDA CATALEYA")</f>
        <v>COSTANDA CATALEYA</v>
      </c>
      <c r="D926" s="44">
        <f>IFERROR(__xludf.DUMMYFUNCTION("""COMPUTED_VALUE"""),2.0)</f>
        <v>2</v>
      </c>
      <c r="E926" s="44" t="str">
        <f>IFERROR(__xludf.DUMMYFUNCTION("""COMPUTED_VALUE"""),"4856810")</f>
        <v>4856810</v>
      </c>
      <c r="F926" s="44" t="str">
        <f>IFERROR(__xludf.DUMMYFUNCTION("""COMPUTED_VALUE"""),"")</f>
        <v/>
      </c>
      <c r="G926" s="44" t="str">
        <f>IFERROR(__xludf.DUMMYFUNCTION("""COMPUTED_VALUE""")," ")</f>
        <v> </v>
      </c>
      <c r="H926" s="44" t="str">
        <f>IFERROR(__xludf.DUMMYFUNCTION("""COMPUTED_VALUE"""),"Propatria")</f>
        <v>Propatria</v>
      </c>
      <c r="I926" s="44" t="str">
        <f>IFERROR(__xludf.DUMMYFUNCTION("""COMPUTED_VALUE""")," ")</f>
        <v> </v>
      </c>
      <c r="J926" s="44" t="str">
        <f>IFERROR(__xludf.DUMMYFUNCTION("""COMPUTED_VALUE"""),"")</f>
        <v/>
      </c>
      <c r="K926" s="42" t="str">
        <f>IFERROR(__xludf.DUMMYFUNCTION("""COMPUTED_VALUE"""),"Hospital Dr. José Gregorio Hern")</f>
        <v>Hospital Dr. José Gregorio Hern</v>
      </c>
    </row>
    <row r="927">
      <c r="A927" s="44">
        <v>926.0</v>
      </c>
      <c r="B927" s="44" t="str">
        <f>IFERROR(__xludf.DUMMYFUNCTION("""COMPUTED_VALUE"""),"Hospital Dr. José Gregorio Hern")</f>
        <v>Hospital Dr. José Gregorio Hern</v>
      </c>
      <c r="C927" s="45" t="str">
        <f>IFERROR(__xludf.DUMMYFUNCTION("""COMPUTED_VALUE"""),"CARRILLO JOSE")</f>
        <v>CARRILLO JOSE</v>
      </c>
      <c r="D927" s="44">
        <f>IFERROR(__xludf.DUMMYFUNCTION("""COMPUTED_VALUE"""),52.0)</f>
        <v>52</v>
      </c>
      <c r="E927" s="44" t="str">
        <f>IFERROR(__xludf.DUMMYFUNCTION("""COMPUTED_VALUE"""),"48815362")</f>
        <v>48815362</v>
      </c>
      <c r="F927" s="44" t="str">
        <f>IFERROR(__xludf.DUMMYFUNCTION("""COMPUTED_VALUE"""),"")</f>
        <v/>
      </c>
      <c r="G927" s="44" t="str">
        <f>IFERROR(__xludf.DUMMYFUNCTION("""COMPUTED_VALUE""")," ")</f>
        <v> </v>
      </c>
      <c r="H927" s="44" t="str">
        <f>IFERROR(__xludf.DUMMYFUNCTION("""COMPUTED_VALUE"""),"Gramoven")</f>
        <v>Gramoven</v>
      </c>
      <c r="I927" s="44" t="str">
        <f>IFERROR(__xludf.DUMMYFUNCTION("""COMPUTED_VALUE"""),"Reporte Diario Emergencia 26/06/26")</f>
        <v>Reporte Diario Emergencia 26/06/26</v>
      </c>
      <c r="J927" s="44" t="str">
        <f>IFERROR(__xludf.DUMMYFUNCTION("""COMPUTED_VALUE"""),"")</f>
        <v/>
      </c>
      <c r="K927" s="42" t="str">
        <f>IFERROR(__xludf.DUMMYFUNCTION("""COMPUTED_VALUE"""),"Hospital Dr. José Gregorio Hern")</f>
        <v>Hospital Dr. José Gregorio Hern</v>
      </c>
    </row>
    <row r="928">
      <c r="A928" s="44">
        <v>927.0</v>
      </c>
      <c r="B928" s="44" t="str">
        <f>IFERROR(__xludf.DUMMYFUNCTION("""COMPUTED_VALUE"""),"Hospital Vargas de Caracas")</f>
        <v>Hospital Vargas de Caracas</v>
      </c>
      <c r="C928" s="45" t="str">
        <f>IFERROR(__xludf.DUMMYFUNCTION("""COMPUTED_VALUE"""),"ROMERO NESTOR")</f>
        <v>ROMERO NESTOR</v>
      </c>
      <c r="D928" s="44" t="str">
        <f>IFERROR(__xludf.DUMMYFUNCTION("""COMPUTED_VALUE""")," ")</f>
        <v> </v>
      </c>
      <c r="E928" s="44" t="str">
        <f>IFERROR(__xludf.DUMMYFUNCTION("""COMPUTED_VALUE"""),"5005566")</f>
        <v>5005566</v>
      </c>
      <c r="F928" s="44" t="str">
        <f>IFERROR(__xludf.DUMMYFUNCTION("""COMPUTED_VALUE""")," ")</f>
        <v> </v>
      </c>
      <c r="G928" s="44" t="str">
        <f>IFERROR(__xludf.DUMMYFUNCTION("""COMPUTED_VALUE"""),"")</f>
        <v/>
      </c>
      <c r="H928" s="44" t="str">
        <f>IFERROR(__xludf.DUMMYFUNCTION("""COMPUTED_VALUE""")," ")</f>
        <v> </v>
      </c>
      <c r="I928" s="44" t="str">
        <f>IFERROR(__xludf.DUMMYFUNCTION("""COMPUTED_VALUE""")," ")</f>
        <v> </v>
      </c>
      <c r="J928" s="44" t="str">
        <f>IFERROR(__xludf.DUMMYFUNCTION("""COMPUTED_VALUE"""),"")</f>
        <v/>
      </c>
      <c r="K928" s="42" t="str">
        <f>IFERROR(__xludf.DUMMYFUNCTION("""COMPUTED_VALUE"""),"Hospital Vargas de Caracas")</f>
        <v>Hospital Vargas de Caracas</v>
      </c>
    </row>
    <row r="929">
      <c r="A929" s="44">
        <v>928.0</v>
      </c>
      <c r="B929" s="44" t="str">
        <f>IFERROR(__xludf.DUMMYFUNCTION("""COMPUTED_VALUE"""),"Hospital Militar Dr. C. Arvelo")</f>
        <v>Hospital Militar Dr. C. Arvelo</v>
      </c>
      <c r="C929" s="45" t="str">
        <f>IFERROR(__xludf.DUMMYFUNCTION("""COMPUTED_VALUE"""),"Coen Blanco")</f>
        <v>Coen Blanco</v>
      </c>
      <c r="D929" s="44">
        <f>IFERROR(__xludf.DUMMYFUNCTION("""COMPUTED_VALUE"""),66.0)</f>
        <v>66</v>
      </c>
      <c r="E929" s="44" t="str">
        <f>IFERROR(__xludf.DUMMYFUNCTION("""COMPUTED_VALUE"""),"5013048")</f>
        <v>5013048</v>
      </c>
      <c r="F929" s="44" t="str">
        <f>IFERROR(__xludf.DUMMYFUNCTION("""COMPUTED_VALUE"""),"")</f>
        <v/>
      </c>
      <c r="G929" s="44" t="str">
        <f>IFERROR(__xludf.DUMMYFUNCTION("""COMPUTED_VALUE"""),"")</f>
        <v/>
      </c>
      <c r="H929" s="44" t="str">
        <f>IFERROR(__xludf.DUMMYFUNCTION("""COMPUTED_VALUE"""),"F")</f>
        <v>F</v>
      </c>
      <c r="I929" s="44" t="str">
        <f>IFERROR(__xludf.DUMMYFUNCTION("""COMPUTED_VALUE"""),"San Martín PNA")</f>
        <v>San Martín PNA</v>
      </c>
      <c r="J929" s="44" t="str">
        <f>IFERROR(__xludf.DUMMYFUNCTION("""COMPUTED_VALUE"""),"24/6/2026")</f>
        <v>24/6/2026</v>
      </c>
      <c r="K929" s="42" t="str">
        <f>IFERROR(__xludf.DUMMYFUNCTION("""COMPUTED_VALUE"""),"Hospital Militar Dr. C. Arvelo")</f>
        <v>Hospital Militar Dr. C. Arvelo</v>
      </c>
    </row>
    <row r="930">
      <c r="A930" s="44">
        <v>929.0</v>
      </c>
      <c r="B930" s="44" t="str">
        <f>IFERROR(__xludf.DUMMYFUNCTION("""COMPUTED_VALUE"""),"Hospital Universitario de Carac")</f>
        <v>Hospital Universitario de Carac</v>
      </c>
      <c r="C930" s="45" t="str">
        <f>IFERROR(__xludf.DUMMYFUNCTION("""COMPUTED_VALUE"""),"AHANMA ANTONIO")</f>
        <v>AHANMA ANTONIO</v>
      </c>
      <c r="D930" s="44">
        <f>IFERROR(__xludf.DUMMYFUNCTION("""COMPUTED_VALUE"""),66.0)</f>
        <v>66</v>
      </c>
      <c r="E930" s="44" t="str">
        <f>IFERROR(__xludf.DUMMYFUNCTION("""COMPUTED_VALUE"""),"5072832")</f>
        <v>5072832</v>
      </c>
      <c r="F930" s="44" t="str">
        <f>IFERROR(__xludf.DUMMYFUNCTION("""COMPUTED_VALUE"""),"")</f>
        <v/>
      </c>
      <c r="G930" s="44" t="str">
        <f>IFERROR(__xludf.DUMMYFUNCTION("""COMPUTED_VALUE"""),"0424-2183524")</f>
        <v>0424-2183524</v>
      </c>
      <c r="H930" s="44" t="str">
        <f>IFERROR(__xludf.DUMMYFUNCTION("""COMPUTED_VALUE""")," ")</f>
        <v> </v>
      </c>
      <c r="I930" s="44" t="str">
        <f>IFERROR(__xludf.DUMMYFUNCTION("""COMPUTED_VALUE"""),"Politraumatismo")</f>
        <v>Politraumatismo</v>
      </c>
      <c r="J930" s="44" t="str">
        <f>IFERROR(__xludf.DUMMYFUNCTION("""COMPUTED_VALUE"""),"")</f>
        <v/>
      </c>
      <c r="K930" s="42" t="str">
        <f>IFERROR(__xludf.DUMMYFUNCTION("""COMPUTED_VALUE"""),"Hospital Universitario de Carac")</f>
        <v>Hospital Universitario de Carac</v>
      </c>
    </row>
    <row r="931">
      <c r="A931" s="44">
        <v>930.0</v>
      </c>
      <c r="B931" s="44" t="str">
        <f>IFERROR(__xludf.DUMMYFUNCTION("""COMPUTED_VALUE"""),"Hospital Militar Dr. C. Arvelo")</f>
        <v>Hospital Militar Dr. C. Arvelo</v>
      </c>
      <c r="C931" s="45" t="str">
        <f>IFERROR(__xludf.DUMMYFUNCTION("""COMPUTED_VALUE"""),"Milens Gladys")</f>
        <v>Milens Gladys</v>
      </c>
      <c r="D931" s="44">
        <f>IFERROR(__xludf.DUMMYFUNCTION("""COMPUTED_VALUE"""),68.0)</f>
        <v>68</v>
      </c>
      <c r="E931" s="44" t="str">
        <f>IFERROR(__xludf.DUMMYFUNCTION("""COMPUTED_VALUE"""),"5114187")</f>
        <v>5114187</v>
      </c>
      <c r="F931" s="44" t="str">
        <f>IFERROR(__xludf.DUMMYFUNCTION("""COMPUTED_VALUE"""),"")</f>
        <v/>
      </c>
      <c r="G931" s="44" t="str">
        <f>IFERROR(__xludf.DUMMYFUNCTION("""COMPUTED_VALUE"""),"")</f>
        <v/>
      </c>
      <c r="H931" s="44" t="str">
        <f>IFERROR(__xludf.DUMMYFUNCTION("""COMPUTED_VALUE"""),"F")</f>
        <v>F</v>
      </c>
      <c r="I931" s="44" t="str">
        <f>IFERROR(__xludf.DUMMYFUNCTION("""COMPUTED_VALUE"""),"Artigas PNA")</f>
        <v>Artigas PNA</v>
      </c>
      <c r="J931" s="44" t="str">
        <f>IFERROR(__xludf.DUMMYFUNCTION("""COMPUTED_VALUE"""),"24/6/2026")</f>
        <v>24/6/2026</v>
      </c>
      <c r="K931" s="42" t="str">
        <f>IFERROR(__xludf.DUMMYFUNCTION("""COMPUTED_VALUE"""),"Hospital Militar Dr. C. Arvelo")</f>
        <v>Hospital Militar Dr. C. Arvelo</v>
      </c>
    </row>
    <row r="932">
      <c r="A932" s="44">
        <v>931.0</v>
      </c>
      <c r="B932" s="44" t="str">
        <f>IFERROR(__xludf.DUMMYFUNCTION("""COMPUTED_VALUE"""),"Hospital Militar Dr. C. Arvelo")</f>
        <v>Hospital Militar Dr. C. Arvelo</v>
      </c>
      <c r="C932" s="45" t="str">
        <f>IFERROR(__xludf.DUMMYFUNCTION("""COMPUTED_VALUE"""),"Brito Vasquez Nélide")</f>
        <v>Brito Vasquez Nélide</v>
      </c>
      <c r="D932" s="44">
        <f>IFERROR(__xludf.DUMMYFUNCTION("""COMPUTED_VALUE"""),69.0)</f>
        <v>69</v>
      </c>
      <c r="E932" s="44" t="str">
        <f>IFERROR(__xludf.DUMMYFUNCTION("""COMPUTED_VALUE"""),"5120175")</f>
        <v>5120175</v>
      </c>
      <c r="F932" s="44" t="str">
        <f>IFERROR(__xludf.DUMMYFUNCTION("""COMPUTED_VALUE"""),"")</f>
        <v/>
      </c>
      <c r="G932" s="44" t="str">
        <f>IFERROR(__xludf.DUMMYFUNCTION("""COMPUTED_VALUE"""),"")</f>
        <v/>
      </c>
      <c r="H932" s="44" t="str">
        <f>IFERROR(__xludf.DUMMYFUNCTION("""COMPUTED_VALUE"""),"F")</f>
        <v>F</v>
      </c>
      <c r="I932" s="44" t="str">
        <f>IFERROR(__xludf.DUMMYFUNCTION("""COMPUTED_VALUE"""),"San Martín PNA")</f>
        <v>San Martín PNA</v>
      </c>
      <c r="J932" s="44" t="str">
        <f>IFERROR(__xludf.DUMMYFUNCTION("""COMPUTED_VALUE"""),"24/6/2026")</f>
        <v>24/6/2026</v>
      </c>
      <c r="K932" s="42" t="str">
        <f>IFERROR(__xludf.DUMMYFUNCTION("""COMPUTED_VALUE"""),"Hospital Militar Dr. C. Arvelo")</f>
        <v>Hospital Militar Dr. C. Arvelo</v>
      </c>
    </row>
    <row r="933">
      <c r="A933" s="44">
        <v>932.0</v>
      </c>
      <c r="B933" s="44" t="str">
        <f>IFERROR(__xludf.DUMMYFUNCTION("""COMPUTED_VALUE"""),"Hospital Ana Francisca Pérez de")</f>
        <v>Hospital Ana Francisca Pérez de</v>
      </c>
      <c r="C933" s="45" t="str">
        <f>IFERROR(__xludf.DUMMYFUNCTION("""COMPUTED_VALUE"""),"CHACON BLANCA")</f>
        <v>CHACON BLANCA</v>
      </c>
      <c r="D933" s="44">
        <f>IFERROR(__xludf.DUMMYFUNCTION("""COMPUTED_VALUE"""),71.0)</f>
        <v>71</v>
      </c>
      <c r="E933" s="44" t="str">
        <f>IFERROR(__xludf.DUMMYFUNCTION("""COMPUTED_VALUE"""),"5133290")</f>
        <v>5133290</v>
      </c>
      <c r="F933" s="44" t="str">
        <f>IFERROR(__xludf.DUMMYFUNCTION("""COMPUTED_VALUE"""),"")</f>
        <v/>
      </c>
      <c r="G933" s="44" t="str">
        <f>IFERROR(__xludf.DUMMYFUNCTION("""COMPUTED_VALUE""")," ")</f>
        <v> </v>
      </c>
      <c r="H933" s="44" t="str">
        <f>IFERROR(__xludf.DUMMYFUNCTION("""COMPUTED_VALUE"""),"Playa Grande")</f>
        <v>Playa Grande</v>
      </c>
      <c r="I933" s="44" t="str">
        <f>IFERROR(__xludf.DUMMYFUNCTION("""COMPUTED_VALUE""")," ")</f>
        <v> </v>
      </c>
      <c r="J933" s="44" t="str">
        <f>IFERROR(__xludf.DUMMYFUNCTION("""COMPUTED_VALUE"""),"")</f>
        <v/>
      </c>
      <c r="K933" s="42" t="str">
        <f>IFERROR(__xludf.DUMMYFUNCTION("""COMPUTED_VALUE"""),"Hospital Ana Francisca Pérez de")</f>
        <v>Hospital Ana Francisca Pérez de</v>
      </c>
    </row>
    <row r="934">
      <c r="A934" s="44">
        <v>933.0</v>
      </c>
      <c r="B934" s="44" t="str">
        <f>IFERROR(__xludf.DUMMYFUNCTION("""COMPUTED_VALUE"""),"Hospital Ana Francisca Pérez de")</f>
        <v>Hospital Ana Francisca Pérez de</v>
      </c>
      <c r="C934" s="45" t="str">
        <f>IFERROR(__xludf.DUMMYFUNCTION("""COMPUTED_VALUE"""),"BLANCA CHACON")</f>
        <v>BLANCA CHACON</v>
      </c>
      <c r="D934" s="44">
        <f>IFERROR(__xludf.DUMMYFUNCTION("""COMPUTED_VALUE"""),71.0)</f>
        <v>71</v>
      </c>
      <c r="E934" s="44" t="str">
        <f>IFERROR(__xludf.DUMMYFUNCTION("""COMPUTED_VALUE"""),"51332900")</f>
        <v>51332900</v>
      </c>
      <c r="F934" s="44" t="str">
        <f>IFERROR(__xludf.DUMMYFUNCTION("""COMPUTED_VALUE"""),"")</f>
        <v/>
      </c>
      <c r="G934" s="44" t="str">
        <f>IFERROR(__xludf.DUMMYFUNCTION("""COMPUTED_VALUE""")," ")</f>
        <v> </v>
      </c>
      <c r="H934" s="44" t="str">
        <f>IFERROR(__xludf.DUMMYFUNCTION("""COMPUTED_VALUE"""),"Playa Grande")</f>
        <v>Playa Grande</v>
      </c>
      <c r="I934" s="44" t="str">
        <f>IFERROR(__xludf.DUMMYFUNCTION("""COMPUTED_VALUE""")," ")</f>
        <v> </v>
      </c>
      <c r="J934" s="44" t="str">
        <f>IFERROR(__xludf.DUMMYFUNCTION("""COMPUTED_VALUE"""),"")</f>
        <v/>
      </c>
      <c r="K934" s="42" t="str">
        <f>IFERROR(__xludf.DUMMYFUNCTION("""COMPUTED_VALUE"""),"🔍 BUSCAR PACIENTES")</f>
        <v>🔍 BUSCAR PACIENTES</v>
      </c>
    </row>
    <row r="935">
      <c r="A935" s="44">
        <v>934.0</v>
      </c>
      <c r="B935" s="44" t="str">
        <f>IFERROR(__xludf.DUMMYFUNCTION("""COMPUTED_VALUE"""),"Periférico de Catia")</f>
        <v>Periférico de Catia</v>
      </c>
      <c r="C935" s="45" t="str">
        <f>IFERROR(__xludf.DUMMYFUNCTION("""COMPUTED_VALUE"""),"OLGA RAMÍREZ")</f>
        <v>OLGA RAMÍREZ</v>
      </c>
      <c r="D935" s="44">
        <f>IFERROR(__xludf.DUMMYFUNCTION("""COMPUTED_VALUE"""),70.0)</f>
        <v>70</v>
      </c>
      <c r="E935" s="44" t="str">
        <f>IFERROR(__xludf.DUMMYFUNCTION("""COMPUTED_VALUE"""),"51396010")</f>
        <v>51396010</v>
      </c>
      <c r="F935" s="44" t="str">
        <f>IFERROR(__xludf.DUMMYFUNCTION("""COMPUTED_VALUE"""),"")</f>
        <v/>
      </c>
      <c r="G935" s="44" t="str">
        <f>IFERROR(__xludf.DUMMYFUNCTION("""COMPUTED_VALUE""")," ")</f>
        <v> </v>
      </c>
      <c r="H935" s="44" t="str">
        <f>IFERROR(__xludf.DUMMYFUNCTION("""COMPUTED_VALUE"""),"Sin información")</f>
        <v>Sin información</v>
      </c>
      <c r="I935" s="44" t="str">
        <f>IFERROR(__xludf.DUMMYFUNCTION("""COMPUTED_VALUE"""),"Emergencia")</f>
        <v>Emergencia</v>
      </c>
      <c r="J935" s="44" t="str">
        <f>IFERROR(__xludf.DUMMYFUNCTION("""COMPUTED_VALUE"""),"")</f>
        <v/>
      </c>
      <c r="K935" s="42" t="str">
        <f>IFERROR(__xludf.DUMMYFUNCTION("""COMPUTED_VALUE"""),"Periférico de Catia")</f>
        <v>Periférico de Catia</v>
      </c>
    </row>
    <row r="936">
      <c r="A936" s="44">
        <v>935.0</v>
      </c>
      <c r="B936" s="44" t="str">
        <f>IFERROR(__xludf.DUMMYFUNCTION("""COMPUTED_VALUE"""),"Hospital Pérez Carreño")</f>
        <v>Hospital Pérez Carreño</v>
      </c>
      <c r="C936" s="45" t="str">
        <f>IFERROR(__xludf.DUMMYFUNCTION("""COMPUTED_VALUE"""),"DUARTE JESUS")</f>
        <v>DUARTE JESUS</v>
      </c>
      <c r="D936" s="44">
        <f>IFERROR(__xludf.DUMMYFUNCTION("""COMPUTED_VALUE"""),74.0)</f>
        <v>74</v>
      </c>
      <c r="E936" s="44" t="str">
        <f>IFERROR(__xludf.DUMMYFUNCTION("""COMPUTED_VALUE"""),"5142521")</f>
        <v>5142521</v>
      </c>
      <c r="F936" s="44" t="str">
        <f>IFERROR(__xludf.DUMMYFUNCTION("""COMPUTED_VALUE"""),"")</f>
        <v/>
      </c>
      <c r="G936" s="44" t="str">
        <f>IFERROR(__xludf.DUMMYFUNCTION("""COMPUTED_VALUE""")," ")</f>
        <v> </v>
      </c>
      <c r="H936" s="44" t="str">
        <f>IFERROR(__xludf.DUMMYFUNCTION("""COMPUTED_VALUE""")," ")</f>
        <v> </v>
      </c>
      <c r="I936" s="44" t="str">
        <f>IFERROR(__xludf.DUMMYFUNCTION("""COMPUTED_VALUE""")," ")</f>
        <v> </v>
      </c>
      <c r="J936" s="44" t="str">
        <f>IFERROR(__xludf.DUMMYFUNCTION("""COMPUTED_VALUE"""),"25/06/2026")</f>
        <v>25/06/2026</v>
      </c>
      <c r="K936" s="42" t="str">
        <f>IFERROR(__xludf.DUMMYFUNCTION("""COMPUTED_VALUE"""),"Hospital Pérez Carreño")</f>
        <v>Hospital Pérez Carreño</v>
      </c>
    </row>
    <row r="937">
      <c r="A937" s="44">
        <v>936.0</v>
      </c>
      <c r="B937" s="44" t="str">
        <f>IFERROR(__xludf.DUMMYFUNCTION("""COMPUTED_VALUE"""),"Hospital Pérez Carreño")</f>
        <v>Hospital Pérez Carreño</v>
      </c>
      <c r="C937" s="45" t="str">
        <f>IFERROR(__xludf.DUMMYFUNCTION("""COMPUTED_VALUE"""),"Jesus Duarte")</f>
        <v>Jesus Duarte</v>
      </c>
      <c r="D937" s="44" t="str">
        <f>IFERROR(__xludf.DUMMYFUNCTION("""COMPUTED_VALUE"""),"91 años")</f>
        <v>91 años</v>
      </c>
      <c r="E937" s="44" t="str">
        <f>IFERROR(__xludf.DUMMYFUNCTION("""COMPUTED_VALUE"""),"514252174")</f>
        <v>514252174</v>
      </c>
      <c r="F937" s="44" t="str">
        <f>IFERROR(__xludf.DUMMYFUNCTION("""COMPUTED_VALUE"""),"")</f>
        <v/>
      </c>
      <c r="G937" s="44" t="str">
        <f>IFERROR(__xludf.DUMMYFUNCTION("""COMPUTED_VALUE"""),"Nuevos Ingresos 25/06/2026")</f>
        <v>Nuevos Ingresos 25/06/2026</v>
      </c>
      <c r="H937" s="44" t="str">
        <f>IFERROR(__xludf.DUMMYFUNCTION("""COMPUTED_VALUE"""),"Hospital Miguel Perez Carreño")</f>
        <v>Hospital Miguel Perez Carreño</v>
      </c>
      <c r="I937" s="44"/>
      <c r="J937" s="44" t="str">
        <f>IFERROR(__xludf.DUMMYFUNCTION("""COMPUTED_VALUE"""),"26/6/26")</f>
        <v>26/6/26</v>
      </c>
      <c r="K937" s="42" t="str">
        <f>IFERROR(__xludf.DUMMYFUNCTION("""COMPUTED_VALUE"""),"Hospital Pérez Carreño")</f>
        <v>Hospital Pérez Carreño</v>
      </c>
    </row>
    <row r="938">
      <c r="A938" s="44">
        <v>937.0</v>
      </c>
      <c r="B938" s="44" t="str">
        <f>IFERROR(__xludf.DUMMYFUNCTION("""COMPUTED_VALUE"""),"Hospital Pérez Carreño")</f>
        <v>Hospital Pérez Carreño</v>
      </c>
      <c r="C938" s="45" t="str">
        <f>IFERROR(__xludf.DUMMYFUNCTION("""COMPUTED_VALUE"""),"ORTUNO YONNY")</f>
        <v>ORTUNO YONNY</v>
      </c>
      <c r="D938" s="44" t="str">
        <f>IFERROR(__xludf.DUMMYFUNCTION("""COMPUTED_VALUE""")," ")</f>
        <v> </v>
      </c>
      <c r="E938" s="44" t="str">
        <f>IFERROR(__xludf.DUMMYFUNCTION("""COMPUTED_VALUE"""),"5199652")</f>
        <v>5199652</v>
      </c>
      <c r="F938" s="44" t="str">
        <f>IFERROR(__xludf.DUMMYFUNCTION("""COMPUTED_VALUE"""),"")</f>
        <v/>
      </c>
      <c r="G938" s="44" t="str">
        <f>IFERROR(__xludf.DUMMYFUNCTION("""COMPUTED_VALUE""")," ")</f>
        <v> </v>
      </c>
      <c r="H938" s="44" t="str">
        <f>IFERROR(__xludf.DUMMYFUNCTION("""COMPUTED_VALUE""")," ")</f>
        <v> </v>
      </c>
      <c r="I938" s="44" t="str">
        <f>IFERROR(__xludf.DUMMYFUNCTION("""COMPUTED_VALUE""")," ")</f>
        <v> </v>
      </c>
      <c r="J938" s="44" t="str">
        <f>IFERROR(__xludf.DUMMYFUNCTION("""COMPUTED_VALUE"""),"25/06/2026")</f>
        <v>25/06/2026</v>
      </c>
      <c r="K938" s="42" t="str">
        <f>IFERROR(__xludf.DUMMYFUNCTION("""COMPUTED_VALUE"""),"Hospital Pérez Carreño")</f>
        <v>Hospital Pérez Carreño</v>
      </c>
    </row>
    <row r="939">
      <c r="A939" s="44">
        <v>938.0</v>
      </c>
      <c r="B939" s="44" t="str">
        <f>IFERROR(__xludf.DUMMYFUNCTION("""COMPUTED_VALUE"""),"Hospital Pérez Carreño")</f>
        <v>Hospital Pérez Carreño</v>
      </c>
      <c r="C939" s="45" t="str">
        <f>IFERROR(__xludf.DUMMYFUNCTION("""COMPUTED_VALUE"""),"YONNY ORTUÑO")</f>
        <v>YONNY ORTUÑO</v>
      </c>
      <c r="D939" s="44" t="str">
        <f>IFERROR(__xludf.DUMMYFUNCTION("""COMPUTED_VALUE""")," ")</f>
        <v> </v>
      </c>
      <c r="E939" s="44" t="str">
        <f>IFERROR(__xludf.DUMMYFUNCTION("""COMPUTED_VALUE"""),"51996520")</f>
        <v>51996520</v>
      </c>
      <c r="F939" s="44" t="str">
        <f>IFERROR(__xludf.DUMMYFUNCTION("""COMPUTED_VALUE"""),"")</f>
        <v/>
      </c>
      <c r="G939" s="44" t="str">
        <f>IFERROR(__xludf.DUMMYFUNCTION("""COMPUTED_VALUE""")," ")</f>
        <v> </v>
      </c>
      <c r="H939" s="44" t="str">
        <f>IFERROR(__xludf.DUMMYFUNCTION("""COMPUTED_VALUE""")," ")</f>
        <v> </v>
      </c>
      <c r="I939" s="44" t="str">
        <f>IFERROR(__xludf.DUMMYFUNCTION("""COMPUTED_VALUE"""),"Triaje")</f>
        <v>Triaje</v>
      </c>
      <c r="J939" s="44" t="str">
        <f>IFERROR(__xludf.DUMMYFUNCTION("""COMPUTED_VALUE"""),"25/06/2026")</f>
        <v>25/06/2026</v>
      </c>
      <c r="K939" s="42" t="str">
        <f>IFERROR(__xludf.DUMMYFUNCTION("""COMPUTED_VALUE"""),"Hospital Pérez Carreño")</f>
        <v>Hospital Pérez Carreño</v>
      </c>
    </row>
    <row r="940">
      <c r="A940" s="44">
        <v>939.0</v>
      </c>
      <c r="B940" s="44" t="str">
        <f>IFERROR(__xludf.DUMMYFUNCTION("""COMPUTED_VALUE"""),"Hospital Pérez Carreño")</f>
        <v>Hospital Pérez Carreño</v>
      </c>
      <c r="C940" s="45" t="str">
        <f>IFERROR(__xludf.DUMMYFUNCTION("""COMPUTED_VALUE"""),"Yoni Ortuño")</f>
        <v>Yoni Ortuño</v>
      </c>
      <c r="D940" s="44"/>
      <c r="E940" s="44" t="str">
        <f>IFERROR(__xludf.DUMMYFUNCTION("""COMPUTED_VALUE"""),"5199693")</f>
        <v>5199693</v>
      </c>
      <c r="F940" s="44" t="str">
        <f>IFERROR(__xludf.DUMMYFUNCTION("""COMPUTED_VALUE"""),"")</f>
        <v/>
      </c>
      <c r="G940" s="44" t="str">
        <f>IFERROR(__xludf.DUMMYFUNCTION("""COMPUTED_VALUE"""),"Listado de nombres")</f>
        <v>Listado de nombres</v>
      </c>
      <c r="H940" s="44" t="str">
        <f>IFERROR(__xludf.DUMMYFUNCTION("""COMPUTED_VALUE"""),"Hospital Miguel Perez Carreño")</f>
        <v>Hospital Miguel Perez Carreño</v>
      </c>
      <c r="I940" s="44"/>
      <c r="J940" s="44" t="str">
        <f>IFERROR(__xludf.DUMMYFUNCTION("""COMPUTED_VALUE"""),"26/6/26")</f>
        <v>26/6/26</v>
      </c>
      <c r="K940" s="42" t="str">
        <f>IFERROR(__xludf.DUMMYFUNCTION("""COMPUTED_VALUE"""),"Hospital Pérez Carreño")</f>
        <v>Hospital Pérez Carreño</v>
      </c>
    </row>
    <row r="941">
      <c r="A941" s="44">
        <v>940.0</v>
      </c>
      <c r="B941" s="44" t="str">
        <f>IFERROR(__xludf.DUMMYFUNCTION("""COMPUTED_VALUE"""),"Hospital Pérez Carreño")</f>
        <v>Hospital Pérez Carreño</v>
      </c>
      <c r="C941" s="45" t="str">
        <f>IFERROR(__xludf.DUMMYFUNCTION("""COMPUTED_VALUE"""),"YONI ORTUÑO")</f>
        <v>YONI ORTUÑO</v>
      </c>
      <c r="D941" s="44" t="str">
        <f>IFERROR(__xludf.DUMMYFUNCTION("""COMPUTED_VALUE""")," ")</f>
        <v> </v>
      </c>
      <c r="E941" s="44" t="str">
        <f>IFERROR(__xludf.DUMMYFUNCTION("""COMPUTED_VALUE"""),"51996930")</f>
        <v>51996930</v>
      </c>
      <c r="F941" s="44" t="str">
        <f>IFERROR(__xludf.DUMMYFUNCTION("""COMPUTED_VALUE"""),"")</f>
        <v/>
      </c>
      <c r="G941" s="44" t="str">
        <f>IFERROR(__xludf.DUMMYFUNCTION("""COMPUTED_VALUE""")," ")</f>
        <v> </v>
      </c>
      <c r="H941" s="44" t="str">
        <f>IFERROR(__xludf.DUMMYFUNCTION("""COMPUTED_VALUE""")," ")</f>
        <v> </v>
      </c>
      <c r="I941" s="44" t="str">
        <f>IFERROR(__xludf.DUMMYFUNCTION("""COMPUTED_VALUE""")," ")</f>
        <v> </v>
      </c>
      <c r="J941" s="44" t="str">
        <f>IFERROR(__xludf.DUMMYFUNCTION("""COMPUTED_VALUE"""),"25/06/2026")</f>
        <v>25/06/2026</v>
      </c>
      <c r="K941" s="42" t="str">
        <f>IFERROR(__xludf.DUMMYFUNCTION("""COMPUTED_VALUE"""),"Hospital Pérez Carreño")</f>
        <v>Hospital Pérez Carreño</v>
      </c>
    </row>
    <row r="942">
      <c r="A942" s="44">
        <v>941.0</v>
      </c>
      <c r="B942" s="44" t="str">
        <f>IFERROR(__xludf.DUMMYFUNCTION("""COMPUTED_VALUE"""),"Hospital Vargas de Caracas")</f>
        <v>Hospital Vargas de Caracas</v>
      </c>
      <c r="C942" s="45" t="str">
        <f>IFERROR(__xludf.DUMMYFUNCTION("""COMPUTED_VALUE"""),"GUERRA WILLIAMS")</f>
        <v>GUERRA WILLIAMS</v>
      </c>
      <c r="D942" s="44" t="str">
        <f>IFERROR(__xludf.DUMMYFUNCTION("""COMPUTED_VALUE""")," ")</f>
        <v> </v>
      </c>
      <c r="E942" s="44" t="str">
        <f>IFERROR(__xludf.DUMMYFUNCTION("""COMPUTED_VALUE"""),"5235870")</f>
        <v>5235870</v>
      </c>
      <c r="F942" s="44" t="str">
        <f>IFERROR(__xludf.DUMMYFUNCTION("""COMPUTED_VALUE""")," ")</f>
        <v> </v>
      </c>
      <c r="G942" s="44" t="str">
        <f>IFERROR(__xludf.DUMMYFUNCTION("""COMPUTED_VALUE"""),"")</f>
        <v/>
      </c>
      <c r="H942" s="44" t="str">
        <f>IFERROR(__xludf.DUMMYFUNCTION("""COMPUTED_VALUE""")," ")</f>
        <v> </v>
      </c>
      <c r="I942" s="44" t="str">
        <f>IFERROR(__xludf.DUMMYFUNCTION("""COMPUTED_VALUE""")," ")</f>
        <v> </v>
      </c>
      <c r="J942" s="44" t="str">
        <f>IFERROR(__xludf.DUMMYFUNCTION("""COMPUTED_VALUE"""),"")</f>
        <v/>
      </c>
      <c r="K942" s="42" t="str">
        <f>IFERROR(__xludf.DUMMYFUNCTION("""COMPUTED_VALUE"""),"Hospital Vargas de Caracas")</f>
        <v>Hospital Vargas de Caracas</v>
      </c>
    </row>
    <row r="943">
      <c r="A943" s="44">
        <v>942.0</v>
      </c>
      <c r="B943" s="44" t="str">
        <f>IFERROR(__xludf.DUMMYFUNCTION("""COMPUTED_VALUE"""),"Hospital Militar Dr. C. Arvelo")</f>
        <v>Hospital Militar Dr. C. Arvelo</v>
      </c>
      <c r="C943" s="45" t="str">
        <f>IFERROR(__xludf.DUMMYFUNCTION("""COMPUTED_VALUE"""),"Barrios Yolanda")</f>
        <v>Barrios Yolanda</v>
      </c>
      <c r="D943" s="44">
        <f>IFERROR(__xludf.DUMMYFUNCTION("""COMPUTED_VALUE"""),77.0)</f>
        <v>77</v>
      </c>
      <c r="E943" s="44" t="str">
        <f>IFERROR(__xludf.DUMMYFUNCTION("""COMPUTED_VALUE"""),"5323419")</f>
        <v>5323419</v>
      </c>
      <c r="F943" s="44" t="str">
        <f>IFERROR(__xludf.DUMMYFUNCTION("""COMPUTED_VALUE"""),"")</f>
        <v/>
      </c>
      <c r="G943" s="44" t="str">
        <f>IFERROR(__xludf.DUMMYFUNCTION("""COMPUTED_VALUE"""),"")</f>
        <v/>
      </c>
      <c r="H943" s="44" t="str">
        <f>IFERROR(__xludf.DUMMYFUNCTION("""COMPUTED_VALUE"""),"F")</f>
        <v>F</v>
      </c>
      <c r="I943" s="44" t="str">
        <f>IFERROR(__xludf.DUMMYFUNCTION("""COMPUTED_VALUE"""),"San Martín PNA")</f>
        <v>San Martín PNA</v>
      </c>
      <c r="J943" s="44" t="str">
        <f>IFERROR(__xludf.DUMMYFUNCTION("""COMPUTED_VALUE"""),"24/6/2026")</f>
        <v>24/6/2026</v>
      </c>
      <c r="K943" s="42" t="str">
        <f>IFERROR(__xludf.DUMMYFUNCTION("""COMPUTED_VALUE"""),"Hospital Militar Dr. C. Arvelo")</f>
        <v>Hospital Militar Dr. C. Arvelo</v>
      </c>
    </row>
    <row r="944">
      <c r="A944" s="44">
        <v>943.0</v>
      </c>
      <c r="B944" s="44" t="str">
        <f>IFERROR(__xludf.DUMMYFUNCTION("""COMPUTED_VALUE"""),"Hospital Universitario de Carac")</f>
        <v>Hospital Universitario de Carac</v>
      </c>
      <c r="C944" s="45" t="str">
        <f>IFERROR(__xludf.DUMMYFUNCTION("""COMPUTED_VALUE"""),"MENDOZA ANA")</f>
        <v>MENDOZA ANA</v>
      </c>
      <c r="D944" s="44">
        <f>IFERROR(__xludf.DUMMYFUNCTION("""COMPUTED_VALUE"""),72.0)</f>
        <v>72</v>
      </c>
      <c r="E944" s="44" t="str">
        <f>IFERROR(__xludf.DUMMYFUNCTION("""COMPUTED_VALUE"""),"5343446")</f>
        <v>5343446</v>
      </c>
      <c r="F944" s="44" t="str">
        <f>IFERROR(__xludf.DUMMYFUNCTION("""COMPUTED_VALUE"""),"")</f>
        <v/>
      </c>
      <c r="G944" s="44" t="str">
        <f>IFERROR(__xludf.DUMMYFUNCTION("""COMPUTED_VALUE"""),"0424-1519166")</f>
        <v>0424-1519166</v>
      </c>
      <c r="H944" s="44" t="str">
        <f>IFERROR(__xludf.DUMMYFUNCTION("""COMPUTED_VALUE""")," ")</f>
        <v> </v>
      </c>
      <c r="I944" s="44" t="str">
        <f>IFERROR(__xludf.DUMMYFUNCTION("""COMPUTED_VALUE""")," ")</f>
        <v> </v>
      </c>
      <c r="J944" s="44" t="str">
        <f>IFERROR(__xludf.DUMMYFUNCTION("""COMPUTED_VALUE"""),"")</f>
        <v/>
      </c>
      <c r="K944" s="42" t="str">
        <f>IFERROR(__xludf.DUMMYFUNCTION("""COMPUTED_VALUE"""),"Hospital Universitario de Carac")</f>
        <v>Hospital Universitario de Carac</v>
      </c>
    </row>
    <row r="945">
      <c r="A945" s="44">
        <v>944.0</v>
      </c>
      <c r="B945" s="44" t="str">
        <f>IFERROR(__xludf.DUMMYFUNCTION("""COMPUTED_VALUE"""),"Hospital Universitario de Carac")</f>
        <v>Hospital Universitario de Carac</v>
      </c>
      <c r="C945" s="45" t="str">
        <f>IFERROR(__xludf.DUMMYFUNCTION("""COMPUTED_VALUE"""),"CARRILLO YASMIN")</f>
        <v>CARRILLO YASMIN</v>
      </c>
      <c r="D945" s="44">
        <f>IFERROR(__xludf.DUMMYFUNCTION("""COMPUTED_VALUE"""),67.0)</f>
        <v>67</v>
      </c>
      <c r="E945" s="44" t="str">
        <f>IFERROR(__xludf.DUMMYFUNCTION("""COMPUTED_VALUE"""),"5424760")</f>
        <v>5424760</v>
      </c>
      <c r="F945" s="44" t="str">
        <f>IFERROR(__xludf.DUMMYFUNCTION("""COMPUTED_VALUE"""),"")</f>
        <v/>
      </c>
      <c r="G945" s="44" t="str">
        <f>IFERROR(__xludf.DUMMYFUNCTION("""COMPUTED_VALUE"""),"0412-1825267")</f>
        <v>0412-1825267</v>
      </c>
      <c r="H945" s="44" t="str">
        <f>IFERROR(__xludf.DUMMYFUNCTION("""COMPUTED_VALUE""")," ")</f>
        <v> </v>
      </c>
      <c r="I945" s="44" t="str">
        <f>IFERROR(__xludf.DUMMYFUNCTION("""COMPUTED_VALUE""")," ")</f>
        <v> </v>
      </c>
      <c r="J945" s="44" t="str">
        <f>IFERROR(__xludf.DUMMYFUNCTION("""COMPUTED_VALUE"""),"")</f>
        <v/>
      </c>
      <c r="K945" s="42" t="str">
        <f>IFERROR(__xludf.DUMMYFUNCTION("""COMPUTED_VALUE"""),"Hospital Universitario de Carac")</f>
        <v>Hospital Universitario de Carac</v>
      </c>
    </row>
    <row r="946">
      <c r="A946" s="44">
        <v>945.0</v>
      </c>
      <c r="B946" s="44" t="str">
        <f>IFERROR(__xludf.DUMMYFUNCTION("""COMPUTED_VALUE"""),"Hospital Universitario de Carac")</f>
        <v>Hospital Universitario de Carac</v>
      </c>
      <c r="C946" s="45" t="str">
        <f>IFERROR(__xludf.DUMMYFUNCTION("""COMPUTED_VALUE"""),"Yasmin Carrillo")</f>
        <v>Yasmin Carrillo</v>
      </c>
      <c r="D946" s="44">
        <f>IFERROR(__xludf.DUMMYFUNCTION("""COMPUTED_VALUE"""),67.0)</f>
        <v>67</v>
      </c>
      <c r="E946" s="44" t="str">
        <f>IFERROR(__xludf.DUMMYFUNCTION("""COMPUTED_VALUE"""),"5424960")</f>
        <v>5424960</v>
      </c>
      <c r="F946" s="44" t="str">
        <f>IFERROR(__xludf.DUMMYFUNCTION("""COMPUTED_VALUE"""),"")</f>
        <v/>
      </c>
      <c r="G946" s="44"/>
      <c r="H946" s="44" t="str">
        <f>IFERROR(__xludf.DUMMYFUNCTION("""COMPUTED_VALUE"""),"Los Rosales")</f>
        <v>Los Rosales</v>
      </c>
      <c r="I946" s="44" t="str">
        <f>IFERROR(__xludf.DUMMYFUNCTION("""COMPUTED_VALUE"""),"Politraumatismo")</f>
        <v>Politraumatismo</v>
      </c>
      <c r="J946" s="44" t="str">
        <f>IFERROR(__xludf.DUMMYFUNCTION("""COMPUTED_VALUE"""),"")</f>
        <v/>
      </c>
      <c r="K946" s="42" t="str">
        <f>IFERROR(__xludf.DUMMYFUNCTION("""COMPUTED_VALUE"""),"Hospital Universitario de Carac")</f>
        <v>Hospital Universitario de Carac</v>
      </c>
    </row>
    <row r="947">
      <c r="A947" s="44">
        <v>946.0</v>
      </c>
      <c r="B947" s="44" t="str">
        <f>IFERROR(__xludf.DUMMYFUNCTION("""COMPUTED_VALUE"""),"Hospital Pérez Carreño")</f>
        <v>Hospital Pérez Carreño</v>
      </c>
      <c r="C947" s="45" t="str">
        <f>IFERROR(__xludf.DUMMYFUNCTION("""COMPUTED_VALUE"""),"MOVEZA LESIVIA")</f>
        <v>MOVEZA LESIVIA</v>
      </c>
      <c r="D947" s="44" t="str">
        <f>IFERROR(__xludf.DUMMYFUNCTION("""COMPUTED_VALUE""")," ")</f>
        <v> </v>
      </c>
      <c r="E947" s="44" t="str">
        <f>IFERROR(__xludf.DUMMYFUNCTION("""COMPUTED_VALUE"""),"54800756")</f>
        <v>54800756</v>
      </c>
      <c r="F947" s="44" t="str">
        <f>IFERROR(__xludf.DUMMYFUNCTION("""COMPUTED_VALUE"""),"")</f>
        <v/>
      </c>
      <c r="G947" s="44" t="str">
        <f>IFERROR(__xludf.DUMMYFUNCTION("""COMPUTED_VALUE""")," ")</f>
        <v> </v>
      </c>
      <c r="H947" s="44" t="str">
        <f>IFERROR(__xludf.DUMMYFUNCTION("""COMPUTED_VALUE""")," ")</f>
        <v> </v>
      </c>
      <c r="I947" s="44" t="str">
        <f>IFERROR(__xludf.DUMMYFUNCTION("""COMPUTED_VALUE"""),"Internado")</f>
        <v>Internado</v>
      </c>
      <c r="J947" s="44" t="str">
        <f>IFERROR(__xludf.DUMMYFUNCTION("""COMPUTED_VALUE"""),"25/06/2026")</f>
        <v>25/06/2026</v>
      </c>
      <c r="K947" s="42" t="str">
        <f>IFERROR(__xludf.DUMMYFUNCTION("""COMPUTED_VALUE"""),"Hospital Pérez Carreño")</f>
        <v>Hospital Pérez Carreño</v>
      </c>
    </row>
    <row r="948">
      <c r="A948" s="44">
        <v>947.0</v>
      </c>
      <c r="B948" s="44" t="str">
        <f>IFERROR(__xludf.DUMMYFUNCTION("""COMPUTED_VALUE"""),"Hospital Vargas de Caracas")</f>
        <v>Hospital Vargas de Caracas</v>
      </c>
      <c r="C948" s="45" t="str">
        <f>IFERROR(__xludf.DUMMYFUNCTION("""COMPUTED_VALUE"""),"ROJAS ALICIA")</f>
        <v>ROJAS ALICIA</v>
      </c>
      <c r="D948" s="44" t="str">
        <f>IFERROR(__xludf.DUMMYFUNCTION("""COMPUTED_VALUE""")," ")</f>
        <v> </v>
      </c>
      <c r="E948" s="44" t="str">
        <f>IFERROR(__xludf.DUMMYFUNCTION("""COMPUTED_VALUE"""),"5521210")</f>
        <v>5521210</v>
      </c>
      <c r="F948" s="44" t="str">
        <f>IFERROR(__xludf.DUMMYFUNCTION("""COMPUTED_VALUE""")," ")</f>
        <v> </v>
      </c>
      <c r="G948" s="44" t="str">
        <f>IFERROR(__xludf.DUMMYFUNCTION("""COMPUTED_VALUE"""),"")</f>
        <v/>
      </c>
      <c r="H948" s="44" t="str">
        <f>IFERROR(__xludf.DUMMYFUNCTION("""COMPUTED_VALUE""")," ")</f>
        <v> </v>
      </c>
      <c r="I948" s="44" t="str">
        <f>IFERROR(__xludf.DUMMYFUNCTION("""COMPUTED_VALUE""")," ")</f>
        <v> </v>
      </c>
      <c r="J948" s="44" t="str">
        <f>IFERROR(__xludf.DUMMYFUNCTION("""COMPUTED_VALUE"""),"")</f>
        <v/>
      </c>
      <c r="K948" s="42" t="str">
        <f>IFERROR(__xludf.DUMMYFUNCTION("""COMPUTED_VALUE"""),"Hospital Vargas de Caracas")</f>
        <v>Hospital Vargas de Caracas</v>
      </c>
    </row>
    <row r="949">
      <c r="A949" s="44">
        <v>948.0</v>
      </c>
      <c r="B949" s="44" t="str">
        <f>IFERROR(__xludf.DUMMYFUNCTION("""COMPUTED_VALUE"""),"Hospital Vargas de Caracas")</f>
        <v>Hospital Vargas de Caracas</v>
      </c>
      <c r="C949" s="45" t="str">
        <f>IFERROR(__xludf.DUMMYFUNCTION("""COMPUTED_VALUE"""),"TOVAR TIBISAY")</f>
        <v>TOVAR TIBISAY</v>
      </c>
      <c r="D949" s="44" t="str">
        <f>IFERROR(__xludf.DUMMYFUNCTION("""COMPUTED_VALUE""")," ")</f>
        <v> </v>
      </c>
      <c r="E949" s="44" t="str">
        <f>IFERROR(__xludf.DUMMYFUNCTION("""COMPUTED_VALUE"""),"5604699")</f>
        <v>5604699</v>
      </c>
      <c r="F949" s="44" t="str">
        <f>IFERROR(__xludf.DUMMYFUNCTION("""COMPUTED_VALUE""")," ")</f>
        <v> </v>
      </c>
      <c r="G949" s="44" t="str">
        <f>IFERROR(__xludf.DUMMYFUNCTION("""COMPUTED_VALUE"""),"")</f>
        <v/>
      </c>
      <c r="H949" s="44" t="str">
        <f>IFERROR(__xludf.DUMMYFUNCTION("""COMPUTED_VALUE""")," ")</f>
        <v> </v>
      </c>
      <c r="I949" s="44" t="str">
        <f>IFERROR(__xludf.DUMMYFUNCTION("""COMPUTED_VALUE""")," ")</f>
        <v> </v>
      </c>
      <c r="J949" s="44" t="str">
        <f>IFERROR(__xludf.DUMMYFUNCTION("""COMPUTED_VALUE"""),"")</f>
        <v/>
      </c>
      <c r="K949" s="42" t="str">
        <f>IFERROR(__xludf.DUMMYFUNCTION("""COMPUTED_VALUE"""),"Hospital Vargas de Caracas")</f>
        <v>Hospital Vargas de Caracas</v>
      </c>
    </row>
    <row r="950">
      <c r="A950" s="44">
        <v>949.0</v>
      </c>
      <c r="B950" s="44" t="str">
        <f>IFERROR(__xludf.DUMMYFUNCTION("""COMPUTED_VALUE"""),"Hospital Vargas de Caracas")</f>
        <v>Hospital Vargas de Caracas</v>
      </c>
      <c r="C950" s="45" t="str">
        <f>IFERROR(__xludf.DUMMYFUNCTION("""COMPUTED_VALUE"""),"RODRIGUEZ MAGDALENA")</f>
        <v>RODRIGUEZ MAGDALENA</v>
      </c>
      <c r="D950" s="44">
        <f>IFERROR(__xludf.DUMMYFUNCTION("""COMPUTED_VALUE"""),82.0)</f>
        <v>82</v>
      </c>
      <c r="E950" s="44" t="str">
        <f>IFERROR(__xludf.DUMMYFUNCTION("""COMPUTED_VALUE"""),"5607377")</f>
        <v>5607377</v>
      </c>
      <c r="F950" s="44" t="str">
        <f>IFERROR(__xludf.DUMMYFUNCTION("""COMPUTED_VALUE""")," ")</f>
        <v> </v>
      </c>
      <c r="G950" s="44" t="str">
        <f>IFERROR(__xludf.DUMMYFUNCTION("""COMPUTED_VALUE"""),"")</f>
        <v/>
      </c>
      <c r="H950" s="44" t="str">
        <f>IFERROR(__xludf.DUMMYFUNCTION("""COMPUTED_VALUE"""),"La Guaira")</f>
        <v>La Guaira</v>
      </c>
      <c r="I950" s="44" t="str">
        <f>IFERROR(__xludf.DUMMYFUNCTION("""COMPUTED_VALUE"""),"UPT")</f>
        <v>UPT</v>
      </c>
      <c r="J950" s="44" t="str">
        <f>IFERROR(__xludf.DUMMYFUNCTION("""COMPUTED_VALUE"""),"")</f>
        <v/>
      </c>
      <c r="K950" s="42" t="str">
        <f>IFERROR(__xludf.DUMMYFUNCTION("""COMPUTED_VALUE"""),"Hospital Vargas de Caracas")</f>
        <v>Hospital Vargas de Caracas</v>
      </c>
    </row>
    <row r="951">
      <c r="A951" s="44">
        <v>950.0</v>
      </c>
      <c r="B951" s="44" t="str">
        <f>IFERROR(__xludf.DUMMYFUNCTION("""COMPUTED_VALUE"""),"Hospital Domingo Luciani")</f>
        <v>Hospital Domingo Luciani</v>
      </c>
      <c r="C951" s="45" t="str">
        <f>IFERROR(__xludf.DUMMYFUNCTION("""COMPUTED_VALUE"""),"RODRIGUEZ CARRENO MARIA SALOME")</f>
        <v>RODRIGUEZ CARRENO MARIA SALOME</v>
      </c>
      <c r="D951" s="44">
        <f>IFERROR(__xludf.DUMMYFUNCTION("""COMPUTED_VALUE"""),82.0)</f>
        <v>82</v>
      </c>
      <c r="E951" s="44" t="str">
        <f>IFERROR(__xludf.DUMMYFUNCTION("""COMPUTED_VALUE"""),"5609377")</f>
        <v>5609377</v>
      </c>
      <c r="F951" s="44" t="str">
        <f>IFERROR(__xludf.DUMMYFUNCTION("""COMPUTED_VALUE"""),"")</f>
        <v/>
      </c>
      <c r="G951" s="44" t="str">
        <f>IFERROR(__xludf.DUMMYFUNCTION("""COMPUTED_VALUE""")," ")</f>
        <v> </v>
      </c>
      <c r="H951" s="44" t="str">
        <f>IFERROR(__xludf.DUMMYFUNCTION("""COMPUTED_VALUE""")," ")</f>
        <v> </v>
      </c>
      <c r="I951" s="44" t="str">
        <f>IFERROR(__xludf.DUMMYFUNCTION("""COMPUTED_VALUE"""),"Internado")</f>
        <v>Internado</v>
      </c>
      <c r="J951" s="44" t="str">
        <f>IFERROR(__xludf.DUMMYFUNCTION("""COMPUTED_VALUE"""),"")</f>
        <v/>
      </c>
      <c r="K951" s="42" t="str">
        <f>IFERROR(__xludf.DUMMYFUNCTION("""COMPUTED_VALUE"""),"🔍 BUSCAR PACIENTES")</f>
        <v>🔍 BUSCAR PACIENTES</v>
      </c>
    </row>
    <row r="952">
      <c r="A952" s="44">
        <v>951.0</v>
      </c>
      <c r="B952" s="44" t="str">
        <f>IFERROR(__xludf.DUMMYFUNCTION("""COMPUTED_VALUE"""),"Hospital Militar Dr. C. Arvelo")</f>
        <v>Hospital Militar Dr. C. Arvelo</v>
      </c>
      <c r="C952" s="45" t="str">
        <f>IFERROR(__xludf.DUMMYFUNCTION("""COMPUTED_VALUE"""),"Coen Celia")</f>
        <v>Coen Celia</v>
      </c>
      <c r="D952" s="44">
        <f>IFERROR(__xludf.DUMMYFUNCTION("""COMPUTED_VALUE"""),66.0)</f>
        <v>66</v>
      </c>
      <c r="E952" s="44" t="str">
        <f>IFERROR(__xludf.DUMMYFUNCTION("""COMPUTED_VALUE"""),"5613048")</f>
        <v>5613048</v>
      </c>
      <c r="F952" s="44" t="str">
        <f>IFERROR(__xludf.DUMMYFUNCTION("""COMPUTED_VALUE"""),"")</f>
        <v/>
      </c>
      <c r="G952" s="44" t="str">
        <f>IFERROR(__xludf.DUMMYFUNCTION("""COMPUTED_VALUE"""),"")</f>
        <v/>
      </c>
      <c r="H952" s="44" t="str">
        <f>IFERROR(__xludf.DUMMYFUNCTION("""COMPUTED_VALUE"""),"F")</f>
        <v>F</v>
      </c>
      <c r="I952" s="44" t="str">
        <f>IFERROR(__xludf.DUMMYFUNCTION("""COMPUTED_VALUE"""),"San Martín PNA")</f>
        <v>San Martín PNA</v>
      </c>
      <c r="J952" s="44" t="str">
        <f>IFERROR(__xludf.DUMMYFUNCTION("""COMPUTED_VALUE"""),"24/6/2026")</f>
        <v>24/6/2026</v>
      </c>
      <c r="K952" s="42" t="str">
        <f>IFERROR(__xludf.DUMMYFUNCTION("""COMPUTED_VALUE"""),"Hospital Militar Dr. C. Arvelo")</f>
        <v>Hospital Militar Dr. C. Arvelo</v>
      </c>
    </row>
    <row r="953">
      <c r="A953" s="44">
        <v>952.0</v>
      </c>
      <c r="B953" s="44" t="str">
        <f>IFERROR(__xludf.DUMMYFUNCTION("""COMPUTED_VALUE"""),"Hospital Pérez Carreño")</f>
        <v>Hospital Pérez Carreño</v>
      </c>
      <c r="C953" s="45" t="str">
        <f>IFERROR(__xludf.DUMMYFUNCTION("""COMPUTED_VALUE"""),"GARCIA MARIO")</f>
        <v>GARCIA MARIO</v>
      </c>
      <c r="D953" s="44" t="str">
        <f>IFERROR(__xludf.DUMMYFUNCTION("""COMPUTED_VALUE""")," ")</f>
        <v> </v>
      </c>
      <c r="E953" s="44" t="str">
        <f>IFERROR(__xludf.DUMMYFUNCTION("""COMPUTED_VALUE"""),"5613119")</f>
        <v>5613119</v>
      </c>
      <c r="F953" s="44" t="str">
        <f>IFERROR(__xludf.DUMMYFUNCTION("""COMPUTED_VALUE"""),"")</f>
        <v/>
      </c>
      <c r="G953" s="44" t="str">
        <f>IFERROR(__xludf.DUMMYFUNCTION("""COMPUTED_VALUE""")," ")</f>
        <v> </v>
      </c>
      <c r="H953" s="44" t="str">
        <f>IFERROR(__xludf.DUMMYFUNCTION("""COMPUTED_VALUE""")," ")</f>
        <v> </v>
      </c>
      <c r="I953" s="44" t="str">
        <f>IFERROR(__xludf.DUMMYFUNCTION("""COMPUTED_VALUE""")," ")</f>
        <v> </v>
      </c>
      <c r="J953" s="44" t="str">
        <f>IFERROR(__xludf.DUMMYFUNCTION("""COMPUTED_VALUE"""),"25/06/2026")</f>
        <v>25/06/2026</v>
      </c>
      <c r="K953" s="42" t="str">
        <f>IFERROR(__xludf.DUMMYFUNCTION("""COMPUTED_VALUE"""),"Hospital Pérez Carreño")</f>
        <v>Hospital Pérez Carreño</v>
      </c>
    </row>
    <row r="954">
      <c r="A954" s="44">
        <v>953.0</v>
      </c>
      <c r="B954" s="44" t="str">
        <f>IFERROR(__xludf.DUMMYFUNCTION("""COMPUTED_VALUE"""),"Hospital Pérez Carreño")</f>
        <v>Hospital Pérez Carreño</v>
      </c>
      <c r="C954" s="45" t="str">
        <f>IFERROR(__xludf.DUMMYFUNCTION("""COMPUTED_VALUE"""),"MAIA MORENO")</f>
        <v>MAIA MORENO</v>
      </c>
      <c r="D954" s="44" t="str">
        <f>IFERROR(__xludf.DUMMYFUNCTION("""COMPUTED_VALUE""")," ")</f>
        <v> </v>
      </c>
      <c r="E954" s="44" t="str">
        <f>IFERROR(__xludf.DUMMYFUNCTION("""COMPUTED_VALUE"""),"56131190")</f>
        <v>56131190</v>
      </c>
      <c r="F954" s="44" t="str">
        <f>IFERROR(__xludf.DUMMYFUNCTION("""COMPUTED_VALUE"""),"")</f>
        <v/>
      </c>
      <c r="G954" s="44" t="str">
        <f>IFERROR(__xludf.DUMMYFUNCTION("""COMPUTED_VALUE""")," ")</f>
        <v> </v>
      </c>
      <c r="H954" s="44" t="str">
        <f>IFERROR(__xludf.DUMMYFUNCTION("""COMPUTED_VALUE""")," ")</f>
        <v> </v>
      </c>
      <c r="I954" s="44" t="str">
        <f>IFERROR(__xludf.DUMMYFUNCTION("""COMPUTED_VALUE""")," ")</f>
        <v> </v>
      </c>
      <c r="J954" s="44" t="str">
        <f>IFERROR(__xludf.DUMMYFUNCTION("""COMPUTED_VALUE"""),"25/06/2026")</f>
        <v>25/06/2026</v>
      </c>
      <c r="K954" s="42" t="str">
        <f>IFERROR(__xludf.DUMMYFUNCTION("""COMPUTED_VALUE"""),"Hospital Pérez Carreño")</f>
        <v>Hospital Pérez Carreño</v>
      </c>
    </row>
    <row r="955">
      <c r="A955" s="44">
        <v>954.0</v>
      </c>
      <c r="B955" s="44" t="str">
        <f>IFERROR(__xludf.DUMMYFUNCTION("""COMPUTED_VALUE"""),"Periférico de Catia")</f>
        <v>Periférico de Catia</v>
      </c>
      <c r="C955" s="45" t="str">
        <f>IFERROR(__xludf.DUMMYFUNCTION("""COMPUTED_VALUE"""),"MARÍA ARAQUE")</f>
        <v>MARÍA ARAQUE</v>
      </c>
      <c r="D955" s="44">
        <f>IFERROR(__xludf.DUMMYFUNCTION("""COMPUTED_VALUE"""),75.0)</f>
        <v>75</v>
      </c>
      <c r="E955" s="44" t="str">
        <f>IFERROR(__xludf.DUMMYFUNCTION("""COMPUTED_VALUE"""),"56415500")</f>
        <v>56415500</v>
      </c>
      <c r="F955" s="44" t="str">
        <f>IFERROR(__xludf.DUMMYFUNCTION("""COMPUTED_VALUE"""),"")</f>
        <v/>
      </c>
      <c r="G955" s="44" t="str">
        <f>IFERROR(__xludf.DUMMYFUNCTION("""COMPUTED_VALUE""")," ")</f>
        <v> </v>
      </c>
      <c r="H955" s="44" t="str">
        <f>IFERROR(__xludf.DUMMYFUNCTION("""COMPUTED_VALUE"""),"Sin información")</f>
        <v>Sin información</v>
      </c>
      <c r="I955" s="44" t="str">
        <f>IFERROR(__xludf.DUMMYFUNCTION("""COMPUTED_VALUE"""),"Emergencia")</f>
        <v>Emergencia</v>
      </c>
      <c r="J955" s="44" t="str">
        <f>IFERROR(__xludf.DUMMYFUNCTION("""COMPUTED_VALUE"""),"")</f>
        <v/>
      </c>
      <c r="K955" s="42" t="str">
        <f>IFERROR(__xludf.DUMMYFUNCTION("""COMPUTED_VALUE"""),"Periférico de Catia")</f>
        <v>Periférico de Catia</v>
      </c>
    </row>
    <row r="956">
      <c r="A956" s="44">
        <v>955.0</v>
      </c>
      <c r="B956" s="44" t="str">
        <f>IFERROR(__xludf.DUMMYFUNCTION("""COMPUTED_VALUE"""),"Hospital Vargas de Caracas")</f>
        <v>Hospital Vargas de Caracas</v>
      </c>
      <c r="C956" s="45" t="str">
        <f>IFERROR(__xludf.DUMMYFUNCTION("""COMPUTED_VALUE"""),"VIVAS UBELINDA")</f>
        <v>VIVAS UBELINDA</v>
      </c>
      <c r="D956" s="44" t="str">
        <f>IFERROR(__xludf.DUMMYFUNCTION("""COMPUTED_VALUE""")," ")</f>
        <v> </v>
      </c>
      <c r="E956" s="44" t="str">
        <f>IFERROR(__xludf.DUMMYFUNCTION("""COMPUTED_VALUE"""),"5645025")</f>
        <v>5645025</v>
      </c>
      <c r="F956" s="44" t="str">
        <f>IFERROR(__xludf.DUMMYFUNCTION("""COMPUTED_VALUE""")," ")</f>
        <v> </v>
      </c>
      <c r="G956" s="44" t="str">
        <f>IFERROR(__xludf.DUMMYFUNCTION("""COMPUTED_VALUE"""),"")</f>
        <v/>
      </c>
      <c r="H956" s="44" t="str">
        <f>IFERROR(__xludf.DUMMYFUNCTION("""COMPUTED_VALUE""")," ")</f>
        <v> </v>
      </c>
      <c r="I956" s="44" t="str">
        <f>IFERROR(__xludf.DUMMYFUNCTION("""COMPUTED_VALUE""")," ")</f>
        <v> </v>
      </c>
      <c r="J956" s="44" t="str">
        <f>IFERROR(__xludf.DUMMYFUNCTION("""COMPUTED_VALUE"""),"")</f>
        <v/>
      </c>
      <c r="K956" s="42" t="str">
        <f>IFERROR(__xludf.DUMMYFUNCTION("""COMPUTED_VALUE"""),"Hospital Vargas de Caracas")</f>
        <v>Hospital Vargas de Caracas</v>
      </c>
    </row>
    <row r="957">
      <c r="A957" s="44">
        <v>956.0</v>
      </c>
      <c r="B957" s="44" t="str">
        <f>IFERROR(__xludf.DUMMYFUNCTION("""COMPUTED_VALUE"""),"Hospital Militar Dr. C. Arvelo")</f>
        <v>Hospital Militar Dr. C. Arvelo</v>
      </c>
      <c r="C957" s="45" t="str">
        <f>IFERROR(__xludf.DUMMYFUNCTION("""COMPUTED_VALUE"""),"Castro Lauriana")</f>
        <v>Castro Lauriana</v>
      </c>
      <c r="D957" s="44">
        <f>IFERROR(__xludf.DUMMYFUNCTION("""COMPUTED_VALUE"""),66.0)</f>
        <v>66</v>
      </c>
      <c r="E957" s="44" t="str">
        <f>IFERROR(__xludf.DUMMYFUNCTION("""COMPUTED_VALUE"""),"567005")</f>
        <v>567005</v>
      </c>
      <c r="F957" s="44" t="str">
        <f>IFERROR(__xludf.DUMMYFUNCTION("""COMPUTED_VALUE"""),"")</f>
        <v/>
      </c>
      <c r="G957" s="44" t="str">
        <f>IFERROR(__xludf.DUMMYFUNCTION("""COMPUTED_VALUE"""),"")</f>
        <v/>
      </c>
      <c r="H957" s="44" t="str">
        <f>IFERROR(__xludf.DUMMYFUNCTION("""COMPUTED_VALUE"""),"F")</f>
        <v>F</v>
      </c>
      <c r="I957" s="44" t="str">
        <f>IFERROR(__xludf.DUMMYFUNCTION("""COMPUTED_VALUE"""),"La Guaira PNA")</f>
        <v>La Guaira PNA</v>
      </c>
      <c r="J957" s="44" t="str">
        <f>IFERROR(__xludf.DUMMYFUNCTION("""COMPUTED_VALUE"""),"24/6/2026")</f>
        <v>24/6/2026</v>
      </c>
      <c r="K957" s="42" t="str">
        <f>IFERROR(__xludf.DUMMYFUNCTION("""COMPUTED_VALUE"""),"Hospital Militar Dr. C. Arvelo")</f>
        <v>Hospital Militar Dr. C. Arvelo</v>
      </c>
    </row>
    <row r="958">
      <c r="A958" s="44">
        <v>957.0</v>
      </c>
      <c r="B958" s="44" t="str">
        <f>IFERROR(__xludf.DUMMYFUNCTION("""COMPUTED_VALUE"""),"Periférico de Catia")</f>
        <v>Periférico de Catia</v>
      </c>
      <c r="C958" s="45" t="str">
        <f>IFERROR(__xludf.DUMMYFUNCTION("""COMPUTED_VALUE"""),"SIMÓN CONTRERAS")</f>
        <v>SIMÓN CONTRERAS</v>
      </c>
      <c r="D958" s="44">
        <f>IFERROR(__xludf.DUMMYFUNCTION("""COMPUTED_VALUE"""),64.0)</f>
        <v>64</v>
      </c>
      <c r="E958" s="44" t="str">
        <f>IFERROR(__xludf.DUMMYFUNCTION("""COMPUTED_VALUE"""),"56855190")</f>
        <v>56855190</v>
      </c>
      <c r="F958" s="44" t="str">
        <f>IFERROR(__xludf.DUMMYFUNCTION("""COMPUTED_VALUE"""),"")</f>
        <v/>
      </c>
      <c r="G958" s="44" t="str">
        <f>IFERROR(__xludf.DUMMYFUNCTION("""COMPUTED_VALUE""")," ")</f>
        <v> </v>
      </c>
      <c r="H958" s="44" t="str">
        <f>IFERROR(__xludf.DUMMYFUNCTION("""COMPUTED_VALUE"""),"Sin información")</f>
        <v>Sin información</v>
      </c>
      <c r="I958" s="44" t="str">
        <f>IFERROR(__xludf.DUMMYFUNCTION("""COMPUTED_VALUE"""),"Cirugía General")</f>
        <v>Cirugía General</v>
      </c>
      <c r="J958" s="44" t="str">
        <f>IFERROR(__xludf.DUMMYFUNCTION("""COMPUTED_VALUE"""),"")</f>
        <v/>
      </c>
      <c r="K958" s="42" t="str">
        <f>IFERROR(__xludf.DUMMYFUNCTION("""COMPUTED_VALUE"""),"Periférico de Catia")</f>
        <v>Periférico de Catia</v>
      </c>
    </row>
    <row r="959">
      <c r="A959" s="44">
        <v>958.0</v>
      </c>
      <c r="B959" s="44" t="str">
        <f>IFERROR(__xludf.DUMMYFUNCTION("""COMPUTED_VALUE"""),"Hospital Militar Dr. C. Arvelo")</f>
        <v>Hospital Militar Dr. C. Arvelo</v>
      </c>
      <c r="C959" s="45" t="str">
        <f>IFERROR(__xludf.DUMMYFUNCTION("""COMPUTED_VALUE"""),"Ortega Belde")</f>
        <v>Ortega Belde</v>
      </c>
      <c r="D959" s="44">
        <f>IFERROR(__xludf.DUMMYFUNCTION("""COMPUTED_VALUE"""),67.0)</f>
        <v>67</v>
      </c>
      <c r="E959" s="44" t="str">
        <f>IFERROR(__xludf.DUMMYFUNCTION("""COMPUTED_VALUE"""),"5827267")</f>
        <v>5827267</v>
      </c>
      <c r="F959" s="44" t="str">
        <f>IFERROR(__xludf.DUMMYFUNCTION("""COMPUTED_VALUE"""),"")</f>
        <v/>
      </c>
      <c r="G959" s="44" t="str">
        <f>IFERROR(__xludf.DUMMYFUNCTION("""COMPUTED_VALUE"""),"")</f>
        <v/>
      </c>
      <c r="H959" s="44" t="str">
        <f>IFERROR(__xludf.DUMMYFUNCTION("""COMPUTED_VALUE"""),"F")</f>
        <v>F</v>
      </c>
      <c r="I959" s="44" t="str">
        <f>IFERROR(__xludf.DUMMYFUNCTION("""COMPUTED_VALUE"""),"La Guaira PNA")</f>
        <v>La Guaira PNA</v>
      </c>
      <c r="J959" s="44" t="str">
        <f>IFERROR(__xludf.DUMMYFUNCTION("""COMPUTED_VALUE"""),"24/6/2026")</f>
        <v>24/6/2026</v>
      </c>
      <c r="K959" s="42" t="str">
        <f>IFERROR(__xludf.DUMMYFUNCTION("""COMPUTED_VALUE"""),"Hospital Militar Dr. C. Arvelo")</f>
        <v>Hospital Militar Dr. C. Arvelo</v>
      </c>
    </row>
    <row r="960">
      <c r="A960" s="44">
        <v>959.0</v>
      </c>
      <c r="B960" s="44" t="str">
        <f>IFERROR(__xludf.DUMMYFUNCTION("""COMPUTED_VALUE"""),"Hospital Pérez Carreño")</f>
        <v>Hospital Pérez Carreño</v>
      </c>
      <c r="C960" s="45" t="str">
        <f>IFERROR(__xludf.DUMMYFUNCTION("""COMPUTED_VALUE"""),"FIGUERA MORILDA")</f>
        <v>FIGUERA MORILDA</v>
      </c>
      <c r="D960" s="44" t="str">
        <f>IFERROR(__xludf.DUMMYFUNCTION("""COMPUTED_VALUE""")," ")</f>
        <v> </v>
      </c>
      <c r="E960" s="44" t="str">
        <f>IFERROR(__xludf.DUMMYFUNCTION("""COMPUTED_VALUE"""),"5913883")</f>
        <v>5913883</v>
      </c>
      <c r="F960" s="44" t="str">
        <f>IFERROR(__xludf.DUMMYFUNCTION("""COMPUTED_VALUE"""),"")</f>
        <v/>
      </c>
      <c r="G960" s="44" t="str">
        <f>IFERROR(__xludf.DUMMYFUNCTION("""COMPUTED_VALUE""")," ")</f>
        <v> </v>
      </c>
      <c r="H960" s="44" t="str">
        <f>IFERROR(__xludf.DUMMYFUNCTION("""COMPUTED_VALUE""")," ")</f>
        <v> </v>
      </c>
      <c r="I960" s="44" t="str">
        <f>IFERROR(__xludf.DUMMYFUNCTION("""COMPUTED_VALUE"""),"Nuevos Ingresos")</f>
        <v>Nuevos Ingresos</v>
      </c>
      <c r="J960" s="44" t="str">
        <f>IFERROR(__xludf.DUMMYFUNCTION("""COMPUTED_VALUE"""),"25/06/2026")</f>
        <v>25/06/2026</v>
      </c>
      <c r="K960" s="42" t="str">
        <f>IFERROR(__xludf.DUMMYFUNCTION("""COMPUTED_VALUE"""),"Hospital Pérez Carreño")</f>
        <v>Hospital Pérez Carreño</v>
      </c>
    </row>
    <row r="961">
      <c r="A961" s="44">
        <v>960.0</v>
      </c>
      <c r="B961" s="44" t="str">
        <f>IFERROR(__xludf.DUMMYFUNCTION("""COMPUTED_VALUE"""),"Hospital Militar Dr. C. Arvelo")</f>
        <v>Hospital Militar Dr. C. Arvelo</v>
      </c>
      <c r="C961" s="45" t="str">
        <f>IFERROR(__xludf.DUMMYFUNCTION("""COMPUTED_VALUE"""),"Salas Héctor")</f>
        <v>Salas Héctor</v>
      </c>
      <c r="D961" s="44">
        <f>IFERROR(__xludf.DUMMYFUNCTION("""COMPUTED_VALUE"""),65.0)</f>
        <v>65</v>
      </c>
      <c r="E961" s="44" t="str">
        <f>IFERROR(__xludf.DUMMYFUNCTION("""COMPUTED_VALUE"""),"5921822")</f>
        <v>5921822</v>
      </c>
      <c r="F961" s="44" t="str">
        <f>IFERROR(__xludf.DUMMYFUNCTION("""COMPUTED_VALUE"""),"")</f>
        <v/>
      </c>
      <c r="G961" s="44" t="str">
        <f>IFERROR(__xludf.DUMMYFUNCTION("""COMPUTED_VALUE"""),"")</f>
        <v/>
      </c>
      <c r="H961" s="44" t="str">
        <f>IFERROR(__xludf.DUMMYFUNCTION("""COMPUTED_VALUE"""),"M")</f>
        <v>M</v>
      </c>
      <c r="I961" s="44" t="str">
        <f>IFERROR(__xludf.DUMMYFUNCTION("""COMPUTED_VALUE"""),"San Martín PNA")</f>
        <v>San Martín PNA</v>
      </c>
      <c r="J961" s="44" t="str">
        <f>IFERROR(__xludf.DUMMYFUNCTION("""COMPUTED_VALUE"""),"24/6/2026")</f>
        <v>24/6/2026</v>
      </c>
      <c r="K961" s="42" t="str">
        <f>IFERROR(__xludf.DUMMYFUNCTION("""COMPUTED_VALUE"""),"Hospital Militar Dr. C. Arvelo")</f>
        <v>Hospital Militar Dr. C. Arvelo</v>
      </c>
    </row>
    <row r="962">
      <c r="A962" s="44">
        <v>961.0</v>
      </c>
      <c r="B962" s="44" t="str">
        <f>IFERROR(__xludf.DUMMYFUNCTION("""COMPUTED_VALUE"""),"Hospital Pérez Carreño")</f>
        <v>Hospital Pérez Carreño</v>
      </c>
      <c r="C962" s="45" t="str">
        <f>IFERROR(__xludf.DUMMYFUNCTION("""COMPUTED_VALUE"""),"Lesvia Morales")</f>
        <v>Lesvia Morales</v>
      </c>
      <c r="D962" s="44"/>
      <c r="E962" s="44" t="str">
        <f>IFERROR(__xludf.DUMMYFUNCTION("""COMPUTED_VALUE"""),"5965096")</f>
        <v>5965096</v>
      </c>
      <c r="F962" s="44" t="str">
        <f>IFERROR(__xludf.DUMMYFUNCTION("""COMPUTED_VALUE"""),"")</f>
        <v/>
      </c>
      <c r="G962" s="44" t="str">
        <f>IFERROR(__xludf.DUMMYFUNCTION("""COMPUTED_VALUE"""),"Triaje")</f>
        <v>Triaje</v>
      </c>
      <c r="H962" s="44" t="str">
        <f>IFERROR(__xludf.DUMMYFUNCTION("""COMPUTED_VALUE"""),"Hospital Miguel Perez Carreño")</f>
        <v>Hospital Miguel Perez Carreño</v>
      </c>
      <c r="I962" s="44"/>
      <c r="J962" s="44" t="str">
        <f>IFERROR(__xludf.DUMMYFUNCTION("""COMPUTED_VALUE"""),"26/6/26")</f>
        <v>26/6/26</v>
      </c>
      <c r="K962" s="42" t="str">
        <f>IFERROR(__xludf.DUMMYFUNCTION("""COMPUTED_VALUE"""),"Hospital Pérez Carreño")</f>
        <v>Hospital Pérez Carreño</v>
      </c>
    </row>
    <row r="963">
      <c r="A963" s="44">
        <v>962.0</v>
      </c>
      <c r="B963" s="44" t="str">
        <f>IFERROR(__xludf.DUMMYFUNCTION("""COMPUTED_VALUE"""),"Hospital Pérez Carreño")</f>
        <v>Hospital Pérez Carreño</v>
      </c>
      <c r="C963" s="45" t="str">
        <f>IFERROR(__xludf.DUMMYFUNCTION("""COMPUTED_VALUE"""),"MORALES LESVIA")</f>
        <v>MORALES LESVIA</v>
      </c>
      <c r="D963" s="44" t="str">
        <f>IFERROR(__xludf.DUMMYFUNCTION("""COMPUTED_VALUE""")," ")</f>
        <v> </v>
      </c>
      <c r="E963" s="44" t="str">
        <f>IFERROR(__xludf.DUMMYFUNCTION("""COMPUTED_VALUE"""),"59650960")</f>
        <v>59650960</v>
      </c>
      <c r="F963" s="44" t="str">
        <f>IFERROR(__xludf.DUMMYFUNCTION("""COMPUTED_VALUE"""),"")</f>
        <v/>
      </c>
      <c r="G963" s="44" t="str">
        <f>IFERROR(__xludf.DUMMYFUNCTION("""COMPUTED_VALUE""")," ")</f>
        <v> </v>
      </c>
      <c r="H963" s="44" t="str">
        <f>IFERROR(__xludf.DUMMYFUNCTION("""COMPUTED_VALUE""")," ")</f>
        <v> </v>
      </c>
      <c r="I963" s="44" t="str">
        <f>IFERROR(__xludf.DUMMYFUNCTION("""COMPUTED_VALUE"""),"TRIAJE")</f>
        <v>TRIAJE</v>
      </c>
      <c r="J963" s="44" t="str">
        <f>IFERROR(__xludf.DUMMYFUNCTION("""COMPUTED_VALUE"""),"25/06/2026")</f>
        <v>25/06/2026</v>
      </c>
      <c r="K963" s="42" t="str">
        <f>IFERROR(__xludf.DUMMYFUNCTION("""COMPUTED_VALUE"""),"Hospital Pérez Carreño")</f>
        <v>Hospital Pérez Carreño</v>
      </c>
    </row>
    <row r="964">
      <c r="A964" s="44">
        <v>963.0</v>
      </c>
      <c r="B964" s="44" t="str">
        <f>IFERROR(__xludf.DUMMYFUNCTION("""COMPUTED_VALUE"""),"Hospital Universitario de Carac")</f>
        <v>Hospital Universitario de Carac</v>
      </c>
      <c r="C964" s="45" t="str">
        <f>IFERROR(__xludf.DUMMYFUNCTION("""COMPUTED_VALUE"""),"Edis Lopez")</f>
        <v>Edis Lopez</v>
      </c>
      <c r="D964" s="44">
        <f>IFERROR(__xludf.DUMMYFUNCTION("""COMPUTED_VALUE"""),70.0)</f>
        <v>70</v>
      </c>
      <c r="E964" s="44" t="str">
        <f>IFERROR(__xludf.DUMMYFUNCTION("""COMPUTED_VALUE"""),"6045349")</f>
        <v>6045349</v>
      </c>
      <c r="F964" s="44" t="str">
        <f>IFERROR(__xludf.DUMMYFUNCTION("""COMPUTED_VALUE"""),"")</f>
        <v/>
      </c>
      <c r="G964" s="44"/>
      <c r="H964" s="44" t="str">
        <f>IFERROR(__xludf.DUMMYFUNCTION("""COMPUTED_VALUE"""),"La Guaira")</f>
        <v>La Guaira</v>
      </c>
      <c r="I964" s="44" t="str">
        <f>IFERROR(__xludf.DUMMYFUNCTION("""COMPUTED_VALUE"""),"Politraumatismo")</f>
        <v>Politraumatismo</v>
      </c>
      <c r="J964" s="44" t="str">
        <f>IFERROR(__xludf.DUMMYFUNCTION("""COMPUTED_VALUE"""),"")</f>
        <v/>
      </c>
      <c r="K964" s="42" t="str">
        <f>IFERROR(__xludf.DUMMYFUNCTION("""COMPUTED_VALUE"""),"Hospital Universitario de Carac")</f>
        <v>Hospital Universitario de Carac</v>
      </c>
    </row>
    <row r="965">
      <c r="A965" s="44">
        <v>964.0</v>
      </c>
      <c r="B965" s="44" t="str">
        <f>IFERROR(__xludf.DUMMYFUNCTION("""COMPUTED_VALUE"""),"Hospital Universitario de Carac")</f>
        <v>Hospital Universitario de Carac</v>
      </c>
      <c r="C965" s="45" t="str">
        <f>IFERROR(__xludf.DUMMYFUNCTION("""COMPUTED_VALUE"""),"LOPEZ EDIS")</f>
        <v>LOPEZ EDIS</v>
      </c>
      <c r="D965" s="44">
        <f>IFERROR(__xludf.DUMMYFUNCTION("""COMPUTED_VALUE"""),70.0)</f>
        <v>70</v>
      </c>
      <c r="E965" s="44" t="str">
        <f>IFERROR(__xludf.DUMMYFUNCTION("""COMPUTED_VALUE"""),"6045544")</f>
        <v>6045544</v>
      </c>
      <c r="F965" s="44" t="str">
        <f>IFERROR(__xludf.DUMMYFUNCTION("""COMPUTED_VALUE"""),"")</f>
        <v/>
      </c>
      <c r="G965" s="44" t="str">
        <f>IFERROR(__xludf.DUMMYFUNCTION("""COMPUTED_VALUE"""),"0412-2928549")</f>
        <v>0412-2928549</v>
      </c>
      <c r="H965" s="44" t="str">
        <f>IFERROR(__xludf.DUMMYFUNCTION("""COMPUTED_VALUE""")," ")</f>
        <v> </v>
      </c>
      <c r="I965" s="44" t="str">
        <f>IFERROR(__xludf.DUMMYFUNCTION("""COMPUTED_VALUE"""),"Politraumatismo; Fx cadera derecha")</f>
        <v>Politraumatismo; Fx cadera derecha</v>
      </c>
      <c r="J965" s="44" t="str">
        <f>IFERROR(__xludf.DUMMYFUNCTION("""COMPUTED_VALUE"""),"")</f>
        <v/>
      </c>
      <c r="K965" s="42" t="str">
        <f>IFERROR(__xludf.DUMMYFUNCTION("""COMPUTED_VALUE"""),"Hospital Universitario de Carac")</f>
        <v>Hospital Universitario de Carac</v>
      </c>
    </row>
    <row r="966">
      <c r="A966" s="44">
        <v>965.0</v>
      </c>
      <c r="B966" s="44" t="str">
        <f>IFERROR(__xludf.DUMMYFUNCTION("""COMPUTED_VALUE"""),"Hospital Pérez Carreño")</f>
        <v>Hospital Pérez Carreño</v>
      </c>
      <c r="C966" s="45" t="str">
        <f>IFERROR(__xludf.DUMMYFUNCTION("""COMPUTED_VALUE"""),"BERNAL MARCELA")</f>
        <v>BERNAL MARCELA</v>
      </c>
      <c r="D966" s="44" t="str">
        <f>IFERROR(__xludf.DUMMYFUNCTION("""COMPUTED_VALUE""")," ")</f>
        <v> </v>
      </c>
      <c r="E966" s="44" t="str">
        <f>IFERROR(__xludf.DUMMYFUNCTION("""COMPUTED_VALUE"""),"6049995")</f>
        <v>6049995</v>
      </c>
      <c r="F966" s="44" t="str">
        <f>IFERROR(__xludf.DUMMYFUNCTION("""COMPUTED_VALUE"""),"")</f>
        <v/>
      </c>
      <c r="G966" s="44" t="str">
        <f>IFERROR(__xludf.DUMMYFUNCTION("""COMPUTED_VALUE""")," ")</f>
        <v> </v>
      </c>
      <c r="H966" s="44" t="str">
        <f>IFERROR(__xludf.DUMMYFUNCTION("""COMPUTED_VALUE""")," ")</f>
        <v> </v>
      </c>
      <c r="I966" s="44" t="str">
        <f>IFERROR(__xludf.DUMMYFUNCTION("""COMPUTED_VALUE""")," ")</f>
        <v> </v>
      </c>
      <c r="J966" s="44" t="str">
        <f>IFERROR(__xludf.DUMMYFUNCTION("""COMPUTED_VALUE"""),"25/06/2026")</f>
        <v>25/06/2026</v>
      </c>
      <c r="K966" s="42" t="str">
        <f>IFERROR(__xludf.DUMMYFUNCTION("""COMPUTED_VALUE"""),"Hospital Pérez Carreño")</f>
        <v>Hospital Pérez Carreño</v>
      </c>
    </row>
    <row r="967">
      <c r="A967" s="44">
        <v>966.0</v>
      </c>
      <c r="B967" s="44" t="str">
        <f>IFERROR(__xludf.DUMMYFUNCTION("""COMPUTED_VALUE"""),"Hospital Pérez Carreño")</f>
        <v>Hospital Pérez Carreño</v>
      </c>
      <c r="C967" s="45" t="str">
        <f>IFERROR(__xludf.DUMMYFUNCTION("""COMPUTED_VALUE"""),"MARCELA BERNAL")</f>
        <v>MARCELA BERNAL</v>
      </c>
      <c r="D967" s="44" t="str">
        <f>IFERROR(__xludf.DUMMYFUNCTION("""COMPUTED_VALUE""")," ")</f>
        <v> </v>
      </c>
      <c r="E967" s="44" t="str">
        <f>IFERROR(__xludf.DUMMYFUNCTION("""COMPUTED_VALUE"""),"60499950")</f>
        <v>60499950</v>
      </c>
      <c r="F967" s="44" t="str">
        <f>IFERROR(__xludf.DUMMYFUNCTION("""COMPUTED_VALUE"""),"")</f>
        <v/>
      </c>
      <c r="G967" s="44" t="str">
        <f>IFERROR(__xludf.DUMMYFUNCTION("""COMPUTED_VALUE""")," ")</f>
        <v> </v>
      </c>
      <c r="H967" s="44" t="str">
        <f>IFERROR(__xludf.DUMMYFUNCTION("""COMPUTED_VALUE""")," ")</f>
        <v> </v>
      </c>
      <c r="I967" s="44" t="str">
        <f>IFERROR(__xludf.DUMMYFUNCTION("""COMPUTED_VALUE"""),"Triaje")</f>
        <v>Triaje</v>
      </c>
      <c r="J967" s="44" t="str">
        <f>IFERROR(__xludf.DUMMYFUNCTION("""COMPUTED_VALUE"""),"25/06/2026")</f>
        <v>25/06/2026</v>
      </c>
      <c r="K967" s="42" t="str">
        <f>IFERROR(__xludf.DUMMYFUNCTION("""COMPUTED_VALUE"""),"Hospital Pérez Carreño")</f>
        <v>Hospital Pérez Carreño</v>
      </c>
    </row>
    <row r="968">
      <c r="A968" s="44">
        <v>967.0</v>
      </c>
      <c r="B968" s="44" t="str">
        <f>IFERROR(__xludf.DUMMYFUNCTION("""COMPUTED_VALUE"""),"Periférico de Catia")</f>
        <v>Periférico de Catia</v>
      </c>
      <c r="C968" s="45" t="str">
        <f>IFERROR(__xludf.DUMMYFUNCTION("""COMPUTED_VALUE"""),"BELQUIS NOVAZ")</f>
        <v>BELQUIS NOVAZ</v>
      </c>
      <c r="D968" s="44">
        <f>IFERROR(__xludf.DUMMYFUNCTION("""COMPUTED_VALUE"""),65.0)</f>
        <v>65</v>
      </c>
      <c r="E968" s="44" t="str">
        <f>IFERROR(__xludf.DUMMYFUNCTION("""COMPUTED_VALUE"""),"60568920")</f>
        <v>60568920</v>
      </c>
      <c r="F968" s="44" t="str">
        <f>IFERROR(__xludf.DUMMYFUNCTION("""COMPUTED_VALUE"""),"")</f>
        <v/>
      </c>
      <c r="G968" s="44" t="str">
        <f>IFERROR(__xludf.DUMMYFUNCTION("""COMPUTED_VALUE""")," ")</f>
        <v> </v>
      </c>
      <c r="H968" s="44" t="str">
        <f>IFERROR(__xludf.DUMMYFUNCTION("""COMPUTED_VALUE"""),"Sin información")</f>
        <v>Sin información</v>
      </c>
      <c r="I968" s="44" t="str">
        <f>IFERROR(__xludf.DUMMYFUNCTION("""COMPUTED_VALUE"""),"Cirugía General")</f>
        <v>Cirugía General</v>
      </c>
      <c r="J968" s="44" t="str">
        <f>IFERROR(__xludf.DUMMYFUNCTION("""COMPUTED_VALUE"""),"")</f>
        <v/>
      </c>
      <c r="K968" s="42" t="str">
        <f>IFERROR(__xludf.DUMMYFUNCTION("""COMPUTED_VALUE"""),"Periférico de Catia")</f>
        <v>Periférico de Catia</v>
      </c>
    </row>
    <row r="969">
      <c r="A969" s="44">
        <v>968.0</v>
      </c>
      <c r="B969" s="44" t="str">
        <f>IFERROR(__xludf.DUMMYFUNCTION("""COMPUTED_VALUE"""),"Hospital Pérez Carreño")</f>
        <v>Hospital Pérez Carreño</v>
      </c>
      <c r="C969" s="45" t="str">
        <f>IFERROR(__xludf.DUMMYFUNCTION("""COMPUTED_VALUE"""),"QUILLEN MARIA")</f>
        <v>QUILLEN MARIA</v>
      </c>
      <c r="D969" s="44" t="str">
        <f>IFERROR(__xludf.DUMMYFUNCTION("""COMPUTED_VALUE""")," ")</f>
        <v> </v>
      </c>
      <c r="E969" s="44" t="str">
        <f>IFERROR(__xludf.DUMMYFUNCTION("""COMPUTED_VALUE"""),"6059288")</f>
        <v>6059288</v>
      </c>
      <c r="F969" s="44" t="str">
        <f>IFERROR(__xludf.DUMMYFUNCTION("""COMPUTED_VALUE"""),"")</f>
        <v/>
      </c>
      <c r="G969" s="44" t="str">
        <f>IFERROR(__xludf.DUMMYFUNCTION("""COMPUTED_VALUE""")," ")</f>
        <v> </v>
      </c>
      <c r="H969" s="44" t="str">
        <f>IFERROR(__xludf.DUMMYFUNCTION("""COMPUTED_VALUE""")," ")</f>
        <v> </v>
      </c>
      <c r="I969" s="44" t="str">
        <f>IFERROR(__xludf.DUMMYFUNCTION("""COMPUTED_VALUE""")," ")</f>
        <v> </v>
      </c>
      <c r="J969" s="44" t="str">
        <f>IFERROR(__xludf.DUMMYFUNCTION("""COMPUTED_VALUE"""),"25/06/2026")</f>
        <v>25/06/2026</v>
      </c>
      <c r="K969" s="42" t="str">
        <f>IFERROR(__xludf.DUMMYFUNCTION("""COMPUTED_VALUE"""),"Hospital Pérez Carreño")</f>
        <v>Hospital Pérez Carreño</v>
      </c>
    </row>
    <row r="970">
      <c r="A970" s="44">
        <v>969.0</v>
      </c>
      <c r="B970" s="44" t="str">
        <f>IFERROR(__xludf.DUMMYFUNCTION("""COMPUTED_VALUE"""),"Hospital Pérez Carreño")</f>
        <v>Hospital Pérez Carreño</v>
      </c>
      <c r="C970" s="45" t="str">
        <f>IFERROR(__xludf.DUMMYFUNCTION("""COMPUTED_VALUE"""),"MARIA GUILLEN")</f>
        <v>MARIA GUILLEN</v>
      </c>
      <c r="D970" s="44" t="str">
        <f>IFERROR(__xludf.DUMMYFUNCTION("""COMPUTED_VALUE""")," ")</f>
        <v> </v>
      </c>
      <c r="E970" s="44" t="str">
        <f>IFERROR(__xludf.DUMMYFUNCTION("""COMPUTED_VALUE"""),"60592880")</f>
        <v>60592880</v>
      </c>
      <c r="F970" s="44" t="str">
        <f>IFERROR(__xludf.DUMMYFUNCTION("""COMPUTED_VALUE"""),"")</f>
        <v/>
      </c>
      <c r="G970" s="44" t="str">
        <f>IFERROR(__xludf.DUMMYFUNCTION("""COMPUTED_VALUE""")," ")</f>
        <v> </v>
      </c>
      <c r="H970" s="44" t="str">
        <f>IFERROR(__xludf.DUMMYFUNCTION("""COMPUTED_VALUE""")," ")</f>
        <v> </v>
      </c>
      <c r="I970" s="44" t="str">
        <f>IFERROR(__xludf.DUMMYFUNCTION("""COMPUTED_VALUE""")," ")</f>
        <v> </v>
      </c>
      <c r="J970" s="44" t="str">
        <f>IFERROR(__xludf.DUMMYFUNCTION("""COMPUTED_VALUE"""),"25/06/2026")</f>
        <v>25/06/2026</v>
      </c>
      <c r="K970" s="42" t="str">
        <f>IFERROR(__xludf.DUMMYFUNCTION("""COMPUTED_VALUE"""),"Hospital Pérez Carreño")</f>
        <v>Hospital Pérez Carreño</v>
      </c>
    </row>
    <row r="971">
      <c r="A971" s="44">
        <v>970.0</v>
      </c>
      <c r="B971" s="44" t="str">
        <f>IFERROR(__xludf.DUMMYFUNCTION("""COMPUTED_VALUE"""),"Hospital Vargas de Caracas")</f>
        <v>Hospital Vargas de Caracas</v>
      </c>
      <c r="C971" s="45" t="str">
        <f>IFERROR(__xludf.DUMMYFUNCTION("""COMPUTED_VALUE"""),"KERRY MEDINA")</f>
        <v>KERRY MEDINA</v>
      </c>
      <c r="D971" s="44" t="str">
        <f>IFERROR(__xludf.DUMMYFUNCTION("""COMPUTED_VALUE""")," ")</f>
        <v> </v>
      </c>
      <c r="E971" s="44" t="str">
        <f>IFERROR(__xludf.DUMMYFUNCTION("""COMPUTED_VALUE"""),"6086109")</f>
        <v>6086109</v>
      </c>
      <c r="F971" s="44" t="str">
        <f>IFERROR(__xludf.DUMMYFUNCTION("""COMPUTED_VALUE""")," ")</f>
        <v> </v>
      </c>
      <c r="G971" s="44" t="str">
        <f>IFERROR(__xludf.DUMMYFUNCTION("""COMPUTED_VALUE"""),"")</f>
        <v/>
      </c>
      <c r="H971" s="44" t="str">
        <f>IFERROR(__xludf.DUMMYFUNCTION("""COMPUTED_VALUE"""),"La Jaso")</f>
        <v>La Jaso</v>
      </c>
      <c r="I971" s="44" t="str">
        <f>IFERROR(__xludf.DUMMYFUNCTION("""COMPUTED_VALUE""")," ")</f>
        <v> </v>
      </c>
      <c r="J971" s="44" t="str">
        <f>IFERROR(__xludf.DUMMYFUNCTION("""COMPUTED_VALUE"""),"")</f>
        <v/>
      </c>
      <c r="K971" s="42" t="str">
        <f>IFERROR(__xludf.DUMMYFUNCTION("""COMPUTED_VALUE"""),"Hospital Vargas de Caracas")</f>
        <v>Hospital Vargas de Caracas</v>
      </c>
    </row>
    <row r="972">
      <c r="A972" s="44">
        <v>971.0</v>
      </c>
      <c r="B972" s="44" t="str">
        <f>IFERROR(__xludf.DUMMYFUNCTION("""COMPUTED_VALUE"""),"HOSPITAL VARGAS")</f>
        <v>HOSPITAL VARGAS</v>
      </c>
      <c r="C972" s="45" t="str">
        <f>IFERROR(__xludf.DUMMYFUNCTION("""COMPUTED_VALUE"""),"Frank Blanco")</f>
        <v>Frank Blanco</v>
      </c>
      <c r="D972" s="44"/>
      <c r="E972" s="44" t="str">
        <f>IFERROR(__xludf.DUMMYFUNCTION("""COMPUTED_VALUE"""),"6086919")</f>
        <v>6086919</v>
      </c>
      <c r="F972" s="44" t="str">
        <f>IFERROR(__xludf.DUMMYFUNCTION("""COMPUTED_VALUE"""),"")</f>
        <v/>
      </c>
      <c r="G972" s="44" t="str">
        <f>IFERROR(__xludf.DUMMYFUNCTION("""COMPUTED_VALUE"""),"")</f>
        <v/>
      </c>
      <c r="H972" s="44" t="str">
        <f>IFERROR(__xludf.DUMMYFUNCTION("""COMPUTED_VALUE"""),"")</f>
        <v/>
      </c>
      <c r="I972" s="44" t="str">
        <f>IFERROR(__xludf.DUMMYFUNCTION("""COMPUTED_VALUE"""),"Herido / atendido")</f>
        <v>Herido / atendido</v>
      </c>
      <c r="J972" s="44" t="str">
        <f>IFERROR(__xludf.DUMMYFUNCTION("""COMPUTED_VALUE"""),"24.06.2026 ")</f>
        <v>24.06.2026 </v>
      </c>
      <c r="K972" s="42" t="str">
        <f>IFERROR(__xludf.DUMMYFUNCTION("""COMPUTED_VALUE"""),"HOSPITAL VARGAS")</f>
        <v>HOSPITAL VARGAS</v>
      </c>
    </row>
    <row r="973">
      <c r="A973" s="44">
        <v>972.0</v>
      </c>
      <c r="B973" s="44" t="str">
        <f>IFERROR(__xludf.DUMMYFUNCTION("""COMPUTED_VALUE"""),"Hospital Pérez Carreño")</f>
        <v>Hospital Pérez Carreño</v>
      </c>
      <c r="C973" s="45" t="str">
        <f>IFERROR(__xludf.DUMMYFUNCTION("""COMPUTED_VALUE"""),"ZORAIDA MARTINEZ")</f>
        <v>ZORAIDA MARTINEZ</v>
      </c>
      <c r="D973" s="44" t="str">
        <f>IFERROR(__xludf.DUMMYFUNCTION("""COMPUTED_VALUE"""),"Sin información")</f>
        <v>Sin información</v>
      </c>
      <c r="E973" s="44" t="str">
        <f>IFERROR(__xludf.DUMMYFUNCTION("""COMPUTED_VALUE"""),"609216170")</f>
        <v>609216170</v>
      </c>
      <c r="F973" s="44" t="str">
        <f>IFERROR(__xludf.DUMMYFUNCTION("""COMPUTED_VALUE"""),"")</f>
        <v/>
      </c>
      <c r="G973" s="44" t="str">
        <f>IFERROR(__xludf.DUMMYFUNCTION("""COMPUTED_VALUE""")," ")</f>
        <v> </v>
      </c>
      <c r="H973" s="44" t="str">
        <f>IFERROR(__xludf.DUMMYFUNCTION("""COMPUTED_VALUE"""),"Sin información")</f>
        <v>Sin información</v>
      </c>
      <c r="I973" s="44" t="str">
        <f>IFERROR(__xludf.DUMMYFUNCTION("""COMPUTED_VALUE"""),"Sin información")</f>
        <v>Sin información</v>
      </c>
      <c r="J973" s="44" t="str">
        <f>IFERROR(__xludf.DUMMYFUNCTION("""COMPUTED_VALUE"""),"25/06/2026")</f>
        <v>25/06/2026</v>
      </c>
      <c r="K973" s="42" t="str">
        <f>IFERROR(__xludf.DUMMYFUNCTION("""COMPUTED_VALUE"""),"Hospital Pérez Carreño")</f>
        <v>Hospital Pérez Carreño</v>
      </c>
    </row>
    <row r="974">
      <c r="A974" s="44">
        <v>973.0</v>
      </c>
      <c r="B974" s="44" t="str">
        <f>IFERROR(__xludf.DUMMYFUNCTION("""COMPUTED_VALUE"""),"Hospital Pérez Carreño")</f>
        <v>Hospital Pérez Carreño</v>
      </c>
      <c r="C974" s="45" t="str">
        <f>IFERROR(__xludf.DUMMYFUNCTION("""COMPUTED_VALUE"""),"MARTIZZ ZORIDA")</f>
        <v>MARTIZZ ZORIDA</v>
      </c>
      <c r="D974" s="44" t="str">
        <f>IFERROR(__xludf.DUMMYFUNCTION("""COMPUTED_VALUE""")," ")</f>
        <v> </v>
      </c>
      <c r="E974" s="44" t="str">
        <f>IFERROR(__xludf.DUMMYFUNCTION("""COMPUTED_VALUE"""),"6092167")</f>
        <v>6092167</v>
      </c>
      <c r="F974" s="44" t="str">
        <f>IFERROR(__xludf.DUMMYFUNCTION("""COMPUTED_VALUE"""),"")</f>
        <v/>
      </c>
      <c r="G974" s="44" t="str">
        <f>IFERROR(__xludf.DUMMYFUNCTION("""COMPUTED_VALUE""")," ")</f>
        <v> </v>
      </c>
      <c r="H974" s="44" t="str">
        <f>IFERROR(__xludf.DUMMYFUNCTION("""COMPUTED_VALUE""")," ")</f>
        <v> </v>
      </c>
      <c r="I974" s="44" t="str">
        <f>IFERROR(__xludf.DUMMYFUNCTION("""COMPUTED_VALUE""")," ")</f>
        <v> </v>
      </c>
      <c r="J974" s="44" t="str">
        <f>IFERROR(__xludf.DUMMYFUNCTION("""COMPUTED_VALUE"""),"25/06/2026")</f>
        <v>25/06/2026</v>
      </c>
      <c r="K974" s="42" t="str">
        <f>IFERROR(__xludf.DUMMYFUNCTION("""COMPUTED_VALUE"""),"Hospital Pérez Carreño")</f>
        <v>Hospital Pérez Carreño</v>
      </c>
    </row>
    <row r="975">
      <c r="A975" s="44">
        <v>974.0</v>
      </c>
      <c r="B975" s="44" t="str">
        <f>IFERROR(__xludf.DUMMYFUNCTION("""COMPUTED_VALUE"""),"Hospital Pérez Carreño")</f>
        <v>Hospital Pérez Carreño</v>
      </c>
      <c r="C975" s="45" t="str">
        <f>IFERROR(__xludf.DUMMYFUNCTION("""COMPUTED_VALUE"""),"ZORAIDA MARTINEZ")</f>
        <v>ZORAIDA MARTINEZ</v>
      </c>
      <c r="D975" s="44" t="str">
        <f>IFERROR(__xludf.DUMMYFUNCTION("""COMPUTED_VALUE""")," ")</f>
        <v> </v>
      </c>
      <c r="E975" s="44" t="str">
        <f>IFERROR(__xludf.DUMMYFUNCTION("""COMPUTED_VALUE"""),"60921670")</f>
        <v>60921670</v>
      </c>
      <c r="F975" s="44" t="str">
        <f>IFERROR(__xludf.DUMMYFUNCTION("""COMPUTED_VALUE"""),"")</f>
        <v/>
      </c>
      <c r="G975" s="44" t="str">
        <f>IFERROR(__xludf.DUMMYFUNCTION("""COMPUTED_VALUE""")," ")</f>
        <v> </v>
      </c>
      <c r="H975" s="44" t="str">
        <f>IFERROR(__xludf.DUMMYFUNCTION("""COMPUTED_VALUE""")," ")</f>
        <v> </v>
      </c>
      <c r="I975" s="44" t="str">
        <f>IFERROR(__xludf.DUMMYFUNCTION("""COMPUTED_VALUE""")," ")</f>
        <v> </v>
      </c>
      <c r="J975" s="44" t="str">
        <f>IFERROR(__xludf.DUMMYFUNCTION("""COMPUTED_VALUE"""),"25/06/2026")</f>
        <v>25/06/2026</v>
      </c>
      <c r="K975" s="42" t="str">
        <f>IFERROR(__xludf.DUMMYFUNCTION("""COMPUTED_VALUE"""),"Hospital Pérez Carreño")</f>
        <v>Hospital Pérez Carreño</v>
      </c>
    </row>
    <row r="976">
      <c r="A976" s="44">
        <v>975.0</v>
      </c>
      <c r="B976" s="44" t="str">
        <f>IFERROR(__xludf.DUMMYFUNCTION("""COMPUTED_VALUE"""),"Hospital Pérez Carreño")</f>
        <v>Hospital Pérez Carreño</v>
      </c>
      <c r="C976" s="45" t="str">
        <f>IFERROR(__xludf.DUMMYFUNCTION("""COMPUTED_VALUE"""),"RAMIREZ GERALDO")</f>
        <v>RAMIREZ GERALDO</v>
      </c>
      <c r="D976" s="44" t="str">
        <f>IFERROR(__xludf.DUMMYFUNCTION("""COMPUTED_VALUE""")," ")</f>
        <v> </v>
      </c>
      <c r="E976" s="44" t="str">
        <f>IFERROR(__xludf.DUMMYFUNCTION("""COMPUTED_VALUE"""),"6121988")</f>
        <v>6121988</v>
      </c>
      <c r="F976" s="44" t="str">
        <f>IFERROR(__xludf.DUMMYFUNCTION("""COMPUTED_VALUE"""),"")</f>
        <v/>
      </c>
      <c r="G976" s="44" t="str">
        <f>IFERROR(__xludf.DUMMYFUNCTION("""COMPUTED_VALUE""")," ")</f>
        <v> </v>
      </c>
      <c r="H976" s="44" t="str">
        <f>IFERROR(__xludf.DUMMYFUNCTION("""COMPUTED_VALUE""")," ")</f>
        <v> </v>
      </c>
      <c r="I976" s="44" t="str">
        <f>IFERROR(__xludf.DUMMYFUNCTION("""COMPUTED_VALUE"""),"Nuevos Ingresos")</f>
        <v>Nuevos Ingresos</v>
      </c>
      <c r="J976" s="44" t="str">
        <f>IFERROR(__xludf.DUMMYFUNCTION("""COMPUTED_VALUE"""),"25/06/2026")</f>
        <v>25/06/2026</v>
      </c>
      <c r="K976" s="42" t="str">
        <f>IFERROR(__xludf.DUMMYFUNCTION("""COMPUTED_VALUE"""),"Hospital Pérez Carreño")</f>
        <v>Hospital Pérez Carreño</v>
      </c>
    </row>
    <row r="977">
      <c r="A977" s="44">
        <v>976.0</v>
      </c>
      <c r="B977" s="44" t="str">
        <f>IFERROR(__xludf.DUMMYFUNCTION("""COMPUTED_VALUE"""),"Hospital Vargas de Caracas")</f>
        <v>Hospital Vargas de Caracas</v>
      </c>
      <c r="C977" s="45" t="str">
        <f>IFERROR(__xludf.DUMMYFUNCTION("""COMPUTED_VALUE"""),"RODRIGUEZ MADELEINE")</f>
        <v>RODRIGUEZ MADELEINE</v>
      </c>
      <c r="D977" s="44" t="str">
        <f>IFERROR(__xludf.DUMMYFUNCTION("""COMPUTED_VALUE""")," ")</f>
        <v> </v>
      </c>
      <c r="E977" s="44" t="str">
        <f>IFERROR(__xludf.DUMMYFUNCTION("""COMPUTED_VALUE"""),"6124045")</f>
        <v>6124045</v>
      </c>
      <c r="F977" s="44" t="str">
        <f>IFERROR(__xludf.DUMMYFUNCTION("""COMPUTED_VALUE""")," ")</f>
        <v> </v>
      </c>
      <c r="G977" s="44" t="str">
        <f>IFERROR(__xludf.DUMMYFUNCTION("""COMPUTED_VALUE"""),"")</f>
        <v/>
      </c>
      <c r="H977" s="44" t="str">
        <f>IFERROR(__xludf.DUMMYFUNCTION("""COMPUTED_VALUE""")," ")</f>
        <v> </v>
      </c>
      <c r="I977" s="44" t="str">
        <f>IFERROR(__xludf.DUMMYFUNCTION("""COMPUTED_VALUE""")," ")</f>
        <v> </v>
      </c>
      <c r="J977" s="44" t="str">
        <f>IFERROR(__xludf.DUMMYFUNCTION("""COMPUTED_VALUE"""),"")</f>
        <v/>
      </c>
      <c r="K977" s="42" t="str">
        <f>IFERROR(__xludf.DUMMYFUNCTION("""COMPUTED_VALUE"""),"Hospital Vargas de Caracas")</f>
        <v>Hospital Vargas de Caracas</v>
      </c>
    </row>
    <row r="978">
      <c r="A978" s="44">
        <v>977.0</v>
      </c>
      <c r="B978" s="44" t="str">
        <f>IFERROR(__xludf.DUMMYFUNCTION("""COMPUTED_VALUE"""),"Hospital Militar Dr. C. Arvelo")</f>
        <v>Hospital Militar Dr. C. Arvelo</v>
      </c>
      <c r="C978" s="45" t="str">
        <f>IFERROR(__xludf.DUMMYFUNCTION("""COMPUTED_VALUE"""),"Dorta Rodríguez Delia")</f>
        <v>Dorta Rodríguez Delia</v>
      </c>
      <c r="D978" s="44">
        <f>IFERROR(__xludf.DUMMYFUNCTION("""COMPUTED_VALUE"""),92.0)</f>
        <v>92</v>
      </c>
      <c r="E978" s="44" t="str">
        <f>IFERROR(__xludf.DUMMYFUNCTION("""COMPUTED_VALUE"""),"6124942")</f>
        <v>6124942</v>
      </c>
      <c r="F978" s="44" t="str">
        <f>IFERROR(__xludf.DUMMYFUNCTION("""COMPUTED_VALUE"""),"")</f>
        <v/>
      </c>
      <c r="G978" s="44" t="str">
        <f>IFERROR(__xludf.DUMMYFUNCTION("""COMPUTED_VALUE"""),"")</f>
        <v/>
      </c>
      <c r="H978" s="44" t="str">
        <f>IFERROR(__xludf.DUMMYFUNCTION("""COMPUTED_VALUE"""),"F")</f>
        <v>F</v>
      </c>
      <c r="I978" s="44" t="str">
        <f>IFERROR(__xludf.DUMMYFUNCTION("""COMPUTED_VALUE"""),"Quinta Crespo PNA")</f>
        <v>Quinta Crespo PNA</v>
      </c>
      <c r="J978" s="44" t="str">
        <f>IFERROR(__xludf.DUMMYFUNCTION("""COMPUTED_VALUE"""),"24/6/2026")</f>
        <v>24/6/2026</v>
      </c>
      <c r="K978" s="42" t="str">
        <f>IFERROR(__xludf.DUMMYFUNCTION("""COMPUTED_VALUE"""),"Hospital Militar Dr. C. Arvelo")</f>
        <v>Hospital Militar Dr. C. Arvelo</v>
      </c>
    </row>
    <row r="979">
      <c r="A979" s="44">
        <v>978.0</v>
      </c>
      <c r="B979" s="44" t="str">
        <f>IFERROR(__xludf.DUMMYFUNCTION("""COMPUTED_VALUE"""),"Hospital Pérez Carreño")</f>
        <v>Hospital Pérez Carreño</v>
      </c>
      <c r="C979" s="45" t="str">
        <f>IFERROR(__xludf.DUMMYFUNCTION("""COMPUTED_VALUE"""),"CENDIELA PAREDEZ")</f>
        <v>CENDIELA PAREDEZ</v>
      </c>
      <c r="D979" s="44" t="str">
        <f>IFERROR(__xludf.DUMMYFUNCTION("""COMPUTED_VALUE"""),"Sin información")</f>
        <v>Sin información</v>
      </c>
      <c r="E979" s="44" t="str">
        <f>IFERROR(__xludf.DUMMYFUNCTION("""COMPUTED_VALUE"""),"61454880")</f>
        <v>61454880</v>
      </c>
      <c r="F979" s="44" t="str">
        <f>IFERROR(__xludf.DUMMYFUNCTION("""COMPUTED_VALUE"""),"")</f>
        <v/>
      </c>
      <c r="G979" s="44" t="str">
        <f>IFERROR(__xludf.DUMMYFUNCTION("""COMPUTED_VALUE""")," ")</f>
        <v> </v>
      </c>
      <c r="H979" s="44" t="str">
        <f>IFERROR(__xludf.DUMMYFUNCTION("""COMPUTED_VALUE"""),"Sin información")</f>
        <v>Sin información</v>
      </c>
      <c r="I979" s="44" t="str">
        <f>IFERROR(__xludf.DUMMYFUNCTION("""COMPUTED_VALUE"""),"Sin información")</f>
        <v>Sin información</v>
      </c>
      <c r="J979" s="44" t="str">
        <f>IFERROR(__xludf.DUMMYFUNCTION("""COMPUTED_VALUE"""),"25/06/2026")</f>
        <v>25/06/2026</v>
      </c>
      <c r="K979" s="42" t="str">
        <f>IFERROR(__xludf.DUMMYFUNCTION("""COMPUTED_VALUE"""),"Hospital Pérez Carreño")</f>
        <v>Hospital Pérez Carreño</v>
      </c>
    </row>
    <row r="980">
      <c r="A980" s="44">
        <v>979.0</v>
      </c>
      <c r="B980" s="44" t="str">
        <f>IFERROR(__xludf.DUMMYFUNCTION("""COMPUTED_VALUE"""),"Hospital Militar Dr. C. Arvelo")</f>
        <v>Hospital Militar Dr. C. Arvelo</v>
      </c>
      <c r="C980" s="45" t="str">
        <f>IFERROR(__xludf.DUMMYFUNCTION("""COMPUTED_VALUE"""),"Arias Fructuoso")</f>
        <v>Arias Fructuoso</v>
      </c>
      <c r="D980" s="44">
        <f>IFERROR(__xludf.DUMMYFUNCTION("""COMPUTED_VALUE"""),65.0)</f>
        <v>65</v>
      </c>
      <c r="E980" s="44" t="str">
        <f>IFERROR(__xludf.DUMMYFUNCTION("""COMPUTED_VALUE"""),"6156642")</f>
        <v>6156642</v>
      </c>
      <c r="F980" s="44" t="str">
        <f>IFERROR(__xludf.DUMMYFUNCTION("""COMPUTED_VALUE"""),"")</f>
        <v/>
      </c>
      <c r="G980" s="44" t="str">
        <f>IFERROR(__xludf.DUMMYFUNCTION("""COMPUTED_VALUE"""),"")</f>
        <v/>
      </c>
      <c r="H980" s="44" t="str">
        <f>IFERROR(__xludf.DUMMYFUNCTION("""COMPUTED_VALUE"""),"M")</f>
        <v>M</v>
      </c>
      <c r="I980" s="44" t="str">
        <f>IFERROR(__xludf.DUMMYFUNCTION("""COMPUTED_VALUE"""),"PNA GNB")</f>
        <v>PNA GNB</v>
      </c>
      <c r="J980" s="44" t="str">
        <f>IFERROR(__xludf.DUMMYFUNCTION("""COMPUTED_VALUE"""),"24/6/2026")</f>
        <v>24/6/2026</v>
      </c>
      <c r="K980" s="42" t="str">
        <f>IFERROR(__xludf.DUMMYFUNCTION("""COMPUTED_VALUE"""),"Hospital Militar Dr. C. Arvelo")</f>
        <v>Hospital Militar Dr. C. Arvelo</v>
      </c>
    </row>
    <row r="981">
      <c r="A981" s="44">
        <v>980.0</v>
      </c>
      <c r="B981" s="44" t="str">
        <f>IFERROR(__xludf.DUMMYFUNCTION("""COMPUTED_VALUE"""),"Hospital Pérez Carreño")</f>
        <v>Hospital Pérez Carreño</v>
      </c>
      <c r="C981" s="45" t="str">
        <f>IFERROR(__xludf.DUMMYFUNCTION("""COMPUTED_VALUE"""),"ALEJANDRA SOSA")</f>
        <v>ALEJANDRA SOSA</v>
      </c>
      <c r="D981" s="44" t="str">
        <f>IFERROR(__xludf.DUMMYFUNCTION("""COMPUTED_VALUE"""),"Sin información")</f>
        <v>Sin información</v>
      </c>
      <c r="E981" s="44" t="str">
        <f>IFERROR(__xludf.DUMMYFUNCTION("""COMPUTED_VALUE"""),"62046290")</f>
        <v>62046290</v>
      </c>
      <c r="F981" s="44" t="str">
        <f>IFERROR(__xludf.DUMMYFUNCTION("""COMPUTED_VALUE"""),"")</f>
        <v/>
      </c>
      <c r="G981" s="44" t="str">
        <f>IFERROR(__xludf.DUMMYFUNCTION("""COMPUTED_VALUE""")," ")</f>
        <v> </v>
      </c>
      <c r="H981" s="44" t="str">
        <f>IFERROR(__xludf.DUMMYFUNCTION("""COMPUTED_VALUE"""),"Sin información")</f>
        <v>Sin información</v>
      </c>
      <c r="I981" s="44" t="str">
        <f>IFERROR(__xludf.DUMMYFUNCTION("""COMPUTED_VALUE"""),"Sin información")</f>
        <v>Sin información</v>
      </c>
      <c r="J981" s="44" t="str">
        <f>IFERROR(__xludf.DUMMYFUNCTION("""COMPUTED_VALUE"""),"25/06/2026")</f>
        <v>25/06/2026</v>
      </c>
      <c r="K981" s="42" t="str">
        <f>IFERROR(__xludf.DUMMYFUNCTION("""COMPUTED_VALUE"""),"Hospital Pérez Carreño")</f>
        <v>Hospital Pérez Carreño</v>
      </c>
    </row>
    <row r="982">
      <c r="A982" s="44">
        <v>981.0</v>
      </c>
      <c r="B982" s="44" t="str">
        <f>IFERROR(__xludf.DUMMYFUNCTION("""COMPUTED_VALUE"""),"Hospital Vargas de Caracas")</f>
        <v>Hospital Vargas de Caracas</v>
      </c>
      <c r="C982" s="45" t="str">
        <f>IFERROR(__xludf.DUMMYFUNCTION("""COMPUTED_VALUE"""),"VELEZ JULIAN JOSE")</f>
        <v>VELEZ JULIAN JOSE</v>
      </c>
      <c r="D982" s="44" t="str">
        <f>IFERROR(__xludf.DUMMYFUNCTION("""COMPUTED_VALUE""")," ")</f>
        <v> </v>
      </c>
      <c r="E982" s="44" t="str">
        <f>IFERROR(__xludf.DUMMYFUNCTION("""COMPUTED_VALUE"""),"6207465")</f>
        <v>6207465</v>
      </c>
      <c r="F982" s="44" t="str">
        <f>IFERROR(__xludf.DUMMYFUNCTION("""COMPUTED_VALUE""")," ")</f>
        <v> </v>
      </c>
      <c r="G982" s="44" t="str">
        <f>IFERROR(__xludf.DUMMYFUNCTION("""COMPUTED_VALUE"""),"")</f>
        <v/>
      </c>
      <c r="H982" s="44" t="str">
        <f>IFERROR(__xludf.DUMMYFUNCTION("""COMPUTED_VALUE""")," ")</f>
        <v> </v>
      </c>
      <c r="I982" s="44" t="str">
        <f>IFERROR(__xludf.DUMMYFUNCTION("""COMPUTED_VALUE""")," ")</f>
        <v> </v>
      </c>
      <c r="J982" s="44" t="str">
        <f>IFERROR(__xludf.DUMMYFUNCTION("""COMPUTED_VALUE"""),"")</f>
        <v/>
      </c>
      <c r="K982" s="42" t="str">
        <f>IFERROR(__xludf.DUMMYFUNCTION("""COMPUTED_VALUE"""),"Hospital Vargas de Caracas")</f>
        <v>Hospital Vargas de Caracas</v>
      </c>
    </row>
    <row r="983">
      <c r="A983" s="44">
        <v>982.0</v>
      </c>
      <c r="B983" s="44" t="str">
        <f>IFERROR(__xludf.DUMMYFUNCTION("""COMPUTED_VALUE"""),"H. Jose Maria Vargas LG")</f>
        <v>H. Jose Maria Vargas LG</v>
      </c>
      <c r="C983" s="45" t="str">
        <f>IFERROR(__xludf.DUMMYFUNCTION("""COMPUTED_VALUE"""),"UZCATEGUI JOSE")</f>
        <v>UZCATEGUI JOSE</v>
      </c>
      <c r="D983" s="44" t="str">
        <f>IFERROR(__xludf.DUMMYFUNCTION("""COMPUTED_VALUE""")," ")</f>
        <v> </v>
      </c>
      <c r="E983" s="44" t="str">
        <f>IFERROR(__xludf.DUMMYFUNCTION("""COMPUTED_VALUE"""),"6225765")</f>
        <v>6225765</v>
      </c>
      <c r="F983" s="44" t="str">
        <f>IFERROR(__xludf.DUMMYFUNCTION("""COMPUTED_VALUE"""),"")</f>
        <v/>
      </c>
      <c r="G983" s="44" t="str">
        <f>IFERROR(__xludf.DUMMYFUNCTION("""COMPUTED_VALUE""")," ")</f>
        <v> </v>
      </c>
      <c r="H983" s="44" t="str">
        <f>IFERROR(__xludf.DUMMYFUNCTION("""COMPUTED_VALUE"""),"Los Corales")</f>
        <v>Los Corales</v>
      </c>
      <c r="I983" s="44" t="str">
        <f>IFERROR(__xludf.DUMMYFUNCTION("""COMPUTED_VALUE""")," ")</f>
        <v> </v>
      </c>
      <c r="J983" s="44" t="str">
        <f>IFERROR(__xludf.DUMMYFUNCTION("""COMPUTED_VALUE"""),"")</f>
        <v/>
      </c>
      <c r="K983" s="42" t="str">
        <f>IFERROR(__xludf.DUMMYFUNCTION("""COMPUTED_VALUE"""),"H. Jose Maria Vargas LG")</f>
        <v>H. Jose Maria Vargas LG</v>
      </c>
    </row>
    <row r="984">
      <c r="A984" s="44">
        <v>983.0</v>
      </c>
      <c r="B984" s="44" t="str">
        <f>IFERROR(__xludf.DUMMYFUNCTION("""COMPUTED_VALUE"""),"H. Jose Maria Vargas LG")</f>
        <v>H. Jose Maria Vargas LG</v>
      </c>
      <c r="C984" s="45" t="str">
        <f>IFERROR(__xludf.DUMMYFUNCTION("""COMPUTED_VALUE"""),"DE SALCEDO MARIELA")</f>
        <v>DE SALCEDO MARIELA</v>
      </c>
      <c r="D984" s="44">
        <f>IFERROR(__xludf.DUMMYFUNCTION("""COMPUTED_VALUE"""),65.0)</f>
        <v>65</v>
      </c>
      <c r="E984" s="44" t="str">
        <f>IFERROR(__xludf.DUMMYFUNCTION("""COMPUTED_VALUE"""),"62488422")</f>
        <v>62488422</v>
      </c>
      <c r="F984" s="44" t="str">
        <f>IFERROR(__xludf.DUMMYFUNCTION("""COMPUTED_VALUE"""),"")</f>
        <v/>
      </c>
      <c r="G984" s="44" t="str">
        <f>IFERROR(__xludf.DUMMYFUNCTION("""COMPUTED_VALUE""")," ")</f>
        <v> </v>
      </c>
      <c r="H984" s="44" t="str">
        <f>IFERROR(__xludf.DUMMYFUNCTION("""COMPUTED_VALUE"""),"Los Corales")</f>
        <v>Los Corales</v>
      </c>
      <c r="I984" s="44" t="str">
        <f>IFERROR(__xludf.DUMMYFUNCTION("""COMPUTED_VALUE""")," ")</f>
        <v> </v>
      </c>
      <c r="J984" s="44" t="str">
        <f>IFERROR(__xludf.DUMMYFUNCTION("""COMPUTED_VALUE"""),"")</f>
        <v/>
      </c>
      <c r="K984" s="42" t="str">
        <f>IFERROR(__xludf.DUMMYFUNCTION("""COMPUTED_VALUE"""),"H. Jose Maria Vargas LG")</f>
        <v>H. Jose Maria Vargas LG</v>
      </c>
    </row>
    <row r="985">
      <c r="A985" s="44">
        <v>984.0</v>
      </c>
      <c r="B985" s="44" t="str">
        <f>IFERROR(__xludf.DUMMYFUNCTION("""COMPUTED_VALUE"""),"Hospital Dr. José Gregorio Hern")</f>
        <v>Hospital Dr. José Gregorio Hern</v>
      </c>
      <c r="C985" s="45" t="str">
        <f>IFERROR(__xludf.DUMMYFUNCTION("""COMPUTED_VALUE"""),"INFANTE JAIMES")</f>
        <v>INFANTE JAIMES</v>
      </c>
      <c r="D985" s="44">
        <f>IFERROR(__xludf.DUMMYFUNCTION("""COMPUTED_VALUE"""),59.0)</f>
        <v>59</v>
      </c>
      <c r="E985" s="44" t="str">
        <f>IFERROR(__xludf.DUMMYFUNCTION("""COMPUTED_VALUE"""),"6261045")</f>
        <v>6261045</v>
      </c>
      <c r="F985" s="44" t="str">
        <f>IFERROR(__xludf.DUMMYFUNCTION("""COMPUTED_VALUE"""),"")</f>
        <v/>
      </c>
      <c r="G985" s="44" t="str">
        <f>IFERROR(__xludf.DUMMYFUNCTION("""COMPUTED_VALUE""")," ")</f>
        <v> </v>
      </c>
      <c r="H985" s="44" t="str">
        <f>IFERROR(__xludf.DUMMYFUNCTION("""COMPUTED_VALUE"""),"Catia La Mar")</f>
        <v>Catia La Mar</v>
      </c>
      <c r="I985" s="44" t="str">
        <f>IFERROR(__xludf.DUMMYFUNCTION("""COMPUTED_VALUE""")," ")</f>
        <v> </v>
      </c>
      <c r="J985" s="44" t="str">
        <f>IFERROR(__xludf.DUMMYFUNCTION("""COMPUTED_VALUE"""),"")</f>
        <v/>
      </c>
      <c r="K985" s="42" t="str">
        <f>IFERROR(__xludf.DUMMYFUNCTION("""COMPUTED_VALUE"""),"Hospital Dr. José Gregorio Hern")</f>
        <v>Hospital Dr. José Gregorio Hern</v>
      </c>
    </row>
    <row r="986">
      <c r="A986" s="44">
        <v>985.0</v>
      </c>
      <c r="B986" s="44" t="str">
        <f>IFERROR(__xludf.DUMMYFUNCTION("""COMPUTED_VALUE"""),"Hospital Ana Francisca Pérez de")</f>
        <v>Hospital Ana Francisca Pérez de</v>
      </c>
      <c r="C986" s="45" t="str">
        <f>IFERROR(__xludf.DUMMYFUNCTION("""COMPUTED_VALUE"""),"LOPEZ MARIA CAROLINA")</f>
        <v>LOPEZ MARIA CAROLINA</v>
      </c>
      <c r="D986" s="44">
        <f>IFERROR(__xludf.DUMMYFUNCTION("""COMPUTED_VALUE"""),35.0)</f>
        <v>35</v>
      </c>
      <c r="E986" s="44" t="str">
        <f>IFERROR(__xludf.DUMMYFUNCTION("""COMPUTED_VALUE"""),"6262497")</f>
        <v>6262497</v>
      </c>
      <c r="F986" s="44" t="str">
        <f>IFERROR(__xludf.DUMMYFUNCTION("""COMPUTED_VALUE"""),"")</f>
        <v/>
      </c>
      <c r="G986" s="44" t="str">
        <f>IFERROR(__xludf.DUMMYFUNCTION("""COMPUTED_VALUE""")," ")</f>
        <v> </v>
      </c>
      <c r="H986" s="44" t="str">
        <f>IFERROR(__xludf.DUMMYFUNCTION("""COMPUTED_VALUE"""),"La Guaira")</f>
        <v>La Guaira</v>
      </c>
      <c r="I986" s="44" t="str">
        <f>IFERROR(__xludf.DUMMYFUNCTION("""COMPUTED_VALUE""")," ")</f>
        <v> </v>
      </c>
      <c r="J986" s="44" t="str">
        <f>IFERROR(__xludf.DUMMYFUNCTION("""COMPUTED_VALUE"""),"")</f>
        <v/>
      </c>
      <c r="K986" s="42" t="str">
        <f>IFERROR(__xludf.DUMMYFUNCTION("""COMPUTED_VALUE"""),"Hospital Ana Francisca Pérez de")</f>
        <v>Hospital Ana Francisca Pérez de</v>
      </c>
    </row>
    <row r="987">
      <c r="A987" s="44">
        <v>986.0</v>
      </c>
      <c r="B987" s="44" t="str">
        <f>IFERROR(__xludf.DUMMYFUNCTION("""COMPUTED_VALUE"""),"Hospital Ana Francisca Pérez de")</f>
        <v>Hospital Ana Francisca Pérez de</v>
      </c>
      <c r="C987" s="45" t="str">
        <f>IFERROR(__xludf.DUMMYFUNCTION("""COMPUTED_VALUE"""),"MARIA CAROLINA LOPEZ")</f>
        <v>MARIA CAROLINA LOPEZ</v>
      </c>
      <c r="D987" s="44">
        <f>IFERROR(__xludf.DUMMYFUNCTION("""COMPUTED_VALUE"""),55.0)</f>
        <v>55</v>
      </c>
      <c r="E987" s="44" t="str">
        <f>IFERROR(__xludf.DUMMYFUNCTION("""COMPUTED_VALUE"""),"62637370")</f>
        <v>62637370</v>
      </c>
      <c r="F987" s="44" t="str">
        <f>IFERROR(__xludf.DUMMYFUNCTION("""COMPUTED_VALUE"""),"")</f>
        <v/>
      </c>
      <c r="G987" s="44" t="str">
        <f>IFERROR(__xludf.DUMMYFUNCTION("""COMPUTED_VALUE""")," ")</f>
        <v> </v>
      </c>
      <c r="H987" s="44" t="str">
        <f>IFERROR(__xludf.DUMMYFUNCTION("""COMPUTED_VALUE"""),"La Guaira")</f>
        <v>La Guaira</v>
      </c>
      <c r="I987" s="44" t="str">
        <f>IFERROR(__xludf.DUMMYFUNCTION("""COMPUTED_VALUE""")," ")</f>
        <v> </v>
      </c>
      <c r="J987" s="44" t="str">
        <f>IFERROR(__xludf.DUMMYFUNCTION("""COMPUTED_VALUE"""),"")</f>
        <v/>
      </c>
      <c r="K987" s="42" t="str">
        <f>IFERROR(__xludf.DUMMYFUNCTION("""COMPUTED_VALUE"""),"🔍 BUSCAR PACIENTES")</f>
        <v>🔍 BUSCAR PACIENTES</v>
      </c>
    </row>
    <row r="988">
      <c r="A988" s="44">
        <v>987.0</v>
      </c>
      <c r="B988" s="44" t="str">
        <f>IFERROR(__xludf.DUMMYFUNCTION("""COMPUTED_VALUE"""),"Hospital Militar Dr. C. Arvelo")</f>
        <v>Hospital Militar Dr. C. Arvelo</v>
      </c>
      <c r="C988" s="45" t="str">
        <f>IFERROR(__xludf.DUMMYFUNCTION("""COMPUTED_VALUE"""),"González Ahimar")</f>
        <v>González Ahimar</v>
      </c>
      <c r="D988" s="44">
        <f>IFERROR(__xludf.DUMMYFUNCTION("""COMPUTED_VALUE"""),56.0)</f>
        <v>56</v>
      </c>
      <c r="E988" s="44" t="str">
        <f>IFERROR(__xludf.DUMMYFUNCTION("""COMPUTED_VALUE"""),"6270109")</f>
        <v>6270109</v>
      </c>
      <c r="F988" s="44" t="str">
        <f>IFERROR(__xludf.DUMMYFUNCTION("""COMPUTED_VALUE"""),"")</f>
        <v/>
      </c>
      <c r="G988" s="44" t="str">
        <f>IFERROR(__xludf.DUMMYFUNCTION("""COMPUTED_VALUE"""),"")</f>
        <v/>
      </c>
      <c r="H988" s="44" t="str">
        <f>IFERROR(__xludf.DUMMYFUNCTION("""COMPUTED_VALUE"""),"F")</f>
        <v>F</v>
      </c>
      <c r="I988" s="44" t="str">
        <f>IFERROR(__xludf.DUMMYFUNCTION("""COMPUTED_VALUE"""),"Caracas PNA")</f>
        <v>Caracas PNA</v>
      </c>
      <c r="J988" s="44" t="str">
        <f>IFERROR(__xludf.DUMMYFUNCTION("""COMPUTED_VALUE"""),"24/6/2026")</f>
        <v>24/6/2026</v>
      </c>
      <c r="K988" s="42" t="str">
        <f>IFERROR(__xludf.DUMMYFUNCTION("""COMPUTED_VALUE"""),"Hospital Militar Dr. C. Arvelo")</f>
        <v>Hospital Militar Dr. C. Arvelo</v>
      </c>
    </row>
    <row r="989">
      <c r="A989" s="44">
        <v>988.0</v>
      </c>
      <c r="B989" s="44" t="str">
        <f>IFERROR(__xludf.DUMMYFUNCTION("""COMPUTED_VALUE"""),"Hospital Militar Dr. C. Arvelo")</f>
        <v>Hospital Militar Dr. C. Arvelo</v>
      </c>
      <c r="C989" s="45" t="str">
        <f>IFERROR(__xludf.DUMMYFUNCTION("""COMPUTED_VALUE"""),"García Diana")</f>
        <v>García Diana</v>
      </c>
      <c r="D989" s="44">
        <f>IFERROR(__xludf.DUMMYFUNCTION("""COMPUTED_VALUE"""),59.0)</f>
        <v>59</v>
      </c>
      <c r="E989" s="44" t="str">
        <f>IFERROR(__xludf.DUMMYFUNCTION("""COMPUTED_VALUE"""),"6270588")</f>
        <v>6270588</v>
      </c>
      <c r="F989" s="44" t="str">
        <f>IFERROR(__xludf.DUMMYFUNCTION("""COMPUTED_VALUE"""),"")</f>
        <v/>
      </c>
      <c r="G989" s="44" t="str">
        <f>IFERROR(__xludf.DUMMYFUNCTION("""COMPUTED_VALUE"""),"")</f>
        <v/>
      </c>
      <c r="H989" s="44" t="str">
        <f>IFERROR(__xludf.DUMMYFUNCTION("""COMPUTED_VALUE"""),"F")</f>
        <v>F</v>
      </c>
      <c r="I989" s="44" t="str">
        <f>IFERROR(__xludf.DUMMYFUNCTION("""COMPUTED_VALUE"""),"La Guaira PNA")</f>
        <v>La Guaira PNA</v>
      </c>
      <c r="J989" s="44" t="str">
        <f>IFERROR(__xludf.DUMMYFUNCTION("""COMPUTED_VALUE"""),"24/6/2026")</f>
        <v>24/6/2026</v>
      </c>
      <c r="K989" s="42" t="str">
        <f>IFERROR(__xludf.DUMMYFUNCTION("""COMPUTED_VALUE"""),"Hospital Militar Dr. C. Arvelo")</f>
        <v>Hospital Militar Dr. C. Arvelo</v>
      </c>
    </row>
    <row r="990">
      <c r="A990" s="44">
        <v>989.0</v>
      </c>
      <c r="B990" s="44" t="str">
        <f>IFERROR(__xludf.DUMMYFUNCTION("""COMPUTED_VALUE"""),"Hospital Universitario de Carac")</f>
        <v>Hospital Universitario de Carac</v>
      </c>
      <c r="C990" s="45" t="str">
        <f>IFERROR(__xludf.DUMMYFUNCTION("""COMPUTED_VALUE"""),"MENDOZA MARIO")</f>
        <v>MENDOZA MARIO</v>
      </c>
      <c r="D990" s="44">
        <f>IFERROR(__xludf.DUMMYFUNCTION("""COMPUTED_VALUE"""),73.0)</f>
        <v>73</v>
      </c>
      <c r="E990" s="44" t="str">
        <f>IFERROR(__xludf.DUMMYFUNCTION("""COMPUTED_VALUE"""),"6274191")</f>
        <v>6274191</v>
      </c>
      <c r="F990" s="44" t="str">
        <f>IFERROR(__xludf.DUMMYFUNCTION("""COMPUTED_VALUE"""),"")</f>
        <v/>
      </c>
      <c r="G990" s="44" t="str">
        <f>IFERROR(__xludf.DUMMYFUNCTION("""COMPUTED_VALUE""")," ")</f>
        <v> </v>
      </c>
      <c r="H990" s="44" t="str">
        <f>IFERROR(__xludf.DUMMYFUNCTION("""COMPUTED_VALUE""")," ")</f>
        <v> </v>
      </c>
      <c r="I990" s="44" t="str">
        <f>IFERROR(__xludf.DUMMYFUNCTION("""COMPUTED_VALUE""")," ")</f>
        <v> </v>
      </c>
      <c r="J990" s="44" t="str">
        <f>IFERROR(__xludf.DUMMYFUNCTION("""COMPUTED_VALUE"""),"")</f>
        <v/>
      </c>
      <c r="K990" s="42" t="str">
        <f>IFERROR(__xludf.DUMMYFUNCTION("""COMPUTED_VALUE"""),"Hospital Universitario de Carac")</f>
        <v>Hospital Universitario de Carac</v>
      </c>
    </row>
    <row r="991">
      <c r="A991" s="44">
        <v>990.0</v>
      </c>
      <c r="B991" s="44" t="str">
        <f>IFERROR(__xludf.DUMMYFUNCTION("""COMPUTED_VALUE"""),"Hospital Militar Dr. C. Arvelo")</f>
        <v>Hospital Militar Dr. C. Arvelo</v>
      </c>
      <c r="C991" s="45" t="str">
        <f>IFERROR(__xludf.DUMMYFUNCTION("""COMPUTED_VALUE"""),"Montilla Zelaya Herrera")</f>
        <v>Montilla Zelaya Herrera</v>
      </c>
      <c r="D991" s="44">
        <f>IFERROR(__xludf.DUMMYFUNCTION("""COMPUTED_VALUE"""),54.0)</f>
        <v>54</v>
      </c>
      <c r="E991" s="44" t="str">
        <f>IFERROR(__xludf.DUMMYFUNCTION("""COMPUTED_VALUE"""),"6285593")</f>
        <v>6285593</v>
      </c>
      <c r="F991" s="44" t="str">
        <f>IFERROR(__xludf.DUMMYFUNCTION("""COMPUTED_VALUE"""),"")</f>
        <v/>
      </c>
      <c r="G991" s="44" t="str">
        <f>IFERROR(__xludf.DUMMYFUNCTION("""COMPUTED_VALUE"""),"")</f>
        <v/>
      </c>
      <c r="H991" s="44" t="str">
        <f>IFERROR(__xludf.DUMMYFUNCTION("""COMPUTED_VALUE"""),"F")</f>
        <v>F</v>
      </c>
      <c r="I991" s="44" t="str">
        <f>IFERROR(__xludf.DUMMYFUNCTION("""COMPUTED_VALUE"""),"San Martín PNA")</f>
        <v>San Martín PNA</v>
      </c>
      <c r="J991" s="44" t="str">
        <f>IFERROR(__xludf.DUMMYFUNCTION("""COMPUTED_VALUE"""),"24/6/2026")</f>
        <v>24/6/2026</v>
      </c>
      <c r="K991" s="42" t="str">
        <f>IFERROR(__xludf.DUMMYFUNCTION("""COMPUTED_VALUE"""),"Hospital Militar Dr. C. Arvelo")</f>
        <v>Hospital Militar Dr. C. Arvelo</v>
      </c>
    </row>
    <row r="992">
      <c r="A992" s="44">
        <v>991.0</v>
      </c>
      <c r="B992" s="44" t="str">
        <f>IFERROR(__xludf.DUMMYFUNCTION("""COMPUTED_VALUE"""),"Hospital Vargas de Caracas")</f>
        <v>Hospital Vargas de Caracas</v>
      </c>
      <c r="C992" s="45" t="str">
        <f>IFERROR(__xludf.DUMMYFUNCTION("""COMPUTED_VALUE"""),"CRUZ CARMEN")</f>
        <v>CRUZ CARMEN</v>
      </c>
      <c r="D992" s="44" t="str">
        <f>IFERROR(__xludf.DUMMYFUNCTION("""COMPUTED_VALUE""")," ")</f>
        <v> </v>
      </c>
      <c r="E992" s="44" t="str">
        <f>IFERROR(__xludf.DUMMYFUNCTION("""COMPUTED_VALUE"""),"6325140")</f>
        <v>6325140</v>
      </c>
      <c r="F992" s="44" t="str">
        <f>IFERROR(__xludf.DUMMYFUNCTION("""COMPUTED_VALUE""")," ")</f>
        <v> </v>
      </c>
      <c r="G992" s="44" t="str">
        <f>IFERROR(__xludf.DUMMYFUNCTION("""COMPUTED_VALUE"""),"")</f>
        <v/>
      </c>
      <c r="H992" s="44" t="str">
        <f>IFERROR(__xludf.DUMMYFUNCTION("""COMPUTED_VALUE""")," ")</f>
        <v> </v>
      </c>
      <c r="I992" s="44" t="str">
        <f>IFERROR(__xludf.DUMMYFUNCTION("""COMPUTED_VALUE""")," ")</f>
        <v> </v>
      </c>
      <c r="J992" s="44" t="str">
        <f>IFERROR(__xludf.DUMMYFUNCTION("""COMPUTED_VALUE"""),"")</f>
        <v/>
      </c>
      <c r="K992" s="42" t="str">
        <f>IFERROR(__xludf.DUMMYFUNCTION("""COMPUTED_VALUE"""),"Hospital Vargas de Caracas")</f>
        <v>Hospital Vargas de Caracas</v>
      </c>
    </row>
    <row r="993">
      <c r="A993" s="44">
        <v>992.0</v>
      </c>
      <c r="B993" s="44" t="str">
        <f>IFERROR(__xludf.DUMMYFUNCTION("""COMPUTED_VALUE"""),"Hospital Militar Dr. C. Arvelo")</f>
        <v>Hospital Militar Dr. C. Arvelo</v>
      </c>
      <c r="C993" s="45" t="str">
        <f>IFERROR(__xludf.DUMMYFUNCTION("""COMPUTED_VALUE"""),"Durán Aura")</f>
        <v>Durán Aura</v>
      </c>
      <c r="D993" s="44">
        <f>IFERROR(__xludf.DUMMYFUNCTION("""COMPUTED_VALUE"""),68.0)</f>
        <v>68</v>
      </c>
      <c r="E993" s="44" t="str">
        <f>IFERROR(__xludf.DUMMYFUNCTION("""COMPUTED_VALUE"""),"6330439")</f>
        <v>6330439</v>
      </c>
      <c r="F993" s="44" t="str">
        <f>IFERROR(__xludf.DUMMYFUNCTION("""COMPUTED_VALUE"""),"")</f>
        <v/>
      </c>
      <c r="G993" s="44" t="str">
        <f>IFERROR(__xludf.DUMMYFUNCTION("""COMPUTED_VALUE"""),"")</f>
        <v/>
      </c>
      <c r="H993" s="44" t="str">
        <f>IFERROR(__xludf.DUMMYFUNCTION("""COMPUTED_VALUE"""),"F")</f>
        <v>F</v>
      </c>
      <c r="I993" s="44" t="str">
        <f>IFERROR(__xludf.DUMMYFUNCTION("""COMPUTED_VALUE"""),"Los Teques PNA")</f>
        <v>Los Teques PNA</v>
      </c>
      <c r="J993" s="44" t="str">
        <f>IFERROR(__xludf.DUMMYFUNCTION("""COMPUTED_VALUE"""),"24/6/2026")</f>
        <v>24/6/2026</v>
      </c>
      <c r="K993" s="42" t="str">
        <f>IFERROR(__xludf.DUMMYFUNCTION("""COMPUTED_VALUE"""),"Hospital Militar Dr. C. Arvelo")</f>
        <v>Hospital Militar Dr. C. Arvelo</v>
      </c>
    </row>
    <row r="994">
      <c r="A994" s="44">
        <v>993.0</v>
      </c>
      <c r="B994" s="44" t="str">
        <f>IFERROR(__xludf.DUMMYFUNCTION("""COMPUTED_VALUE"""),"H. Jose Maria Vargas LG")</f>
        <v>H. Jose Maria Vargas LG</v>
      </c>
      <c r="C994" s="45" t="str">
        <f>IFERROR(__xludf.DUMMYFUNCTION("""COMPUTED_VALUE"""),"BLANCO CARMEN")</f>
        <v>BLANCO CARMEN</v>
      </c>
      <c r="D994" s="44" t="str">
        <f>IFERROR(__xludf.DUMMYFUNCTION("""COMPUTED_VALUE""")," ")</f>
        <v> </v>
      </c>
      <c r="E994" s="44" t="str">
        <f>IFERROR(__xludf.DUMMYFUNCTION("""COMPUTED_VALUE"""),"6331767")</f>
        <v>6331767</v>
      </c>
      <c r="F994" s="44" t="str">
        <f>IFERROR(__xludf.DUMMYFUNCTION("""COMPUTED_VALUE"""),"")</f>
        <v/>
      </c>
      <c r="G994" s="44" t="str">
        <f>IFERROR(__xludf.DUMMYFUNCTION("""COMPUTED_VALUE""")," ")</f>
        <v> </v>
      </c>
      <c r="H994" s="44" t="str">
        <f>IFERROR(__xludf.DUMMYFUNCTION("""COMPUTED_VALUE"""),"Playa Grande")</f>
        <v>Playa Grande</v>
      </c>
      <c r="I994" s="44" t="str">
        <f>IFERROR(__xludf.DUMMYFUNCTION("""COMPUTED_VALUE""")," ")</f>
        <v> </v>
      </c>
      <c r="J994" s="44" t="str">
        <f>IFERROR(__xludf.DUMMYFUNCTION("""COMPUTED_VALUE"""),"")</f>
        <v/>
      </c>
      <c r="K994" s="42" t="str">
        <f>IFERROR(__xludf.DUMMYFUNCTION("""COMPUTED_VALUE"""),"H. Jose Maria Vargas LG")</f>
        <v>H. Jose Maria Vargas LG</v>
      </c>
    </row>
    <row r="995">
      <c r="A995" s="44">
        <v>994.0</v>
      </c>
      <c r="B995" s="44" t="str">
        <f>IFERROR(__xludf.DUMMYFUNCTION("""COMPUTED_VALUE"""),"Seguro Social La Guaira")</f>
        <v>Seguro Social La Guaira</v>
      </c>
      <c r="C995" s="45" t="str">
        <f>IFERROR(__xludf.DUMMYFUNCTION("""COMPUTED_VALUE"""),"CARMEN BLANCO")</f>
        <v>CARMEN BLANCO</v>
      </c>
      <c r="D995" s="44" t="str">
        <f>IFERROR(__xludf.DUMMYFUNCTION("""COMPUTED_VALUE""")," ")</f>
        <v> </v>
      </c>
      <c r="E995" s="44" t="str">
        <f>IFERROR(__xludf.DUMMYFUNCTION("""COMPUTED_VALUE"""),"63317670")</f>
        <v>63317670</v>
      </c>
      <c r="F995" s="44" t="str">
        <f>IFERROR(__xludf.DUMMYFUNCTION("""COMPUTED_VALUE"""),"")</f>
        <v/>
      </c>
      <c r="G995" s="44" t="str">
        <f>IFERROR(__xludf.DUMMYFUNCTION("""COMPUTED_VALUE""")," ")</f>
        <v> </v>
      </c>
      <c r="H995" s="44" t="str">
        <f>IFERROR(__xludf.DUMMYFUNCTION("""COMPUTED_VALUE"""),"Playa Grande")</f>
        <v>Playa Grande</v>
      </c>
      <c r="I995" s="44" t="str">
        <f>IFERROR(__xludf.DUMMYFUNCTION("""COMPUTED_VALUE""")," ")</f>
        <v> </v>
      </c>
      <c r="J995" s="44" t="str">
        <f>IFERROR(__xludf.DUMMYFUNCTION("""COMPUTED_VALUE"""),"")</f>
        <v/>
      </c>
      <c r="K995" s="42" t="str">
        <f>IFERROR(__xludf.DUMMYFUNCTION("""COMPUTED_VALUE"""),"Seguro Social La Guaira")</f>
        <v>Seguro Social La Guaira</v>
      </c>
    </row>
    <row r="996">
      <c r="A996" s="44">
        <v>995.0</v>
      </c>
      <c r="B996" s="44" t="str">
        <f>IFERROR(__xludf.DUMMYFUNCTION("""COMPUTED_VALUE"""),"H. Jose Maria Vargas LG")</f>
        <v>H. Jose Maria Vargas LG</v>
      </c>
      <c r="C996" s="45" t="str">
        <f>IFERROR(__xludf.DUMMYFUNCTION("""COMPUTED_VALUE"""),"CARRASQUEL SANTIAGO")</f>
        <v>CARRASQUEL SANTIAGO</v>
      </c>
      <c r="D996" s="44" t="str">
        <f>IFERROR(__xludf.DUMMYFUNCTION("""COMPUTED_VALUE""")," ")</f>
        <v> </v>
      </c>
      <c r="E996" s="44" t="str">
        <f>IFERROR(__xludf.DUMMYFUNCTION("""COMPUTED_VALUE"""),"63337677")</f>
        <v>63337677</v>
      </c>
      <c r="F996" s="44" t="str">
        <f>IFERROR(__xludf.DUMMYFUNCTION("""COMPUTED_VALUE"""),"")</f>
        <v/>
      </c>
      <c r="G996" s="44" t="str">
        <f>IFERROR(__xludf.DUMMYFUNCTION("""COMPUTED_VALUE""")," ")</f>
        <v> </v>
      </c>
      <c r="H996" s="44" t="str">
        <f>IFERROR(__xludf.DUMMYFUNCTION("""COMPUTED_VALUE"""),"Los Corales")</f>
        <v>Los Corales</v>
      </c>
      <c r="I996" s="44" t="str">
        <f>IFERROR(__xludf.DUMMYFUNCTION("""COMPUTED_VALUE""")," ")</f>
        <v> </v>
      </c>
      <c r="J996" s="44" t="str">
        <f>IFERROR(__xludf.DUMMYFUNCTION("""COMPUTED_VALUE"""),"")</f>
        <v/>
      </c>
      <c r="K996" s="42" t="str">
        <f>IFERROR(__xludf.DUMMYFUNCTION("""COMPUTED_VALUE"""),"H. Jose Maria Vargas LG")</f>
        <v>H. Jose Maria Vargas LG</v>
      </c>
    </row>
    <row r="997">
      <c r="A997" s="44">
        <v>996.0</v>
      </c>
      <c r="B997" s="44" t="str">
        <f>IFERROR(__xludf.DUMMYFUNCTION("""COMPUTED_VALUE"""),"Periférico de Catia")</f>
        <v>Periférico de Catia</v>
      </c>
      <c r="C997" s="45" t="str">
        <f>IFERROR(__xludf.DUMMYFUNCTION("""COMPUTED_VALUE"""),"CORTEZ YORIMAR")</f>
        <v>CORTEZ YORIMAR</v>
      </c>
      <c r="D997" s="44">
        <f>IFERROR(__xludf.DUMMYFUNCTION("""COMPUTED_VALUE"""),58.0)</f>
        <v>58</v>
      </c>
      <c r="E997" s="44" t="str">
        <f>IFERROR(__xludf.DUMMYFUNCTION("""COMPUTED_VALUE"""),"6340991")</f>
        <v>6340991</v>
      </c>
      <c r="F997" s="44" t="str">
        <f>IFERROR(__xludf.DUMMYFUNCTION("""COMPUTED_VALUE"""),"")</f>
        <v/>
      </c>
      <c r="G997" s="44" t="str">
        <f>IFERROR(__xludf.DUMMYFUNCTION("""COMPUTED_VALUE""")," ")</f>
        <v> </v>
      </c>
      <c r="H997" s="44" t="str">
        <f>IFERROR(__xludf.DUMMYFUNCTION("""COMPUTED_VALUE""")," ")</f>
        <v> </v>
      </c>
      <c r="I997" s="44" t="str">
        <f>IFERROR(__xludf.DUMMYFUNCTION("""COMPUTED_VALUE"""),"Cirugía/Trauma")</f>
        <v>Cirugía/Trauma</v>
      </c>
      <c r="J997" s="44" t="str">
        <f>IFERROR(__xludf.DUMMYFUNCTION("""COMPUTED_VALUE"""),"")</f>
        <v/>
      </c>
      <c r="K997" s="42" t="str">
        <f>IFERROR(__xludf.DUMMYFUNCTION("""COMPUTED_VALUE"""),"Periférico de Catia")</f>
        <v>Periférico de Catia</v>
      </c>
    </row>
    <row r="998">
      <c r="A998" s="44">
        <v>997.0</v>
      </c>
      <c r="B998" s="44" t="str">
        <f>IFERROR(__xludf.DUMMYFUNCTION("""COMPUTED_VALUE"""),"Periférico de Catia")</f>
        <v>Periférico de Catia</v>
      </c>
      <c r="C998" s="45" t="str">
        <f>IFERROR(__xludf.DUMMYFUNCTION("""COMPUTED_VALUE"""),"YORIMAR CORTEZ")</f>
        <v>YORIMAR CORTEZ</v>
      </c>
      <c r="D998" s="44">
        <f>IFERROR(__xludf.DUMMYFUNCTION("""COMPUTED_VALUE"""),58.0)</f>
        <v>58</v>
      </c>
      <c r="E998" s="44" t="str">
        <f>IFERROR(__xludf.DUMMYFUNCTION("""COMPUTED_VALUE"""),"63409910")</f>
        <v>63409910</v>
      </c>
      <c r="F998" s="44" t="str">
        <f>IFERROR(__xludf.DUMMYFUNCTION("""COMPUTED_VALUE"""),"")</f>
        <v/>
      </c>
      <c r="G998" s="44" t="str">
        <f>IFERROR(__xludf.DUMMYFUNCTION("""COMPUTED_VALUE""")," ")</f>
        <v> </v>
      </c>
      <c r="H998" s="44" t="str">
        <f>IFERROR(__xludf.DUMMYFUNCTION("""COMPUTED_VALUE"""),"Sin información")</f>
        <v>Sin información</v>
      </c>
      <c r="I998" s="44" t="str">
        <f>IFERROR(__xludf.DUMMYFUNCTION("""COMPUTED_VALUE"""),"Cirugía General")</f>
        <v>Cirugía General</v>
      </c>
      <c r="J998" s="44" t="str">
        <f>IFERROR(__xludf.DUMMYFUNCTION("""COMPUTED_VALUE"""),"")</f>
        <v/>
      </c>
      <c r="K998" s="42" t="str">
        <f>IFERROR(__xludf.DUMMYFUNCTION("""COMPUTED_VALUE"""),"Periférico de Catia")</f>
        <v>Periférico de Catia</v>
      </c>
    </row>
    <row r="999">
      <c r="A999" s="44">
        <v>998.0</v>
      </c>
      <c r="B999" s="44" t="str">
        <f>IFERROR(__xludf.DUMMYFUNCTION("""COMPUTED_VALUE"""),"Hospital Vargas de Caracas")</f>
        <v>Hospital Vargas de Caracas</v>
      </c>
      <c r="C999" s="45" t="str">
        <f>IFERROR(__xludf.DUMMYFUNCTION("""COMPUTED_VALUE"""),"AVELLANO SINDIA")</f>
        <v>AVELLANO SINDIA</v>
      </c>
      <c r="D999" s="44" t="str">
        <f>IFERROR(__xludf.DUMMYFUNCTION("""COMPUTED_VALUE""")," ")</f>
        <v> </v>
      </c>
      <c r="E999" s="44" t="str">
        <f>IFERROR(__xludf.DUMMYFUNCTION("""COMPUTED_VALUE"""),"6349850")</f>
        <v>6349850</v>
      </c>
      <c r="F999" s="44" t="str">
        <f>IFERROR(__xludf.DUMMYFUNCTION("""COMPUTED_VALUE""")," ")</f>
        <v> </v>
      </c>
      <c r="G999" s="44" t="str">
        <f>IFERROR(__xludf.DUMMYFUNCTION("""COMPUTED_VALUE"""),"")</f>
        <v/>
      </c>
      <c r="H999" s="44" t="str">
        <f>IFERROR(__xludf.DUMMYFUNCTION("""COMPUTED_VALUE""")," ")</f>
        <v> </v>
      </c>
      <c r="I999" s="44" t="str">
        <f>IFERROR(__xludf.DUMMYFUNCTION("""COMPUTED_VALUE""")," ")</f>
        <v> </v>
      </c>
      <c r="J999" s="44" t="str">
        <f>IFERROR(__xludf.DUMMYFUNCTION("""COMPUTED_VALUE"""),"")</f>
        <v/>
      </c>
      <c r="K999" s="42" t="str">
        <f>IFERROR(__xludf.DUMMYFUNCTION("""COMPUTED_VALUE"""),"Hospital Vargas de Caracas")</f>
        <v>Hospital Vargas de Caracas</v>
      </c>
    </row>
    <row r="1000">
      <c r="A1000" s="44">
        <v>999.0</v>
      </c>
      <c r="B1000" s="44" t="str">
        <f>IFERROR(__xludf.DUMMYFUNCTION("""COMPUTED_VALUE"""),"Hospital Pérez Carreño")</f>
        <v>Hospital Pérez Carreño</v>
      </c>
      <c r="C1000" s="45" t="str">
        <f>IFERROR(__xludf.DUMMYFUNCTION("""COMPUTED_VALUE"""),"PAREZZO CAIADA")</f>
        <v>PAREZZO CAIADA</v>
      </c>
      <c r="D1000" s="44" t="str">
        <f>IFERROR(__xludf.DUMMYFUNCTION("""COMPUTED_VALUE""")," ")</f>
        <v> </v>
      </c>
      <c r="E1000" s="44" t="str">
        <f>IFERROR(__xludf.DUMMYFUNCTION("""COMPUTED_VALUE"""),"6405488")</f>
        <v>6405488</v>
      </c>
      <c r="F1000" s="44" t="str">
        <f>IFERROR(__xludf.DUMMYFUNCTION("""COMPUTED_VALUE"""),"")</f>
        <v/>
      </c>
      <c r="G1000" s="44" t="str">
        <f>IFERROR(__xludf.DUMMYFUNCTION("""COMPUTED_VALUE""")," ")</f>
        <v> </v>
      </c>
      <c r="H1000" s="44" t="str">
        <f>IFERROR(__xludf.DUMMYFUNCTION("""COMPUTED_VALUE""")," ")</f>
        <v> </v>
      </c>
      <c r="I1000" s="44" t="str">
        <f>IFERROR(__xludf.DUMMYFUNCTION("""COMPUTED_VALUE""")," ")</f>
        <v> </v>
      </c>
      <c r="J1000" s="44" t="str">
        <f>IFERROR(__xludf.DUMMYFUNCTION("""COMPUTED_VALUE"""),"25/06/2026")</f>
        <v>25/06/2026</v>
      </c>
      <c r="K1000" s="42" t="str">
        <f>IFERROR(__xludf.DUMMYFUNCTION("""COMPUTED_VALUE"""),"Hospital Pérez Carreño")</f>
        <v>Hospital Pérez Carreño</v>
      </c>
    </row>
    <row r="1001">
      <c r="A1001" s="44">
        <v>1000.0</v>
      </c>
      <c r="B1001" s="44" t="str">
        <f>IFERROR(__xludf.DUMMYFUNCTION("""COMPUTED_VALUE"""),"Hospital Pérez Carreño")</f>
        <v>Hospital Pérez Carreño</v>
      </c>
      <c r="C1001" s="45" t="str">
        <f>IFERROR(__xludf.DUMMYFUNCTION("""COMPUTED_VALUE"""),"CRUZCENAIDA PAREDEZ")</f>
        <v>CRUZCENAIDA PAREDEZ</v>
      </c>
      <c r="D1001" s="44" t="str">
        <f>IFERROR(__xludf.DUMMYFUNCTION("""COMPUTED_VALUE""")," ")</f>
        <v> </v>
      </c>
      <c r="E1001" s="44" t="str">
        <f>IFERROR(__xludf.DUMMYFUNCTION("""COMPUTED_VALUE"""),"64054880")</f>
        <v>64054880</v>
      </c>
      <c r="F1001" s="44" t="str">
        <f>IFERROR(__xludf.DUMMYFUNCTION("""COMPUTED_VALUE"""),"")</f>
        <v/>
      </c>
      <c r="G1001" s="44" t="str">
        <f>IFERROR(__xludf.DUMMYFUNCTION("""COMPUTED_VALUE""")," ")</f>
        <v> </v>
      </c>
      <c r="H1001" s="44" t="str">
        <f>IFERROR(__xludf.DUMMYFUNCTION("""COMPUTED_VALUE""")," ")</f>
        <v> </v>
      </c>
      <c r="I1001" s="44" t="str">
        <f>IFERROR(__xludf.DUMMYFUNCTION("""COMPUTED_VALUE""")," ")</f>
        <v> </v>
      </c>
      <c r="J1001" s="44" t="str">
        <f>IFERROR(__xludf.DUMMYFUNCTION("""COMPUTED_VALUE"""),"25/06/2026")</f>
        <v>25/06/2026</v>
      </c>
      <c r="K1001" s="42" t="str">
        <f>IFERROR(__xludf.DUMMYFUNCTION("""COMPUTED_VALUE"""),"Hospital Pérez Carreño")</f>
        <v>Hospital Pérez Carreño</v>
      </c>
    </row>
    <row r="1002">
      <c r="A1002" s="44">
        <v>1001.0</v>
      </c>
      <c r="B1002" s="44" t="str">
        <f>IFERROR(__xludf.DUMMYFUNCTION("""COMPUTED_VALUE"""),"Periférico de Catia")</f>
        <v>Periférico de Catia</v>
      </c>
      <c r="C1002" s="45" t="str">
        <f>IFERROR(__xludf.DUMMYFUNCTION("""COMPUTED_VALUE"""),"JAIMEZ RUBEN DARIO")</f>
        <v>JAIMEZ RUBEN DARIO</v>
      </c>
      <c r="D1002" s="44">
        <f>IFERROR(__xludf.DUMMYFUNCTION("""COMPUTED_VALUE"""),74.0)</f>
        <v>74</v>
      </c>
      <c r="E1002" s="44" t="str">
        <f>IFERROR(__xludf.DUMMYFUNCTION("""COMPUTED_VALUE"""),"6433372")</f>
        <v>6433372</v>
      </c>
      <c r="F1002" s="44" t="str">
        <f>IFERROR(__xludf.DUMMYFUNCTION("""COMPUTED_VALUE"""),"")</f>
        <v/>
      </c>
      <c r="G1002" s="44" t="str">
        <f>IFERROR(__xludf.DUMMYFUNCTION("""COMPUTED_VALUE""")," ")</f>
        <v> </v>
      </c>
      <c r="H1002" s="44" t="str">
        <f>IFERROR(__xludf.DUMMYFUNCTION("""COMPUTED_VALUE""")," ")</f>
        <v> </v>
      </c>
      <c r="I1002" s="44" t="str">
        <f>IFERROR(__xludf.DUMMYFUNCTION("""COMPUTED_VALUE"""),"Cirugía General")</f>
        <v>Cirugía General</v>
      </c>
      <c r="J1002" s="44" t="str">
        <f>IFERROR(__xludf.DUMMYFUNCTION("""COMPUTED_VALUE"""),"")</f>
        <v/>
      </c>
      <c r="K1002" s="42" t="str">
        <f>IFERROR(__xludf.DUMMYFUNCTION("""COMPUTED_VALUE"""),"Periférico de Catia")</f>
        <v>Periférico de Catia</v>
      </c>
    </row>
    <row r="1003">
      <c r="A1003" s="44">
        <v>1002.0</v>
      </c>
      <c r="B1003" s="44" t="str">
        <f>IFERROR(__xludf.DUMMYFUNCTION("""COMPUTED_VALUE"""),"Periférico de Catia")</f>
        <v>Periférico de Catia</v>
      </c>
      <c r="C1003" s="45" t="str">
        <f>IFERROR(__xludf.DUMMYFUNCTION("""COMPUTED_VALUE"""),"RUBÉN DARIO GIMÉNEZ")</f>
        <v>RUBÉN DARIO GIMÉNEZ</v>
      </c>
      <c r="D1003" s="44">
        <f>IFERROR(__xludf.DUMMYFUNCTION("""COMPUTED_VALUE"""),64.0)</f>
        <v>64</v>
      </c>
      <c r="E1003" s="44" t="str">
        <f>IFERROR(__xludf.DUMMYFUNCTION("""COMPUTED_VALUE"""),"64333720")</f>
        <v>64333720</v>
      </c>
      <c r="F1003" s="44" t="str">
        <f>IFERROR(__xludf.DUMMYFUNCTION("""COMPUTED_VALUE"""),"")</f>
        <v/>
      </c>
      <c r="G1003" s="44" t="str">
        <f>IFERROR(__xludf.DUMMYFUNCTION("""COMPUTED_VALUE""")," ")</f>
        <v> </v>
      </c>
      <c r="H1003" s="44" t="str">
        <f>IFERROR(__xludf.DUMMYFUNCTION("""COMPUTED_VALUE"""),"Sin información")</f>
        <v>Sin información</v>
      </c>
      <c r="I1003" s="44" t="str">
        <f>IFERROR(__xludf.DUMMYFUNCTION("""COMPUTED_VALUE"""),"Cirugía General")</f>
        <v>Cirugía General</v>
      </c>
      <c r="J1003" s="44" t="str">
        <f>IFERROR(__xludf.DUMMYFUNCTION("""COMPUTED_VALUE"""),"")</f>
        <v/>
      </c>
      <c r="K1003" s="42" t="str">
        <f>IFERROR(__xludf.DUMMYFUNCTION("""COMPUTED_VALUE"""),"Periférico de Catia")</f>
        <v>Periférico de Catia</v>
      </c>
    </row>
    <row r="1004">
      <c r="A1004" s="44">
        <v>1003.0</v>
      </c>
      <c r="B1004" s="44" t="str">
        <f>IFERROR(__xludf.DUMMYFUNCTION("""COMPUTED_VALUE"""),"Seguro Social La Guaira")</f>
        <v>Seguro Social La Guaira</v>
      </c>
      <c r="C1004" s="45" t="str">
        <f>IFERROR(__xludf.DUMMYFUNCTION("""COMPUTED_VALUE"""),"MARIELA DE SICARDO")</f>
        <v>MARIELA DE SICARDO</v>
      </c>
      <c r="D1004" s="44">
        <f>IFERROR(__xludf.DUMMYFUNCTION("""COMPUTED_VALUE"""),65.0)</f>
        <v>65</v>
      </c>
      <c r="E1004" s="44" t="str">
        <f>IFERROR(__xludf.DUMMYFUNCTION("""COMPUTED_VALUE"""),"64484220")</f>
        <v>64484220</v>
      </c>
      <c r="F1004" s="44" t="str">
        <f>IFERROR(__xludf.DUMMYFUNCTION("""COMPUTED_VALUE"""),"")</f>
        <v/>
      </c>
      <c r="G1004" s="44" t="str">
        <f>IFERROR(__xludf.DUMMYFUNCTION("""COMPUTED_VALUE""")," ")</f>
        <v> </v>
      </c>
      <c r="H1004" s="44" t="str">
        <f>IFERROR(__xludf.DUMMYFUNCTION("""COMPUTED_VALUE"""),"Corales")</f>
        <v>Corales</v>
      </c>
      <c r="I1004" s="44" t="str">
        <f>IFERROR(__xludf.DUMMYFUNCTION("""COMPUTED_VALUE""")," ")</f>
        <v> </v>
      </c>
      <c r="J1004" s="44" t="str">
        <f>IFERROR(__xludf.DUMMYFUNCTION("""COMPUTED_VALUE"""),"")</f>
        <v/>
      </c>
      <c r="K1004" s="42" t="str">
        <f>IFERROR(__xludf.DUMMYFUNCTION("""COMPUTED_VALUE"""),"Seguro Social La Guaira")</f>
        <v>Seguro Social La Guaira</v>
      </c>
    </row>
    <row r="1005">
      <c r="A1005" s="44">
        <v>1004.0</v>
      </c>
      <c r="B1005" s="44" t="str">
        <f>IFERROR(__xludf.DUMMYFUNCTION("""COMPUTED_VALUE"""),"Hospital Pérez Carreño")</f>
        <v>Hospital Pérez Carreño</v>
      </c>
      <c r="C1005" s="45" t="str">
        <f>IFERROR(__xludf.DUMMYFUNCTION("""COMPUTED_VALUE"""),"PALMA YOSE")</f>
        <v>PALMA YOSE</v>
      </c>
      <c r="D1005" s="44" t="str">
        <f>IFERROR(__xludf.DUMMYFUNCTION("""COMPUTED_VALUE""")," ")</f>
        <v> </v>
      </c>
      <c r="E1005" s="44" t="str">
        <f>IFERROR(__xludf.DUMMYFUNCTION("""COMPUTED_VALUE"""),"64488239")</f>
        <v>64488239</v>
      </c>
      <c r="F1005" s="44" t="str">
        <f>IFERROR(__xludf.DUMMYFUNCTION("""COMPUTED_VALUE"""),"")</f>
        <v/>
      </c>
      <c r="G1005" s="44" t="str">
        <f>IFERROR(__xludf.DUMMYFUNCTION("""COMPUTED_VALUE""")," ")</f>
        <v> </v>
      </c>
      <c r="H1005" s="44" t="str">
        <f>IFERROR(__xludf.DUMMYFUNCTION("""COMPUTED_VALUE""")," ")</f>
        <v> </v>
      </c>
      <c r="I1005" s="44" t="str">
        <f>IFERROR(__xludf.DUMMYFUNCTION("""COMPUTED_VALUE""")," ")</f>
        <v> </v>
      </c>
      <c r="J1005" s="44" t="str">
        <f>IFERROR(__xludf.DUMMYFUNCTION("""COMPUTED_VALUE"""),"25/06/2026")</f>
        <v>25/06/2026</v>
      </c>
      <c r="K1005" s="42" t="str">
        <f>IFERROR(__xludf.DUMMYFUNCTION("""COMPUTED_VALUE"""),"Hospital Pérez Carreño")</f>
        <v>Hospital Pérez Carreño</v>
      </c>
    </row>
    <row r="1006">
      <c r="A1006" s="44">
        <v>1005.0</v>
      </c>
      <c r="B1006" s="44" t="str">
        <f>IFERROR(__xludf.DUMMYFUNCTION("""COMPUTED_VALUE"""),"Hospital Pérez Carreño")</f>
        <v>Hospital Pérez Carreño</v>
      </c>
      <c r="C1006" s="45" t="str">
        <f>IFERROR(__xludf.DUMMYFUNCTION("""COMPUTED_VALUE"""),"YOSE PALMA")</f>
        <v>YOSE PALMA</v>
      </c>
      <c r="D1006" s="44" t="str">
        <f>IFERROR(__xludf.DUMMYFUNCTION("""COMPUTED_VALUE"""),"Sin información")</f>
        <v>Sin información</v>
      </c>
      <c r="E1006" s="44" t="str">
        <f>IFERROR(__xludf.DUMMYFUNCTION("""COMPUTED_VALUE"""),"644882390")</f>
        <v>644882390</v>
      </c>
      <c r="F1006" s="44" t="str">
        <f>IFERROR(__xludf.DUMMYFUNCTION("""COMPUTED_VALUE"""),"")</f>
        <v/>
      </c>
      <c r="G1006" s="44" t="str">
        <f>IFERROR(__xludf.DUMMYFUNCTION("""COMPUTED_VALUE""")," ")</f>
        <v> </v>
      </c>
      <c r="H1006" s="44" t="str">
        <f>IFERROR(__xludf.DUMMYFUNCTION("""COMPUTED_VALUE"""),"Sin información")</f>
        <v>Sin información</v>
      </c>
      <c r="I1006" s="44" t="str">
        <f>IFERROR(__xludf.DUMMYFUNCTION("""COMPUTED_VALUE"""),"Sin información")</f>
        <v>Sin información</v>
      </c>
      <c r="J1006" s="44" t="str">
        <f>IFERROR(__xludf.DUMMYFUNCTION("""COMPUTED_VALUE"""),"25/06/2026")</f>
        <v>25/06/2026</v>
      </c>
      <c r="K1006" s="42" t="str">
        <f>IFERROR(__xludf.DUMMYFUNCTION("""COMPUTED_VALUE"""),"Hospital Pérez Carreño")</f>
        <v>Hospital Pérez Carreño</v>
      </c>
    </row>
    <row r="1007">
      <c r="A1007" s="44">
        <v>1006.0</v>
      </c>
      <c r="B1007" s="44" t="str">
        <f>IFERROR(__xludf.DUMMYFUNCTION("""COMPUTED_VALUE"""),"Hospital Pérez Carreño")</f>
        <v>Hospital Pérez Carreño</v>
      </c>
      <c r="C1007" s="45" t="str">
        <f>IFERROR(__xludf.DUMMYFUNCTION("""COMPUTED_VALUE"""),"Jose Palma")</f>
        <v>Jose Palma</v>
      </c>
      <c r="D1007" s="44"/>
      <c r="E1007" s="44" t="str">
        <f>IFERROR(__xludf.DUMMYFUNCTION("""COMPUTED_VALUE"""),"6448839")</f>
        <v>6448839</v>
      </c>
      <c r="F1007" s="44" t="str">
        <f>IFERROR(__xludf.DUMMYFUNCTION("""COMPUTED_VALUE"""),"")</f>
        <v/>
      </c>
      <c r="G1007" s="44" t="str">
        <f>IFERROR(__xludf.DUMMYFUNCTION("""COMPUTED_VALUE"""),"Listado de nombres")</f>
        <v>Listado de nombres</v>
      </c>
      <c r="H1007" s="44" t="str">
        <f>IFERROR(__xludf.DUMMYFUNCTION("""COMPUTED_VALUE"""),"Hospital Miguel Perez Carreño")</f>
        <v>Hospital Miguel Perez Carreño</v>
      </c>
      <c r="I1007" s="44"/>
      <c r="J1007" s="44" t="str">
        <f>IFERROR(__xludf.DUMMYFUNCTION("""COMPUTED_VALUE"""),"26/6/26")</f>
        <v>26/6/26</v>
      </c>
      <c r="K1007" s="42" t="str">
        <f>IFERROR(__xludf.DUMMYFUNCTION("""COMPUTED_VALUE"""),"Hospital Pérez Carreño")</f>
        <v>Hospital Pérez Carreño</v>
      </c>
    </row>
    <row r="1008">
      <c r="A1008" s="44">
        <v>1007.0</v>
      </c>
      <c r="B1008" s="44" t="str">
        <f>IFERROR(__xludf.DUMMYFUNCTION("""COMPUTED_VALUE"""),"Hospital Pérez Carreño")</f>
        <v>Hospital Pérez Carreño</v>
      </c>
      <c r="C1008" s="45" t="str">
        <f>IFERROR(__xludf.DUMMYFUNCTION("""COMPUTED_VALUE"""),"YOSE PALMA")</f>
        <v>YOSE PALMA</v>
      </c>
      <c r="D1008" s="44" t="str">
        <f>IFERROR(__xludf.DUMMYFUNCTION("""COMPUTED_VALUE""")," ")</f>
        <v> </v>
      </c>
      <c r="E1008" s="44" t="str">
        <f>IFERROR(__xludf.DUMMYFUNCTION("""COMPUTED_VALUE"""),"64488390")</f>
        <v>64488390</v>
      </c>
      <c r="F1008" s="44" t="str">
        <f>IFERROR(__xludf.DUMMYFUNCTION("""COMPUTED_VALUE"""),"")</f>
        <v/>
      </c>
      <c r="G1008" s="44" t="str">
        <f>IFERROR(__xludf.DUMMYFUNCTION("""COMPUTED_VALUE""")," ")</f>
        <v> </v>
      </c>
      <c r="H1008" s="44" t="str">
        <f>IFERROR(__xludf.DUMMYFUNCTION("""COMPUTED_VALUE""")," ")</f>
        <v> </v>
      </c>
      <c r="I1008" s="44" t="str">
        <f>IFERROR(__xludf.DUMMYFUNCTION("""COMPUTED_VALUE""")," ")</f>
        <v> </v>
      </c>
      <c r="J1008" s="44" t="str">
        <f>IFERROR(__xludf.DUMMYFUNCTION("""COMPUTED_VALUE"""),"25/06/2026")</f>
        <v>25/06/2026</v>
      </c>
      <c r="K1008" s="42" t="str">
        <f>IFERROR(__xludf.DUMMYFUNCTION("""COMPUTED_VALUE"""),"Hospital Pérez Carreño")</f>
        <v>Hospital Pérez Carreño</v>
      </c>
    </row>
    <row r="1009">
      <c r="A1009" s="44">
        <v>1008.0</v>
      </c>
      <c r="B1009" s="44" t="str">
        <f>IFERROR(__xludf.DUMMYFUNCTION("""COMPUTED_VALUE"""),"Hospital Vargas de Caracas")</f>
        <v>Hospital Vargas de Caracas</v>
      </c>
      <c r="C1009" s="45" t="str">
        <f>IFERROR(__xludf.DUMMYFUNCTION("""COMPUTED_VALUE"""),"ANDREA JOSE")</f>
        <v>ANDREA JOSE</v>
      </c>
      <c r="D1009" s="44" t="str">
        <f>IFERROR(__xludf.DUMMYFUNCTION("""COMPUTED_VALUE""")," ")</f>
        <v> </v>
      </c>
      <c r="E1009" s="44" t="str">
        <f>IFERROR(__xludf.DUMMYFUNCTION("""COMPUTED_VALUE"""),"646450")</f>
        <v>646450</v>
      </c>
      <c r="F1009" s="44" t="str">
        <f>IFERROR(__xludf.DUMMYFUNCTION("""COMPUTED_VALUE""")," ")</f>
        <v> </v>
      </c>
      <c r="G1009" s="44" t="str">
        <f>IFERROR(__xludf.DUMMYFUNCTION("""COMPUTED_VALUE"""),"")</f>
        <v/>
      </c>
      <c r="H1009" s="44" t="str">
        <f>IFERROR(__xludf.DUMMYFUNCTION("""COMPUTED_VALUE"""),"Guaira")</f>
        <v>Guaira</v>
      </c>
      <c r="I1009" s="44" t="str">
        <f>IFERROR(__xludf.DUMMYFUNCTION("""COMPUTED_VALUE"""),"Pediátrico")</f>
        <v>Pediátrico</v>
      </c>
      <c r="J1009" s="44" t="str">
        <f>IFERROR(__xludf.DUMMYFUNCTION("""COMPUTED_VALUE"""),"")</f>
        <v/>
      </c>
      <c r="K1009" s="42" t="str">
        <f>IFERROR(__xludf.DUMMYFUNCTION("""COMPUTED_VALUE"""),"Hospital Vargas de Caracas")</f>
        <v>Hospital Vargas de Caracas</v>
      </c>
    </row>
    <row r="1010">
      <c r="A1010" s="44">
        <v>1009.0</v>
      </c>
      <c r="B1010" s="44" t="str">
        <f>IFERROR(__xludf.DUMMYFUNCTION("""COMPUTED_VALUE"""),"Hospital Militar Dr. C. Arvelo")</f>
        <v>Hospital Militar Dr. C. Arvelo</v>
      </c>
      <c r="C1010" s="45" t="str">
        <f>IFERROR(__xludf.DUMMYFUNCTION("""COMPUTED_VALUE"""),"Freddy Rodríguez (Padre)")</f>
        <v>Freddy Rodríguez (Padre)</v>
      </c>
      <c r="D1010" s="44">
        <f>IFERROR(__xludf.DUMMYFUNCTION("""COMPUTED_VALUE"""),66.0)</f>
        <v>66</v>
      </c>
      <c r="E1010" s="44" t="str">
        <f>IFERROR(__xludf.DUMMYFUNCTION("""COMPUTED_VALUE"""),"647035")</f>
        <v>647035</v>
      </c>
      <c r="F1010" s="44" t="str">
        <f>IFERROR(__xludf.DUMMYFUNCTION("""COMPUTED_VALUE"""),"")</f>
        <v/>
      </c>
      <c r="G1010" s="44" t="str">
        <f>IFERROR(__xludf.DUMMYFUNCTION("""COMPUTED_VALUE"""),"")</f>
        <v/>
      </c>
      <c r="H1010" s="44" t="str">
        <f>IFERROR(__xludf.DUMMYFUNCTION("""COMPUTED_VALUE"""),"M")</f>
        <v>M</v>
      </c>
      <c r="I1010" s="44" t="str">
        <f>IFERROR(__xludf.DUMMYFUNCTION("""COMPUTED_VALUE"""),"San Juan PNA")</f>
        <v>San Juan PNA</v>
      </c>
      <c r="J1010" s="44" t="str">
        <f>IFERROR(__xludf.DUMMYFUNCTION("""COMPUTED_VALUE"""),"24/6/2026")</f>
        <v>24/6/2026</v>
      </c>
      <c r="K1010" s="42" t="str">
        <f>IFERROR(__xludf.DUMMYFUNCTION("""COMPUTED_VALUE"""),"Hospital Militar Dr. C. Arvelo")</f>
        <v>Hospital Militar Dr. C. Arvelo</v>
      </c>
    </row>
    <row r="1011">
      <c r="A1011" s="44">
        <v>1010.0</v>
      </c>
      <c r="B1011" s="44" t="str">
        <f>IFERROR(__xludf.DUMMYFUNCTION("""COMPUTED_VALUE"""),"Hospital Militar Dr. C. Arvelo")</f>
        <v>Hospital Militar Dr. C. Arvelo</v>
      </c>
      <c r="C1011" s="45" t="str">
        <f>IFERROR(__xludf.DUMMYFUNCTION("""COMPUTED_VALUE"""),"Aguilar Raúl")</f>
        <v>Aguilar Raúl</v>
      </c>
      <c r="D1011" s="44">
        <f>IFERROR(__xludf.DUMMYFUNCTION("""COMPUTED_VALUE"""),63.0)</f>
        <v>63</v>
      </c>
      <c r="E1011" s="44" t="str">
        <f>IFERROR(__xludf.DUMMYFUNCTION("""COMPUTED_VALUE"""),"648196")</f>
        <v>648196</v>
      </c>
      <c r="F1011" s="44" t="str">
        <f>IFERROR(__xludf.DUMMYFUNCTION("""COMPUTED_VALUE"""),"")</f>
        <v/>
      </c>
      <c r="G1011" s="44" t="str">
        <f>IFERROR(__xludf.DUMMYFUNCTION("""COMPUTED_VALUE"""),"")</f>
        <v/>
      </c>
      <c r="H1011" s="44" t="str">
        <f>IFERROR(__xludf.DUMMYFUNCTION("""COMPUTED_VALUE"""),"M")</f>
        <v>M</v>
      </c>
      <c r="I1011" s="44" t="str">
        <f>IFERROR(__xludf.DUMMYFUNCTION("""COMPUTED_VALUE"""),"San Juan PNA")</f>
        <v>San Juan PNA</v>
      </c>
      <c r="J1011" s="44" t="str">
        <f>IFERROR(__xludf.DUMMYFUNCTION("""COMPUTED_VALUE"""),"24/6/2026")</f>
        <v>24/6/2026</v>
      </c>
      <c r="K1011" s="42" t="str">
        <f>IFERROR(__xludf.DUMMYFUNCTION("""COMPUTED_VALUE"""),"Hospital Militar Dr. C. Arvelo")</f>
        <v>Hospital Militar Dr. C. Arvelo</v>
      </c>
    </row>
    <row r="1012">
      <c r="A1012" s="44">
        <v>1011.0</v>
      </c>
      <c r="B1012" s="44" t="str">
        <f>IFERROR(__xludf.DUMMYFUNCTION("""COMPUTED_VALUE"""),"Hospital Universitario de Carac")</f>
        <v>Hospital Universitario de Carac</v>
      </c>
      <c r="C1012" s="45" t="str">
        <f>IFERROR(__xludf.DUMMYFUNCTION("""COMPUTED_VALUE"""),"ESCALONA JOAQUIN")</f>
        <v>ESCALONA JOAQUIN</v>
      </c>
      <c r="D1012" s="44">
        <f>IFERROR(__xludf.DUMMYFUNCTION("""COMPUTED_VALUE"""),65.0)</f>
        <v>65</v>
      </c>
      <c r="E1012" s="44" t="str">
        <f>IFERROR(__xludf.DUMMYFUNCTION("""COMPUTED_VALUE"""),"6482918")</f>
        <v>6482918</v>
      </c>
      <c r="F1012" s="44" t="str">
        <f>IFERROR(__xludf.DUMMYFUNCTION("""COMPUTED_VALUE"""),"")</f>
        <v/>
      </c>
      <c r="G1012" s="44" t="str">
        <f>IFERROR(__xludf.DUMMYFUNCTION("""COMPUTED_VALUE"""),"0414-9081729")</f>
        <v>0414-9081729</v>
      </c>
      <c r="H1012" s="44" t="str">
        <f>IFERROR(__xludf.DUMMYFUNCTION("""COMPUTED_VALUE""")," ")</f>
        <v> </v>
      </c>
      <c r="I1012" s="44" t="str">
        <f>IFERROR(__xludf.DUMMYFUNCTION("""COMPUTED_VALUE""")," ")</f>
        <v> </v>
      </c>
      <c r="J1012" s="44" t="str">
        <f>IFERROR(__xludf.DUMMYFUNCTION("""COMPUTED_VALUE"""),"")</f>
        <v/>
      </c>
      <c r="K1012" s="42" t="str">
        <f>IFERROR(__xludf.DUMMYFUNCTION("""COMPUTED_VALUE"""),"Hospital Universitario de Carac")</f>
        <v>Hospital Universitario de Carac</v>
      </c>
    </row>
    <row r="1013">
      <c r="A1013" s="44">
        <v>1012.0</v>
      </c>
      <c r="B1013" s="44" t="str">
        <f>IFERROR(__xludf.DUMMYFUNCTION("""COMPUTED_VALUE"""),"H. Jose Maria Vargas LG")</f>
        <v>H. Jose Maria Vargas LG</v>
      </c>
      <c r="C1013" s="45" t="str">
        <f>IFERROR(__xludf.DUMMYFUNCTION("""COMPUTED_VALUE"""),"TOVAR OLGA")</f>
        <v>TOVAR OLGA</v>
      </c>
      <c r="D1013" s="44" t="str">
        <f>IFERROR(__xludf.DUMMYFUNCTION("""COMPUTED_VALUE""")," ")</f>
        <v> </v>
      </c>
      <c r="E1013" s="44" t="str">
        <f>IFERROR(__xludf.DUMMYFUNCTION("""COMPUTED_VALUE"""),"6487637")</f>
        <v>6487637</v>
      </c>
      <c r="F1013" s="44" t="str">
        <f>IFERROR(__xludf.DUMMYFUNCTION("""COMPUTED_VALUE"""),"")</f>
        <v/>
      </c>
      <c r="G1013" s="44" t="str">
        <f>IFERROR(__xludf.DUMMYFUNCTION("""COMPUTED_VALUE""")," ")</f>
        <v> </v>
      </c>
      <c r="H1013" s="44" t="str">
        <f>IFERROR(__xludf.DUMMYFUNCTION("""COMPUTED_VALUE"""),"Los Corales")</f>
        <v>Los Corales</v>
      </c>
      <c r="I1013" s="44" t="str">
        <f>IFERROR(__xludf.DUMMYFUNCTION("""COMPUTED_VALUE""")," ")</f>
        <v> </v>
      </c>
      <c r="J1013" s="44" t="str">
        <f>IFERROR(__xludf.DUMMYFUNCTION("""COMPUTED_VALUE"""),"")</f>
        <v/>
      </c>
      <c r="K1013" s="42" t="str">
        <f>IFERROR(__xludf.DUMMYFUNCTION("""COMPUTED_VALUE"""),"H. Jose Maria Vargas LG")</f>
        <v>H. Jose Maria Vargas LG</v>
      </c>
    </row>
    <row r="1014">
      <c r="A1014" s="44">
        <v>1013.0</v>
      </c>
      <c r="B1014" s="44" t="str">
        <f>IFERROR(__xludf.DUMMYFUNCTION("""COMPUTED_VALUE"""),"Seguro Social La Guaira")</f>
        <v>Seguro Social La Guaira</v>
      </c>
      <c r="C1014" s="45" t="str">
        <f>IFERROR(__xludf.DUMMYFUNCTION("""COMPUTED_VALUE"""),"OLGA TOVAR")</f>
        <v>OLGA TOVAR</v>
      </c>
      <c r="D1014" s="44" t="str">
        <f>IFERROR(__xludf.DUMMYFUNCTION("""COMPUTED_VALUE""")," ")</f>
        <v> </v>
      </c>
      <c r="E1014" s="44" t="str">
        <f>IFERROR(__xludf.DUMMYFUNCTION("""COMPUTED_VALUE"""),"64876370")</f>
        <v>64876370</v>
      </c>
      <c r="F1014" s="44" t="str">
        <f>IFERROR(__xludf.DUMMYFUNCTION("""COMPUTED_VALUE"""),"")</f>
        <v/>
      </c>
      <c r="G1014" s="44" t="str">
        <f>IFERROR(__xludf.DUMMYFUNCTION("""COMPUTED_VALUE""")," ")</f>
        <v> </v>
      </c>
      <c r="H1014" s="44" t="str">
        <f>IFERROR(__xludf.DUMMYFUNCTION("""COMPUTED_VALUE"""),"Corales")</f>
        <v>Corales</v>
      </c>
      <c r="I1014" s="44" t="str">
        <f>IFERROR(__xludf.DUMMYFUNCTION("""COMPUTED_VALUE""")," ")</f>
        <v> </v>
      </c>
      <c r="J1014" s="44" t="str">
        <f>IFERROR(__xludf.DUMMYFUNCTION("""COMPUTED_VALUE"""),"")</f>
        <v/>
      </c>
      <c r="K1014" s="42" t="str">
        <f>IFERROR(__xludf.DUMMYFUNCTION("""COMPUTED_VALUE"""),"Seguro Social La Guaira")</f>
        <v>Seguro Social La Guaira</v>
      </c>
    </row>
    <row r="1015">
      <c r="A1015" s="44">
        <v>1014.0</v>
      </c>
      <c r="B1015" s="44" t="str">
        <f>IFERROR(__xludf.DUMMYFUNCTION("""COMPUTED_VALUE"""),"H. Jose Maria Vargas LG")</f>
        <v>H. Jose Maria Vargas LG</v>
      </c>
      <c r="C1015" s="45" t="str">
        <f>IFERROR(__xludf.DUMMYFUNCTION("""COMPUTED_VALUE"""),"DE SOLANO MARIELIS")</f>
        <v>DE SOLANO MARIELIS</v>
      </c>
      <c r="D1015" s="44" t="str">
        <f>IFERROR(__xludf.DUMMYFUNCTION("""COMPUTED_VALUE""")," ")</f>
        <v> </v>
      </c>
      <c r="E1015" s="44" t="str">
        <f>IFERROR(__xludf.DUMMYFUNCTION("""COMPUTED_VALUE"""),"6488422")</f>
        <v>6488422</v>
      </c>
      <c r="F1015" s="44" t="str">
        <f>IFERROR(__xludf.DUMMYFUNCTION("""COMPUTED_VALUE"""),"")</f>
        <v/>
      </c>
      <c r="G1015" s="44" t="str">
        <f>IFERROR(__xludf.DUMMYFUNCTION("""COMPUTED_VALUE""")," ")</f>
        <v> </v>
      </c>
      <c r="H1015" s="44" t="str">
        <f>IFERROR(__xludf.DUMMYFUNCTION("""COMPUTED_VALUE""")," ")</f>
        <v> </v>
      </c>
      <c r="I1015" s="44" t="str">
        <f>IFERROR(__xludf.DUMMYFUNCTION("""COMPUTED_VALUE"""),"Internado")</f>
        <v>Internado</v>
      </c>
      <c r="J1015" s="44" t="str">
        <f>IFERROR(__xludf.DUMMYFUNCTION("""COMPUTED_VALUE"""),"")</f>
        <v/>
      </c>
      <c r="K1015" s="42" t="str">
        <f>IFERROR(__xludf.DUMMYFUNCTION("""COMPUTED_VALUE"""),"H. Jose Maria Vargas LG")</f>
        <v>H. Jose Maria Vargas LG</v>
      </c>
    </row>
    <row r="1016">
      <c r="A1016" s="44">
        <v>1015.0</v>
      </c>
      <c r="B1016" s="44" t="str">
        <f>IFERROR(__xludf.DUMMYFUNCTION("""COMPUTED_VALUE"""),"Hospital Militar Dr. C. Arvelo")</f>
        <v>Hospital Militar Dr. C. Arvelo</v>
      </c>
      <c r="C1016" s="45" t="str">
        <f>IFERROR(__xludf.DUMMYFUNCTION("""COMPUTED_VALUE"""),"Pinto José")</f>
        <v>Pinto José</v>
      </c>
      <c r="D1016" s="44">
        <f>IFERROR(__xludf.DUMMYFUNCTION("""COMPUTED_VALUE"""),77.0)</f>
        <v>77</v>
      </c>
      <c r="E1016" s="44" t="str">
        <f>IFERROR(__xludf.DUMMYFUNCTION("""COMPUTED_VALUE"""),"649768")</f>
        <v>649768</v>
      </c>
      <c r="F1016" s="44" t="str">
        <f>IFERROR(__xludf.DUMMYFUNCTION("""COMPUTED_VALUE"""),"")</f>
        <v/>
      </c>
      <c r="G1016" s="44" t="str">
        <f>IFERROR(__xludf.DUMMYFUNCTION("""COMPUTED_VALUE"""),"")</f>
        <v/>
      </c>
      <c r="H1016" s="44" t="str">
        <f>IFERROR(__xludf.DUMMYFUNCTION("""COMPUTED_VALUE"""),"M")</f>
        <v>M</v>
      </c>
      <c r="I1016" s="44" t="str">
        <f>IFERROR(__xludf.DUMMYFUNCTION("""COMPUTED_VALUE"""),"San Martín PNA")</f>
        <v>San Martín PNA</v>
      </c>
      <c r="J1016" s="44" t="str">
        <f>IFERROR(__xludf.DUMMYFUNCTION("""COMPUTED_VALUE"""),"24/6/2026")</f>
        <v>24/6/2026</v>
      </c>
      <c r="K1016" s="42" t="str">
        <f>IFERROR(__xludf.DUMMYFUNCTION("""COMPUTED_VALUE"""),"Hospital Militar Dr. C. Arvelo")</f>
        <v>Hospital Militar Dr. C. Arvelo</v>
      </c>
    </row>
    <row r="1017">
      <c r="A1017" s="44">
        <v>1016.0</v>
      </c>
      <c r="B1017" s="44" t="str">
        <f>IFERROR(__xludf.DUMMYFUNCTION("""COMPUTED_VALUE"""),"Hospital Militar Dr. C. Arvelo")</f>
        <v>Hospital Militar Dr. C. Arvelo</v>
      </c>
      <c r="C1017" s="45" t="str">
        <f>IFERROR(__xludf.DUMMYFUNCTION("""COMPUTED_VALUE"""),"Yoselyn Guerra")</f>
        <v>Yoselyn Guerra</v>
      </c>
      <c r="D1017" s="44">
        <f>IFERROR(__xludf.DUMMYFUNCTION("""COMPUTED_VALUE"""),59.0)</f>
        <v>59</v>
      </c>
      <c r="E1017" s="44" t="str">
        <f>IFERROR(__xludf.DUMMYFUNCTION("""COMPUTED_VALUE"""),"6502264")</f>
        <v>6502264</v>
      </c>
      <c r="F1017" s="44" t="str">
        <f>IFERROR(__xludf.DUMMYFUNCTION("""COMPUTED_VALUE"""),"")</f>
        <v/>
      </c>
      <c r="G1017" s="44" t="str">
        <f>IFERROR(__xludf.DUMMYFUNCTION("""COMPUTED_VALUE"""),"")</f>
        <v/>
      </c>
      <c r="H1017" s="44" t="str">
        <f>IFERROR(__xludf.DUMMYFUNCTION("""COMPUTED_VALUE"""),"F")</f>
        <v>F</v>
      </c>
      <c r="I1017" s="44" t="str">
        <f>IFERROR(__xludf.DUMMYFUNCTION("""COMPUTED_VALUE"""),"La Guaira PNA")</f>
        <v>La Guaira PNA</v>
      </c>
      <c r="J1017" s="44" t="str">
        <f>IFERROR(__xludf.DUMMYFUNCTION("""COMPUTED_VALUE"""),"24/6/2026")</f>
        <v>24/6/2026</v>
      </c>
      <c r="K1017" s="42" t="str">
        <f>IFERROR(__xludf.DUMMYFUNCTION("""COMPUTED_VALUE"""),"Hospital Militar Dr. C. Arvelo")</f>
        <v>Hospital Militar Dr. C. Arvelo</v>
      </c>
    </row>
    <row r="1018">
      <c r="A1018" s="44">
        <v>1017.0</v>
      </c>
      <c r="B1018" s="44" t="str">
        <f>IFERROR(__xludf.DUMMYFUNCTION("""COMPUTED_VALUE"""),"Hospital Pérez Carreño")</f>
        <v>Hospital Pérez Carreño</v>
      </c>
      <c r="C1018" s="45" t="str">
        <f>IFERROR(__xludf.DUMMYFUNCTION("""COMPUTED_VALUE"""),"MARIA GUILLEN")</f>
        <v>MARIA GUILLEN</v>
      </c>
      <c r="D1018" s="44" t="str">
        <f>IFERROR(__xludf.DUMMYFUNCTION("""COMPUTED_VALUE"""),"Sin información")</f>
        <v>Sin información</v>
      </c>
      <c r="E1018" s="44" t="str">
        <f>IFERROR(__xludf.DUMMYFUNCTION("""COMPUTED_VALUE"""),"66392880")</f>
        <v>66392880</v>
      </c>
      <c r="F1018" s="44" t="str">
        <f>IFERROR(__xludf.DUMMYFUNCTION("""COMPUTED_VALUE"""),"")</f>
        <v/>
      </c>
      <c r="G1018" s="44" t="str">
        <f>IFERROR(__xludf.DUMMYFUNCTION("""COMPUTED_VALUE""")," ")</f>
        <v> </v>
      </c>
      <c r="H1018" s="44" t="str">
        <f>IFERROR(__xludf.DUMMYFUNCTION("""COMPUTED_VALUE"""),"Sin información")</f>
        <v>Sin información</v>
      </c>
      <c r="I1018" s="44" t="str">
        <f>IFERROR(__xludf.DUMMYFUNCTION("""COMPUTED_VALUE"""),"Sin información")</f>
        <v>Sin información</v>
      </c>
      <c r="J1018" s="44" t="str">
        <f>IFERROR(__xludf.DUMMYFUNCTION("""COMPUTED_VALUE"""),"25/06/2026")</f>
        <v>25/06/2026</v>
      </c>
      <c r="K1018" s="42" t="str">
        <f>IFERROR(__xludf.DUMMYFUNCTION("""COMPUTED_VALUE"""),"Hospital Pérez Carreño")</f>
        <v>Hospital Pérez Carreño</v>
      </c>
    </row>
    <row r="1019">
      <c r="A1019" s="44">
        <v>1018.0</v>
      </c>
      <c r="B1019" s="44" t="str">
        <f>IFERROR(__xludf.DUMMYFUNCTION("""COMPUTED_VALUE"""),"Hospital Militar Dr. C. Arvelo")</f>
        <v>Hospital Militar Dr. C. Arvelo</v>
      </c>
      <c r="C1019" s="45" t="str">
        <f>IFERROR(__xludf.DUMMYFUNCTION("""COMPUTED_VALUE"""),"Luis Martínez")</f>
        <v>Luis Martínez</v>
      </c>
      <c r="D1019" s="44">
        <f>IFERROR(__xludf.DUMMYFUNCTION("""COMPUTED_VALUE"""),49.0)</f>
        <v>49</v>
      </c>
      <c r="E1019" s="44" t="str">
        <f>IFERROR(__xludf.DUMMYFUNCTION("""COMPUTED_VALUE"""),"6683348")</f>
        <v>6683348</v>
      </c>
      <c r="F1019" s="44" t="str">
        <f>IFERROR(__xludf.DUMMYFUNCTION("""COMPUTED_VALUE"""),"")</f>
        <v/>
      </c>
      <c r="G1019" s="44" t="str">
        <f>IFERROR(__xludf.DUMMYFUNCTION("""COMPUTED_VALUE"""),"")</f>
        <v/>
      </c>
      <c r="H1019" s="44" t="str">
        <f>IFERROR(__xludf.DUMMYFUNCTION("""COMPUTED_VALUE"""),"M")</f>
        <v>M</v>
      </c>
      <c r="I1019" s="44" t="str">
        <f>IFERROR(__xludf.DUMMYFUNCTION("""COMPUTED_VALUE"""),"Casalta 3 S/M GNB")</f>
        <v>Casalta 3 S/M GNB</v>
      </c>
      <c r="J1019" s="44" t="str">
        <f>IFERROR(__xludf.DUMMYFUNCTION("""COMPUTED_VALUE"""),"24/6/2026")</f>
        <v>24/6/2026</v>
      </c>
      <c r="K1019" s="42" t="str">
        <f>IFERROR(__xludf.DUMMYFUNCTION("""COMPUTED_VALUE"""),"Hospital Militar Dr. C. Arvelo")</f>
        <v>Hospital Militar Dr. C. Arvelo</v>
      </c>
    </row>
    <row r="1020">
      <c r="A1020" s="44">
        <v>1019.0</v>
      </c>
      <c r="B1020" s="44" t="str">
        <f>IFERROR(__xludf.DUMMYFUNCTION("""COMPUTED_VALUE"""),"Hospital Pérez Carreño")</f>
        <v>Hospital Pérez Carreño</v>
      </c>
      <c r="C1020" s="45" t="str">
        <f>IFERROR(__xludf.DUMMYFUNCTION("""COMPUTED_VALUE"""),"MARTINEZ ZORAIDA")</f>
        <v>MARTINEZ ZORAIDA</v>
      </c>
      <c r="D1020" s="44" t="str">
        <f>IFERROR(__xludf.DUMMYFUNCTION("""COMPUTED_VALUE""")," ")</f>
        <v> </v>
      </c>
      <c r="E1020" s="44" t="str">
        <f>IFERROR(__xludf.DUMMYFUNCTION("""COMPUTED_VALUE"""),"66921670")</f>
        <v>66921670</v>
      </c>
      <c r="F1020" s="44" t="str">
        <f>IFERROR(__xludf.DUMMYFUNCTION("""COMPUTED_VALUE"""),"")</f>
        <v/>
      </c>
      <c r="G1020" s="44" t="str">
        <f>IFERROR(__xludf.DUMMYFUNCTION("""COMPUTED_VALUE""")," ")</f>
        <v> </v>
      </c>
      <c r="H1020" s="44" t="str">
        <f>IFERROR(__xludf.DUMMYFUNCTION("""COMPUTED_VALUE""")," ")</f>
        <v> </v>
      </c>
      <c r="I1020" s="44" t="str">
        <f>IFERROR(__xludf.DUMMYFUNCTION("""COMPUTED_VALUE"""),"TRAUMASHOCK")</f>
        <v>TRAUMASHOCK</v>
      </c>
      <c r="J1020" s="44" t="str">
        <f>IFERROR(__xludf.DUMMYFUNCTION("""COMPUTED_VALUE"""),"25/06/2026")</f>
        <v>25/06/2026</v>
      </c>
      <c r="K1020" s="42" t="str">
        <f>IFERROR(__xludf.DUMMYFUNCTION("""COMPUTED_VALUE"""),"Hospital Pérez Carreño")</f>
        <v>Hospital Pérez Carreño</v>
      </c>
    </row>
    <row r="1021">
      <c r="A1021" s="44">
        <v>1020.0</v>
      </c>
      <c r="B1021" s="44" t="str">
        <f>IFERROR(__xludf.DUMMYFUNCTION("""COMPUTED_VALUE"""),"H. Jose Maria Vargas LG")</f>
        <v>H. Jose Maria Vargas LG</v>
      </c>
      <c r="C1021" s="45" t="str">
        <f>IFERROR(__xludf.DUMMYFUNCTION("""COMPUTED_VALUE"""),"DE FREITES NELY")</f>
        <v>DE FREITES NELY</v>
      </c>
      <c r="D1021" s="44" t="str">
        <f>IFERROR(__xludf.DUMMYFUNCTION("""COMPUTED_VALUE""")," ")</f>
        <v> </v>
      </c>
      <c r="E1021" s="44" t="str">
        <f>IFERROR(__xludf.DUMMYFUNCTION("""COMPUTED_VALUE"""),"6800389")</f>
        <v>6800389</v>
      </c>
      <c r="F1021" s="44" t="str">
        <f>IFERROR(__xludf.DUMMYFUNCTION("""COMPUTED_VALUE"""),"")</f>
        <v/>
      </c>
      <c r="G1021" s="44" t="str">
        <f>IFERROR(__xludf.DUMMYFUNCTION("""COMPUTED_VALUE""")," ")</f>
        <v> </v>
      </c>
      <c r="H1021" s="44" t="str">
        <f>IFERROR(__xludf.DUMMYFUNCTION("""COMPUTED_VALUE"""),"Caraballeda")</f>
        <v>Caraballeda</v>
      </c>
      <c r="I1021" s="44" t="str">
        <f>IFERROR(__xludf.DUMMYFUNCTION("""COMPUTED_VALUE""")," ")</f>
        <v> </v>
      </c>
      <c r="J1021" s="44" t="str">
        <f>IFERROR(__xludf.DUMMYFUNCTION("""COMPUTED_VALUE"""),"")</f>
        <v/>
      </c>
      <c r="K1021" s="42" t="str">
        <f>IFERROR(__xludf.DUMMYFUNCTION("""COMPUTED_VALUE"""),"H. Jose Maria Vargas LG")</f>
        <v>H. Jose Maria Vargas LG</v>
      </c>
    </row>
    <row r="1022">
      <c r="A1022" s="44">
        <v>1021.0</v>
      </c>
      <c r="B1022" s="44" t="str">
        <f>IFERROR(__xludf.DUMMYFUNCTION("""COMPUTED_VALUE"""),"Seguro Social La Guaira")</f>
        <v>Seguro Social La Guaira</v>
      </c>
      <c r="C1022" s="45" t="str">
        <f>IFERROR(__xludf.DUMMYFUNCTION("""COMPUTED_VALUE"""),"NELY DE FREITAS")</f>
        <v>NELY DE FREITAS</v>
      </c>
      <c r="D1022" s="44" t="str">
        <f>IFERROR(__xludf.DUMMYFUNCTION("""COMPUTED_VALUE""")," ")</f>
        <v> </v>
      </c>
      <c r="E1022" s="44" t="str">
        <f>IFERROR(__xludf.DUMMYFUNCTION("""COMPUTED_VALUE"""),"68003890")</f>
        <v>68003890</v>
      </c>
      <c r="F1022" s="44" t="str">
        <f>IFERROR(__xludf.DUMMYFUNCTION("""COMPUTED_VALUE"""),"")</f>
        <v/>
      </c>
      <c r="G1022" s="44" t="str">
        <f>IFERROR(__xludf.DUMMYFUNCTION("""COMPUTED_VALUE""")," ")</f>
        <v> </v>
      </c>
      <c r="H1022" s="44" t="str">
        <f>IFERROR(__xludf.DUMMYFUNCTION("""COMPUTED_VALUE"""),"Caraballeda")</f>
        <v>Caraballeda</v>
      </c>
      <c r="I1022" s="44" t="str">
        <f>IFERROR(__xludf.DUMMYFUNCTION("""COMPUTED_VALUE""")," ")</f>
        <v> </v>
      </c>
      <c r="J1022" s="44" t="str">
        <f>IFERROR(__xludf.DUMMYFUNCTION("""COMPUTED_VALUE"""),"")</f>
        <v/>
      </c>
      <c r="K1022" s="42" t="str">
        <f>IFERROR(__xludf.DUMMYFUNCTION("""COMPUTED_VALUE"""),"Seguro Social La Guaira")</f>
        <v>Seguro Social La Guaira</v>
      </c>
    </row>
    <row r="1023">
      <c r="A1023" s="44">
        <v>1022.0</v>
      </c>
      <c r="B1023" s="44" t="str">
        <f>IFERROR(__xludf.DUMMYFUNCTION("""COMPUTED_VALUE"""),"H. Jose Maria Vargas LG")</f>
        <v>H. Jose Maria Vargas LG</v>
      </c>
      <c r="C1023" s="45" t="str">
        <f>IFERROR(__xludf.DUMMYFUNCTION("""COMPUTED_VALUE"""),"GIL NANCY")</f>
        <v>GIL NANCY</v>
      </c>
      <c r="D1023" s="44" t="str">
        <f>IFERROR(__xludf.DUMMYFUNCTION("""COMPUTED_VALUE""")," ")</f>
        <v> </v>
      </c>
      <c r="E1023" s="44" t="str">
        <f>IFERROR(__xludf.DUMMYFUNCTION("""COMPUTED_VALUE"""),"6801699")</f>
        <v>6801699</v>
      </c>
      <c r="F1023" s="44" t="str">
        <f>IFERROR(__xludf.DUMMYFUNCTION("""COMPUTED_VALUE"""),"")</f>
        <v/>
      </c>
      <c r="G1023" s="44" t="str">
        <f>IFERROR(__xludf.DUMMYFUNCTION("""COMPUTED_VALUE""")," ")</f>
        <v> </v>
      </c>
      <c r="H1023" s="44" t="str">
        <f>IFERROR(__xludf.DUMMYFUNCTION("""COMPUTED_VALUE"""),"La Guaira")</f>
        <v>La Guaira</v>
      </c>
      <c r="I1023" s="44" t="str">
        <f>IFERROR(__xludf.DUMMYFUNCTION("""COMPUTED_VALUE""")," ")</f>
        <v> </v>
      </c>
      <c r="J1023" s="44" t="str">
        <f>IFERROR(__xludf.DUMMYFUNCTION("""COMPUTED_VALUE"""),"")</f>
        <v/>
      </c>
      <c r="K1023" s="42" t="str">
        <f>IFERROR(__xludf.DUMMYFUNCTION("""COMPUTED_VALUE"""),"H. Jose Maria Vargas LG")</f>
        <v>H. Jose Maria Vargas LG</v>
      </c>
    </row>
    <row r="1024">
      <c r="A1024" s="44">
        <v>1023.0</v>
      </c>
      <c r="B1024" s="44" t="str">
        <f>IFERROR(__xludf.DUMMYFUNCTION("""COMPUTED_VALUE"""),"Periférico de Catia")</f>
        <v>Periférico de Catia</v>
      </c>
      <c r="C1024" s="45" t="str">
        <f>IFERROR(__xludf.DUMMYFUNCTION("""COMPUTED_VALUE"""),"PEREZ DAVID")</f>
        <v>PEREZ DAVID</v>
      </c>
      <c r="D1024" s="44">
        <f>IFERROR(__xludf.DUMMYFUNCTION("""COMPUTED_VALUE"""),61.0)</f>
        <v>61</v>
      </c>
      <c r="E1024" s="44" t="str">
        <f>IFERROR(__xludf.DUMMYFUNCTION("""COMPUTED_VALUE"""),"6842773")</f>
        <v>6842773</v>
      </c>
      <c r="F1024" s="44" t="str">
        <f>IFERROR(__xludf.DUMMYFUNCTION("""COMPUTED_VALUE"""),"")</f>
        <v/>
      </c>
      <c r="G1024" s="44" t="str">
        <f>IFERROR(__xludf.DUMMYFUNCTION("""COMPUTED_VALUE""")," ")</f>
        <v> </v>
      </c>
      <c r="H1024" s="44" t="str">
        <f>IFERROR(__xludf.DUMMYFUNCTION("""COMPUTED_VALUE""")," ")</f>
        <v> </v>
      </c>
      <c r="I1024" s="44" t="str">
        <f>IFERROR(__xludf.DUMMYFUNCTION("""COMPUTED_VALUE"""),"Cirugía/Trauma")</f>
        <v>Cirugía/Trauma</v>
      </c>
      <c r="J1024" s="44" t="str">
        <f>IFERROR(__xludf.DUMMYFUNCTION("""COMPUTED_VALUE"""),"")</f>
        <v/>
      </c>
      <c r="K1024" s="42" t="str">
        <f>IFERROR(__xludf.DUMMYFUNCTION("""COMPUTED_VALUE"""),"Periférico de Catia")</f>
        <v>Periférico de Catia</v>
      </c>
    </row>
    <row r="1025">
      <c r="A1025" s="44">
        <v>1024.0</v>
      </c>
      <c r="B1025" s="44" t="str">
        <f>IFERROR(__xludf.DUMMYFUNCTION("""COMPUTED_VALUE"""),"Periférico de Catia")</f>
        <v>Periférico de Catia</v>
      </c>
      <c r="C1025" s="45" t="str">
        <f>IFERROR(__xludf.DUMMYFUNCTION("""COMPUTED_VALUE"""),"DAVID PÉREZ")</f>
        <v>DAVID PÉREZ</v>
      </c>
      <c r="D1025" s="44">
        <f>IFERROR(__xludf.DUMMYFUNCTION("""COMPUTED_VALUE"""),61.0)</f>
        <v>61</v>
      </c>
      <c r="E1025" s="44" t="str">
        <f>IFERROR(__xludf.DUMMYFUNCTION("""COMPUTED_VALUE"""),"68427730")</f>
        <v>68427730</v>
      </c>
      <c r="F1025" s="44" t="str">
        <f>IFERROR(__xludf.DUMMYFUNCTION("""COMPUTED_VALUE"""),"")</f>
        <v/>
      </c>
      <c r="G1025" s="44" t="str">
        <f>IFERROR(__xludf.DUMMYFUNCTION("""COMPUTED_VALUE""")," ")</f>
        <v> </v>
      </c>
      <c r="H1025" s="44" t="str">
        <f>IFERROR(__xludf.DUMMYFUNCTION("""COMPUTED_VALUE"""),"Sin información")</f>
        <v>Sin información</v>
      </c>
      <c r="I1025" s="44" t="str">
        <f>IFERROR(__xludf.DUMMYFUNCTION("""COMPUTED_VALUE"""),"Cirugía General")</f>
        <v>Cirugía General</v>
      </c>
      <c r="J1025" s="44" t="str">
        <f>IFERROR(__xludf.DUMMYFUNCTION("""COMPUTED_VALUE"""),"")</f>
        <v/>
      </c>
      <c r="K1025" s="42" t="str">
        <f>IFERROR(__xludf.DUMMYFUNCTION("""COMPUTED_VALUE"""),"Periférico de Catia")</f>
        <v>Periférico de Catia</v>
      </c>
    </row>
    <row r="1026">
      <c r="A1026" s="44">
        <v>1025.0</v>
      </c>
      <c r="B1026" s="44" t="str">
        <f>IFERROR(__xludf.DUMMYFUNCTION("""COMPUTED_VALUE"""),"Hospital Dr. José Gregorio Hern")</f>
        <v>Hospital Dr. José Gregorio Hern</v>
      </c>
      <c r="C1026" s="45" t="str">
        <f>IFERROR(__xludf.DUMMYFUNCTION("""COMPUTED_VALUE"""),"ZAPATA CARMEN")</f>
        <v>ZAPATA CARMEN</v>
      </c>
      <c r="D1026" s="44">
        <f>IFERROR(__xludf.DUMMYFUNCTION("""COMPUTED_VALUE"""),66.0)</f>
        <v>66</v>
      </c>
      <c r="E1026" s="44" t="str">
        <f>IFERROR(__xludf.DUMMYFUNCTION("""COMPUTED_VALUE"""),"6856684")</f>
        <v>6856684</v>
      </c>
      <c r="F1026" s="44" t="str">
        <f>IFERROR(__xludf.DUMMYFUNCTION("""COMPUTED_VALUE"""),"")</f>
        <v/>
      </c>
      <c r="G1026" s="44" t="str">
        <f>IFERROR(__xludf.DUMMYFUNCTION("""COMPUTED_VALUE""")," ")</f>
        <v> </v>
      </c>
      <c r="H1026" s="44" t="str">
        <f>IFERROR(__xludf.DUMMYFUNCTION("""COMPUTED_VALUE"""),"Mare II")</f>
        <v>Mare II</v>
      </c>
      <c r="I1026" s="44" t="str">
        <f>IFERROR(__xludf.DUMMYFUNCTION("""COMPUTED_VALUE""")," ")</f>
        <v> </v>
      </c>
      <c r="J1026" s="44" t="str">
        <f>IFERROR(__xludf.DUMMYFUNCTION("""COMPUTED_VALUE"""),"")</f>
        <v/>
      </c>
      <c r="K1026" s="42" t="str">
        <f>IFERROR(__xludf.DUMMYFUNCTION("""COMPUTED_VALUE"""),"Hospital Dr. José Gregorio Hern")</f>
        <v>Hospital Dr. José Gregorio Hern</v>
      </c>
    </row>
    <row r="1027">
      <c r="A1027" s="44">
        <v>1026.0</v>
      </c>
      <c r="B1027" s="44" t="str">
        <f>IFERROR(__xludf.DUMMYFUNCTION("""COMPUTED_VALUE"""),"Periférico de Catia")</f>
        <v>Periférico de Catia</v>
      </c>
      <c r="C1027" s="45" t="str">
        <f>IFERROR(__xludf.DUMMYFUNCTION("""COMPUTED_VALUE"""),"MENDOZA REINA")</f>
        <v>MENDOZA REINA</v>
      </c>
      <c r="D1027" s="44">
        <f>IFERROR(__xludf.DUMMYFUNCTION("""COMPUTED_VALUE"""),62.0)</f>
        <v>62</v>
      </c>
      <c r="E1027" s="44" t="str">
        <f>IFERROR(__xludf.DUMMYFUNCTION("""COMPUTED_VALUE"""),"6887465")</f>
        <v>6887465</v>
      </c>
      <c r="F1027" s="44" t="str">
        <f>IFERROR(__xludf.DUMMYFUNCTION("""COMPUTED_VALUE"""),"")</f>
        <v/>
      </c>
      <c r="G1027" s="44" t="str">
        <f>IFERROR(__xludf.DUMMYFUNCTION("""COMPUTED_VALUE""")," ")</f>
        <v> </v>
      </c>
      <c r="H1027" s="44" t="str">
        <f>IFERROR(__xludf.DUMMYFUNCTION("""COMPUTED_VALUE""")," ")</f>
        <v> </v>
      </c>
      <c r="I1027" s="44" t="str">
        <f>IFERROR(__xludf.DUMMYFUNCTION("""COMPUTED_VALUE"""),"Cirugía General")</f>
        <v>Cirugía General</v>
      </c>
      <c r="J1027" s="44" t="str">
        <f>IFERROR(__xludf.DUMMYFUNCTION("""COMPUTED_VALUE"""),"")</f>
        <v/>
      </c>
      <c r="K1027" s="42" t="str">
        <f>IFERROR(__xludf.DUMMYFUNCTION("""COMPUTED_VALUE"""),"Periférico de Catia")</f>
        <v>Periférico de Catia</v>
      </c>
    </row>
    <row r="1028">
      <c r="A1028" s="44">
        <v>1027.0</v>
      </c>
      <c r="B1028" s="44" t="str">
        <f>IFERROR(__xludf.DUMMYFUNCTION("""COMPUTED_VALUE"""),"Periférico de Catia")</f>
        <v>Periférico de Catia</v>
      </c>
      <c r="C1028" s="45" t="str">
        <f>IFERROR(__xludf.DUMMYFUNCTION("""COMPUTED_VALUE"""),"MENDOZA REINA")</f>
        <v>MENDOZA REINA</v>
      </c>
      <c r="D1028" s="44">
        <f>IFERROR(__xludf.DUMMYFUNCTION("""COMPUTED_VALUE"""),62.0)</f>
        <v>62</v>
      </c>
      <c r="E1028" s="44" t="str">
        <f>IFERROR(__xludf.DUMMYFUNCTION("""COMPUTED_VALUE"""),"68874650")</f>
        <v>68874650</v>
      </c>
      <c r="F1028" s="44" t="str">
        <f>IFERROR(__xludf.DUMMYFUNCTION("""COMPUTED_VALUE"""),"")</f>
        <v/>
      </c>
      <c r="G1028" s="44" t="str">
        <f>IFERROR(__xludf.DUMMYFUNCTION("""COMPUTED_VALUE""")," ")</f>
        <v> </v>
      </c>
      <c r="H1028" s="44" t="str">
        <f>IFERROR(__xludf.DUMMYFUNCTION("""COMPUTED_VALUE"""),"Sin información")</f>
        <v>Sin información</v>
      </c>
      <c r="I1028" s="44" t="str">
        <f>IFERROR(__xludf.DUMMYFUNCTION("""COMPUTED_VALUE"""),"Cirugía General")</f>
        <v>Cirugía General</v>
      </c>
      <c r="J1028" s="44" t="str">
        <f>IFERROR(__xludf.DUMMYFUNCTION("""COMPUTED_VALUE"""),"")</f>
        <v/>
      </c>
      <c r="K1028" s="42" t="str">
        <f>IFERROR(__xludf.DUMMYFUNCTION("""COMPUTED_VALUE"""),"Periférico de Catia")</f>
        <v>Periférico de Catia</v>
      </c>
    </row>
    <row r="1029">
      <c r="A1029" s="44">
        <v>1028.0</v>
      </c>
      <c r="B1029" s="44" t="str">
        <f>IFERROR(__xludf.DUMMYFUNCTION("""COMPUTED_VALUE"""),"Hospital Pérez Carreño")</f>
        <v>Hospital Pérez Carreño</v>
      </c>
      <c r="C1029" s="45" t="str">
        <f>IFERROR(__xludf.DUMMYFUNCTION("""COMPUTED_VALUE"""),"SOJO ALEJANDRA")</f>
        <v>SOJO ALEJANDRA</v>
      </c>
      <c r="D1029" s="44" t="str">
        <f>IFERROR(__xludf.DUMMYFUNCTION("""COMPUTED_VALUE""")," ")</f>
        <v> </v>
      </c>
      <c r="E1029" s="44" t="str">
        <f>IFERROR(__xludf.DUMMYFUNCTION("""COMPUTED_VALUE"""),"6904629")</f>
        <v>6904629</v>
      </c>
      <c r="F1029" s="44" t="str">
        <f>IFERROR(__xludf.DUMMYFUNCTION("""COMPUTED_VALUE"""),"")</f>
        <v/>
      </c>
      <c r="G1029" s="44" t="str">
        <f>IFERROR(__xludf.DUMMYFUNCTION("""COMPUTED_VALUE""")," ")</f>
        <v> </v>
      </c>
      <c r="H1029" s="44" t="str">
        <f>IFERROR(__xludf.DUMMYFUNCTION("""COMPUTED_VALUE""")," ")</f>
        <v> </v>
      </c>
      <c r="I1029" s="44" t="str">
        <f>IFERROR(__xludf.DUMMYFUNCTION("""COMPUTED_VALUE""")," ")</f>
        <v> </v>
      </c>
      <c r="J1029" s="44" t="str">
        <f>IFERROR(__xludf.DUMMYFUNCTION("""COMPUTED_VALUE"""),"25/06/2026")</f>
        <v>25/06/2026</v>
      </c>
      <c r="K1029" s="42" t="str">
        <f>IFERROR(__xludf.DUMMYFUNCTION("""COMPUTED_VALUE"""),"Hospital Pérez Carreño")</f>
        <v>Hospital Pérez Carreño</v>
      </c>
    </row>
    <row r="1030">
      <c r="A1030" s="44">
        <v>1029.0</v>
      </c>
      <c r="B1030" s="44" t="str">
        <f>IFERROR(__xludf.DUMMYFUNCTION("""COMPUTED_VALUE"""),"Hospital Pérez Carreño")</f>
        <v>Hospital Pérez Carreño</v>
      </c>
      <c r="C1030" s="45" t="str">
        <f>IFERROR(__xludf.DUMMYFUNCTION("""COMPUTED_VALUE"""),"SOJA LOZADA REINA ALEJANDRA")</f>
        <v>SOJA LOZADA REINA ALEJANDRA</v>
      </c>
      <c r="D1030" s="44" t="str">
        <f>IFERROR(__xludf.DUMMYFUNCTION("""COMPUTED_VALUE""")," ")</f>
        <v> </v>
      </c>
      <c r="E1030" s="44" t="str">
        <f>IFERROR(__xludf.DUMMYFUNCTION("""COMPUTED_VALUE"""),"69046290")</f>
        <v>69046290</v>
      </c>
      <c r="F1030" s="44" t="str">
        <f>IFERROR(__xludf.DUMMYFUNCTION("""COMPUTED_VALUE"""),"")</f>
        <v/>
      </c>
      <c r="G1030" s="44" t="str">
        <f>IFERROR(__xludf.DUMMYFUNCTION("""COMPUTED_VALUE""")," ")</f>
        <v> </v>
      </c>
      <c r="H1030" s="44" t="str">
        <f>IFERROR(__xludf.DUMMYFUNCTION("""COMPUTED_VALUE""")," ")</f>
        <v> </v>
      </c>
      <c r="I1030" s="44" t="str">
        <f>IFERROR(__xludf.DUMMYFUNCTION("""COMPUTED_VALUE"""),"Triaje")</f>
        <v>Triaje</v>
      </c>
      <c r="J1030" s="44" t="str">
        <f>IFERROR(__xludf.DUMMYFUNCTION("""COMPUTED_VALUE"""),"25/06/2026")</f>
        <v>25/06/2026</v>
      </c>
      <c r="K1030" s="42" t="str">
        <f>IFERROR(__xludf.DUMMYFUNCTION("""COMPUTED_VALUE"""),"Hospital Pérez Carreño")</f>
        <v>Hospital Pérez Carreño</v>
      </c>
    </row>
    <row r="1031">
      <c r="A1031" s="44">
        <v>1030.0</v>
      </c>
      <c r="B1031" s="44" t="str">
        <f>IFERROR(__xludf.DUMMYFUNCTION("""COMPUTED_VALUE"""),"Hospital Militar Dr. C. Arvelo")</f>
        <v>Hospital Militar Dr. C. Arvelo</v>
      </c>
      <c r="C1031" s="45" t="str">
        <f>IFERROR(__xludf.DUMMYFUNCTION("""COMPUTED_VALUE"""),"Legorburu Juan Andrés")</f>
        <v>Legorburu Juan Andrés</v>
      </c>
      <c r="D1031" s="44">
        <f>IFERROR(__xludf.DUMMYFUNCTION("""COMPUTED_VALUE"""),58.0)</f>
        <v>58</v>
      </c>
      <c r="E1031" s="44" t="str">
        <f>IFERROR(__xludf.DUMMYFUNCTION("""COMPUTED_VALUE"""),"6914851")</f>
        <v>6914851</v>
      </c>
      <c r="F1031" s="44" t="str">
        <f>IFERROR(__xludf.DUMMYFUNCTION("""COMPUTED_VALUE"""),"")</f>
        <v/>
      </c>
      <c r="G1031" s="44" t="str">
        <f>IFERROR(__xludf.DUMMYFUNCTION("""COMPUTED_VALUE"""),"")</f>
        <v/>
      </c>
      <c r="H1031" s="44" t="str">
        <f>IFERROR(__xludf.DUMMYFUNCTION("""COMPUTED_VALUE"""),"M")</f>
        <v>M</v>
      </c>
      <c r="I1031" s="44" t="str">
        <f>IFERROR(__xludf.DUMMYFUNCTION("""COMPUTED_VALUE"""),"Los Palos Grandes PNA")</f>
        <v>Los Palos Grandes PNA</v>
      </c>
      <c r="J1031" s="44" t="str">
        <f>IFERROR(__xludf.DUMMYFUNCTION("""COMPUTED_VALUE"""),"24/6/2026")</f>
        <v>24/6/2026</v>
      </c>
      <c r="K1031" s="42" t="str">
        <f>IFERROR(__xludf.DUMMYFUNCTION("""COMPUTED_VALUE"""),"Hospital Militar Dr. C. Arvelo")</f>
        <v>Hospital Militar Dr. C. Arvelo</v>
      </c>
    </row>
    <row r="1032">
      <c r="A1032" s="44">
        <v>1031.0</v>
      </c>
      <c r="B1032" s="44" t="str">
        <f>IFERROR(__xludf.DUMMYFUNCTION("""COMPUTED_VALUE"""),"Hospital Militar Dr. C. Arvelo")</f>
        <v>Hospital Militar Dr. C. Arvelo</v>
      </c>
      <c r="C1032" s="45" t="str">
        <f>IFERROR(__xludf.DUMMYFUNCTION("""COMPUTED_VALUE"""),"Ramos Joselina Alvaredo")</f>
        <v>Ramos Joselina Alvaredo</v>
      </c>
      <c r="D1032" s="44">
        <f>IFERROR(__xludf.DUMMYFUNCTION("""COMPUTED_VALUE"""),61.0)</f>
        <v>61</v>
      </c>
      <c r="E1032" s="44" t="str">
        <f>IFERROR(__xludf.DUMMYFUNCTION("""COMPUTED_VALUE"""),"6916206")</f>
        <v>6916206</v>
      </c>
      <c r="F1032" s="44" t="str">
        <f>IFERROR(__xludf.DUMMYFUNCTION("""COMPUTED_VALUE"""),"")</f>
        <v/>
      </c>
      <c r="G1032" s="44" t="str">
        <f>IFERROR(__xludf.DUMMYFUNCTION("""COMPUTED_VALUE"""),"")</f>
        <v/>
      </c>
      <c r="H1032" s="44" t="str">
        <f>IFERROR(__xludf.DUMMYFUNCTION("""COMPUTED_VALUE"""),"F")</f>
        <v>F</v>
      </c>
      <c r="I1032" s="44" t="str">
        <f>IFERROR(__xludf.DUMMYFUNCTION("""COMPUTED_VALUE"""),"La Guaira GNB Cnel.")</f>
        <v>La Guaira GNB Cnel.</v>
      </c>
      <c r="J1032" s="44" t="str">
        <f>IFERROR(__xludf.DUMMYFUNCTION("""COMPUTED_VALUE"""),"24/6/2026")</f>
        <v>24/6/2026</v>
      </c>
      <c r="K1032" s="42" t="str">
        <f>IFERROR(__xludf.DUMMYFUNCTION("""COMPUTED_VALUE"""),"Hospital Militar Dr. C. Arvelo")</f>
        <v>Hospital Militar Dr. C. Arvelo</v>
      </c>
    </row>
    <row r="1033">
      <c r="A1033" s="44">
        <v>1032.0</v>
      </c>
      <c r="B1033" s="44" t="str">
        <f>IFERROR(__xludf.DUMMYFUNCTION("""COMPUTED_VALUE"""),"Hospital Vargas de Caracas")</f>
        <v>Hospital Vargas de Caracas</v>
      </c>
      <c r="C1033" s="45" t="str">
        <f>IFERROR(__xludf.DUMMYFUNCTION("""COMPUTED_VALUE"""),"MATOS ARACELYS")</f>
        <v>MATOS ARACELYS</v>
      </c>
      <c r="D1033" s="44" t="str">
        <f>IFERROR(__xludf.DUMMYFUNCTION("""COMPUTED_VALUE""")," ")</f>
        <v> </v>
      </c>
      <c r="E1033" s="44" t="str">
        <f>IFERROR(__xludf.DUMMYFUNCTION("""COMPUTED_VALUE"""),"6927171")</f>
        <v>6927171</v>
      </c>
      <c r="F1033" s="44" t="str">
        <f>IFERROR(__xludf.DUMMYFUNCTION("""COMPUTED_VALUE""")," ")</f>
        <v> </v>
      </c>
      <c r="G1033" s="44" t="str">
        <f>IFERROR(__xludf.DUMMYFUNCTION("""COMPUTED_VALUE"""),"")</f>
        <v/>
      </c>
      <c r="H1033" s="44" t="str">
        <f>IFERROR(__xludf.DUMMYFUNCTION("""COMPUTED_VALUE""")," ")</f>
        <v> </v>
      </c>
      <c r="I1033" s="44" t="str">
        <f>IFERROR(__xludf.DUMMYFUNCTION("""COMPUTED_VALUE""")," ")</f>
        <v> </v>
      </c>
      <c r="J1033" s="44" t="str">
        <f>IFERROR(__xludf.DUMMYFUNCTION("""COMPUTED_VALUE"""),"")</f>
        <v/>
      </c>
      <c r="K1033" s="42" t="str">
        <f>IFERROR(__xludf.DUMMYFUNCTION("""COMPUTED_VALUE"""),"Hospital Vargas de Caracas")</f>
        <v>Hospital Vargas de Caracas</v>
      </c>
    </row>
    <row r="1034">
      <c r="A1034" s="44">
        <v>1033.0</v>
      </c>
      <c r="B1034" s="44" t="str">
        <f>IFERROR(__xludf.DUMMYFUNCTION("""COMPUTED_VALUE"""),"Hospital Vargas de Caracas")</f>
        <v>Hospital Vargas de Caracas</v>
      </c>
      <c r="C1034" s="45" t="str">
        <f>IFERROR(__xludf.DUMMYFUNCTION("""COMPUTED_VALUE"""),"SERDIER LUZ MARINA")</f>
        <v>SERDIER LUZ MARINA</v>
      </c>
      <c r="D1034" s="44" t="str">
        <f>IFERROR(__xludf.DUMMYFUNCTION("""COMPUTED_VALUE""")," ")</f>
        <v> </v>
      </c>
      <c r="E1034" s="44" t="str">
        <f>IFERROR(__xludf.DUMMYFUNCTION("""COMPUTED_VALUE"""),"6931566")</f>
        <v>6931566</v>
      </c>
      <c r="F1034" s="44" t="str">
        <f>IFERROR(__xludf.DUMMYFUNCTION("""COMPUTED_VALUE""")," ")</f>
        <v> </v>
      </c>
      <c r="G1034" s="44" t="str">
        <f>IFERROR(__xludf.DUMMYFUNCTION("""COMPUTED_VALUE"""),"")</f>
        <v/>
      </c>
      <c r="H1034" s="44" t="str">
        <f>IFERROR(__xludf.DUMMYFUNCTION("""COMPUTED_VALUE""")," ")</f>
        <v> </v>
      </c>
      <c r="I1034" s="44" t="str">
        <f>IFERROR(__xludf.DUMMYFUNCTION("""COMPUTED_VALUE""")," ")</f>
        <v> </v>
      </c>
      <c r="J1034" s="44" t="str">
        <f>IFERROR(__xludf.DUMMYFUNCTION("""COMPUTED_VALUE"""),"")</f>
        <v/>
      </c>
      <c r="K1034" s="42" t="str">
        <f>IFERROR(__xludf.DUMMYFUNCTION("""COMPUTED_VALUE"""),"Hospital Vargas de Caracas")</f>
        <v>Hospital Vargas de Caracas</v>
      </c>
    </row>
    <row r="1035">
      <c r="A1035" s="44">
        <v>1034.0</v>
      </c>
      <c r="B1035" s="44" t="str">
        <f>IFERROR(__xludf.DUMMYFUNCTION("""COMPUTED_VALUE"""),"Hospital Dr. José Gregorio Hern")</f>
        <v>Hospital Dr. José Gregorio Hern</v>
      </c>
      <c r="C1035" s="45" t="str">
        <f>IFERROR(__xludf.DUMMYFUNCTION("""COMPUTED_VALUE"""),"HOSCO URAMAIKA")</f>
        <v>HOSCO URAMAIKA</v>
      </c>
      <c r="D1035" s="44">
        <f>IFERROR(__xludf.DUMMYFUNCTION("""COMPUTED_VALUE"""),58.0)</f>
        <v>58</v>
      </c>
      <c r="E1035" s="44" t="str">
        <f>IFERROR(__xludf.DUMMYFUNCTION("""COMPUTED_VALUE"""),"7990728")</f>
        <v>7990728</v>
      </c>
      <c r="F1035" s="44" t="str">
        <f>IFERROR(__xludf.DUMMYFUNCTION("""COMPUTED_VALUE"""),"")</f>
        <v/>
      </c>
      <c r="G1035" s="44" t="str">
        <f>IFERROR(__xludf.DUMMYFUNCTION("""COMPUTED_VALUE""")," ")</f>
        <v> </v>
      </c>
      <c r="H1035" s="44" t="str">
        <f>IFERROR(__xludf.DUMMYFUNCTION("""COMPUTED_VALUE"""),"La Guaira")</f>
        <v>La Guaira</v>
      </c>
      <c r="I1035" s="44" t="str">
        <f>IFERROR(__xludf.DUMMYFUNCTION("""COMPUTED_VALUE""")," ")</f>
        <v> </v>
      </c>
      <c r="J1035" s="44" t="str">
        <f>IFERROR(__xludf.DUMMYFUNCTION("""COMPUTED_VALUE"""),"")</f>
        <v/>
      </c>
      <c r="K1035" s="42" t="str">
        <f>IFERROR(__xludf.DUMMYFUNCTION("""COMPUTED_VALUE"""),"Hospital Dr. José Gregorio Hern")</f>
        <v>Hospital Dr. José Gregorio Hern</v>
      </c>
    </row>
    <row r="1036">
      <c r="A1036" s="44">
        <v>1035.0</v>
      </c>
      <c r="B1036" s="44" t="str">
        <f>IFERROR(__xludf.DUMMYFUNCTION("""COMPUTED_VALUE"""),"Hospital Vargas de Caracas")</f>
        <v>Hospital Vargas de Caracas</v>
      </c>
      <c r="C1036" s="45" t="str">
        <f>IFERROR(__xludf.DUMMYFUNCTION("""COMPUTED_VALUE"""),"VILLEGAS JOSE")</f>
        <v>VILLEGAS JOSE</v>
      </c>
      <c r="D1036" s="44" t="str">
        <f>IFERROR(__xludf.DUMMYFUNCTION("""COMPUTED_VALUE""")," ")</f>
        <v> </v>
      </c>
      <c r="E1036" s="44" t="str">
        <f>IFERROR(__xludf.DUMMYFUNCTION("""COMPUTED_VALUE"""),"799128")</f>
        <v>799128</v>
      </c>
      <c r="F1036" s="44" t="str">
        <f>IFERROR(__xludf.DUMMYFUNCTION("""COMPUTED_VALUE""")," ")</f>
        <v> </v>
      </c>
      <c r="G1036" s="44" t="str">
        <f>IFERROR(__xludf.DUMMYFUNCTION("""COMPUTED_VALUE"""),"")</f>
        <v/>
      </c>
      <c r="H1036" s="44" t="str">
        <f>IFERROR(__xludf.DUMMYFUNCTION("""COMPUTED_VALUE""")," ")</f>
        <v> </v>
      </c>
      <c r="I1036" s="44" t="str">
        <f>IFERROR(__xludf.DUMMYFUNCTION("""COMPUTED_VALUE""")," ")</f>
        <v> </v>
      </c>
      <c r="J1036" s="44" t="str">
        <f>IFERROR(__xludf.DUMMYFUNCTION("""COMPUTED_VALUE"""),"")</f>
        <v/>
      </c>
      <c r="K1036" s="42" t="str">
        <f>IFERROR(__xludf.DUMMYFUNCTION("""COMPUTED_VALUE"""),"Hospital Vargas de Caracas")</f>
        <v>Hospital Vargas de Caracas</v>
      </c>
    </row>
    <row r="1037">
      <c r="A1037" s="44">
        <v>1036.0</v>
      </c>
      <c r="B1037" s="44" t="str">
        <f>IFERROR(__xludf.DUMMYFUNCTION("""COMPUTED_VALUE"""),"H. Jose Maria Vargas LG")</f>
        <v>H. Jose Maria Vargas LG</v>
      </c>
      <c r="C1037" s="45" t="str">
        <f>IFERROR(__xludf.DUMMYFUNCTION("""COMPUTED_VALUE"""),"ACOSTA MIGUEL")</f>
        <v>ACOSTA MIGUEL</v>
      </c>
      <c r="D1037" s="44" t="str">
        <f>IFERROR(__xludf.DUMMYFUNCTION("""COMPUTED_VALUE""")," ")</f>
        <v> </v>
      </c>
      <c r="E1037" s="44" t="str">
        <f>IFERROR(__xludf.DUMMYFUNCTION("""COMPUTED_VALUE"""),"7991965")</f>
        <v>7991965</v>
      </c>
      <c r="F1037" s="44" t="str">
        <f>IFERROR(__xludf.DUMMYFUNCTION("""COMPUTED_VALUE"""),"")</f>
        <v/>
      </c>
      <c r="G1037" s="44" t="str">
        <f>IFERROR(__xludf.DUMMYFUNCTION("""COMPUTED_VALUE""")," ")</f>
        <v> </v>
      </c>
      <c r="H1037" s="44" t="str">
        <f>IFERROR(__xludf.DUMMYFUNCTION("""COMPUTED_VALUE"""),"Los Corales")</f>
        <v>Los Corales</v>
      </c>
      <c r="I1037" s="44" t="str">
        <f>IFERROR(__xludf.DUMMYFUNCTION("""COMPUTED_VALUE""")," ")</f>
        <v> </v>
      </c>
      <c r="J1037" s="44" t="str">
        <f>IFERROR(__xludf.DUMMYFUNCTION("""COMPUTED_VALUE"""),"")</f>
        <v/>
      </c>
      <c r="K1037" s="42" t="str">
        <f>IFERROR(__xludf.DUMMYFUNCTION("""COMPUTED_VALUE"""),"H. Jose Maria Vargas LG")</f>
        <v>H. Jose Maria Vargas LG</v>
      </c>
    </row>
    <row r="1038">
      <c r="A1038" s="44">
        <v>1037.0</v>
      </c>
      <c r="B1038" s="44" t="str">
        <f>IFERROR(__xludf.DUMMYFUNCTION("""COMPUTED_VALUE"""),"Seguro Social La Guaira")</f>
        <v>Seguro Social La Guaira</v>
      </c>
      <c r="C1038" s="45" t="str">
        <f>IFERROR(__xludf.DUMMYFUNCTION("""COMPUTED_VALUE"""),"MIGUEL ACOSTA")</f>
        <v>MIGUEL ACOSTA</v>
      </c>
      <c r="D1038" s="44" t="str">
        <f>IFERROR(__xludf.DUMMYFUNCTION("""COMPUTED_VALUE""")," ")</f>
        <v> </v>
      </c>
      <c r="E1038" s="44" t="str">
        <f>IFERROR(__xludf.DUMMYFUNCTION("""COMPUTED_VALUE"""),"79919650")</f>
        <v>79919650</v>
      </c>
      <c r="F1038" s="44" t="str">
        <f>IFERROR(__xludf.DUMMYFUNCTION("""COMPUTED_VALUE"""),"")</f>
        <v/>
      </c>
      <c r="G1038" s="44" t="str">
        <f>IFERROR(__xludf.DUMMYFUNCTION("""COMPUTED_VALUE""")," ")</f>
        <v> </v>
      </c>
      <c r="H1038" s="44" t="str">
        <f>IFERROR(__xludf.DUMMYFUNCTION("""COMPUTED_VALUE"""),"Corales")</f>
        <v>Corales</v>
      </c>
      <c r="I1038" s="44" t="str">
        <f>IFERROR(__xludf.DUMMYFUNCTION("""COMPUTED_VALUE""")," ")</f>
        <v> </v>
      </c>
      <c r="J1038" s="44" t="str">
        <f>IFERROR(__xludf.DUMMYFUNCTION("""COMPUTED_VALUE"""),"")</f>
        <v/>
      </c>
      <c r="K1038" s="42" t="str">
        <f>IFERROR(__xludf.DUMMYFUNCTION("""COMPUTED_VALUE"""),"Seguro Social La Guaira")</f>
        <v>Seguro Social La Guaira</v>
      </c>
    </row>
    <row r="1039">
      <c r="A1039" s="44">
        <v>1038.0</v>
      </c>
      <c r="B1039" s="44" t="str">
        <f>IFERROR(__xludf.DUMMYFUNCTION("""COMPUTED_VALUE"""),"H. Jose Maria Vargas LG")</f>
        <v>H. Jose Maria Vargas LG</v>
      </c>
      <c r="C1039" s="45" t="str">
        <f>IFERROR(__xludf.DUMMYFUNCTION("""COMPUTED_VALUE"""),"REGINFO ADERSON")</f>
        <v>REGINFO ADERSON</v>
      </c>
      <c r="D1039" s="44" t="str">
        <f>IFERROR(__xludf.DUMMYFUNCTION("""COMPUTED_VALUE""")," ")</f>
        <v> </v>
      </c>
      <c r="E1039" s="44" t="str">
        <f>IFERROR(__xludf.DUMMYFUNCTION("""COMPUTED_VALUE"""),"7995694")</f>
        <v>7995694</v>
      </c>
      <c r="F1039" s="44" t="str">
        <f>IFERROR(__xludf.DUMMYFUNCTION("""COMPUTED_VALUE"""),"")</f>
        <v/>
      </c>
      <c r="G1039" s="44" t="str">
        <f>IFERROR(__xludf.DUMMYFUNCTION("""COMPUTED_VALUE""")," ")</f>
        <v> </v>
      </c>
      <c r="H1039" s="44" t="str">
        <f>IFERROR(__xludf.DUMMYFUNCTION("""COMPUTED_VALUE"""),"OPPE 27")</f>
        <v>OPPE 27</v>
      </c>
      <c r="I1039" s="44" t="str">
        <f>IFERROR(__xludf.DUMMYFUNCTION("""COMPUTED_VALUE""")," ")</f>
        <v> </v>
      </c>
      <c r="J1039" s="44" t="str">
        <f>IFERROR(__xludf.DUMMYFUNCTION("""COMPUTED_VALUE"""),"")</f>
        <v/>
      </c>
      <c r="K1039" s="42" t="str">
        <f>IFERROR(__xludf.DUMMYFUNCTION("""COMPUTED_VALUE"""),"H. Jose Maria Vargas LG")</f>
        <v>H. Jose Maria Vargas LG</v>
      </c>
    </row>
    <row r="1040">
      <c r="A1040" s="44">
        <v>1039.0</v>
      </c>
      <c r="B1040" s="44" t="str">
        <f>IFERROR(__xludf.DUMMYFUNCTION("""COMPUTED_VALUE"""),"Seguro Social La Guaira")</f>
        <v>Seguro Social La Guaira</v>
      </c>
      <c r="C1040" s="45" t="str">
        <f>IFERROR(__xludf.DUMMYFUNCTION("""COMPUTED_VALUE"""),"ADERSON REGINFO")</f>
        <v>ADERSON REGINFO</v>
      </c>
      <c r="D1040" s="44" t="str">
        <f>IFERROR(__xludf.DUMMYFUNCTION("""COMPUTED_VALUE""")," ")</f>
        <v> </v>
      </c>
      <c r="E1040" s="44" t="str">
        <f>IFERROR(__xludf.DUMMYFUNCTION("""COMPUTED_VALUE"""),"79956940")</f>
        <v>79956940</v>
      </c>
      <c r="F1040" s="44" t="str">
        <f>IFERROR(__xludf.DUMMYFUNCTION("""COMPUTED_VALUE"""),"")</f>
        <v/>
      </c>
      <c r="G1040" s="44" t="str">
        <f>IFERROR(__xludf.DUMMYFUNCTION("""COMPUTED_VALUE""")," ")</f>
        <v> </v>
      </c>
      <c r="H1040" s="44" t="str">
        <f>IFERROR(__xludf.DUMMYFUNCTION("""COMPUTED_VALUE"""),"OPP 27")</f>
        <v>OPP 27</v>
      </c>
      <c r="I1040" s="44" t="str">
        <f>IFERROR(__xludf.DUMMYFUNCTION("""COMPUTED_VALUE""")," ")</f>
        <v> </v>
      </c>
      <c r="J1040" s="44" t="str">
        <f>IFERROR(__xludf.DUMMYFUNCTION("""COMPUTED_VALUE"""),"")</f>
        <v/>
      </c>
      <c r="K1040" s="42" t="str">
        <f>IFERROR(__xludf.DUMMYFUNCTION("""COMPUTED_VALUE"""),"Seguro Social La Guaira")</f>
        <v>Seguro Social La Guaira</v>
      </c>
    </row>
    <row r="1041">
      <c r="A1041" s="44">
        <v>1040.0</v>
      </c>
      <c r="B1041" s="44" t="str">
        <f>IFERROR(__xludf.DUMMYFUNCTION("""COMPUTED_VALUE"""),"H. Jose Maria Vargas LG")</f>
        <v>H. Jose Maria Vargas LG</v>
      </c>
      <c r="C1041" s="45" t="str">
        <f>IFERROR(__xludf.DUMMYFUNCTION("""COMPUTED_VALUE"""),"LEMUS YANNA")</f>
        <v>LEMUS YANNA</v>
      </c>
      <c r="D1041" s="44">
        <f>IFERROR(__xludf.DUMMYFUNCTION("""COMPUTED_VALUE"""),72.0)</f>
        <v>72</v>
      </c>
      <c r="E1041" s="44" t="str">
        <f>IFERROR(__xludf.DUMMYFUNCTION("""COMPUTED_VALUE"""),"7996011")</f>
        <v>7996011</v>
      </c>
      <c r="F1041" s="44" t="str">
        <f>IFERROR(__xludf.DUMMYFUNCTION("""COMPUTED_VALUE"""),"")</f>
        <v/>
      </c>
      <c r="G1041" s="44" t="str">
        <f>IFERROR(__xludf.DUMMYFUNCTION("""COMPUTED_VALUE""")," ")</f>
        <v> </v>
      </c>
      <c r="H1041" s="44" t="str">
        <f>IFERROR(__xludf.DUMMYFUNCTION("""COMPUTED_VALUE"""),"Caribe")</f>
        <v>Caribe</v>
      </c>
      <c r="I1041" s="44" t="str">
        <f>IFERROR(__xludf.DUMMYFUNCTION("""COMPUTED_VALUE""")," ")</f>
        <v> </v>
      </c>
      <c r="J1041" s="44" t="str">
        <f>IFERROR(__xludf.DUMMYFUNCTION("""COMPUTED_VALUE"""),"")</f>
        <v/>
      </c>
      <c r="K1041" s="42" t="str">
        <f>IFERROR(__xludf.DUMMYFUNCTION("""COMPUTED_VALUE"""),"H. Jose Maria Vargas LG")</f>
        <v>H. Jose Maria Vargas LG</v>
      </c>
    </row>
    <row r="1042">
      <c r="A1042" s="44">
        <v>1041.0</v>
      </c>
      <c r="B1042" s="44" t="str">
        <f>IFERROR(__xludf.DUMMYFUNCTION("""COMPUTED_VALUE"""),"Hospital Ana Francisca Pérez de")</f>
        <v>Hospital Ana Francisca Pérez de</v>
      </c>
      <c r="C1042" s="45" t="str">
        <f>IFERROR(__xludf.DUMMYFUNCTION("""COMPUTED_VALUE"""),"ROSALES AMADA")</f>
        <v>ROSALES AMADA</v>
      </c>
      <c r="D1042" s="44">
        <f>IFERROR(__xludf.DUMMYFUNCTION("""COMPUTED_VALUE"""),55.0)</f>
        <v>55</v>
      </c>
      <c r="E1042" s="44" t="str">
        <f>IFERROR(__xludf.DUMMYFUNCTION("""COMPUTED_VALUE"""),"7999326")</f>
        <v>7999326</v>
      </c>
      <c r="F1042" s="44" t="str">
        <f>IFERROR(__xludf.DUMMYFUNCTION("""COMPUTED_VALUE"""),"")</f>
        <v/>
      </c>
      <c r="G1042" s="44" t="str">
        <f>IFERROR(__xludf.DUMMYFUNCTION("""COMPUTED_VALUE""")," ")</f>
        <v> </v>
      </c>
      <c r="H1042" s="44" t="str">
        <f>IFERROR(__xludf.DUMMYFUNCTION("""COMPUTED_VALUE""")," ")</f>
        <v> </v>
      </c>
      <c r="I1042" s="44" t="str">
        <f>IFERROR(__xludf.DUMMYFUNCTION("""COMPUTED_VALUE"""),"Internado")</f>
        <v>Internado</v>
      </c>
      <c r="J1042" s="44" t="str">
        <f>IFERROR(__xludf.DUMMYFUNCTION("""COMPUTED_VALUE"""),"")</f>
        <v/>
      </c>
      <c r="K1042" s="42" t="str">
        <f>IFERROR(__xludf.DUMMYFUNCTION("""COMPUTED_VALUE"""),"Hospital Ana Francisca Pérez de")</f>
        <v>Hospital Ana Francisca Pérez de</v>
      </c>
    </row>
    <row r="1043">
      <c r="A1043" s="44">
        <v>1042.0</v>
      </c>
      <c r="B1043" s="44" t="str">
        <f>IFERROR(__xludf.DUMMYFUNCTION("""COMPUTED_VALUE"""),"Hospital Ana Francisca Pérez de")</f>
        <v>Hospital Ana Francisca Pérez de</v>
      </c>
      <c r="C1043" s="45" t="str">
        <f>IFERROR(__xludf.DUMMYFUNCTION("""COMPUTED_VALUE"""),"ANYEL DIAZ DI-ABREU")</f>
        <v>ANYEL DIAZ DI-ABREU</v>
      </c>
      <c r="D1043" s="44">
        <f>IFERROR(__xludf.DUMMYFUNCTION("""COMPUTED_VALUE"""),22.0)</f>
        <v>22</v>
      </c>
      <c r="E1043" s="44" t="str">
        <f>IFERROR(__xludf.DUMMYFUNCTION("""COMPUTED_VALUE"""),"809099300")</f>
        <v>809099300</v>
      </c>
      <c r="F1043" s="44" t="str">
        <f>IFERROR(__xludf.DUMMYFUNCTION("""COMPUTED_VALUE"""),"")</f>
        <v/>
      </c>
      <c r="G1043" s="44" t="str">
        <f>IFERROR(__xludf.DUMMYFUNCTION("""COMPUTED_VALUE""")," ")</f>
        <v> </v>
      </c>
      <c r="H1043" s="44" t="str">
        <f>IFERROR(__xludf.DUMMYFUNCTION("""COMPUTED_VALUE"""),"La Guaira")</f>
        <v>La Guaira</v>
      </c>
      <c r="I1043" s="44" t="str">
        <f>IFERROR(__xludf.DUMMYFUNCTION("""COMPUTED_VALUE""")," ")</f>
        <v> </v>
      </c>
      <c r="J1043" s="44" t="str">
        <f>IFERROR(__xludf.DUMMYFUNCTION("""COMPUTED_VALUE"""),"")</f>
        <v/>
      </c>
      <c r="K1043" s="42" t="str">
        <f>IFERROR(__xludf.DUMMYFUNCTION("""COMPUTED_VALUE"""),"🔍 BUSCAR PACIENTES")</f>
        <v>🔍 BUSCAR PACIENTES</v>
      </c>
    </row>
    <row r="1044">
      <c r="A1044" s="44">
        <v>1043.0</v>
      </c>
      <c r="B1044" s="44" t="str">
        <f>IFERROR(__xludf.DUMMYFUNCTION("""COMPUTED_VALUE"""),"Hospital Ana Francisca Pérez de")</f>
        <v>Hospital Ana Francisca Pérez de</v>
      </c>
      <c r="C1044" s="45" t="str">
        <f>IFERROR(__xludf.DUMMYFUNCTION("""COMPUTED_VALUE"""),"DI ABREU ANYIR PAEZ")</f>
        <v>DI ABREU ANYIR PAEZ</v>
      </c>
      <c r="D1044" s="44">
        <f>IFERROR(__xludf.DUMMYFUNCTION("""COMPUTED_VALUE"""),22.0)</f>
        <v>22</v>
      </c>
      <c r="E1044" s="44" t="str">
        <f>IFERROR(__xludf.DUMMYFUNCTION("""COMPUTED_VALUE"""),"80909980")</f>
        <v>80909980</v>
      </c>
      <c r="F1044" s="44" t="str">
        <f>IFERROR(__xludf.DUMMYFUNCTION("""COMPUTED_VALUE"""),"")</f>
        <v/>
      </c>
      <c r="G1044" s="44" t="str">
        <f>IFERROR(__xludf.DUMMYFUNCTION("""COMPUTED_VALUE""")," ")</f>
        <v> </v>
      </c>
      <c r="H1044" s="44" t="str">
        <f>IFERROR(__xludf.DUMMYFUNCTION("""COMPUTED_VALUE"""),"La Guaira")</f>
        <v>La Guaira</v>
      </c>
      <c r="I1044" s="44" t="str">
        <f>IFERROR(__xludf.DUMMYFUNCTION("""COMPUTED_VALUE""")," ")</f>
        <v> </v>
      </c>
      <c r="J1044" s="44" t="str">
        <f>IFERROR(__xludf.DUMMYFUNCTION("""COMPUTED_VALUE"""),"")</f>
        <v/>
      </c>
      <c r="K1044" s="42" t="str">
        <f>IFERROR(__xludf.DUMMYFUNCTION("""COMPUTED_VALUE"""),"Hospital Ana Francisca Pérez de")</f>
        <v>Hospital Ana Francisca Pérez de</v>
      </c>
    </row>
    <row r="1045">
      <c r="A1045" s="44">
        <v>1044.0</v>
      </c>
      <c r="B1045" s="44" t="str">
        <f>IFERROR(__xludf.DUMMYFUNCTION("""COMPUTED_VALUE"""),"Hospital Ana Francisca Pérez de")</f>
        <v>Hospital Ana Francisca Pérez de</v>
      </c>
      <c r="C1045" s="45" t="str">
        <f>IFERROR(__xludf.DUMMYFUNCTION("""COMPUTED_VALUE"""),"SAMUEL ALYANDO BLANCO DIAS")</f>
        <v>SAMUEL ALYANDO BLANCO DIAS</v>
      </c>
      <c r="D1045" s="44">
        <f>IFERROR(__xludf.DUMMYFUNCTION("""COMPUTED_VALUE"""),23.0)</f>
        <v>23</v>
      </c>
      <c r="E1045" s="44" t="str">
        <f>IFERROR(__xludf.DUMMYFUNCTION("""COMPUTED_VALUE"""),"813088340")</f>
        <v>813088340</v>
      </c>
      <c r="F1045" s="44" t="str">
        <f>IFERROR(__xludf.DUMMYFUNCTION("""COMPUTED_VALUE"""),"")</f>
        <v/>
      </c>
      <c r="G1045" s="44" t="str">
        <f>IFERROR(__xludf.DUMMYFUNCTION("""COMPUTED_VALUE""")," ")</f>
        <v> </v>
      </c>
      <c r="H1045" s="44" t="str">
        <f>IFERROR(__xludf.DUMMYFUNCTION("""COMPUTED_VALUE"""),"La Guaira")</f>
        <v>La Guaira</v>
      </c>
      <c r="I1045" s="44" t="str">
        <f>IFERROR(__xludf.DUMMYFUNCTION("""COMPUTED_VALUE""")," ")</f>
        <v> </v>
      </c>
      <c r="J1045" s="44" t="str">
        <f>IFERROR(__xludf.DUMMYFUNCTION("""COMPUTED_VALUE"""),"")</f>
        <v/>
      </c>
      <c r="K1045" s="42" t="str">
        <f>IFERROR(__xludf.DUMMYFUNCTION("""COMPUTED_VALUE"""),"🔍 BUSCAR PACIENTES")</f>
        <v>🔍 BUSCAR PACIENTES</v>
      </c>
    </row>
    <row r="1046">
      <c r="A1046" s="44">
        <v>1045.0</v>
      </c>
      <c r="B1046" s="44" t="str">
        <f>IFERROR(__xludf.DUMMYFUNCTION("""COMPUTED_VALUE"""),"Hospital Pérez Carreño")</f>
        <v>Hospital Pérez Carreño</v>
      </c>
      <c r="C1046" s="45" t="str">
        <f>IFERROR(__xludf.DUMMYFUNCTION("""COMPUTED_VALUE"""),"CHUZO MERIDO")</f>
        <v>CHUZO MERIDO</v>
      </c>
      <c r="D1046" s="44" t="str">
        <f>IFERROR(__xludf.DUMMYFUNCTION("""COMPUTED_VALUE""")," ")</f>
        <v> </v>
      </c>
      <c r="E1046" s="44" t="str">
        <f>IFERROR(__xludf.DUMMYFUNCTION("""COMPUTED_VALUE"""),"81462470")</f>
        <v>81462470</v>
      </c>
      <c r="F1046" s="44" t="str">
        <f>IFERROR(__xludf.DUMMYFUNCTION("""COMPUTED_VALUE"""),"")</f>
        <v/>
      </c>
      <c r="G1046" s="44" t="str">
        <f>IFERROR(__xludf.DUMMYFUNCTION("""COMPUTED_VALUE""")," ")</f>
        <v> </v>
      </c>
      <c r="H1046" s="44" t="str">
        <f>IFERROR(__xludf.DUMMYFUNCTION("""COMPUTED_VALUE""")," ")</f>
        <v> </v>
      </c>
      <c r="I1046" s="44" t="str">
        <f>IFERROR(__xludf.DUMMYFUNCTION("""COMPUTED_VALUE""")," ")</f>
        <v> </v>
      </c>
      <c r="J1046" s="44" t="str">
        <f>IFERROR(__xludf.DUMMYFUNCTION("""COMPUTED_VALUE"""),"25/06/2026")</f>
        <v>25/06/2026</v>
      </c>
      <c r="K1046" s="42" t="str">
        <f>IFERROR(__xludf.DUMMYFUNCTION("""COMPUTED_VALUE"""),"Hospital Pérez Carreño")</f>
        <v>Hospital Pérez Carreño</v>
      </c>
    </row>
    <row r="1047">
      <c r="A1047" s="44">
        <v>1046.0</v>
      </c>
      <c r="B1047" s="44" t="str">
        <f>IFERROR(__xludf.DUMMYFUNCTION("""COMPUTED_VALUE"""),"Hospital Pérez Carreño")</f>
        <v>Hospital Pérez Carreño</v>
      </c>
      <c r="C1047" s="45" t="str">
        <f>IFERROR(__xludf.DUMMYFUNCTION("""COMPUTED_VALUE"""),"CHAVEZ MERI")</f>
        <v>CHAVEZ MERI</v>
      </c>
      <c r="D1047" s="44" t="str">
        <f>IFERROR(__xludf.DUMMYFUNCTION("""COMPUTED_VALUE""")," ")</f>
        <v> </v>
      </c>
      <c r="E1047" s="44" t="str">
        <f>IFERROR(__xludf.DUMMYFUNCTION("""COMPUTED_VALUE"""),"814624700")</f>
        <v>814624700</v>
      </c>
      <c r="F1047" s="44" t="str">
        <f>IFERROR(__xludf.DUMMYFUNCTION("""COMPUTED_VALUE"""),"")</f>
        <v/>
      </c>
      <c r="G1047" s="44" t="str">
        <f>IFERROR(__xludf.DUMMYFUNCTION("""COMPUTED_VALUE""")," ")</f>
        <v> </v>
      </c>
      <c r="H1047" s="44" t="str">
        <f>IFERROR(__xludf.DUMMYFUNCTION("""COMPUTED_VALUE""")," ")</f>
        <v> </v>
      </c>
      <c r="I1047" s="44" t="str">
        <f>IFERROR(__xludf.DUMMYFUNCTION("""COMPUTED_VALUE"""),"TRIAJE")</f>
        <v>TRIAJE</v>
      </c>
      <c r="J1047" s="44" t="str">
        <f>IFERROR(__xludf.DUMMYFUNCTION("""COMPUTED_VALUE"""),"25/06/2026")</f>
        <v>25/06/2026</v>
      </c>
      <c r="K1047" s="42" t="str">
        <f>IFERROR(__xludf.DUMMYFUNCTION("""COMPUTED_VALUE"""),"Hospital Pérez Carreño")</f>
        <v>Hospital Pérez Carreño</v>
      </c>
    </row>
    <row r="1048">
      <c r="A1048" s="44">
        <v>1047.0</v>
      </c>
      <c r="B1048" s="44" t="str">
        <f>IFERROR(__xludf.DUMMYFUNCTION("""COMPUTED_VALUE"""),"Hospital Militar Dr. C. Arvelo")</f>
        <v>Hospital Militar Dr. C. Arvelo</v>
      </c>
      <c r="C1048" s="45" t="str">
        <f>IFERROR(__xludf.DUMMYFUNCTION("""COMPUTED_VALUE"""),"Hernández de Collado Mónica")</f>
        <v>Hernández de Collado Mónica</v>
      </c>
      <c r="D1048" s="44">
        <f>IFERROR(__xludf.DUMMYFUNCTION("""COMPUTED_VALUE"""),55.0)</f>
        <v>55</v>
      </c>
      <c r="E1048" s="44" t="str">
        <f>IFERROR(__xludf.DUMMYFUNCTION("""COMPUTED_VALUE"""),"8152742")</f>
        <v>8152742</v>
      </c>
      <c r="F1048" s="44" t="str">
        <f>IFERROR(__xludf.DUMMYFUNCTION("""COMPUTED_VALUE"""),"")</f>
        <v/>
      </c>
      <c r="G1048" s="44" t="str">
        <f>IFERROR(__xludf.DUMMYFUNCTION("""COMPUTED_VALUE"""),"")</f>
        <v/>
      </c>
      <c r="H1048" s="44" t="str">
        <f>IFERROR(__xludf.DUMMYFUNCTION("""COMPUTED_VALUE"""),"F")</f>
        <v>F</v>
      </c>
      <c r="I1048" s="44" t="str">
        <f>IFERROR(__xludf.DUMMYFUNCTION("""COMPUTED_VALUE"""),"La Guaira PNA")</f>
        <v>La Guaira PNA</v>
      </c>
      <c r="J1048" s="44" t="str">
        <f>IFERROR(__xludf.DUMMYFUNCTION("""COMPUTED_VALUE"""),"24/6/2026")</f>
        <v>24/6/2026</v>
      </c>
      <c r="K1048" s="42" t="str">
        <f>IFERROR(__xludf.DUMMYFUNCTION("""COMPUTED_VALUE"""),"Hospital Militar Dr. C. Arvelo")</f>
        <v>Hospital Militar Dr. C. Arvelo</v>
      </c>
    </row>
    <row r="1049">
      <c r="A1049" s="44">
        <v>1048.0</v>
      </c>
      <c r="B1049" s="44" t="str">
        <f>IFERROR(__xludf.DUMMYFUNCTION("""COMPUTED_VALUE"""),"Hospital Pérez Carreño")</f>
        <v>Hospital Pérez Carreño</v>
      </c>
      <c r="C1049" s="45" t="str">
        <f>IFERROR(__xludf.DUMMYFUNCTION("""COMPUTED_VALUE"""),"FIGUERA FERNANDA")</f>
        <v>FIGUERA FERNANDA</v>
      </c>
      <c r="D1049" s="44" t="str">
        <f>IFERROR(__xludf.DUMMYFUNCTION("""COMPUTED_VALUE""")," ")</f>
        <v> </v>
      </c>
      <c r="E1049" s="44" t="str">
        <f>IFERROR(__xludf.DUMMYFUNCTION("""COMPUTED_VALUE"""),"81659048")</f>
        <v>81659048</v>
      </c>
      <c r="F1049" s="44" t="str">
        <f>IFERROR(__xludf.DUMMYFUNCTION("""COMPUTED_VALUE"""),"")</f>
        <v/>
      </c>
      <c r="G1049" s="44" t="str">
        <f>IFERROR(__xludf.DUMMYFUNCTION("""COMPUTED_VALUE""")," ")</f>
        <v> </v>
      </c>
      <c r="H1049" s="44" t="str">
        <f>IFERROR(__xludf.DUMMYFUNCTION("""COMPUTED_VALUE""")," ")</f>
        <v> </v>
      </c>
      <c r="I1049" s="44" t="str">
        <f>IFERROR(__xludf.DUMMYFUNCTION("""COMPUTED_VALUE""")," ")</f>
        <v> </v>
      </c>
      <c r="J1049" s="44" t="str">
        <f>IFERROR(__xludf.DUMMYFUNCTION("""COMPUTED_VALUE"""),"25/06/2026")</f>
        <v>25/06/2026</v>
      </c>
      <c r="K1049" s="42" t="str">
        <f>IFERROR(__xludf.DUMMYFUNCTION("""COMPUTED_VALUE"""),"Hospital Pérez Carreño")</f>
        <v>Hospital Pérez Carreño</v>
      </c>
    </row>
    <row r="1050">
      <c r="A1050" s="44">
        <v>1049.0</v>
      </c>
      <c r="B1050" s="44" t="str">
        <f>IFERROR(__xludf.DUMMYFUNCTION("""COMPUTED_VALUE"""),"Hospital Pérez Carreño")</f>
        <v>Hospital Pérez Carreño</v>
      </c>
      <c r="C1050" s="45" t="str">
        <f>IFERROR(__xludf.DUMMYFUNCTION("""COMPUTED_VALUE"""),"FERNANDA FIGUERA")</f>
        <v>FERNANDA FIGUERA</v>
      </c>
      <c r="D1050" s="44" t="str">
        <f>IFERROR(__xludf.DUMMYFUNCTION("""COMPUTED_VALUE""")," ")</f>
        <v> </v>
      </c>
      <c r="E1050" s="44" t="str">
        <f>IFERROR(__xludf.DUMMYFUNCTION("""COMPUTED_VALUE"""),"816590480")</f>
        <v>816590480</v>
      </c>
      <c r="F1050" s="44" t="str">
        <f>IFERROR(__xludf.DUMMYFUNCTION("""COMPUTED_VALUE"""),"")</f>
        <v/>
      </c>
      <c r="G1050" s="44" t="str">
        <f>IFERROR(__xludf.DUMMYFUNCTION("""COMPUTED_VALUE""")," ")</f>
        <v> </v>
      </c>
      <c r="H1050" s="44" t="str">
        <f>IFERROR(__xludf.DUMMYFUNCTION("""COMPUTED_VALUE""")," ")</f>
        <v> </v>
      </c>
      <c r="I1050" s="44" t="str">
        <f>IFERROR(__xludf.DUMMYFUNCTION("""COMPUTED_VALUE""")," ")</f>
        <v> </v>
      </c>
      <c r="J1050" s="44" t="str">
        <f>IFERROR(__xludf.DUMMYFUNCTION("""COMPUTED_VALUE"""),"25/06/2026")</f>
        <v>25/06/2026</v>
      </c>
      <c r="K1050" s="42" t="str">
        <f>IFERROR(__xludf.DUMMYFUNCTION("""COMPUTED_VALUE"""),"Hospital Pérez Carreño")</f>
        <v>Hospital Pérez Carreño</v>
      </c>
    </row>
    <row r="1051">
      <c r="A1051" s="44">
        <v>1050.0</v>
      </c>
      <c r="B1051" s="44" t="str">
        <f>IFERROR(__xludf.DUMMYFUNCTION("""COMPUTED_VALUE"""),"Hospital Domingo Luciani")</f>
        <v>Hospital Domingo Luciani</v>
      </c>
      <c r="C1051" s="45" t="str">
        <f>IFERROR(__xludf.DUMMYFUNCTION("""COMPUTED_VALUE"""),"HERNANDEZ FRANCISCO")</f>
        <v>HERNANDEZ FRANCISCO</v>
      </c>
      <c r="D1051" s="44">
        <f>IFERROR(__xludf.DUMMYFUNCTION("""COMPUTED_VALUE"""),62.0)</f>
        <v>62</v>
      </c>
      <c r="E1051" s="44" t="str">
        <f>IFERROR(__xludf.DUMMYFUNCTION("""COMPUTED_VALUE"""),"8176273")</f>
        <v>8176273</v>
      </c>
      <c r="F1051" s="44" t="str">
        <f>IFERROR(__xludf.DUMMYFUNCTION("""COMPUTED_VALUE"""),"")</f>
        <v/>
      </c>
      <c r="G1051" s="44" t="str">
        <f>IFERROR(__xludf.DUMMYFUNCTION("""COMPUTED_VALUE""")," ")</f>
        <v> </v>
      </c>
      <c r="H1051" s="44" t="str">
        <f>IFERROR(__xludf.DUMMYFUNCTION("""COMPUTED_VALUE""")," ")</f>
        <v> </v>
      </c>
      <c r="I1051" s="44" t="str">
        <f>IFERROR(__xludf.DUMMYFUNCTION("""COMPUTED_VALUE"""),"Internado; UPT 2.")</f>
        <v>Internado; UPT 2.</v>
      </c>
      <c r="J1051" s="44" t="str">
        <f>IFERROR(__xludf.DUMMYFUNCTION("""COMPUTED_VALUE"""),"")</f>
        <v/>
      </c>
      <c r="K1051" s="42" t="str">
        <f>IFERROR(__xludf.DUMMYFUNCTION("""COMPUTED_VALUE"""),"🔍 BUSCAR PACIENTES")</f>
        <v>🔍 BUSCAR PACIENTES</v>
      </c>
    </row>
    <row r="1052">
      <c r="A1052" s="44">
        <v>1051.0</v>
      </c>
      <c r="B1052" s="44" t="str">
        <f>IFERROR(__xludf.DUMMYFUNCTION("""COMPUTED_VALUE"""),"Hospital Militar Dr. C. Arvelo")</f>
        <v>Hospital Militar Dr. C. Arvelo</v>
      </c>
      <c r="C1052" s="45" t="str">
        <f>IFERROR(__xludf.DUMMYFUNCTION("""COMPUTED_VALUE"""),"Guampa Pavia Milagro")</f>
        <v>Guampa Pavia Milagro</v>
      </c>
      <c r="D1052" s="44">
        <f>IFERROR(__xludf.DUMMYFUNCTION("""COMPUTED_VALUE"""),66.0)</f>
        <v>66</v>
      </c>
      <c r="E1052" s="44" t="str">
        <f>IFERROR(__xludf.DUMMYFUNCTION("""COMPUTED_VALUE"""),"8203313")</f>
        <v>8203313</v>
      </c>
      <c r="F1052" s="44" t="str">
        <f>IFERROR(__xludf.DUMMYFUNCTION("""COMPUTED_VALUE"""),"")</f>
        <v/>
      </c>
      <c r="G1052" s="44" t="str">
        <f>IFERROR(__xludf.DUMMYFUNCTION("""COMPUTED_VALUE"""),"")</f>
        <v/>
      </c>
      <c r="H1052" s="44" t="str">
        <f>IFERROR(__xludf.DUMMYFUNCTION("""COMPUTED_VALUE"""),"F")</f>
        <v>F</v>
      </c>
      <c r="I1052" s="44" t="str">
        <f>IFERROR(__xludf.DUMMYFUNCTION("""COMPUTED_VALUE"""),"San Martín PNA")</f>
        <v>San Martín PNA</v>
      </c>
      <c r="J1052" s="44" t="str">
        <f>IFERROR(__xludf.DUMMYFUNCTION("""COMPUTED_VALUE"""),"24/6/2026")</f>
        <v>24/6/2026</v>
      </c>
      <c r="K1052" s="42" t="str">
        <f>IFERROR(__xludf.DUMMYFUNCTION("""COMPUTED_VALUE"""),"Hospital Militar Dr. C. Arvelo")</f>
        <v>Hospital Militar Dr. C. Arvelo</v>
      </c>
    </row>
    <row r="1053">
      <c r="A1053" s="44">
        <v>1052.0</v>
      </c>
      <c r="B1053" s="44" t="str">
        <f>IFERROR(__xludf.DUMMYFUNCTION("""COMPUTED_VALUE"""),"Hospital Pérez Carreño")</f>
        <v>Hospital Pérez Carreño</v>
      </c>
      <c r="C1053" s="45" t="str">
        <f>IFERROR(__xludf.DUMMYFUNCTION("""COMPUTED_VALUE"""),"JONCALUEZ GABRIEL")</f>
        <v>JONCALUEZ GABRIEL</v>
      </c>
      <c r="D1053" s="44" t="str">
        <f>IFERROR(__xludf.DUMMYFUNCTION("""COMPUTED_VALUE""")," ")</f>
        <v> </v>
      </c>
      <c r="E1053" s="44" t="str">
        <f>IFERROR(__xludf.DUMMYFUNCTION("""COMPUTED_VALUE"""),"82230906")</f>
        <v>82230906</v>
      </c>
      <c r="F1053" s="44" t="str">
        <f>IFERROR(__xludf.DUMMYFUNCTION("""COMPUTED_VALUE"""),"")</f>
        <v/>
      </c>
      <c r="G1053" s="44" t="str">
        <f>IFERROR(__xludf.DUMMYFUNCTION("""COMPUTED_VALUE""")," ")</f>
        <v> </v>
      </c>
      <c r="H1053" s="44" t="str">
        <f>IFERROR(__xludf.DUMMYFUNCTION("""COMPUTED_VALUE""")," ")</f>
        <v> </v>
      </c>
      <c r="I1053" s="44" t="str">
        <f>IFERROR(__xludf.DUMMYFUNCTION("""COMPUTED_VALUE""")," ")</f>
        <v> </v>
      </c>
      <c r="J1053" s="44" t="str">
        <f>IFERROR(__xludf.DUMMYFUNCTION("""COMPUTED_VALUE"""),"25/06/2026")</f>
        <v>25/06/2026</v>
      </c>
      <c r="K1053" s="42" t="str">
        <f>IFERROR(__xludf.DUMMYFUNCTION("""COMPUTED_VALUE"""),"Hospital Pérez Carreño")</f>
        <v>Hospital Pérez Carreño</v>
      </c>
    </row>
    <row r="1054">
      <c r="A1054" s="44">
        <v>1053.0</v>
      </c>
      <c r="B1054" s="44" t="str">
        <f>IFERROR(__xludf.DUMMYFUNCTION("""COMPUTED_VALUE"""),"Hospital Pérez Carreño")</f>
        <v>Hospital Pérez Carreño</v>
      </c>
      <c r="C1054" s="45" t="str">
        <f>IFERROR(__xludf.DUMMYFUNCTION("""COMPUTED_VALUE"""),"GABRIEL GONCALUEZ")</f>
        <v>GABRIEL GONCALUEZ</v>
      </c>
      <c r="D1054" s="44" t="str">
        <f>IFERROR(__xludf.DUMMYFUNCTION("""COMPUTED_VALUE""")," ")</f>
        <v> </v>
      </c>
      <c r="E1054" s="44" t="str">
        <f>IFERROR(__xludf.DUMMYFUNCTION("""COMPUTED_VALUE"""),"822309060")</f>
        <v>822309060</v>
      </c>
      <c r="F1054" s="44" t="str">
        <f>IFERROR(__xludf.DUMMYFUNCTION("""COMPUTED_VALUE"""),"")</f>
        <v/>
      </c>
      <c r="G1054" s="44" t="str">
        <f>IFERROR(__xludf.DUMMYFUNCTION("""COMPUTED_VALUE""")," ")</f>
        <v> </v>
      </c>
      <c r="H1054" s="44" t="str">
        <f>IFERROR(__xludf.DUMMYFUNCTION("""COMPUTED_VALUE""")," ")</f>
        <v> </v>
      </c>
      <c r="I1054" s="44" t="str">
        <f>IFERROR(__xludf.DUMMYFUNCTION("""COMPUTED_VALUE""")," ")</f>
        <v> </v>
      </c>
      <c r="J1054" s="44" t="str">
        <f>IFERROR(__xludf.DUMMYFUNCTION("""COMPUTED_VALUE"""),"25/06/2026")</f>
        <v>25/06/2026</v>
      </c>
      <c r="K1054" s="42" t="str">
        <f>IFERROR(__xludf.DUMMYFUNCTION("""COMPUTED_VALUE"""),"Hospital Pérez Carreño")</f>
        <v>Hospital Pérez Carreño</v>
      </c>
    </row>
    <row r="1055">
      <c r="A1055" s="44">
        <v>1054.0</v>
      </c>
      <c r="B1055" s="44" t="str">
        <f>IFERROR(__xludf.DUMMYFUNCTION("""COMPUTED_VALUE"""),"Hospital Universitario de Carac")</f>
        <v>Hospital Universitario de Carac</v>
      </c>
      <c r="C1055" s="45" t="str">
        <f>IFERROR(__xludf.DUMMYFUNCTION("""COMPUTED_VALUE"""),"WU HUA JIAH / WU JUAN")</f>
        <v>WU HUA JIAH / WU JUAN</v>
      </c>
      <c r="D1055" s="44">
        <f>IFERROR(__xludf.DUMMYFUNCTION("""COMPUTED_VALUE"""),47.0)</f>
        <v>47</v>
      </c>
      <c r="E1055" s="44" t="str">
        <f>IFERROR(__xludf.DUMMYFUNCTION("""COMPUTED_VALUE"""),"8229616")</f>
        <v>8229616</v>
      </c>
      <c r="F1055" s="44" t="str">
        <f>IFERROR(__xludf.DUMMYFUNCTION("""COMPUTED_VALUE"""),"")</f>
        <v/>
      </c>
      <c r="G1055" s="44" t="str">
        <f>IFERROR(__xludf.DUMMYFUNCTION("""COMPUTED_VALUE"""),"0412-3958541")</f>
        <v>0412-3958541</v>
      </c>
      <c r="H1055" s="44" t="str">
        <f>IFERROR(__xludf.DUMMYFUNCTION("""COMPUTED_VALUE""")," ")</f>
        <v> </v>
      </c>
      <c r="I1055" s="44" t="str">
        <f>IFERROR(__xludf.DUMMYFUNCTION("""COMPUTED_VALUE"""),"Politraumatismo")</f>
        <v>Politraumatismo</v>
      </c>
      <c r="J1055" s="44" t="str">
        <f>IFERROR(__xludf.DUMMYFUNCTION("""COMPUTED_VALUE"""),"")</f>
        <v/>
      </c>
      <c r="K1055" s="42" t="str">
        <f>IFERROR(__xludf.DUMMYFUNCTION("""COMPUTED_VALUE"""),"Hospital Universitario de Carac")</f>
        <v>Hospital Universitario de Carac</v>
      </c>
    </row>
    <row r="1056">
      <c r="A1056" s="44">
        <v>1055.0</v>
      </c>
      <c r="B1056" s="44" t="str">
        <f>IFERROR(__xludf.DUMMYFUNCTION("""COMPUTED_VALUE"""),"Hospital Universitario de Carac")</f>
        <v>Hospital Universitario de Carac</v>
      </c>
      <c r="C1056" s="45" t="str">
        <f>IFERROR(__xludf.DUMMYFUNCTION("""COMPUTED_VALUE"""),"Hua Jiah Wu")</f>
        <v>Hua Jiah Wu</v>
      </c>
      <c r="D1056" s="44">
        <f>IFERROR(__xludf.DUMMYFUNCTION("""COMPUTED_VALUE"""),47.0)</f>
        <v>47</v>
      </c>
      <c r="E1056" s="44" t="str">
        <f>IFERROR(__xludf.DUMMYFUNCTION("""COMPUTED_VALUE"""),"82296160")</f>
        <v>82296160</v>
      </c>
      <c r="F1056" s="44" t="str">
        <f>IFERROR(__xludf.DUMMYFUNCTION("""COMPUTED_VALUE"""),"")</f>
        <v/>
      </c>
      <c r="G1056" s="44"/>
      <c r="H1056" s="44" t="str">
        <f>IFERROR(__xludf.DUMMYFUNCTION("""COMPUTED_VALUE"""),"La Guaira")</f>
        <v>La Guaira</v>
      </c>
      <c r="I1056" s="44" t="str">
        <f>IFERROR(__xludf.DUMMYFUNCTION("""COMPUTED_VALUE"""),"Politraumatismo")</f>
        <v>Politraumatismo</v>
      </c>
      <c r="J1056" s="44" t="str">
        <f>IFERROR(__xludf.DUMMYFUNCTION("""COMPUTED_VALUE"""),"")</f>
        <v/>
      </c>
      <c r="K1056" s="42" t="str">
        <f>IFERROR(__xludf.DUMMYFUNCTION("""COMPUTED_VALUE"""),"Hospital Universitario de Carac")</f>
        <v>Hospital Universitario de Carac</v>
      </c>
    </row>
    <row r="1057">
      <c r="A1057" s="44">
        <v>1056.0</v>
      </c>
      <c r="B1057" s="44" t="str">
        <f>IFERROR(__xludf.DUMMYFUNCTION("""COMPUTED_VALUE"""),"Hospital Universitario de Carac")</f>
        <v>Hospital Universitario de Carac</v>
      </c>
      <c r="C1057" s="45" t="str">
        <f>IFERROR(__xludf.DUMMYFUNCTION("""COMPUTED_VALUE"""),"LU DINGYI")</f>
        <v>LU DINGYI</v>
      </c>
      <c r="D1057" s="44">
        <f>IFERROR(__xludf.DUMMYFUNCTION("""COMPUTED_VALUE"""),49.0)</f>
        <v>49</v>
      </c>
      <c r="E1057" s="44" t="str">
        <f>IFERROR(__xludf.DUMMYFUNCTION("""COMPUTED_VALUE"""),"8358411")</f>
        <v>8358411</v>
      </c>
      <c r="F1057" s="44" t="str">
        <f>IFERROR(__xludf.DUMMYFUNCTION("""COMPUTED_VALUE"""),"")</f>
        <v/>
      </c>
      <c r="G1057" s="44" t="str">
        <f>IFERROR(__xludf.DUMMYFUNCTION("""COMPUTED_VALUE"""),"0424-3579081")</f>
        <v>0424-3579081</v>
      </c>
      <c r="H1057" s="44" t="str">
        <f>IFERROR(__xludf.DUMMYFUNCTION("""COMPUTED_VALUE""")," ")</f>
        <v> </v>
      </c>
      <c r="I1057" s="44" t="str">
        <f>IFERROR(__xludf.DUMMYFUNCTION("""COMPUTED_VALUE"""),"Politraumatismo")</f>
        <v>Politraumatismo</v>
      </c>
      <c r="J1057" s="44" t="str">
        <f>IFERROR(__xludf.DUMMYFUNCTION("""COMPUTED_VALUE"""),"")</f>
        <v/>
      </c>
      <c r="K1057" s="42" t="str">
        <f>IFERROR(__xludf.DUMMYFUNCTION("""COMPUTED_VALUE"""),"Hospital Universitario de Carac")</f>
        <v>Hospital Universitario de Carac</v>
      </c>
    </row>
    <row r="1058">
      <c r="A1058" s="44">
        <v>1057.0</v>
      </c>
      <c r="B1058" s="44" t="str">
        <f>IFERROR(__xludf.DUMMYFUNCTION("""COMPUTED_VALUE"""),"Hospital Universitario de Carac")</f>
        <v>Hospital Universitario de Carac</v>
      </c>
      <c r="C1058" s="45" t="str">
        <f>IFERROR(__xludf.DUMMYFUNCTION("""COMPUTED_VALUE"""),"Lu Dingyi")</f>
        <v>Lu Dingyi</v>
      </c>
      <c r="D1058" s="44">
        <f>IFERROR(__xludf.DUMMYFUNCTION("""COMPUTED_VALUE"""),44.0)</f>
        <v>44</v>
      </c>
      <c r="E1058" s="44" t="str">
        <f>IFERROR(__xludf.DUMMYFUNCTION("""COMPUTED_VALUE"""),"83584110")</f>
        <v>83584110</v>
      </c>
      <c r="F1058" s="44" t="str">
        <f>IFERROR(__xludf.DUMMYFUNCTION("""COMPUTED_VALUE"""),"")</f>
        <v/>
      </c>
      <c r="G1058" s="44"/>
      <c r="H1058" s="44" t="str">
        <f>IFERROR(__xludf.DUMMYFUNCTION("""COMPUTED_VALUE"""),"La Guaira")</f>
        <v>La Guaira</v>
      </c>
      <c r="I1058" s="44" t="str">
        <f>IFERROR(__xludf.DUMMYFUNCTION("""COMPUTED_VALUE"""),"Politraumatismo")</f>
        <v>Politraumatismo</v>
      </c>
      <c r="J1058" s="44" t="str">
        <f>IFERROR(__xludf.DUMMYFUNCTION("""COMPUTED_VALUE"""),"")</f>
        <v/>
      </c>
      <c r="K1058" s="42" t="str">
        <f>IFERROR(__xludf.DUMMYFUNCTION("""COMPUTED_VALUE"""),"Hospital Universitario de Carac")</f>
        <v>Hospital Universitario de Carac</v>
      </c>
    </row>
    <row r="1059">
      <c r="A1059" s="44">
        <v>1058.0</v>
      </c>
      <c r="B1059" s="44" t="str">
        <f>IFERROR(__xludf.DUMMYFUNCTION("""COMPUTED_VALUE"""),"Hospital Universitario de Carac")</f>
        <v>Hospital Universitario de Carac</v>
      </c>
      <c r="C1059" s="45" t="str">
        <f>IFERROR(__xludf.DUMMYFUNCTION("""COMPUTED_VALUE"""),"TRIGOSO CARLO")</f>
        <v>TRIGOSO CARLO</v>
      </c>
      <c r="D1059" s="44">
        <f>IFERROR(__xludf.DUMMYFUNCTION("""COMPUTED_VALUE"""),59.0)</f>
        <v>59</v>
      </c>
      <c r="E1059" s="44" t="str">
        <f>IFERROR(__xludf.DUMMYFUNCTION("""COMPUTED_VALUE"""),"8418724")</f>
        <v>8418724</v>
      </c>
      <c r="F1059" s="44" t="str">
        <f>IFERROR(__xludf.DUMMYFUNCTION("""COMPUTED_VALUE"""),"")</f>
        <v/>
      </c>
      <c r="G1059" s="44" t="str">
        <f>IFERROR(__xludf.DUMMYFUNCTION("""COMPUTED_VALUE"""),"0412-1290170")</f>
        <v>0412-1290170</v>
      </c>
      <c r="H1059" s="44" t="str">
        <f>IFERROR(__xludf.DUMMYFUNCTION("""COMPUTED_VALUE""")," ")</f>
        <v> </v>
      </c>
      <c r="I1059" s="44" t="str">
        <f>IFERROR(__xludf.DUMMYFUNCTION("""COMPUTED_VALUE""")," ")</f>
        <v> </v>
      </c>
      <c r="J1059" s="44" t="str">
        <f>IFERROR(__xludf.DUMMYFUNCTION("""COMPUTED_VALUE"""),"")</f>
        <v/>
      </c>
      <c r="K1059" s="42" t="str">
        <f>IFERROR(__xludf.DUMMYFUNCTION("""COMPUTED_VALUE"""),"Hospital Universitario de Carac")</f>
        <v>Hospital Universitario de Carac</v>
      </c>
    </row>
    <row r="1060">
      <c r="A1060" s="44">
        <v>1059.0</v>
      </c>
      <c r="B1060" s="44" t="str">
        <f>IFERROR(__xludf.DUMMYFUNCTION("""COMPUTED_VALUE"""),"Hospital Dr. José Gregorio Hern")</f>
        <v>Hospital Dr. José Gregorio Hern</v>
      </c>
      <c r="C1060" s="45" t="str">
        <f>IFERROR(__xludf.DUMMYFUNCTION("""COMPUTED_VALUE"""),"RIVAS MILAGROS")</f>
        <v>RIVAS MILAGROS</v>
      </c>
      <c r="D1060" s="44">
        <f>IFERROR(__xludf.DUMMYFUNCTION("""COMPUTED_VALUE"""),38.0)</f>
        <v>38</v>
      </c>
      <c r="E1060" s="44" t="str">
        <f>IFERROR(__xludf.DUMMYFUNCTION("""COMPUTED_VALUE"""),"84305821")</f>
        <v>84305821</v>
      </c>
      <c r="F1060" s="44" t="str">
        <f>IFERROR(__xludf.DUMMYFUNCTION("""COMPUTED_VALUE"""),"")</f>
        <v/>
      </c>
      <c r="G1060" s="44" t="str">
        <f>IFERROR(__xludf.DUMMYFUNCTION("""COMPUTED_VALUE""")," ")</f>
        <v> </v>
      </c>
      <c r="H1060" s="44" t="str">
        <f>IFERROR(__xludf.DUMMYFUNCTION("""COMPUTED_VALUE"""),"La Guaira")</f>
        <v>La Guaira</v>
      </c>
      <c r="I1060" s="44" t="str">
        <f>IFERROR(__xludf.DUMMYFUNCTION("""COMPUTED_VALUE""")," ")</f>
        <v> </v>
      </c>
      <c r="J1060" s="44" t="str">
        <f>IFERROR(__xludf.DUMMYFUNCTION("""COMPUTED_VALUE"""),"")</f>
        <v/>
      </c>
      <c r="K1060" s="42" t="str">
        <f>IFERROR(__xludf.DUMMYFUNCTION("""COMPUTED_VALUE"""),"Hospital Dr. José Gregorio Hern")</f>
        <v>Hospital Dr. José Gregorio Hern</v>
      </c>
    </row>
    <row r="1061">
      <c r="A1061" s="44">
        <v>1060.0</v>
      </c>
      <c r="B1061" s="44" t="str">
        <f>IFERROR(__xludf.DUMMYFUNCTION("""COMPUTED_VALUE"""),"Hospital Vargas de Caracas")</f>
        <v>Hospital Vargas de Caracas</v>
      </c>
      <c r="C1061" s="45" t="str">
        <f>IFERROR(__xludf.DUMMYFUNCTION("""COMPUTED_VALUE"""),"NIEVES MARLENIS")</f>
        <v>NIEVES MARLENIS</v>
      </c>
      <c r="D1061" s="44" t="str">
        <f>IFERROR(__xludf.DUMMYFUNCTION("""COMPUTED_VALUE""")," ")</f>
        <v> </v>
      </c>
      <c r="E1061" s="44" t="str">
        <f>IFERROR(__xludf.DUMMYFUNCTION("""COMPUTED_VALUE"""),"84555057")</f>
        <v>84555057</v>
      </c>
      <c r="F1061" s="44" t="str">
        <f>IFERROR(__xludf.DUMMYFUNCTION("""COMPUTED_VALUE""")," ")</f>
        <v> </v>
      </c>
      <c r="G1061" s="44" t="str">
        <f>IFERROR(__xludf.DUMMYFUNCTION("""COMPUTED_VALUE"""),"")</f>
        <v/>
      </c>
      <c r="H1061" s="44" t="str">
        <f>IFERROR(__xludf.DUMMYFUNCTION("""COMPUTED_VALUE""")," ")</f>
        <v> </v>
      </c>
      <c r="I1061" s="44" t="str">
        <f>IFERROR(__xludf.DUMMYFUNCTION("""COMPUTED_VALUE""")," ")</f>
        <v> </v>
      </c>
      <c r="J1061" s="44" t="str">
        <f>IFERROR(__xludf.DUMMYFUNCTION("""COMPUTED_VALUE"""),"")</f>
        <v/>
      </c>
      <c r="K1061" s="42" t="str">
        <f>IFERROR(__xludf.DUMMYFUNCTION("""COMPUTED_VALUE"""),"Hospital Vargas de Caracas")</f>
        <v>Hospital Vargas de Caracas</v>
      </c>
    </row>
    <row r="1062">
      <c r="A1062" s="44">
        <v>1061.0</v>
      </c>
      <c r="B1062" s="44" t="str">
        <f>IFERROR(__xludf.DUMMYFUNCTION("""COMPUTED_VALUE"""),"Hospital Universitario de Carac")</f>
        <v>Hospital Universitario de Carac</v>
      </c>
      <c r="C1062" s="45" t="str">
        <f>IFERROR(__xludf.DUMMYFUNCTION("""COMPUTED_VALUE"""),"ENRIQUE MARIA")</f>
        <v>ENRIQUE MARIA</v>
      </c>
      <c r="D1062" s="44">
        <f>IFERROR(__xludf.DUMMYFUNCTION("""COMPUTED_VALUE"""),64.0)</f>
        <v>64</v>
      </c>
      <c r="E1062" s="44" t="str">
        <f>IFERROR(__xludf.DUMMYFUNCTION("""COMPUTED_VALUE"""),"8471007")</f>
        <v>8471007</v>
      </c>
      <c r="F1062" s="44" t="str">
        <f>IFERROR(__xludf.DUMMYFUNCTION("""COMPUTED_VALUE"""),"")</f>
        <v/>
      </c>
      <c r="G1062" s="44" t="str">
        <f>IFERROR(__xludf.DUMMYFUNCTION("""COMPUTED_VALUE""")," ")</f>
        <v> </v>
      </c>
      <c r="H1062" s="44" t="str">
        <f>IFERROR(__xludf.DUMMYFUNCTION("""COMPUTED_VALUE""")," ")</f>
        <v> </v>
      </c>
      <c r="I1062" s="44" t="str">
        <f>IFERROR(__xludf.DUMMYFUNCTION("""COMPUTED_VALUE"""),"Politraumatismo; Fx tibia abierta")</f>
        <v>Politraumatismo; Fx tibia abierta</v>
      </c>
      <c r="J1062" s="44" t="str">
        <f>IFERROR(__xludf.DUMMYFUNCTION("""COMPUTED_VALUE"""),"")</f>
        <v/>
      </c>
      <c r="K1062" s="42" t="str">
        <f>IFERROR(__xludf.DUMMYFUNCTION("""COMPUTED_VALUE"""),"Hospital Universitario de Carac")</f>
        <v>Hospital Universitario de Carac</v>
      </c>
    </row>
    <row r="1063">
      <c r="A1063" s="44">
        <v>1062.0</v>
      </c>
      <c r="B1063" s="44" t="str">
        <f>IFERROR(__xludf.DUMMYFUNCTION("""COMPUTED_VALUE"""),"Periférico de Catia")</f>
        <v>Periférico de Catia</v>
      </c>
      <c r="C1063" s="45" t="str">
        <f>IFERROR(__xludf.DUMMYFUNCTION("""COMPUTED_VALUE"""),"MARIELA PÁEZ")</f>
        <v>MARIELA PÁEZ</v>
      </c>
      <c r="D1063" s="44">
        <f>IFERROR(__xludf.DUMMYFUNCTION("""COMPUTED_VALUE"""),64.0)</f>
        <v>64</v>
      </c>
      <c r="E1063" s="44" t="str">
        <f>IFERROR(__xludf.DUMMYFUNCTION("""COMPUTED_VALUE"""),"86177760")</f>
        <v>86177760</v>
      </c>
      <c r="F1063" s="44" t="str">
        <f>IFERROR(__xludf.DUMMYFUNCTION("""COMPUTED_VALUE"""),"")</f>
        <v/>
      </c>
      <c r="G1063" s="44" t="str">
        <f>IFERROR(__xludf.DUMMYFUNCTION("""COMPUTED_VALUE""")," ")</f>
        <v> </v>
      </c>
      <c r="H1063" s="44" t="str">
        <f>IFERROR(__xludf.DUMMYFUNCTION("""COMPUTED_VALUE"""),"Sin información")</f>
        <v>Sin información</v>
      </c>
      <c r="I1063" s="44" t="str">
        <f>IFERROR(__xludf.DUMMYFUNCTION("""COMPUTED_VALUE"""),"Cirugía General")</f>
        <v>Cirugía General</v>
      </c>
      <c r="J1063" s="44" t="str">
        <f>IFERROR(__xludf.DUMMYFUNCTION("""COMPUTED_VALUE"""),"")</f>
        <v/>
      </c>
      <c r="K1063" s="42" t="str">
        <f>IFERROR(__xludf.DUMMYFUNCTION("""COMPUTED_VALUE"""),"Periférico de Catia")</f>
        <v>Periférico de Catia</v>
      </c>
    </row>
    <row r="1064">
      <c r="A1064" s="44">
        <v>1063.0</v>
      </c>
      <c r="B1064" s="44" t="str">
        <f>IFERROR(__xludf.DUMMYFUNCTION("""COMPUTED_VALUE"""),"Hospital Militar Dr. C. Arvelo")</f>
        <v>Hospital Militar Dr. C. Arvelo</v>
      </c>
      <c r="C1064" s="45" t="str">
        <f>IFERROR(__xludf.DUMMYFUNCTION("""COMPUTED_VALUE"""),"Lourdes Jiménez")</f>
        <v>Lourdes Jiménez</v>
      </c>
      <c r="D1064" s="44">
        <f>IFERROR(__xludf.DUMMYFUNCTION("""COMPUTED_VALUE"""),59.0)</f>
        <v>59</v>
      </c>
      <c r="E1064" s="44" t="str">
        <f>IFERROR(__xludf.DUMMYFUNCTION("""COMPUTED_VALUE"""),"8654412")</f>
        <v>8654412</v>
      </c>
      <c r="F1064" s="44" t="str">
        <f>IFERROR(__xludf.DUMMYFUNCTION("""COMPUTED_VALUE"""),"")</f>
        <v/>
      </c>
      <c r="G1064" s="44" t="str">
        <f>IFERROR(__xludf.DUMMYFUNCTION("""COMPUTED_VALUE"""),"")</f>
        <v/>
      </c>
      <c r="H1064" s="44" t="str">
        <f>IFERROR(__xludf.DUMMYFUNCTION("""COMPUTED_VALUE"""),"F")</f>
        <v>F</v>
      </c>
      <c r="I1064" s="44" t="str">
        <f>IFERROR(__xludf.DUMMYFUNCTION("""COMPUTED_VALUE"""),"Fuerte Tiuna Madre C.C.")</f>
        <v>Fuerte Tiuna Madre C.C.</v>
      </c>
      <c r="J1064" s="44" t="str">
        <f>IFERROR(__xludf.DUMMYFUNCTION("""COMPUTED_VALUE"""),"24/6/2026")</f>
        <v>24/6/2026</v>
      </c>
      <c r="K1064" s="42" t="str">
        <f>IFERROR(__xludf.DUMMYFUNCTION("""COMPUTED_VALUE"""),"Hospital Militar Dr. C. Arvelo")</f>
        <v>Hospital Militar Dr. C. Arvelo</v>
      </c>
    </row>
    <row r="1065">
      <c r="A1065" s="44">
        <v>1064.0</v>
      </c>
      <c r="B1065" s="44" t="str">
        <f>IFERROR(__xludf.DUMMYFUNCTION("""COMPUTED_VALUE"""),"Hospital Ana Francisca Pérez de")</f>
        <v>Hospital Ana Francisca Pérez de</v>
      </c>
      <c r="C1065" s="45" t="str">
        <f>IFERROR(__xludf.DUMMYFUNCTION("""COMPUTED_VALUE"""),"FUENMAYOR MAGALI")</f>
        <v>FUENMAYOR MAGALI</v>
      </c>
      <c r="D1065" s="44">
        <f>IFERROR(__xludf.DUMMYFUNCTION("""COMPUTED_VALUE"""),56.0)</f>
        <v>56</v>
      </c>
      <c r="E1065" s="44" t="str">
        <f>IFERROR(__xludf.DUMMYFUNCTION("""COMPUTED_VALUE"""),"8777500")</f>
        <v>8777500</v>
      </c>
      <c r="F1065" s="44" t="str">
        <f>IFERROR(__xludf.DUMMYFUNCTION("""COMPUTED_VALUE"""),"")</f>
        <v/>
      </c>
      <c r="G1065" s="44" t="str">
        <f>IFERROR(__xludf.DUMMYFUNCTION("""COMPUTED_VALUE""")," ")</f>
        <v> </v>
      </c>
      <c r="H1065" s="44" t="str">
        <f>IFERROR(__xludf.DUMMYFUNCTION("""COMPUTED_VALUE""")," ")</f>
        <v> </v>
      </c>
      <c r="I1065" s="44" t="str">
        <f>IFERROR(__xludf.DUMMYFUNCTION("""COMPUTED_VALUE"""),"Internado")</f>
        <v>Internado</v>
      </c>
      <c r="J1065" s="44" t="str">
        <f>IFERROR(__xludf.DUMMYFUNCTION("""COMPUTED_VALUE"""),"")</f>
        <v/>
      </c>
      <c r="K1065" s="42" t="str">
        <f>IFERROR(__xludf.DUMMYFUNCTION("""COMPUTED_VALUE"""),"Hospital Ana Francisca Pérez de")</f>
        <v>Hospital Ana Francisca Pérez de</v>
      </c>
    </row>
    <row r="1066">
      <c r="A1066" s="44">
        <v>1065.0</v>
      </c>
      <c r="B1066" s="44" t="str">
        <f>IFERROR(__xludf.DUMMYFUNCTION("""COMPUTED_VALUE"""),"Hospital Vargas de Caracas")</f>
        <v>Hospital Vargas de Caracas</v>
      </c>
      <c r="C1066" s="45" t="str">
        <f>IFERROR(__xludf.DUMMYFUNCTION("""COMPUTED_VALUE"""),"BOADA CESAR")</f>
        <v>BOADA CESAR</v>
      </c>
      <c r="D1066" s="44" t="str">
        <f>IFERROR(__xludf.DUMMYFUNCTION("""COMPUTED_VALUE""")," ")</f>
        <v> </v>
      </c>
      <c r="E1066" s="44" t="str">
        <f>IFERROR(__xludf.DUMMYFUNCTION("""COMPUTED_VALUE"""),"9098772")</f>
        <v>9098772</v>
      </c>
      <c r="F1066" s="44" t="str">
        <f>IFERROR(__xludf.DUMMYFUNCTION("""COMPUTED_VALUE""")," ")</f>
        <v> </v>
      </c>
      <c r="G1066" s="44" t="str">
        <f>IFERROR(__xludf.DUMMYFUNCTION("""COMPUTED_VALUE"""),"")</f>
        <v/>
      </c>
      <c r="H1066" s="44" t="str">
        <f>IFERROR(__xludf.DUMMYFUNCTION("""COMPUTED_VALUE""")," ")</f>
        <v> </v>
      </c>
      <c r="I1066" s="44" t="str">
        <f>IFERROR(__xludf.DUMMYFUNCTION("""COMPUTED_VALUE""")," ")</f>
        <v> </v>
      </c>
      <c r="J1066" s="44" t="str">
        <f>IFERROR(__xludf.DUMMYFUNCTION("""COMPUTED_VALUE"""),"")</f>
        <v/>
      </c>
      <c r="K1066" s="42" t="str">
        <f>IFERROR(__xludf.DUMMYFUNCTION("""COMPUTED_VALUE"""),"Hospital Vargas de Caracas")</f>
        <v>Hospital Vargas de Caracas</v>
      </c>
    </row>
    <row r="1067">
      <c r="A1067" s="44">
        <v>1066.0</v>
      </c>
      <c r="B1067" s="44" t="str">
        <f>IFERROR(__xludf.DUMMYFUNCTION("""COMPUTED_VALUE"""),"Hospital Militar Dr. C. Arvelo")</f>
        <v>Hospital Militar Dr. C. Arvelo</v>
      </c>
      <c r="C1067" s="45" t="str">
        <f>IFERROR(__xludf.DUMMYFUNCTION("""COMPUTED_VALUE"""),"Sebastián Rojas")</f>
        <v>Sebastián Rojas</v>
      </c>
      <c r="D1067" s="44">
        <f>IFERROR(__xludf.DUMMYFUNCTION("""COMPUTED_VALUE"""),62.0)</f>
        <v>62</v>
      </c>
      <c r="E1067" s="44" t="str">
        <f>IFERROR(__xludf.DUMMYFUNCTION("""COMPUTED_VALUE"""),"9212014")</f>
        <v>9212014</v>
      </c>
      <c r="F1067" s="44" t="str">
        <f>IFERROR(__xludf.DUMMYFUNCTION("""COMPUTED_VALUE"""),"")</f>
        <v/>
      </c>
      <c r="G1067" s="44" t="str">
        <f>IFERROR(__xludf.DUMMYFUNCTION("""COMPUTED_VALUE"""),"")</f>
        <v/>
      </c>
      <c r="H1067" s="44" t="str">
        <f>IFERROR(__xludf.DUMMYFUNCTION("""COMPUTED_VALUE"""),"M")</f>
        <v>M</v>
      </c>
      <c r="I1067" s="44" t="str">
        <f>IFERROR(__xludf.DUMMYFUNCTION("""COMPUTED_VALUE"""),"San Martín Papá S/P")</f>
        <v>San Martín Papá S/P</v>
      </c>
      <c r="J1067" s="44" t="str">
        <f>IFERROR(__xludf.DUMMYFUNCTION("""COMPUTED_VALUE"""),"24/6/2026")</f>
        <v>24/6/2026</v>
      </c>
      <c r="K1067" s="42" t="str">
        <f>IFERROR(__xludf.DUMMYFUNCTION("""COMPUTED_VALUE"""),"Hospital Militar Dr. C. Arvelo")</f>
        <v>Hospital Militar Dr. C. Arvelo</v>
      </c>
    </row>
    <row r="1068">
      <c r="A1068" s="44">
        <v>1067.0</v>
      </c>
      <c r="B1068" s="44" t="str">
        <f>IFERROR(__xludf.DUMMYFUNCTION("""COMPUTED_VALUE"""),"Hospital Pérez Carreño")</f>
        <v>Hospital Pérez Carreño</v>
      </c>
      <c r="C1068" s="45" t="str">
        <f>IFERROR(__xludf.DUMMYFUNCTION("""COMPUTED_VALUE"""),"NOVEIS CANDERIA")</f>
        <v>NOVEIS CANDERIA</v>
      </c>
      <c r="D1068" s="44" t="str">
        <f>IFERROR(__xludf.DUMMYFUNCTION("""COMPUTED_VALUE""")," ")</f>
        <v> </v>
      </c>
      <c r="E1068" s="44" t="str">
        <f>IFERROR(__xludf.DUMMYFUNCTION("""COMPUTED_VALUE"""),"9416493")</f>
        <v>9416493</v>
      </c>
      <c r="F1068" s="44" t="str">
        <f>IFERROR(__xludf.DUMMYFUNCTION("""COMPUTED_VALUE"""),"")</f>
        <v/>
      </c>
      <c r="G1068" s="44" t="str">
        <f>IFERROR(__xludf.DUMMYFUNCTION("""COMPUTED_VALUE""")," ")</f>
        <v> </v>
      </c>
      <c r="H1068" s="44" t="str">
        <f>IFERROR(__xludf.DUMMYFUNCTION("""COMPUTED_VALUE""")," ")</f>
        <v> </v>
      </c>
      <c r="I1068" s="44" t="str">
        <f>IFERROR(__xludf.DUMMYFUNCTION("""COMPUTED_VALUE""")," ")</f>
        <v> </v>
      </c>
      <c r="J1068" s="44" t="str">
        <f>IFERROR(__xludf.DUMMYFUNCTION("""COMPUTED_VALUE"""),"25/06/2026")</f>
        <v>25/06/2026</v>
      </c>
      <c r="K1068" s="42" t="str">
        <f>IFERROR(__xludf.DUMMYFUNCTION("""COMPUTED_VALUE"""),"Hospital Pérez Carreño")</f>
        <v>Hospital Pérez Carreño</v>
      </c>
    </row>
    <row r="1069">
      <c r="A1069" s="44">
        <v>1068.0</v>
      </c>
      <c r="B1069" s="44" t="str">
        <f>IFERROR(__xludf.DUMMYFUNCTION("""COMPUTED_VALUE"""),"Hospital Pérez Carreño")</f>
        <v>Hospital Pérez Carreño</v>
      </c>
      <c r="C1069" s="45" t="str">
        <f>IFERROR(__xludf.DUMMYFUNCTION("""COMPUTED_VALUE"""),"CANDELARIO VOUIS")</f>
        <v>CANDELARIO VOUIS</v>
      </c>
      <c r="D1069" s="44" t="str">
        <f>IFERROR(__xludf.DUMMYFUNCTION("""COMPUTED_VALUE""")," ")</f>
        <v> </v>
      </c>
      <c r="E1069" s="44" t="str">
        <f>IFERROR(__xludf.DUMMYFUNCTION("""COMPUTED_VALUE"""),"94164930")</f>
        <v>94164930</v>
      </c>
      <c r="F1069" s="44" t="str">
        <f>IFERROR(__xludf.DUMMYFUNCTION("""COMPUTED_VALUE"""),"")</f>
        <v/>
      </c>
      <c r="G1069" s="44" t="str">
        <f>IFERROR(__xludf.DUMMYFUNCTION("""COMPUTED_VALUE""")," ")</f>
        <v> </v>
      </c>
      <c r="H1069" s="44" t="str">
        <f>IFERROR(__xludf.DUMMYFUNCTION("""COMPUTED_VALUE""")," ")</f>
        <v> </v>
      </c>
      <c r="I1069" s="44" t="str">
        <f>IFERROR(__xludf.DUMMYFUNCTION("""COMPUTED_VALUE""")," ")</f>
        <v> </v>
      </c>
      <c r="J1069" s="44" t="str">
        <f>IFERROR(__xludf.DUMMYFUNCTION("""COMPUTED_VALUE"""),"25/06/2026")</f>
        <v>25/06/2026</v>
      </c>
      <c r="K1069" s="42" t="str">
        <f>IFERROR(__xludf.DUMMYFUNCTION("""COMPUTED_VALUE"""),"Hospital Pérez Carreño")</f>
        <v>Hospital Pérez Carreño</v>
      </c>
    </row>
    <row r="1070">
      <c r="A1070" s="44">
        <v>1069.0</v>
      </c>
      <c r="B1070" s="44" t="str">
        <f>IFERROR(__xludf.DUMMYFUNCTION("""COMPUTED_VALUE"""),"Hospital Vargas de Caracas")</f>
        <v>Hospital Vargas de Caracas</v>
      </c>
      <c r="C1070" s="45" t="str">
        <f>IFERROR(__xludf.DUMMYFUNCTION("""COMPUTED_VALUE"""),"CELIS TANIA")</f>
        <v>CELIS TANIA</v>
      </c>
      <c r="D1070" s="44">
        <f>IFERROR(__xludf.DUMMYFUNCTION("""COMPUTED_VALUE"""),62.0)</f>
        <v>62</v>
      </c>
      <c r="E1070" s="44" t="str">
        <f>IFERROR(__xludf.DUMMYFUNCTION("""COMPUTED_VALUE"""),"9696241")</f>
        <v>9696241</v>
      </c>
      <c r="F1070" s="44" t="str">
        <f>IFERROR(__xludf.DUMMYFUNCTION("""COMPUTED_VALUE""")," ")</f>
        <v> </v>
      </c>
      <c r="G1070" s="44" t="str">
        <f>IFERROR(__xludf.DUMMYFUNCTION("""COMPUTED_VALUE"""),"")</f>
        <v/>
      </c>
      <c r="H1070" s="44" t="str">
        <f>IFERROR(__xludf.DUMMYFUNCTION("""COMPUTED_VALUE"""),"La Guaira")</f>
        <v>La Guaira</v>
      </c>
      <c r="I1070" s="44" t="str">
        <f>IFERROR(__xludf.DUMMYFUNCTION("""COMPUTED_VALUE"""),"UPT")</f>
        <v>UPT</v>
      </c>
      <c r="J1070" s="44" t="str">
        <f>IFERROR(__xludf.DUMMYFUNCTION("""COMPUTED_VALUE"""),"")</f>
        <v/>
      </c>
      <c r="K1070" s="42" t="str">
        <f>IFERROR(__xludf.DUMMYFUNCTION("""COMPUTED_VALUE"""),"Hospital Vargas de Caracas")</f>
        <v>Hospital Vargas de Caracas</v>
      </c>
    </row>
    <row r="1071">
      <c r="A1071" s="44">
        <v>1070.0</v>
      </c>
      <c r="B1071" s="44" t="str">
        <f>IFERROR(__xludf.DUMMYFUNCTION("""COMPUTED_VALUE"""),"Hospital Domingo Luciani")</f>
        <v>Hospital Domingo Luciani</v>
      </c>
      <c r="C1071" s="45" t="str">
        <f>IFERROR(__xludf.DUMMYFUNCTION("""COMPUTED_VALUE"""),"YAÑEZ YELITZA")</f>
        <v>YAÑEZ YELITZA</v>
      </c>
      <c r="D1071" s="44">
        <f>IFERROR(__xludf.DUMMYFUNCTION("""COMPUTED_VALUE"""),57.0)</f>
        <v>57</v>
      </c>
      <c r="E1071" s="44" t="str">
        <f>IFERROR(__xludf.DUMMYFUNCTION("""COMPUTED_VALUE"""),"9953902")</f>
        <v>9953902</v>
      </c>
      <c r="F1071" s="44" t="str">
        <f>IFERROR(__xludf.DUMMYFUNCTION("""COMPUTED_VALUE"""),"")</f>
        <v/>
      </c>
      <c r="G1071" s="44" t="str">
        <f>IFERROR(__xludf.DUMMYFUNCTION("""COMPUTED_VALUE""")," ")</f>
        <v> </v>
      </c>
      <c r="H1071" s="44" t="str">
        <f>IFERROR(__xludf.DUMMYFUNCTION("""COMPUTED_VALUE""")," ")</f>
        <v> </v>
      </c>
      <c r="I1071" s="44" t="str">
        <f>IFERROR(__xludf.DUMMYFUNCTION("""COMPUTED_VALUE"""),"Internado; Medicatura")</f>
        <v>Internado; Medicatura</v>
      </c>
      <c r="J1071" s="44" t="str">
        <f>IFERROR(__xludf.DUMMYFUNCTION("""COMPUTED_VALUE"""),"")</f>
        <v/>
      </c>
      <c r="K1071" s="42" t="str">
        <f>IFERROR(__xludf.DUMMYFUNCTION("""COMPUTED_VALUE"""),"🔍 BUSCAR PACIENTES")</f>
        <v>🔍 BUSCAR PACIENTES</v>
      </c>
    </row>
    <row r="1072">
      <c r="A1072" s="44">
        <v>1071.0</v>
      </c>
      <c r="B1072" s="44" t="str">
        <f>IFERROR(__xludf.DUMMYFUNCTION("""COMPUTED_VALUE"""),"Hospital Ana Francisca Pérez de")</f>
        <v>Hospital Ana Francisca Pérez de</v>
      </c>
      <c r="C1072" s="45" t="str">
        <f>IFERROR(__xludf.DUMMYFUNCTION("""COMPUTED_VALUE"""),"ESCOBAR MARIO")</f>
        <v>ESCOBAR MARIO</v>
      </c>
      <c r="D1072" s="44">
        <f>IFERROR(__xludf.DUMMYFUNCTION("""COMPUTED_VALUE"""),56.0)</f>
        <v>56</v>
      </c>
      <c r="E1072" s="44" t="str">
        <f>IFERROR(__xludf.DUMMYFUNCTION("""COMPUTED_VALUE"""),"995521")</f>
        <v>995521</v>
      </c>
      <c r="F1072" s="44" t="str">
        <f>IFERROR(__xludf.DUMMYFUNCTION("""COMPUTED_VALUE"""),"")</f>
        <v/>
      </c>
      <c r="G1072" s="44" t="str">
        <f>IFERROR(__xludf.DUMMYFUNCTION("""COMPUTED_VALUE""")," ")</f>
        <v> </v>
      </c>
      <c r="H1072" s="44" t="str">
        <f>IFERROR(__xludf.DUMMYFUNCTION("""COMPUTED_VALUE""")," ")</f>
        <v> </v>
      </c>
      <c r="I1072" s="44" t="str">
        <f>IFERROR(__xludf.DUMMYFUNCTION("""COMPUTED_VALUE"""),"Internado")</f>
        <v>Internado</v>
      </c>
      <c r="J1072" s="44" t="str">
        <f>IFERROR(__xludf.DUMMYFUNCTION("""COMPUTED_VALUE"""),"")</f>
        <v/>
      </c>
      <c r="K1072" s="42" t="str">
        <f>IFERROR(__xludf.DUMMYFUNCTION("""COMPUTED_VALUE"""),"Hospital Ana Francisca Pérez de")</f>
        <v>Hospital Ana Francisca Pérez de</v>
      </c>
    </row>
    <row r="1073">
      <c r="A1073" s="44">
        <v>1072.0</v>
      </c>
      <c r="B1073" s="44" t="str">
        <f>IFERROR(__xludf.DUMMYFUNCTION("""COMPUTED_VALUE"""),"Periférico de Catia")</f>
        <v>Periférico de Catia</v>
      </c>
      <c r="C1073" s="45" t="str">
        <f>IFERROR(__xludf.DUMMYFUNCTION("""COMPUTED_VALUE"""),"ÁLVARO FADIA")</f>
        <v>ÁLVARO FADIA</v>
      </c>
      <c r="D1073" s="44">
        <f>IFERROR(__xludf.DUMMYFUNCTION("""COMPUTED_VALUE"""),56.0)</f>
        <v>56</v>
      </c>
      <c r="E1073" s="44" t="str">
        <f>IFERROR(__xludf.DUMMYFUNCTION("""COMPUTED_VALUE"""),"99605140")</f>
        <v>99605140</v>
      </c>
      <c r="F1073" s="44" t="str">
        <f>IFERROR(__xludf.DUMMYFUNCTION("""COMPUTED_VALUE"""),"")</f>
        <v/>
      </c>
      <c r="G1073" s="44" t="str">
        <f>IFERROR(__xludf.DUMMYFUNCTION("""COMPUTED_VALUE""")," ")</f>
        <v> </v>
      </c>
      <c r="H1073" s="44" t="str">
        <f>IFERROR(__xludf.DUMMYFUNCTION("""COMPUTED_VALUE"""),"Sin información")</f>
        <v>Sin información</v>
      </c>
      <c r="I1073" s="44" t="str">
        <f>IFERROR(__xludf.DUMMYFUNCTION("""COMPUTED_VALUE"""),"Emergencia")</f>
        <v>Emergencia</v>
      </c>
      <c r="J1073" s="44" t="str">
        <f>IFERROR(__xludf.DUMMYFUNCTION("""COMPUTED_VALUE"""),"")</f>
        <v/>
      </c>
      <c r="K1073" s="42" t="str">
        <f>IFERROR(__xludf.DUMMYFUNCTION("""COMPUTED_VALUE"""),"Periférico de Catia")</f>
        <v>Periférico de Catia</v>
      </c>
    </row>
    <row r="1074">
      <c r="A1074" s="44">
        <v>1073.0</v>
      </c>
      <c r="B1074" s="44" t="str">
        <f>IFERROR(__xludf.DUMMYFUNCTION("""COMPUTED_VALUE"""),"Hospital Militar Dr. C. Arvelo")</f>
        <v>Hospital Militar Dr. C. Arvelo</v>
      </c>
      <c r="C1074" s="45" t="str">
        <f>IFERROR(__xludf.DUMMYFUNCTION("""COMPUTED_VALUE"""),"Salas Villaya")</f>
        <v>Salas Villaya</v>
      </c>
      <c r="D1074" s="44">
        <f>IFERROR(__xludf.DUMMYFUNCTION("""COMPUTED_VALUE"""),57.0)</f>
        <v>57</v>
      </c>
      <c r="E1074" s="44" t="str">
        <f>IFERROR(__xludf.DUMMYFUNCTION("""COMPUTED_VALUE"""),"9999170")</f>
        <v>9999170</v>
      </c>
      <c r="F1074" s="44" t="str">
        <f>IFERROR(__xludf.DUMMYFUNCTION("""COMPUTED_VALUE"""),"")</f>
        <v/>
      </c>
      <c r="G1074" s="44" t="str">
        <f>IFERROR(__xludf.DUMMYFUNCTION("""COMPUTED_VALUE"""),"")</f>
        <v/>
      </c>
      <c r="H1074" s="44" t="str">
        <f>IFERROR(__xludf.DUMMYFUNCTION("""COMPUTED_VALUE"""),"F")</f>
        <v>F</v>
      </c>
      <c r="I1074" s="44" t="str">
        <f>IFERROR(__xludf.DUMMYFUNCTION("""COMPUTED_VALUE"""),"Paraíso Esposa S/M")</f>
        <v>Paraíso Esposa S/M</v>
      </c>
      <c r="J1074" s="44" t="str">
        <f>IFERROR(__xludf.DUMMYFUNCTION("""COMPUTED_VALUE"""),"24/6/2026")</f>
        <v>24/6/2026</v>
      </c>
      <c r="K1074" s="42" t="str">
        <f>IFERROR(__xludf.DUMMYFUNCTION("""COMPUTED_VALUE"""),"Hospital Militar Dr. C. Arvelo")</f>
        <v>Hospital Militar Dr. C. Arvelo</v>
      </c>
    </row>
    <row r="1075">
      <c r="A1075" s="44" t="s">
        <v>3415</v>
      </c>
      <c r="B1075" s="44" t="str">
        <f>IFERROR(__xludf.DUMMYFUNCTION("""COMPUTED_VALUE"""),"")</f>
        <v/>
      </c>
      <c r="C1075" s="45" t="str">
        <f>IFERROR(__xludf.DUMMYFUNCTION("""COMPUTED_VALUE"""),"")</f>
        <v/>
      </c>
      <c r="D1075" s="44" t="str">
        <f>IFERROR(__xludf.DUMMYFUNCTION("""COMPUTED_VALUE"""),"")</f>
        <v/>
      </c>
      <c r="E1075" s="44" t="str">
        <f>IFERROR(__xludf.DUMMYFUNCTION("""COMPUTED_VALUE"""),"")</f>
        <v/>
      </c>
      <c r="F1075" s="44" t="str">
        <f>IFERROR(__xludf.DUMMYFUNCTION("""COMPUTED_VALUE"""),"")</f>
        <v/>
      </c>
      <c r="G1075" s="44" t="str">
        <f>IFERROR(__xludf.DUMMYFUNCTION("""COMPUTED_VALUE"""),"")</f>
        <v/>
      </c>
      <c r="H1075" s="44" t="str">
        <f>IFERROR(__xludf.DUMMYFUNCTION("""COMPUTED_VALUE"""),"")</f>
        <v/>
      </c>
      <c r="I1075" s="44" t="str">
        <f>IFERROR(__xludf.DUMMYFUNCTION("""COMPUTED_VALUE"""),"")</f>
        <v/>
      </c>
      <c r="J1075" s="44" t="str">
        <f>IFERROR(__xludf.DUMMYFUNCTION("""COMPUTED_VALUE"""),"")</f>
        <v/>
      </c>
      <c r="K1075" s="42" t="str">
        <f>IFERROR(__xludf.DUMMYFUNCTION("""COMPUTED_VALUE"""),"")</f>
        <v/>
      </c>
    </row>
    <row r="1076">
      <c r="A1076" s="44">
        <v>1075.0</v>
      </c>
      <c r="B1076" s="44" t="str">
        <f>IFERROR(__xludf.DUMMYFUNCTION("""COMPUTED_VALUE"""),"Hospital Pérez Carreño")</f>
        <v>Hospital Pérez Carreño</v>
      </c>
      <c r="C1076" s="45" t="str">
        <f>IFERROR(__xludf.DUMMYFUNCTION("""COMPUTED_VALUE"""),"AARON VILLALBA")</f>
        <v>AARON VILLALBA</v>
      </c>
      <c r="D1076" s="44">
        <f>IFERROR(__xludf.DUMMYFUNCTION("""COMPUTED_VALUE"""),8.0)</f>
        <v>8</v>
      </c>
      <c r="E1076" s="44" t="str">
        <f>IFERROR(__xludf.DUMMYFUNCTION("""COMPUTED_VALUE"""),"")</f>
        <v/>
      </c>
      <c r="F1076" s="44" t="str">
        <f>IFERROR(__xludf.DUMMYFUNCTION("""COMPUTED_VALUE"""),"")</f>
        <v/>
      </c>
      <c r="G1076" s="44" t="str">
        <f>IFERROR(__xludf.DUMMYFUNCTION("""COMPUTED_VALUE""")," ")</f>
        <v> </v>
      </c>
      <c r="H1076" s="44" t="str">
        <f>IFERROR(__xludf.DUMMYFUNCTION("""COMPUTED_VALUE""")," ")</f>
        <v> </v>
      </c>
      <c r="I1076" s="44" t="str">
        <f>IFERROR(__xludf.DUMMYFUNCTION("""COMPUTED_VALUE""")," ")</f>
        <v> </v>
      </c>
      <c r="J1076" s="44" t="str">
        <f>IFERROR(__xludf.DUMMYFUNCTION("""COMPUTED_VALUE"""),"25/06/2026")</f>
        <v>25/06/2026</v>
      </c>
      <c r="K1076" s="42" t="str">
        <f>IFERROR(__xludf.DUMMYFUNCTION("""COMPUTED_VALUE"""),"Hospital Pérez Carreño")</f>
        <v>Hospital Pérez Carreño</v>
      </c>
    </row>
    <row r="1077">
      <c r="A1077" s="44">
        <v>1076.0</v>
      </c>
      <c r="B1077" s="44" t="str">
        <f>IFERROR(__xludf.DUMMYFUNCTION("""COMPUTED_VALUE"""),"H. Jose Maria Vargas LG")</f>
        <v>H. Jose Maria Vargas LG</v>
      </c>
      <c r="C1077" s="45" t="str">
        <f>IFERROR(__xludf.DUMMYFUNCTION("""COMPUTED_VALUE"""),"ABEDARIO BEATRIZ")</f>
        <v>ABEDARIO BEATRIZ</v>
      </c>
      <c r="D1077" s="44" t="str">
        <f>IFERROR(__xludf.DUMMYFUNCTION("""COMPUTED_VALUE""")," ")</f>
        <v> </v>
      </c>
      <c r="E1077" s="44" t="str">
        <f>IFERROR(__xludf.DUMMYFUNCTION("""COMPUTED_VALUE"""),"")</f>
        <v/>
      </c>
      <c r="F1077" s="44" t="str">
        <f>IFERROR(__xludf.DUMMYFUNCTION("""COMPUTED_VALUE"""),"")</f>
        <v/>
      </c>
      <c r="G1077" s="44" t="str">
        <f>IFERROR(__xludf.DUMMYFUNCTION("""COMPUTED_VALUE""")," ")</f>
        <v> </v>
      </c>
      <c r="H1077" s="44" t="str">
        <f>IFERROR(__xludf.DUMMYFUNCTION("""COMPUTED_VALUE""")," ")</f>
        <v> </v>
      </c>
      <c r="I1077" s="44" t="str">
        <f>IFERROR(__xludf.DUMMYFUNCTION("""COMPUTED_VALUE""")," ")</f>
        <v> </v>
      </c>
      <c r="J1077" s="44" t="str">
        <f>IFERROR(__xludf.DUMMYFUNCTION("""COMPUTED_VALUE"""),"")</f>
        <v/>
      </c>
      <c r="K1077" s="42" t="str">
        <f>IFERROR(__xludf.DUMMYFUNCTION("""COMPUTED_VALUE"""),"H. Jose Maria Vargas LG")</f>
        <v>H. Jose Maria Vargas LG</v>
      </c>
    </row>
    <row r="1078">
      <c r="A1078" s="44">
        <v>1077.0</v>
      </c>
      <c r="B1078" s="44" t="str">
        <f>IFERROR(__xludf.DUMMYFUNCTION("""COMPUTED_VALUE"""),"Hospital Pérez Carreño")</f>
        <v>Hospital Pérez Carreño</v>
      </c>
      <c r="C1078" s="45" t="str">
        <f>IFERROR(__xludf.DUMMYFUNCTION("""COMPUTED_VALUE"""),"Abel Chan")</f>
        <v>Abel Chan</v>
      </c>
      <c r="D1078" s="44"/>
      <c r="E1078" s="44" t="str">
        <f>IFERROR(__xludf.DUMMYFUNCTION("""COMPUTED_VALUE"""),"")</f>
        <v/>
      </c>
      <c r="F1078" s="44" t="str">
        <f>IFERROR(__xludf.DUMMYFUNCTION("""COMPUTED_VALUE"""),"")</f>
        <v/>
      </c>
      <c r="G1078" s="44" t="str">
        <f>IFERROR(__xludf.DUMMYFUNCTION("""COMPUTED_VALUE"""),"Traumashock ")</f>
        <v>Traumashock </v>
      </c>
      <c r="H1078" s="44" t="str">
        <f>IFERROR(__xludf.DUMMYFUNCTION("""COMPUTED_VALUE"""),"Hospital Miguel Perez Carreño")</f>
        <v>Hospital Miguel Perez Carreño</v>
      </c>
      <c r="I1078" s="44"/>
      <c r="J1078" s="44" t="str">
        <f>IFERROR(__xludf.DUMMYFUNCTION("""COMPUTED_VALUE"""),"26/6/26")</f>
        <v>26/6/26</v>
      </c>
      <c r="K1078" s="42" t="str">
        <f>IFERROR(__xludf.DUMMYFUNCTION("""COMPUTED_VALUE"""),"Hospital Pérez Carreño")</f>
        <v>Hospital Pérez Carreño</v>
      </c>
    </row>
    <row r="1079">
      <c r="A1079" s="44">
        <v>1078.0</v>
      </c>
      <c r="B1079" s="44" t="str">
        <f>IFERROR(__xludf.DUMMYFUNCTION("""COMPUTED_VALUE"""),"Hospital Domingo Luciani")</f>
        <v>Hospital Domingo Luciani</v>
      </c>
      <c r="C1079" s="45" t="str">
        <f>IFERROR(__xludf.DUMMYFUNCTION("""COMPUTED_VALUE"""),"Abelb Wilmar")</f>
        <v>Abelb Wilmar</v>
      </c>
      <c r="D1079" s="44">
        <f>IFERROR(__xludf.DUMMYFUNCTION("""COMPUTED_VALUE"""),36.0)</f>
        <v>36</v>
      </c>
      <c r="E1079" s="44" t="str">
        <f>IFERROR(__xludf.DUMMYFUNCTION("""COMPUTED_VALUE"""),"")</f>
        <v/>
      </c>
      <c r="F1079" s="44" t="str">
        <f>IFERROR(__xludf.DUMMYFUNCTION("""COMPUTED_VALUE"""),"")</f>
        <v/>
      </c>
      <c r="G1079" s="44"/>
      <c r="H1079" s="44"/>
      <c r="I1079" s="44"/>
      <c r="J1079" s="44" t="str">
        <f>IFERROR(__xludf.DUMMYFUNCTION("""COMPUTED_VALUE"""),"")</f>
        <v/>
      </c>
      <c r="K1079" s="42" t="str">
        <f>IFERROR(__xludf.DUMMYFUNCTION("""COMPUTED_VALUE"""),"Hospital Domingo Luciani")</f>
        <v>Hospital Domingo Luciani</v>
      </c>
    </row>
    <row r="1080">
      <c r="A1080" s="44">
        <v>1079.0</v>
      </c>
      <c r="B1080" s="44" t="str">
        <f>IFERROR(__xludf.DUMMYFUNCTION("""COMPUTED_VALUE"""),"Hospital Domingo Luciani")</f>
        <v>Hospital Domingo Luciani</v>
      </c>
      <c r="C1080" s="45" t="str">
        <f>IFERROR(__xludf.DUMMYFUNCTION("""COMPUTED_VALUE"""),"ABELLO MATILDE")</f>
        <v>ABELLO MATILDE</v>
      </c>
      <c r="D1080" s="44">
        <f>IFERROR(__xludf.DUMMYFUNCTION("""COMPUTED_VALUE"""),36.0)</f>
        <v>36</v>
      </c>
      <c r="E1080" s="44" t="str">
        <f>IFERROR(__xludf.DUMMYFUNCTION("""COMPUTED_VALUE"""),"")</f>
        <v/>
      </c>
      <c r="F1080" s="44" t="str">
        <f>IFERROR(__xludf.DUMMYFUNCTION("""COMPUTED_VALUE"""),"")</f>
        <v/>
      </c>
      <c r="G1080" s="44" t="str">
        <f>IFERROR(__xludf.DUMMYFUNCTION("""COMPUTED_VALUE""")," ")</f>
        <v> </v>
      </c>
      <c r="H1080" s="44" t="str">
        <f>IFERROR(__xludf.DUMMYFUNCTION("""COMPUTED_VALUE""")," ")</f>
        <v> </v>
      </c>
      <c r="I1080" s="44" t="str">
        <f>IFERROR(__xludf.DUMMYFUNCTION("""COMPUTED_VALUE"""),"Fallecida")</f>
        <v>Fallecida</v>
      </c>
      <c r="J1080" s="44" t="str">
        <f>IFERROR(__xludf.DUMMYFUNCTION("""COMPUTED_VALUE"""),"")</f>
        <v/>
      </c>
      <c r="K1080" s="42" t="str">
        <f>IFERROR(__xludf.DUMMYFUNCTION("""COMPUTED_VALUE"""),"🔍 BUSCAR PACIENTES")</f>
        <v>🔍 BUSCAR PACIENTES</v>
      </c>
    </row>
    <row r="1081">
      <c r="A1081" s="44">
        <v>1080.0</v>
      </c>
      <c r="B1081" s="44" t="str">
        <f>IFERROR(__xludf.DUMMYFUNCTION("""COMPUTED_VALUE"""),"Hospital Domingo Luciani")</f>
        <v>Hospital Domingo Luciani</v>
      </c>
      <c r="C1081" s="45" t="str">
        <f>IFERROR(__xludf.DUMMYFUNCTION("""COMPUTED_VALUE"""),"ABELLO WILMARI")</f>
        <v>ABELLO WILMARI</v>
      </c>
      <c r="D1081" s="44">
        <f>IFERROR(__xludf.DUMMYFUNCTION("""COMPUTED_VALUE"""),36.0)</f>
        <v>36</v>
      </c>
      <c r="E1081" s="44" t="str">
        <f>IFERROR(__xludf.DUMMYFUNCTION("""COMPUTED_VALUE"""),"")</f>
        <v/>
      </c>
      <c r="F1081" s="44" t="str">
        <f>IFERROR(__xludf.DUMMYFUNCTION("""COMPUTED_VALUE"""),"")</f>
        <v/>
      </c>
      <c r="G1081" s="44" t="str">
        <f>IFERROR(__xludf.DUMMYFUNCTION("""COMPUTED_VALUE""")," ")</f>
        <v> </v>
      </c>
      <c r="H1081" s="44" t="str">
        <f>IFERROR(__xludf.DUMMYFUNCTION("""COMPUTED_VALUE""")," ")</f>
        <v> </v>
      </c>
      <c r="I1081" s="44" t="str">
        <f>IFERROR(__xludf.DUMMYFUNCTION("""COMPUTED_VALUE"""),"fallecida")</f>
        <v>fallecida</v>
      </c>
      <c r="J1081" s="44" t="str">
        <f>IFERROR(__xludf.DUMMYFUNCTION("""COMPUTED_VALUE"""),"")</f>
        <v/>
      </c>
      <c r="K1081" s="42" t="str">
        <f>IFERROR(__xludf.DUMMYFUNCTION("""COMPUTED_VALUE"""),"🔍 BUSCAR PACIENTES")</f>
        <v>🔍 BUSCAR PACIENTES</v>
      </c>
    </row>
    <row r="1082">
      <c r="A1082" s="44">
        <v>1081.0</v>
      </c>
      <c r="B1082" s="44" t="str">
        <f>IFERROR(__xludf.DUMMYFUNCTION("""COMPUTED_VALUE"""),"Campo de Golf Playa los Cocos")</f>
        <v>Campo de Golf Playa los Cocos</v>
      </c>
      <c r="C1082" s="45" t="str">
        <f>IFERROR(__xludf.DUMMYFUNCTION("""COMPUTED_VALUE"""),"Abigail Renott")</f>
        <v>Abigail Renott</v>
      </c>
      <c r="D1082" s="44" t="str">
        <f>IFERROR(__xludf.DUMMYFUNCTION("""COMPUTED_VALUE"""),"")</f>
        <v/>
      </c>
      <c r="E1082" s="44" t="str">
        <f>IFERROR(__xludf.DUMMYFUNCTION("""COMPUTED_VALUE"""),"")</f>
        <v/>
      </c>
      <c r="F1082" s="44" t="str">
        <f>IFERROR(__xludf.DUMMYFUNCTION("""COMPUTED_VALUE"""),"")</f>
        <v/>
      </c>
      <c r="G1082" s="44" t="str">
        <f>IFERROR(__xludf.DUMMYFUNCTION("""COMPUTED_VALUE"""),"")</f>
        <v/>
      </c>
      <c r="H1082" s="44" t="str">
        <f>IFERROR(__xludf.DUMMYFUNCTION("""COMPUTED_VALUE"""),"")</f>
        <v/>
      </c>
      <c r="I1082" s="44"/>
      <c r="J1082" s="44" t="str">
        <f>IFERROR(__xludf.DUMMYFUNCTION("""COMPUTED_VALUE"""),"")</f>
        <v/>
      </c>
      <c r="K1082" s="42" t="str">
        <f>IFERROR(__xludf.DUMMYFUNCTION("""COMPUTED_VALUE"""),"Campo de Golf Playa los Cocos")</f>
        <v>Campo de Golf Playa los Cocos</v>
      </c>
    </row>
    <row r="1083">
      <c r="A1083" s="44">
        <v>1082.0</v>
      </c>
      <c r="B1083" s="44" t="str">
        <f>IFERROR(__xludf.DUMMYFUNCTION("""COMPUTED_VALUE"""),"Seguro Social La Guaira")</f>
        <v>Seguro Social La Guaira</v>
      </c>
      <c r="C1083" s="45" t="str">
        <f>IFERROR(__xludf.DUMMYFUNCTION("""COMPUTED_VALUE"""),"ABRAHAN GONZALES")</f>
        <v>ABRAHAN GONZALES</v>
      </c>
      <c r="D1083" s="44">
        <f>IFERROR(__xludf.DUMMYFUNCTION("""COMPUTED_VALUE"""),8.0)</f>
        <v>8</v>
      </c>
      <c r="E1083" s="44" t="str">
        <f>IFERROR(__xludf.DUMMYFUNCTION("""COMPUTED_VALUE"""),"")</f>
        <v/>
      </c>
      <c r="F1083" s="44" t="str">
        <f>IFERROR(__xludf.DUMMYFUNCTION("""COMPUTED_VALUE"""),"")</f>
        <v/>
      </c>
      <c r="G1083" s="44" t="str">
        <f>IFERROR(__xludf.DUMMYFUNCTION("""COMPUTED_VALUE""")," ")</f>
        <v> </v>
      </c>
      <c r="H1083" s="44" t="str">
        <f>IFERROR(__xludf.DUMMYFUNCTION("""COMPUTED_VALUE"""),"Caribe OPP2")</f>
        <v>Caribe OPP2</v>
      </c>
      <c r="I1083" s="44" t="str">
        <f>IFERROR(__xludf.DUMMYFUNCTION("""COMPUTED_VALUE""")," ")</f>
        <v> </v>
      </c>
      <c r="J1083" s="44" t="str">
        <f>IFERROR(__xludf.DUMMYFUNCTION("""COMPUTED_VALUE"""),"")</f>
        <v/>
      </c>
      <c r="K1083" s="42" t="str">
        <f>IFERROR(__xludf.DUMMYFUNCTION("""COMPUTED_VALUE"""),"Seguro Social La Guaira")</f>
        <v>Seguro Social La Guaira</v>
      </c>
    </row>
    <row r="1084">
      <c r="A1084" s="44">
        <v>1083.0</v>
      </c>
      <c r="B1084" s="44" t="str">
        <f>IFERROR(__xludf.DUMMYFUNCTION("""COMPUTED_VALUE"""),"Hospital Domingo Luciani")</f>
        <v>Hospital Domingo Luciani</v>
      </c>
      <c r="C1084" s="45" t="str">
        <f>IFERROR(__xludf.DUMMYFUNCTION("""COMPUTED_VALUE"""),"ABREU EMMA")</f>
        <v>ABREU EMMA</v>
      </c>
      <c r="D1084" s="44">
        <f>IFERROR(__xludf.DUMMYFUNCTION("""COMPUTED_VALUE"""),8.0)</f>
        <v>8</v>
      </c>
      <c r="E1084" s="44" t="str">
        <f>IFERROR(__xludf.DUMMYFUNCTION("""COMPUTED_VALUE"""),"")</f>
        <v/>
      </c>
      <c r="F1084" s="44" t="str">
        <f>IFERROR(__xludf.DUMMYFUNCTION("""COMPUTED_VALUE"""),"")</f>
        <v/>
      </c>
      <c r="G1084" s="44" t="str">
        <f>IFERROR(__xludf.DUMMYFUNCTION("""COMPUTED_VALUE""")," ")</f>
        <v> </v>
      </c>
      <c r="H1084" s="44" t="str">
        <f>IFERROR(__xludf.DUMMYFUNCTION("""COMPUTED_VALUE""")," ")</f>
        <v> </v>
      </c>
      <c r="I1084" s="44" t="str">
        <f>IFERROR(__xludf.DUMMYFUNCTION("""COMPUTED_VALUE""")," ")</f>
        <v> </v>
      </c>
      <c r="J1084" s="44" t="str">
        <f>IFERROR(__xludf.DUMMYFUNCTION("""COMPUTED_VALUE"""),"")</f>
        <v/>
      </c>
      <c r="K1084" s="42" t="str">
        <f>IFERROR(__xludf.DUMMYFUNCTION("""COMPUTED_VALUE"""),"🔍 BUSCAR PACIENTES")</f>
        <v>🔍 BUSCAR PACIENTES</v>
      </c>
    </row>
    <row r="1085">
      <c r="A1085" s="44">
        <v>1084.0</v>
      </c>
      <c r="B1085" s="44" t="str">
        <f>IFERROR(__xludf.DUMMYFUNCTION("""COMPUTED_VALUE"""),"Hospital Domingo Luciani")</f>
        <v>Hospital Domingo Luciani</v>
      </c>
      <c r="C1085" s="45" t="str">
        <f>IFERROR(__xludf.DUMMYFUNCTION("""COMPUTED_VALUE"""),"ABREU PAULINA")</f>
        <v>ABREU PAULINA</v>
      </c>
      <c r="D1085" s="44">
        <f>IFERROR(__xludf.DUMMYFUNCTION("""COMPUTED_VALUE"""),8.0)</f>
        <v>8</v>
      </c>
      <c r="E1085" s="44" t="str">
        <f>IFERROR(__xludf.DUMMYFUNCTION("""COMPUTED_VALUE"""),"")</f>
        <v/>
      </c>
      <c r="F1085" s="44" t="str">
        <f>IFERROR(__xludf.DUMMYFUNCTION("""COMPUTED_VALUE"""),"")</f>
        <v/>
      </c>
      <c r="G1085" s="44" t="str">
        <f>IFERROR(__xludf.DUMMYFUNCTION("""COMPUTED_VALUE""")," ")</f>
        <v> </v>
      </c>
      <c r="H1085" s="44" t="str">
        <f>IFERROR(__xludf.DUMMYFUNCTION("""COMPUTED_VALUE""")," ")</f>
        <v> </v>
      </c>
      <c r="I1085" s="44" t="str">
        <f>IFERROR(__xludf.DUMMYFUNCTION("""COMPUTED_VALUE""")," ")</f>
        <v> </v>
      </c>
      <c r="J1085" s="44" t="str">
        <f>IFERROR(__xludf.DUMMYFUNCTION("""COMPUTED_VALUE"""),"")</f>
        <v/>
      </c>
      <c r="K1085" s="42" t="str">
        <f>IFERROR(__xludf.DUMMYFUNCTION("""COMPUTED_VALUE"""),"🔍 BUSCAR PACIENTES")</f>
        <v>🔍 BUSCAR PACIENTES</v>
      </c>
    </row>
    <row r="1086">
      <c r="A1086" s="44">
        <v>1085.0</v>
      </c>
      <c r="B1086" s="44" t="str">
        <f>IFERROR(__xludf.DUMMYFUNCTION("""COMPUTED_VALUE"""),"Hospital Domingo Luciani")</f>
        <v>Hospital Domingo Luciani</v>
      </c>
      <c r="C1086" s="45" t="str">
        <f>IFERROR(__xludf.DUMMYFUNCTION("""COMPUTED_VALUE"""),"ACEVEDO ESTEFANI")</f>
        <v>ACEVEDO ESTEFANI</v>
      </c>
      <c r="D1086" s="44">
        <f>IFERROR(__xludf.DUMMYFUNCTION("""COMPUTED_VALUE"""),37.0)</f>
        <v>37</v>
      </c>
      <c r="E1086" s="44" t="str">
        <f>IFERROR(__xludf.DUMMYFUNCTION("""COMPUTED_VALUE"""),"")</f>
        <v/>
      </c>
      <c r="F1086" s="44" t="str">
        <f>IFERROR(__xludf.DUMMYFUNCTION("""COMPUTED_VALUE"""),"")</f>
        <v/>
      </c>
      <c r="G1086" s="44" t="str">
        <f>IFERROR(__xludf.DUMMYFUNCTION("""COMPUTED_VALUE""")," ")</f>
        <v> </v>
      </c>
      <c r="H1086" s="44" t="str">
        <f>IFERROR(__xludf.DUMMYFUNCTION("""COMPUTED_VALUE""")," ")</f>
        <v> </v>
      </c>
      <c r="I1086" s="44" t="str">
        <f>IFERROR(__xludf.DUMMYFUNCTION("""COMPUTED_VALUE"""),"Internado; POLIT EMERGENCIA NUEVA")</f>
        <v>Internado; POLIT EMERGENCIA NUEVA</v>
      </c>
      <c r="J1086" s="44" t="str">
        <f>IFERROR(__xludf.DUMMYFUNCTION("""COMPUTED_VALUE"""),"")</f>
        <v/>
      </c>
      <c r="K1086" s="42" t="str">
        <f>IFERROR(__xludf.DUMMYFUNCTION("""COMPUTED_VALUE"""),"🔍 BUSCAR PACIENTES")</f>
        <v>🔍 BUSCAR PACIENTES</v>
      </c>
    </row>
    <row r="1087">
      <c r="A1087" s="44">
        <v>1086.0</v>
      </c>
      <c r="B1087" s="44" t="str">
        <f>IFERROR(__xludf.DUMMYFUNCTION("""COMPUTED_VALUE"""),"La Guaira Sin Hospital")</f>
        <v>La Guaira Sin Hospital</v>
      </c>
      <c r="C1087" s="45" t="str">
        <f>IFERROR(__xludf.DUMMYFUNCTION("""COMPUTED_VALUE"""),"Acevedo Mez")</f>
        <v>Acevedo Mez</v>
      </c>
      <c r="D1087" s="44" t="str">
        <f>IFERROR(__xludf.DUMMYFUNCTION("""COMPUTED_VALUE"""),"")</f>
        <v/>
      </c>
      <c r="E1087" s="44" t="str">
        <f>IFERROR(__xludf.DUMMYFUNCTION("""COMPUTED_VALUE"""),"")</f>
        <v/>
      </c>
      <c r="F1087" s="44" t="str">
        <f>IFERROR(__xludf.DUMMYFUNCTION("""COMPUTED_VALUE"""),"")</f>
        <v/>
      </c>
      <c r="G1087" s="44" t="str">
        <f>IFERROR(__xludf.DUMMYFUNCTION("""COMPUTED_VALUE"""),"")</f>
        <v/>
      </c>
      <c r="H1087" s="44"/>
      <c r="I1087" s="44" t="str">
        <f>IFERROR(__xludf.DUMMYFUNCTION("""COMPUTED_VALUE"""),"Listas solo con nombre")</f>
        <v>Listas solo con nombre</v>
      </c>
      <c r="J1087" s="44" t="str">
        <f>IFERROR(__xludf.DUMMYFUNCTION("""COMPUTED_VALUE"""),"")</f>
        <v/>
      </c>
      <c r="K1087" s="42" t="str">
        <f>IFERROR(__xludf.DUMMYFUNCTION("""COMPUTED_VALUE"""),"La Guaira Sin Hospital")</f>
        <v>La Guaira Sin Hospital</v>
      </c>
    </row>
    <row r="1088">
      <c r="A1088" s="44">
        <v>1087.0</v>
      </c>
      <c r="B1088" s="44" t="str">
        <f>IFERROR(__xludf.DUMMYFUNCTION("""COMPUTED_VALUE"""),"Hospital Pérez Carreño")</f>
        <v>Hospital Pérez Carreño</v>
      </c>
      <c r="C1088" s="45" t="str">
        <f>IFERROR(__xludf.DUMMYFUNCTION("""COMPUTED_VALUE"""),"ACEVEDO MIA")</f>
        <v>ACEVEDO MIA</v>
      </c>
      <c r="D1088" s="44" t="str">
        <f>IFERROR(__xludf.DUMMYFUNCTION("""COMPUTED_VALUE"""),"7 M")</f>
        <v>7 M</v>
      </c>
      <c r="E1088" s="44" t="str">
        <f>IFERROR(__xludf.DUMMYFUNCTION("""COMPUTED_VALUE"""),"")</f>
        <v/>
      </c>
      <c r="F1088" s="44" t="str">
        <f>IFERROR(__xludf.DUMMYFUNCTION("""COMPUTED_VALUE"""),"")</f>
        <v/>
      </c>
      <c r="G1088" s="44" t="str">
        <f>IFERROR(__xludf.DUMMYFUNCTION("""COMPUTED_VALUE""")," ")</f>
        <v> </v>
      </c>
      <c r="H1088" s="44" t="str">
        <f>IFERROR(__xludf.DUMMYFUNCTION("""COMPUTED_VALUE""")," ")</f>
        <v> </v>
      </c>
      <c r="I1088" s="44" t="str">
        <f>IFERROR(__xludf.DUMMYFUNCTION("""COMPUTED_VALUE"""),"Pediatría")</f>
        <v>Pediatría</v>
      </c>
      <c r="J1088" s="44" t="str">
        <f>IFERROR(__xludf.DUMMYFUNCTION("""COMPUTED_VALUE"""),"25/06/2026")</f>
        <v>25/06/2026</v>
      </c>
      <c r="K1088" s="42" t="str">
        <f>IFERROR(__xludf.DUMMYFUNCTION("""COMPUTED_VALUE"""),"Hospital Pérez Carreño")</f>
        <v>Hospital Pérez Carreño</v>
      </c>
    </row>
    <row r="1089">
      <c r="A1089" s="44">
        <v>1088.0</v>
      </c>
      <c r="B1089" s="44" t="str">
        <f>IFERROR(__xludf.DUMMYFUNCTION("""COMPUTED_VALUE"""),"Hospital Pérez Carreño")</f>
        <v>Hospital Pérez Carreño</v>
      </c>
      <c r="C1089" s="45" t="str">
        <f>IFERROR(__xludf.DUMMYFUNCTION("""COMPUTED_VALUE"""),"Acevedo Miz")</f>
        <v>Acevedo Miz</v>
      </c>
      <c r="D1089" s="44"/>
      <c r="E1089" s="44" t="str">
        <f>IFERROR(__xludf.DUMMYFUNCTION("""COMPUTED_VALUE"""),"")</f>
        <v/>
      </c>
      <c r="F1089" s="44" t="str">
        <f>IFERROR(__xludf.DUMMYFUNCTION("""COMPUTED_VALUE"""),"")</f>
        <v/>
      </c>
      <c r="G1089" s="44" t="str">
        <f>IFERROR(__xludf.DUMMYFUNCTION("""COMPUTED_VALUE"""),"Traslados")</f>
        <v>Traslados</v>
      </c>
      <c r="H1089" s="44" t="str">
        <f>IFERROR(__xludf.DUMMYFUNCTION("""COMPUTED_VALUE"""),"Hospital Miguel Perez Carreño")</f>
        <v>Hospital Miguel Perez Carreño</v>
      </c>
      <c r="I1089" s="44"/>
      <c r="J1089" s="44" t="str">
        <f>IFERROR(__xludf.DUMMYFUNCTION("""COMPUTED_VALUE"""),"26/6/26")</f>
        <v>26/6/26</v>
      </c>
      <c r="K1089" s="42" t="str">
        <f>IFERROR(__xludf.DUMMYFUNCTION("""COMPUTED_VALUE"""),"Hospital Pérez Carreño")</f>
        <v>Hospital Pérez Carreño</v>
      </c>
    </row>
    <row r="1090">
      <c r="A1090" s="44">
        <v>1089.0</v>
      </c>
      <c r="B1090" s="44" t="str">
        <f>IFERROR(__xludf.DUMMYFUNCTION("""COMPUTED_VALUE"""),"Centro de Acopio Caraballeda")</f>
        <v>Centro de Acopio Caraballeda</v>
      </c>
      <c r="C1090" s="45" t="str">
        <f>IFERROR(__xludf.DUMMYFUNCTION("""COMPUTED_VALUE"""),"ACOSTA ALAN")</f>
        <v>ACOSTA ALAN</v>
      </c>
      <c r="D1090" s="44" t="str">
        <f>IFERROR(__xludf.DUMMYFUNCTION("""COMPUTED_VALUE""")," ")</f>
        <v> </v>
      </c>
      <c r="E1090" s="44" t="str">
        <f>IFERROR(__xludf.DUMMYFUNCTION("""COMPUTED_VALUE"""),"")</f>
        <v/>
      </c>
      <c r="F1090" s="44" t="str">
        <f>IFERROR(__xludf.DUMMYFUNCTION("""COMPUTED_VALUE"""),"")</f>
        <v/>
      </c>
      <c r="G1090" s="44" t="str">
        <f>IFERROR(__xludf.DUMMYFUNCTION("""COMPUTED_VALUE""")," ")</f>
        <v> </v>
      </c>
      <c r="H1090" s="44" t="str">
        <f>IFERROR(__xludf.DUMMYFUNCTION("""COMPUTED_VALUE""")," ")</f>
        <v> </v>
      </c>
      <c r="I1090" s="44" t="str">
        <f>IFERROR(__xludf.DUMMYFUNCTION("""COMPUTED_VALUE"""),"Internado")</f>
        <v>Internado</v>
      </c>
      <c r="J1090" s="44" t="str">
        <f>IFERROR(__xludf.DUMMYFUNCTION("""COMPUTED_VALUE"""),"")</f>
        <v/>
      </c>
      <c r="K1090" s="42" t="str">
        <f>IFERROR(__xludf.DUMMYFUNCTION("""COMPUTED_VALUE"""),"🔍 BUSCAR PACIENTES")</f>
        <v>🔍 BUSCAR PACIENTES</v>
      </c>
    </row>
    <row r="1091">
      <c r="A1091" s="44">
        <v>1090.0</v>
      </c>
      <c r="B1091" s="44" t="str">
        <f>IFERROR(__xludf.DUMMYFUNCTION("""COMPUTED_VALUE"""),"Hospital Domingo Luciani")</f>
        <v>Hospital Domingo Luciani</v>
      </c>
      <c r="C1091" s="45" t="str">
        <f>IFERROR(__xludf.DUMMYFUNCTION("""COMPUTED_VALUE"""),"ACOSTA ALEXANDER")</f>
        <v>ACOSTA ALEXANDER</v>
      </c>
      <c r="D1091" s="44">
        <f>IFERROR(__xludf.DUMMYFUNCTION("""COMPUTED_VALUE"""),47.0)</f>
        <v>47</v>
      </c>
      <c r="E1091" s="44" t="str">
        <f>IFERROR(__xludf.DUMMYFUNCTION("""COMPUTED_VALUE"""),"")</f>
        <v/>
      </c>
      <c r="F1091" s="44" t="str">
        <f>IFERROR(__xludf.DUMMYFUNCTION("""COMPUTED_VALUE"""),"")</f>
        <v/>
      </c>
      <c r="G1091" s="44" t="str">
        <f>IFERROR(__xludf.DUMMYFUNCTION("""COMPUTED_VALUE""")," ")</f>
        <v> </v>
      </c>
      <c r="H1091" s="44" t="str">
        <f>IFERROR(__xludf.DUMMYFUNCTION("""COMPUTED_VALUE""")," ")</f>
        <v> </v>
      </c>
      <c r="I1091" s="44" t="str">
        <f>IFERROR(__xludf.DUMMYFUNCTION("""COMPUTED_VALUE""")," ")</f>
        <v> </v>
      </c>
      <c r="J1091" s="44" t="str">
        <f>IFERROR(__xludf.DUMMYFUNCTION("""COMPUTED_VALUE"""),"")</f>
        <v/>
      </c>
      <c r="K1091" s="42" t="str">
        <f>IFERROR(__xludf.DUMMYFUNCTION("""COMPUTED_VALUE"""),"🔍 BUSCAR PACIENTES")</f>
        <v>🔍 BUSCAR PACIENTES</v>
      </c>
    </row>
    <row r="1092">
      <c r="A1092" s="44">
        <v>1091.0</v>
      </c>
      <c r="B1092" s="44" t="str">
        <f>IFERROR(__xludf.DUMMYFUNCTION("""COMPUTED_VALUE"""),"Hospital Domingo Luciani")</f>
        <v>Hospital Domingo Luciani</v>
      </c>
      <c r="C1092" s="45" t="str">
        <f>IFERROR(__xludf.DUMMYFUNCTION("""COMPUTED_VALUE"""),"ACOSTA ALI")</f>
        <v>ACOSTA ALI</v>
      </c>
      <c r="D1092" s="44">
        <f>IFERROR(__xludf.DUMMYFUNCTION("""COMPUTED_VALUE"""),47.0)</f>
        <v>47</v>
      </c>
      <c r="E1092" s="44" t="str">
        <f>IFERROR(__xludf.DUMMYFUNCTION("""COMPUTED_VALUE"""),"")</f>
        <v/>
      </c>
      <c r="F1092" s="44" t="str">
        <f>IFERROR(__xludf.DUMMYFUNCTION("""COMPUTED_VALUE"""),"")</f>
        <v/>
      </c>
      <c r="G1092" s="44" t="str">
        <f>IFERROR(__xludf.DUMMYFUNCTION("""COMPUTED_VALUE""")," ")</f>
        <v> </v>
      </c>
      <c r="H1092" s="44" t="str">
        <f>IFERROR(__xludf.DUMMYFUNCTION("""COMPUTED_VALUE""")," ")</f>
        <v> </v>
      </c>
      <c r="I1092" s="44" t="str">
        <f>IFERROR(__xludf.DUMMYFUNCTION("""COMPUTED_VALUE""")," ")</f>
        <v> </v>
      </c>
      <c r="J1092" s="44" t="str">
        <f>IFERROR(__xludf.DUMMYFUNCTION("""COMPUTED_VALUE"""),"")</f>
        <v/>
      </c>
      <c r="K1092" s="42" t="str">
        <f>IFERROR(__xludf.DUMMYFUNCTION("""COMPUTED_VALUE"""),"🔍 BUSCAR PACIENTES")</f>
        <v>🔍 BUSCAR PACIENTES</v>
      </c>
    </row>
    <row r="1093">
      <c r="A1093" s="44">
        <v>1092.0</v>
      </c>
      <c r="B1093" s="44" t="str">
        <f>IFERROR(__xludf.DUMMYFUNCTION("""COMPUTED_VALUE"""),"Hospital Pérez Carreño")</f>
        <v>Hospital Pérez Carreño</v>
      </c>
      <c r="C1093" s="45" t="str">
        <f>IFERROR(__xludf.DUMMYFUNCTION("""COMPUTED_VALUE"""),"ACOSTA BASTIDAS YANELIS DEL VALLE CAROLINA")</f>
        <v>ACOSTA BASTIDAS YANELIS DEL VALLE CAROLINA</v>
      </c>
      <c r="D1093" s="44" t="str">
        <f>IFERROR(__xludf.DUMMYFUNCTION("""COMPUTED_VALUE""")," ")</f>
        <v> </v>
      </c>
      <c r="E1093" s="44" t="str">
        <f>IFERROR(__xludf.DUMMYFUNCTION("""COMPUTED_VALUE"""),"")</f>
        <v/>
      </c>
      <c r="F1093" s="44" t="str">
        <f>IFERROR(__xludf.DUMMYFUNCTION("""COMPUTED_VALUE"""),"")</f>
        <v/>
      </c>
      <c r="G1093" s="44" t="str">
        <f>IFERROR(__xludf.DUMMYFUNCTION("""COMPUTED_VALUE""")," ")</f>
        <v> </v>
      </c>
      <c r="H1093" s="44" t="str">
        <f>IFERROR(__xludf.DUMMYFUNCTION("""COMPUTED_VALUE""")," ")</f>
        <v> </v>
      </c>
      <c r="I1093" s="44" t="str">
        <f>IFERROR(__xludf.DUMMYFUNCTION("""COMPUTED_VALUE"""),"Internado")</f>
        <v>Internado</v>
      </c>
      <c r="J1093" s="44" t="str">
        <f>IFERROR(__xludf.DUMMYFUNCTION("""COMPUTED_VALUE"""),"25/06/2026")</f>
        <v>25/06/2026</v>
      </c>
      <c r="K1093" s="42" t="str">
        <f>IFERROR(__xludf.DUMMYFUNCTION("""COMPUTED_VALUE"""),"Hospital Pérez Carreño")</f>
        <v>Hospital Pérez Carreño</v>
      </c>
    </row>
    <row r="1094">
      <c r="A1094" s="44">
        <v>1093.0</v>
      </c>
      <c r="B1094" s="44" t="str">
        <f>IFERROR(__xludf.DUMMYFUNCTION("""COMPUTED_VALUE"""),"La Guaira Sin Hospital")</f>
        <v>La Guaira Sin Hospital</v>
      </c>
      <c r="C1094" s="45" t="str">
        <f>IFERROR(__xludf.DUMMYFUNCTION("""COMPUTED_VALUE"""),"Acosta Bastidas Yanelis del Valle Caroline")</f>
        <v>Acosta Bastidas Yanelis del Valle Caroline</v>
      </c>
      <c r="D1094" s="44" t="str">
        <f>IFERROR(__xludf.DUMMYFUNCTION("""COMPUTED_VALUE"""),"")</f>
        <v/>
      </c>
      <c r="E1094" s="44" t="str">
        <f>IFERROR(__xludf.DUMMYFUNCTION("""COMPUTED_VALUE"""),"")</f>
        <v/>
      </c>
      <c r="F1094" s="44" t="str">
        <f>IFERROR(__xludf.DUMMYFUNCTION("""COMPUTED_VALUE"""),"")</f>
        <v/>
      </c>
      <c r="G1094" s="44" t="str">
        <f>IFERROR(__xludf.DUMMYFUNCTION("""COMPUTED_VALUE"""),"")</f>
        <v/>
      </c>
      <c r="H1094" s="44"/>
      <c r="I1094" s="44" t="str">
        <f>IFERROR(__xludf.DUMMYFUNCTION("""COMPUTED_VALUE"""),"Listas solo con nombre")</f>
        <v>Listas solo con nombre</v>
      </c>
      <c r="J1094" s="44" t="str">
        <f>IFERROR(__xludf.DUMMYFUNCTION("""COMPUTED_VALUE"""),"")</f>
        <v/>
      </c>
      <c r="K1094" s="42" t="str">
        <f>IFERROR(__xludf.DUMMYFUNCTION("""COMPUTED_VALUE"""),"La Guaira Sin Hospital")</f>
        <v>La Guaira Sin Hospital</v>
      </c>
    </row>
    <row r="1095">
      <c r="A1095" s="44">
        <v>1094.0</v>
      </c>
      <c r="B1095" s="44" t="str">
        <f>IFERROR(__xludf.DUMMYFUNCTION("""COMPUTED_VALUE"""),"Hospital Pérez Carreño")</f>
        <v>Hospital Pérez Carreño</v>
      </c>
      <c r="C1095" s="45" t="str">
        <f>IFERROR(__xludf.DUMMYFUNCTION("""COMPUTED_VALUE"""),"Acosta Bastidas Yanels del Valle Carolina")</f>
        <v>Acosta Bastidas Yanels del Valle Carolina</v>
      </c>
      <c r="D1095" s="44"/>
      <c r="E1095" s="44" t="str">
        <f>IFERROR(__xludf.DUMMYFUNCTION("""COMPUTED_VALUE"""),"")</f>
        <v/>
      </c>
      <c r="F1095" s="44" t="str">
        <f>IFERROR(__xludf.DUMMYFUNCTION("""COMPUTED_VALUE"""),"")</f>
        <v/>
      </c>
      <c r="G1095" s="44" t="str">
        <f>IFERROR(__xludf.DUMMYFUNCTION("""COMPUTED_VALUE"""),"Traslados")</f>
        <v>Traslados</v>
      </c>
      <c r="H1095" s="44" t="str">
        <f>IFERROR(__xludf.DUMMYFUNCTION("""COMPUTED_VALUE"""),"Hospital Miguel Perez Carreño")</f>
        <v>Hospital Miguel Perez Carreño</v>
      </c>
      <c r="I1095" s="44"/>
      <c r="J1095" s="44" t="str">
        <f>IFERROR(__xludf.DUMMYFUNCTION("""COMPUTED_VALUE"""),"26/6/26")</f>
        <v>26/6/26</v>
      </c>
      <c r="K1095" s="42" t="str">
        <f>IFERROR(__xludf.DUMMYFUNCTION("""COMPUTED_VALUE"""),"Hospital Pérez Carreño")</f>
        <v>Hospital Pérez Carreño</v>
      </c>
    </row>
    <row r="1096">
      <c r="A1096" s="44">
        <v>1095.0</v>
      </c>
      <c r="B1096" s="44" t="str">
        <f>IFERROR(__xludf.DUMMYFUNCTION("""COMPUTED_VALUE"""),"Periférico de Catia")</f>
        <v>Periférico de Catia</v>
      </c>
      <c r="C1096" s="45" t="str">
        <f>IFERROR(__xludf.DUMMYFUNCTION("""COMPUTED_VALUE"""),"Acosta Hasael")</f>
        <v>Acosta Hasael</v>
      </c>
      <c r="D1096" s="44">
        <f>IFERROR(__xludf.DUMMYFUNCTION("""COMPUTED_VALUE"""),13.0)</f>
        <v>13</v>
      </c>
      <c r="E1096" s="44" t="str">
        <f>IFERROR(__xludf.DUMMYFUNCTION("""COMPUTED_VALUE"""),"")</f>
        <v/>
      </c>
      <c r="F1096" s="44" t="str">
        <f>IFERROR(__xludf.DUMMYFUNCTION("""COMPUTED_VALUE"""),"")</f>
        <v/>
      </c>
      <c r="G1096" s="44"/>
      <c r="H1096" s="44"/>
      <c r="I1096" s="44" t="str">
        <f>IFERROR(__xludf.DUMMYFUNCTION("""COMPUTED_VALUE"""),"Lista adicional (pizarra extensa sin titulo de sala especifico)")</f>
        <v>Lista adicional (pizarra extensa sin titulo de sala especifico)</v>
      </c>
      <c r="J1096" s="44" t="str">
        <f>IFERROR(__xludf.DUMMYFUNCTION("""COMPUTED_VALUE"""),"")</f>
        <v/>
      </c>
      <c r="K1096" s="42" t="str">
        <f>IFERROR(__xludf.DUMMYFUNCTION("""COMPUTED_VALUE"""),"Periférico de Catia")</f>
        <v>Periférico de Catia</v>
      </c>
    </row>
    <row r="1097">
      <c r="A1097" s="44">
        <v>1096.0</v>
      </c>
      <c r="B1097" s="44" t="str">
        <f>IFERROR(__xludf.DUMMYFUNCTION("""COMPUTED_VALUE"""),"Hospital Domingo Luciani")</f>
        <v>Hospital Domingo Luciani</v>
      </c>
      <c r="C1097" s="45" t="str">
        <f>IFERROR(__xludf.DUMMYFUNCTION("""COMPUTED_VALUE"""),"ACOSTA ISAEL")</f>
        <v>ACOSTA ISAEL</v>
      </c>
      <c r="D1097" s="44">
        <f>IFERROR(__xludf.DUMMYFUNCTION("""COMPUTED_VALUE"""),13.0)</f>
        <v>13</v>
      </c>
      <c r="E1097" s="44" t="str">
        <f>IFERROR(__xludf.DUMMYFUNCTION("""COMPUTED_VALUE"""),"")</f>
        <v/>
      </c>
      <c r="F1097" s="44" t="str">
        <f>IFERROR(__xludf.DUMMYFUNCTION("""COMPUTED_VALUE"""),"")</f>
        <v/>
      </c>
      <c r="G1097" s="44" t="str">
        <f>IFERROR(__xludf.DUMMYFUNCTION("""COMPUTED_VALUE""")," ")</f>
        <v> </v>
      </c>
      <c r="H1097" s="44" t="str">
        <f>IFERROR(__xludf.DUMMYFUNCTION("""COMPUTED_VALUE""")," ")</f>
        <v> </v>
      </c>
      <c r="I1097" s="44" t="str">
        <f>IFERROR(__xludf.DUMMYFUNCTION("""COMPUTED_VALUE""")," ")</f>
        <v> </v>
      </c>
      <c r="J1097" s="44" t="str">
        <f>IFERROR(__xludf.DUMMYFUNCTION("""COMPUTED_VALUE"""),"")</f>
        <v/>
      </c>
      <c r="K1097" s="42" t="str">
        <f>IFERROR(__xludf.DUMMYFUNCTION("""COMPUTED_VALUE"""),"🔍 BUSCAR PACIENTES")</f>
        <v>🔍 BUSCAR PACIENTES</v>
      </c>
    </row>
    <row r="1098">
      <c r="A1098" s="44">
        <v>1097.0</v>
      </c>
      <c r="B1098" s="44" t="str">
        <f>IFERROR(__xludf.DUMMYFUNCTION("""COMPUTED_VALUE"""),"Hospital Pérez Carreño")</f>
        <v>Hospital Pérez Carreño</v>
      </c>
      <c r="C1098" s="45" t="str">
        <f>IFERROR(__xludf.DUMMYFUNCTION("""COMPUTED_VALUE"""),"ACOSTA ISRAEL")</f>
        <v>ACOSTA ISRAEL</v>
      </c>
      <c r="D1098" s="44">
        <f>IFERROR(__xludf.DUMMYFUNCTION("""COMPUTED_VALUE"""),10.0)</f>
        <v>10</v>
      </c>
      <c r="E1098" s="44" t="str">
        <f>IFERROR(__xludf.DUMMYFUNCTION("""COMPUTED_VALUE"""),"")</f>
        <v/>
      </c>
      <c r="F1098" s="44" t="str">
        <f>IFERROR(__xludf.DUMMYFUNCTION("""COMPUTED_VALUE"""),"")</f>
        <v/>
      </c>
      <c r="G1098" s="44" t="str">
        <f>IFERROR(__xludf.DUMMYFUNCTION("""COMPUTED_VALUE""")," ")</f>
        <v> </v>
      </c>
      <c r="H1098" s="44" t="str">
        <f>IFERROR(__xludf.DUMMYFUNCTION("""COMPUTED_VALUE""")," ")</f>
        <v> </v>
      </c>
      <c r="I1098" s="44" t="str">
        <f>IFERROR(__xludf.DUMMYFUNCTION("""COMPUTED_VALUE"""),"Internado; Fecha: 25/6/26 pm")</f>
        <v>Internado; Fecha: 25/6/26 pm</v>
      </c>
      <c r="J1098" s="44" t="str">
        <f>IFERROR(__xludf.DUMMYFUNCTION("""COMPUTED_VALUE"""),"25/06/2026")</f>
        <v>25/06/2026</v>
      </c>
      <c r="K1098" s="42" t="str">
        <f>IFERROR(__xludf.DUMMYFUNCTION("""COMPUTED_VALUE"""),"Hospital Pérez Carreño")</f>
        <v>Hospital Pérez Carreño</v>
      </c>
    </row>
    <row r="1099">
      <c r="A1099" s="44">
        <v>1098.0</v>
      </c>
      <c r="B1099" s="44" t="str">
        <f>IFERROR(__xludf.DUMMYFUNCTION("""COMPUTED_VALUE"""),"Hospital Vargas de Caracas")</f>
        <v>Hospital Vargas de Caracas</v>
      </c>
      <c r="C1099" s="45" t="str">
        <f>IFERROR(__xludf.DUMMYFUNCTION("""COMPUTED_VALUE"""),"ACOSTA JAIRO")</f>
        <v>ACOSTA JAIRO</v>
      </c>
      <c r="D1099" s="44" t="str">
        <f>IFERROR(__xludf.DUMMYFUNCTION("""COMPUTED_VALUE""")," ")</f>
        <v> </v>
      </c>
      <c r="E1099" s="44" t="str">
        <f>IFERROR(__xludf.DUMMYFUNCTION("""COMPUTED_VALUE"""),"")</f>
        <v/>
      </c>
      <c r="F1099" s="44" t="str">
        <f>IFERROR(__xludf.DUMMYFUNCTION("""COMPUTED_VALUE""")," ")</f>
        <v> </v>
      </c>
      <c r="G1099" s="44" t="str">
        <f>IFERROR(__xludf.DUMMYFUNCTION("""COMPUTED_VALUE"""),"")</f>
        <v/>
      </c>
      <c r="H1099" s="44" t="str">
        <f>IFERROR(__xludf.DUMMYFUNCTION("""COMPUTED_VALUE""")," ")</f>
        <v> </v>
      </c>
      <c r="I1099" s="44" t="str">
        <f>IFERROR(__xludf.DUMMYFUNCTION("""COMPUTED_VALUE"""),"Pacientes x Sismo Edo La Guaira")</f>
        <v>Pacientes x Sismo Edo La Guaira</v>
      </c>
      <c r="J1099" s="44" t="str">
        <f>IFERROR(__xludf.DUMMYFUNCTION("""COMPUTED_VALUE"""),"")</f>
        <v/>
      </c>
      <c r="K1099" s="42" t="str">
        <f>IFERROR(__xludf.DUMMYFUNCTION("""COMPUTED_VALUE"""),"Hospital Vargas de Caracas")</f>
        <v>Hospital Vargas de Caracas</v>
      </c>
    </row>
    <row r="1100">
      <c r="A1100" s="44">
        <v>1099.0</v>
      </c>
      <c r="B1100" s="44" t="str">
        <f>IFERROR(__xludf.DUMMYFUNCTION("""COMPUTED_VALUE"""),"Centro de Acopio Caraballeda")</f>
        <v>Centro de Acopio Caraballeda</v>
      </c>
      <c r="C1100" s="45" t="str">
        <f>IFERROR(__xludf.DUMMYFUNCTION("""COMPUTED_VALUE"""),"ACOSTA (MENOR) ADRIANI")</f>
        <v>ACOSTA (MENOR) ADRIANI</v>
      </c>
      <c r="D1100" s="44" t="str">
        <f>IFERROR(__xludf.DUMMYFUNCTION("""COMPUTED_VALUE""")," ")</f>
        <v> </v>
      </c>
      <c r="E1100" s="44" t="str">
        <f>IFERROR(__xludf.DUMMYFUNCTION("""COMPUTED_VALUE"""),"")</f>
        <v/>
      </c>
      <c r="F1100" s="44" t="str">
        <f>IFERROR(__xludf.DUMMYFUNCTION("""COMPUTED_VALUE"""),"")</f>
        <v/>
      </c>
      <c r="G1100" s="44" t="str">
        <f>IFERROR(__xludf.DUMMYFUNCTION("""COMPUTED_VALUE""")," ")</f>
        <v> </v>
      </c>
      <c r="H1100" s="44" t="str">
        <f>IFERROR(__xludf.DUMMYFUNCTION("""COMPUTED_VALUE""")," ")</f>
        <v> </v>
      </c>
      <c r="I1100" s="44" t="str">
        <f>IFERROR(__xludf.DUMMYFUNCTION("""COMPUTED_VALUE"""),"Internado")</f>
        <v>Internado</v>
      </c>
      <c r="J1100" s="44" t="str">
        <f>IFERROR(__xludf.DUMMYFUNCTION("""COMPUTED_VALUE"""),"")</f>
        <v/>
      </c>
      <c r="K1100" s="42" t="str">
        <f>IFERROR(__xludf.DUMMYFUNCTION("""COMPUTED_VALUE"""),"🔍 BUSCAR PACIENTES")</f>
        <v>🔍 BUSCAR PACIENTES</v>
      </c>
    </row>
    <row r="1101">
      <c r="A1101" s="44">
        <v>1100.0</v>
      </c>
      <c r="B1101" s="44" t="str">
        <f>IFERROR(__xludf.DUMMYFUNCTION("""COMPUTED_VALUE"""),"Centro de Acopio Caraballeda")</f>
        <v>Centro de Acopio Caraballeda</v>
      </c>
      <c r="C1101" s="45" t="str">
        <f>IFERROR(__xludf.DUMMYFUNCTION("""COMPUTED_VALUE"""),"ACOSTA (MENOR) ASHLY")</f>
        <v>ACOSTA (MENOR) ASHLY</v>
      </c>
      <c r="D1101" s="44" t="str">
        <f>IFERROR(__xludf.DUMMYFUNCTION("""COMPUTED_VALUE""")," ")</f>
        <v> </v>
      </c>
      <c r="E1101" s="44" t="str">
        <f>IFERROR(__xludf.DUMMYFUNCTION("""COMPUTED_VALUE"""),"")</f>
        <v/>
      </c>
      <c r="F1101" s="44" t="str">
        <f>IFERROR(__xludf.DUMMYFUNCTION("""COMPUTED_VALUE"""),"")</f>
        <v/>
      </c>
      <c r="G1101" s="44" t="str">
        <f>IFERROR(__xludf.DUMMYFUNCTION("""COMPUTED_VALUE""")," ")</f>
        <v> </v>
      </c>
      <c r="H1101" s="44" t="str">
        <f>IFERROR(__xludf.DUMMYFUNCTION("""COMPUTED_VALUE""")," ")</f>
        <v> </v>
      </c>
      <c r="I1101" s="44" t="str">
        <f>IFERROR(__xludf.DUMMYFUNCTION("""COMPUTED_VALUE"""),"Internado")</f>
        <v>Internado</v>
      </c>
      <c r="J1101" s="44" t="str">
        <f>IFERROR(__xludf.DUMMYFUNCTION("""COMPUTED_VALUE"""),"")</f>
        <v/>
      </c>
      <c r="K1101" s="42" t="str">
        <f>IFERROR(__xludf.DUMMYFUNCTION("""COMPUTED_VALUE"""),"🔍 BUSCAR PACIENTES")</f>
        <v>🔍 BUSCAR PACIENTES</v>
      </c>
    </row>
    <row r="1102">
      <c r="A1102" s="44">
        <v>1101.0</v>
      </c>
      <c r="B1102" s="44" t="str">
        <f>IFERROR(__xludf.DUMMYFUNCTION("""COMPUTED_VALUE"""),"H. Jose Maria Vargas LG")</f>
        <v>H. Jose Maria Vargas LG</v>
      </c>
      <c r="C1102" s="45" t="str">
        <f>IFERROR(__xludf.DUMMYFUNCTION("""COMPUTED_VALUE"""),"ACOSTA SEBASTIAN")</f>
        <v>ACOSTA SEBASTIAN</v>
      </c>
      <c r="D1102" s="44" t="str">
        <f>IFERROR(__xludf.DUMMYFUNCTION("""COMPUTED_VALUE""")," ")</f>
        <v> </v>
      </c>
      <c r="E1102" s="44" t="str">
        <f>IFERROR(__xludf.DUMMYFUNCTION("""COMPUTED_VALUE"""),"")</f>
        <v/>
      </c>
      <c r="F1102" s="44" t="str">
        <f>IFERROR(__xludf.DUMMYFUNCTION("""COMPUTED_VALUE"""),"")</f>
        <v/>
      </c>
      <c r="G1102" s="44" t="str">
        <f>IFERROR(__xludf.DUMMYFUNCTION("""COMPUTED_VALUE""")," ")</f>
        <v> </v>
      </c>
      <c r="H1102" s="44" t="str">
        <f>IFERROR(__xludf.DUMMYFUNCTION("""COMPUTED_VALUE""")," ")</f>
        <v> </v>
      </c>
      <c r="I1102" s="44" t="str">
        <f>IFERROR(__xludf.DUMMYFUNCTION("""COMPUTED_VALUE""")," ")</f>
        <v> </v>
      </c>
      <c r="J1102" s="44" t="str">
        <f>IFERROR(__xludf.DUMMYFUNCTION("""COMPUTED_VALUE"""),"")</f>
        <v/>
      </c>
      <c r="K1102" s="42" t="str">
        <f>IFERROR(__xludf.DUMMYFUNCTION("""COMPUTED_VALUE"""),"H. Jose Maria Vargas LG")</f>
        <v>H. Jose Maria Vargas LG</v>
      </c>
    </row>
    <row r="1103">
      <c r="A1103" s="44">
        <v>1102.0</v>
      </c>
      <c r="B1103" s="44" t="str">
        <f>IFERROR(__xludf.DUMMYFUNCTION("""COMPUTED_VALUE"""),"Hospital Pérez Carreño")</f>
        <v>Hospital Pérez Carreño</v>
      </c>
      <c r="C1103" s="45" t="str">
        <f>IFERROR(__xludf.DUMMYFUNCTION("""COMPUTED_VALUE"""),"Aderly Oseche Cordero")</f>
        <v>Aderly Oseche Cordero</v>
      </c>
      <c r="D1103" s="44"/>
      <c r="E1103" s="44" t="str">
        <f>IFERROR(__xludf.DUMMYFUNCTION("""COMPUTED_VALUE"""),"")</f>
        <v/>
      </c>
      <c r="F1103" s="44" t="str">
        <f>IFERROR(__xludf.DUMMYFUNCTION("""COMPUTED_VALUE"""),"")</f>
        <v/>
      </c>
      <c r="G1103" s="44" t="str">
        <f>IFERROR(__xludf.DUMMYFUNCTION("""COMPUTED_VALUE"""),"Traumashock ")</f>
        <v>Traumashock </v>
      </c>
      <c r="H1103" s="44" t="str">
        <f>IFERROR(__xludf.DUMMYFUNCTION("""COMPUTED_VALUE"""),"Hospital Miguel Perez Carreño")</f>
        <v>Hospital Miguel Perez Carreño</v>
      </c>
      <c r="I1103" s="44"/>
      <c r="J1103" s="44" t="str">
        <f>IFERROR(__xludf.DUMMYFUNCTION("""COMPUTED_VALUE"""),"26/6/26")</f>
        <v>26/6/26</v>
      </c>
      <c r="K1103" s="42" t="str">
        <f>IFERROR(__xludf.DUMMYFUNCTION("""COMPUTED_VALUE"""),"Hospital Pérez Carreño")</f>
        <v>Hospital Pérez Carreño</v>
      </c>
    </row>
    <row r="1104">
      <c r="A1104" s="44">
        <v>1103.0</v>
      </c>
      <c r="B1104" s="44" t="str">
        <f>IFERROR(__xludf.DUMMYFUNCTION("""COMPUTED_VALUE"""),"Campo de Golf Playa los Cocos")</f>
        <v>Campo de Golf Playa los Cocos</v>
      </c>
      <c r="C1104" s="45" t="str">
        <f>IFERROR(__xludf.DUMMYFUNCTION("""COMPUTED_VALUE"""),"Adolfo Guarenas")</f>
        <v>Adolfo Guarenas</v>
      </c>
      <c r="D1104" s="44" t="str">
        <f>IFERROR(__xludf.DUMMYFUNCTION("""COMPUTED_VALUE"""),"")</f>
        <v/>
      </c>
      <c r="E1104" s="44" t="str">
        <f>IFERROR(__xludf.DUMMYFUNCTION("""COMPUTED_VALUE"""),"")</f>
        <v/>
      </c>
      <c r="F1104" s="44" t="str">
        <f>IFERROR(__xludf.DUMMYFUNCTION("""COMPUTED_VALUE"""),"")</f>
        <v/>
      </c>
      <c r="G1104" s="44" t="str">
        <f>IFERROR(__xludf.DUMMYFUNCTION("""COMPUTED_VALUE"""),"")</f>
        <v/>
      </c>
      <c r="H1104" s="44" t="str">
        <f>IFERROR(__xludf.DUMMYFUNCTION("""COMPUTED_VALUE"""),"")</f>
        <v/>
      </c>
      <c r="I1104" s="44"/>
      <c r="J1104" s="44" t="str">
        <f>IFERROR(__xludf.DUMMYFUNCTION("""COMPUTED_VALUE"""),"")</f>
        <v/>
      </c>
      <c r="K1104" s="42" t="str">
        <f>IFERROR(__xludf.DUMMYFUNCTION("""COMPUTED_VALUE"""),"Campo de Golf Playa los Cocos")</f>
        <v>Campo de Golf Playa los Cocos</v>
      </c>
    </row>
    <row r="1105">
      <c r="A1105" s="44">
        <v>1104.0</v>
      </c>
      <c r="B1105" s="44" t="str">
        <f>IFERROR(__xludf.DUMMYFUNCTION("""COMPUTED_VALUE"""),"Hospital Vargas de Caracas")</f>
        <v>Hospital Vargas de Caracas</v>
      </c>
      <c r="C1105" s="45" t="str">
        <f>IFERROR(__xludf.DUMMYFUNCTION("""COMPUTED_VALUE"""),"Adonais Diaz Ozuna")</f>
        <v>Adonais Diaz Ozuna</v>
      </c>
      <c r="D1105" s="44"/>
      <c r="E1105" s="44" t="str">
        <f>IFERROR(__xludf.DUMMYFUNCTION("""COMPUTED_VALUE"""),"")</f>
        <v/>
      </c>
      <c r="F1105" s="44"/>
      <c r="G1105" s="44" t="str">
        <f>IFERROR(__xludf.DUMMYFUNCTION("""COMPUTED_VALUE"""),"")</f>
        <v/>
      </c>
      <c r="H1105" s="44"/>
      <c r="I1105" s="44" t="str">
        <f>IFERROR(__xludf.DUMMYFUNCTION("""COMPUTED_VALUE"""),"Nombre tomado de la pizarra de pacientes; no aparece en el formulario con C.I.")</f>
        <v>Nombre tomado de la pizarra de pacientes; no aparece en el formulario con C.I.</v>
      </c>
      <c r="J1105" s="44" t="str">
        <f>IFERROR(__xludf.DUMMYFUNCTION("""COMPUTED_VALUE"""),"")</f>
        <v/>
      </c>
      <c r="K1105" s="42" t="str">
        <f>IFERROR(__xludf.DUMMYFUNCTION("""COMPUTED_VALUE"""),"Hospital Vargas de Caracas")</f>
        <v>Hospital Vargas de Caracas</v>
      </c>
    </row>
    <row r="1106">
      <c r="A1106" s="44">
        <v>1105.0</v>
      </c>
      <c r="B1106" s="44" t="str">
        <f>IFERROR(__xludf.DUMMYFUNCTION("""COMPUTED_VALUE"""),"Hospital Domingo Luciani")</f>
        <v>Hospital Domingo Luciani</v>
      </c>
      <c r="C1106" s="45" t="str">
        <f>IFERROR(__xludf.DUMMYFUNCTION("""COMPUTED_VALUE"""),"ADONELLE MERRIN")</f>
        <v>ADONELLE MERRIN</v>
      </c>
      <c r="D1106" s="44">
        <f>IFERROR(__xludf.DUMMYFUNCTION("""COMPUTED_VALUE"""),17.0)</f>
        <v>17</v>
      </c>
      <c r="E1106" s="44" t="str">
        <f>IFERROR(__xludf.DUMMYFUNCTION("""COMPUTED_VALUE"""),"")</f>
        <v/>
      </c>
      <c r="F1106" s="44" t="str">
        <f>IFERROR(__xludf.DUMMYFUNCTION("""COMPUTED_VALUE"""),"")</f>
        <v/>
      </c>
      <c r="G1106" s="44" t="str">
        <f>IFERROR(__xludf.DUMMYFUNCTION("""COMPUTED_VALUE""")," ")</f>
        <v> </v>
      </c>
      <c r="H1106" s="44" t="str">
        <f>IFERROR(__xludf.DUMMYFUNCTION("""COMPUTED_VALUE""")," ")</f>
        <v> </v>
      </c>
      <c r="I1106" s="44" t="str">
        <f>IFERROR(__xludf.DUMMYFUNCTION("""COMPUTED_VALUE"""),"Politrauma Emerg. Vieja")</f>
        <v>Politrauma Emerg. Vieja</v>
      </c>
      <c r="J1106" s="44" t="str">
        <f>IFERROR(__xludf.DUMMYFUNCTION("""COMPUTED_VALUE"""),"")</f>
        <v/>
      </c>
      <c r="K1106" s="42" t="str">
        <f>IFERROR(__xludf.DUMMYFUNCTION("""COMPUTED_VALUE"""),"🔍 BUSCAR PACIENTES")</f>
        <v>🔍 BUSCAR PACIENTES</v>
      </c>
    </row>
    <row r="1107">
      <c r="A1107" s="44">
        <v>1106.0</v>
      </c>
      <c r="B1107" s="44" t="str">
        <f>IFERROR(__xludf.DUMMYFUNCTION("""COMPUTED_VALUE"""),"HOSPITAL VARGAS")</f>
        <v>HOSPITAL VARGAS</v>
      </c>
      <c r="C1107" s="45" t="str">
        <f>IFERROR(__xludf.DUMMYFUNCTION("""COMPUTED_VALUE"""),"Adonis Díaz Ozuna")</f>
        <v>Adonis Díaz Ozuna</v>
      </c>
      <c r="D1107" s="44"/>
      <c r="E1107" s="44" t="str">
        <f>IFERROR(__xludf.DUMMYFUNCTION("""COMPUTED_VALUE"""),"")</f>
        <v/>
      </c>
      <c r="F1107" s="44" t="str">
        <f>IFERROR(__xludf.DUMMYFUNCTION("""COMPUTED_VALUE"""),"")</f>
        <v/>
      </c>
      <c r="G1107" s="44" t="str">
        <f>IFERROR(__xludf.DUMMYFUNCTION("""COMPUTED_VALUE"""),"")</f>
        <v/>
      </c>
      <c r="H1107" s="44" t="str">
        <f>IFERROR(__xludf.DUMMYFUNCTION("""COMPUTED_VALUE"""),"")</f>
        <v/>
      </c>
      <c r="I1107" s="44" t="str">
        <f>IFERROR(__xludf.DUMMYFUNCTION("""COMPUTED_VALUE"""),"Herido / atendido")</f>
        <v>Herido / atendido</v>
      </c>
      <c r="J1107" s="44" t="str">
        <f>IFERROR(__xludf.DUMMYFUNCTION("""COMPUTED_VALUE"""),"24.06.2026 ")</f>
        <v>24.06.2026 </v>
      </c>
      <c r="K1107" s="42" t="str">
        <f>IFERROR(__xludf.DUMMYFUNCTION("""COMPUTED_VALUE"""),"HOSPITAL VARGAS")</f>
        <v>HOSPITAL VARGAS</v>
      </c>
    </row>
    <row r="1108">
      <c r="A1108" s="44">
        <v>1107.0</v>
      </c>
      <c r="B1108" s="44" t="str">
        <f>IFERROR(__xludf.DUMMYFUNCTION("""COMPUTED_VALUE"""),"Campo de Golf Playa los Cocos")</f>
        <v>Campo de Golf Playa los Cocos</v>
      </c>
      <c r="C1108" s="45" t="str">
        <f>IFERROR(__xludf.DUMMYFUNCTION("""COMPUTED_VALUE"""),"Adrian Diaz")</f>
        <v>Adrian Diaz</v>
      </c>
      <c r="D1108" s="44" t="str">
        <f>IFERROR(__xludf.DUMMYFUNCTION("""COMPUTED_VALUE"""),"")</f>
        <v/>
      </c>
      <c r="E1108" s="44" t="str">
        <f>IFERROR(__xludf.DUMMYFUNCTION("""COMPUTED_VALUE"""),"")</f>
        <v/>
      </c>
      <c r="F1108" s="44" t="str">
        <f>IFERROR(__xludf.DUMMYFUNCTION("""COMPUTED_VALUE"""),"")</f>
        <v/>
      </c>
      <c r="G1108" s="44" t="str">
        <f>IFERROR(__xludf.DUMMYFUNCTION("""COMPUTED_VALUE"""),"")</f>
        <v/>
      </c>
      <c r="H1108" s="44" t="str">
        <f>IFERROR(__xludf.DUMMYFUNCTION("""COMPUTED_VALUE"""),"")</f>
        <v/>
      </c>
      <c r="I1108" s="44" t="str">
        <f>IFERROR(__xludf.DUMMYFUNCTION("""COMPUTED_VALUE"""),"menor")</f>
        <v>menor</v>
      </c>
      <c r="J1108" s="44" t="str">
        <f>IFERROR(__xludf.DUMMYFUNCTION("""COMPUTED_VALUE"""),"")</f>
        <v/>
      </c>
      <c r="K1108" s="42" t="str">
        <f>IFERROR(__xludf.DUMMYFUNCTION("""COMPUTED_VALUE"""),"Campo de Golf Playa los Cocos")</f>
        <v>Campo de Golf Playa los Cocos</v>
      </c>
    </row>
    <row r="1109">
      <c r="A1109" s="44">
        <v>1108.0</v>
      </c>
      <c r="B1109" s="44" t="str">
        <f>IFERROR(__xludf.DUMMYFUNCTION("""COMPUTED_VALUE"""),"Campo de Golf Playa los Cocos")</f>
        <v>Campo de Golf Playa los Cocos</v>
      </c>
      <c r="C1109" s="45" t="str">
        <f>IFERROR(__xludf.DUMMYFUNCTION("""COMPUTED_VALUE"""),"Adrian Hurtado")</f>
        <v>Adrian Hurtado</v>
      </c>
      <c r="D1109" s="44" t="str">
        <f>IFERROR(__xludf.DUMMYFUNCTION("""COMPUTED_VALUE"""),"")</f>
        <v/>
      </c>
      <c r="E1109" s="44" t="str">
        <f>IFERROR(__xludf.DUMMYFUNCTION("""COMPUTED_VALUE"""),"")</f>
        <v/>
      </c>
      <c r="F1109" s="44" t="str">
        <f>IFERROR(__xludf.DUMMYFUNCTION("""COMPUTED_VALUE"""),"")</f>
        <v/>
      </c>
      <c r="G1109" s="44" t="str">
        <f>IFERROR(__xludf.DUMMYFUNCTION("""COMPUTED_VALUE"""),"")</f>
        <v/>
      </c>
      <c r="H1109" s="44" t="str">
        <f>IFERROR(__xludf.DUMMYFUNCTION("""COMPUTED_VALUE"""),"")</f>
        <v/>
      </c>
      <c r="I1109" s="44" t="str">
        <f>IFERROR(__xludf.DUMMYFUNCTION("""COMPUTED_VALUE"""),"menor (segunda lista)")</f>
        <v>menor (segunda lista)</v>
      </c>
      <c r="J1109" s="44" t="str">
        <f>IFERROR(__xludf.DUMMYFUNCTION("""COMPUTED_VALUE"""),"")</f>
        <v/>
      </c>
      <c r="K1109" s="42" t="str">
        <f>IFERROR(__xludf.DUMMYFUNCTION("""COMPUTED_VALUE"""),"Campo de Golf Playa los Cocos")</f>
        <v>Campo de Golf Playa los Cocos</v>
      </c>
    </row>
    <row r="1110">
      <c r="A1110" s="44">
        <v>1109.0</v>
      </c>
      <c r="B1110" s="44" t="str">
        <f>IFERROR(__xludf.DUMMYFUNCTION("""COMPUTED_VALUE"""),"Campo de Golf Playa los Cocos")</f>
        <v>Campo de Golf Playa los Cocos</v>
      </c>
      <c r="C1110" s="45" t="str">
        <f>IFERROR(__xludf.DUMMYFUNCTION("""COMPUTED_VALUE"""),"Adriani Acosta")</f>
        <v>Adriani Acosta</v>
      </c>
      <c r="D1110" s="44" t="str">
        <f>IFERROR(__xludf.DUMMYFUNCTION("""COMPUTED_VALUE"""),"")</f>
        <v/>
      </c>
      <c r="E1110" s="44" t="str">
        <f>IFERROR(__xludf.DUMMYFUNCTION("""COMPUTED_VALUE"""),"")</f>
        <v/>
      </c>
      <c r="F1110" s="44" t="str">
        <f>IFERROR(__xludf.DUMMYFUNCTION("""COMPUTED_VALUE"""),"")</f>
        <v/>
      </c>
      <c r="G1110" s="44" t="str">
        <f>IFERROR(__xludf.DUMMYFUNCTION("""COMPUTED_VALUE"""),"")</f>
        <v/>
      </c>
      <c r="H1110" s="44" t="str">
        <f>IFERROR(__xludf.DUMMYFUNCTION("""COMPUTED_VALUE"""),"")</f>
        <v/>
      </c>
      <c r="I1110" s="44" t="str">
        <f>IFERROR(__xludf.DUMMYFUNCTION("""COMPUTED_VALUE"""),"menor")</f>
        <v>menor</v>
      </c>
      <c r="J1110" s="44" t="str">
        <f>IFERROR(__xludf.DUMMYFUNCTION("""COMPUTED_VALUE"""),"")</f>
        <v/>
      </c>
      <c r="K1110" s="42" t="str">
        <f>IFERROR(__xludf.DUMMYFUNCTION("""COMPUTED_VALUE"""),"Campo de Golf Playa los Cocos")</f>
        <v>Campo de Golf Playa los Cocos</v>
      </c>
    </row>
    <row r="1111">
      <c r="A1111" s="44">
        <v>1110.0</v>
      </c>
      <c r="B1111" s="44" t="str">
        <f>IFERROR(__xludf.DUMMYFUNCTION("""COMPUTED_VALUE"""),"Campo de Golf Playa los Cocos")</f>
        <v>Campo de Golf Playa los Cocos</v>
      </c>
      <c r="C1111" s="45" t="str">
        <f>IFERROR(__xludf.DUMMYFUNCTION("""COMPUTED_VALUE"""),"Adriannys Diaz")</f>
        <v>Adriannys Diaz</v>
      </c>
      <c r="D1111" s="44" t="str">
        <f>IFERROR(__xludf.DUMMYFUNCTION("""COMPUTED_VALUE"""),"")</f>
        <v/>
      </c>
      <c r="E1111" s="44" t="str">
        <f>IFERROR(__xludf.DUMMYFUNCTION("""COMPUTED_VALUE"""),"")</f>
        <v/>
      </c>
      <c r="F1111" s="44" t="str">
        <f>IFERROR(__xludf.DUMMYFUNCTION("""COMPUTED_VALUE"""),"")</f>
        <v/>
      </c>
      <c r="G1111" s="44" t="str">
        <f>IFERROR(__xludf.DUMMYFUNCTION("""COMPUTED_VALUE"""),"")</f>
        <v/>
      </c>
      <c r="H1111" s="44" t="str">
        <f>IFERROR(__xludf.DUMMYFUNCTION("""COMPUTED_VALUE"""),"")</f>
        <v/>
      </c>
      <c r="I1111" s="44" t="str">
        <f>IFERROR(__xludf.DUMMYFUNCTION("""COMPUTED_VALUE"""),"menor")</f>
        <v>menor</v>
      </c>
      <c r="J1111" s="44" t="str">
        <f>IFERROR(__xludf.DUMMYFUNCTION("""COMPUTED_VALUE"""),"")</f>
        <v/>
      </c>
      <c r="K1111" s="42" t="str">
        <f>IFERROR(__xludf.DUMMYFUNCTION("""COMPUTED_VALUE"""),"Campo de Golf Playa los Cocos")</f>
        <v>Campo de Golf Playa los Cocos</v>
      </c>
    </row>
    <row r="1112">
      <c r="A1112" s="44">
        <v>1111.0</v>
      </c>
      <c r="B1112" s="44" t="str">
        <f>IFERROR(__xludf.DUMMYFUNCTION("""COMPUTED_VALUE"""),"Hospital Pérez Carreño")</f>
        <v>Hospital Pérez Carreño</v>
      </c>
      <c r="C1112" s="45" t="str">
        <f>IFERROR(__xludf.DUMMYFUNCTION("""COMPUTED_VALUE"""),"Aeron Sarmiento Sofia")</f>
        <v>Aeron Sarmiento Sofia</v>
      </c>
      <c r="D1112" s="44"/>
      <c r="E1112" s="44" t="str">
        <f>IFERROR(__xludf.DUMMYFUNCTION("""COMPUTED_VALUE"""),"")</f>
        <v/>
      </c>
      <c r="F1112" s="44" t="str">
        <f>IFERROR(__xludf.DUMMYFUNCTION("""COMPUTED_VALUE"""),"")</f>
        <v/>
      </c>
      <c r="G1112" s="44" t="str">
        <f>IFERROR(__xludf.DUMMYFUNCTION("""COMPUTED_VALUE"""),"Traslados con destino asignado")</f>
        <v>Traslados con destino asignado</v>
      </c>
      <c r="H1112" s="44" t="str">
        <f>IFERROR(__xludf.DUMMYFUNCTION("""COMPUTED_VALUE"""),"Hospital Miguel Perez Carreño")</f>
        <v>Hospital Miguel Perez Carreño</v>
      </c>
      <c r="I1112" s="44"/>
      <c r="J1112" s="44" t="str">
        <f>IFERROR(__xludf.DUMMYFUNCTION("""COMPUTED_VALUE"""),"26/6/26")</f>
        <v>26/6/26</v>
      </c>
      <c r="K1112" s="42" t="str">
        <f>IFERROR(__xludf.DUMMYFUNCTION("""COMPUTED_VALUE"""),"Hospital Pérez Carreño")</f>
        <v>Hospital Pérez Carreño</v>
      </c>
    </row>
    <row r="1113">
      <c r="A1113" s="44">
        <v>1112.0</v>
      </c>
      <c r="B1113" s="44" t="str">
        <f>IFERROR(__xludf.DUMMYFUNCTION("""COMPUTED_VALUE"""),"Hospital Militar Dr. C. Arvelo")</f>
        <v>Hospital Militar Dr. C. Arvelo</v>
      </c>
      <c r="C1113" s="45" t="str">
        <f>IFERROR(__xludf.DUMMYFUNCTION("""COMPUTED_VALUE"""),"Aguilar Carmen")</f>
        <v>Aguilar Carmen</v>
      </c>
      <c r="D1113" s="44">
        <f>IFERROR(__xludf.DUMMYFUNCTION("""COMPUTED_VALUE"""),21.0)</f>
        <v>21</v>
      </c>
      <c r="E1113" s="44" t="str">
        <f>IFERROR(__xludf.DUMMYFUNCTION("""COMPUTED_VALUE"""),"")</f>
        <v/>
      </c>
      <c r="F1113" s="44" t="str">
        <f>IFERROR(__xludf.DUMMYFUNCTION("""COMPUTED_VALUE"""),"")</f>
        <v/>
      </c>
      <c r="G1113" s="44" t="str">
        <f>IFERROR(__xludf.DUMMYFUNCTION("""COMPUTED_VALUE"""),"")</f>
        <v/>
      </c>
      <c r="H1113" s="44" t="str">
        <f>IFERROR(__xludf.DUMMYFUNCTION("""COMPUTED_VALUE"""),"F")</f>
        <v>F</v>
      </c>
      <c r="I1113" s="44" t="str">
        <f>IFERROR(__xludf.DUMMYFUNCTION("""COMPUTED_VALUE"""),"San Martín PNA")</f>
        <v>San Martín PNA</v>
      </c>
      <c r="J1113" s="44" t="str">
        <f>IFERROR(__xludf.DUMMYFUNCTION("""COMPUTED_VALUE"""),"24/6/2026")</f>
        <v>24/6/2026</v>
      </c>
      <c r="K1113" s="42" t="str">
        <f>IFERROR(__xludf.DUMMYFUNCTION("""COMPUTED_VALUE"""),"Hospital Militar Dr. C. Arvelo")</f>
        <v>Hospital Militar Dr. C. Arvelo</v>
      </c>
    </row>
    <row r="1114">
      <c r="A1114" s="44">
        <v>1113.0</v>
      </c>
      <c r="B1114" s="44" t="str">
        <f>IFERROR(__xludf.DUMMYFUNCTION("""COMPUTED_VALUE"""),"Clínica El Ávila")</f>
        <v>Clínica El Ávila</v>
      </c>
      <c r="C1114" s="45" t="str">
        <f>IFERROR(__xludf.DUMMYFUNCTION("""COMPUTED_VALUE"""),"AGUILAR JOHANNY")</f>
        <v>AGUILAR JOHANNY</v>
      </c>
      <c r="D1114" s="44" t="str">
        <f>IFERROR(__xludf.DUMMYFUNCTION("""COMPUTED_VALUE""")," ")</f>
        <v> </v>
      </c>
      <c r="E1114" s="44" t="str">
        <f>IFERROR(__xludf.DUMMYFUNCTION("""COMPUTED_VALUE"""),"")</f>
        <v/>
      </c>
      <c r="F1114" s="44" t="str">
        <f>IFERROR(__xludf.DUMMYFUNCTION("""COMPUTED_VALUE"""),"")</f>
        <v/>
      </c>
      <c r="G1114" s="44" t="str">
        <f>IFERROR(__xludf.DUMMYFUNCTION("""COMPUTED_VALUE""")," ")</f>
        <v> </v>
      </c>
      <c r="H1114" s="44" t="str">
        <f>IFERROR(__xludf.DUMMYFUNCTION("""COMPUTED_VALUE""")," ")</f>
        <v> </v>
      </c>
      <c r="I1114" s="44" t="str">
        <f>IFERROR(__xludf.DUMMYFUNCTION("""COMPUTED_VALUE""")," ")</f>
        <v> </v>
      </c>
      <c r="J1114" s="44" t="str">
        <f>IFERROR(__xludf.DUMMYFUNCTION("""COMPUTED_VALUE"""),"")</f>
        <v/>
      </c>
      <c r="K1114" s="42" t="str">
        <f>IFERROR(__xludf.DUMMYFUNCTION("""COMPUTED_VALUE"""),"Clínica El Ávila")</f>
        <v>Clínica El Ávila</v>
      </c>
    </row>
    <row r="1115">
      <c r="A1115" s="44">
        <v>1114.0</v>
      </c>
      <c r="B1115" s="44" t="str">
        <f>IFERROR(__xludf.DUMMYFUNCTION("""COMPUTED_VALUE"""),"Clínica El Ávila")</f>
        <v>Clínica El Ávila</v>
      </c>
      <c r="C1115" s="45" t="str">
        <f>IFERROR(__xludf.DUMMYFUNCTION("""COMPUTED_VALUE"""),"AGUILAR MARIBEL")</f>
        <v>AGUILAR MARIBEL</v>
      </c>
      <c r="D1115" s="44" t="str">
        <f>IFERROR(__xludf.DUMMYFUNCTION("""COMPUTED_VALUE""")," ")</f>
        <v> </v>
      </c>
      <c r="E1115" s="44" t="str">
        <f>IFERROR(__xludf.DUMMYFUNCTION("""COMPUTED_VALUE"""),"")</f>
        <v/>
      </c>
      <c r="F1115" s="44" t="str">
        <f>IFERROR(__xludf.DUMMYFUNCTION("""COMPUTED_VALUE"""),"")</f>
        <v/>
      </c>
      <c r="G1115" s="44" t="str">
        <f>IFERROR(__xludf.DUMMYFUNCTION("""COMPUTED_VALUE""")," ")</f>
        <v> </v>
      </c>
      <c r="H1115" s="44" t="str">
        <f>IFERROR(__xludf.DUMMYFUNCTION("""COMPUTED_VALUE""")," ")</f>
        <v> </v>
      </c>
      <c r="I1115" s="44" t="str">
        <f>IFERROR(__xludf.DUMMYFUNCTION("""COMPUTED_VALUE""")," ")</f>
        <v> </v>
      </c>
      <c r="J1115" s="44" t="str">
        <f>IFERROR(__xludf.DUMMYFUNCTION("""COMPUTED_VALUE"""),"")</f>
        <v/>
      </c>
      <c r="K1115" s="42" t="str">
        <f>IFERROR(__xludf.DUMMYFUNCTION("""COMPUTED_VALUE"""),"Clínica El Ávila")</f>
        <v>Clínica El Ávila</v>
      </c>
    </row>
    <row r="1116">
      <c r="A1116" s="44">
        <v>1115.0</v>
      </c>
      <c r="B1116" s="44" t="str">
        <f>IFERROR(__xludf.DUMMYFUNCTION("""COMPUTED_VALUE"""),"Hospital Vargas de Caracas")</f>
        <v>Hospital Vargas de Caracas</v>
      </c>
      <c r="C1116" s="45" t="str">
        <f>IFERROR(__xludf.DUMMYFUNCTION("""COMPUTED_VALUE"""),"AGUILAR YOANNY")</f>
        <v>AGUILAR YOANNY</v>
      </c>
      <c r="D1116" s="44" t="str">
        <f>IFERROR(__xludf.DUMMYFUNCTION("""COMPUTED_VALUE""")," ")</f>
        <v> </v>
      </c>
      <c r="E1116" s="44" t="str">
        <f>IFERROR(__xludf.DUMMYFUNCTION("""COMPUTED_VALUE"""),"")</f>
        <v/>
      </c>
      <c r="F1116" s="44" t="str">
        <f>IFERROR(__xludf.DUMMYFUNCTION("""COMPUTED_VALUE""")," ")</f>
        <v> </v>
      </c>
      <c r="G1116" s="44" t="str">
        <f>IFERROR(__xludf.DUMMYFUNCTION("""COMPUTED_VALUE"""),"")</f>
        <v/>
      </c>
      <c r="H1116" s="44" t="str">
        <f>IFERROR(__xludf.DUMMYFUNCTION("""COMPUTED_VALUE""")," ")</f>
        <v> </v>
      </c>
      <c r="I1116" s="44" t="str">
        <f>IFERROR(__xludf.DUMMYFUNCTION("""COMPUTED_VALUE""")," ")</f>
        <v> </v>
      </c>
      <c r="J1116" s="44" t="str">
        <f>IFERROR(__xludf.DUMMYFUNCTION("""COMPUTED_VALUE"""),"")</f>
        <v/>
      </c>
      <c r="K1116" s="42" t="str">
        <f>IFERROR(__xludf.DUMMYFUNCTION("""COMPUTED_VALUE"""),"Hospital Vargas de Caracas")</f>
        <v>Hospital Vargas de Caracas</v>
      </c>
    </row>
    <row r="1117">
      <c r="A1117" s="44">
        <v>1116.0</v>
      </c>
      <c r="B1117" s="44" t="str">
        <f>IFERROR(__xludf.DUMMYFUNCTION("""COMPUTED_VALUE"""),"Hospital Domingo Luciani")</f>
        <v>Hospital Domingo Luciani</v>
      </c>
      <c r="C1117" s="45" t="str">
        <f>IFERROR(__xludf.DUMMYFUNCTION("""COMPUTED_VALUE"""),"AGUILEN KELYNS")</f>
        <v>AGUILEN KELYNS</v>
      </c>
      <c r="D1117" s="44" t="str">
        <f>IFERROR(__xludf.DUMMYFUNCTION("""COMPUTED_VALUE""")," ")</f>
        <v> </v>
      </c>
      <c r="E1117" s="44" t="str">
        <f>IFERROR(__xludf.DUMMYFUNCTION("""COMPUTED_VALUE"""),"")</f>
        <v/>
      </c>
      <c r="F1117" s="44" t="str">
        <f>IFERROR(__xludf.DUMMYFUNCTION("""COMPUTED_VALUE"""),"")</f>
        <v/>
      </c>
      <c r="G1117" s="44" t="str">
        <f>IFERROR(__xludf.DUMMYFUNCTION("""COMPUTED_VALUE""")," ")</f>
        <v> </v>
      </c>
      <c r="H1117" s="44" t="str">
        <f>IFERROR(__xludf.DUMMYFUNCTION("""COMPUTED_VALUE""")," ")</f>
        <v> </v>
      </c>
      <c r="I1117" s="44" t="str">
        <f>IFERROR(__xludf.DUMMYFUNCTION("""COMPUTED_VALUE"""),"La Guaira – Ingresos 9am")</f>
        <v>La Guaira – Ingresos 9am</v>
      </c>
      <c r="J1117" s="44" t="str">
        <f>IFERROR(__xludf.DUMMYFUNCTION("""COMPUTED_VALUE"""),"")</f>
        <v/>
      </c>
      <c r="K1117" s="42" t="str">
        <f>IFERROR(__xludf.DUMMYFUNCTION("""COMPUTED_VALUE"""),"🔍 BUSCAR PACIENTES")</f>
        <v>🔍 BUSCAR PACIENTES</v>
      </c>
    </row>
    <row r="1118">
      <c r="A1118" s="44">
        <v>1117.0</v>
      </c>
      <c r="B1118" s="44" t="str">
        <f>IFERROR(__xludf.DUMMYFUNCTION("""COMPUTED_VALUE"""),"Hospital Domingo Luciani")</f>
        <v>Hospital Domingo Luciani</v>
      </c>
      <c r="C1118" s="45" t="str">
        <f>IFERROR(__xludf.DUMMYFUNCTION("""COMPUTED_VALUE"""),"AGUILERA YULEYMI")</f>
        <v>AGUILERA YULEYMI</v>
      </c>
      <c r="D1118" s="44">
        <f>IFERROR(__xludf.DUMMYFUNCTION("""COMPUTED_VALUE"""),39.0)</f>
        <v>39</v>
      </c>
      <c r="E1118" s="44" t="str">
        <f>IFERROR(__xludf.DUMMYFUNCTION("""COMPUTED_VALUE"""),"")</f>
        <v/>
      </c>
      <c r="F1118" s="44" t="str">
        <f>IFERROR(__xludf.DUMMYFUNCTION("""COMPUTED_VALUE"""),"")</f>
        <v/>
      </c>
      <c r="G1118" s="44" t="str">
        <f>IFERROR(__xludf.DUMMYFUNCTION("""COMPUTED_VALUE""")," ")</f>
        <v> </v>
      </c>
      <c r="H1118" s="44" t="str">
        <f>IFERROR(__xludf.DUMMYFUNCTION("""COMPUTED_VALUE"""),"La Guaira")</f>
        <v>La Guaira</v>
      </c>
      <c r="I1118" s="44" t="str">
        <f>IFERROR(__xludf.DUMMYFUNCTION("""COMPUTED_VALUE"""),"Ingresos 6am-9:20pm")</f>
        <v>Ingresos 6am-9:20pm</v>
      </c>
      <c r="J1118" s="44" t="str">
        <f>IFERROR(__xludf.DUMMYFUNCTION("""COMPUTED_VALUE"""),"")</f>
        <v/>
      </c>
      <c r="K1118" s="42" t="str">
        <f>IFERROR(__xludf.DUMMYFUNCTION("""COMPUTED_VALUE"""),"🔍 BUSCAR PACIENTES")</f>
        <v>🔍 BUSCAR PACIENTES</v>
      </c>
    </row>
    <row r="1119">
      <c r="A1119" s="44">
        <v>1118.0</v>
      </c>
      <c r="B1119" s="44" t="str">
        <f>IFERROR(__xludf.DUMMYFUNCTION("""COMPUTED_VALUE"""),"H. Jose Maria Vargas LG")</f>
        <v>H. Jose Maria Vargas LG</v>
      </c>
      <c r="C1119" s="45" t="str">
        <f>IFERROR(__xludf.DUMMYFUNCTION("""COMPUTED_VALUE"""),"AGUIRREZ DILAN")</f>
        <v>AGUIRREZ DILAN</v>
      </c>
      <c r="D1119" s="44" t="str">
        <f>IFERROR(__xludf.DUMMYFUNCTION("""COMPUTED_VALUE""")," ")</f>
        <v> </v>
      </c>
      <c r="E1119" s="44" t="str">
        <f>IFERROR(__xludf.DUMMYFUNCTION("""COMPUTED_VALUE"""),"")</f>
        <v/>
      </c>
      <c r="F1119" s="44" t="str">
        <f>IFERROR(__xludf.DUMMYFUNCTION("""COMPUTED_VALUE"""),"")</f>
        <v/>
      </c>
      <c r="G1119" s="44" t="str">
        <f>IFERROR(__xludf.DUMMYFUNCTION("""COMPUTED_VALUE""")," ")</f>
        <v> </v>
      </c>
      <c r="H1119" s="44" t="str">
        <f>IFERROR(__xludf.DUMMYFUNCTION("""COMPUTED_VALUE""")," ")</f>
        <v> </v>
      </c>
      <c r="I1119" s="44" t="str">
        <f>IFERROR(__xludf.DUMMYFUNCTION("""COMPUTED_VALUE""")," ")</f>
        <v> </v>
      </c>
      <c r="J1119" s="44" t="str">
        <f>IFERROR(__xludf.DUMMYFUNCTION("""COMPUTED_VALUE"""),"")</f>
        <v/>
      </c>
      <c r="K1119" s="42" t="str">
        <f>IFERROR(__xludf.DUMMYFUNCTION("""COMPUTED_VALUE"""),"H. Jose Maria Vargas LG")</f>
        <v>H. Jose Maria Vargas LG</v>
      </c>
    </row>
    <row r="1120">
      <c r="A1120" s="44">
        <v>1119.0</v>
      </c>
      <c r="B1120" s="44" t="str">
        <f>IFERROR(__xludf.DUMMYFUNCTION("""COMPUTED_VALUE"""),"Periférico de Catia")</f>
        <v>Periférico de Catia</v>
      </c>
      <c r="C1120" s="45" t="str">
        <f>IFERROR(__xludf.DUMMYFUNCTION("""COMPUTED_VALUE"""),"Aide Arteaga")</f>
        <v>Aide Arteaga</v>
      </c>
      <c r="D1120" s="44"/>
      <c r="E1120" s="44" t="str">
        <f>IFERROR(__xludf.DUMMYFUNCTION("""COMPUTED_VALUE"""),"")</f>
        <v/>
      </c>
      <c r="F1120" s="44" t="str">
        <f>IFERROR(__xludf.DUMMYFUNCTION("""COMPUTED_VALUE"""),"")</f>
        <v/>
      </c>
      <c r="G1120" s="44"/>
      <c r="H1120" s="44"/>
      <c r="I1120" s="44" t="str">
        <f>IFERROR(__xludf.DUMMYFUNCTION("""COMPUTED_VALUE"""),"Politrauma (pizarra con anotaciones de ubicacion/estudio: Piso, Rx, Triaje, Trauma) — Rx")</f>
        <v>Politrauma (pizarra con anotaciones de ubicacion/estudio: Piso, Rx, Triaje, Trauma) — Rx</v>
      </c>
      <c r="J1120" s="44" t="str">
        <f>IFERROR(__xludf.DUMMYFUNCTION("""COMPUTED_VALUE"""),"")</f>
        <v/>
      </c>
      <c r="K1120" s="42" t="str">
        <f>IFERROR(__xludf.DUMMYFUNCTION("""COMPUTED_VALUE"""),"Periférico de Catia")</f>
        <v>Periférico de Catia</v>
      </c>
    </row>
    <row r="1121">
      <c r="A1121" s="44">
        <v>1120.0</v>
      </c>
      <c r="B1121" s="44" t="str">
        <f>IFERROR(__xludf.DUMMYFUNCTION("""COMPUTED_VALUE"""),"Hospital Domingo Luciani")</f>
        <v>Hospital Domingo Luciani</v>
      </c>
      <c r="C1121" s="45" t="str">
        <f>IFERROR(__xludf.DUMMYFUNCTION("""COMPUTED_VALUE"""),"Aide Asteaga")</f>
        <v>Aide Asteaga</v>
      </c>
      <c r="D1121" s="44">
        <f>IFERROR(__xludf.DUMMYFUNCTION("""COMPUTED_VALUE"""),0.0)</f>
        <v>0</v>
      </c>
      <c r="E1121" s="44" t="str">
        <f>IFERROR(__xludf.DUMMYFUNCTION("""COMPUTED_VALUE"""),"")</f>
        <v/>
      </c>
      <c r="F1121" s="44" t="str">
        <f>IFERROR(__xludf.DUMMYFUNCTION("""COMPUTED_VALUE"""),"")</f>
        <v/>
      </c>
      <c r="G1121" s="44"/>
      <c r="H1121" s="44"/>
      <c r="I1121" s="44"/>
      <c r="J1121" s="44" t="str">
        <f>IFERROR(__xludf.DUMMYFUNCTION("""COMPUTED_VALUE"""),"")</f>
        <v/>
      </c>
      <c r="K1121" s="42" t="str">
        <f>IFERROR(__xludf.DUMMYFUNCTION("""COMPUTED_VALUE"""),"Hospital Domingo Luciani")</f>
        <v>Hospital Domingo Luciani</v>
      </c>
    </row>
    <row r="1122">
      <c r="A1122" s="44">
        <v>1121.0</v>
      </c>
      <c r="B1122" s="44" t="str">
        <f>IFERROR(__xludf.DUMMYFUNCTION("""COMPUTED_VALUE"""),"Campo de Golf Playa los Cocos")</f>
        <v>Campo de Golf Playa los Cocos</v>
      </c>
      <c r="C1122" s="45" t="str">
        <f>IFERROR(__xludf.DUMMYFUNCTION("""COMPUTED_VALUE"""),"Aixa Sanoja")</f>
        <v>Aixa Sanoja</v>
      </c>
      <c r="D1122" s="44" t="str">
        <f>IFERROR(__xludf.DUMMYFUNCTION("""COMPUTED_VALUE"""),"")</f>
        <v/>
      </c>
      <c r="E1122" s="44" t="str">
        <f>IFERROR(__xludf.DUMMYFUNCTION("""COMPUTED_VALUE"""),"")</f>
        <v/>
      </c>
      <c r="F1122" s="44" t="str">
        <f>IFERROR(__xludf.DUMMYFUNCTION("""COMPUTED_VALUE"""),"")</f>
        <v/>
      </c>
      <c r="G1122" s="44" t="str">
        <f>IFERROR(__xludf.DUMMYFUNCTION("""COMPUTED_VALUE"""),"")</f>
        <v/>
      </c>
      <c r="H1122" s="44" t="str">
        <f>IFERROR(__xludf.DUMMYFUNCTION("""COMPUTED_VALUE"""),"")</f>
        <v/>
      </c>
      <c r="I1122" s="44"/>
      <c r="J1122" s="44" t="str">
        <f>IFERROR(__xludf.DUMMYFUNCTION("""COMPUTED_VALUE"""),"")</f>
        <v/>
      </c>
      <c r="K1122" s="42" t="str">
        <f>IFERROR(__xludf.DUMMYFUNCTION("""COMPUTED_VALUE"""),"Campo de Golf Playa los Cocos")</f>
        <v>Campo de Golf Playa los Cocos</v>
      </c>
    </row>
    <row r="1123">
      <c r="A1123" s="44">
        <v>1122.0</v>
      </c>
      <c r="B1123" s="44" t="str">
        <f>IFERROR(__xludf.DUMMYFUNCTION("""COMPUTED_VALUE"""),"Hospital Domingo Luciani")</f>
        <v>Hospital Domingo Luciani</v>
      </c>
      <c r="C1123" s="45" t="str">
        <f>IFERROR(__xludf.DUMMYFUNCTION("""COMPUTED_VALUE"""),"AL HALABI YANNET")</f>
        <v>AL HALABI YANNET</v>
      </c>
      <c r="D1123" s="44">
        <f>IFERROR(__xludf.DUMMYFUNCTION("""COMPUTED_VALUE"""),73.0)</f>
        <v>73</v>
      </c>
      <c r="E1123" s="44" t="str">
        <f>IFERROR(__xludf.DUMMYFUNCTION("""COMPUTED_VALUE"""),"")</f>
        <v/>
      </c>
      <c r="F1123" s="44" t="str">
        <f>IFERROR(__xludf.DUMMYFUNCTION("""COMPUTED_VALUE"""),"")</f>
        <v/>
      </c>
      <c r="G1123" s="44" t="str">
        <f>IFERROR(__xludf.DUMMYFUNCTION("""COMPUTED_VALUE""")," ")</f>
        <v> </v>
      </c>
      <c r="H1123" s="44" t="str">
        <f>IFERROR(__xludf.DUMMYFUNCTION("""COMPUTED_VALUE""")," ")</f>
        <v> </v>
      </c>
      <c r="I1123" s="44" t="str">
        <f>IFERROR(__xludf.DUMMYFUNCTION("""COMPUTED_VALUE"""),"Internado")</f>
        <v>Internado</v>
      </c>
      <c r="J1123" s="44" t="str">
        <f>IFERROR(__xludf.DUMMYFUNCTION("""COMPUTED_VALUE"""),"")</f>
        <v/>
      </c>
      <c r="K1123" s="42" t="str">
        <f>IFERROR(__xludf.DUMMYFUNCTION("""COMPUTED_VALUE"""),"🔍 BUSCAR PACIENTES")</f>
        <v>🔍 BUSCAR PACIENTES</v>
      </c>
    </row>
    <row r="1124">
      <c r="A1124" s="44">
        <v>1123.0</v>
      </c>
      <c r="B1124" s="44" t="str">
        <f>IFERROR(__xludf.DUMMYFUNCTION("""COMPUTED_VALUE"""),"Campo de Golf Playa los Cocos")</f>
        <v>Campo de Golf Playa los Cocos</v>
      </c>
      <c r="C1124" s="45" t="str">
        <f>IFERROR(__xludf.DUMMYFUNCTION("""COMPUTED_VALUE"""),"Alan Acosta")</f>
        <v>Alan Acosta</v>
      </c>
      <c r="D1124" s="44" t="str">
        <f>IFERROR(__xludf.DUMMYFUNCTION("""COMPUTED_VALUE"""),"")</f>
        <v/>
      </c>
      <c r="E1124" s="44" t="str">
        <f>IFERROR(__xludf.DUMMYFUNCTION("""COMPUTED_VALUE"""),"")</f>
        <v/>
      </c>
      <c r="F1124" s="44" t="str">
        <f>IFERROR(__xludf.DUMMYFUNCTION("""COMPUTED_VALUE"""),"")</f>
        <v/>
      </c>
      <c r="G1124" s="44" t="str">
        <f>IFERROR(__xludf.DUMMYFUNCTION("""COMPUTED_VALUE"""),"")</f>
        <v/>
      </c>
      <c r="H1124" s="44" t="str">
        <f>IFERROR(__xludf.DUMMYFUNCTION("""COMPUTED_VALUE"""),"")</f>
        <v/>
      </c>
      <c r="I1124" s="44" t="str">
        <f>IFERROR(__xludf.DUMMYFUNCTION("""COMPUTED_VALUE"""),"menor")</f>
        <v>menor</v>
      </c>
      <c r="J1124" s="44" t="str">
        <f>IFERROR(__xludf.DUMMYFUNCTION("""COMPUTED_VALUE"""),"")</f>
        <v/>
      </c>
      <c r="K1124" s="42" t="str">
        <f>IFERROR(__xludf.DUMMYFUNCTION("""COMPUTED_VALUE"""),"Campo de Golf Playa los Cocos")</f>
        <v>Campo de Golf Playa los Cocos</v>
      </c>
    </row>
    <row r="1125">
      <c r="A1125" s="44">
        <v>1124.0</v>
      </c>
      <c r="B1125" s="44" t="str">
        <f>IFERROR(__xludf.DUMMYFUNCTION("""COMPUTED_VALUE"""),"Seguro Social La Guaira")</f>
        <v>Seguro Social La Guaira</v>
      </c>
      <c r="C1125" s="45" t="str">
        <f>IFERROR(__xludf.DUMMYFUNCTION("""COMPUTED_VALUE"""),"ALANA GONZALES")</f>
        <v>ALANA GONZALES</v>
      </c>
      <c r="D1125" s="44">
        <f>IFERROR(__xludf.DUMMYFUNCTION("""COMPUTED_VALUE"""),6.0)</f>
        <v>6</v>
      </c>
      <c r="E1125" s="44" t="str">
        <f>IFERROR(__xludf.DUMMYFUNCTION("""COMPUTED_VALUE"""),"")</f>
        <v/>
      </c>
      <c r="F1125" s="44" t="str">
        <f>IFERROR(__xludf.DUMMYFUNCTION("""COMPUTED_VALUE"""),"")</f>
        <v/>
      </c>
      <c r="G1125" s="44" t="str">
        <f>IFERROR(__xludf.DUMMYFUNCTION("""COMPUTED_VALUE""")," ")</f>
        <v> </v>
      </c>
      <c r="H1125" s="44" t="str">
        <f>IFERROR(__xludf.DUMMYFUNCTION("""COMPUTED_VALUE"""),"Caribe")</f>
        <v>Caribe</v>
      </c>
      <c r="I1125" s="44" t="str">
        <f>IFERROR(__xludf.DUMMYFUNCTION("""COMPUTED_VALUE""")," ")</f>
        <v> </v>
      </c>
      <c r="J1125" s="44" t="str">
        <f>IFERROR(__xludf.DUMMYFUNCTION("""COMPUTED_VALUE"""),"")</f>
        <v/>
      </c>
      <c r="K1125" s="42" t="str">
        <f>IFERROR(__xludf.DUMMYFUNCTION("""COMPUTED_VALUE"""),"Seguro Social La Guaira")</f>
        <v>Seguro Social La Guaira</v>
      </c>
    </row>
    <row r="1126">
      <c r="A1126" s="44">
        <v>1125.0</v>
      </c>
      <c r="B1126" s="44" t="str">
        <f>IFERROR(__xludf.DUMMYFUNCTION("""COMPUTED_VALUE"""),"Hospital Pérez Carreño")</f>
        <v>Hospital Pérez Carreño</v>
      </c>
      <c r="C1126" s="45" t="str">
        <f>IFERROR(__xludf.DUMMYFUNCTION("""COMPUTED_VALUE"""),"Alani Malave")</f>
        <v>Alani Malave</v>
      </c>
      <c r="D1126" s="44" t="str">
        <f>IFERROR(__xludf.DUMMYFUNCTION("""COMPUTED_VALUE"""),"La Guaira")</f>
        <v>La Guaira</v>
      </c>
      <c r="E1126" s="44" t="str">
        <f>IFERROR(__xludf.DUMMYFUNCTION("""COMPUTED_VALUE"""),"")</f>
        <v/>
      </c>
      <c r="F1126" s="44" t="str">
        <f>IFERROR(__xludf.DUMMYFUNCTION("""COMPUTED_VALUE"""),"")</f>
        <v/>
      </c>
      <c r="G1126" s="44"/>
      <c r="H1126" s="44"/>
      <c r="I1126" s="44"/>
      <c r="J1126" s="44"/>
      <c r="K1126" s="42" t="str">
        <f>IFERROR(__xludf.DUMMYFUNCTION("""COMPUTED_VALUE"""),"Hospital Pérez Carreño")</f>
        <v>Hospital Pérez Carreño</v>
      </c>
    </row>
    <row r="1127">
      <c r="A1127" s="44">
        <v>1126.0</v>
      </c>
      <c r="B1127" s="44" t="str">
        <f>IFERROR(__xludf.DUMMYFUNCTION("""COMPUTED_VALUE"""),"Campo de Golf Playa los Cocos")</f>
        <v>Campo de Golf Playa los Cocos</v>
      </c>
      <c r="C1127" s="45" t="str">
        <f>IFERROR(__xludf.DUMMYFUNCTION("""COMPUTED_VALUE"""),"Alanis Carmona")</f>
        <v>Alanis Carmona</v>
      </c>
      <c r="D1127" s="44" t="str">
        <f>IFERROR(__xludf.DUMMYFUNCTION("""COMPUTED_VALUE"""),"")</f>
        <v/>
      </c>
      <c r="E1127" s="44" t="str">
        <f>IFERROR(__xludf.DUMMYFUNCTION("""COMPUTED_VALUE"""),"")</f>
        <v/>
      </c>
      <c r="F1127" s="44" t="str">
        <f>IFERROR(__xludf.DUMMYFUNCTION("""COMPUTED_VALUE"""),"")</f>
        <v/>
      </c>
      <c r="G1127" s="44" t="str">
        <f>IFERROR(__xludf.DUMMYFUNCTION("""COMPUTED_VALUE"""),"")</f>
        <v/>
      </c>
      <c r="H1127" s="44" t="str">
        <f>IFERROR(__xludf.DUMMYFUNCTION("""COMPUTED_VALUE"""),"")</f>
        <v/>
      </c>
      <c r="I1127" s="44"/>
      <c r="J1127" s="44" t="str">
        <f>IFERROR(__xludf.DUMMYFUNCTION("""COMPUTED_VALUE"""),"")</f>
        <v/>
      </c>
      <c r="K1127" s="42" t="str">
        <f>IFERROR(__xludf.DUMMYFUNCTION("""COMPUTED_VALUE"""),"Campo de Golf Playa los Cocos")</f>
        <v>Campo de Golf Playa los Cocos</v>
      </c>
    </row>
    <row r="1128">
      <c r="A1128" s="44">
        <v>1127.0</v>
      </c>
      <c r="B1128" s="44" t="str">
        <f>IFERROR(__xludf.DUMMYFUNCTION("""COMPUTED_VALUE"""),"Hospital Domingo Luciani")</f>
        <v>Hospital Domingo Luciani</v>
      </c>
      <c r="C1128" s="45" t="str">
        <f>IFERROR(__xludf.DUMMYFUNCTION("""COMPUTED_VALUE"""),"ALAYON SUHYN")</f>
        <v>ALAYON SUHYN</v>
      </c>
      <c r="D1128" s="44">
        <f>IFERROR(__xludf.DUMMYFUNCTION("""COMPUTED_VALUE"""),25.0)</f>
        <v>25</v>
      </c>
      <c r="E1128" s="44" t="str">
        <f>IFERROR(__xludf.DUMMYFUNCTION("""COMPUTED_VALUE"""),"")</f>
        <v/>
      </c>
      <c r="F1128" s="44" t="str">
        <f>IFERROR(__xludf.DUMMYFUNCTION("""COMPUTED_VALUE"""),"")</f>
        <v/>
      </c>
      <c r="G1128" s="44" t="str">
        <f>IFERROR(__xludf.DUMMYFUNCTION("""COMPUTED_VALUE""")," ")</f>
        <v> </v>
      </c>
      <c r="H1128" s="44" t="str">
        <f>IFERROR(__xludf.DUMMYFUNCTION("""COMPUTED_VALUE""")," ")</f>
        <v> </v>
      </c>
      <c r="I1128" s="44" t="str">
        <f>IFERROR(__xludf.DUMMYFUNCTION("""COMPUTED_VALUE""")," ")</f>
        <v> </v>
      </c>
      <c r="J1128" s="44" t="str">
        <f>IFERROR(__xludf.DUMMYFUNCTION("""COMPUTED_VALUE"""),"")</f>
        <v/>
      </c>
      <c r="K1128" s="42" t="str">
        <f>IFERROR(__xludf.DUMMYFUNCTION("""COMPUTED_VALUE"""),"🔍 BUSCAR PACIENTES")</f>
        <v>🔍 BUSCAR PACIENTES</v>
      </c>
    </row>
    <row r="1129">
      <c r="A1129" s="44">
        <v>1128.0</v>
      </c>
      <c r="B1129" s="44" t="str">
        <f>IFERROR(__xludf.DUMMYFUNCTION("""COMPUTED_VALUE"""),"Hospital Vargas de Caracas")</f>
        <v>Hospital Vargas de Caracas</v>
      </c>
      <c r="C1129" s="45" t="str">
        <f>IFERROR(__xludf.DUMMYFUNCTION("""COMPUTED_VALUE"""),"Albany Garcia")</f>
        <v>Albany Garcia</v>
      </c>
      <c r="D1129" s="44">
        <f>IFERROR(__xludf.DUMMYFUNCTION("""COMPUTED_VALUE"""),17.0)</f>
        <v>17</v>
      </c>
      <c r="E1129" s="44" t="str">
        <f>IFERROR(__xludf.DUMMYFUNCTION("""COMPUTED_VALUE"""),"")</f>
        <v/>
      </c>
      <c r="F1129" s="44"/>
      <c r="G1129" s="44" t="str">
        <f>IFERROR(__xludf.DUMMYFUNCTION("""COMPUTED_VALUE"""),"")</f>
        <v/>
      </c>
      <c r="H1129" s="44"/>
      <c r="I1129" s="44" t="str">
        <f>IFERROR(__xludf.DUMMYFUNCTION("""COMPUTED_VALUE"""),"Edad escrita junto al nombre en el formulario original")</f>
        <v>Edad escrita junto al nombre en el formulario original</v>
      </c>
      <c r="J1129" s="44" t="str">
        <f>IFERROR(__xludf.DUMMYFUNCTION("""COMPUTED_VALUE"""),"")</f>
        <v/>
      </c>
      <c r="K1129" s="42" t="str">
        <f>IFERROR(__xludf.DUMMYFUNCTION("""COMPUTED_VALUE"""),"Hospital Vargas de Caracas")</f>
        <v>Hospital Vargas de Caracas</v>
      </c>
    </row>
    <row r="1130">
      <c r="A1130" s="44">
        <v>1129.0</v>
      </c>
      <c r="B1130" s="44" t="str">
        <f>IFERROR(__xludf.DUMMYFUNCTION("""COMPUTED_VALUE"""),"HOSPITAL VARGAS")</f>
        <v>HOSPITAL VARGAS</v>
      </c>
      <c r="C1130" s="45" t="str">
        <f>IFERROR(__xludf.DUMMYFUNCTION("""COMPUTED_VALUE"""),"Albany García")</f>
        <v>Albany García</v>
      </c>
      <c r="D1130" s="44"/>
      <c r="E1130" s="44" t="str">
        <f>IFERROR(__xludf.DUMMYFUNCTION("""COMPUTED_VALUE"""),"")</f>
        <v/>
      </c>
      <c r="F1130" s="44" t="str">
        <f>IFERROR(__xludf.DUMMYFUNCTION("""COMPUTED_VALUE"""),"")</f>
        <v/>
      </c>
      <c r="G1130" s="44" t="str">
        <f>IFERROR(__xludf.DUMMYFUNCTION("""COMPUTED_VALUE"""),"")</f>
        <v/>
      </c>
      <c r="H1130" s="44" t="str">
        <f>IFERROR(__xludf.DUMMYFUNCTION("""COMPUTED_VALUE"""),"")</f>
        <v/>
      </c>
      <c r="I1130" s="44" t="str">
        <f>IFERROR(__xludf.DUMMYFUNCTION("""COMPUTED_VALUE"""),"Herido / atendido")</f>
        <v>Herido / atendido</v>
      </c>
      <c r="J1130" s="44" t="str">
        <f>IFERROR(__xludf.DUMMYFUNCTION("""COMPUTED_VALUE"""),"24.06.2026 ")</f>
        <v>24.06.2026 </v>
      </c>
      <c r="K1130" s="42" t="str">
        <f>IFERROR(__xludf.DUMMYFUNCTION("""COMPUTED_VALUE"""),"HOSPITAL VARGAS")</f>
        <v>HOSPITAL VARGAS</v>
      </c>
    </row>
    <row r="1131">
      <c r="A1131" s="44">
        <v>1130.0</v>
      </c>
      <c r="B1131" s="44" t="str">
        <f>IFERROR(__xludf.DUMMYFUNCTION("""COMPUTED_VALUE"""),"Hospital Pérez Carreño")</f>
        <v>Hospital Pérez Carreño</v>
      </c>
      <c r="C1131" s="45" t="str">
        <f>IFERROR(__xludf.DUMMYFUNCTION("""COMPUTED_VALUE"""),"ALBARRAN MARA")</f>
        <v>ALBARRAN MARA</v>
      </c>
      <c r="D1131" s="44" t="str">
        <f>IFERROR(__xludf.DUMMYFUNCTION("""COMPUTED_VALUE""")," ")</f>
        <v> </v>
      </c>
      <c r="E1131" s="44" t="str">
        <f>IFERROR(__xludf.DUMMYFUNCTION("""COMPUTED_VALUE"""),"")</f>
        <v/>
      </c>
      <c r="F1131" s="44" t="str">
        <f>IFERROR(__xludf.DUMMYFUNCTION("""COMPUTED_VALUE"""),"")</f>
        <v/>
      </c>
      <c r="G1131" s="44" t="str">
        <f>IFERROR(__xludf.DUMMYFUNCTION("""COMPUTED_VALUE""")," ")</f>
        <v> </v>
      </c>
      <c r="H1131" s="44" t="str">
        <f>IFERROR(__xludf.DUMMYFUNCTION("""COMPUTED_VALUE""")," ")</f>
        <v> </v>
      </c>
      <c r="I1131" s="44" t="str">
        <f>IFERROR(__xludf.DUMMYFUNCTION("""COMPUTED_VALUE"""),"Traumashock | Neurocirugía – Pasillo Asesor; La Guaira; Trauma, Neuro y Cirugía, Alta Médica")</f>
        <v>Traumashock | Neurocirugía – Pasillo Asesor; La Guaira; Trauma, Neuro y Cirugía, Alta Médica</v>
      </c>
      <c r="J1131" s="44" t="str">
        <f>IFERROR(__xludf.DUMMYFUNCTION("""COMPUTED_VALUE"""),"25/06/2026")</f>
        <v>25/06/2026</v>
      </c>
      <c r="K1131" s="42" t="str">
        <f>IFERROR(__xludf.DUMMYFUNCTION("""COMPUTED_VALUE"""),"Hospital Pérez Carreño")</f>
        <v>Hospital Pérez Carreño</v>
      </c>
    </row>
    <row r="1132">
      <c r="A1132" s="44">
        <v>1131.0</v>
      </c>
      <c r="B1132" s="44" t="str">
        <f>IFERROR(__xludf.DUMMYFUNCTION("""COMPUTED_VALUE"""),"Hospital Domingo Luciani")</f>
        <v>Hospital Domingo Luciani</v>
      </c>
      <c r="C1132" s="45" t="str">
        <f>IFERROR(__xludf.DUMMYFUNCTION("""COMPUTED_VALUE"""),"ALBE MANUEL")</f>
        <v>ALBE MANUEL</v>
      </c>
      <c r="D1132" s="44">
        <f>IFERROR(__xludf.DUMMYFUNCTION("""COMPUTED_VALUE"""),77.0)</f>
        <v>77</v>
      </c>
      <c r="E1132" s="44" t="str">
        <f>IFERROR(__xludf.DUMMYFUNCTION("""COMPUTED_VALUE"""),"")</f>
        <v/>
      </c>
      <c r="F1132" s="44" t="str">
        <f>IFERROR(__xludf.DUMMYFUNCTION("""COMPUTED_VALUE"""),"")</f>
        <v/>
      </c>
      <c r="G1132" s="44" t="str">
        <f>IFERROR(__xludf.DUMMYFUNCTION("""COMPUTED_VALUE""")," ")</f>
        <v> </v>
      </c>
      <c r="H1132" s="44" t="str">
        <f>IFERROR(__xludf.DUMMYFUNCTION("""COMPUTED_VALUE""")," ")</f>
        <v> </v>
      </c>
      <c r="I1132" s="44" t="str">
        <f>IFERROR(__xludf.DUMMYFUNCTION("""COMPUTED_VALUE""")," ")</f>
        <v> </v>
      </c>
      <c r="J1132" s="44" t="str">
        <f>IFERROR(__xludf.DUMMYFUNCTION("""COMPUTED_VALUE"""),"")</f>
        <v/>
      </c>
      <c r="K1132" s="42" t="str">
        <f>IFERROR(__xludf.DUMMYFUNCTION("""COMPUTED_VALUE"""),"🔍 BUSCAR PACIENTES")</f>
        <v>🔍 BUSCAR PACIENTES</v>
      </c>
    </row>
    <row r="1133">
      <c r="A1133" s="44">
        <v>1132.0</v>
      </c>
      <c r="B1133" s="44" t="str">
        <f>IFERROR(__xludf.DUMMYFUNCTION("""COMPUTED_VALUE"""),"Hospital Domingo Luciani")</f>
        <v>Hospital Domingo Luciani</v>
      </c>
      <c r="C1133" s="45" t="str">
        <f>IFERROR(__xludf.DUMMYFUNCTION("""COMPUTED_VALUE"""),"Albedo Fuentes Galus")</f>
        <v>Albedo Fuentes Galus</v>
      </c>
      <c r="D1133" s="44">
        <f>IFERROR(__xludf.DUMMYFUNCTION("""COMPUTED_VALUE"""),0.0)</f>
        <v>0</v>
      </c>
      <c r="E1133" s="44" t="str">
        <f>IFERROR(__xludf.DUMMYFUNCTION("""COMPUTED_VALUE"""),"")</f>
        <v/>
      </c>
      <c r="F1133" s="44" t="str">
        <f>IFERROR(__xludf.DUMMYFUNCTION("""COMPUTED_VALUE"""),"")</f>
        <v/>
      </c>
      <c r="G1133" s="44"/>
      <c r="H1133" s="44"/>
      <c r="I1133" s="44"/>
      <c r="J1133" s="44" t="str">
        <f>IFERROR(__xludf.DUMMYFUNCTION("""COMPUTED_VALUE"""),"")</f>
        <v/>
      </c>
      <c r="K1133" s="42" t="str">
        <f>IFERROR(__xludf.DUMMYFUNCTION("""COMPUTED_VALUE"""),"Hospital Domingo Luciani")</f>
        <v>Hospital Domingo Luciani</v>
      </c>
    </row>
    <row r="1134">
      <c r="A1134" s="44">
        <v>1133.0</v>
      </c>
      <c r="B1134" s="44" t="str">
        <f>IFERROR(__xludf.DUMMYFUNCTION("""COMPUTED_VALUE"""),"Campo de Golf Playa los Cocos")</f>
        <v>Campo de Golf Playa los Cocos</v>
      </c>
      <c r="C1134" s="45" t="str">
        <f>IFERROR(__xludf.DUMMYFUNCTION("""COMPUTED_VALUE"""),"Albert Delgado")</f>
        <v>Albert Delgado</v>
      </c>
      <c r="D1134" s="44" t="str">
        <f>IFERROR(__xludf.DUMMYFUNCTION("""COMPUTED_VALUE"""),"")</f>
        <v/>
      </c>
      <c r="E1134" s="44" t="str">
        <f>IFERROR(__xludf.DUMMYFUNCTION("""COMPUTED_VALUE"""),"")</f>
        <v/>
      </c>
      <c r="F1134" s="44" t="str">
        <f>IFERROR(__xludf.DUMMYFUNCTION("""COMPUTED_VALUE"""),"")</f>
        <v/>
      </c>
      <c r="G1134" s="44" t="str">
        <f>IFERROR(__xludf.DUMMYFUNCTION("""COMPUTED_VALUE"""),"")</f>
        <v/>
      </c>
      <c r="H1134" s="44" t="str">
        <f>IFERROR(__xludf.DUMMYFUNCTION("""COMPUTED_VALUE"""),"")</f>
        <v/>
      </c>
      <c r="I1134" s="44" t="str">
        <f>IFERROR(__xludf.DUMMYFUNCTION("""COMPUTED_VALUE"""),"menor")</f>
        <v>menor</v>
      </c>
      <c r="J1134" s="44" t="str">
        <f>IFERROR(__xludf.DUMMYFUNCTION("""COMPUTED_VALUE"""),"")</f>
        <v/>
      </c>
      <c r="K1134" s="42" t="str">
        <f>IFERROR(__xludf.DUMMYFUNCTION("""COMPUTED_VALUE"""),"Campo de Golf Playa los Cocos")</f>
        <v>Campo de Golf Playa los Cocos</v>
      </c>
    </row>
    <row r="1135">
      <c r="A1135" s="44">
        <v>1134.0</v>
      </c>
      <c r="B1135" s="44" t="str">
        <f>IFERROR(__xludf.DUMMYFUNCTION("""COMPUTED_VALUE"""),"Campo de Golf Playa los Cocos")</f>
        <v>Campo de Golf Playa los Cocos</v>
      </c>
      <c r="C1135" s="45" t="str">
        <f>IFERROR(__xludf.DUMMYFUNCTION("""COMPUTED_VALUE"""),"Albert Medina")</f>
        <v>Albert Medina</v>
      </c>
      <c r="D1135" s="44" t="str">
        <f>IFERROR(__xludf.DUMMYFUNCTION("""COMPUTED_VALUE"""),"")</f>
        <v/>
      </c>
      <c r="E1135" s="44" t="str">
        <f>IFERROR(__xludf.DUMMYFUNCTION("""COMPUTED_VALUE"""),"")</f>
        <v/>
      </c>
      <c r="F1135" s="44" t="str">
        <f>IFERROR(__xludf.DUMMYFUNCTION("""COMPUTED_VALUE"""),"")</f>
        <v/>
      </c>
      <c r="G1135" s="44" t="str">
        <f>IFERROR(__xludf.DUMMYFUNCTION("""COMPUTED_VALUE"""),"")</f>
        <v/>
      </c>
      <c r="H1135" s="44" t="str">
        <f>IFERROR(__xludf.DUMMYFUNCTION("""COMPUTED_VALUE"""),"")</f>
        <v/>
      </c>
      <c r="I1135" s="44"/>
      <c r="J1135" s="44" t="str">
        <f>IFERROR(__xludf.DUMMYFUNCTION("""COMPUTED_VALUE"""),"")</f>
        <v/>
      </c>
      <c r="K1135" s="42" t="str">
        <f>IFERROR(__xludf.DUMMYFUNCTION("""COMPUTED_VALUE"""),"Campo de Golf Playa los Cocos")</f>
        <v>Campo de Golf Playa los Cocos</v>
      </c>
    </row>
    <row r="1136">
      <c r="A1136" s="44">
        <v>1135.0</v>
      </c>
      <c r="B1136" s="44" t="str">
        <f>IFERROR(__xludf.DUMMYFUNCTION("""COMPUTED_VALUE"""),"Periférico de Catia")</f>
        <v>Periférico de Catia</v>
      </c>
      <c r="C1136" s="45" t="str">
        <f>IFERROR(__xludf.DUMMYFUNCTION("""COMPUTED_VALUE"""),"ALBINO VARKER")</f>
        <v>ALBINO VARKER</v>
      </c>
      <c r="D1136" s="44">
        <f>IFERROR(__xludf.DUMMYFUNCTION("""COMPUTED_VALUE"""),23.0)</f>
        <v>23</v>
      </c>
      <c r="E1136" s="44" t="str">
        <f>IFERROR(__xludf.DUMMYFUNCTION("""COMPUTED_VALUE"""),"")</f>
        <v/>
      </c>
      <c r="F1136" s="44" t="str">
        <f>IFERROR(__xludf.DUMMYFUNCTION("""COMPUTED_VALUE"""),"")</f>
        <v/>
      </c>
      <c r="G1136" s="44" t="str">
        <f>IFERROR(__xludf.DUMMYFUNCTION("""COMPUTED_VALUE""")," ")</f>
        <v> </v>
      </c>
      <c r="H1136" s="44" t="str">
        <f>IFERROR(__xludf.DUMMYFUNCTION("""COMPUTED_VALUE""")," ")</f>
        <v> </v>
      </c>
      <c r="I1136" s="44" t="str">
        <f>IFERROR(__xludf.DUMMYFUNCTION("""COMPUTED_VALUE"""),"Esposa")</f>
        <v>Esposa</v>
      </c>
      <c r="J1136" s="44" t="str">
        <f>IFERROR(__xludf.DUMMYFUNCTION("""COMPUTED_VALUE"""),"")</f>
        <v/>
      </c>
      <c r="K1136" s="42" t="str">
        <f>IFERROR(__xludf.DUMMYFUNCTION("""COMPUTED_VALUE"""),"Periférico de Catia")</f>
        <v>Periférico de Catia</v>
      </c>
    </row>
    <row r="1137">
      <c r="A1137" s="44">
        <v>1136.0</v>
      </c>
      <c r="B1137" s="44" t="str">
        <f>IFERROR(__xludf.DUMMYFUNCTION("""COMPUTED_VALUE"""),"Periférico de Catia")</f>
        <v>Periférico de Catia</v>
      </c>
      <c r="C1137" s="45" t="str">
        <f>IFERROR(__xludf.DUMMYFUNCTION("""COMPUTED_VALUE"""),"ALBINO WALTER")</f>
        <v>ALBINO WALTER</v>
      </c>
      <c r="D1137" s="44">
        <f>IFERROR(__xludf.DUMMYFUNCTION("""COMPUTED_VALUE"""),45.0)</f>
        <v>45</v>
      </c>
      <c r="E1137" s="44" t="str">
        <f>IFERROR(__xludf.DUMMYFUNCTION("""COMPUTED_VALUE"""),"")</f>
        <v/>
      </c>
      <c r="F1137" s="44" t="str">
        <f>IFERROR(__xludf.DUMMYFUNCTION("""COMPUTED_VALUE"""),"")</f>
        <v/>
      </c>
      <c r="G1137" s="44" t="str">
        <f>IFERROR(__xludf.DUMMYFUNCTION("""COMPUTED_VALUE""")," ")</f>
        <v> </v>
      </c>
      <c r="H1137" s="44" t="str">
        <f>IFERROR(__xludf.DUMMYFUNCTION("""COMPUTED_VALUE""")," ")</f>
        <v> </v>
      </c>
      <c r="I1137" s="44" t="str">
        <f>IFERROR(__xludf.DUMMYFUNCTION("""COMPUTED_VALUE""")," ")</f>
        <v> </v>
      </c>
      <c r="J1137" s="44" t="str">
        <f>IFERROR(__xludf.DUMMYFUNCTION("""COMPUTED_VALUE"""),"")</f>
        <v/>
      </c>
      <c r="K1137" s="42" t="str">
        <f>IFERROR(__xludf.DUMMYFUNCTION("""COMPUTED_VALUE"""),"Periférico de Catia")</f>
        <v>Periférico de Catia</v>
      </c>
    </row>
    <row r="1138">
      <c r="A1138" s="44">
        <v>1137.0</v>
      </c>
      <c r="B1138" s="44" t="str">
        <f>IFERROR(__xludf.DUMMYFUNCTION("""COMPUTED_VALUE"""),"Hospital Vargas de Caracas")</f>
        <v>Hospital Vargas de Caracas</v>
      </c>
      <c r="C1138" s="45" t="str">
        <f>IFERROR(__xludf.DUMMYFUNCTION("""COMPUTED_VALUE"""),"ALBONY GUIOU")</f>
        <v>ALBONY GUIOU</v>
      </c>
      <c r="D1138" s="44" t="str">
        <f>IFERROR(__xludf.DUMMYFUNCTION("""COMPUTED_VALUE""")," ")</f>
        <v> </v>
      </c>
      <c r="E1138" s="44" t="str">
        <f>IFERROR(__xludf.DUMMYFUNCTION("""COMPUTED_VALUE"""),"")</f>
        <v/>
      </c>
      <c r="F1138" s="44" t="str">
        <f>IFERROR(__xludf.DUMMYFUNCTION("""COMPUTED_VALUE""")," ")</f>
        <v> </v>
      </c>
      <c r="G1138" s="44" t="str">
        <f>IFERROR(__xludf.DUMMYFUNCTION("""COMPUTED_VALUE"""),"")</f>
        <v/>
      </c>
      <c r="H1138" s="44" t="str">
        <f>IFERROR(__xludf.DUMMYFUNCTION("""COMPUTED_VALUE"""),"Cuarto 3")</f>
        <v>Cuarto 3</v>
      </c>
      <c r="I1138" s="44" t="str">
        <f>IFERROR(__xludf.DUMMYFUNCTION("""COMPUTED_VALUE""")," ")</f>
        <v> </v>
      </c>
      <c r="J1138" s="44" t="str">
        <f>IFERROR(__xludf.DUMMYFUNCTION("""COMPUTED_VALUE"""),"")</f>
        <v/>
      </c>
      <c r="K1138" s="42" t="str">
        <f>IFERROR(__xludf.DUMMYFUNCTION("""COMPUTED_VALUE"""),"Hospital Vargas de Caracas")</f>
        <v>Hospital Vargas de Caracas</v>
      </c>
    </row>
    <row r="1139">
      <c r="A1139" s="44">
        <v>1138.0</v>
      </c>
      <c r="B1139" s="44" t="str">
        <f>IFERROR(__xludf.DUMMYFUNCTION("""COMPUTED_VALUE"""),"Campo de Golf Playa los Cocos")</f>
        <v>Campo de Golf Playa los Cocos</v>
      </c>
      <c r="C1139" s="45" t="str">
        <f>IFERROR(__xludf.DUMMYFUNCTION("""COMPUTED_VALUE"""),"Aldo Delgado")</f>
        <v>Aldo Delgado</v>
      </c>
      <c r="D1139" s="44" t="str">
        <f>IFERROR(__xludf.DUMMYFUNCTION("""COMPUTED_VALUE"""),"")</f>
        <v/>
      </c>
      <c r="E1139" s="44" t="str">
        <f>IFERROR(__xludf.DUMMYFUNCTION("""COMPUTED_VALUE"""),"")</f>
        <v/>
      </c>
      <c r="F1139" s="44" t="str">
        <f>IFERROR(__xludf.DUMMYFUNCTION("""COMPUTED_VALUE"""),"")</f>
        <v/>
      </c>
      <c r="G1139" s="44" t="str">
        <f>IFERROR(__xludf.DUMMYFUNCTION("""COMPUTED_VALUE"""),"")</f>
        <v/>
      </c>
      <c r="H1139" s="44" t="str">
        <f>IFERROR(__xludf.DUMMYFUNCTION("""COMPUTED_VALUE"""),"")</f>
        <v/>
      </c>
      <c r="I1139" s="44"/>
      <c r="J1139" s="44" t="str">
        <f>IFERROR(__xludf.DUMMYFUNCTION("""COMPUTED_VALUE"""),"")</f>
        <v/>
      </c>
      <c r="K1139" s="42" t="str">
        <f>IFERROR(__xludf.DUMMYFUNCTION("""COMPUTED_VALUE"""),"Campo de Golf Playa los Cocos")</f>
        <v>Campo de Golf Playa los Cocos</v>
      </c>
    </row>
    <row r="1140">
      <c r="A1140" s="44">
        <v>1139.0</v>
      </c>
      <c r="B1140" s="44" t="str">
        <f>IFERROR(__xludf.DUMMYFUNCTION("""COMPUTED_VALUE"""),"Hospital Pérez Carreño")</f>
        <v>Hospital Pérez Carreño</v>
      </c>
      <c r="C1140" s="45" t="str">
        <f>IFERROR(__xludf.DUMMYFUNCTION("""COMPUTED_VALUE"""),"Alejandra Sojo")</f>
        <v>Alejandra Sojo</v>
      </c>
      <c r="D1140" s="44"/>
      <c r="E1140" s="44" t="str">
        <f>IFERROR(__xludf.DUMMYFUNCTION("""COMPUTED_VALUE"""),"")</f>
        <v/>
      </c>
      <c r="F1140" s="44" t="str">
        <f>IFERROR(__xludf.DUMMYFUNCTION("""COMPUTED_VALUE"""),"")</f>
        <v/>
      </c>
      <c r="G1140" s="44" t="str">
        <f>IFERROR(__xludf.DUMMYFUNCTION("""COMPUTED_VALUE"""),"Traumashock ")</f>
        <v>Traumashock </v>
      </c>
      <c r="H1140" s="44" t="str">
        <f>IFERROR(__xludf.DUMMYFUNCTION("""COMPUTED_VALUE"""),"Hospital Miguel Perez Carreño")</f>
        <v>Hospital Miguel Perez Carreño</v>
      </c>
      <c r="I1140" s="44"/>
      <c r="J1140" s="44" t="str">
        <f>IFERROR(__xludf.DUMMYFUNCTION("""COMPUTED_VALUE"""),"26/6/26")</f>
        <v>26/6/26</v>
      </c>
      <c r="K1140" s="42" t="str">
        <f>IFERROR(__xludf.DUMMYFUNCTION("""COMPUTED_VALUE"""),"Hospital Pérez Carreño")</f>
        <v>Hospital Pérez Carreño</v>
      </c>
    </row>
    <row r="1141">
      <c r="A1141" s="44">
        <v>1140.0</v>
      </c>
      <c r="B1141" s="44" t="str">
        <f>IFERROR(__xludf.DUMMYFUNCTION("""COMPUTED_VALUE"""),"Hospital Domingo Luciani")</f>
        <v>Hospital Domingo Luciani</v>
      </c>
      <c r="C1141" s="45" t="str">
        <f>IFERROR(__xludf.DUMMYFUNCTION("""COMPUTED_VALUE"""),"ALEM PIOBRAN")</f>
        <v>ALEM PIOBRAN</v>
      </c>
      <c r="D1141" s="44">
        <f>IFERROR(__xludf.DUMMYFUNCTION("""COMPUTED_VALUE"""),54.0)</f>
        <v>54</v>
      </c>
      <c r="E1141" s="44" t="str">
        <f>IFERROR(__xludf.DUMMYFUNCTION("""COMPUTED_VALUE"""),"")</f>
        <v/>
      </c>
      <c r="F1141" s="44" t="str">
        <f>IFERROR(__xludf.DUMMYFUNCTION("""COMPUTED_VALUE"""),"")</f>
        <v/>
      </c>
      <c r="G1141" s="44" t="str">
        <f>IFERROR(__xludf.DUMMYFUNCTION("""COMPUTED_VALUE""")," ")</f>
        <v> </v>
      </c>
      <c r="H1141" s="44" t="str">
        <f>IFERROR(__xludf.DUMMYFUNCTION("""COMPUTED_VALUE""")," ")</f>
        <v> </v>
      </c>
      <c r="I1141" s="44" t="str">
        <f>IFERROR(__xludf.DUMMYFUNCTION("""COMPUTED_VALUE"""),"Ya Barros – Ingresos 9am")</f>
        <v>Ya Barros – Ingresos 9am</v>
      </c>
      <c r="J1141" s="44" t="str">
        <f>IFERROR(__xludf.DUMMYFUNCTION("""COMPUTED_VALUE"""),"")</f>
        <v/>
      </c>
      <c r="K1141" s="42" t="str">
        <f>IFERROR(__xludf.DUMMYFUNCTION("""COMPUTED_VALUE"""),"🔍 BUSCAR PACIENTES")</f>
        <v>🔍 BUSCAR PACIENTES</v>
      </c>
    </row>
    <row r="1142">
      <c r="A1142" s="44">
        <v>1141.0</v>
      </c>
      <c r="B1142" s="44" t="str">
        <f>IFERROR(__xludf.DUMMYFUNCTION("""COMPUTED_VALUE"""),"Periférico de Catia")</f>
        <v>Periférico de Catia</v>
      </c>
      <c r="C1142" s="45" t="str">
        <f>IFERROR(__xludf.DUMMYFUNCTION("""COMPUTED_VALUE"""),"ALETIS ZACARIES")</f>
        <v>ALETIS ZACARIES</v>
      </c>
      <c r="D1142" s="44">
        <f>IFERROR(__xludf.DUMMYFUNCTION("""COMPUTED_VALUE"""),45.0)</f>
        <v>45</v>
      </c>
      <c r="E1142" s="44" t="str">
        <f>IFERROR(__xludf.DUMMYFUNCTION("""COMPUTED_VALUE"""),"")</f>
        <v/>
      </c>
      <c r="F1142" s="44" t="str">
        <f>IFERROR(__xludf.DUMMYFUNCTION("""COMPUTED_VALUE"""),"")</f>
        <v/>
      </c>
      <c r="G1142" s="44" t="str">
        <f>IFERROR(__xludf.DUMMYFUNCTION("""COMPUTED_VALUE""")," ")</f>
        <v> </v>
      </c>
      <c r="H1142" s="44" t="str">
        <f>IFERROR(__xludf.DUMMYFUNCTION("""COMPUTED_VALUE""")," ")</f>
        <v> </v>
      </c>
      <c r="I1142" s="44" t="str">
        <f>IFERROR(__xludf.DUMMYFUNCTION("""COMPUTED_VALUE"""),"Solo")</f>
        <v>Solo</v>
      </c>
      <c r="J1142" s="44" t="str">
        <f>IFERROR(__xludf.DUMMYFUNCTION("""COMPUTED_VALUE"""),"")</f>
        <v/>
      </c>
      <c r="K1142" s="42" t="str">
        <f>IFERROR(__xludf.DUMMYFUNCTION("""COMPUTED_VALUE"""),"Periférico de Catia")</f>
        <v>Periférico de Catia</v>
      </c>
    </row>
    <row r="1143">
      <c r="A1143" s="44">
        <v>1142.0</v>
      </c>
      <c r="B1143" s="44" t="str">
        <f>IFERROR(__xludf.DUMMYFUNCTION("""COMPUTED_VALUE"""),"Periférico de Catia")</f>
        <v>Periférico de Catia</v>
      </c>
      <c r="C1143" s="45" t="str">
        <f>IFERROR(__xludf.DUMMYFUNCTION("""COMPUTED_VALUE"""),"ALEX PALENCIA")</f>
        <v>ALEX PALENCIA</v>
      </c>
      <c r="D1143" s="44" t="str">
        <f>IFERROR(__xludf.DUMMYFUNCTION("""COMPUTED_VALUE""")," ")</f>
        <v> </v>
      </c>
      <c r="E1143" s="44" t="str">
        <f>IFERROR(__xludf.DUMMYFUNCTION("""COMPUTED_VALUE"""),"")</f>
        <v/>
      </c>
      <c r="F1143" s="44" t="str">
        <f>IFERROR(__xludf.DUMMYFUNCTION("""COMPUTED_VALUE"""),"")</f>
        <v/>
      </c>
      <c r="G1143" s="44" t="str">
        <f>IFERROR(__xludf.DUMMYFUNCTION("""COMPUTED_VALUE""")," ")</f>
        <v> </v>
      </c>
      <c r="H1143" s="44" t="str">
        <f>IFERROR(__xludf.DUMMYFUNCTION("""COMPUTED_VALUE""")," ")</f>
        <v> </v>
      </c>
      <c r="I1143" s="44" t="str">
        <f>IFERROR(__xludf.DUMMYFUNCTION("""COMPUTED_VALUE""")," ")</f>
        <v> </v>
      </c>
      <c r="J1143" s="44" t="str">
        <f>IFERROR(__xludf.DUMMYFUNCTION("""COMPUTED_VALUE"""),"")</f>
        <v/>
      </c>
      <c r="K1143" s="42" t="str">
        <f>IFERROR(__xludf.DUMMYFUNCTION("""COMPUTED_VALUE"""),"Periférico de Catia")</f>
        <v>Periférico de Catia</v>
      </c>
    </row>
    <row r="1144">
      <c r="A1144" s="44">
        <v>1143.0</v>
      </c>
      <c r="B1144" s="44" t="str">
        <f>IFERROR(__xludf.DUMMYFUNCTION("""COMPUTED_VALUE"""),"Hospital Domingo Luciani")</f>
        <v>Hospital Domingo Luciani</v>
      </c>
      <c r="C1144" s="45" t="str">
        <f>IFERROR(__xludf.DUMMYFUNCTION("""COMPUTED_VALUE"""),"Alexander Acosta")</f>
        <v>Alexander Acosta</v>
      </c>
      <c r="D1144" s="44">
        <f>IFERROR(__xludf.DUMMYFUNCTION("""COMPUTED_VALUE"""),49.0)</f>
        <v>49</v>
      </c>
      <c r="E1144" s="44" t="str">
        <f>IFERROR(__xludf.DUMMYFUNCTION("""COMPUTED_VALUE"""),"")</f>
        <v/>
      </c>
      <c r="F1144" s="44" t="str">
        <f>IFERROR(__xludf.DUMMYFUNCTION("""COMPUTED_VALUE"""),"")</f>
        <v/>
      </c>
      <c r="G1144" s="44"/>
      <c r="H1144" s="44"/>
      <c r="I1144" s="44"/>
      <c r="J1144" s="44" t="str">
        <f>IFERROR(__xludf.DUMMYFUNCTION("""COMPUTED_VALUE"""),"")</f>
        <v/>
      </c>
      <c r="K1144" s="42" t="str">
        <f>IFERROR(__xludf.DUMMYFUNCTION("""COMPUTED_VALUE"""),"Hospital Domingo Luciani")</f>
        <v>Hospital Domingo Luciani</v>
      </c>
    </row>
    <row r="1145">
      <c r="A1145" s="44">
        <v>1144.0</v>
      </c>
      <c r="B1145" s="44" t="str">
        <f>IFERROR(__xludf.DUMMYFUNCTION("""COMPUTED_VALUE"""),"Hospital Domingo Luciani")</f>
        <v>Hospital Domingo Luciani</v>
      </c>
      <c r="C1145" s="45" t="str">
        <f>IFERROR(__xludf.DUMMYFUNCTION("""COMPUTED_VALUE"""),"Alexander Castaño")</f>
        <v>Alexander Castaño</v>
      </c>
      <c r="D1145" s="44">
        <f>IFERROR(__xludf.DUMMYFUNCTION("""COMPUTED_VALUE"""),42.0)</f>
        <v>42</v>
      </c>
      <c r="E1145" s="44" t="str">
        <f>IFERROR(__xludf.DUMMYFUNCTION("""COMPUTED_VALUE"""),"")</f>
        <v/>
      </c>
      <c r="F1145" s="44" t="str">
        <f>IFERROR(__xludf.DUMMYFUNCTION("""COMPUTED_VALUE"""),"")</f>
        <v/>
      </c>
      <c r="G1145" s="44"/>
      <c r="H1145" s="44"/>
      <c r="I1145" s="44"/>
      <c r="J1145" s="44" t="str">
        <f>IFERROR(__xludf.DUMMYFUNCTION("""COMPUTED_VALUE"""),"")</f>
        <v/>
      </c>
      <c r="K1145" s="42" t="str">
        <f>IFERROR(__xludf.DUMMYFUNCTION("""COMPUTED_VALUE"""),"Hospital Domingo Luciani")</f>
        <v>Hospital Domingo Luciani</v>
      </c>
    </row>
    <row r="1146">
      <c r="A1146" s="44">
        <v>1145.0</v>
      </c>
      <c r="B1146" s="44" t="str">
        <f>IFERROR(__xludf.DUMMYFUNCTION("""COMPUTED_VALUE"""),"HOSPITAL VARGAS")</f>
        <v>HOSPITAL VARGAS</v>
      </c>
      <c r="C1146" s="45" t="str">
        <f>IFERROR(__xludf.DUMMYFUNCTION("""COMPUTED_VALUE"""),"Alexander Castillo")</f>
        <v>Alexander Castillo</v>
      </c>
      <c r="D1146" s="44"/>
      <c r="E1146" s="44" t="str">
        <f>IFERROR(__xludf.DUMMYFUNCTION("""COMPUTED_VALUE"""),"")</f>
        <v/>
      </c>
      <c r="F1146" s="44" t="str">
        <f>IFERROR(__xludf.DUMMYFUNCTION("""COMPUTED_VALUE"""),"")</f>
        <v/>
      </c>
      <c r="G1146" s="44" t="str">
        <f>IFERROR(__xludf.DUMMYFUNCTION("""COMPUTED_VALUE"""),"")</f>
        <v/>
      </c>
      <c r="H1146" s="44" t="str">
        <f>IFERROR(__xludf.DUMMYFUNCTION("""COMPUTED_VALUE"""),"")</f>
        <v/>
      </c>
      <c r="I1146" s="44" t="str">
        <f>IFERROR(__xludf.DUMMYFUNCTION("""COMPUTED_VALUE"""),"Herido / atendido")</f>
        <v>Herido / atendido</v>
      </c>
      <c r="J1146" s="44" t="str">
        <f>IFERROR(__xludf.DUMMYFUNCTION("""COMPUTED_VALUE"""),"24.06.2026 ")</f>
        <v>24.06.2026 </v>
      </c>
      <c r="K1146" s="42" t="str">
        <f>IFERROR(__xludf.DUMMYFUNCTION("""COMPUTED_VALUE"""),"HOSPITAL VARGAS")</f>
        <v>HOSPITAL VARGAS</v>
      </c>
    </row>
    <row r="1147">
      <c r="A1147" s="44">
        <v>1146.0</v>
      </c>
      <c r="B1147" s="44" t="str">
        <f>IFERROR(__xludf.DUMMYFUNCTION("""COMPUTED_VALUE"""),"Periférico de Catia")</f>
        <v>Periférico de Catia</v>
      </c>
      <c r="C1147" s="45" t="str">
        <f>IFERROR(__xludf.DUMMYFUNCTION("""COMPUTED_VALUE"""),"Alexander Gonzalez")</f>
        <v>Alexander Gonzalez</v>
      </c>
      <c r="D1147" s="44"/>
      <c r="E1147" s="44" t="str">
        <f>IFERROR(__xludf.DUMMYFUNCTION("""COMPUTED_VALUE"""),"")</f>
        <v/>
      </c>
      <c r="F1147" s="44" t="str">
        <f>IFERROR(__xludf.DUMMYFUNCTION("""COMPUTED_VALUE"""),"")</f>
        <v/>
      </c>
      <c r="G1147" s="44"/>
      <c r="H1147" s="44"/>
      <c r="I1147" s="44" t="str">
        <f>IFERROR(__xludf.DUMMYFUNCTION("""COMPUTED_VALUE"""),"Politrauma (pizarra con anotaciones de ubicacion/estudio: Piso, Rx, Triaje, Trauma)")</f>
        <v>Politrauma (pizarra con anotaciones de ubicacion/estudio: Piso, Rx, Triaje, Trauma)</v>
      </c>
      <c r="J1147" s="44" t="str">
        <f>IFERROR(__xludf.DUMMYFUNCTION("""COMPUTED_VALUE"""),"")</f>
        <v/>
      </c>
      <c r="K1147" s="42" t="str">
        <f>IFERROR(__xludf.DUMMYFUNCTION("""COMPUTED_VALUE"""),"Periférico de Catia")</f>
        <v>Periférico de Catia</v>
      </c>
    </row>
    <row r="1148">
      <c r="A1148" s="44">
        <v>1147.0</v>
      </c>
      <c r="B1148" s="44" t="str">
        <f>IFERROR(__xludf.DUMMYFUNCTION("""COMPUTED_VALUE"""),"Campo de Golf Playa los Cocos")</f>
        <v>Campo de Golf Playa los Cocos</v>
      </c>
      <c r="C1148" s="45" t="str">
        <f>IFERROR(__xludf.DUMMYFUNCTION("""COMPUTED_VALUE"""),"Alexandra Morales")</f>
        <v>Alexandra Morales</v>
      </c>
      <c r="D1148" s="44" t="str">
        <f>IFERROR(__xludf.DUMMYFUNCTION("""COMPUTED_VALUE"""),"")</f>
        <v/>
      </c>
      <c r="E1148" s="44" t="str">
        <f>IFERROR(__xludf.DUMMYFUNCTION("""COMPUTED_VALUE"""),"")</f>
        <v/>
      </c>
      <c r="F1148" s="44" t="str">
        <f>IFERROR(__xludf.DUMMYFUNCTION("""COMPUTED_VALUE"""),"")</f>
        <v/>
      </c>
      <c r="G1148" s="44" t="str">
        <f>IFERROR(__xludf.DUMMYFUNCTION("""COMPUTED_VALUE"""),"")</f>
        <v/>
      </c>
      <c r="H1148" s="44" t="str">
        <f>IFERROR(__xludf.DUMMYFUNCTION("""COMPUTED_VALUE"""),"")</f>
        <v/>
      </c>
      <c r="I1148" s="44"/>
      <c r="J1148" s="44" t="str">
        <f>IFERROR(__xludf.DUMMYFUNCTION("""COMPUTED_VALUE"""),"")</f>
        <v/>
      </c>
      <c r="K1148" s="42" t="str">
        <f>IFERROR(__xludf.DUMMYFUNCTION("""COMPUTED_VALUE"""),"Campo de Golf Playa los Cocos")</f>
        <v>Campo de Golf Playa los Cocos</v>
      </c>
    </row>
    <row r="1149">
      <c r="A1149" s="44">
        <v>1148.0</v>
      </c>
      <c r="B1149" s="44" t="str">
        <f>IFERROR(__xludf.DUMMYFUNCTION("""COMPUTED_VALUE"""),"Hospital Pérez Carreño")</f>
        <v>Hospital Pérez Carreño</v>
      </c>
      <c r="C1149" s="45" t="str">
        <f>IFERROR(__xludf.DUMMYFUNCTION("""COMPUTED_VALUE"""),"Alexis Josefina")</f>
        <v>Alexis Josefina</v>
      </c>
      <c r="D1149" s="44"/>
      <c r="E1149" s="44" t="str">
        <f>IFERROR(__xludf.DUMMYFUNCTION("""COMPUTED_VALUE"""),"")</f>
        <v/>
      </c>
      <c r="F1149" s="44" t="str">
        <f>IFERROR(__xludf.DUMMYFUNCTION("""COMPUTED_VALUE"""),"")</f>
        <v/>
      </c>
      <c r="G1149" s="44" t="str">
        <f>IFERROR(__xludf.DUMMYFUNCTION("""COMPUTED_VALUE"""),"Traumashock ")</f>
        <v>Traumashock </v>
      </c>
      <c r="H1149" s="44" t="str">
        <f>IFERROR(__xludf.DUMMYFUNCTION("""COMPUTED_VALUE"""),"Hospital Miguel Perez Carreño")</f>
        <v>Hospital Miguel Perez Carreño</v>
      </c>
      <c r="I1149" s="44"/>
      <c r="J1149" s="44" t="str">
        <f>IFERROR(__xludf.DUMMYFUNCTION("""COMPUTED_VALUE"""),"26/6/26")</f>
        <v>26/6/26</v>
      </c>
      <c r="K1149" s="42" t="str">
        <f>IFERROR(__xludf.DUMMYFUNCTION("""COMPUTED_VALUE"""),"Hospital Pérez Carreño")</f>
        <v>Hospital Pérez Carreño</v>
      </c>
    </row>
    <row r="1150">
      <c r="A1150" s="44">
        <v>1149.0</v>
      </c>
      <c r="B1150" s="44" t="str">
        <f>IFERROR(__xludf.DUMMYFUNCTION("""COMPUTED_VALUE"""),"Periférico de Catia")</f>
        <v>Periférico de Catia</v>
      </c>
      <c r="C1150" s="45" t="str">
        <f>IFERROR(__xludf.DUMMYFUNCTION("""COMPUTED_VALUE"""),"ALEXIS ZACARIAS")</f>
        <v>ALEXIS ZACARIAS</v>
      </c>
      <c r="D1150" s="44">
        <f>IFERROR(__xludf.DUMMYFUNCTION("""COMPUTED_VALUE"""),46.0)</f>
        <v>46</v>
      </c>
      <c r="E1150" s="44" t="str">
        <f>IFERROR(__xludf.DUMMYFUNCTION("""COMPUTED_VALUE"""),"")</f>
        <v/>
      </c>
      <c r="F1150" s="44" t="str">
        <f>IFERROR(__xludf.DUMMYFUNCTION("""COMPUTED_VALUE"""),"")</f>
        <v/>
      </c>
      <c r="G1150" s="44" t="str">
        <f>IFERROR(__xludf.DUMMYFUNCTION("""COMPUTED_VALUE""")," ")</f>
        <v> </v>
      </c>
      <c r="H1150" s="44" t="str">
        <f>IFERROR(__xludf.DUMMYFUNCTION("""COMPUTED_VALUE"""),"Calle San Isidro")</f>
        <v>Calle San Isidro</v>
      </c>
      <c r="I1150" s="44" t="str">
        <f>IFERROR(__xludf.DUMMYFUNCTION("""COMPUTED_VALUE""")," ")</f>
        <v> </v>
      </c>
      <c r="J1150" s="44" t="str">
        <f>IFERROR(__xludf.DUMMYFUNCTION("""COMPUTED_VALUE"""),"")</f>
        <v/>
      </c>
      <c r="K1150" s="42" t="str">
        <f>IFERROR(__xludf.DUMMYFUNCTION("""COMPUTED_VALUE"""),"Periférico de Catia")</f>
        <v>Periférico de Catia</v>
      </c>
    </row>
    <row r="1151">
      <c r="A1151" s="44">
        <v>1150.0</v>
      </c>
      <c r="B1151" s="44" t="str">
        <f>IFERROR(__xludf.DUMMYFUNCTION("""COMPUTED_VALUE"""),"Hospital Pérez Carreño")</f>
        <v>Hospital Pérez Carreño</v>
      </c>
      <c r="C1151" s="45" t="str">
        <f>IFERROR(__xludf.DUMMYFUNCTION("""COMPUTED_VALUE"""),"Alfonzo Oropeza Eriks Maicob")</f>
        <v>Alfonzo Oropeza Eriks Maicob</v>
      </c>
      <c r="D1151" s="44"/>
      <c r="E1151" s="44" t="str">
        <f>IFERROR(__xludf.DUMMYFUNCTION("""COMPUTED_VALUE"""),"")</f>
        <v/>
      </c>
      <c r="F1151" s="44" t="str">
        <f>IFERROR(__xludf.DUMMYFUNCTION("""COMPUTED_VALUE"""),"")</f>
        <v/>
      </c>
      <c r="G1151" s="44" t="str">
        <f>IFERROR(__xludf.DUMMYFUNCTION("""COMPUTED_VALUE"""),"Traslados")</f>
        <v>Traslados</v>
      </c>
      <c r="H1151" s="44" t="str">
        <f>IFERROR(__xludf.DUMMYFUNCTION("""COMPUTED_VALUE"""),"Hospital Miguel Perez Carreño")</f>
        <v>Hospital Miguel Perez Carreño</v>
      </c>
      <c r="I1151" s="44"/>
      <c r="J1151" s="44" t="str">
        <f>IFERROR(__xludf.DUMMYFUNCTION("""COMPUTED_VALUE"""),"26/6/26")</f>
        <v>26/6/26</v>
      </c>
      <c r="K1151" s="42" t="str">
        <f>IFERROR(__xludf.DUMMYFUNCTION("""COMPUTED_VALUE"""),"Hospital Pérez Carreño")</f>
        <v>Hospital Pérez Carreño</v>
      </c>
    </row>
    <row r="1152">
      <c r="A1152" s="44">
        <v>1151.0</v>
      </c>
      <c r="B1152" s="44" t="str">
        <f>IFERROR(__xludf.DUMMYFUNCTION("""COMPUTED_VALUE"""),"Seguro Social La Guaira")</f>
        <v>Seguro Social La Guaira</v>
      </c>
      <c r="C1152" s="45" t="str">
        <f>IFERROR(__xludf.DUMMYFUNCTION("""COMPUTED_VALUE"""),"ALFONZO PADRON")</f>
        <v>ALFONZO PADRON</v>
      </c>
      <c r="D1152" s="44" t="str">
        <f>IFERROR(__xludf.DUMMYFUNCTION("""COMPUTED_VALUE""")," ")</f>
        <v> </v>
      </c>
      <c r="E1152" s="44" t="str">
        <f>IFERROR(__xludf.DUMMYFUNCTION("""COMPUTED_VALUE"""),"")</f>
        <v/>
      </c>
      <c r="F1152" s="44" t="str">
        <f>IFERROR(__xludf.DUMMYFUNCTION("""COMPUTED_VALUE"""),"")</f>
        <v/>
      </c>
      <c r="G1152" s="44" t="str">
        <f>IFERROR(__xludf.DUMMYFUNCTION("""COMPUTED_VALUE""")," ")</f>
        <v> </v>
      </c>
      <c r="H1152" s="44" t="str">
        <f>IFERROR(__xludf.DUMMYFUNCTION("""COMPUTED_VALUE"""),"Caribe")</f>
        <v>Caribe</v>
      </c>
      <c r="I1152" s="44" t="str">
        <f>IFERROR(__xludf.DUMMYFUNCTION("""COMPUTED_VALUE""")," ")</f>
        <v> </v>
      </c>
      <c r="J1152" s="44" t="str">
        <f>IFERROR(__xludf.DUMMYFUNCTION("""COMPUTED_VALUE"""),"")</f>
        <v/>
      </c>
      <c r="K1152" s="42" t="str">
        <f>IFERROR(__xludf.DUMMYFUNCTION("""COMPUTED_VALUE"""),"Seguro Social La Guaira")</f>
        <v>Seguro Social La Guaira</v>
      </c>
    </row>
    <row r="1153">
      <c r="A1153" s="44">
        <v>1152.0</v>
      </c>
      <c r="B1153" s="44" t="str">
        <f>IFERROR(__xludf.DUMMYFUNCTION("""COMPUTED_VALUE"""),"Periférico de Catia")</f>
        <v>Periférico de Catia</v>
      </c>
      <c r="C1153" s="45" t="str">
        <f>IFERROR(__xludf.DUMMYFUNCTION("""COMPUTED_VALUE"""),"ALFREDO NUÑEZ")</f>
        <v>ALFREDO NUÑEZ</v>
      </c>
      <c r="D1153" s="44">
        <f>IFERROR(__xludf.DUMMYFUNCTION("""COMPUTED_VALUE"""),62.0)</f>
        <v>62</v>
      </c>
      <c r="E1153" s="44" t="str">
        <f>IFERROR(__xludf.DUMMYFUNCTION("""COMPUTED_VALUE"""),"")</f>
        <v/>
      </c>
      <c r="F1153" s="44" t="str">
        <f>IFERROR(__xludf.DUMMYFUNCTION("""COMPUTED_VALUE"""),"")</f>
        <v/>
      </c>
      <c r="G1153" s="44" t="str">
        <f>IFERROR(__xludf.DUMMYFUNCTION("""COMPUTED_VALUE""")," ")</f>
        <v> </v>
      </c>
      <c r="H1153" s="44" t="str">
        <f>IFERROR(__xludf.DUMMYFUNCTION("""COMPUTED_VALUE"""),"Los Magallanes")</f>
        <v>Los Magallanes</v>
      </c>
      <c r="I1153" s="44" t="str">
        <f>IFERROR(__xludf.DUMMYFUNCTION("""COMPUTED_VALUE"""),"H.I")</f>
        <v>H.I</v>
      </c>
      <c r="J1153" s="44" t="str">
        <f>IFERROR(__xludf.DUMMYFUNCTION("""COMPUTED_VALUE"""),"")</f>
        <v/>
      </c>
      <c r="K1153" s="42" t="str">
        <f>IFERROR(__xludf.DUMMYFUNCTION("""COMPUTED_VALUE"""),"Periférico de Catia")</f>
        <v>Periférico de Catia</v>
      </c>
    </row>
    <row r="1154">
      <c r="A1154" s="44">
        <v>1153.0</v>
      </c>
      <c r="B1154" s="44" t="str">
        <f>IFERROR(__xludf.DUMMYFUNCTION("""COMPUTED_VALUE"""),"Hospital Pérez Carreño")</f>
        <v>Hospital Pérez Carreño</v>
      </c>
      <c r="C1154" s="45" t="str">
        <f>IFERROR(__xludf.DUMMYFUNCTION("""COMPUTED_VALUE"""),"ALFREDO QUINTANA")</f>
        <v>ALFREDO QUINTANA</v>
      </c>
      <c r="D1154" s="44" t="str">
        <f>IFERROR(__xludf.DUMMYFUNCTION("""COMPUTED_VALUE""")," ")</f>
        <v> </v>
      </c>
      <c r="E1154" s="44" t="str">
        <f>IFERROR(__xludf.DUMMYFUNCTION("""COMPUTED_VALUE"""),"")</f>
        <v/>
      </c>
      <c r="F1154" s="44" t="str">
        <f>IFERROR(__xludf.DUMMYFUNCTION("""COMPUTED_VALUE"""),"")</f>
        <v/>
      </c>
      <c r="G1154" s="44" t="str">
        <f>IFERROR(__xludf.DUMMYFUNCTION("""COMPUTED_VALUE""")," ")</f>
        <v> </v>
      </c>
      <c r="H1154" s="44" t="str">
        <f>IFERROR(__xludf.DUMMYFUNCTION("""COMPUTED_VALUE""")," ")</f>
        <v> </v>
      </c>
      <c r="I1154" s="44" t="str">
        <f>IFERROR(__xludf.DUMMYFUNCTION("""COMPUTED_VALUE""")," ")</f>
        <v> </v>
      </c>
      <c r="J1154" s="44" t="str">
        <f>IFERROR(__xludf.DUMMYFUNCTION("""COMPUTED_VALUE"""),"25/06/2026")</f>
        <v>25/06/2026</v>
      </c>
      <c r="K1154" s="42" t="str">
        <f>IFERROR(__xludf.DUMMYFUNCTION("""COMPUTED_VALUE"""),"Hospital Pérez Carreño")</f>
        <v>Hospital Pérez Carreño</v>
      </c>
    </row>
    <row r="1155">
      <c r="A1155" s="44">
        <v>1154.0</v>
      </c>
      <c r="B1155" s="44" t="str">
        <f>IFERROR(__xludf.DUMMYFUNCTION("""COMPUTED_VALUE"""),"Hospital Vargas de Caracas")</f>
        <v>Hospital Vargas de Caracas</v>
      </c>
      <c r="C1155" s="45" t="str">
        <f>IFERROR(__xludf.DUMMYFUNCTION("""COMPUTED_VALUE"""),"ALI YOSEF")</f>
        <v>ALI YOSEF</v>
      </c>
      <c r="D1155" s="44" t="str">
        <f>IFERROR(__xludf.DUMMYFUNCTION("""COMPUTED_VALUE""")," ")</f>
        <v> </v>
      </c>
      <c r="E1155" s="44" t="str">
        <f>IFERROR(__xludf.DUMMYFUNCTION("""COMPUTED_VALUE"""),"")</f>
        <v/>
      </c>
      <c r="F1155" s="44" t="str">
        <f>IFERROR(__xludf.DUMMYFUNCTION("""COMPUTED_VALUE""")," ")</f>
        <v> </v>
      </c>
      <c r="G1155" s="44" t="str">
        <f>IFERROR(__xludf.DUMMYFUNCTION("""COMPUTED_VALUE"""),"")</f>
        <v/>
      </c>
      <c r="H1155" s="44" t="str">
        <f>IFERROR(__xludf.DUMMYFUNCTION("""COMPUTED_VALUE""")," ")</f>
        <v> </v>
      </c>
      <c r="I1155" s="44" t="str">
        <f>IFERROR(__xludf.DUMMYFUNCTION("""COMPUTED_VALUE""")," ")</f>
        <v> </v>
      </c>
      <c r="J1155" s="44" t="str">
        <f>IFERROR(__xludf.DUMMYFUNCTION("""COMPUTED_VALUE"""),"")</f>
        <v/>
      </c>
      <c r="K1155" s="42" t="str">
        <f>IFERROR(__xludf.DUMMYFUNCTION("""COMPUTED_VALUE"""),"Hospital Vargas de Caracas")</f>
        <v>Hospital Vargas de Caracas</v>
      </c>
    </row>
    <row r="1156">
      <c r="A1156" s="44">
        <v>1155.0</v>
      </c>
      <c r="B1156" s="44" t="str">
        <f>IFERROR(__xludf.DUMMYFUNCTION("""COMPUTED_VALUE"""),"Hospital Pérez Carreño")</f>
        <v>Hospital Pérez Carreño</v>
      </c>
      <c r="C1156" s="45" t="str">
        <f>IFERROR(__xludf.DUMMYFUNCTION("""COMPUTED_VALUE"""),"Aliongo Maria")</f>
        <v>Aliongo Maria</v>
      </c>
      <c r="D1156" s="44"/>
      <c r="E1156" s="44" t="str">
        <f>IFERROR(__xludf.DUMMYFUNCTION("""COMPUTED_VALUE"""),"")</f>
        <v/>
      </c>
      <c r="F1156" s="44" t="str">
        <f>IFERROR(__xludf.DUMMYFUNCTION("""COMPUTED_VALUE"""),"")</f>
        <v/>
      </c>
      <c r="G1156" s="44" t="str">
        <f>IFERROR(__xludf.DUMMYFUNCTION("""COMPUTED_VALUE"""),"Traslados con destino asignado")</f>
        <v>Traslados con destino asignado</v>
      </c>
      <c r="H1156" s="44" t="str">
        <f>IFERROR(__xludf.DUMMYFUNCTION("""COMPUTED_VALUE"""),"Hospital Miguel Perez Carreño")</f>
        <v>Hospital Miguel Perez Carreño</v>
      </c>
      <c r="I1156" s="44"/>
      <c r="J1156" s="44" t="str">
        <f>IFERROR(__xludf.DUMMYFUNCTION("""COMPUTED_VALUE"""),"26/6/26")</f>
        <v>26/6/26</v>
      </c>
      <c r="K1156" s="42" t="str">
        <f>IFERROR(__xludf.DUMMYFUNCTION("""COMPUTED_VALUE"""),"Hospital Pérez Carreño")</f>
        <v>Hospital Pérez Carreño</v>
      </c>
    </row>
    <row r="1157">
      <c r="A1157" s="44">
        <v>1156.0</v>
      </c>
      <c r="B1157" s="44" t="str">
        <f>IFERROR(__xludf.DUMMYFUNCTION("""COMPUTED_VALUE"""),"Seguro Social La Guaira")</f>
        <v>Seguro Social La Guaira</v>
      </c>
      <c r="C1157" s="45" t="str">
        <f>IFERROR(__xludf.DUMMYFUNCTION("""COMPUTED_VALUE"""),"ALKELIS MORON")</f>
        <v>ALKELIS MORON</v>
      </c>
      <c r="D1157" s="44">
        <f>IFERROR(__xludf.DUMMYFUNCTION("""COMPUTED_VALUE"""),50.0)</f>
        <v>50</v>
      </c>
      <c r="E1157" s="44" t="str">
        <f>IFERROR(__xludf.DUMMYFUNCTION("""COMPUTED_VALUE"""),"")</f>
        <v/>
      </c>
      <c r="F1157" s="44" t="str">
        <f>IFERROR(__xludf.DUMMYFUNCTION("""COMPUTED_VALUE"""),"")</f>
        <v/>
      </c>
      <c r="G1157" s="44" t="str">
        <f>IFERROR(__xludf.DUMMYFUNCTION("""COMPUTED_VALUE""")," ")</f>
        <v> </v>
      </c>
      <c r="H1157" s="44" t="str">
        <f>IFERROR(__xludf.DUMMYFUNCTION("""COMPUTED_VALUE"""),"Caribe")</f>
        <v>Caribe</v>
      </c>
      <c r="I1157" s="44" t="str">
        <f>IFERROR(__xludf.DUMMYFUNCTION("""COMPUTED_VALUE""")," ")</f>
        <v> </v>
      </c>
      <c r="J1157" s="44" t="str">
        <f>IFERROR(__xludf.DUMMYFUNCTION("""COMPUTED_VALUE"""),"")</f>
        <v/>
      </c>
      <c r="K1157" s="42" t="str">
        <f>IFERROR(__xludf.DUMMYFUNCTION("""COMPUTED_VALUE"""),"Seguro Social La Guaira")</f>
        <v>Seguro Social La Guaira</v>
      </c>
    </row>
    <row r="1158">
      <c r="A1158" s="44">
        <v>1157.0</v>
      </c>
      <c r="B1158" s="44" t="str">
        <f>IFERROR(__xludf.DUMMYFUNCTION("""COMPUTED_VALUE"""),"La Guaira Sin Hospital")</f>
        <v>La Guaira Sin Hospital</v>
      </c>
      <c r="C1158" s="45" t="str">
        <f>IFERROR(__xludf.DUMMYFUNCTION("""COMPUTED_VALUE"""),"Allaman Maria")</f>
        <v>Allaman Maria</v>
      </c>
      <c r="D1158" s="44" t="str">
        <f>IFERROR(__xludf.DUMMYFUNCTION("""COMPUTED_VALUE"""),"")</f>
        <v/>
      </c>
      <c r="E1158" s="44" t="str">
        <f>IFERROR(__xludf.DUMMYFUNCTION("""COMPUTED_VALUE"""),"")</f>
        <v/>
      </c>
      <c r="F1158" s="44" t="str">
        <f>IFERROR(__xludf.DUMMYFUNCTION("""COMPUTED_VALUE"""),"")</f>
        <v/>
      </c>
      <c r="G1158" s="44" t="str">
        <f>IFERROR(__xludf.DUMMYFUNCTION("""COMPUTED_VALUE"""),"")</f>
        <v/>
      </c>
      <c r="H1158" s="44" t="str">
        <f>IFERROR(__xludf.DUMMYFUNCTION("""COMPUTED_VALUE"""),"La Vega")</f>
        <v>La Vega</v>
      </c>
      <c r="I1158" s="44" t="str">
        <f>IFERROR(__xludf.DUMMYFUNCTION("""COMPUTED_VALUE"""),"Listas con ubicación")</f>
        <v>Listas con ubicación</v>
      </c>
      <c r="J1158" s="44" t="str">
        <f>IFERROR(__xludf.DUMMYFUNCTION("""COMPUTED_VALUE"""),"")</f>
        <v/>
      </c>
      <c r="K1158" s="42" t="str">
        <f>IFERROR(__xludf.DUMMYFUNCTION("""COMPUTED_VALUE"""),"La Guaira Sin Hospital")</f>
        <v>La Guaira Sin Hospital</v>
      </c>
    </row>
    <row r="1159">
      <c r="A1159" s="44">
        <v>1158.0</v>
      </c>
      <c r="B1159" s="44" t="str">
        <f>IFERROR(__xludf.DUMMYFUNCTION("""COMPUTED_VALUE"""),"Hospital Vargas de Caracas")</f>
        <v>Hospital Vargas de Caracas</v>
      </c>
      <c r="C1159" s="45" t="str">
        <f>IFERROR(__xludf.DUMMYFUNCTION("""COMPUTED_VALUE"""),"ALLEN SAMUEL")</f>
        <v>ALLEN SAMUEL</v>
      </c>
      <c r="D1159" s="44" t="str">
        <f>IFERROR(__xludf.DUMMYFUNCTION("""COMPUTED_VALUE""")," ")</f>
        <v> </v>
      </c>
      <c r="E1159" s="44" t="str">
        <f>IFERROR(__xludf.DUMMYFUNCTION("""COMPUTED_VALUE"""),"")</f>
        <v/>
      </c>
      <c r="F1159" s="44" t="str">
        <f>IFERROR(__xludf.DUMMYFUNCTION("""COMPUTED_VALUE""")," ")</f>
        <v> </v>
      </c>
      <c r="G1159" s="44" t="str">
        <f>IFERROR(__xludf.DUMMYFUNCTION("""COMPUTED_VALUE"""),"")</f>
        <v/>
      </c>
      <c r="H1159" s="44" t="str">
        <f>IFERROR(__xludf.DUMMYFUNCTION("""COMPUTED_VALUE""")," ")</f>
        <v> </v>
      </c>
      <c r="I1159" s="44" t="str">
        <f>IFERROR(__xludf.DUMMYFUNCTION("""COMPUTED_VALUE""")," ")</f>
        <v> </v>
      </c>
      <c r="J1159" s="44" t="str">
        <f>IFERROR(__xludf.DUMMYFUNCTION("""COMPUTED_VALUE"""),"")</f>
        <v/>
      </c>
      <c r="K1159" s="42" t="str">
        <f>IFERROR(__xludf.DUMMYFUNCTION("""COMPUTED_VALUE"""),"Hospital Vargas de Caracas")</f>
        <v>Hospital Vargas de Caracas</v>
      </c>
    </row>
    <row r="1160">
      <c r="A1160" s="44">
        <v>1159.0</v>
      </c>
      <c r="B1160" s="44" t="str">
        <f>IFERROR(__xludf.DUMMYFUNCTION("""COMPUTED_VALUE"""),"Hospital Pérez Carreño")</f>
        <v>Hospital Pérez Carreño</v>
      </c>
      <c r="C1160" s="45" t="str">
        <f>IFERROR(__xludf.DUMMYFUNCTION("""COMPUTED_VALUE"""),"ALONZO ISABEL")</f>
        <v>ALONZO ISABEL</v>
      </c>
      <c r="D1160" s="44" t="str">
        <f>IFERROR(__xludf.DUMMYFUNCTION("""COMPUTED_VALUE""")," ")</f>
        <v> </v>
      </c>
      <c r="E1160" s="44" t="str">
        <f>IFERROR(__xludf.DUMMYFUNCTION("""COMPUTED_VALUE"""),"")</f>
        <v/>
      </c>
      <c r="F1160" s="44" t="str">
        <f>IFERROR(__xludf.DUMMYFUNCTION("""COMPUTED_VALUE"""),"")</f>
        <v/>
      </c>
      <c r="G1160" s="44" t="str">
        <f>IFERROR(__xludf.DUMMYFUNCTION("""COMPUTED_VALUE""")," ")</f>
        <v> </v>
      </c>
      <c r="H1160" s="44" t="str">
        <f>IFERROR(__xludf.DUMMYFUNCTION("""COMPUTED_VALUE""")," ")</f>
        <v> </v>
      </c>
      <c r="I1160" s="44" t="str">
        <f>IFERROR(__xludf.DUMMYFUNCTION("""COMPUTED_VALUE"""),"Traumachok – Neurocirugía; La Guaira")</f>
        <v>Traumachok – Neurocirugía; La Guaira</v>
      </c>
      <c r="J1160" s="44" t="str">
        <f>IFERROR(__xludf.DUMMYFUNCTION("""COMPUTED_VALUE"""),"25/06/2026")</f>
        <v>25/06/2026</v>
      </c>
      <c r="K1160" s="42" t="str">
        <f>IFERROR(__xludf.DUMMYFUNCTION("""COMPUTED_VALUE"""),"Hospital Pérez Carreño")</f>
        <v>Hospital Pérez Carreño</v>
      </c>
    </row>
    <row r="1161">
      <c r="A1161" s="44">
        <v>1160.0</v>
      </c>
      <c r="B1161" s="44" t="str">
        <f>IFERROR(__xludf.DUMMYFUNCTION("""COMPUTED_VALUE"""),"Hospital Pérez Carreño")</f>
        <v>Hospital Pérez Carreño</v>
      </c>
      <c r="C1161" s="45" t="str">
        <f>IFERROR(__xludf.DUMMYFUNCTION("""COMPUTED_VALUE"""),"ALONZO OROPEZA ERIKA MANUELA")</f>
        <v>ALONZO OROPEZA ERIKA MANUELA</v>
      </c>
      <c r="D1161" s="44" t="str">
        <f>IFERROR(__xludf.DUMMYFUNCTION("""COMPUTED_VALUE""")," ")</f>
        <v> </v>
      </c>
      <c r="E1161" s="44" t="str">
        <f>IFERROR(__xludf.DUMMYFUNCTION("""COMPUTED_VALUE"""),"")</f>
        <v/>
      </c>
      <c r="F1161" s="44" t="str">
        <f>IFERROR(__xludf.DUMMYFUNCTION("""COMPUTED_VALUE"""),"")</f>
        <v/>
      </c>
      <c r="G1161" s="44" t="str">
        <f>IFERROR(__xludf.DUMMYFUNCTION("""COMPUTED_VALUE""")," ")</f>
        <v> </v>
      </c>
      <c r="H1161" s="44" t="str">
        <f>IFERROR(__xludf.DUMMYFUNCTION("""COMPUTED_VALUE""")," ")</f>
        <v> </v>
      </c>
      <c r="I1161" s="44" t="str">
        <f>IFERROR(__xludf.DUMMYFUNCTION("""COMPUTED_VALUE"""),"Internado")</f>
        <v>Internado</v>
      </c>
      <c r="J1161" s="44" t="str">
        <f>IFERROR(__xludf.DUMMYFUNCTION("""COMPUTED_VALUE"""),"25/06/2026")</f>
        <v>25/06/2026</v>
      </c>
      <c r="K1161" s="42" t="str">
        <f>IFERROR(__xludf.DUMMYFUNCTION("""COMPUTED_VALUE"""),"Hospital Pérez Carreño")</f>
        <v>Hospital Pérez Carreño</v>
      </c>
    </row>
    <row r="1162">
      <c r="A1162" s="44">
        <v>1161.0</v>
      </c>
      <c r="B1162" s="44" t="str">
        <f>IFERROR(__xludf.DUMMYFUNCTION("""COMPUTED_VALUE"""),"La Guaira Sin Hospital")</f>
        <v>La Guaira Sin Hospital</v>
      </c>
      <c r="C1162" s="45" t="str">
        <f>IFERROR(__xludf.DUMMYFUNCTION("""COMPUTED_VALUE"""),"Alonzo Oropeza Erika Marvulo")</f>
        <v>Alonzo Oropeza Erika Marvulo</v>
      </c>
      <c r="D1162" s="44" t="str">
        <f>IFERROR(__xludf.DUMMYFUNCTION("""COMPUTED_VALUE"""),"")</f>
        <v/>
      </c>
      <c r="E1162" s="44" t="str">
        <f>IFERROR(__xludf.DUMMYFUNCTION("""COMPUTED_VALUE"""),"")</f>
        <v/>
      </c>
      <c r="F1162" s="44" t="str">
        <f>IFERROR(__xludf.DUMMYFUNCTION("""COMPUTED_VALUE"""),"")</f>
        <v/>
      </c>
      <c r="G1162" s="44" t="str">
        <f>IFERROR(__xludf.DUMMYFUNCTION("""COMPUTED_VALUE"""),"")</f>
        <v/>
      </c>
      <c r="H1162" s="44"/>
      <c r="I1162" s="44" t="str">
        <f>IFERROR(__xludf.DUMMYFUNCTION("""COMPUTED_VALUE"""),"Listas solo con nombre")</f>
        <v>Listas solo con nombre</v>
      </c>
      <c r="J1162" s="44" t="str">
        <f>IFERROR(__xludf.DUMMYFUNCTION("""COMPUTED_VALUE"""),"")</f>
        <v/>
      </c>
      <c r="K1162" s="42" t="str">
        <f>IFERROR(__xludf.DUMMYFUNCTION("""COMPUTED_VALUE"""),"La Guaira Sin Hospital")</f>
        <v>La Guaira Sin Hospital</v>
      </c>
    </row>
    <row r="1163">
      <c r="A1163" s="44">
        <v>1162.0</v>
      </c>
      <c r="B1163" s="44" t="str">
        <f>IFERROR(__xludf.DUMMYFUNCTION("""COMPUTED_VALUE"""),"Hospital Pérez Carreño")</f>
        <v>Hospital Pérez Carreño</v>
      </c>
      <c r="C1163" s="45" t="str">
        <f>IFERROR(__xludf.DUMMYFUNCTION("""COMPUTED_VALUE"""),"ALOURO ISABEL")</f>
        <v>ALOURO ISABEL</v>
      </c>
      <c r="D1163" s="44" t="str">
        <f>IFERROR(__xludf.DUMMYFUNCTION("""COMPUTED_VALUE""")," ")</f>
        <v> </v>
      </c>
      <c r="E1163" s="44" t="str">
        <f>IFERROR(__xludf.DUMMYFUNCTION("""COMPUTED_VALUE"""),"")</f>
        <v/>
      </c>
      <c r="F1163" s="44" t="str">
        <f>IFERROR(__xludf.DUMMYFUNCTION("""COMPUTED_VALUE"""),"")</f>
        <v/>
      </c>
      <c r="G1163" s="44" t="str">
        <f>IFERROR(__xludf.DUMMYFUNCTION("""COMPUTED_VALUE""")," ")</f>
        <v> </v>
      </c>
      <c r="H1163" s="44" t="str">
        <f>IFERROR(__xludf.DUMMYFUNCTION("""COMPUTED_VALUE""")," ")</f>
        <v> </v>
      </c>
      <c r="I1163" s="44" t="str">
        <f>IFERROR(__xludf.DUMMYFUNCTION("""COMPUTED_VALUE"""),"Traumashock")</f>
        <v>Traumashock</v>
      </c>
      <c r="J1163" s="44" t="str">
        <f>IFERROR(__xludf.DUMMYFUNCTION("""COMPUTED_VALUE"""),"25/06/2026")</f>
        <v>25/06/2026</v>
      </c>
      <c r="K1163" s="42" t="str">
        <f>IFERROR(__xludf.DUMMYFUNCTION("""COMPUTED_VALUE"""),"Hospital Pérez Carreño")</f>
        <v>Hospital Pérez Carreño</v>
      </c>
    </row>
    <row r="1164">
      <c r="A1164" s="44">
        <v>1163.0</v>
      </c>
      <c r="B1164" s="44" t="str">
        <f>IFERROR(__xludf.DUMMYFUNCTION("""COMPUTED_VALUE"""),"H. Jose Maria Vargas LG")</f>
        <v>H. Jose Maria Vargas LG</v>
      </c>
      <c r="C1164" s="45" t="str">
        <f>IFERROR(__xludf.DUMMYFUNCTION("""COMPUTED_VALUE"""),"ALTRA MORENO")</f>
        <v>ALTRA MORENO</v>
      </c>
      <c r="D1164" s="44">
        <f>IFERROR(__xludf.DUMMYFUNCTION("""COMPUTED_VALUE"""),80.0)</f>
        <v>80</v>
      </c>
      <c r="E1164" s="44" t="str">
        <f>IFERROR(__xludf.DUMMYFUNCTION("""COMPUTED_VALUE"""),"")</f>
        <v/>
      </c>
      <c r="F1164" s="44" t="str">
        <f>IFERROR(__xludf.DUMMYFUNCTION("""COMPUTED_VALUE"""),"")</f>
        <v/>
      </c>
      <c r="G1164" s="44" t="str">
        <f>IFERROR(__xludf.DUMMYFUNCTION("""COMPUTED_VALUE""")," ")</f>
        <v> </v>
      </c>
      <c r="H1164" s="44" t="str">
        <f>IFERROR(__xludf.DUMMYFUNCTION("""COMPUTED_VALUE"""),"Caribe")</f>
        <v>Caribe</v>
      </c>
      <c r="I1164" s="44" t="str">
        <f>IFERROR(__xludf.DUMMYFUNCTION("""COMPUTED_VALUE""")," ")</f>
        <v> </v>
      </c>
      <c r="J1164" s="44" t="str">
        <f>IFERROR(__xludf.DUMMYFUNCTION("""COMPUTED_VALUE"""),"")</f>
        <v/>
      </c>
      <c r="K1164" s="42" t="str">
        <f>IFERROR(__xludf.DUMMYFUNCTION("""COMPUTED_VALUE"""),"H. Jose Maria Vargas LG")</f>
        <v>H. Jose Maria Vargas LG</v>
      </c>
    </row>
    <row r="1165">
      <c r="A1165" s="44">
        <v>1164.0</v>
      </c>
      <c r="B1165" s="44" t="str">
        <f>IFERROR(__xludf.DUMMYFUNCTION("""COMPUTED_VALUE"""),"Hospital Pérez Carreño")</f>
        <v>Hospital Pérez Carreño</v>
      </c>
      <c r="C1165" s="45" t="str">
        <f>IFERROR(__xludf.DUMMYFUNCTION("""COMPUTED_VALUE"""),"Alvarado Contrera Yorgyn Andres")</f>
        <v>Alvarado Contrera Yorgyn Andres</v>
      </c>
      <c r="D1165" s="44"/>
      <c r="E1165" s="44" t="str">
        <f>IFERROR(__xludf.DUMMYFUNCTION("""COMPUTED_VALUE"""),"")</f>
        <v/>
      </c>
      <c r="F1165" s="44" t="str">
        <f>IFERROR(__xludf.DUMMYFUNCTION("""COMPUTED_VALUE"""),"")</f>
        <v/>
      </c>
      <c r="G1165" s="44" t="str">
        <f>IFERROR(__xludf.DUMMYFUNCTION("""COMPUTED_VALUE"""),"Traslados con destino asignado")</f>
        <v>Traslados con destino asignado</v>
      </c>
      <c r="H1165" s="44" t="str">
        <f>IFERROR(__xludf.DUMMYFUNCTION("""COMPUTED_VALUE"""),"Hospital Miguel Perez Carreño")</f>
        <v>Hospital Miguel Perez Carreño</v>
      </c>
      <c r="I1165" s="44"/>
      <c r="J1165" s="44" t="str">
        <f>IFERROR(__xludf.DUMMYFUNCTION("""COMPUTED_VALUE"""),"26/6/26")</f>
        <v>26/6/26</v>
      </c>
      <c r="K1165" s="42" t="str">
        <f>IFERROR(__xludf.DUMMYFUNCTION("""COMPUTED_VALUE"""),"Hospital Pérez Carreño")</f>
        <v>Hospital Pérez Carreño</v>
      </c>
    </row>
    <row r="1166">
      <c r="A1166" s="44">
        <v>1165.0</v>
      </c>
      <c r="B1166" s="44" t="str">
        <f>IFERROR(__xludf.DUMMYFUNCTION("""COMPUTED_VALUE"""),"Cruz Roja")</f>
        <v>Cruz Roja</v>
      </c>
      <c r="C1166" s="45" t="str">
        <f>IFERROR(__xludf.DUMMYFUNCTION("""COMPUTED_VALUE"""),"ALVARADO NAIROBIS")</f>
        <v>ALVARADO NAIROBIS</v>
      </c>
      <c r="D1166" s="44">
        <f>IFERROR(__xludf.DUMMYFUNCTION("""COMPUTED_VALUE"""),32.0)</f>
        <v>32</v>
      </c>
      <c r="E1166" s="44" t="str">
        <f>IFERROR(__xludf.DUMMYFUNCTION("""COMPUTED_VALUE"""),"")</f>
        <v/>
      </c>
      <c r="F1166" s="44" t="str">
        <f>IFERROR(__xludf.DUMMYFUNCTION("""COMPUTED_VALUE"""),"")</f>
        <v/>
      </c>
      <c r="G1166" s="44">
        <f>IFERROR(__xludf.DUMMYFUNCTION("""COMPUTED_VALUE"""),2.2262602E7)</f>
        <v>22262602</v>
      </c>
      <c r="H1166" s="44" t="str">
        <f>IFERROR(__xludf.DUMMYFUNCTION("""COMPUTED_VALUE"""),"Barquisimeto")</f>
        <v>Barquisimeto</v>
      </c>
      <c r="I1166" s="44" t="str">
        <f>IFERROR(__xludf.DUMMYFUNCTION("""COMPUTED_VALUE""")," ")</f>
        <v> </v>
      </c>
      <c r="J1166" s="44" t="str">
        <f>IFERROR(__xludf.DUMMYFUNCTION("""COMPUTED_VALUE"""),"")</f>
        <v/>
      </c>
      <c r="K1166" s="42" t="str">
        <f>IFERROR(__xludf.DUMMYFUNCTION("""COMPUTED_VALUE"""),"Cruz Roja")</f>
        <v>Cruz Roja</v>
      </c>
    </row>
    <row r="1167">
      <c r="A1167" s="44">
        <v>1166.0</v>
      </c>
      <c r="B1167" s="44" t="str">
        <f>IFERROR(__xludf.DUMMYFUNCTION("""COMPUTED_VALUE"""),"H. Jose Maria Vargas LG")</f>
        <v>H. Jose Maria Vargas LG</v>
      </c>
      <c r="C1167" s="45" t="str">
        <f>IFERROR(__xludf.DUMMYFUNCTION("""COMPUTED_VALUE"""),"ALVAREZ JOSUE")</f>
        <v>ALVAREZ JOSUE</v>
      </c>
      <c r="D1167" s="44">
        <f>IFERROR(__xludf.DUMMYFUNCTION("""COMPUTED_VALUE"""),42.0)</f>
        <v>42</v>
      </c>
      <c r="E1167" s="44" t="str">
        <f>IFERROR(__xludf.DUMMYFUNCTION("""COMPUTED_VALUE"""),"")</f>
        <v/>
      </c>
      <c r="F1167" s="44" t="str">
        <f>IFERROR(__xludf.DUMMYFUNCTION("""COMPUTED_VALUE"""),"")</f>
        <v/>
      </c>
      <c r="G1167" s="44" t="str">
        <f>IFERROR(__xludf.DUMMYFUNCTION("""COMPUTED_VALUE""")," ")</f>
        <v> </v>
      </c>
      <c r="H1167" s="44" t="str">
        <f>IFERROR(__xludf.DUMMYFUNCTION("""COMPUTED_VALUE""")," ")</f>
        <v> </v>
      </c>
      <c r="I1167" s="44" t="str">
        <f>IFERROR(__xludf.DUMMYFUNCTION("""COMPUTED_VALUE"""),"Internado")</f>
        <v>Internado</v>
      </c>
      <c r="J1167" s="44" t="str">
        <f>IFERROR(__xludf.DUMMYFUNCTION("""COMPUTED_VALUE"""),"")</f>
        <v/>
      </c>
      <c r="K1167" s="42" t="str">
        <f>IFERROR(__xludf.DUMMYFUNCTION("""COMPUTED_VALUE"""),"H. Jose Maria Vargas LG")</f>
        <v>H. Jose Maria Vargas LG</v>
      </c>
    </row>
    <row r="1168">
      <c r="A1168" s="44">
        <v>1167.0</v>
      </c>
      <c r="B1168" s="44" t="str">
        <f>IFERROR(__xludf.DUMMYFUNCTION("""COMPUTED_VALUE"""),"Hospital Dr. José Gregorio Hern")</f>
        <v>Hospital Dr. José Gregorio Hern</v>
      </c>
      <c r="C1168" s="45" t="str">
        <f>IFERROR(__xludf.DUMMYFUNCTION("""COMPUTED_VALUE"""),"ALVAREZ ROSA")</f>
        <v>ALVAREZ ROSA</v>
      </c>
      <c r="D1168" s="44">
        <f>IFERROR(__xludf.DUMMYFUNCTION("""COMPUTED_VALUE"""),70.0)</f>
        <v>70</v>
      </c>
      <c r="E1168" s="44" t="str">
        <f>IFERROR(__xludf.DUMMYFUNCTION("""COMPUTED_VALUE"""),"")</f>
        <v/>
      </c>
      <c r="F1168" s="44" t="str">
        <f>IFERROR(__xludf.DUMMYFUNCTION("""COMPUTED_VALUE"""),"")</f>
        <v/>
      </c>
      <c r="G1168" s="44" t="str">
        <f>IFERROR(__xludf.DUMMYFUNCTION("""COMPUTED_VALUE""")," ")</f>
        <v> </v>
      </c>
      <c r="H1168" s="44" t="str">
        <f>IFERROR(__xludf.DUMMYFUNCTION("""COMPUTED_VALUE"""),"Catia")</f>
        <v>Catia</v>
      </c>
      <c r="I1168" s="44" t="str">
        <f>IFERROR(__xludf.DUMMYFUNCTION("""COMPUTED_VALUE""")," ")</f>
        <v> </v>
      </c>
      <c r="J1168" s="44" t="str">
        <f>IFERROR(__xludf.DUMMYFUNCTION("""COMPUTED_VALUE"""),"")</f>
        <v/>
      </c>
      <c r="K1168" s="42" t="str">
        <f>IFERROR(__xludf.DUMMYFUNCTION("""COMPUTED_VALUE"""),"Hospital Dr. José Gregorio Hern")</f>
        <v>Hospital Dr. José Gregorio Hern</v>
      </c>
    </row>
    <row r="1169">
      <c r="A1169" s="44">
        <v>1168.0</v>
      </c>
      <c r="B1169" s="44" t="str">
        <f>IFERROR(__xludf.DUMMYFUNCTION("""COMPUTED_VALUE"""),"Hospital Domingo Luciani")</f>
        <v>Hospital Domingo Luciani</v>
      </c>
      <c r="C1169" s="45" t="str">
        <f>IFERROR(__xludf.DUMMYFUNCTION("""COMPUTED_VALUE"""),"Ama Hilders")</f>
        <v>Ama Hilders</v>
      </c>
      <c r="D1169" s="44">
        <f>IFERROR(__xludf.DUMMYFUNCTION("""COMPUTED_VALUE"""),1.0)</f>
        <v>1</v>
      </c>
      <c r="E1169" s="44" t="str">
        <f>IFERROR(__xludf.DUMMYFUNCTION("""COMPUTED_VALUE"""),"")</f>
        <v/>
      </c>
      <c r="F1169" s="44" t="str">
        <f>IFERROR(__xludf.DUMMYFUNCTION("""COMPUTED_VALUE"""),"")</f>
        <v/>
      </c>
      <c r="G1169" s="44"/>
      <c r="H1169" s="44"/>
      <c r="I1169" s="44"/>
      <c r="J1169" s="44" t="str">
        <f>IFERROR(__xludf.DUMMYFUNCTION("""COMPUTED_VALUE"""),"")</f>
        <v/>
      </c>
      <c r="K1169" s="42" t="str">
        <f>IFERROR(__xludf.DUMMYFUNCTION("""COMPUTED_VALUE"""),"Hospital Domingo Luciani")</f>
        <v>Hospital Domingo Luciani</v>
      </c>
    </row>
    <row r="1170">
      <c r="A1170" s="44">
        <v>1169.0</v>
      </c>
      <c r="B1170" s="44" t="str">
        <f>IFERROR(__xludf.DUMMYFUNCTION("""COMPUTED_VALUE"""),"Campo de Golf Playa los Cocos")</f>
        <v>Campo de Golf Playa los Cocos</v>
      </c>
      <c r="C1170" s="45" t="str">
        <f>IFERROR(__xludf.DUMMYFUNCTION("""COMPUTED_VALUE"""),"Amairo Figuera")</f>
        <v>Amairo Figuera</v>
      </c>
      <c r="D1170" s="44" t="str">
        <f>IFERROR(__xludf.DUMMYFUNCTION("""COMPUTED_VALUE"""),"")</f>
        <v/>
      </c>
      <c r="E1170" s="44" t="str">
        <f>IFERROR(__xludf.DUMMYFUNCTION("""COMPUTED_VALUE"""),"")</f>
        <v/>
      </c>
      <c r="F1170" s="44" t="str">
        <f>IFERROR(__xludf.DUMMYFUNCTION("""COMPUTED_VALUE"""),"")</f>
        <v/>
      </c>
      <c r="G1170" s="44" t="str">
        <f>IFERROR(__xludf.DUMMYFUNCTION("""COMPUTED_VALUE"""),"")</f>
        <v/>
      </c>
      <c r="H1170" s="44" t="str">
        <f>IFERROR(__xludf.DUMMYFUNCTION("""COMPUTED_VALUE"""),"")</f>
        <v/>
      </c>
      <c r="I1170" s="44"/>
      <c r="J1170" s="44" t="str">
        <f>IFERROR(__xludf.DUMMYFUNCTION("""COMPUTED_VALUE"""),"")</f>
        <v/>
      </c>
      <c r="K1170" s="42" t="str">
        <f>IFERROR(__xludf.DUMMYFUNCTION("""COMPUTED_VALUE"""),"Campo de Golf Playa los Cocos")</f>
        <v>Campo de Golf Playa los Cocos</v>
      </c>
    </row>
    <row r="1171">
      <c r="A1171" s="44">
        <v>1170.0</v>
      </c>
      <c r="B1171" s="44" t="str">
        <f>IFERROR(__xludf.DUMMYFUNCTION("""COMPUTED_VALUE"""),"Hospital Domingo Luciani")</f>
        <v>Hospital Domingo Luciani</v>
      </c>
      <c r="C1171" s="45" t="str">
        <f>IFERROR(__xludf.DUMMYFUNCTION("""COMPUTED_VALUE"""),"Amaldo Cordova")</f>
        <v>Amaldo Cordova</v>
      </c>
      <c r="D1171" s="44">
        <f>IFERROR(__xludf.DUMMYFUNCTION("""COMPUTED_VALUE"""),19.0)</f>
        <v>19</v>
      </c>
      <c r="E1171" s="44" t="str">
        <f>IFERROR(__xludf.DUMMYFUNCTION("""COMPUTED_VALUE"""),"")</f>
        <v/>
      </c>
      <c r="F1171" s="44" t="str">
        <f>IFERROR(__xludf.DUMMYFUNCTION("""COMPUTED_VALUE"""),"")</f>
        <v/>
      </c>
      <c r="G1171" s="44"/>
      <c r="H1171" s="44"/>
      <c r="I1171" s="44"/>
      <c r="J1171" s="44" t="str">
        <f>IFERROR(__xludf.DUMMYFUNCTION("""COMPUTED_VALUE"""),"")</f>
        <v/>
      </c>
      <c r="K1171" s="42" t="str">
        <f>IFERROR(__xludf.DUMMYFUNCTION("""COMPUTED_VALUE"""),"Hospital Domingo Luciani")</f>
        <v>Hospital Domingo Luciani</v>
      </c>
    </row>
    <row r="1172">
      <c r="A1172" s="44">
        <v>1171.0</v>
      </c>
      <c r="B1172" s="44" t="str">
        <f>IFERROR(__xludf.DUMMYFUNCTION("""COMPUTED_VALUE"""),"Seguro Social La Guaira")</f>
        <v>Seguro Social La Guaira</v>
      </c>
      <c r="C1172" s="45" t="str">
        <f>IFERROR(__xludf.DUMMYFUNCTION("""COMPUTED_VALUE"""),"AMARENA MACHADO")</f>
        <v>AMARENA MACHADO</v>
      </c>
      <c r="D1172" s="44">
        <f>IFERROR(__xludf.DUMMYFUNCTION("""COMPUTED_VALUE"""),9.0)</f>
        <v>9</v>
      </c>
      <c r="E1172" s="44" t="str">
        <f>IFERROR(__xludf.DUMMYFUNCTION("""COMPUTED_VALUE"""),"")</f>
        <v/>
      </c>
      <c r="F1172" s="44" t="str">
        <f>IFERROR(__xludf.DUMMYFUNCTION("""COMPUTED_VALUE"""),"")</f>
        <v/>
      </c>
      <c r="G1172" s="44" t="str">
        <f>IFERROR(__xludf.DUMMYFUNCTION("""COMPUTED_VALUE""")," ")</f>
        <v> </v>
      </c>
      <c r="H1172" s="44" t="str">
        <f>IFERROR(__xludf.DUMMYFUNCTION("""COMPUTED_VALUE"""),"Torre A Altsumma")</f>
        <v>Torre A Altsumma</v>
      </c>
      <c r="I1172" s="44" t="str">
        <f>IFERROR(__xludf.DUMMYFUNCTION("""COMPUTED_VALUE""")," ")</f>
        <v> </v>
      </c>
      <c r="J1172" s="44" t="str">
        <f>IFERROR(__xludf.DUMMYFUNCTION("""COMPUTED_VALUE"""),"")</f>
        <v/>
      </c>
      <c r="K1172" s="42" t="str">
        <f>IFERROR(__xludf.DUMMYFUNCTION("""COMPUTED_VALUE"""),"Seguro Social La Guaira")</f>
        <v>Seguro Social La Guaira</v>
      </c>
    </row>
    <row r="1173">
      <c r="A1173" s="44">
        <v>1172.0</v>
      </c>
      <c r="B1173" s="44" t="str">
        <f>IFERROR(__xludf.DUMMYFUNCTION("""COMPUTED_VALUE"""),"Campo de Golf Playa los Cocos")</f>
        <v>Campo de Golf Playa los Cocos</v>
      </c>
      <c r="C1173" s="45" t="str">
        <f>IFERROR(__xludf.DUMMYFUNCTION("""COMPUTED_VALUE"""),"Ambar Figuera")</f>
        <v>Ambar Figuera</v>
      </c>
      <c r="D1173" s="44" t="str">
        <f>IFERROR(__xludf.DUMMYFUNCTION("""COMPUTED_VALUE"""),"")</f>
        <v/>
      </c>
      <c r="E1173" s="44" t="str">
        <f>IFERROR(__xludf.DUMMYFUNCTION("""COMPUTED_VALUE"""),"")</f>
        <v/>
      </c>
      <c r="F1173" s="44" t="str">
        <f>IFERROR(__xludf.DUMMYFUNCTION("""COMPUTED_VALUE"""),"")</f>
        <v/>
      </c>
      <c r="G1173" s="44" t="str">
        <f>IFERROR(__xludf.DUMMYFUNCTION("""COMPUTED_VALUE"""),"")</f>
        <v/>
      </c>
      <c r="H1173" s="44" t="str">
        <f>IFERROR(__xludf.DUMMYFUNCTION("""COMPUTED_VALUE"""),"")</f>
        <v/>
      </c>
      <c r="I1173" s="44"/>
      <c r="J1173" s="44" t="str">
        <f>IFERROR(__xludf.DUMMYFUNCTION("""COMPUTED_VALUE"""),"")</f>
        <v/>
      </c>
      <c r="K1173" s="42" t="str">
        <f>IFERROR(__xludf.DUMMYFUNCTION("""COMPUTED_VALUE"""),"Campo de Golf Playa los Cocos")</f>
        <v>Campo de Golf Playa los Cocos</v>
      </c>
    </row>
    <row r="1174">
      <c r="A1174" s="44">
        <v>1173.0</v>
      </c>
      <c r="B1174" s="44" t="str">
        <f>IFERROR(__xludf.DUMMYFUNCTION("""COMPUTED_VALUE"""),"Hospital Vargas de Caracas")</f>
        <v>Hospital Vargas de Caracas</v>
      </c>
      <c r="C1174" s="45" t="str">
        <f>IFERROR(__xludf.DUMMYFUNCTION("""COMPUTED_VALUE"""),"America Leal")</f>
        <v>America Leal</v>
      </c>
      <c r="D1174" s="44"/>
      <c r="E1174" s="44" t="str">
        <f>IFERROR(__xludf.DUMMYFUNCTION("""COMPUTED_VALUE"""),"")</f>
        <v/>
      </c>
      <c r="F1174" s="44"/>
      <c r="G1174" s="44" t="str">
        <f>IFERROR(__xludf.DUMMYFUNCTION("""COMPUTED_VALUE"""),"")</f>
        <v/>
      </c>
      <c r="H1174" s="44"/>
      <c r="I1174" s="44" t="str">
        <f>IFERROR(__xludf.DUMMYFUNCTION("""COMPUTED_VALUE"""),"Nombre tomado de la pizarra de pacientes; no aparece en el formulario con C.I.")</f>
        <v>Nombre tomado de la pizarra de pacientes; no aparece en el formulario con C.I.</v>
      </c>
      <c r="J1174" s="44" t="str">
        <f>IFERROR(__xludf.DUMMYFUNCTION("""COMPUTED_VALUE"""),"")</f>
        <v/>
      </c>
      <c r="K1174" s="42" t="str">
        <f>IFERROR(__xludf.DUMMYFUNCTION("""COMPUTED_VALUE"""),"Hospital Vargas de Caracas")</f>
        <v>Hospital Vargas de Caracas</v>
      </c>
    </row>
    <row r="1175">
      <c r="A1175" s="44">
        <v>1174.0</v>
      </c>
      <c r="B1175" s="44" t="str">
        <f>IFERROR(__xludf.DUMMYFUNCTION("""COMPUTED_VALUE"""),"HOSPITAL VARGAS")</f>
        <v>HOSPITAL VARGAS</v>
      </c>
      <c r="C1175" s="45" t="str">
        <f>IFERROR(__xludf.DUMMYFUNCTION("""COMPUTED_VALUE"""),"América Leal")</f>
        <v>América Leal</v>
      </c>
      <c r="D1175" s="44"/>
      <c r="E1175" s="44" t="str">
        <f>IFERROR(__xludf.DUMMYFUNCTION("""COMPUTED_VALUE"""),"")</f>
        <v/>
      </c>
      <c r="F1175" s="44" t="str">
        <f>IFERROR(__xludf.DUMMYFUNCTION("""COMPUTED_VALUE"""),"")</f>
        <v/>
      </c>
      <c r="G1175" s="44" t="str">
        <f>IFERROR(__xludf.DUMMYFUNCTION("""COMPUTED_VALUE"""),"")</f>
        <v/>
      </c>
      <c r="H1175" s="44" t="str">
        <f>IFERROR(__xludf.DUMMYFUNCTION("""COMPUTED_VALUE"""),"")</f>
        <v/>
      </c>
      <c r="I1175" s="44" t="str">
        <f>IFERROR(__xludf.DUMMYFUNCTION("""COMPUTED_VALUE"""),"Herido / atendido")</f>
        <v>Herido / atendido</v>
      </c>
      <c r="J1175" s="44" t="str">
        <f>IFERROR(__xludf.DUMMYFUNCTION("""COMPUTED_VALUE"""),"24.06.2026 ")</f>
        <v>24.06.2026 </v>
      </c>
      <c r="K1175" s="42" t="str">
        <f>IFERROR(__xludf.DUMMYFUNCTION("""COMPUTED_VALUE"""),"HOSPITAL VARGAS")</f>
        <v>HOSPITAL VARGAS</v>
      </c>
    </row>
    <row r="1176">
      <c r="A1176" s="44">
        <v>1175.0</v>
      </c>
      <c r="B1176" s="44" t="str">
        <f>IFERROR(__xludf.DUMMYFUNCTION("""COMPUTED_VALUE"""),"Hospital Pérez Carreño")</f>
        <v>Hospital Pérez Carreño</v>
      </c>
      <c r="C1176" s="45" t="str">
        <f>IFERROR(__xludf.DUMMYFUNCTION("""COMPUTED_VALUE"""),"Amilka Estabilito")</f>
        <v>Amilka Estabilito</v>
      </c>
      <c r="D1176" s="44" t="str">
        <f>IFERROR(__xludf.DUMMYFUNCTION("""COMPUTED_VALUE"""),"64 años")</f>
        <v>64 años</v>
      </c>
      <c r="E1176" s="44" t="str">
        <f>IFERROR(__xludf.DUMMYFUNCTION("""COMPUTED_VALUE"""),"")</f>
        <v/>
      </c>
      <c r="F1176" s="44" t="str">
        <f>IFERROR(__xludf.DUMMYFUNCTION("""COMPUTED_VALUE"""),"")</f>
        <v/>
      </c>
      <c r="G1176" s="44" t="str">
        <f>IFERROR(__xludf.DUMMYFUNCTION("""COMPUTED_VALUE"""),"Traumashock")</f>
        <v>Traumashock</v>
      </c>
      <c r="H1176" s="44" t="str">
        <f>IFERROR(__xludf.DUMMYFUNCTION("""COMPUTED_VALUE"""),"Hospital Miguel Perez Carreño")</f>
        <v>Hospital Miguel Perez Carreño</v>
      </c>
      <c r="I1176" s="44"/>
      <c r="J1176" s="44" t="str">
        <f>IFERROR(__xludf.DUMMYFUNCTION("""COMPUTED_VALUE"""),"26/6/26")</f>
        <v>26/6/26</v>
      </c>
      <c r="K1176" s="42" t="str">
        <f>IFERROR(__xludf.DUMMYFUNCTION("""COMPUTED_VALUE"""),"Hospital Pérez Carreño")</f>
        <v>Hospital Pérez Carreño</v>
      </c>
    </row>
    <row r="1177">
      <c r="A1177" s="44">
        <v>1176.0</v>
      </c>
      <c r="B1177" s="44" t="str">
        <f>IFERROR(__xludf.DUMMYFUNCTION("""COMPUTED_VALUE"""),"Hospital Vargas de Caracas")</f>
        <v>Hospital Vargas de Caracas</v>
      </c>
      <c r="C1177" s="45" t="str">
        <f>IFERROR(__xludf.DUMMYFUNCTION("""COMPUTED_VALUE"""),"AMINTA AROA MORENO")</f>
        <v>AMINTA AROA MORENO</v>
      </c>
      <c r="D1177" s="44" t="str">
        <f>IFERROR(__xludf.DUMMYFUNCTION("""COMPUTED_VALUE""")," ")</f>
        <v> </v>
      </c>
      <c r="E1177" s="44" t="str">
        <f>IFERROR(__xludf.DUMMYFUNCTION("""COMPUTED_VALUE"""),"")</f>
        <v/>
      </c>
      <c r="F1177" s="44" t="str">
        <f>IFERROR(__xludf.DUMMYFUNCTION("""COMPUTED_VALUE""")," ")</f>
        <v> </v>
      </c>
      <c r="G1177" s="44" t="str">
        <f>IFERROR(__xludf.DUMMYFUNCTION("""COMPUTED_VALUE"""),"")</f>
        <v/>
      </c>
      <c r="H1177" s="44" t="str">
        <f>IFERROR(__xludf.DUMMYFUNCTION("""COMPUTED_VALUE"""),"Guaira")</f>
        <v>Guaira</v>
      </c>
      <c r="I1177" s="44" t="str">
        <f>IFERROR(__xludf.DUMMYFUNCTION("""COMPUTED_VALUE""")," ")</f>
        <v> </v>
      </c>
      <c r="J1177" s="44" t="str">
        <f>IFERROR(__xludf.DUMMYFUNCTION("""COMPUTED_VALUE"""),"")</f>
        <v/>
      </c>
      <c r="K1177" s="42" t="str">
        <f>IFERROR(__xludf.DUMMYFUNCTION("""COMPUTED_VALUE"""),"Hospital Vargas de Caracas")</f>
        <v>Hospital Vargas de Caracas</v>
      </c>
    </row>
    <row r="1178">
      <c r="A1178" s="44">
        <v>1177.0</v>
      </c>
      <c r="B1178" s="44" t="str">
        <f>IFERROR(__xludf.DUMMYFUNCTION("""COMPUTED_VALUE"""),"Seguro Social La Guaira")</f>
        <v>Seguro Social La Guaira</v>
      </c>
      <c r="C1178" s="45" t="str">
        <f>IFERROR(__xludf.DUMMYFUNCTION("""COMPUTED_VALUE"""),"AMIRA TUCMANI")</f>
        <v>AMIRA TUCMANI</v>
      </c>
      <c r="D1178" s="44">
        <f>IFERROR(__xludf.DUMMYFUNCTION("""COMPUTED_VALUE"""),2.0)</f>
        <v>2</v>
      </c>
      <c r="E1178" s="44" t="str">
        <f>IFERROR(__xludf.DUMMYFUNCTION("""COMPUTED_VALUE"""),"")</f>
        <v/>
      </c>
      <c r="F1178" s="44" t="str">
        <f>IFERROR(__xludf.DUMMYFUNCTION("""COMPUTED_VALUE"""),"")</f>
        <v/>
      </c>
      <c r="G1178" s="44" t="str">
        <f>IFERROR(__xludf.DUMMYFUNCTION("""COMPUTED_VALUE""")," ")</f>
        <v> </v>
      </c>
      <c r="H1178" s="44" t="str">
        <f>IFERROR(__xludf.DUMMYFUNCTION("""COMPUTED_VALUE"""),"Caraballeda")</f>
        <v>Caraballeda</v>
      </c>
      <c r="I1178" s="44" t="str">
        <f>IFERROR(__xludf.DUMMYFUNCTION("""COMPUTED_VALUE""")," ")</f>
        <v> </v>
      </c>
      <c r="J1178" s="44" t="str">
        <f>IFERROR(__xludf.DUMMYFUNCTION("""COMPUTED_VALUE"""),"")</f>
        <v/>
      </c>
      <c r="K1178" s="42" t="str">
        <f>IFERROR(__xludf.DUMMYFUNCTION("""COMPUTED_VALUE"""),"Seguro Social La Guaira")</f>
        <v>Seguro Social La Guaira</v>
      </c>
    </row>
    <row r="1179">
      <c r="A1179" s="44">
        <v>1178.0</v>
      </c>
      <c r="B1179" s="44" t="str">
        <f>IFERROR(__xludf.DUMMYFUNCTION("""COMPUTED_VALUE"""),"H. Jose Maria Vargas LG")</f>
        <v>H. Jose Maria Vargas LG</v>
      </c>
      <c r="C1179" s="45" t="str">
        <f>IFERROR(__xludf.DUMMYFUNCTION("""COMPUTED_VALUE"""),"AMUNDARAIN JOHANA")</f>
        <v>AMUNDARAIN JOHANA</v>
      </c>
      <c r="D1179" s="44" t="str">
        <f>IFERROR(__xludf.DUMMYFUNCTION("""COMPUTED_VALUE""")," ")</f>
        <v> </v>
      </c>
      <c r="E1179" s="44" t="str">
        <f>IFERROR(__xludf.DUMMYFUNCTION("""COMPUTED_VALUE"""),"")</f>
        <v/>
      </c>
      <c r="F1179" s="44" t="str">
        <f>IFERROR(__xludf.DUMMYFUNCTION("""COMPUTED_VALUE"""),"")</f>
        <v/>
      </c>
      <c r="G1179" s="44" t="str">
        <f>IFERROR(__xludf.DUMMYFUNCTION("""COMPUTED_VALUE""")," ")</f>
        <v> </v>
      </c>
      <c r="H1179" s="44" t="str">
        <f>IFERROR(__xludf.DUMMYFUNCTION("""COMPUTED_VALUE"""),"Caribe")</f>
        <v>Caribe</v>
      </c>
      <c r="I1179" s="44" t="str">
        <f>IFERROR(__xludf.DUMMYFUNCTION("""COMPUTED_VALUE""")," ")</f>
        <v> </v>
      </c>
      <c r="J1179" s="44" t="str">
        <f>IFERROR(__xludf.DUMMYFUNCTION("""COMPUTED_VALUE"""),"")</f>
        <v/>
      </c>
      <c r="K1179" s="42" t="str">
        <f>IFERROR(__xludf.DUMMYFUNCTION("""COMPUTED_VALUE"""),"H. Jose Maria Vargas LG")</f>
        <v>H. Jose Maria Vargas LG</v>
      </c>
    </row>
    <row r="1180">
      <c r="A1180" s="44">
        <v>1179.0</v>
      </c>
      <c r="B1180" s="44" t="str">
        <f>IFERROR(__xludf.DUMMYFUNCTION("""COMPUTED_VALUE"""),"H. Jose Maria Vargas LG")</f>
        <v>H. Jose Maria Vargas LG</v>
      </c>
      <c r="C1180" s="45" t="str">
        <f>IFERROR(__xludf.DUMMYFUNCTION("""COMPUTED_VALUE"""),"AMUNDARAIN SONIA")</f>
        <v>AMUNDARAIN SONIA</v>
      </c>
      <c r="D1180" s="44">
        <f>IFERROR(__xludf.DUMMYFUNCTION("""COMPUTED_VALUE"""),32.0)</f>
        <v>32</v>
      </c>
      <c r="E1180" s="44" t="str">
        <f>IFERROR(__xludf.DUMMYFUNCTION("""COMPUTED_VALUE"""),"")</f>
        <v/>
      </c>
      <c r="F1180" s="44" t="str">
        <f>IFERROR(__xludf.DUMMYFUNCTION("""COMPUTED_VALUE"""),"")</f>
        <v/>
      </c>
      <c r="G1180" s="44" t="str">
        <f>IFERROR(__xludf.DUMMYFUNCTION("""COMPUTED_VALUE""")," ")</f>
        <v> </v>
      </c>
      <c r="H1180" s="44" t="str">
        <f>IFERROR(__xludf.DUMMYFUNCTION("""COMPUTED_VALUE""")," ")</f>
        <v> </v>
      </c>
      <c r="I1180" s="44" t="str">
        <f>IFERROR(__xludf.DUMMYFUNCTION("""COMPUTED_VALUE""")," ")</f>
        <v> </v>
      </c>
      <c r="J1180" s="44" t="str">
        <f>IFERROR(__xludf.DUMMYFUNCTION("""COMPUTED_VALUE"""),"")</f>
        <v/>
      </c>
      <c r="K1180" s="42" t="str">
        <f>IFERROR(__xludf.DUMMYFUNCTION("""COMPUTED_VALUE"""),"H. Jose Maria Vargas LG")</f>
        <v>H. Jose Maria Vargas LG</v>
      </c>
    </row>
    <row r="1181">
      <c r="A1181" s="44">
        <v>1180.0</v>
      </c>
      <c r="B1181" s="44" t="str">
        <f>IFERROR(__xludf.DUMMYFUNCTION("""COMPUTED_VALUE"""),"Campo de Golf Playa los Cocos")</f>
        <v>Campo de Golf Playa los Cocos</v>
      </c>
      <c r="C1181" s="45" t="str">
        <f>IFERROR(__xludf.DUMMYFUNCTION("""COMPUTED_VALUE"""),"Ana Contreras")</f>
        <v>Ana Contreras</v>
      </c>
      <c r="D1181" s="44" t="str">
        <f>IFERROR(__xludf.DUMMYFUNCTION("""COMPUTED_VALUE"""),"")</f>
        <v/>
      </c>
      <c r="E1181" s="44" t="str">
        <f>IFERROR(__xludf.DUMMYFUNCTION("""COMPUTED_VALUE"""),"")</f>
        <v/>
      </c>
      <c r="F1181" s="44" t="str">
        <f>IFERROR(__xludf.DUMMYFUNCTION("""COMPUTED_VALUE"""),"")</f>
        <v/>
      </c>
      <c r="G1181" s="44" t="str">
        <f>IFERROR(__xludf.DUMMYFUNCTION("""COMPUTED_VALUE"""),"")</f>
        <v/>
      </c>
      <c r="H1181" s="44" t="str">
        <f>IFERROR(__xludf.DUMMYFUNCTION("""COMPUTED_VALUE"""),"")</f>
        <v/>
      </c>
      <c r="I1181" s="44"/>
      <c r="J1181" s="44" t="str">
        <f>IFERROR(__xludf.DUMMYFUNCTION("""COMPUTED_VALUE"""),"")</f>
        <v/>
      </c>
      <c r="K1181" s="42" t="str">
        <f>IFERROR(__xludf.DUMMYFUNCTION("""COMPUTED_VALUE"""),"Campo de Golf Playa los Cocos")</f>
        <v>Campo de Golf Playa los Cocos</v>
      </c>
    </row>
    <row r="1182">
      <c r="A1182" s="44">
        <v>1181.0</v>
      </c>
      <c r="B1182" s="44" t="str">
        <f>IFERROR(__xludf.DUMMYFUNCTION("""COMPUTED_VALUE"""),"Hospital Domingo Luciani")</f>
        <v>Hospital Domingo Luciani</v>
      </c>
      <c r="C1182" s="45" t="str">
        <f>IFERROR(__xludf.DUMMYFUNCTION("""COMPUTED_VALUE"""),"Ana Hildei")</f>
        <v>Ana Hildei</v>
      </c>
      <c r="D1182" s="44">
        <f>IFERROR(__xludf.DUMMYFUNCTION("""COMPUTED_VALUE"""),4.0)</f>
        <v>4</v>
      </c>
      <c r="E1182" s="44" t="str">
        <f>IFERROR(__xludf.DUMMYFUNCTION("""COMPUTED_VALUE"""),"")</f>
        <v/>
      </c>
      <c r="F1182" s="44" t="str">
        <f>IFERROR(__xludf.DUMMYFUNCTION("""COMPUTED_VALUE"""),"")</f>
        <v/>
      </c>
      <c r="G1182" s="44"/>
      <c r="H1182" s="44"/>
      <c r="I1182" s="44"/>
      <c r="J1182" s="44" t="str">
        <f>IFERROR(__xludf.DUMMYFUNCTION("""COMPUTED_VALUE"""),"")</f>
        <v/>
      </c>
      <c r="K1182" s="42" t="str">
        <f>IFERROR(__xludf.DUMMYFUNCTION("""COMPUTED_VALUE"""),"Hospital Domingo Luciani")</f>
        <v>Hospital Domingo Luciani</v>
      </c>
    </row>
    <row r="1183">
      <c r="A1183" s="44">
        <v>1182.0</v>
      </c>
      <c r="B1183" s="44" t="str">
        <f>IFERROR(__xludf.DUMMYFUNCTION("""COMPUTED_VALUE"""),"Periférico de Catia")</f>
        <v>Periférico de Catia</v>
      </c>
      <c r="C1183" s="45" t="str">
        <f>IFERROR(__xludf.DUMMYFUNCTION("""COMPUTED_VALUE"""),"Ana Hildert")</f>
        <v>Ana Hildert</v>
      </c>
      <c r="D1183" s="44">
        <f>IFERROR(__xludf.DUMMYFUNCTION("""COMPUTED_VALUE"""),4.0)</f>
        <v>4</v>
      </c>
      <c r="E1183" s="44" t="str">
        <f>IFERROR(__xludf.DUMMYFUNCTION("""COMPUTED_VALUE"""),"")</f>
        <v/>
      </c>
      <c r="F1183" s="44" t="str">
        <f>IFERROR(__xludf.DUMMYFUNCTION("""COMPUTED_VALUE"""),"")</f>
        <v/>
      </c>
      <c r="G1183" s="44"/>
      <c r="H1183" s="44" t="str">
        <f>IFERROR(__xludf.DUMMYFUNCTION("""COMPUTED_VALUE"""),"La Guaira")</f>
        <v>La Guaira</v>
      </c>
      <c r="I1183" s="44" t="str">
        <f>IFERROR(__xludf.DUMMYFUNCTION("""COMPUTED_VALUE"""),"Pediatria. Todos procedentes de La Guaira segun nota del 26/06 7:00am — en tomografia segun nota anterior")</f>
        <v>Pediatria. Todos procedentes de La Guaira segun nota del 26/06 7:00am — en tomografia segun nota anterior</v>
      </c>
      <c r="J1183" s="44" t="str">
        <f>IFERROR(__xludf.DUMMYFUNCTION("""COMPUTED_VALUE"""),"")</f>
        <v/>
      </c>
      <c r="K1183" s="42" t="str">
        <f>IFERROR(__xludf.DUMMYFUNCTION("""COMPUTED_VALUE"""),"Periférico de Catia")</f>
        <v>Periférico de Catia</v>
      </c>
    </row>
    <row r="1184">
      <c r="A1184" s="44">
        <v>1183.0</v>
      </c>
      <c r="B1184" s="44" t="str">
        <f>IFERROR(__xludf.DUMMYFUNCTION("""COMPUTED_VALUE"""),"Hospital Domingo Luciani")</f>
        <v>Hospital Domingo Luciani</v>
      </c>
      <c r="C1184" s="45" t="str">
        <f>IFERROR(__xludf.DUMMYFUNCTION("""COMPUTED_VALUE"""),"Ana Ibarra")</f>
        <v>Ana Ibarra</v>
      </c>
      <c r="D1184" s="44">
        <f>IFERROR(__xludf.DUMMYFUNCTION("""COMPUTED_VALUE"""),74.0)</f>
        <v>74</v>
      </c>
      <c r="E1184" s="44" t="str">
        <f>IFERROR(__xludf.DUMMYFUNCTION("""COMPUTED_VALUE"""),"")</f>
        <v/>
      </c>
      <c r="F1184" s="44" t="str">
        <f>IFERROR(__xludf.DUMMYFUNCTION("""COMPUTED_VALUE"""),"")</f>
        <v/>
      </c>
      <c r="G1184" s="44"/>
      <c r="H1184" s="44"/>
      <c r="I1184" s="44"/>
      <c r="J1184" s="44" t="str">
        <f>IFERROR(__xludf.DUMMYFUNCTION("""COMPUTED_VALUE"""),"")</f>
        <v/>
      </c>
      <c r="K1184" s="42" t="str">
        <f>IFERROR(__xludf.DUMMYFUNCTION("""COMPUTED_VALUE"""),"Hospital Domingo Luciani")</f>
        <v>Hospital Domingo Luciani</v>
      </c>
    </row>
    <row r="1185">
      <c r="A1185" s="44">
        <v>1184.0</v>
      </c>
      <c r="B1185" s="44" t="str">
        <f>IFERROR(__xludf.DUMMYFUNCTION("""COMPUTED_VALUE"""),"Campo de Golf Playa los Cocos")</f>
        <v>Campo de Golf Playa los Cocos</v>
      </c>
      <c r="C1185" s="45" t="str">
        <f>IFERROR(__xludf.DUMMYFUNCTION("""COMPUTED_VALUE"""),"Ana Salazar")</f>
        <v>Ana Salazar</v>
      </c>
      <c r="D1185" s="44" t="str">
        <f>IFERROR(__xludf.DUMMYFUNCTION("""COMPUTED_VALUE"""),"")</f>
        <v/>
      </c>
      <c r="E1185" s="44" t="str">
        <f>IFERROR(__xludf.DUMMYFUNCTION("""COMPUTED_VALUE"""),"")</f>
        <v/>
      </c>
      <c r="F1185" s="44" t="str">
        <f>IFERROR(__xludf.DUMMYFUNCTION("""COMPUTED_VALUE"""),"")</f>
        <v/>
      </c>
      <c r="G1185" s="44" t="str">
        <f>IFERROR(__xludf.DUMMYFUNCTION("""COMPUTED_VALUE"""),"")</f>
        <v/>
      </c>
      <c r="H1185" s="44" t="str">
        <f>IFERROR(__xludf.DUMMYFUNCTION("""COMPUTED_VALUE"""),"")</f>
        <v/>
      </c>
      <c r="I1185" s="44"/>
      <c r="J1185" s="44" t="str">
        <f>IFERROR(__xludf.DUMMYFUNCTION("""COMPUTED_VALUE"""),"")</f>
        <v/>
      </c>
      <c r="K1185" s="42" t="str">
        <f>IFERROR(__xludf.DUMMYFUNCTION("""COMPUTED_VALUE"""),"Campo de Golf Playa los Cocos")</f>
        <v>Campo de Golf Playa los Cocos</v>
      </c>
    </row>
    <row r="1186">
      <c r="A1186" s="44">
        <v>1185.0</v>
      </c>
      <c r="B1186" s="44" t="str">
        <f>IFERROR(__xludf.DUMMYFUNCTION("""COMPUTED_VALUE"""),"Hospital Pérez Carreño")</f>
        <v>Hospital Pérez Carreño</v>
      </c>
      <c r="C1186" s="45" t="str">
        <f>IFERROR(__xludf.DUMMYFUNCTION("""COMPUTED_VALUE"""),"Anabela Murillo")</f>
        <v>Anabela Murillo</v>
      </c>
      <c r="D1186" s="44"/>
      <c r="E1186" s="44" t="str">
        <f>IFERROR(__xludf.DUMMYFUNCTION("""COMPUTED_VALUE"""),"")</f>
        <v/>
      </c>
      <c r="F1186" s="44" t="str">
        <f>IFERROR(__xludf.DUMMYFUNCTION("""COMPUTED_VALUE"""),"")</f>
        <v/>
      </c>
      <c r="G1186" s="44" t="str">
        <f>IFERROR(__xludf.DUMMYFUNCTION("""COMPUTED_VALUE"""),"Traumashock ")</f>
        <v>Traumashock </v>
      </c>
      <c r="H1186" s="44" t="str">
        <f>IFERROR(__xludf.DUMMYFUNCTION("""COMPUTED_VALUE"""),"Hospital Miguel Perez Carreño")</f>
        <v>Hospital Miguel Perez Carreño</v>
      </c>
      <c r="I1186" s="44"/>
      <c r="J1186" s="44" t="str">
        <f>IFERROR(__xludf.DUMMYFUNCTION("""COMPUTED_VALUE"""),"26/6/26")</f>
        <v>26/6/26</v>
      </c>
      <c r="K1186" s="42" t="str">
        <f>IFERROR(__xludf.DUMMYFUNCTION("""COMPUTED_VALUE"""),"Hospital Pérez Carreño")</f>
        <v>Hospital Pérez Carreño</v>
      </c>
    </row>
    <row r="1187">
      <c r="A1187" s="44">
        <v>1186.0</v>
      </c>
      <c r="B1187" s="44" t="str">
        <f>IFERROR(__xludf.DUMMYFUNCTION("""COMPUTED_VALUE"""),"Hospital Domingo Luciani")</f>
        <v>Hospital Domingo Luciani</v>
      </c>
      <c r="C1187" s="45" t="str">
        <f>IFERROR(__xludf.DUMMYFUNCTION("""COMPUTED_VALUE"""),"Anabella Machado")</f>
        <v>Anabella Machado</v>
      </c>
      <c r="D1187" s="44">
        <f>IFERROR(__xludf.DUMMYFUNCTION("""COMPUTED_VALUE"""),9.0)</f>
        <v>9</v>
      </c>
      <c r="E1187" s="44" t="str">
        <f>IFERROR(__xludf.DUMMYFUNCTION("""COMPUTED_VALUE"""),"")</f>
        <v/>
      </c>
      <c r="F1187" s="44" t="str">
        <f>IFERROR(__xludf.DUMMYFUNCTION("""COMPUTED_VALUE"""),"")</f>
        <v/>
      </c>
      <c r="G1187" s="44"/>
      <c r="H1187" s="44"/>
      <c r="I1187" s="44"/>
      <c r="J1187" s="44" t="str">
        <f>IFERROR(__xludf.DUMMYFUNCTION("""COMPUTED_VALUE"""),"")</f>
        <v/>
      </c>
      <c r="K1187" s="42" t="str">
        <f>IFERROR(__xludf.DUMMYFUNCTION("""COMPUTED_VALUE"""),"Hospital Domingo Luciani")</f>
        <v>Hospital Domingo Luciani</v>
      </c>
    </row>
    <row r="1188">
      <c r="A1188" s="44">
        <v>1187.0</v>
      </c>
      <c r="B1188" s="44" t="str">
        <f>IFERROR(__xludf.DUMMYFUNCTION("""COMPUTED_VALUE"""),"Hospital Pérez Carreño")</f>
        <v>Hospital Pérez Carreño</v>
      </c>
      <c r="C1188" s="45" t="str">
        <f>IFERROR(__xludf.DUMMYFUNCTION("""COMPUTED_VALUE"""),"ANAQUE VUELTA MARIA JOSE")</f>
        <v>ANAQUE VUELTA MARIA JOSE</v>
      </c>
      <c r="D1188" s="44" t="str">
        <f>IFERROR(__xludf.DUMMYFUNCTION("""COMPUTED_VALUE""")," ")</f>
        <v> </v>
      </c>
      <c r="E1188" s="44" t="str">
        <f>IFERROR(__xludf.DUMMYFUNCTION("""COMPUTED_VALUE"""),"")</f>
        <v/>
      </c>
      <c r="F1188" s="44" t="str">
        <f>IFERROR(__xludf.DUMMYFUNCTION("""COMPUTED_VALUE"""),"")</f>
        <v/>
      </c>
      <c r="G1188" s="44" t="str">
        <f>IFERROR(__xludf.DUMMYFUNCTION("""COMPUTED_VALUE""")," ")</f>
        <v> </v>
      </c>
      <c r="H1188" s="44" t="str">
        <f>IFERROR(__xludf.DUMMYFUNCTION("""COMPUTED_VALUE""")," ")</f>
        <v> </v>
      </c>
      <c r="I1188" s="44" t="str">
        <f>IFERROR(__xludf.DUMMYFUNCTION("""COMPUTED_VALUE"""),"Internado")</f>
        <v>Internado</v>
      </c>
      <c r="J1188" s="44" t="str">
        <f>IFERROR(__xludf.DUMMYFUNCTION("""COMPUTED_VALUE"""),"25/06/2026")</f>
        <v>25/06/2026</v>
      </c>
      <c r="K1188" s="42" t="str">
        <f>IFERROR(__xludf.DUMMYFUNCTION("""COMPUTED_VALUE"""),"Hospital Pérez Carreño")</f>
        <v>Hospital Pérez Carreño</v>
      </c>
    </row>
    <row r="1189">
      <c r="A1189" s="44">
        <v>1188.0</v>
      </c>
      <c r="B1189" s="44" t="str">
        <f>IFERROR(__xludf.DUMMYFUNCTION("""COMPUTED_VALUE"""),"Hospital Pérez Carreño")</f>
        <v>Hospital Pérez Carreño</v>
      </c>
      <c r="C1189" s="45" t="str">
        <f>IFERROR(__xludf.DUMMYFUNCTION("""COMPUTED_VALUE"""),"Anaque Wuelte Maria Jose")</f>
        <v>Anaque Wuelte Maria Jose</v>
      </c>
      <c r="D1189" s="44"/>
      <c r="E1189" s="44" t="str">
        <f>IFERROR(__xludf.DUMMYFUNCTION("""COMPUTED_VALUE"""),"")</f>
        <v/>
      </c>
      <c r="F1189" s="44" t="str">
        <f>IFERROR(__xludf.DUMMYFUNCTION("""COMPUTED_VALUE"""),"")</f>
        <v/>
      </c>
      <c r="G1189" s="44" t="str">
        <f>IFERROR(__xludf.DUMMYFUNCTION("""COMPUTED_VALUE"""),"Traslados")</f>
        <v>Traslados</v>
      </c>
      <c r="H1189" s="44" t="str">
        <f>IFERROR(__xludf.DUMMYFUNCTION("""COMPUTED_VALUE"""),"Hospital Miguel Perez Carreño")</f>
        <v>Hospital Miguel Perez Carreño</v>
      </c>
      <c r="I1189" s="44"/>
      <c r="J1189" s="44" t="str">
        <f>IFERROR(__xludf.DUMMYFUNCTION("""COMPUTED_VALUE"""),"26/6/26")</f>
        <v>26/6/26</v>
      </c>
      <c r="K1189" s="42" t="str">
        <f>IFERROR(__xludf.DUMMYFUNCTION("""COMPUTED_VALUE"""),"Hospital Pérez Carreño")</f>
        <v>Hospital Pérez Carreño</v>
      </c>
    </row>
    <row r="1190">
      <c r="A1190" s="44">
        <v>1189.0</v>
      </c>
      <c r="B1190" s="44" t="str">
        <f>IFERROR(__xludf.DUMMYFUNCTION("""COMPUTED_VALUE"""),"Hospital Domingo Luciani")</f>
        <v>Hospital Domingo Luciani</v>
      </c>
      <c r="C1190" s="45" t="str">
        <f>IFERROR(__xludf.DUMMYFUNCTION("""COMPUTED_VALUE"""),"ANDERSON HUGO")</f>
        <v>ANDERSON HUGO</v>
      </c>
      <c r="D1190" s="44">
        <f>IFERROR(__xludf.DUMMYFUNCTION("""COMPUTED_VALUE"""),9.0)</f>
        <v>9</v>
      </c>
      <c r="E1190" s="44" t="str">
        <f>IFERROR(__xludf.DUMMYFUNCTION("""COMPUTED_VALUE"""),"")</f>
        <v/>
      </c>
      <c r="F1190" s="44" t="str">
        <f>IFERROR(__xludf.DUMMYFUNCTION("""COMPUTED_VALUE"""),"")</f>
        <v/>
      </c>
      <c r="G1190" s="44" t="str">
        <f>IFERROR(__xludf.DUMMYFUNCTION("""COMPUTED_VALUE""")," ")</f>
        <v> </v>
      </c>
      <c r="H1190" s="44" t="str">
        <f>IFERROR(__xludf.DUMMYFUNCTION("""COMPUTED_VALUE""")," ")</f>
        <v> </v>
      </c>
      <c r="I1190" s="44" t="str">
        <f>IFERROR(__xludf.DUMMYFUNCTION("""COMPUTED_VALUE"""),"Internado; PEDIATRIA
PISO 6")</f>
        <v>Internado; PEDIATRIA
PISO 6</v>
      </c>
      <c r="J1190" s="44" t="str">
        <f>IFERROR(__xludf.DUMMYFUNCTION("""COMPUTED_VALUE"""),"")</f>
        <v/>
      </c>
      <c r="K1190" s="42" t="str">
        <f>IFERROR(__xludf.DUMMYFUNCTION("""COMPUTED_VALUE"""),"🔍 BUSCAR PACIENTES")</f>
        <v>🔍 BUSCAR PACIENTES</v>
      </c>
    </row>
    <row r="1191">
      <c r="A1191" s="44">
        <v>1190.0</v>
      </c>
      <c r="B1191" s="44" t="str">
        <f>IFERROR(__xludf.DUMMYFUNCTION("""COMPUTED_VALUE"""),"Hospital Domingo Luciani")</f>
        <v>Hospital Domingo Luciani</v>
      </c>
      <c r="C1191" s="45" t="str">
        <f>IFERROR(__xludf.DUMMYFUNCTION("""COMPUTED_VALUE"""),"Anderson Rosa")</f>
        <v>Anderson Rosa</v>
      </c>
      <c r="D1191" s="44">
        <f>IFERROR(__xludf.DUMMYFUNCTION("""COMPUTED_VALUE"""),9.0)</f>
        <v>9</v>
      </c>
      <c r="E1191" s="44" t="str">
        <f>IFERROR(__xludf.DUMMYFUNCTION("""COMPUTED_VALUE"""),"")</f>
        <v/>
      </c>
      <c r="F1191" s="44" t="str">
        <f>IFERROR(__xludf.DUMMYFUNCTION("""COMPUTED_VALUE"""),"")</f>
        <v/>
      </c>
      <c r="G1191" s="44"/>
      <c r="H1191" s="44"/>
      <c r="I1191" s="44"/>
      <c r="J1191" s="44" t="str">
        <f>IFERROR(__xludf.DUMMYFUNCTION("""COMPUTED_VALUE"""),"")</f>
        <v/>
      </c>
      <c r="K1191" s="42" t="str">
        <f>IFERROR(__xludf.DUMMYFUNCTION("""COMPUTED_VALUE"""),"Hospital Domingo Luciani")</f>
        <v>Hospital Domingo Luciani</v>
      </c>
    </row>
    <row r="1192">
      <c r="A1192" s="44">
        <v>1191.0</v>
      </c>
      <c r="B1192" s="44" t="str">
        <f>IFERROR(__xludf.DUMMYFUNCTION("""COMPUTED_VALUE"""),"Hospital Pérez Carreño")</f>
        <v>Hospital Pérez Carreño</v>
      </c>
      <c r="C1192" s="45" t="str">
        <f>IFERROR(__xludf.DUMMYFUNCTION("""COMPUTED_VALUE"""),"Andrade de Vieira")</f>
        <v>Andrade de Vieira</v>
      </c>
      <c r="D1192" s="44"/>
      <c r="E1192" s="44" t="str">
        <f>IFERROR(__xludf.DUMMYFUNCTION("""COMPUTED_VALUE"""),"")</f>
        <v/>
      </c>
      <c r="F1192" s="44" t="str">
        <f>IFERROR(__xludf.DUMMYFUNCTION("""COMPUTED_VALUE"""),"")</f>
        <v/>
      </c>
      <c r="G1192" s="44" t="str">
        <f>IFERROR(__xludf.DUMMYFUNCTION("""COMPUTED_VALUE"""),"Traslados con destino asignado")</f>
        <v>Traslados con destino asignado</v>
      </c>
      <c r="H1192" s="44" t="str">
        <f>IFERROR(__xludf.DUMMYFUNCTION("""COMPUTED_VALUE"""),"Hospital Miguel Perez Carreño")</f>
        <v>Hospital Miguel Perez Carreño</v>
      </c>
      <c r="I1192" s="44"/>
      <c r="J1192" s="44" t="str">
        <f>IFERROR(__xludf.DUMMYFUNCTION("""COMPUTED_VALUE"""),"26/6/26")</f>
        <v>26/6/26</v>
      </c>
      <c r="K1192" s="42" t="str">
        <f>IFERROR(__xludf.DUMMYFUNCTION("""COMPUTED_VALUE"""),"Hospital Pérez Carreño")</f>
        <v>Hospital Pérez Carreño</v>
      </c>
    </row>
    <row r="1193">
      <c r="A1193" s="44">
        <v>1192.0</v>
      </c>
      <c r="B1193" s="44" t="str">
        <f>IFERROR(__xludf.DUMMYFUNCTION("""COMPUTED_VALUE"""),"Hospital Pérez Carreño")</f>
        <v>Hospital Pérez Carreño</v>
      </c>
      <c r="C1193" s="45" t="str">
        <f>IFERROR(__xludf.DUMMYFUNCTION("""COMPUTED_VALUE"""),"ANDRADE MARIA")</f>
        <v>ANDRADE MARIA</v>
      </c>
      <c r="D1193" s="44">
        <f>IFERROR(__xludf.DUMMYFUNCTION("""COMPUTED_VALUE"""),62.0)</f>
        <v>62</v>
      </c>
      <c r="E1193" s="44" t="str">
        <f>IFERROR(__xludf.DUMMYFUNCTION("""COMPUTED_VALUE"""),"")</f>
        <v/>
      </c>
      <c r="F1193" s="44" t="str">
        <f>IFERROR(__xludf.DUMMYFUNCTION("""COMPUTED_VALUE"""),"")</f>
        <v/>
      </c>
      <c r="G1193" s="44" t="str">
        <f>IFERROR(__xludf.DUMMYFUNCTION("""COMPUTED_VALUE""")," ")</f>
        <v> </v>
      </c>
      <c r="H1193" s="44" t="str">
        <f>IFERROR(__xludf.DUMMYFUNCTION("""COMPUTED_VALUE""")," ")</f>
        <v> </v>
      </c>
      <c r="I1193" s="44" t="str">
        <f>IFERROR(__xludf.DUMMYFUNCTION("""COMPUTED_VALUE"""),"Piso 3 – Traumachok; La Guaira")</f>
        <v>Piso 3 – Traumachok; La Guaira</v>
      </c>
      <c r="J1193" s="44" t="str">
        <f>IFERROR(__xludf.DUMMYFUNCTION("""COMPUTED_VALUE"""),"25/06/2026")</f>
        <v>25/06/2026</v>
      </c>
      <c r="K1193" s="42" t="str">
        <f>IFERROR(__xludf.DUMMYFUNCTION("""COMPUTED_VALUE"""),"Hospital Pérez Carreño")</f>
        <v>Hospital Pérez Carreño</v>
      </c>
    </row>
    <row r="1194">
      <c r="A1194" s="44">
        <v>1193.0</v>
      </c>
      <c r="B1194" s="44" t="str">
        <f>IFERROR(__xludf.DUMMYFUNCTION("""COMPUTED_VALUE"""),"Centro de Acopio Caraballeda")</f>
        <v>Centro de Acopio Caraballeda</v>
      </c>
      <c r="C1194" s="45" t="str">
        <f>IFERROR(__xludf.DUMMYFUNCTION("""COMPUTED_VALUE"""),"ANDRADE MARLENE")</f>
        <v>ANDRADE MARLENE</v>
      </c>
      <c r="D1194" s="44" t="str">
        <f>IFERROR(__xludf.DUMMYFUNCTION("""COMPUTED_VALUE""")," ")</f>
        <v> </v>
      </c>
      <c r="E1194" s="44" t="str">
        <f>IFERROR(__xludf.DUMMYFUNCTION("""COMPUTED_VALUE"""),"")</f>
        <v/>
      </c>
      <c r="F1194" s="44" t="str">
        <f>IFERROR(__xludf.DUMMYFUNCTION("""COMPUTED_VALUE"""),"")</f>
        <v/>
      </c>
      <c r="G1194" s="44" t="str">
        <f>IFERROR(__xludf.DUMMYFUNCTION("""COMPUTED_VALUE""")," ")</f>
        <v> </v>
      </c>
      <c r="H1194" s="44" t="str">
        <f>IFERROR(__xludf.DUMMYFUNCTION("""COMPUTED_VALUE""")," ")</f>
        <v> </v>
      </c>
      <c r="I1194" s="44" t="str">
        <f>IFERROR(__xludf.DUMMYFUNCTION("""COMPUTED_VALUE"""),"Internado")</f>
        <v>Internado</v>
      </c>
      <c r="J1194" s="44" t="str">
        <f>IFERROR(__xludf.DUMMYFUNCTION("""COMPUTED_VALUE"""),"")</f>
        <v/>
      </c>
      <c r="K1194" s="42" t="str">
        <f>IFERROR(__xludf.DUMMYFUNCTION("""COMPUTED_VALUE"""),"🔍 BUSCAR PACIENTES")</f>
        <v>🔍 BUSCAR PACIENTES</v>
      </c>
    </row>
    <row r="1195">
      <c r="A1195" s="44">
        <v>1194.0</v>
      </c>
      <c r="B1195" s="44" t="str">
        <f>IFERROR(__xludf.DUMMYFUNCTION("""COMPUTED_VALUE"""),"Hospital Pérez Carreño")</f>
        <v>Hospital Pérez Carreño</v>
      </c>
      <c r="C1195" s="45" t="str">
        <f>IFERROR(__xludf.DUMMYFUNCTION("""COMPUTED_VALUE"""),"ANDRADE MILAGRO")</f>
        <v>ANDRADE MILAGRO</v>
      </c>
      <c r="D1195" s="44" t="str">
        <f>IFERROR(__xludf.DUMMYFUNCTION("""COMPUTED_VALUE""")," ")</f>
        <v> </v>
      </c>
      <c r="E1195" s="44" t="str">
        <f>IFERROR(__xludf.DUMMYFUNCTION("""COMPUTED_VALUE"""),"")</f>
        <v/>
      </c>
      <c r="F1195" s="44" t="str">
        <f>IFERROR(__xludf.DUMMYFUNCTION("""COMPUTED_VALUE"""),"")</f>
        <v/>
      </c>
      <c r="G1195" s="44" t="str">
        <f>IFERROR(__xludf.DUMMYFUNCTION("""COMPUTED_VALUE""")," ")</f>
        <v> </v>
      </c>
      <c r="H1195" s="44" t="str">
        <f>IFERROR(__xludf.DUMMYFUNCTION("""COMPUTED_VALUE""")," ")</f>
        <v> </v>
      </c>
      <c r="I1195" s="44" t="str">
        <f>IFERROR(__xludf.DUMMYFUNCTION("""COMPUTED_VALUE"""),"Neuro Trauma – Pasillo Asesor; La Guaira")</f>
        <v>Neuro Trauma – Pasillo Asesor; La Guaira</v>
      </c>
      <c r="J1195" s="44" t="str">
        <f>IFERROR(__xludf.DUMMYFUNCTION("""COMPUTED_VALUE"""),"25/06/2026")</f>
        <v>25/06/2026</v>
      </c>
      <c r="K1195" s="42" t="str">
        <f>IFERROR(__xludf.DUMMYFUNCTION("""COMPUTED_VALUE"""),"Hospital Pérez Carreño")</f>
        <v>Hospital Pérez Carreño</v>
      </c>
    </row>
    <row r="1196">
      <c r="A1196" s="44">
        <v>1195.0</v>
      </c>
      <c r="B1196" s="44" t="str">
        <f>IFERROR(__xludf.DUMMYFUNCTION("""COMPUTED_VALUE"""),"Hospital Vargas de Caracas")</f>
        <v>Hospital Vargas de Caracas</v>
      </c>
      <c r="C1196" s="45" t="str">
        <f>IFERROR(__xludf.DUMMYFUNCTION("""COMPUTED_VALUE"""),"Andrea Garcia")</f>
        <v>Andrea Garcia</v>
      </c>
      <c r="D1196" s="44"/>
      <c r="E1196" s="44" t="str">
        <f>IFERROR(__xludf.DUMMYFUNCTION("""COMPUTED_VALUE"""),"")</f>
        <v/>
      </c>
      <c r="F1196" s="44"/>
      <c r="G1196" s="44" t="str">
        <f>IFERROR(__xludf.DUMMYFUNCTION("""COMPUTED_VALUE"""),"")</f>
        <v/>
      </c>
      <c r="H1196" s="44"/>
      <c r="I1196" s="44" t="str">
        <f>IFERROR(__xludf.DUMMYFUNCTION("""COMPUTED_VALUE"""),"Nombre tomado de la pizarra de pacientes; no aparece en el formulario con C.I.")</f>
        <v>Nombre tomado de la pizarra de pacientes; no aparece en el formulario con C.I.</v>
      </c>
      <c r="J1196" s="44" t="str">
        <f>IFERROR(__xludf.DUMMYFUNCTION("""COMPUTED_VALUE"""),"")</f>
        <v/>
      </c>
      <c r="K1196" s="42" t="str">
        <f>IFERROR(__xludf.DUMMYFUNCTION("""COMPUTED_VALUE"""),"Hospital Vargas de Caracas")</f>
        <v>Hospital Vargas de Caracas</v>
      </c>
    </row>
    <row r="1197">
      <c r="A1197" s="44">
        <v>1196.0</v>
      </c>
      <c r="B1197" s="44" t="str">
        <f>IFERROR(__xludf.DUMMYFUNCTION("""COMPUTED_VALUE"""),"HOSPITAL VARGAS")</f>
        <v>HOSPITAL VARGAS</v>
      </c>
      <c r="C1197" s="45" t="str">
        <f>IFERROR(__xludf.DUMMYFUNCTION("""COMPUTED_VALUE"""),"Andrea García")</f>
        <v>Andrea García</v>
      </c>
      <c r="D1197" s="44" t="str">
        <f>IFERROR(__xludf.DUMMYFUNCTION("""COMPUTED_VALUE"""),"15 años")</f>
        <v>15 años</v>
      </c>
      <c r="E1197" s="44" t="str">
        <f>IFERROR(__xludf.DUMMYFUNCTION("""COMPUTED_VALUE"""),"")</f>
        <v/>
      </c>
      <c r="F1197" s="44" t="str">
        <f>IFERROR(__xludf.DUMMYFUNCTION("""COMPUTED_VALUE"""),"")</f>
        <v/>
      </c>
      <c r="G1197" s="44" t="str">
        <f>IFERROR(__xludf.DUMMYFUNCTION("""COMPUTED_VALUE"""),"")</f>
        <v/>
      </c>
      <c r="H1197" s="44" t="str">
        <f>IFERROR(__xludf.DUMMYFUNCTION("""COMPUTED_VALUE"""),"")</f>
        <v/>
      </c>
      <c r="I1197" s="44" t="str">
        <f>IFERROR(__xludf.DUMMYFUNCTION("""COMPUTED_VALUE"""),"Herido / atendido")</f>
        <v>Herido / atendido</v>
      </c>
      <c r="J1197" s="44" t="str">
        <f>IFERROR(__xludf.DUMMYFUNCTION("""COMPUTED_VALUE"""),"24.06.2026 ")</f>
        <v>24.06.2026 </v>
      </c>
      <c r="K1197" s="42" t="str">
        <f>IFERROR(__xludf.DUMMYFUNCTION("""COMPUTED_VALUE"""),"HOSPITAL VARGAS")</f>
        <v>HOSPITAL VARGAS</v>
      </c>
    </row>
    <row r="1198">
      <c r="A1198" s="44">
        <v>1197.0</v>
      </c>
      <c r="B1198" s="44" t="str">
        <f>IFERROR(__xludf.DUMMYFUNCTION("""COMPUTED_VALUE"""),"Hospital Domingo Luciani")</f>
        <v>Hospital Domingo Luciani</v>
      </c>
      <c r="C1198" s="45" t="str">
        <f>IFERROR(__xludf.DUMMYFUNCTION("""COMPUTED_VALUE"""),"Andreana Vascacelo")</f>
        <v>Andreana Vascacelo</v>
      </c>
      <c r="D1198" s="44">
        <f>IFERROR(__xludf.DUMMYFUNCTION("""COMPUTED_VALUE"""),43.0)</f>
        <v>43</v>
      </c>
      <c r="E1198" s="44" t="str">
        <f>IFERROR(__xludf.DUMMYFUNCTION("""COMPUTED_VALUE"""),"")</f>
        <v/>
      </c>
      <c r="F1198" s="44" t="str">
        <f>IFERROR(__xludf.DUMMYFUNCTION("""COMPUTED_VALUE"""),"")</f>
        <v/>
      </c>
      <c r="G1198" s="44"/>
      <c r="H1198" s="44"/>
      <c r="I1198" s="44"/>
      <c r="J1198" s="44" t="str">
        <f>IFERROR(__xludf.DUMMYFUNCTION("""COMPUTED_VALUE"""),"")</f>
        <v/>
      </c>
      <c r="K1198" s="42" t="str">
        <f>IFERROR(__xludf.DUMMYFUNCTION("""COMPUTED_VALUE"""),"Hospital Domingo Luciani")</f>
        <v>Hospital Domingo Luciani</v>
      </c>
    </row>
    <row r="1199">
      <c r="A1199" s="44">
        <v>1198.0</v>
      </c>
      <c r="B1199" s="44" t="str">
        <f>IFERROR(__xludf.DUMMYFUNCTION("""COMPUTED_VALUE"""),"Hospital Domingo Luciani")</f>
        <v>Hospital Domingo Luciani</v>
      </c>
      <c r="C1199" s="45" t="str">
        <f>IFERROR(__xludf.DUMMYFUNCTION("""COMPUTED_VALUE"""),"ANDREINA VASCONULO")</f>
        <v>ANDREINA VASCONULO</v>
      </c>
      <c r="D1199" s="44" t="str">
        <f>IFERROR(__xludf.DUMMYFUNCTION("""COMPUTED_VALUE""")," ")</f>
        <v> </v>
      </c>
      <c r="E1199" s="44" t="str">
        <f>IFERROR(__xludf.DUMMYFUNCTION("""COMPUTED_VALUE"""),"")</f>
        <v/>
      </c>
      <c r="F1199" s="44" t="str">
        <f>IFERROR(__xludf.DUMMYFUNCTION("""COMPUTED_VALUE"""),"")</f>
        <v/>
      </c>
      <c r="G1199" s="44" t="str">
        <f>IFERROR(__xludf.DUMMYFUNCTION("""COMPUTED_VALUE""")," ")</f>
        <v> </v>
      </c>
      <c r="H1199" s="44" t="str">
        <f>IFERROR(__xludf.DUMMYFUNCTION("""COMPUTED_VALUE""")," ")</f>
        <v> </v>
      </c>
      <c r="I1199" s="44" t="str">
        <f>IFERROR(__xludf.DUMMYFUNCTION("""COMPUTED_VALUE"""),"Politrauma")</f>
        <v>Politrauma</v>
      </c>
      <c r="J1199" s="44" t="str">
        <f>IFERROR(__xludf.DUMMYFUNCTION("""COMPUTED_VALUE"""),"")</f>
        <v/>
      </c>
      <c r="K1199" s="42" t="str">
        <f>IFERROR(__xludf.DUMMYFUNCTION("""COMPUTED_VALUE"""),"🔍 BUSCAR PACIENTES")</f>
        <v>🔍 BUSCAR PACIENTES</v>
      </c>
    </row>
    <row r="1200">
      <c r="A1200" s="44">
        <v>1199.0</v>
      </c>
      <c r="B1200" s="44" t="str">
        <f>IFERROR(__xludf.DUMMYFUNCTION("""COMPUTED_VALUE"""),"Hospital Domingo Luciani")</f>
        <v>Hospital Domingo Luciani</v>
      </c>
      <c r="C1200" s="45" t="str">
        <f>IFERROR(__xludf.DUMMYFUNCTION("""COMPUTED_VALUE"""),"ANDRES URIOS")</f>
        <v>ANDRES URIOS</v>
      </c>
      <c r="D1200" s="44">
        <f>IFERROR(__xludf.DUMMYFUNCTION("""COMPUTED_VALUE"""),9.0)</f>
        <v>9</v>
      </c>
      <c r="E1200" s="44" t="str">
        <f>IFERROR(__xludf.DUMMYFUNCTION("""COMPUTED_VALUE"""),"")</f>
        <v/>
      </c>
      <c r="F1200" s="44" t="str">
        <f>IFERROR(__xludf.DUMMYFUNCTION("""COMPUTED_VALUE"""),"")</f>
        <v/>
      </c>
      <c r="G1200" s="44" t="str">
        <f>IFERROR(__xludf.DUMMYFUNCTION("""COMPUTED_VALUE""")," ")</f>
        <v> </v>
      </c>
      <c r="H1200" s="44" t="str">
        <f>IFERROR(__xludf.DUMMYFUNCTION("""COMPUTED_VALUE""")," ")</f>
        <v> </v>
      </c>
      <c r="I1200" s="44" t="str">
        <f>IFERROR(__xludf.DUMMYFUNCTION("""COMPUTED_VALUE"""),"Pediatría")</f>
        <v>Pediatría</v>
      </c>
      <c r="J1200" s="44" t="str">
        <f>IFERROR(__xludf.DUMMYFUNCTION("""COMPUTED_VALUE"""),"")</f>
        <v/>
      </c>
      <c r="K1200" s="42" t="str">
        <f>IFERROR(__xludf.DUMMYFUNCTION("""COMPUTED_VALUE"""),"🔍 BUSCAR PACIENTES")</f>
        <v>🔍 BUSCAR PACIENTES</v>
      </c>
    </row>
    <row r="1201">
      <c r="A1201" s="44">
        <v>1200.0</v>
      </c>
      <c r="B1201" s="44" t="str">
        <f>IFERROR(__xludf.DUMMYFUNCTION("""COMPUTED_VALUE"""),"Hospital Domingo Luciani")</f>
        <v>Hospital Domingo Luciani</v>
      </c>
      <c r="C1201" s="45" t="str">
        <f>IFERROR(__xludf.DUMMYFUNCTION("""COMPUTED_VALUE"""),"Andrevna Vasconulo")</f>
        <v>Andrevna Vasconulo</v>
      </c>
      <c r="D1201" s="44">
        <f>IFERROR(__xludf.DUMMYFUNCTION("""COMPUTED_VALUE"""),0.0)</f>
        <v>0</v>
      </c>
      <c r="E1201" s="44" t="str">
        <f>IFERROR(__xludf.DUMMYFUNCTION("""COMPUTED_VALUE"""),"")</f>
        <v/>
      </c>
      <c r="F1201" s="44" t="str">
        <f>IFERROR(__xludf.DUMMYFUNCTION("""COMPUTED_VALUE"""),"")</f>
        <v/>
      </c>
      <c r="G1201" s="44"/>
      <c r="H1201" s="44"/>
      <c r="I1201" s="44"/>
      <c r="J1201" s="44" t="str">
        <f>IFERROR(__xludf.DUMMYFUNCTION("""COMPUTED_VALUE"""),"")</f>
        <v/>
      </c>
      <c r="K1201" s="42" t="str">
        <f>IFERROR(__xludf.DUMMYFUNCTION("""COMPUTED_VALUE"""),"Hospital Domingo Luciani")</f>
        <v>Hospital Domingo Luciani</v>
      </c>
    </row>
    <row r="1202">
      <c r="A1202" s="44">
        <v>1201.0</v>
      </c>
      <c r="B1202" s="44" t="str">
        <f>IFERROR(__xludf.DUMMYFUNCTION("""COMPUTED_VALUE"""),"Seguro Social La Guaira")</f>
        <v>Seguro Social La Guaira</v>
      </c>
      <c r="C1202" s="45" t="str">
        <f>IFERROR(__xludf.DUMMYFUNCTION("""COMPUTED_VALUE"""),"ANDRU ROJAS")</f>
        <v>ANDRU ROJAS</v>
      </c>
      <c r="D1202" s="44">
        <f>IFERROR(__xludf.DUMMYFUNCTION("""COMPUTED_VALUE"""),12.0)</f>
        <v>12</v>
      </c>
      <c r="E1202" s="44" t="str">
        <f>IFERROR(__xludf.DUMMYFUNCTION("""COMPUTED_VALUE"""),"")</f>
        <v/>
      </c>
      <c r="F1202" s="44" t="str">
        <f>IFERROR(__xludf.DUMMYFUNCTION("""COMPUTED_VALUE"""),"")</f>
        <v/>
      </c>
      <c r="G1202" s="44" t="str">
        <f>IFERROR(__xludf.DUMMYFUNCTION("""COMPUTED_VALUE""")," ")</f>
        <v> </v>
      </c>
      <c r="H1202" s="44" t="str">
        <f>IFERROR(__xludf.DUMMYFUNCTION("""COMPUTED_VALUE"""),"Maiquetia")</f>
        <v>Maiquetia</v>
      </c>
      <c r="I1202" s="44" t="str">
        <f>IFERROR(__xludf.DUMMYFUNCTION("""COMPUTED_VALUE""")," ")</f>
        <v> </v>
      </c>
      <c r="J1202" s="44" t="str">
        <f>IFERROR(__xludf.DUMMYFUNCTION("""COMPUTED_VALUE"""),"")</f>
        <v/>
      </c>
      <c r="K1202" s="42" t="str">
        <f>IFERROR(__xludf.DUMMYFUNCTION("""COMPUTED_VALUE"""),"Seguro Social La Guaira")</f>
        <v>Seguro Social La Guaira</v>
      </c>
    </row>
    <row r="1203">
      <c r="A1203" s="44">
        <v>1202.0</v>
      </c>
      <c r="B1203" s="44" t="str">
        <f>IFERROR(__xludf.DUMMYFUNCTION("""COMPUTED_VALUE"""),"Campo de Golf Playa los Cocos")</f>
        <v>Campo de Golf Playa los Cocos</v>
      </c>
      <c r="C1203" s="45" t="str">
        <f>IFERROR(__xludf.DUMMYFUNCTION("""COMPUTED_VALUE"""),"Andy Leon")</f>
        <v>Andy Leon</v>
      </c>
      <c r="D1203" s="44" t="str">
        <f>IFERROR(__xludf.DUMMYFUNCTION("""COMPUTED_VALUE"""),"")</f>
        <v/>
      </c>
      <c r="E1203" s="44" t="str">
        <f>IFERROR(__xludf.DUMMYFUNCTION("""COMPUTED_VALUE"""),"")</f>
        <v/>
      </c>
      <c r="F1203" s="44" t="str">
        <f>IFERROR(__xludf.DUMMYFUNCTION("""COMPUTED_VALUE"""),"")</f>
        <v/>
      </c>
      <c r="G1203" s="44" t="str">
        <f>IFERROR(__xludf.DUMMYFUNCTION("""COMPUTED_VALUE"""),"")</f>
        <v/>
      </c>
      <c r="H1203" s="44" t="str">
        <f>IFERROR(__xludf.DUMMYFUNCTION("""COMPUTED_VALUE"""),"")</f>
        <v/>
      </c>
      <c r="I1203" s="44" t="str">
        <f>IFERROR(__xludf.DUMMYFUNCTION("""COMPUTED_VALUE"""),"menor")</f>
        <v>menor</v>
      </c>
      <c r="J1203" s="44" t="str">
        <f>IFERROR(__xludf.DUMMYFUNCTION("""COMPUTED_VALUE"""),"")</f>
        <v/>
      </c>
      <c r="K1203" s="42" t="str">
        <f>IFERROR(__xludf.DUMMYFUNCTION("""COMPUTED_VALUE"""),"Campo de Golf Playa los Cocos")</f>
        <v>Campo de Golf Playa los Cocos</v>
      </c>
    </row>
    <row r="1204">
      <c r="A1204" s="44">
        <v>1203.0</v>
      </c>
      <c r="B1204" s="44" t="str">
        <f>IFERROR(__xludf.DUMMYFUNCTION("""COMPUTED_VALUE"""),"Hospital Domingo Luciani")</f>
        <v>Hospital Domingo Luciani</v>
      </c>
      <c r="C1204" s="45" t="str">
        <f>IFERROR(__xludf.DUMMYFUNCTION("""COMPUTED_VALUE"""),"ANEIS BRESIMO")</f>
        <v>ANEIS BRESIMO</v>
      </c>
      <c r="D1204" s="44">
        <f>IFERROR(__xludf.DUMMYFUNCTION("""COMPUTED_VALUE"""),37.0)</f>
        <v>37</v>
      </c>
      <c r="E1204" s="44" t="str">
        <f>IFERROR(__xludf.DUMMYFUNCTION("""COMPUTED_VALUE"""),"")</f>
        <v/>
      </c>
      <c r="F1204" s="44" t="str">
        <f>IFERROR(__xludf.DUMMYFUNCTION("""COMPUTED_VALUE"""),"")</f>
        <v/>
      </c>
      <c r="G1204" s="44" t="str">
        <f>IFERROR(__xludf.DUMMYFUNCTION("""COMPUTED_VALUE""")," ")</f>
        <v> </v>
      </c>
      <c r="H1204" s="44" t="str">
        <f>IFERROR(__xludf.DUMMYFUNCTION("""COMPUTED_VALUE""")," ")</f>
        <v> </v>
      </c>
      <c r="I1204" s="44" t="str">
        <f>IFERROR(__xludf.DUMMYFUNCTION("""COMPUTED_VALUE"""),"La Guaira – Ingresos 9am")</f>
        <v>La Guaira – Ingresos 9am</v>
      </c>
      <c r="J1204" s="44" t="str">
        <f>IFERROR(__xludf.DUMMYFUNCTION("""COMPUTED_VALUE"""),"")</f>
        <v/>
      </c>
      <c r="K1204" s="42" t="str">
        <f>IFERROR(__xludf.DUMMYFUNCTION("""COMPUTED_VALUE"""),"🔍 BUSCAR PACIENTES")</f>
        <v>🔍 BUSCAR PACIENTES</v>
      </c>
    </row>
    <row r="1205">
      <c r="A1205" s="44">
        <v>1204.0</v>
      </c>
      <c r="B1205" s="44" t="str">
        <f>IFERROR(__xludf.DUMMYFUNCTION("""COMPUTED_VALUE"""),"Hospital Domingo Luciani")</f>
        <v>Hospital Domingo Luciani</v>
      </c>
      <c r="C1205" s="45" t="str">
        <f>IFERROR(__xludf.DUMMYFUNCTION("""COMPUTED_VALUE"""),"ANEZ AMIVI")</f>
        <v>ANEZ AMIVI</v>
      </c>
      <c r="D1205" s="44">
        <f>IFERROR(__xludf.DUMMYFUNCTION("""COMPUTED_VALUE"""),34.0)</f>
        <v>34</v>
      </c>
      <c r="E1205" s="44" t="str">
        <f>IFERROR(__xludf.DUMMYFUNCTION("""COMPUTED_VALUE"""),"")</f>
        <v/>
      </c>
      <c r="F1205" s="44" t="str">
        <f>IFERROR(__xludf.DUMMYFUNCTION("""COMPUTED_VALUE"""),"")</f>
        <v/>
      </c>
      <c r="G1205" s="44" t="str">
        <f>IFERROR(__xludf.DUMMYFUNCTION("""COMPUTED_VALUE""")," ")</f>
        <v> </v>
      </c>
      <c r="H1205" s="44" t="str">
        <f>IFERROR(__xludf.DUMMYFUNCTION("""COMPUTED_VALUE""")," ")</f>
        <v> </v>
      </c>
      <c r="I1205" s="44" t="str">
        <f>IFERROR(__xludf.DUMMYFUNCTION("""COMPUTED_VALUE"""),"La Guaira – Ingresos 9am")</f>
        <v>La Guaira – Ingresos 9am</v>
      </c>
      <c r="J1205" s="44" t="str">
        <f>IFERROR(__xludf.DUMMYFUNCTION("""COMPUTED_VALUE"""),"")</f>
        <v/>
      </c>
      <c r="K1205" s="42" t="str">
        <f>IFERROR(__xludf.DUMMYFUNCTION("""COMPUTED_VALUE"""),"🔍 BUSCAR PACIENTES")</f>
        <v>🔍 BUSCAR PACIENTES</v>
      </c>
    </row>
    <row r="1206">
      <c r="A1206" s="44">
        <v>1205.0</v>
      </c>
      <c r="B1206" s="44" t="str">
        <f>IFERROR(__xludf.DUMMYFUNCTION("""COMPUTED_VALUE"""),"H. Jose Maria Vargas LG")</f>
        <v>H. Jose Maria Vargas LG</v>
      </c>
      <c r="C1206" s="45" t="str">
        <f>IFERROR(__xludf.DUMMYFUNCTION("""COMPUTED_VALUE"""),"ANGARITA BELTRAN")</f>
        <v>ANGARITA BELTRAN</v>
      </c>
      <c r="D1206" s="44" t="str">
        <f>IFERROR(__xludf.DUMMYFUNCTION("""COMPUTED_VALUE""")," ")</f>
        <v> </v>
      </c>
      <c r="E1206" s="44" t="str">
        <f>IFERROR(__xludf.DUMMYFUNCTION("""COMPUTED_VALUE"""),"")</f>
        <v/>
      </c>
      <c r="F1206" s="44" t="str">
        <f>IFERROR(__xludf.DUMMYFUNCTION("""COMPUTED_VALUE"""),"")</f>
        <v/>
      </c>
      <c r="G1206" s="44" t="str">
        <f>IFERROR(__xludf.DUMMYFUNCTION("""COMPUTED_VALUE""")," ")</f>
        <v> </v>
      </c>
      <c r="H1206" s="44" t="str">
        <f>IFERROR(__xludf.DUMMYFUNCTION("""COMPUTED_VALUE""")," ")</f>
        <v> </v>
      </c>
      <c r="I1206" s="44" t="str">
        <f>IFERROR(__xludf.DUMMYFUNCTION("""COMPUTED_VALUE""")," ")</f>
        <v> </v>
      </c>
      <c r="J1206" s="44" t="str">
        <f>IFERROR(__xludf.DUMMYFUNCTION("""COMPUTED_VALUE"""),"")</f>
        <v/>
      </c>
      <c r="K1206" s="42" t="str">
        <f>IFERROR(__xludf.DUMMYFUNCTION("""COMPUTED_VALUE"""),"H. Jose Maria Vargas LG")</f>
        <v>H. Jose Maria Vargas LG</v>
      </c>
    </row>
    <row r="1207">
      <c r="A1207" s="44">
        <v>1206.0</v>
      </c>
      <c r="B1207" s="44" t="str">
        <f>IFERROR(__xludf.DUMMYFUNCTION("""COMPUTED_VALUE"""),"La Guaira Sin Hospital")</f>
        <v>La Guaira Sin Hospital</v>
      </c>
      <c r="C1207" s="45" t="str">
        <f>IFERROR(__xludf.DUMMYFUNCTION("""COMPUTED_VALUE"""),"Angarita Carrillo Carmen Mietona")</f>
        <v>Angarita Carrillo Carmen Mietona</v>
      </c>
      <c r="D1207" s="44" t="str">
        <f>IFERROR(__xludf.DUMMYFUNCTION("""COMPUTED_VALUE"""),"")</f>
        <v/>
      </c>
      <c r="E1207" s="44" t="str">
        <f>IFERROR(__xludf.DUMMYFUNCTION("""COMPUTED_VALUE"""),"")</f>
        <v/>
      </c>
      <c r="F1207" s="44" t="str">
        <f>IFERROR(__xludf.DUMMYFUNCTION("""COMPUTED_VALUE"""),"")</f>
        <v/>
      </c>
      <c r="G1207" s="44" t="str">
        <f>IFERROR(__xludf.DUMMYFUNCTION("""COMPUTED_VALUE"""),"")</f>
        <v/>
      </c>
      <c r="H1207" s="44"/>
      <c r="I1207" s="44" t="str">
        <f>IFERROR(__xludf.DUMMYFUNCTION("""COMPUTED_VALUE"""),"Listas solo con nombre")</f>
        <v>Listas solo con nombre</v>
      </c>
      <c r="J1207" s="44" t="str">
        <f>IFERROR(__xludf.DUMMYFUNCTION("""COMPUTED_VALUE"""),"")</f>
        <v/>
      </c>
      <c r="K1207" s="42" t="str">
        <f>IFERROR(__xludf.DUMMYFUNCTION("""COMPUTED_VALUE"""),"La Guaira Sin Hospital")</f>
        <v>La Guaira Sin Hospital</v>
      </c>
    </row>
    <row r="1208">
      <c r="A1208" s="44">
        <v>1207.0</v>
      </c>
      <c r="B1208" s="44" t="str">
        <f>IFERROR(__xludf.DUMMYFUNCTION("""COMPUTED_VALUE"""),"Hospital Pérez Carreño")</f>
        <v>Hospital Pérez Carreño</v>
      </c>
      <c r="C1208" s="45" t="str">
        <f>IFERROR(__xludf.DUMMYFUNCTION("""COMPUTED_VALUE"""),"Angarita Carrillo Carmen Victoria")</f>
        <v>Angarita Carrillo Carmen Victoria</v>
      </c>
      <c r="D1208" s="44"/>
      <c r="E1208" s="44" t="str">
        <f>IFERROR(__xludf.DUMMYFUNCTION("""COMPUTED_VALUE"""),"")</f>
        <v/>
      </c>
      <c r="F1208" s="44" t="str">
        <f>IFERROR(__xludf.DUMMYFUNCTION("""COMPUTED_VALUE"""),"")</f>
        <v/>
      </c>
      <c r="G1208" s="44" t="str">
        <f>IFERROR(__xludf.DUMMYFUNCTION("""COMPUTED_VALUE"""),"Traslados")</f>
        <v>Traslados</v>
      </c>
      <c r="H1208" s="44" t="str">
        <f>IFERROR(__xludf.DUMMYFUNCTION("""COMPUTED_VALUE"""),"Hospital Miguel Perez Carreño")</f>
        <v>Hospital Miguel Perez Carreño</v>
      </c>
      <c r="I1208" s="44"/>
      <c r="J1208" s="44" t="str">
        <f>IFERROR(__xludf.DUMMYFUNCTION("""COMPUTED_VALUE"""),"26/6/26")</f>
        <v>26/6/26</v>
      </c>
      <c r="K1208" s="42" t="str">
        <f>IFERROR(__xludf.DUMMYFUNCTION("""COMPUTED_VALUE"""),"Hospital Pérez Carreño")</f>
        <v>Hospital Pérez Carreño</v>
      </c>
    </row>
    <row r="1209">
      <c r="A1209" s="44">
        <v>1208.0</v>
      </c>
      <c r="B1209" s="44" t="str">
        <f>IFERROR(__xludf.DUMMYFUNCTION("""COMPUTED_VALUE"""),"Campo de Golf Playa los Cocos")</f>
        <v>Campo de Golf Playa los Cocos</v>
      </c>
      <c r="C1209" s="45" t="str">
        <f>IFERROR(__xludf.DUMMYFUNCTION("""COMPUTED_VALUE"""),"Angel Hermoso")</f>
        <v>Angel Hermoso</v>
      </c>
      <c r="D1209" s="44" t="str">
        <f>IFERROR(__xludf.DUMMYFUNCTION("""COMPUTED_VALUE"""),"")</f>
        <v/>
      </c>
      <c r="E1209" s="44" t="str">
        <f>IFERROR(__xludf.DUMMYFUNCTION("""COMPUTED_VALUE"""),"")</f>
        <v/>
      </c>
      <c r="F1209" s="44" t="str">
        <f>IFERROR(__xludf.DUMMYFUNCTION("""COMPUTED_VALUE"""),"")</f>
        <v/>
      </c>
      <c r="G1209" s="44" t="str">
        <f>IFERROR(__xludf.DUMMYFUNCTION("""COMPUTED_VALUE"""),"")</f>
        <v/>
      </c>
      <c r="H1209" s="44" t="str">
        <f>IFERROR(__xludf.DUMMYFUNCTION("""COMPUTED_VALUE"""),"")</f>
        <v/>
      </c>
      <c r="I1209" s="44"/>
      <c r="J1209" s="44" t="str">
        <f>IFERROR(__xludf.DUMMYFUNCTION("""COMPUTED_VALUE"""),"")</f>
        <v/>
      </c>
      <c r="K1209" s="42" t="str">
        <f>IFERROR(__xludf.DUMMYFUNCTION("""COMPUTED_VALUE"""),"Campo de Golf Playa los Cocos")</f>
        <v>Campo de Golf Playa los Cocos</v>
      </c>
    </row>
    <row r="1210">
      <c r="A1210" s="44">
        <v>1209.0</v>
      </c>
      <c r="B1210" s="44" t="str">
        <f>IFERROR(__xludf.DUMMYFUNCTION("""COMPUTED_VALUE"""),"Hospital Pérez Carreño")</f>
        <v>Hospital Pérez Carreño</v>
      </c>
      <c r="C1210" s="45" t="str">
        <f>IFERROR(__xludf.DUMMYFUNCTION("""COMPUTED_VALUE"""),"Angel Ortega")</f>
        <v>Angel Ortega</v>
      </c>
      <c r="D1210" s="44"/>
      <c r="E1210" s="44" t="str">
        <f>IFERROR(__xludf.DUMMYFUNCTION("""COMPUTED_VALUE"""),"")</f>
        <v/>
      </c>
      <c r="F1210" s="44" t="str">
        <f>IFERROR(__xludf.DUMMYFUNCTION("""COMPUTED_VALUE"""),"")</f>
        <v/>
      </c>
      <c r="G1210" s="44" t="str">
        <f>IFERROR(__xludf.DUMMYFUNCTION("""COMPUTED_VALUE"""),"Traumashock ")</f>
        <v>Traumashock </v>
      </c>
      <c r="H1210" s="44" t="str">
        <f>IFERROR(__xludf.DUMMYFUNCTION("""COMPUTED_VALUE"""),"Hospital Miguel Perez Carreño")</f>
        <v>Hospital Miguel Perez Carreño</v>
      </c>
      <c r="I1210" s="44"/>
      <c r="J1210" s="44" t="str">
        <f>IFERROR(__xludf.DUMMYFUNCTION("""COMPUTED_VALUE"""),"26/6/26")</f>
        <v>26/6/26</v>
      </c>
      <c r="K1210" s="42" t="str">
        <f>IFERROR(__xludf.DUMMYFUNCTION("""COMPUTED_VALUE"""),"Hospital Pérez Carreño")</f>
        <v>Hospital Pérez Carreño</v>
      </c>
    </row>
    <row r="1211">
      <c r="A1211" s="44">
        <v>1210.0</v>
      </c>
      <c r="B1211" s="44" t="str">
        <f>IFERROR(__xludf.DUMMYFUNCTION("""COMPUTED_VALUE"""),"Campo de Golf Playa los Cocos")</f>
        <v>Campo de Golf Playa los Cocos</v>
      </c>
      <c r="C1211" s="45" t="str">
        <f>IFERROR(__xludf.DUMMYFUNCTION("""COMPUTED_VALUE"""),"Angel Sucre")</f>
        <v>Angel Sucre</v>
      </c>
      <c r="D1211" s="44" t="str">
        <f>IFERROR(__xludf.DUMMYFUNCTION("""COMPUTED_VALUE"""),"")</f>
        <v/>
      </c>
      <c r="E1211" s="44" t="str">
        <f>IFERROR(__xludf.DUMMYFUNCTION("""COMPUTED_VALUE"""),"")</f>
        <v/>
      </c>
      <c r="F1211" s="44" t="str">
        <f>IFERROR(__xludf.DUMMYFUNCTION("""COMPUTED_VALUE"""),"")</f>
        <v/>
      </c>
      <c r="G1211" s="44" t="str">
        <f>IFERROR(__xludf.DUMMYFUNCTION("""COMPUTED_VALUE"""),"")</f>
        <v/>
      </c>
      <c r="H1211" s="44" t="str">
        <f>IFERROR(__xludf.DUMMYFUNCTION("""COMPUTED_VALUE"""),"")</f>
        <v/>
      </c>
      <c r="I1211" s="44"/>
      <c r="J1211" s="44" t="str">
        <f>IFERROR(__xludf.DUMMYFUNCTION("""COMPUTED_VALUE"""),"")</f>
        <v/>
      </c>
      <c r="K1211" s="42" t="str">
        <f>IFERROR(__xludf.DUMMYFUNCTION("""COMPUTED_VALUE"""),"Campo de Golf Playa los Cocos")</f>
        <v>Campo de Golf Playa los Cocos</v>
      </c>
    </row>
    <row r="1212">
      <c r="A1212" s="44">
        <v>1211.0</v>
      </c>
      <c r="B1212" s="44" t="str">
        <f>IFERROR(__xludf.DUMMYFUNCTION("""COMPUTED_VALUE"""),"Campo de Golf Playa los Cocos")</f>
        <v>Campo de Golf Playa los Cocos</v>
      </c>
      <c r="C1212" s="45" t="str">
        <f>IFERROR(__xludf.DUMMYFUNCTION("""COMPUTED_VALUE"""),"Angeli Camargo")</f>
        <v>Angeli Camargo</v>
      </c>
      <c r="D1212" s="44" t="str">
        <f>IFERROR(__xludf.DUMMYFUNCTION("""COMPUTED_VALUE"""),"")</f>
        <v/>
      </c>
      <c r="E1212" s="44" t="str">
        <f>IFERROR(__xludf.DUMMYFUNCTION("""COMPUTED_VALUE"""),"")</f>
        <v/>
      </c>
      <c r="F1212" s="44" t="str">
        <f>IFERROR(__xludf.DUMMYFUNCTION("""COMPUTED_VALUE"""),"")</f>
        <v/>
      </c>
      <c r="G1212" s="44" t="str">
        <f>IFERROR(__xludf.DUMMYFUNCTION("""COMPUTED_VALUE"""),"")</f>
        <v/>
      </c>
      <c r="H1212" s="44" t="str">
        <f>IFERROR(__xludf.DUMMYFUNCTION("""COMPUTED_VALUE"""),"")</f>
        <v/>
      </c>
      <c r="I1212" s="44"/>
      <c r="J1212" s="44" t="str">
        <f>IFERROR(__xludf.DUMMYFUNCTION("""COMPUTED_VALUE"""),"")</f>
        <v/>
      </c>
      <c r="K1212" s="42" t="str">
        <f>IFERROR(__xludf.DUMMYFUNCTION("""COMPUTED_VALUE"""),"Campo de Golf Playa los Cocos")</f>
        <v>Campo de Golf Playa los Cocos</v>
      </c>
    </row>
    <row r="1213">
      <c r="A1213" s="44">
        <v>1212.0</v>
      </c>
      <c r="B1213" s="44" t="str">
        <f>IFERROR(__xludf.DUMMYFUNCTION("""COMPUTED_VALUE"""),"Campo de Golf Playa los Cocos")</f>
        <v>Campo de Golf Playa los Cocos</v>
      </c>
      <c r="C1213" s="45" t="str">
        <f>IFERROR(__xludf.DUMMYFUNCTION("""COMPUTED_VALUE"""),"Angelimar Blanco")</f>
        <v>Angelimar Blanco</v>
      </c>
      <c r="D1213" s="44" t="str">
        <f>IFERROR(__xludf.DUMMYFUNCTION("""COMPUTED_VALUE"""),"")</f>
        <v/>
      </c>
      <c r="E1213" s="44" t="str">
        <f>IFERROR(__xludf.DUMMYFUNCTION("""COMPUTED_VALUE"""),"")</f>
        <v/>
      </c>
      <c r="F1213" s="44" t="str">
        <f>IFERROR(__xludf.DUMMYFUNCTION("""COMPUTED_VALUE"""),"")</f>
        <v/>
      </c>
      <c r="G1213" s="44" t="str">
        <f>IFERROR(__xludf.DUMMYFUNCTION("""COMPUTED_VALUE"""),"")</f>
        <v/>
      </c>
      <c r="H1213" s="44" t="str">
        <f>IFERROR(__xludf.DUMMYFUNCTION("""COMPUTED_VALUE"""),"")</f>
        <v/>
      </c>
      <c r="I1213" s="44"/>
      <c r="J1213" s="44" t="str">
        <f>IFERROR(__xludf.DUMMYFUNCTION("""COMPUTED_VALUE"""),"")</f>
        <v/>
      </c>
      <c r="K1213" s="42" t="str">
        <f>IFERROR(__xludf.DUMMYFUNCTION("""COMPUTED_VALUE"""),"Campo de Golf Playa los Cocos")</f>
        <v>Campo de Golf Playa los Cocos</v>
      </c>
    </row>
    <row r="1214">
      <c r="A1214" s="44">
        <v>1213.0</v>
      </c>
      <c r="B1214" s="44" t="str">
        <f>IFERROR(__xludf.DUMMYFUNCTION("""COMPUTED_VALUE"""),"Hospital Pérez Carreño")</f>
        <v>Hospital Pérez Carreño</v>
      </c>
      <c r="C1214" s="45" t="str">
        <f>IFERROR(__xludf.DUMMYFUNCTION("""COMPUTED_VALUE"""),"Angelitz Gonzalez")</f>
        <v>Angelitz Gonzalez</v>
      </c>
      <c r="D1214" s="44" t="str">
        <f>IFERROR(__xludf.DUMMYFUNCTION("""COMPUTED_VALUE"""),"37 años")</f>
        <v>37 años</v>
      </c>
      <c r="E1214" s="44" t="str">
        <f>IFERROR(__xludf.DUMMYFUNCTION("""COMPUTED_VALUE"""),"")</f>
        <v/>
      </c>
      <c r="F1214" s="44" t="str">
        <f>IFERROR(__xludf.DUMMYFUNCTION("""COMPUTED_VALUE"""),"")</f>
        <v/>
      </c>
      <c r="G1214" s="44" t="str">
        <f>IFERROR(__xludf.DUMMYFUNCTION("""COMPUTED_VALUE"""),"Traumashock")</f>
        <v>Traumashock</v>
      </c>
      <c r="H1214" s="44" t="str">
        <f>IFERROR(__xludf.DUMMYFUNCTION("""COMPUTED_VALUE"""),"Hospital Miguel Perez Carreño")</f>
        <v>Hospital Miguel Perez Carreño</v>
      </c>
      <c r="I1214" s="44"/>
      <c r="J1214" s="44" t="str">
        <f>IFERROR(__xludf.DUMMYFUNCTION("""COMPUTED_VALUE"""),"26/6/26")</f>
        <v>26/6/26</v>
      </c>
      <c r="K1214" s="42" t="str">
        <f>IFERROR(__xludf.DUMMYFUNCTION("""COMPUTED_VALUE"""),"Hospital Pérez Carreño")</f>
        <v>Hospital Pérez Carreño</v>
      </c>
    </row>
    <row r="1215">
      <c r="A1215" s="44">
        <v>1214.0</v>
      </c>
      <c r="B1215" s="44" t="str">
        <f>IFERROR(__xludf.DUMMYFUNCTION("""COMPUTED_VALUE"""),"Campo de Golf Playa los Cocos")</f>
        <v>Campo de Golf Playa los Cocos</v>
      </c>
      <c r="C1215" s="45" t="str">
        <f>IFERROR(__xludf.DUMMYFUNCTION("""COMPUTED_VALUE"""),"Angelo Blanco")</f>
        <v>Angelo Blanco</v>
      </c>
      <c r="D1215" s="44" t="str">
        <f>IFERROR(__xludf.DUMMYFUNCTION("""COMPUTED_VALUE"""),"")</f>
        <v/>
      </c>
      <c r="E1215" s="44" t="str">
        <f>IFERROR(__xludf.DUMMYFUNCTION("""COMPUTED_VALUE"""),"")</f>
        <v/>
      </c>
      <c r="F1215" s="44" t="str">
        <f>IFERROR(__xludf.DUMMYFUNCTION("""COMPUTED_VALUE"""),"")</f>
        <v/>
      </c>
      <c r="G1215" s="44" t="str">
        <f>IFERROR(__xludf.DUMMYFUNCTION("""COMPUTED_VALUE"""),"")</f>
        <v/>
      </c>
      <c r="H1215" s="44" t="str">
        <f>IFERROR(__xludf.DUMMYFUNCTION("""COMPUTED_VALUE"""),"")</f>
        <v/>
      </c>
      <c r="I1215" s="44" t="str">
        <f>IFERROR(__xludf.DUMMYFUNCTION("""COMPUTED_VALUE"""),"menor")</f>
        <v>menor</v>
      </c>
      <c r="J1215" s="44" t="str">
        <f>IFERROR(__xludf.DUMMYFUNCTION("""COMPUTED_VALUE"""),"")</f>
        <v/>
      </c>
      <c r="K1215" s="42" t="str">
        <f>IFERROR(__xludf.DUMMYFUNCTION("""COMPUTED_VALUE"""),"Campo de Golf Playa los Cocos")</f>
        <v>Campo de Golf Playa los Cocos</v>
      </c>
    </row>
    <row r="1216">
      <c r="A1216" s="44">
        <v>1215.0</v>
      </c>
      <c r="B1216" s="44" t="str">
        <f>IFERROR(__xludf.DUMMYFUNCTION("""COMPUTED_VALUE"""),"Seguro Social La Guaira")</f>
        <v>Seguro Social La Guaira</v>
      </c>
      <c r="C1216" s="45" t="str">
        <f>IFERROR(__xludf.DUMMYFUNCTION("""COMPUTED_VALUE"""),"ANGI PEREZ")</f>
        <v>ANGI PEREZ</v>
      </c>
      <c r="D1216" s="44">
        <f>IFERROR(__xludf.DUMMYFUNCTION("""COMPUTED_VALUE"""),45.0)</f>
        <v>45</v>
      </c>
      <c r="E1216" s="44" t="str">
        <f>IFERROR(__xludf.DUMMYFUNCTION("""COMPUTED_VALUE"""),"")</f>
        <v/>
      </c>
      <c r="F1216" s="44" t="str">
        <f>IFERROR(__xludf.DUMMYFUNCTION("""COMPUTED_VALUE"""),"")</f>
        <v/>
      </c>
      <c r="G1216" s="44" t="str">
        <f>IFERROR(__xludf.DUMMYFUNCTION("""COMPUTED_VALUE""")," ")</f>
        <v> </v>
      </c>
      <c r="H1216" s="44" t="str">
        <f>IFERROR(__xludf.DUMMYFUNCTION("""COMPUTED_VALUE"""),"Tanaguarena")</f>
        <v>Tanaguarena</v>
      </c>
      <c r="I1216" s="44" t="str">
        <f>IFERROR(__xludf.DUMMYFUNCTION("""COMPUTED_VALUE""")," ")</f>
        <v> </v>
      </c>
      <c r="J1216" s="44" t="str">
        <f>IFERROR(__xludf.DUMMYFUNCTION("""COMPUTED_VALUE"""),"")</f>
        <v/>
      </c>
      <c r="K1216" s="42" t="str">
        <f>IFERROR(__xludf.DUMMYFUNCTION("""COMPUTED_VALUE"""),"Seguro Social La Guaira")</f>
        <v>Seguro Social La Guaira</v>
      </c>
    </row>
    <row r="1217">
      <c r="A1217" s="44">
        <v>1216.0</v>
      </c>
      <c r="B1217" s="44" t="str">
        <f>IFERROR(__xludf.DUMMYFUNCTION("""COMPUTED_VALUE"""),"Hospital Vargas de Caracas")</f>
        <v>Hospital Vargas de Caracas</v>
      </c>
      <c r="C1217" s="45" t="str">
        <f>IFERROR(__xludf.DUMMYFUNCTION("""COMPUTED_VALUE"""),"ANIBAL ROSA")</f>
        <v>ANIBAL ROSA</v>
      </c>
      <c r="D1217" s="44" t="str">
        <f>IFERROR(__xludf.DUMMYFUNCTION("""COMPUTED_VALUE""")," ")</f>
        <v> </v>
      </c>
      <c r="E1217" s="44" t="str">
        <f>IFERROR(__xludf.DUMMYFUNCTION("""COMPUTED_VALUE"""),"")</f>
        <v/>
      </c>
      <c r="F1217" s="44" t="str">
        <f>IFERROR(__xludf.DUMMYFUNCTION("""COMPUTED_VALUE""")," ")</f>
        <v> </v>
      </c>
      <c r="G1217" s="44" t="str">
        <f>IFERROR(__xludf.DUMMYFUNCTION("""COMPUTED_VALUE"""),"")</f>
        <v/>
      </c>
      <c r="H1217" s="44" t="str">
        <f>IFERROR(__xludf.DUMMYFUNCTION("""COMPUTED_VALUE""")," ")</f>
        <v> </v>
      </c>
      <c r="I1217" s="44" t="str">
        <f>IFERROR(__xludf.DUMMYFUNCTION("""COMPUTED_VALUE""")," ")</f>
        <v> </v>
      </c>
      <c r="J1217" s="44" t="str">
        <f>IFERROR(__xludf.DUMMYFUNCTION("""COMPUTED_VALUE"""),"")</f>
        <v/>
      </c>
      <c r="K1217" s="42" t="str">
        <f>IFERROR(__xludf.DUMMYFUNCTION("""COMPUTED_VALUE"""),"Hospital Vargas de Caracas")</f>
        <v>Hospital Vargas de Caracas</v>
      </c>
    </row>
    <row r="1218">
      <c r="A1218" s="44">
        <v>1217.0</v>
      </c>
      <c r="B1218" s="44" t="str">
        <f>IFERROR(__xludf.DUMMYFUNCTION("""COMPUTED_VALUE"""),"Campo de Golf Playa los Cocos")</f>
        <v>Campo de Golf Playa los Cocos</v>
      </c>
      <c r="C1218" s="45" t="str">
        <f>IFERROR(__xludf.DUMMYFUNCTION("""COMPUTED_VALUE"""),"Aniyanlis Arionnis Meza")</f>
        <v>Aniyanlis Arionnis Meza</v>
      </c>
      <c r="D1218" s="44" t="str">
        <f>IFERROR(__xludf.DUMMYFUNCTION("""COMPUTED_VALUE"""),"")</f>
        <v/>
      </c>
      <c r="E1218" s="44" t="str">
        <f>IFERROR(__xludf.DUMMYFUNCTION("""COMPUTED_VALUE"""),"")</f>
        <v/>
      </c>
      <c r="F1218" s="44" t="str">
        <f>IFERROR(__xludf.DUMMYFUNCTION("""COMPUTED_VALUE"""),"")</f>
        <v/>
      </c>
      <c r="G1218" s="44" t="str">
        <f>IFERROR(__xludf.DUMMYFUNCTION("""COMPUTED_VALUE"""),"")</f>
        <v/>
      </c>
      <c r="H1218" s="44" t="str">
        <f>IFERROR(__xludf.DUMMYFUNCTION("""COMPUTED_VALUE"""),"")</f>
        <v/>
      </c>
      <c r="I1218" s="44" t="str">
        <f>IFERROR(__xludf.DUMMYFUNCTION("""COMPUTED_VALUE"""),"menor")</f>
        <v>menor</v>
      </c>
      <c r="J1218" s="44" t="str">
        <f>IFERROR(__xludf.DUMMYFUNCTION("""COMPUTED_VALUE"""),"")</f>
        <v/>
      </c>
      <c r="K1218" s="42" t="str">
        <f>IFERROR(__xludf.DUMMYFUNCTION("""COMPUTED_VALUE"""),"Campo de Golf Playa los Cocos")</f>
        <v>Campo de Golf Playa los Cocos</v>
      </c>
    </row>
    <row r="1219">
      <c r="A1219" s="44">
        <v>1218.0</v>
      </c>
      <c r="B1219" s="44" t="str">
        <f>IFERROR(__xludf.DUMMYFUNCTION("""COMPUTED_VALUE"""),"Campo de Golf Playa los Cocos")</f>
        <v>Campo de Golf Playa los Cocos</v>
      </c>
      <c r="C1219" s="45" t="str">
        <f>IFERROR(__xludf.DUMMYFUNCTION("""COMPUTED_VALUE"""),"Anly Vasquez")</f>
        <v>Anly Vasquez</v>
      </c>
      <c r="D1219" s="44" t="str">
        <f>IFERROR(__xludf.DUMMYFUNCTION("""COMPUTED_VALUE"""),"")</f>
        <v/>
      </c>
      <c r="E1219" s="44" t="str">
        <f>IFERROR(__xludf.DUMMYFUNCTION("""COMPUTED_VALUE"""),"")</f>
        <v/>
      </c>
      <c r="F1219" s="44" t="str">
        <f>IFERROR(__xludf.DUMMYFUNCTION("""COMPUTED_VALUE"""),"")</f>
        <v/>
      </c>
      <c r="G1219" s="44" t="str">
        <f>IFERROR(__xludf.DUMMYFUNCTION("""COMPUTED_VALUE"""),"")</f>
        <v/>
      </c>
      <c r="H1219" s="44" t="str">
        <f>IFERROR(__xludf.DUMMYFUNCTION("""COMPUTED_VALUE"""),"")</f>
        <v/>
      </c>
      <c r="I1219" s="44"/>
      <c r="J1219" s="44" t="str">
        <f>IFERROR(__xludf.DUMMYFUNCTION("""COMPUTED_VALUE"""),"")</f>
        <v/>
      </c>
      <c r="K1219" s="42" t="str">
        <f>IFERROR(__xludf.DUMMYFUNCTION("""COMPUTED_VALUE"""),"Campo de Golf Playa los Cocos")</f>
        <v>Campo de Golf Playa los Cocos</v>
      </c>
    </row>
    <row r="1220">
      <c r="A1220" s="44">
        <v>1219.0</v>
      </c>
      <c r="B1220" s="44" t="str">
        <f>IFERROR(__xludf.DUMMYFUNCTION("""COMPUTED_VALUE"""),"Hospital Domingo Luciani")</f>
        <v>Hospital Domingo Luciani</v>
      </c>
      <c r="C1220" s="45" t="str">
        <f>IFERROR(__xludf.DUMMYFUNCTION("""COMPUTED_VALUE"""),"ANTHON JESUS")</f>
        <v>ANTHON JESUS</v>
      </c>
      <c r="D1220" s="44">
        <f>IFERROR(__xludf.DUMMYFUNCTION("""COMPUTED_VALUE"""),52.0)</f>
        <v>52</v>
      </c>
      <c r="E1220" s="44" t="str">
        <f>IFERROR(__xludf.DUMMYFUNCTION("""COMPUTED_VALUE"""),"")</f>
        <v/>
      </c>
      <c r="F1220" s="44" t="str">
        <f>IFERROR(__xludf.DUMMYFUNCTION("""COMPUTED_VALUE"""),"")</f>
        <v/>
      </c>
      <c r="G1220" s="44" t="str">
        <f>IFERROR(__xludf.DUMMYFUNCTION("""COMPUTED_VALUE""")," ")</f>
        <v> </v>
      </c>
      <c r="H1220" s="44" t="str">
        <f>IFERROR(__xludf.DUMMYFUNCTION("""COMPUTED_VALUE""")," ")</f>
        <v> </v>
      </c>
      <c r="I1220" s="44" t="str">
        <f>IFERROR(__xludf.DUMMYFUNCTION("""COMPUTED_VALUE"""),"La Guaira – Ingresos 9am")</f>
        <v>La Guaira – Ingresos 9am</v>
      </c>
      <c r="J1220" s="44" t="str">
        <f>IFERROR(__xludf.DUMMYFUNCTION("""COMPUTED_VALUE"""),"")</f>
        <v/>
      </c>
      <c r="K1220" s="42" t="str">
        <f>IFERROR(__xludf.DUMMYFUNCTION("""COMPUTED_VALUE"""),"🔍 BUSCAR PACIENTES")</f>
        <v>🔍 BUSCAR PACIENTES</v>
      </c>
    </row>
    <row r="1221">
      <c r="A1221" s="44">
        <v>1220.0</v>
      </c>
      <c r="B1221" s="44" t="str">
        <f>IFERROR(__xludf.DUMMYFUNCTION("""COMPUTED_VALUE"""),"Campo de Golf Playa los Cocos")</f>
        <v>Campo de Golf Playa los Cocos</v>
      </c>
      <c r="C1221" s="45" t="str">
        <f>IFERROR(__xludf.DUMMYFUNCTION("""COMPUTED_VALUE"""),"Anthony Salazar")</f>
        <v>Anthony Salazar</v>
      </c>
      <c r="D1221" s="44" t="str">
        <f>IFERROR(__xludf.DUMMYFUNCTION("""COMPUTED_VALUE"""),"")</f>
        <v/>
      </c>
      <c r="E1221" s="44" t="str">
        <f>IFERROR(__xludf.DUMMYFUNCTION("""COMPUTED_VALUE"""),"")</f>
        <v/>
      </c>
      <c r="F1221" s="44" t="str">
        <f>IFERROR(__xludf.DUMMYFUNCTION("""COMPUTED_VALUE"""),"")</f>
        <v/>
      </c>
      <c r="G1221" s="44" t="str">
        <f>IFERROR(__xludf.DUMMYFUNCTION("""COMPUTED_VALUE"""),"")</f>
        <v/>
      </c>
      <c r="H1221" s="44" t="str">
        <f>IFERROR(__xludf.DUMMYFUNCTION("""COMPUTED_VALUE"""),"")</f>
        <v/>
      </c>
      <c r="I1221" s="44"/>
      <c r="J1221" s="44" t="str">
        <f>IFERROR(__xludf.DUMMYFUNCTION("""COMPUTED_VALUE"""),"")</f>
        <v/>
      </c>
      <c r="K1221" s="42" t="str">
        <f>IFERROR(__xludf.DUMMYFUNCTION("""COMPUTED_VALUE"""),"Campo de Golf Playa los Cocos")</f>
        <v>Campo de Golf Playa los Cocos</v>
      </c>
    </row>
    <row r="1222">
      <c r="A1222" s="44">
        <v>1221.0</v>
      </c>
      <c r="B1222" s="44" t="str">
        <f>IFERROR(__xludf.DUMMYFUNCTION("""COMPUTED_VALUE"""),"Hospital Pérez Carreño")</f>
        <v>Hospital Pérez Carreño</v>
      </c>
      <c r="C1222" s="45" t="str">
        <f>IFERROR(__xludf.DUMMYFUNCTION("""COMPUTED_VALUE"""),"Antonella Brito")</f>
        <v>Antonella Brito</v>
      </c>
      <c r="D1222" s="44" t="str">
        <f>IFERROR(__xludf.DUMMYFUNCTION("""COMPUTED_VALUE"""),"La Guaira")</f>
        <v>La Guaira</v>
      </c>
      <c r="E1222" s="44" t="str">
        <f>IFERROR(__xludf.DUMMYFUNCTION("""COMPUTED_VALUE"""),"")</f>
        <v/>
      </c>
      <c r="F1222" s="44" t="str">
        <f>IFERROR(__xludf.DUMMYFUNCTION("""COMPUTED_VALUE"""),"")</f>
        <v/>
      </c>
      <c r="G1222" s="44"/>
      <c r="H1222" s="44"/>
      <c r="I1222" s="44"/>
      <c r="J1222" s="44"/>
      <c r="K1222" s="42" t="str">
        <f>IFERROR(__xludf.DUMMYFUNCTION("""COMPUTED_VALUE"""),"Hospital Pérez Carreño")</f>
        <v>Hospital Pérez Carreño</v>
      </c>
    </row>
    <row r="1223">
      <c r="A1223" s="44">
        <v>1222.0</v>
      </c>
      <c r="B1223" s="44" t="str">
        <f>IFERROR(__xludf.DUMMYFUNCTION("""COMPUTED_VALUE"""),"Periférico de Catia")</f>
        <v>Periférico de Catia</v>
      </c>
      <c r="C1223" s="45" t="str">
        <f>IFERROR(__xludf.DUMMYFUNCTION("""COMPUTED_VALUE"""),"Antonella Marin")</f>
        <v>Antonella Marin</v>
      </c>
      <c r="D1223" s="44">
        <f>IFERROR(__xludf.DUMMYFUNCTION("""COMPUTED_VALUE"""),17.0)</f>
        <v>17</v>
      </c>
      <c r="E1223" s="44" t="str">
        <f>IFERROR(__xludf.DUMMYFUNCTION("""COMPUTED_VALUE"""),"")</f>
        <v/>
      </c>
      <c r="F1223" s="44" t="str">
        <f>IFERROR(__xludf.DUMMYFUNCTION("""COMPUTED_VALUE"""),"")</f>
        <v/>
      </c>
      <c r="G1223" s="44"/>
      <c r="H1223" s="44"/>
      <c r="I1223" s="44" t="str">
        <f>IFERROR(__xludf.DUMMYFUNCTION("""COMPUTED_VALUE"""),"Politrauma Emergencia Vieja")</f>
        <v>Politrauma Emergencia Vieja</v>
      </c>
      <c r="J1223" s="44" t="str">
        <f>IFERROR(__xludf.DUMMYFUNCTION("""COMPUTED_VALUE"""),"")</f>
        <v/>
      </c>
      <c r="K1223" s="42" t="str">
        <f>IFERROR(__xludf.DUMMYFUNCTION("""COMPUTED_VALUE"""),"Periférico de Catia")</f>
        <v>Periférico de Catia</v>
      </c>
    </row>
    <row r="1224">
      <c r="A1224" s="44">
        <v>1223.0</v>
      </c>
      <c r="B1224" s="44" t="str">
        <f>IFERROR(__xludf.DUMMYFUNCTION("""COMPUTED_VALUE"""),"Hospital Domingo Luciani")</f>
        <v>Hospital Domingo Luciani</v>
      </c>
      <c r="C1224" s="45" t="str">
        <f>IFERROR(__xludf.DUMMYFUNCTION("""COMPUTED_VALUE"""),"ANTONELLE MERIN / ANTONELLE MERRIN")</f>
        <v>ANTONELLE MERIN / ANTONELLE MERRIN</v>
      </c>
      <c r="D1224" s="44">
        <f>IFERROR(__xludf.DUMMYFUNCTION("""COMPUTED_VALUE"""),17.0)</f>
        <v>17</v>
      </c>
      <c r="E1224" s="44" t="str">
        <f>IFERROR(__xludf.DUMMYFUNCTION("""COMPUTED_VALUE"""),"")</f>
        <v/>
      </c>
      <c r="F1224" s="44" t="str">
        <f>IFERROR(__xludf.DUMMYFUNCTION("""COMPUTED_VALUE"""),"")</f>
        <v/>
      </c>
      <c r="G1224" s="44" t="str">
        <f>IFERROR(__xludf.DUMMYFUNCTION("""COMPUTED_VALUE""")," ")</f>
        <v> </v>
      </c>
      <c r="H1224" s="44" t="str">
        <f>IFERROR(__xludf.DUMMYFUNCTION("""COMPUTED_VALUE""")," ")</f>
        <v> </v>
      </c>
      <c r="I1224" s="44" t="str">
        <f>IFERROR(__xludf.DUMMYFUNCTION("""COMPUTED_VALUE"""),"Politrauma Emerg. Vieja")</f>
        <v>Politrauma Emerg. Vieja</v>
      </c>
      <c r="J1224" s="44" t="str">
        <f>IFERROR(__xludf.DUMMYFUNCTION("""COMPUTED_VALUE"""),"")</f>
        <v/>
      </c>
      <c r="K1224" s="42" t="str">
        <f>IFERROR(__xludf.DUMMYFUNCTION("""COMPUTED_VALUE"""),"🔍 BUSCAR PACIENTES")</f>
        <v>🔍 BUSCAR PACIENTES</v>
      </c>
    </row>
    <row r="1225">
      <c r="A1225" s="44">
        <v>1224.0</v>
      </c>
      <c r="B1225" s="44" t="str">
        <f>IFERROR(__xludf.DUMMYFUNCTION("""COMPUTED_VALUE"""),"Seguro Social La Guaira")</f>
        <v>Seguro Social La Guaira</v>
      </c>
      <c r="C1225" s="45" t="str">
        <f>IFERROR(__xludf.DUMMYFUNCTION("""COMPUTED_VALUE"""),"ANTONIO HERRERA ROMERO")</f>
        <v>ANTONIO HERRERA ROMERO</v>
      </c>
      <c r="D1225" s="44">
        <f>IFERROR(__xludf.DUMMYFUNCTION("""COMPUTED_VALUE"""),83.0)</f>
        <v>83</v>
      </c>
      <c r="E1225" s="44" t="str">
        <f>IFERROR(__xludf.DUMMYFUNCTION("""COMPUTED_VALUE"""),"")</f>
        <v/>
      </c>
      <c r="F1225" s="44" t="str">
        <f>IFERROR(__xludf.DUMMYFUNCTION("""COMPUTED_VALUE"""),"")</f>
        <v/>
      </c>
      <c r="G1225" s="44" t="str">
        <f>IFERROR(__xludf.DUMMYFUNCTION("""COMPUTED_VALUE""")," ")</f>
        <v> </v>
      </c>
      <c r="H1225" s="44" t="str">
        <f>IFERROR(__xludf.DUMMYFUNCTION("""COMPUTED_VALUE"""),"Macuto")</f>
        <v>Macuto</v>
      </c>
      <c r="I1225" s="44" t="str">
        <f>IFERROR(__xludf.DUMMYFUNCTION("""COMPUTED_VALUE""")," ")</f>
        <v> </v>
      </c>
      <c r="J1225" s="44" t="str">
        <f>IFERROR(__xludf.DUMMYFUNCTION("""COMPUTED_VALUE"""),"")</f>
        <v/>
      </c>
      <c r="K1225" s="42" t="str">
        <f>IFERROR(__xludf.DUMMYFUNCTION("""COMPUTED_VALUE"""),"Seguro Social La Guaira")</f>
        <v>Seguro Social La Guaira</v>
      </c>
    </row>
    <row r="1226">
      <c r="A1226" s="44">
        <v>1225.0</v>
      </c>
      <c r="B1226" s="44" t="str">
        <f>IFERROR(__xludf.DUMMYFUNCTION("""COMPUTED_VALUE"""),"Seguro Social La Guaira")</f>
        <v>Seguro Social La Guaira</v>
      </c>
      <c r="C1226" s="45" t="str">
        <f>IFERROR(__xludf.DUMMYFUNCTION("""COMPUTED_VALUE"""),"ANTONIO VENDILLE")</f>
        <v>ANTONIO VENDILLE</v>
      </c>
      <c r="D1226" s="44">
        <f>IFERROR(__xludf.DUMMYFUNCTION("""COMPUTED_VALUE"""),21.0)</f>
        <v>21</v>
      </c>
      <c r="E1226" s="44" t="str">
        <f>IFERROR(__xludf.DUMMYFUNCTION("""COMPUTED_VALUE"""),"")</f>
        <v/>
      </c>
      <c r="F1226" s="44" t="str">
        <f>IFERROR(__xludf.DUMMYFUNCTION("""COMPUTED_VALUE"""),"")</f>
        <v/>
      </c>
      <c r="G1226" s="44" t="str">
        <f>IFERROR(__xludf.DUMMYFUNCTION("""COMPUTED_VALUE""")," ")</f>
        <v> </v>
      </c>
      <c r="H1226" s="44" t="str">
        <f>IFERROR(__xludf.DUMMYFUNCTION("""COMPUTED_VALUE"""),"Caraballeda")</f>
        <v>Caraballeda</v>
      </c>
      <c r="I1226" s="44" t="str">
        <f>IFERROR(__xludf.DUMMYFUNCTION("""COMPUTED_VALUE""")," ")</f>
        <v> </v>
      </c>
      <c r="J1226" s="44" t="str">
        <f>IFERROR(__xludf.DUMMYFUNCTION("""COMPUTED_VALUE"""),"")</f>
        <v/>
      </c>
      <c r="K1226" s="42" t="str">
        <f>IFERROR(__xludf.DUMMYFUNCTION("""COMPUTED_VALUE"""),"Seguro Social La Guaira")</f>
        <v>Seguro Social La Guaira</v>
      </c>
    </row>
    <row r="1227">
      <c r="A1227" s="44">
        <v>1226.0</v>
      </c>
      <c r="B1227" s="44" t="str">
        <f>IFERROR(__xludf.DUMMYFUNCTION("""COMPUTED_VALUE"""),"H. Jose Maria Vargas LG")</f>
        <v>H. Jose Maria Vargas LG</v>
      </c>
      <c r="C1227" s="45" t="str">
        <f>IFERROR(__xludf.DUMMYFUNCTION("""COMPUTED_VALUE"""),"ANTUAM CARLOS")</f>
        <v>ANTUAM CARLOS</v>
      </c>
      <c r="D1227" s="44" t="str">
        <f>IFERROR(__xludf.DUMMYFUNCTION("""COMPUTED_VALUE""")," ")</f>
        <v> </v>
      </c>
      <c r="E1227" s="44" t="str">
        <f>IFERROR(__xludf.DUMMYFUNCTION("""COMPUTED_VALUE"""),"")</f>
        <v/>
      </c>
      <c r="F1227" s="44" t="str">
        <f>IFERROR(__xludf.DUMMYFUNCTION("""COMPUTED_VALUE"""),"")</f>
        <v/>
      </c>
      <c r="G1227" s="44" t="str">
        <f>IFERROR(__xludf.DUMMYFUNCTION("""COMPUTED_VALUE""")," ")</f>
        <v> </v>
      </c>
      <c r="H1227" s="44" t="str">
        <f>IFERROR(__xludf.DUMMYFUNCTION("""COMPUTED_VALUE""")," ")</f>
        <v> </v>
      </c>
      <c r="I1227" s="44" t="str">
        <f>IFERROR(__xludf.DUMMYFUNCTION("""COMPUTED_VALUE""")," ")</f>
        <v> </v>
      </c>
      <c r="J1227" s="44" t="str">
        <f>IFERROR(__xludf.DUMMYFUNCTION("""COMPUTED_VALUE"""),"")</f>
        <v/>
      </c>
      <c r="K1227" s="42" t="str">
        <f>IFERROR(__xludf.DUMMYFUNCTION("""COMPUTED_VALUE"""),"H. Jose Maria Vargas LG")</f>
        <v>H. Jose Maria Vargas LG</v>
      </c>
    </row>
    <row r="1228">
      <c r="A1228" s="44">
        <v>1227.0</v>
      </c>
      <c r="B1228" s="44" t="str">
        <f>IFERROR(__xludf.DUMMYFUNCTION("""COMPUTED_VALUE"""),"Campo de Golf Playa los Cocos")</f>
        <v>Campo de Golf Playa los Cocos</v>
      </c>
      <c r="C1228" s="45" t="str">
        <f>IFERROR(__xludf.DUMMYFUNCTION("""COMPUTED_VALUE"""),"Anyela Planas")</f>
        <v>Anyela Planas</v>
      </c>
      <c r="D1228" s="44" t="str">
        <f>IFERROR(__xludf.DUMMYFUNCTION("""COMPUTED_VALUE"""),"")</f>
        <v/>
      </c>
      <c r="E1228" s="44" t="str">
        <f>IFERROR(__xludf.DUMMYFUNCTION("""COMPUTED_VALUE"""),"")</f>
        <v/>
      </c>
      <c r="F1228" s="44" t="str">
        <f>IFERROR(__xludf.DUMMYFUNCTION("""COMPUTED_VALUE"""),"")</f>
        <v/>
      </c>
      <c r="G1228" s="44" t="str">
        <f>IFERROR(__xludf.DUMMYFUNCTION("""COMPUTED_VALUE"""),"")</f>
        <v/>
      </c>
      <c r="H1228" s="44" t="str">
        <f>IFERROR(__xludf.DUMMYFUNCTION("""COMPUTED_VALUE"""),"")</f>
        <v/>
      </c>
      <c r="I1228" s="44" t="str">
        <f>IFERROR(__xludf.DUMMYFUNCTION("""COMPUTED_VALUE"""),"menor")</f>
        <v>menor</v>
      </c>
      <c r="J1228" s="44" t="str">
        <f>IFERROR(__xludf.DUMMYFUNCTION("""COMPUTED_VALUE"""),"")</f>
        <v/>
      </c>
      <c r="K1228" s="42" t="str">
        <f>IFERROR(__xludf.DUMMYFUNCTION("""COMPUTED_VALUE"""),"Campo de Golf Playa los Cocos")</f>
        <v>Campo de Golf Playa los Cocos</v>
      </c>
    </row>
    <row r="1229">
      <c r="A1229" s="44">
        <v>1228.0</v>
      </c>
      <c r="B1229" s="44" t="str">
        <f>IFERROR(__xludf.DUMMYFUNCTION("""COMPUTED_VALUE"""),"Campo de Golf Playa los Cocos")</f>
        <v>Campo de Golf Playa los Cocos</v>
      </c>
      <c r="C1229" s="45" t="str">
        <f>IFERROR(__xludf.DUMMYFUNCTION("""COMPUTED_VALUE"""),"Anyela Poleo")</f>
        <v>Anyela Poleo</v>
      </c>
      <c r="D1229" s="44" t="str">
        <f>IFERROR(__xludf.DUMMYFUNCTION("""COMPUTED_VALUE"""),"")</f>
        <v/>
      </c>
      <c r="E1229" s="44" t="str">
        <f>IFERROR(__xludf.DUMMYFUNCTION("""COMPUTED_VALUE"""),"")</f>
        <v/>
      </c>
      <c r="F1229" s="44" t="str">
        <f>IFERROR(__xludf.DUMMYFUNCTION("""COMPUTED_VALUE"""),"")</f>
        <v/>
      </c>
      <c r="G1229" s="44" t="str">
        <f>IFERROR(__xludf.DUMMYFUNCTION("""COMPUTED_VALUE"""),"")</f>
        <v/>
      </c>
      <c r="H1229" s="44" t="str">
        <f>IFERROR(__xludf.DUMMYFUNCTION("""COMPUTED_VALUE"""),"")</f>
        <v/>
      </c>
      <c r="I1229" s="44"/>
      <c r="J1229" s="44" t="str">
        <f>IFERROR(__xludf.DUMMYFUNCTION("""COMPUTED_VALUE"""),"")</f>
        <v/>
      </c>
      <c r="K1229" s="42" t="str">
        <f>IFERROR(__xludf.DUMMYFUNCTION("""COMPUTED_VALUE"""),"Campo de Golf Playa los Cocos")</f>
        <v>Campo de Golf Playa los Cocos</v>
      </c>
    </row>
    <row r="1230">
      <c r="A1230" s="44">
        <v>1229.0</v>
      </c>
      <c r="B1230" s="44" t="str">
        <f>IFERROR(__xludf.DUMMYFUNCTION("""COMPUTED_VALUE"""),"Campo de Golf Playa los Cocos")</f>
        <v>Campo de Golf Playa los Cocos</v>
      </c>
      <c r="C1230" s="45" t="str">
        <f>IFERROR(__xludf.DUMMYFUNCTION("""COMPUTED_VALUE"""),"Anyeli Camargo")</f>
        <v>Anyeli Camargo</v>
      </c>
      <c r="D1230" s="44" t="str">
        <f>IFERROR(__xludf.DUMMYFUNCTION("""COMPUTED_VALUE"""),"")</f>
        <v/>
      </c>
      <c r="E1230" s="44" t="str">
        <f>IFERROR(__xludf.DUMMYFUNCTION("""COMPUTED_VALUE"""),"")</f>
        <v/>
      </c>
      <c r="F1230" s="44" t="str">
        <f>IFERROR(__xludf.DUMMYFUNCTION("""COMPUTED_VALUE"""),"")</f>
        <v/>
      </c>
      <c r="G1230" s="44" t="str">
        <f>IFERROR(__xludf.DUMMYFUNCTION("""COMPUTED_VALUE"""),"")</f>
        <v/>
      </c>
      <c r="H1230" s="44" t="str">
        <f>IFERROR(__xludf.DUMMYFUNCTION("""COMPUTED_VALUE"""),"")</f>
        <v/>
      </c>
      <c r="I1230" s="44"/>
      <c r="J1230" s="44" t="str">
        <f>IFERROR(__xludf.DUMMYFUNCTION("""COMPUTED_VALUE"""),"")</f>
        <v/>
      </c>
      <c r="K1230" s="42" t="str">
        <f>IFERROR(__xludf.DUMMYFUNCTION("""COMPUTED_VALUE"""),"Campo de Golf Playa los Cocos")</f>
        <v>Campo de Golf Playa los Cocos</v>
      </c>
    </row>
    <row r="1231">
      <c r="A1231" s="44">
        <v>1230.0</v>
      </c>
      <c r="B1231" s="44" t="str">
        <f>IFERROR(__xludf.DUMMYFUNCTION("""COMPUTED_VALUE"""),"Hospital Pérez Carreño")</f>
        <v>Hospital Pérez Carreño</v>
      </c>
      <c r="C1231" s="45" t="str">
        <f>IFERROR(__xludf.DUMMYFUNCTION("""COMPUTED_VALUE"""),"ANYELI GONZALEZ")</f>
        <v>ANYELI GONZALEZ</v>
      </c>
      <c r="D1231" s="44">
        <f>IFERROR(__xludf.DUMMYFUNCTION("""COMPUTED_VALUE"""),37.0)</f>
        <v>37</v>
      </c>
      <c r="E1231" s="44" t="str">
        <f>IFERROR(__xludf.DUMMYFUNCTION("""COMPUTED_VALUE"""),"")</f>
        <v/>
      </c>
      <c r="F1231" s="44" t="str">
        <f>IFERROR(__xludf.DUMMYFUNCTION("""COMPUTED_VALUE"""),"")</f>
        <v/>
      </c>
      <c r="G1231" s="44" t="str">
        <f>IFERROR(__xludf.DUMMYFUNCTION("""COMPUTED_VALUE""")," ")</f>
        <v> </v>
      </c>
      <c r="H1231" s="44" t="str">
        <f>IFERROR(__xludf.DUMMYFUNCTION("""COMPUTED_VALUE""")," ")</f>
        <v> </v>
      </c>
      <c r="I1231" s="44" t="str">
        <f>IFERROR(__xludf.DUMMYFUNCTION("""COMPUTED_VALUE"""),"Internado; Trauma shock
Pasillo de ascensor")</f>
        <v>Internado; Trauma shock
Pasillo de ascensor</v>
      </c>
      <c r="J1231" s="44" t="str">
        <f>IFERROR(__xludf.DUMMYFUNCTION("""COMPUTED_VALUE"""),"25/06/2026")</f>
        <v>25/06/2026</v>
      </c>
      <c r="K1231" s="42" t="str">
        <f>IFERROR(__xludf.DUMMYFUNCTION("""COMPUTED_VALUE"""),"Hospital Pérez Carreño")</f>
        <v>Hospital Pérez Carreño</v>
      </c>
    </row>
    <row r="1232">
      <c r="A1232" s="44">
        <v>1231.0</v>
      </c>
      <c r="B1232" s="44" t="str">
        <f>IFERROR(__xludf.DUMMYFUNCTION("""COMPUTED_VALUE"""),"Hospital Pérez Carreño")</f>
        <v>Hospital Pérez Carreño</v>
      </c>
      <c r="C1232" s="45" t="str">
        <f>IFERROR(__xludf.DUMMYFUNCTION("""COMPUTED_VALUE"""),"Anyely Gonzalez")</f>
        <v>Anyely Gonzalez</v>
      </c>
      <c r="D1232" s="44"/>
      <c r="E1232" s="44" t="str">
        <f>IFERROR(__xludf.DUMMYFUNCTION("""COMPUTED_VALUE"""),"")</f>
        <v/>
      </c>
      <c r="F1232" s="44" t="str">
        <f>IFERROR(__xludf.DUMMYFUNCTION("""COMPUTED_VALUE"""),"")</f>
        <v/>
      </c>
      <c r="G1232" s="44" t="str">
        <f>IFERROR(__xludf.DUMMYFUNCTION("""COMPUTED_VALUE"""),"Traumashock ")</f>
        <v>Traumashock </v>
      </c>
      <c r="H1232" s="44" t="str">
        <f>IFERROR(__xludf.DUMMYFUNCTION("""COMPUTED_VALUE"""),"Hospital Miguel Perez Carreño")</f>
        <v>Hospital Miguel Perez Carreño</v>
      </c>
      <c r="I1232" s="44"/>
      <c r="J1232" s="44" t="str">
        <f>IFERROR(__xludf.DUMMYFUNCTION("""COMPUTED_VALUE"""),"26/6/26")</f>
        <v>26/6/26</v>
      </c>
      <c r="K1232" s="42" t="str">
        <f>IFERROR(__xludf.DUMMYFUNCTION("""COMPUTED_VALUE"""),"Hospital Pérez Carreño")</f>
        <v>Hospital Pérez Carreño</v>
      </c>
    </row>
    <row r="1233">
      <c r="A1233" s="44">
        <v>1232.0</v>
      </c>
      <c r="B1233" s="44" t="str">
        <f>IFERROR(__xludf.DUMMYFUNCTION("""COMPUTED_VALUE"""),"Hospital Pérez Carreño")</f>
        <v>Hospital Pérez Carreño</v>
      </c>
      <c r="C1233" s="45" t="str">
        <f>IFERROR(__xludf.DUMMYFUNCTION("""COMPUTED_VALUE"""),"Anyerlys Gonzalez")</f>
        <v>Anyerlys Gonzalez</v>
      </c>
      <c r="D1233" s="44" t="str">
        <f>IFERROR(__xludf.DUMMYFUNCTION("""COMPUTED_VALUE"""),"37 años")</f>
        <v>37 años</v>
      </c>
      <c r="E1233" s="44" t="str">
        <f>IFERROR(__xludf.DUMMYFUNCTION("""COMPUTED_VALUE"""),"")</f>
        <v/>
      </c>
      <c r="F1233" s="44" t="str">
        <f>IFERROR(__xludf.DUMMYFUNCTION("""COMPUTED_VALUE"""),"")</f>
        <v/>
      </c>
      <c r="G1233" s="44" t="str">
        <f>IFERROR(__xludf.DUMMYFUNCTION("""COMPUTED_VALUE"""),"Nuevos Ingresos 25/06/2026")</f>
        <v>Nuevos Ingresos 25/06/2026</v>
      </c>
      <c r="H1233" s="44" t="str">
        <f>IFERROR(__xludf.DUMMYFUNCTION("""COMPUTED_VALUE"""),"Hospital Miguel Perez Carreño")</f>
        <v>Hospital Miguel Perez Carreño</v>
      </c>
      <c r="I1233" s="44"/>
      <c r="J1233" s="44" t="str">
        <f>IFERROR(__xludf.DUMMYFUNCTION("""COMPUTED_VALUE"""),"26/6/26")</f>
        <v>26/6/26</v>
      </c>
      <c r="K1233" s="42" t="str">
        <f>IFERROR(__xludf.DUMMYFUNCTION("""COMPUTED_VALUE"""),"Hospital Pérez Carreño")</f>
        <v>Hospital Pérez Carreño</v>
      </c>
    </row>
    <row r="1234">
      <c r="A1234" s="44">
        <v>1233.0</v>
      </c>
      <c r="B1234" s="44" t="str">
        <f>IFERROR(__xludf.DUMMYFUNCTION("""COMPUTED_VALUE"""),"Hospital Pérez Carreño")</f>
        <v>Hospital Pérez Carreño</v>
      </c>
      <c r="C1234" s="45" t="str">
        <f>IFERROR(__xludf.DUMMYFUNCTION("""COMPUTED_VALUE"""),"Anyi Sanabria")</f>
        <v>Anyi Sanabria</v>
      </c>
      <c r="D1234" s="44"/>
      <c r="E1234" s="44" t="str">
        <f>IFERROR(__xludf.DUMMYFUNCTION("""COMPUTED_VALUE"""),"")</f>
        <v/>
      </c>
      <c r="F1234" s="44" t="str">
        <f>IFERROR(__xludf.DUMMYFUNCTION("""COMPUTED_VALUE"""),"")</f>
        <v/>
      </c>
      <c r="G1234" s="44" t="str">
        <f>IFERROR(__xludf.DUMMYFUNCTION("""COMPUTED_VALUE"""),"Traumashock ")</f>
        <v>Traumashock </v>
      </c>
      <c r="H1234" s="44" t="str">
        <f>IFERROR(__xludf.DUMMYFUNCTION("""COMPUTED_VALUE"""),"Hospital Miguel Perez Carreño")</f>
        <v>Hospital Miguel Perez Carreño</v>
      </c>
      <c r="I1234" s="44"/>
      <c r="J1234" s="44" t="str">
        <f>IFERROR(__xludf.DUMMYFUNCTION("""COMPUTED_VALUE"""),"26/6/26")</f>
        <v>26/6/26</v>
      </c>
      <c r="K1234" s="42" t="str">
        <f>IFERROR(__xludf.DUMMYFUNCTION("""COMPUTED_VALUE"""),"Hospital Pérez Carreño")</f>
        <v>Hospital Pérez Carreño</v>
      </c>
    </row>
    <row r="1235">
      <c r="A1235" s="44">
        <v>1234.0</v>
      </c>
      <c r="B1235" s="44" t="str">
        <f>IFERROR(__xludf.DUMMYFUNCTION("""COMPUTED_VALUE"""),"H. Jose Maria Vargas LG")</f>
        <v>H. Jose Maria Vargas LG</v>
      </c>
      <c r="C1235" s="45" t="str">
        <f>IFERROR(__xludf.DUMMYFUNCTION("""COMPUTED_VALUE"""),"ANZUATA ENDRIOSE")</f>
        <v>ANZUATA ENDRIOSE</v>
      </c>
      <c r="D1235" s="44" t="str">
        <f>IFERROR(__xludf.DUMMYFUNCTION("""COMPUTED_VALUE""")," ")</f>
        <v> </v>
      </c>
      <c r="E1235" s="44" t="str">
        <f>IFERROR(__xludf.DUMMYFUNCTION("""COMPUTED_VALUE"""),"")</f>
        <v/>
      </c>
      <c r="F1235" s="44" t="str">
        <f>IFERROR(__xludf.DUMMYFUNCTION("""COMPUTED_VALUE"""),"")</f>
        <v/>
      </c>
      <c r="G1235" s="44" t="str">
        <f>IFERROR(__xludf.DUMMYFUNCTION("""COMPUTED_VALUE""")," ")</f>
        <v> </v>
      </c>
      <c r="H1235" s="44" t="str">
        <f>IFERROR(__xludf.DUMMYFUNCTION("""COMPUTED_VALUE""")," ")</f>
        <v> </v>
      </c>
      <c r="I1235" s="44" t="str">
        <f>IFERROR(__xludf.DUMMYFUNCTION("""COMPUTED_VALUE""")," ")</f>
        <v> </v>
      </c>
      <c r="J1235" s="44" t="str">
        <f>IFERROR(__xludf.DUMMYFUNCTION("""COMPUTED_VALUE"""),"")</f>
        <v/>
      </c>
      <c r="K1235" s="42" t="str">
        <f>IFERROR(__xludf.DUMMYFUNCTION("""COMPUTED_VALUE"""),"H. Jose Maria Vargas LG")</f>
        <v>H. Jose Maria Vargas LG</v>
      </c>
    </row>
    <row r="1236">
      <c r="A1236" s="44">
        <v>1235.0</v>
      </c>
      <c r="B1236" s="44" t="str">
        <f>IFERROR(__xludf.DUMMYFUNCTION("""COMPUTED_VALUE"""),"Centro de Acopio Caraballeda")</f>
        <v>Centro de Acopio Caraballeda</v>
      </c>
      <c r="C1236" s="45" t="str">
        <f>IFERROR(__xludf.DUMMYFUNCTION("""COMPUTED_VALUE"""),"APARICIO JENNY")</f>
        <v>APARICIO JENNY</v>
      </c>
      <c r="D1236" s="44" t="str">
        <f>IFERROR(__xludf.DUMMYFUNCTION("""COMPUTED_VALUE""")," ")</f>
        <v> </v>
      </c>
      <c r="E1236" s="44" t="str">
        <f>IFERROR(__xludf.DUMMYFUNCTION("""COMPUTED_VALUE"""),"")</f>
        <v/>
      </c>
      <c r="F1236" s="44" t="str">
        <f>IFERROR(__xludf.DUMMYFUNCTION("""COMPUTED_VALUE"""),"")</f>
        <v/>
      </c>
      <c r="G1236" s="44" t="str">
        <f>IFERROR(__xludf.DUMMYFUNCTION("""COMPUTED_VALUE""")," ")</f>
        <v> </v>
      </c>
      <c r="H1236" s="44" t="str">
        <f>IFERROR(__xludf.DUMMYFUNCTION("""COMPUTED_VALUE""")," ")</f>
        <v> </v>
      </c>
      <c r="I1236" s="44" t="str">
        <f>IFERROR(__xludf.DUMMYFUNCTION("""COMPUTED_VALUE"""),"Internado")</f>
        <v>Internado</v>
      </c>
      <c r="J1236" s="44" t="str">
        <f>IFERROR(__xludf.DUMMYFUNCTION("""COMPUTED_VALUE"""),"")</f>
        <v/>
      </c>
      <c r="K1236" s="42" t="str">
        <f>IFERROR(__xludf.DUMMYFUNCTION("""COMPUTED_VALUE"""),"🔍 BUSCAR PACIENTES")</f>
        <v>🔍 BUSCAR PACIENTES</v>
      </c>
    </row>
    <row r="1237">
      <c r="A1237" s="44">
        <v>1236.0</v>
      </c>
      <c r="B1237" s="44" t="str">
        <f>IFERROR(__xludf.DUMMYFUNCTION("""COMPUTED_VALUE"""),"Hospital Pérez Carreño")</f>
        <v>Hospital Pérez Carreño</v>
      </c>
      <c r="C1237" s="45" t="str">
        <f>IFERROR(__xludf.DUMMYFUNCTION("""COMPUTED_VALUE"""),"Aponte Borges Carlos")</f>
        <v>Aponte Borges Carlos</v>
      </c>
      <c r="D1237" s="44"/>
      <c r="E1237" s="44" t="str">
        <f>IFERROR(__xludf.DUMMYFUNCTION("""COMPUTED_VALUE"""),"")</f>
        <v/>
      </c>
      <c r="F1237" s="44" t="str">
        <f>IFERROR(__xludf.DUMMYFUNCTION("""COMPUTED_VALUE"""),"")</f>
        <v/>
      </c>
      <c r="G1237" s="44" t="str">
        <f>IFERROR(__xludf.DUMMYFUNCTION("""COMPUTED_VALUE"""),"Traslados con destino asignado")</f>
        <v>Traslados con destino asignado</v>
      </c>
      <c r="H1237" s="44" t="str">
        <f>IFERROR(__xludf.DUMMYFUNCTION("""COMPUTED_VALUE"""),"Hospital Miguel Perez Carreño")</f>
        <v>Hospital Miguel Perez Carreño</v>
      </c>
      <c r="I1237" s="44"/>
      <c r="J1237" s="44" t="str">
        <f>IFERROR(__xludf.DUMMYFUNCTION("""COMPUTED_VALUE"""),"26/6/26")</f>
        <v>26/6/26</v>
      </c>
      <c r="K1237" s="42" t="str">
        <f>IFERROR(__xludf.DUMMYFUNCTION("""COMPUTED_VALUE"""),"Hospital Pérez Carreño")</f>
        <v>Hospital Pérez Carreño</v>
      </c>
    </row>
    <row r="1238">
      <c r="A1238" s="44">
        <v>1237.0</v>
      </c>
      <c r="B1238" s="44" t="str">
        <f>IFERROR(__xludf.DUMMYFUNCTION("""COMPUTED_VALUE"""),"Hospital Domingo Luciani")</f>
        <v>Hospital Domingo Luciani</v>
      </c>
      <c r="C1238" s="45" t="str">
        <f>IFERROR(__xludf.DUMMYFUNCTION("""COMPUTED_VALUE"""),"APONTO JESSICA")</f>
        <v>APONTO JESSICA</v>
      </c>
      <c r="D1238" s="44" t="str">
        <f>IFERROR(__xludf.DUMMYFUNCTION("""COMPUTED_VALUE""")," ")</f>
        <v> </v>
      </c>
      <c r="E1238" s="44" t="str">
        <f>IFERROR(__xludf.DUMMYFUNCTION("""COMPUTED_VALUE"""),"")</f>
        <v/>
      </c>
      <c r="F1238" s="44" t="str">
        <f>IFERROR(__xludf.DUMMYFUNCTION("""COMPUTED_VALUE"""),"")</f>
        <v/>
      </c>
      <c r="G1238" s="44" t="str">
        <f>IFERROR(__xludf.DUMMYFUNCTION("""COMPUTED_VALUE""")," ")</f>
        <v> </v>
      </c>
      <c r="H1238" s="44" t="str">
        <f>IFERROR(__xludf.DUMMYFUNCTION("""COMPUTED_VALUE""")," ")</f>
        <v> </v>
      </c>
      <c r="I1238" s="44" t="str">
        <f>IFERROR(__xludf.DUMMYFUNCTION("""COMPUTED_VALUE"""),"Internado")</f>
        <v>Internado</v>
      </c>
      <c r="J1238" s="44" t="str">
        <f>IFERROR(__xludf.DUMMYFUNCTION("""COMPUTED_VALUE"""),"")</f>
        <v/>
      </c>
      <c r="K1238" s="42" t="str">
        <f>IFERROR(__xludf.DUMMYFUNCTION("""COMPUTED_VALUE"""),"🔍 BUSCAR PACIENTES")</f>
        <v>🔍 BUSCAR PACIENTES</v>
      </c>
    </row>
    <row r="1239">
      <c r="A1239" s="44">
        <v>1238.0</v>
      </c>
      <c r="B1239" s="44" t="str">
        <f>IFERROR(__xludf.DUMMYFUNCTION("""COMPUTED_VALUE"""),"Hospital Vargas de Caracas")</f>
        <v>Hospital Vargas de Caracas</v>
      </c>
      <c r="C1239" s="45" t="str">
        <f>IFERROR(__xludf.DUMMYFUNCTION("""COMPUTED_VALUE"""),"ARANA HUMBERLIN")</f>
        <v>ARANA HUMBERLIN</v>
      </c>
      <c r="D1239" s="44" t="str">
        <f>IFERROR(__xludf.DUMMYFUNCTION("""COMPUTED_VALUE""")," ")</f>
        <v> </v>
      </c>
      <c r="E1239" s="44" t="str">
        <f>IFERROR(__xludf.DUMMYFUNCTION("""COMPUTED_VALUE"""),"")</f>
        <v/>
      </c>
      <c r="F1239" s="44" t="str">
        <f>IFERROR(__xludf.DUMMYFUNCTION("""COMPUTED_VALUE""")," ")</f>
        <v> </v>
      </c>
      <c r="G1239" s="44" t="str">
        <f>IFERROR(__xludf.DUMMYFUNCTION("""COMPUTED_VALUE"""),"")</f>
        <v/>
      </c>
      <c r="H1239" s="44" t="str">
        <f>IFERROR(__xludf.DUMMYFUNCTION("""COMPUTED_VALUE""")," ")</f>
        <v> </v>
      </c>
      <c r="I1239" s="44" t="str">
        <f>IFERROR(__xludf.DUMMYFUNCTION("""COMPUTED_VALUE""")," ")</f>
        <v> </v>
      </c>
      <c r="J1239" s="44" t="str">
        <f>IFERROR(__xludf.DUMMYFUNCTION("""COMPUTED_VALUE"""),"")</f>
        <v/>
      </c>
      <c r="K1239" s="42" t="str">
        <f>IFERROR(__xludf.DUMMYFUNCTION("""COMPUTED_VALUE"""),"Hospital Vargas de Caracas")</f>
        <v>Hospital Vargas de Caracas</v>
      </c>
    </row>
    <row r="1240">
      <c r="A1240" s="44">
        <v>1239.0</v>
      </c>
      <c r="B1240" s="44" t="str">
        <f>IFERROR(__xludf.DUMMYFUNCTION("""COMPUTED_VALUE"""),"Centro de Acopio Caraballeda")</f>
        <v>Centro de Acopio Caraballeda</v>
      </c>
      <c r="C1240" s="45" t="str">
        <f>IFERROR(__xludf.DUMMYFUNCTION("""COMPUTED_VALUE"""),"ARANGUREN MARIANNYS")</f>
        <v>ARANGUREN MARIANNYS</v>
      </c>
      <c r="D1240" s="44" t="str">
        <f>IFERROR(__xludf.DUMMYFUNCTION("""COMPUTED_VALUE""")," ")</f>
        <v> </v>
      </c>
      <c r="E1240" s="44" t="str">
        <f>IFERROR(__xludf.DUMMYFUNCTION("""COMPUTED_VALUE"""),"")</f>
        <v/>
      </c>
      <c r="F1240" s="44" t="str">
        <f>IFERROR(__xludf.DUMMYFUNCTION("""COMPUTED_VALUE"""),"")</f>
        <v/>
      </c>
      <c r="G1240" s="44" t="str">
        <f>IFERROR(__xludf.DUMMYFUNCTION("""COMPUTED_VALUE""")," ")</f>
        <v> </v>
      </c>
      <c r="H1240" s="44" t="str">
        <f>IFERROR(__xludf.DUMMYFUNCTION("""COMPUTED_VALUE""")," ")</f>
        <v> </v>
      </c>
      <c r="I1240" s="44" t="str">
        <f>IFERROR(__xludf.DUMMYFUNCTION("""COMPUTED_VALUE"""),"Internado")</f>
        <v>Internado</v>
      </c>
      <c r="J1240" s="44" t="str">
        <f>IFERROR(__xludf.DUMMYFUNCTION("""COMPUTED_VALUE"""),"")</f>
        <v/>
      </c>
      <c r="K1240" s="42" t="str">
        <f>IFERROR(__xludf.DUMMYFUNCTION("""COMPUTED_VALUE"""),"🔍 BUSCAR PACIENTES")</f>
        <v>🔍 BUSCAR PACIENTES</v>
      </c>
    </row>
    <row r="1241">
      <c r="A1241" s="44">
        <v>1240.0</v>
      </c>
      <c r="B1241" s="44" t="str">
        <f>IFERROR(__xludf.DUMMYFUNCTION("""COMPUTED_VALUE"""),"Hospital Dr. José Gregorio Hern")</f>
        <v>Hospital Dr. José Gregorio Hern</v>
      </c>
      <c r="C1241" s="45" t="str">
        <f>IFERROR(__xludf.DUMMYFUNCTION("""COMPUTED_VALUE"""),"ARANGUREN YMAIKER")</f>
        <v>ARANGUREN YMAIKER</v>
      </c>
      <c r="D1241" s="44">
        <f>IFERROR(__xludf.DUMMYFUNCTION("""COMPUTED_VALUE"""),21.0)</f>
        <v>21</v>
      </c>
      <c r="E1241" s="44" t="str">
        <f>IFERROR(__xludf.DUMMYFUNCTION("""COMPUTED_VALUE"""),"")</f>
        <v/>
      </c>
      <c r="F1241" s="44" t="str">
        <f>IFERROR(__xludf.DUMMYFUNCTION("""COMPUTED_VALUE"""),"")</f>
        <v/>
      </c>
      <c r="G1241" s="44" t="str">
        <f>IFERROR(__xludf.DUMMYFUNCTION("""COMPUTED_VALUE""")," ")</f>
        <v> </v>
      </c>
      <c r="H1241" s="44" t="str">
        <f>IFERROR(__xludf.DUMMYFUNCTION("""COMPUTED_VALUE"""),"Los Corales")</f>
        <v>Los Corales</v>
      </c>
      <c r="I1241" s="44" t="str">
        <f>IFERROR(__xludf.DUMMYFUNCTION("""COMPUTED_VALUE""")," ")</f>
        <v> </v>
      </c>
      <c r="J1241" s="44" t="str">
        <f>IFERROR(__xludf.DUMMYFUNCTION("""COMPUTED_VALUE"""),"")</f>
        <v/>
      </c>
      <c r="K1241" s="42" t="str">
        <f>IFERROR(__xludf.DUMMYFUNCTION("""COMPUTED_VALUE"""),"Hospital Dr. José Gregorio Hern")</f>
        <v>Hospital Dr. José Gregorio Hern</v>
      </c>
    </row>
    <row r="1242">
      <c r="A1242" s="44">
        <v>1241.0</v>
      </c>
      <c r="B1242" s="44" t="str">
        <f>IFERROR(__xludf.DUMMYFUNCTION("""COMPUTED_VALUE"""),"Hospital Pérez Carreño")</f>
        <v>Hospital Pérez Carreño</v>
      </c>
      <c r="C1242" s="45" t="str">
        <f>IFERROR(__xludf.DUMMYFUNCTION("""COMPUTED_VALUE"""),"Arantza Vergara")</f>
        <v>Arantza Vergara</v>
      </c>
      <c r="D1242" s="44" t="str">
        <f>IFERROR(__xludf.DUMMYFUNCTION("""COMPUTED_VALUE"""),"La Guaira")</f>
        <v>La Guaira</v>
      </c>
      <c r="E1242" s="44" t="str">
        <f>IFERROR(__xludf.DUMMYFUNCTION("""COMPUTED_VALUE"""),"")</f>
        <v/>
      </c>
      <c r="F1242" s="44" t="str">
        <f>IFERROR(__xludf.DUMMYFUNCTION("""COMPUTED_VALUE"""),"")</f>
        <v/>
      </c>
      <c r="G1242" s="44"/>
      <c r="H1242" s="44"/>
      <c r="I1242" s="44"/>
      <c r="J1242" s="44"/>
      <c r="K1242" s="42" t="str">
        <f>IFERROR(__xludf.DUMMYFUNCTION("""COMPUTED_VALUE"""),"Hospital Pérez Carreño")</f>
        <v>Hospital Pérez Carreño</v>
      </c>
    </row>
    <row r="1243">
      <c r="A1243" s="44">
        <v>1242.0</v>
      </c>
      <c r="B1243" s="44" t="str">
        <f>IFERROR(__xludf.DUMMYFUNCTION("""COMPUTED_VALUE"""),"Seguro Social La Guaira")</f>
        <v>Seguro Social La Guaira</v>
      </c>
      <c r="C1243" s="45" t="str">
        <f>IFERROR(__xludf.DUMMYFUNCTION("""COMPUTED_VALUE"""),"ARANZA VERGARA")</f>
        <v>ARANZA VERGARA</v>
      </c>
      <c r="D1243" s="44">
        <f>IFERROR(__xludf.DUMMYFUNCTION("""COMPUTED_VALUE"""),11.0)</f>
        <v>11</v>
      </c>
      <c r="E1243" s="44" t="str">
        <f>IFERROR(__xludf.DUMMYFUNCTION("""COMPUTED_VALUE"""),"")</f>
        <v/>
      </c>
      <c r="F1243" s="44" t="str">
        <f>IFERROR(__xludf.DUMMYFUNCTION("""COMPUTED_VALUE"""),"")</f>
        <v/>
      </c>
      <c r="G1243" s="44" t="str">
        <f>IFERROR(__xludf.DUMMYFUNCTION("""COMPUTED_VALUE""")," ")</f>
        <v> </v>
      </c>
      <c r="H1243" s="44" t="str">
        <f>IFERROR(__xludf.DUMMYFUNCTION("""COMPUTED_VALUE"""),"Caribe OPP27")</f>
        <v>Caribe OPP27</v>
      </c>
      <c r="I1243" s="44" t="str">
        <f>IFERROR(__xludf.DUMMYFUNCTION("""COMPUTED_VALUE""")," ")</f>
        <v> </v>
      </c>
      <c r="J1243" s="44" t="str">
        <f>IFERROR(__xludf.DUMMYFUNCTION("""COMPUTED_VALUE"""),"")</f>
        <v/>
      </c>
      <c r="K1243" s="42" t="str">
        <f>IFERROR(__xludf.DUMMYFUNCTION("""COMPUTED_VALUE"""),"Seguro Social La Guaira")</f>
        <v>Seguro Social La Guaira</v>
      </c>
    </row>
    <row r="1244">
      <c r="A1244" s="44">
        <v>1243.0</v>
      </c>
      <c r="B1244" s="44" t="str">
        <f>IFERROR(__xludf.DUMMYFUNCTION("""COMPUTED_VALUE"""),"Hospital Domingo Luciani")</f>
        <v>Hospital Domingo Luciani</v>
      </c>
      <c r="C1244" s="45" t="str">
        <f>IFERROR(__xludf.DUMMYFUNCTION("""COMPUTED_VALUE"""),"Arbeto Fuentes")</f>
        <v>Arbeto Fuentes</v>
      </c>
      <c r="D1244" s="44">
        <f>IFERROR(__xludf.DUMMYFUNCTION("""COMPUTED_VALUE"""),52.0)</f>
        <v>52</v>
      </c>
      <c r="E1244" s="44" t="str">
        <f>IFERROR(__xludf.DUMMYFUNCTION("""COMPUTED_VALUE"""),"")</f>
        <v/>
      </c>
      <c r="F1244" s="44" t="str">
        <f>IFERROR(__xludf.DUMMYFUNCTION("""COMPUTED_VALUE"""),"")</f>
        <v/>
      </c>
      <c r="G1244" s="44"/>
      <c r="H1244" s="44"/>
      <c r="I1244" s="44"/>
      <c r="J1244" s="44" t="str">
        <f>IFERROR(__xludf.DUMMYFUNCTION("""COMPUTED_VALUE"""),"")</f>
        <v/>
      </c>
      <c r="K1244" s="42" t="str">
        <f>IFERROR(__xludf.DUMMYFUNCTION("""COMPUTED_VALUE"""),"Hospital Domingo Luciani")</f>
        <v>Hospital Domingo Luciani</v>
      </c>
    </row>
    <row r="1245">
      <c r="A1245" s="44">
        <v>1244.0</v>
      </c>
      <c r="B1245" s="44" t="str">
        <f>IFERROR(__xludf.DUMMYFUNCTION("""COMPUTED_VALUE"""),"Campo de Golf Playa los Cocos")</f>
        <v>Campo de Golf Playa los Cocos</v>
      </c>
      <c r="C1245" s="45" t="str">
        <f>IFERROR(__xludf.DUMMYFUNCTION("""COMPUTED_VALUE"""),"Arelis Serrano")</f>
        <v>Arelis Serrano</v>
      </c>
      <c r="D1245" s="44" t="str">
        <f>IFERROR(__xludf.DUMMYFUNCTION("""COMPUTED_VALUE"""),"")</f>
        <v/>
      </c>
      <c r="E1245" s="44" t="str">
        <f>IFERROR(__xludf.DUMMYFUNCTION("""COMPUTED_VALUE"""),"")</f>
        <v/>
      </c>
      <c r="F1245" s="44" t="str">
        <f>IFERROR(__xludf.DUMMYFUNCTION("""COMPUTED_VALUE"""),"")</f>
        <v/>
      </c>
      <c r="G1245" s="44" t="str">
        <f>IFERROR(__xludf.DUMMYFUNCTION("""COMPUTED_VALUE"""),"")</f>
        <v/>
      </c>
      <c r="H1245" s="44" t="str">
        <f>IFERROR(__xludf.DUMMYFUNCTION("""COMPUTED_VALUE"""),"")</f>
        <v/>
      </c>
      <c r="I1245" s="44"/>
      <c r="J1245" s="44" t="str">
        <f>IFERROR(__xludf.DUMMYFUNCTION("""COMPUTED_VALUE"""),"")</f>
        <v/>
      </c>
      <c r="K1245" s="42" t="str">
        <f>IFERROR(__xludf.DUMMYFUNCTION("""COMPUTED_VALUE"""),"Campo de Golf Playa los Cocos")</f>
        <v>Campo de Golf Playa los Cocos</v>
      </c>
    </row>
    <row r="1246">
      <c r="A1246" s="44">
        <v>1245.0</v>
      </c>
      <c r="B1246" s="44" t="str">
        <f>IFERROR(__xludf.DUMMYFUNCTION("""COMPUTED_VALUE"""),"H. Jose Maria Vargas LG")</f>
        <v>H. Jose Maria Vargas LG</v>
      </c>
      <c r="C1246" s="45" t="str">
        <f>IFERROR(__xludf.DUMMYFUNCTION("""COMPUTED_VALUE"""),"ARENA GENYEILIS")</f>
        <v>ARENA GENYEILIS</v>
      </c>
      <c r="D1246" s="44">
        <f>IFERROR(__xludf.DUMMYFUNCTION("""COMPUTED_VALUE"""),7.0)</f>
        <v>7</v>
      </c>
      <c r="E1246" s="44" t="str">
        <f>IFERROR(__xludf.DUMMYFUNCTION("""COMPUTED_VALUE"""),"")</f>
        <v/>
      </c>
      <c r="F1246" s="44" t="str">
        <f>IFERROR(__xludf.DUMMYFUNCTION("""COMPUTED_VALUE"""),"")</f>
        <v/>
      </c>
      <c r="G1246" s="44" t="str">
        <f>IFERROR(__xludf.DUMMYFUNCTION("""COMPUTED_VALUE""")," ")</f>
        <v> </v>
      </c>
      <c r="H1246" s="44" t="str">
        <f>IFERROR(__xludf.DUMMYFUNCTION("""COMPUTED_VALUE"""),"OPPE 27")</f>
        <v>OPPE 27</v>
      </c>
      <c r="I1246" s="44" t="str">
        <f>IFERROR(__xludf.DUMMYFUNCTION("""COMPUTED_VALUE""")," ")</f>
        <v> </v>
      </c>
      <c r="J1246" s="44" t="str">
        <f>IFERROR(__xludf.DUMMYFUNCTION("""COMPUTED_VALUE"""),"")</f>
        <v/>
      </c>
      <c r="K1246" s="42" t="str">
        <f>IFERROR(__xludf.DUMMYFUNCTION("""COMPUTED_VALUE"""),"H. Jose Maria Vargas LG")</f>
        <v>H. Jose Maria Vargas LG</v>
      </c>
    </row>
    <row r="1247">
      <c r="A1247" s="44">
        <v>1246.0</v>
      </c>
      <c r="B1247" s="44" t="str">
        <f>IFERROR(__xludf.DUMMYFUNCTION("""COMPUTED_VALUE"""),"H. Jose Maria Vargas LG")</f>
        <v>H. Jose Maria Vargas LG</v>
      </c>
      <c r="C1247" s="45" t="str">
        <f>IFERROR(__xludf.DUMMYFUNCTION("""COMPUTED_VALUE"""),"ARENA GENYELIS")</f>
        <v>ARENA GENYELIS</v>
      </c>
      <c r="D1247" s="44">
        <f>IFERROR(__xludf.DUMMYFUNCTION("""COMPUTED_VALUE"""),15.0)</f>
        <v>15</v>
      </c>
      <c r="E1247" s="44" t="str">
        <f>IFERROR(__xludf.DUMMYFUNCTION("""COMPUTED_VALUE"""),"")</f>
        <v/>
      </c>
      <c r="F1247" s="44" t="str">
        <f>IFERROR(__xludf.DUMMYFUNCTION("""COMPUTED_VALUE"""),"")</f>
        <v/>
      </c>
      <c r="G1247" s="44" t="str">
        <f>IFERROR(__xludf.DUMMYFUNCTION("""COMPUTED_VALUE""")," ")</f>
        <v> </v>
      </c>
      <c r="H1247" s="44" t="str">
        <f>IFERROR(__xludf.DUMMYFUNCTION("""COMPUTED_VALUE"""),"OPPE 27")</f>
        <v>OPPE 27</v>
      </c>
      <c r="I1247" s="44" t="str">
        <f>IFERROR(__xludf.DUMMYFUNCTION("""COMPUTED_VALUE""")," ")</f>
        <v> </v>
      </c>
      <c r="J1247" s="44" t="str">
        <f>IFERROR(__xludf.DUMMYFUNCTION("""COMPUTED_VALUE"""),"")</f>
        <v/>
      </c>
      <c r="K1247" s="42" t="str">
        <f>IFERROR(__xludf.DUMMYFUNCTION("""COMPUTED_VALUE"""),"H. Jose Maria Vargas LG")</f>
        <v>H. Jose Maria Vargas LG</v>
      </c>
    </row>
    <row r="1248">
      <c r="A1248" s="44">
        <v>1247.0</v>
      </c>
      <c r="B1248" s="44" t="str">
        <f>IFERROR(__xludf.DUMMYFUNCTION("""COMPUTED_VALUE"""),"H. Jose Maria Vargas LG")</f>
        <v>H. Jose Maria Vargas LG</v>
      </c>
      <c r="C1248" s="45" t="str">
        <f>IFERROR(__xludf.DUMMYFUNCTION("""COMPUTED_VALUE"""),"ARENA GENYERLIN")</f>
        <v>ARENA GENYERLIN</v>
      </c>
      <c r="D1248" s="44" t="str">
        <f>IFERROR(__xludf.DUMMYFUNCTION("""COMPUTED_VALUE""")," ")</f>
        <v> </v>
      </c>
      <c r="E1248" s="44" t="str">
        <f>IFERROR(__xludf.DUMMYFUNCTION("""COMPUTED_VALUE"""),"")</f>
        <v/>
      </c>
      <c r="F1248" s="44" t="str">
        <f>IFERROR(__xludf.DUMMYFUNCTION("""COMPUTED_VALUE"""),"")</f>
        <v/>
      </c>
      <c r="G1248" s="44" t="str">
        <f>IFERROR(__xludf.DUMMYFUNCTION("""COMPUTED_VALUE""")," ")</f>
        <v> </v>
      </c>
      <c r="H1248" s="44" t="str">
        <f>IFERROR(__xludf.DUMMYFUNCTION("""COMPUTED_VALUE""")," ")</f>
        <v> </v>
      </c>
      <c r="I1248" s="44" t="str">
        <f>IFERROR(__xludf.DUMMYFUNCTION("""COMPUTED_VALUE""")," ")</f>
        <v> </v>
      </c>
      <c r="J1248" s="44" t="str">
        <f>IFERROR(__xludf.DUMMYFUNCTION("""COMPUTED_VALUE"""),"")</f>
        <v/>
      </c>
      <c r="K1248" s="42" t="str">
        <f>IFERROR(__xludf.DUMMYFUNCTION("""COMPUTED_VALUE"""),"H. Jose Maria Vargas LG")</f>
        <v>H. Jose Maria Vargas LG</v>
      </c>
    </row>
    <row r="1249">
      <c r="A1249" s="44">
        <v>1248.0</v>
      </c>
      <c r="B1249" s="44" t="str">
        <f>IFERROR(__xludf.DUMMYFUNCTION("""COMPUTED_VALUE"""),"Seguro Social La Guaira")</f>
        <v>Seguro Social La Guaira</v>
      </c>
      <c r="C1249" s="45" t="str">
        <f>IFERROR(__xludf.DUMMYFUNCTION("""COMPUTED_VALUE"""),"ARGENIS LANDAETA")</f>
        <v>ARGENIS LANDAETA</v>
      </c>
      <c r="D1249" s="44">
        <f>IFERROR(__xludf.DUMMYFUNCTION("""COMPUTED_VALUE"""),21.0)</f>
        <v>21</v>
      </c>
      <c r="E1249" s="44" t="str">
        <f>IFERROR(__xludf.DUMMYFUNCTION("""COMPUTED_VALUE"""),"")</f>
        <v/>
      </c>
      <c r="F1249" s="44" t="str">
        <f>IFERROR(__xludf.DUMMYFUNCTION("""COMPUTED_VALUE"""),"")</f>
        <v/>
      </c>
      <c r="G1249" s="44" t="str">
        <f>IFERROR(__xludf.DUMMYFUNCTION("""COMPUTED_VALUE""")," ")</f>
        <v> </v>
      </c>
      <c r="H1249" s="44" t="str">
        <f>IFERROR(__xludf.DUMMYFUNCTION("""COMPUTED_VALUE"""),"Caribe")</f>
        <v>Caribe</v>
      </c>
      <c r="I1249" s="44" t="str">
        <f>IFERROR(__xludf.DUMMYFUNCTION("""COMPUTED_VALUE""")," ")</f>
        <v> </v>
      </c>
      <c r="J1249" s="44" t="str">
        <f>IFERROR(__xludf.DUMMYFUNCTION("""COMPUTED_VALUE"""),"")</f>
        <v/>
      </c>
      <c r="K1249" s="42" t="str">
        <f>IFERROR(__xludf.DUMMYFUNCTION("""COMPUTED_VALUE"""),"Seguro Social La Guaira")</f>
        <v>Seguro Social La Guaira</v>
      </c>
    </row>
    <row r="1250">
      <c r="A1250" s="44">
        <v>1249.0</v>
      </c>
      <c r="B1250" s="44" t="str">
        <f>IFERROR(__xludf.DUMMYFUNCTION("""COMPUTED_VALUE"""),"Campo de Golf Playa los Cocos")</f>
        <v>Campo de Golf Playa los Cocos</v>
      </c>
      <c r="C1250" s="45" t="str">
        <f>IFERROR(__xludf.DUMMYFUNCTION("""COMPUTED_VALUE"""),"Ariana Lopez")</f>
        <v>Ariana Lopez</v>
      </c>
      <c r="D1250" s="44" t="str">
        <f>IFERROR(__xludf.DUMMYFUNCTION("""COMPUTED_VALUE"""),"")</f>
        <v/>
      </c>
      <c r="E1250" s="44" t="str">
        <f>IFERROR(__xludf.DUMMYFUNCTION("""COMPUTED_VALUE"""),"")</f>
        <v/>
      </c>
      <c r="F1250" s="44" t="str">
        <f>IFERROR(__xludf.DUMMYFUNCTION("""COMPUTED_VALUE"""),"")</f>
        <v/>
      </c>
      <c r="G1250" s="44" t="str">
        <f>IFERROR(__xludf.DUMMYFUNCTION("""COMPUTED_VALUE"""),"")</f>
        <v/>
      </c>
      <c r="H1250" s="44" t="str">
        <f>IFERROR(__xludf.DUMMYFUNCTION("""COMPUTED_VALUE"""),"")</f>
        <v/>
      </c>
      <c r="I1250" s="44"/>
      <c r="J1250" s="44" t="str">
        <f>IFERROR(__xludf.DUMMYFUNCTION("""COMPUTED_VALUE"""),"")</f>
        <v/>
      </c>
      <c r="K1250" s="42" t="str">
        <f>IFERROR(__xludf.DUMMYFUNCTION("""COMPUTED_VALUE"""),"Campo de Golf Playa los Cocos")</f>
        <v>Campo de Golf Playa los Cocos</v>
      </c>
    </row>
    <row r="1251">
      <c r="A1251" s="44">
        <v>1250.0</v>
      </c>
      <c r="B1251" s="44" t="str">
        <f>IFERROR(__xludf.DUMMYFUNCTION("""COMPUTED_VALUE"""),"Campo de Golf Playa los Cocos")</f>
        <v>Campo de Golf Playa los Cocos</v>
      </c>
      <c r="C1251" s="45" t="str">
        <f>IFERROR(__xludf.DUMMYFUNCTION("""COMPUTED_VALUE"""),"Ariangelis Romero")</f>
        <v>Ariangelis Romero</v>
      </c>
      <c r="D1251" s="44" t="str">
        <f>IFERROR(__xludf.DUMMYFUNCTION("""COMPUTED_VALUE"""),"")</f>
        <v/>
      </c>
      <c r="E1251" s="44" t="str">
        <f>IFERROR(__xludf.DUMMYFUNCTION("""COMPUTED_VALUE"""),"")</f>
        <v/>
      </c>
      <c r="F1251" s="44" t="str">
        <f>IFERROR(__xludf.DUMMYFUNCTION("""COMPUTED_VALUE"""),"")</f>
        <v/>
      </c>
      <c r="G1251" s="44" t="str">
        <f>IFERROR(__xludf.DUMMYFUNCTION("""COMPUTED_VALUE"""),"")</f>
        <v/>
      </c>
      <c r="H1251" s="44" t="str">
        <f>IFERROR(__xludf.DUMMYFUNCTION("""COMPUTED_VALUE"""),"")</f>
        <v/>
      </c>
      <c r="I1251" s="44" t="str">
        <f>IFERROR(__xludf.DUMMYFUNCTION("""COMPUTED_VALUE"""),"menor")</f>
        <v>menor</v>
      </c>
      <c r="J1251" s="44" t="str">
        <f>IFERROR(__xludf.DUMMYFUNCTION("""COMPUTED_VALUE"""),"")</f>
        <v/>
      </c>
      <c r="K1251" s="42" t="str">
        <f>IFERROR(__xludf.DUMMYFUNCTION("""COMPUTED_VALUE"""),"Campo de Golf Playa los Cocos")</f>
        <v>Campo de Golf Playa los Cocos</v>
      </c>
    </row>
    <row r="1252">
      <c r="A1252" s="44">
        <v>1251.0</v>
      </c>
      <c r="B1252" s="44" t="str">
        <f>IFERROR(__xludf.DUMMYFUNCTION("""COMPUTED_VALUE"""),"Campo de Golf Playa los Cocos")</f>
        <v>Campo de Golf Playa los Cocos</v>
      </c>
      <c r="C1252" s="45" t="str">
        <f>IFERROR(__xludf.DUMMYFUNCTION("""COMPUTED_VALUE"""),"Ariangely Galindez")</f>
        <v>Ariangely Galindez</v>
      </c>
      <c r="D1252" s="44" t="str">
        <f>IFERROR(__xludf.DUMMYFUNCTION("""COMPUTED_VALUE"""),"")</f>
        <v/>
      </c>
      <c r="E1252" s="44" t="str">
        <f>IFERROR(__xludf.DUMMYFUNCTION("""COMPUTED_VALUE"""),"")</f>
        <v/>
      </c>
      <c r="F1252" s="44" t="str">
        <f>IFERROR(__xludf.DUMMYFUNCTION("""COMPUTED_VALUE"""),"")</f>
        <v/>
      </c>
      <c r="G1252" s="44" t="str">
        <f>IFERROR(__xludf.DUMMYFUNCTION("""COMPUTED_VALUE"""),"")</f>
        <v/>
      </c>
      <c r="H1252" s="44" t="str">
        <f>IFERROR(__xludf.DUMMYFUNCTION("""COMPUTED_VALUE"""),"")</f>
        <v/>
      </c>
      <c r="I1252" s="44" t="str">
        <f>IFERROR(__xludf.DUMMYFUNCTION("""COMPUTED_VALUE"""),"menor")</f>
        <v>menor</v>
      </c>
      <c r="J1252" s="44" t="str">
        <f>IFERROR(__xludf.DUMMYFUNCTION("""COMPUTED_VALUE"""),"")</f>
        <v/>
      </c>
      <c r="K1252" s="42" t="str">
        <f>IFERROR(__xludf.DUMMYFUNCTION("""COMPUTED_VALUE"""),"Campo de Golf Playa los Cocos")</f>
        <v>Campo de Golf Playa los Cocos</v>
      </c>
    </row>
    <row r="1253">
      <c r="A1253" s="44">
        <v>1252.0</v>
      </c>
      <c r="B1253" s="44" t="str">
        <f>IFERROR(__xludf.DUMMYFUNCTION("""COMPUTED_VALUE"""),"Campo de Golf Playa los Cocos")</f>
        <v>Campo de Golf Playa los Cocos</v>
      </c>
      <c r="C1253" s="45" t="str">
        <f>IFERROR(__xludf.DUMMYFUNCTION("""COMPUTED_VALUE"""),"Ariangely Romero")</f>
        <v>Ariangely Romero</v>
      </c>
      <c r="D1253" s="44" t="str">
        <f>IFERROR(__xludf.DUMMYFUNCTION("""COMPUTED_VALUE"""),"")</f>
        <v/>
      </c>
      <c r="E1253" s="44" t="str">
        <f>IFERROR(__xludf.DUMMYFUNCTION("""COMPUTED_VALUE"""),"")</f>
        <v/>
      </c>
      <c r="F1253" s="44" t="str">
        <f>IFERROR(__xludf.DUMMYFUNCTION("""COMPUTED_VALUE"""),"")</f>
        <v/>
      </c>
      <c r="G1253" s="44" t="str">
        <f>IFERROR(__xludf.DUMMYFUNCTION("""COMPUTED_VALUE"""),"")</f>
        <v/>
      </c>
      <c r="H1253" s="44" t="str">
        <f>IFERROR(__xludf.DUMMYFUNCTION("""COMPUTED_VALUE"""),"")</f>
        <v/>
      </c>
      <c r="I1253" s="44"/>
      <c r="J1253" s="44" t="str">
        <f>IFERROR(__xludf.DUMMYFUNCTION("""COMPUTED_VALUE"""),"")</f>
        <v/>
      </c>
      <c r="K1253" s="42" t="str">
        <f>IFERROR(__xludf.DUMMYFUNCTION("""COMPUTED_VALUE"""),"Campo de Golf Playa los Cocos")</f>
        <v>Campo de Golf Playa los Cocos</v>
      </c>
    </row>
    <row r="1254">
      <c r="A1254" s="44">
        <v>1253.0</v>
      </c>
      <c r="B1254" s="44" t="str">
        <f>IFERROR(__xludf.DUMMYFUNCTION("""COMPUTED_VALUE"""),"Campo de Golf Playa los Cocos")</f>
        <v>Campo de Golf Playa los Cocos</v>
      </c>
      <c r="C1254" s="45" t="str">
        <f>IFERROR(__xludf.DUMMYFUNCTION("""COMPUTED_VALUE"""),"Arianni Contramaestre")</f>
        <v>Arianni Contramaestre</v>
      </c>
      <c r="D1254" s="44" t="str">
        <f>IFERROR(__xludf.DUMMYFUNCTION("""COMPUTED_VALUE"""),"")</f>
        <v/>
      </c>
      <c r="E1254" s="44" t="str">
        <f>IFERROR(__xludf.DUMMYFUNCTION("""COMPUTED_VALUE"""),"")</f>
        <v/>
      </c>
      <c r="F1254" s="44" t="str">
        <f>IFERROR(__xludf.DUMMYFUNCTION("""COMPUTED_VALUE"""),"")</f>
        <v/>
      </c>
      <c r="G1254" s="44" t="str">
        <f>IFERROR(__xludf.DUMMYFUNCTION("""COMPUTED_VALUE"""),"")</f>
        <v/>
      </c>
      <c r="H1254" s="44" t="str">
        <f>IFERROR(__xludf.DUMMYFUNCTION("""COMPUTED_VALUE"""),"")</f>
        <v/>
      </c>
      <c r="I1254" s="44" t="str">
        <f>IFERROR(__xludf.DUMMYFUNCTION("""COMPUTED_VALUE"""),"menor")</f>
        <v>menor</v>
      </c>
      <c r="J1254" s="44" t="str">
        <f>IFERROR(__xludf.DUMMYFUNCTION("""COMPUTED_VALUE"""),"")</f>
        <v/>
      </c>
      <c r="K1254" s="42" t="str">
        <f>IFERROR(__xludf.DUMMYFUNCTION("""COMPUTED_VALUE"""),"Campo de Golf Playa los Cocos")</f>
        <v>Campo de Golf Playa los Cocos</v>
      </c>
    </row>
    <row r="1255">
      <c r="A1255" s="44">
        <v>1254.0</v>
      </c>
      <c r="B1255" s="44" t="str">
        <f>IFERROR(__xludf.DUMMYFUNCTION("""COMPUTED_VALUE"""),"Campo de Golf Playa los Cocos")</f>
        <v>Campo de Golf Playa los Cocos</v>
      </c>
      <c r="C1255" s="45" t="str">
        <f>IFERROR(__xludf.DUMMYFUNCTION("""COMPUTED_VALUE"""),"Ariari Mendoza")</f>
        <v>Ariari Mendoza</v>
      </c>
      <c r="D1255" s="44" t="str">
        <f>IFERROR(__xludf.DUMMYFUNCTION("""COMPUTED_VALUE"""),"")</f>
        <v/>
      </c>
      <c r="E1255" s="44" t="str">
        <f>IFERROR(__xludf.DUMMYFUNCTION("""COMPUTED_VALUE"""),"")</f>
        <v/>
      </c>
      <c r="F1255" s="44" t="str">
        <f>IFERROR(__xludf.DUMMYFUNCTION("""COMPUTED_VALUE"""),"")</f>
        <v/>
      </c>
      <c r="G1255" s="44" t="str">
        <f>IFERROR(__xludf.DUMMYFUNCTION("""COMPUTED_VALUE"""),"")</f>
        <v/>
      </c>
      <c r="H1255" s="44" t="str">
        <f>IFERROR(__xludf.DUMMYFUNCTION("""COMPUTED_VALUE"""),"")</f>
        <v/>
      </c>
      <c r="I1255" s="44"/>
      <c r="J1255" s="44" t="str">
        <f>IFERROR(__xludf.DUMMYFUNCTION("""COMPUTED_VALUE"""),"")</f>
        <v/>
      </c>
      <c r="K1255" s="42" t="str">
        <f>IFERROR(__xludf.DUMMYFUNCTION("""COMPUTED_VALUE"""),"Campo de Golf Playa los Cocos")</f>
        <v>Campo de Golf Playa los Cocos</v>
      </c>
    </row>
    <row r="1256">
      <c r="A1256" s="44">
        <v>1255.0</v>
      </c>
      <c r="B1256" s="44" t="str">
        <f>IFERROR(__xludf.DUMMYFUNCTION("""COMPUTED_VALUE"""),"Centro de Acopio Caraballeda")</f>
        <v>Centro de Acopio Caraballeda</v>
      </c>
      <c r="C1256" s="45" t="str">
        <f>IFERROR(__xludf.DUMMYFUNCTION("""COMPUTED_VALUE"""),"ARIAS ENAIS")</f>
        <v>ARIAS ENAIS</v>
      </c>
      <c r="D1256" s="44" t="str">
        <f>IFERROR(__xludf.DUMMYFUNCTION("""COMPUTED_VALUE""")," ")</f>
        <v> </v>
      </c>
      <c r="E1256" s="44" t="str">
        <f>IFERROR(__xludf.DUMMYFUNCTION("""COMPUTED_VALUE"""),"")</f>
        <v/>
      </c>
      <c r="F1256" s="44" t="str">
        <f>IFERROR(__xludf.DUMMYFUNCTION("""COMPUTED_VALUE"""),"")</f>
        <v/>
      </c>
      <c r="G1256" s="44" t="str">
        <f>IFERROR(__xludf.DUMMYFUNCTION("""COMPUTED_VALUE""")," ")</f>
        <v> </v>
      </c>
      <c r="H1256" s="44" t="str">
        <f>IFERROR(__xludf.DUMMYFUNCTION("""COMPUTED_VALUE""")," ")</f>
        <v> </v>
      </c>
      <c r="I1256" s="44" t="str">
        <f>IFERROR(__xludf.DUMMYFUNCTION("""COMPUTED_VALUE"""),"Internado")</f>
        <v>Internado</v>
      </c>
      <c r="J1256" s="44" t="str">
        <f>IFERROR(__xludf.DUMMYFUNCTION("""COMPUTED_VALUE"""),"")</f>
        <v/>
      </c>
      <c r="K1256" s="42" t="str">
        <f>IFERROR(__xludf.DUMMYFUNCTION("""COMPUTED_VALUE"""),"🔍 BUSCAR PACIENTES")</f>
        <v>🔍 BUSCAR PACIENTES</v>
      </c>
    </row>
    <row r="1257">
      <c r="A1257" s="44">
        <v>1256.0</v>
      </c>
      <c r="B1257" s="44" t="str">
        <f>IFERROR(__xludf.DUMMYFUNCTION("""COMPUTED_VALUE"""),"Hospital Domingo Luciani")</f>
        <v>Hospital Domingo Luciani</v>
      </c>
      <c r="C1257" s="45" t="str">
        <f>IFERROR(__xludf.DUMMYFUNCTION("""COMPUTED_VALUE"""),"ARIAS FRANK")</f>
        <v>ARIAS FRANK</v>
      </c>
      <c r="D1257" s="44">
        <f>IFERROR(__xludf.DUMMYFUNCTION("""COMPUTED_VALUE"""),18.0)</f>
        <v>18</v>
      </c>
      <c r="E1257" s="44" t="str">
        <f>IFERROR(__xludf.DUMMYFUNCTION("""COMPUTED_VALUE"""),"")</f>
        <v/>
      </c>
      <c r="F1257" s="44" t="str">
        <f>IFERROR(__xludf.DUMMYFUNCTION("""COMPUTED_VALUE"""),"")</f>
        <v/>
      </c>
      <c r="G1257" s="44" t="str">
        <f>IFERROR(__xludf.DUMMYFUNCTION("""COMPUTED_VALUE""")," ")</f>
        <v> </v>
      </c>
      <c r="H1257" s="44" t="str">
        <f>IFERROR(__xludf.DUMMYFUNCTION("""COMPUTED_VALUE""")," ")</f>
        <v> </v>
      </c>
      <c r="I1257" s="44" t="str">
        <f>IFERROR(__xludf.DUMMYFUNCTION("""COMPUTED_VALUE"""),"Politrauma Emerg. Vieja")</f>
        <v>Politrauma Emerg. Vieja</v>
      </c>
      <c r="J1257" s="44" t="str">
        <f>IFERROR(__xludf.DUMMYFUNCTION("""COMPUTED_VALUE"""),"")</f>
        <v/>
      </c>
      <c r="K1257" s="42" t="str">
        <f>IFERROR(__xludf.DUMMYFUNCTION("""COMPUTED_VALUE"""),"🔍 BUSCAR PACIENTES")</f>
        <v>🔍 BUSCAR PACIENTES</v>
      </c>
    </row>
    <row r="1258">
      <c r="A1258" s="44">
        <v>1257.0</v>
      </c>
      <c r="B1258" s="44" t="str">
        <f>IFERROR(__xludf.DUMMYFUNCTION("""COMPUTED_VALUE"""),"H. Jose Maria Vargas LG")</f>
        <v>H. Jose Maria Vargas LG</v>
      </c>
      <c r="C1258" s="45" t="str">
        <f>IFERROR(__xludf.DUMMYFUNCTION("""COMPUTED_VALUE"""),"ARIAS YONAY")</f>
        <v>ARIAS YONAY</v>
      </c>
      <c r="D1258" s="44">
        <f>IFERROR(__xludf.DUMMYFUNCTION("""COMPUTED_VALUE"""),52.0)</f>
        <v>52</v>
      </c>
      <c r="E1258" s="44" t="str">
        <f>IFERROR(__xludf.DUMMYFUNCTION("""COMPUTED_VALUE"""),"")</f>
        <v/>
      </c>
      <c r="F1258" s="44" t="str">
        <f>IFERROR(__xludf.DUMMYFUNCTION("""COMPUTED_VALUE"""),"")</f>
        <v/>
      </c>
      <c r="G1258" s="44" t="str">
        <f>IFERROR(__xludf.DUMMYFUNCTION("""COMPUTED_VALUE""")," ")</f>
        <v> </v>
      </c>
      <c r="H1258" s="44" t="str">
        <f>IFERROR(__xludf.DUMMYFUNCTION("""COMPUTED_VALUE"""),"Macuto")</f>
        <v>Macuto</v>
      </c>
      <c r="I1258" s="44" t="str">
        <f>IFERROR(__xludf.DUMMYFUNCTION("""COMPUTED_VALUE""")," ")</f>
        <v> </v>
      </c>
      <c r="J1258" s="44" t="str">
        <f>IFERROR(__xludf.DUMMYFUNCTION("""COMPUTED_VALUE"""),"")</f>
        <v/>
      </c>
      <c r="K1258" s="42" t="str">
        <f>IFERROR(__xludf.DUMMYFUNCTION("""COMPUTED_VALUE"""),"H. Jose Maria Vargas LG")</f>
        <v>H. Jose Maria Vargas LG</v>
      </c>
    </row>
    <row r="1259">
      <c r="A1259" s="44">
        <v>1258.0</v>
      </c>
      <c r="B1259" s="44" t="str">
        <f>IFERROR(__xludf.DUMMYFUNCTION("""COMPUTED_VALUE"""),"H. Jose Maria Vargas LG")</f>
        <v>H. Jose Maria Vargas LG</v>
      </c>
      <c r="C1259" s="45" t="str">
        <f>IFERROR(__xludf.DUMMYFUNCTION("""COMPUTED_VALUE"""),"ARIES YONNY")</f>
        <v>ARIES YONNY</v>
      </c>
      <c r="D1259" s="44" t="str">
        <f>IFERROR(__xludf.DUMMYFUNCTION("""COMPUTED_VALUE""")," ")</f>
        <v> </v>
      </c>
      <c r="E1259" s="44" t="str">
        <f>IFERROR(__xludf.DUMMYFUNCTION("""COMPUTED_VALUE"""),"")</f>
        <v/>
      </c>
      <c r="F1259" s="44" t="str">
        <f>IFERROR(__xludf.DUMMYFUNCTION("""COMPUTED_VALUE"""),"")</f>
        <v/>
      </c>
      <c r="G1259" s="44" t="str">
        <f>IFERROR(__xludf.DUMMYFUNCTION("""COMPUTED_VALUE""")," ")</f>
        <v> </v>
      </c>
      <c r="H1259" s="44" t="str">
        <f>IFERROR(__xludf.DUMMYFUNCTION("""COMPUTED_VALUE""")," ")</f>
        <v> </v>
      </c>
      <c r="I1259" s="44" t="str">
        <f>IFERROR(__xludf.DUMMYFUNCTION("""COMPUTED_VALUE""")," ")</f>
        <v> </v>
      </c>
      <c r="J1259" s="44" t="str">
        <f>IFERROR(__xludf.DUMMYFUNCTION("""COMPUTED_VALUE"""),"")</f>
        <v/>
      </c>
      <c r="K1259" s="42" t="str">
        <f>IFERROR(__xludf.DUMMYFUNCTION("""COMPUTED_VALUE"""),"H. Jose Maria Vargas LG")</f>
        <v>H. Jose Maria Vargas LG</v>
      </c>
    </row>
    <row r="1260">
      <c r="A1260" s="44">
        <v>1259.0</v>
      </c>
      <c r="B1260" s="44" t="str">
        <f>IFERROR(__xludf.DUMMYFUNCTION("""COMPUTED_VALUE"""),"Hospital Domingo Luciani")</f>
        <v>Hospital Domingo Luciani</v>
      </c>
      <c r="C1260" s="45" t="str">
        <f>IFERROR(__xludf.DUMMYFUNCTION("""COMPUTED_VALUE"""),"ARISO RENIJILO")</f>
        <v>ARISO RENIJILO</v>
      </c>
      <c r="D1260" s="44">
        <f>IFERROR(__xludf.DUMMYFUNCTION("""COMPUTED_VALUE"""),54.0)</f>
        <v>54</v>
      </c>
      <c r="E1260" s="44" t="str">
        <f>IFERROR(__xludf.DUMMYFUNCTION("""COMPUTED_VALUE"""),"")</f>
        <v/>
      </c>
      <c r="F1260" s="44" t="str">
        <f>IFERROR(__xludf.DUMMYFUNCTION("""COMPUTED_VALUE"""),"")</f>
        <v/>
      </c>
      <c r="G1260" s="44" t="str">
        <f>IFERROR(__xludf.DUMMYFUNCTION("""COMPUTED_VALUE""")," ")</f>
        <v> </v>
      </c>
      <c r="H1260" s="44" t="str">
        <f>IFERROR(__xludf.DUMMYFUNCTION("""COMPUTED_VALUE""")," ")</f>
        <v> </v>
      </c>
      <c r="I1260" s="44" t="str">
        <f>IFERROR(__xludf.DUMMYFUNCTION("""COMPUTED_VALUE"""),"La Guaira – Ingresos 9am")</f>
        <v>La Guaira – Ingresos 9am</v>
      </c>
      <c r="J1260" s="44" t="str">
        <f>IFERROR(__xludf.DUMMYFUNCTION("""COMPUTED_VALUE"""),"")</f>
        <v/>
      </c>
      <c r="K1260" s="42" t="str">
        <f>IFERROR(__xludf.DUMMYFUNCTION("""COMPUTED_VALUE"""),"🔍 BUSCAR PACIENTES")</f>
        <v>🔍 BUSCAR PACIENTES</v>
      </c>
    </row>
    <row r="1261">
      <c r="A1261" s="44">
        <v>1260.0</v>
      </c>
      <c r="B1261" s="44" t="str">
        <f>IFERROR(__xludf.DUMMYFUNCTION("""COMPUTED_VALUE"""),"Seguro Social La Guaira")</f>
        <v>Seguro Social La Guaira</v>
      </c>
      <c r="C1261" s="45" t="str">
        <f>IFERROR(__xludf.DUMMYFUNCTION("""COMPUTED_VALUE"""),"ARMANDO CAISEDO")</f>
        <v>ARMANDO CAISEDO</v>
      </c>
      <c r="D1261" s="44">
        <f>IFERROR(__xludf.DUMMYFUNCTION("""COMPUTED_VALUE"""),67.0)</f>
        <v>67</v>
      </c>
      <c r="E1261" s="44" t="str">
        <f>IFERROR(__xludf.DUMMYFUNCTION("""COMPUTED_VALUE"""),"")</f>
        <v/>
      </c>
      <c r="F1261" s="44" t="str">
        <f>IFERROR(__xludf.DUMMYFUNCTION("""COMPUTED_VALUE"""),"")</f>
        <v/>
      </c>
      <c r="G1261" s="44" t="str">
        <f>IFERROR(__xludf.DUMMYFUNCTION("""COMPUTED_VALUE""")," ")</f>
        <v> </v>
      </c>
      <c r="H1261" s="44" t="str">
        <f>IFERROR(__xludf.DUMMYFUNCTION("""COMPUTED_VALUE"""),"Tanaguarena")</f>
        <v>Tanaguarena</v>
      </c>
      <c r="I1261" s="44" t="str">
        <f>IFERROR(__xludf.DUMMYFUNCTION("""COMPUTED_VALUE""")," ")</f>
        <v> </v>
      </c>
      <c r="J1261" s="44" t="str">
        <f>IFERROR(__xludf.DUMMYFUNCTION("""COMPUTED_VALUE"""),"")</f>
        <v/>
      </c>
      <c r="K1261" s="42" t="str">
        <f>IFERROR(__xludf.DUMMYFUNCTION("""COMPUTED_VALUE"""),"Seguro Social La Guaira")</f>
        <v>Seguro Social La Guaira</v>
      </c>
    </row>
    <row r="1262">
      <c r="A1262" s="44">
        <v>1261.0</v>
      </c>
      <c r="B1262" s="44" t="str">
        <f>IFERROR(__xludf.DUMMYFUNCTION("""COMPUTED_VALUE"""),"Centro de Acopio Caraballeda")</f>
        <v>Centro de Acopio Caraballeda</v>
      </c>
      <c r="C1262" s="45" t="str">
        <f>IFERROR(__xludf.DUMMYFUNCTION("""COMPUTED_VALUE"""),"ARMANZA EDGAR")</f>
        <v>ARMANZA EDGAR</v>
      </c>
      <c r="D1262" s="44" t="str">
        <f>IFERROR(__xludf.DUMMYFUNCTION("""COMPUTED_VALUE""")," ")</f>
        <v> </v>
      </c>
      <c r="E1262" s="44" t="str">
        <f>IFERROR(__xludf.DUMMYFUNCTION("""COMPUTED_VALUE"""),"")</f>
        <v/>
      </c>
      <c r="F1262" s="44" t="str">
        <f>IFERROR(__xludf.DUMMYFUNCTION("""COMPUTED_VALUE"""),"")</f>
        <v/>
      </c>
      <c r="G1262" s="44" t="str">
        <f>IFERROR(__xludf.DUMMYFUNCTION("""COMPUTED_VALUE""")," ")</f>
        <v> </v>
      </c>
      <c r="H1262" s="44" t="str">
        <f>IFERROR(__xludf.DUMMYFUNCTION("""COMPUTED_VALUE""")," ")</f>
        <v> </v>
      </c>
      <c r="I1262" s="44" t="str">
        <f>IFERROR(__xludf.DUMMYFUNCTION("""COMPUTED_VALUE"""),"Internado")</f>
        <v>Internado</v>
      </c>
      <c r="J1262" s="44" t="str">
        <f>IFERROR(__xludf.DUMMYFUNCTION("""COMPUTED_VALUE"""),"")</f>
        <v/>
      </c>
      <c r="K1262" s="42" t="str">
        <f>IFERROR(__xludf.DUMMYFUNCTION("""COMPUTED_VALUE"""),"🔍 BUSCAR PACIENTES")</f>
        <v>🔍 BUSCAR PACIENTES</v>
      </c>
    </row>
    <row r="1263">
      <c r="A1263" s="44">
        <v>1262.0</v>
      </c>
      <c r="B1263" s="44" t="str">
        <f>IFERROR(__xludf.DUMMYFUNCTION("""COMPUTED_VALUE"""),"Hospital Pérez Carreño")</f>
        <v>Hospital Pérez Carreño</v>
      </c>
      <c r="C1263" s="45" t="str">
        <f>IFERROR(__xludf.DUMMYFUNCTION("""COMPUTED_VALUE"""),"AROKA MILAGRO")</f>
        <v>AROKA MILAGRO</v>
      </c>
      <c r="D1263" s="44" t="str">
        <f>IFERROR(__xludf.DUMMYFUNCTION("""COMPUTED_VALUE""")," ")</f>
        <v> </v>
      </c>
      <c r="E1263" s="44" t="str">
        <f>IFERROR(__xludf.DUMMYFUNCTION("""COMPUTED_VALUE"""),"")</f>
        <v/>
      </c>
      <c r="F1263" s="44" t="str">
        <f>IFERROR(__xludf.DUMMYFUNCTION("""COMPUTED_VALUE"""),"")</f>
        <v/>
      </c>
      <c r="G1263" s="44" t="str">
        <f>IFERROR(__xludf.DUMMYFUNCTION("""COMPUTED_VALUE""")," ")</f>
        <v> </v>
      </c>
      <c r="H1263" s="44" t="str">
        <f>IFERROR(__xludf.DUMMYFUNCTION("""COMPUTED_VALUE""")," ")</f>
        <v> </v>
      </c>
      <c r="I1263" s="44" t="str">
        <f>IFERROR(__xludf.DUMMYFUNCTION("""COMPUTED_VALUE"""),"Traumashock")</f>
        <v>Traumashock</v>
      </c>
      <c r="J1263" s="44" t="str">
        <f>IFERROR(__xludf.DUMMYFUNCTION("""COMPUTED_VALUE"""),"25/06/2026")</f>
        <v>25/06/2026</v>
      </c>
      <c r="K1263" s="42" t="str">
        <f>IFERROR(__xludf.DUMMYFUNCTION("""COMPUTED_VALUE"""),"Hospital Pérez Carreño")</f>
        <v>Hospital Pérez Carreño</v>
      </c>
    </row>
    <row r="1264">
      <c r="A1264" s="44">
        <v>1263.0</v>
      </c>
      <c r="B1264" s="44" t="str">
        <f>IFERROR(__xludf.DUMMYFUNCTION("""COMPUTED_VALUE"""),"Campo de Golf Playa los Cocos")</f>
        <v>Campo de Golf Playa los Cocos</v>
      </c>
      <c r="C1264" s="45" t="str">
        <f>IFERROR(__xludf.DUMMYFUNCTION("""COMPUTED_VALUE"""),"Aron Ochoa")</f>
        <v>Aron Ochoa</v>
      </c>
      <c r="D1264" s="44" t="str">
        <f>IFERROR(__xludf.DUMMYFUNCTION("""COMPUTED_VALUE"""),"")</f>
        <v/>
      </c>
      <c r="E1264" s="44" t="str">
        <f>IFERROR(__xludf.DUMMYFUNCTION("""COMPUTED_VALUE"""),"")</f>
        <v/>
      </c>
      <c r="F1264" s="44" t="str">
        <f>IFERROR(__xludf.DUMMYFUNCTION("""COMPUTED_VALUE"""),"")</f>
        <v/>
      </c>
      <c r="G1264" s="44" t="str">
        <f>IFERROR(__xludf.DUMMYFUNCTION("""COMPUTED_VALUE"""),"")</f>
        <v/>
      </c>
      <c r="H1264" s="44" t="str">
        <f>IFERROR(__xludf.DUMMYFUNCTION("""COMPUTED_VALUE"""),"")</f>
        <v/>
      </c>
      <c r="I1264" s="44"/>
      <c r="J1264" s="44" t="str">
        <f>IFERROR(__xludf.DUMMYFUNCTION("""COMPUTED_VALUE"""),"")</f>
        <v/>
      </c>
      <c r="K1264" s="42" t="str">
        <f>IFERROR(__xludf.DUMMYFUNCTION("""COMPUTED_VALUE"""),"Campo de Golf Playa los Cocos")</f>
        <v>Campo de Golf Playa los Cocos</v>
      </c>
    </row>
    <row r="1265">
      <c r="A1265" s="44">
        <v>1264.0</v>
      </c>
      <c r="B1265" s="44" t="str">
        <f>IFERROR(__xludf.DUMMYFUNCTION("""COMPUTED_VALUE"""),"Hospital Pérez Carreño")</f>
        <v>Hospital Pérez Carreño</v>
      </c>
      <c r="C1265" s="45" t="str">
        <f>IFERROR(__xludf.DUMMYFUNCTION("""COMPUTED_VALUE"""),"ARON YSAAC / AARON ISAAC")</f>
        <v>ARON YSAAC / AARON ISAAC</v>
      </c>
      <c r="D1265" s="44">
        <f>IFERROR(__xludf.DUMMYFUNCTION("""COMPUTED_VALUE"""),8.0)</f>
        <v>8</v>
      </c>
      <c r="E1265" s="44" t="str">
        <f>IFERROR(__xludf.DUMMYFUNCTION("""COMPUTED_VALUE"""),"")</f>
        <v/>
      </c>
      <c r="F1265" s="44" t="str">
        <f>IFERROR(__xludf.DUMMYFUNCTION("""COMPUTED_VALUE"""),"")</f>
        <v/>
      </c>
      <c r="G1265" s="44" t="str">
        <f>IFERROR(__xludf.DUMMYFUNCTION("""COMPUTED_VALUE""")," ")</f>
        <v> </v>
      </c>
      <c r="H1265" s="44" t="str">
        <f>IFERROR(__xludf.DUMMYFUNCTION("""COMPUTED_VALUE""")," ")</f>
        <v> </v>
      </c>
      <c r="I1265" s="44" t="str">
        <f>IFERROR(__xludf.DUMMYFUNCTION("""COMPUTED_VALUE"""),"Emerg. Pediátrica – Tanaguarena – SIN FAMILIAR")</f>
        <v>Emerg. Pediátrica – Tanaguarena – SIN FAMILIAR</v>
      </c>
      <c r="J1265" s="44" t="str">
        <f>IFERROR(__xludf.DUMMYFUNCTION("""COMPUTED_VALUE"""),"25/06/2026")</f>
        <v>25/06/2026</v>
      </c>
      <c r="K1265" s="42" t="str">
        <f>IFERROR(__xludf.DUMMYFUNCTION("""COMPUTED_VALUE"""),"Hospital Pérez Carreño")</f>
        <v>Hospital Pérez Carreño</v>
      </c>
    </row>
    <row r="1266">
      <c r="A1266" s="44">
        <v>1265.0</v>
      </c>
      <c r="B1266" s="44" t="str">
        <f>IFERROR(__xludf.DUMMYFUNCTION("""COMPUTED_VALUE"""),"H. Jose Maria Vargas LG")</f>
        <v>H. Jose Maria Vargas LG</v>
      </c>
      <c r="C1266" s="45" t="str">
        <f>IFERROR(__xludf.DUMMYFUNCTION("""COMPUTED_VALUE"""),"ARRAIZ KEIVIS")</f>
        <v>ARRAIZ KEIVIS</v>
      </c>
      <c r="D1266" s="44" t="str">
        <f>IFERROR(__xludf.DUMMYFUNCTION("""COMPUTED_VALUE""")," ")</f>
        <v> </v>
      </c>
      <c r="E1266" s="44" t="str">
        <f>IFERROR(__xludf.DUMMYFUNCTION("""COMPUTED_VALUE"""),"")</f>
        <v/>
      </c>
      <c r="F1266" s="44" t="str">
        <f>IFERROR(__xludf.DUMMYFUNCTION("""COMPUTED_VALUE"""),"")</f>
        <v/>
      </c>
      <c r="G1266" s="44" t="str">
        <f>IFERROR(__xludf.DUMMYFUNCTION("""COMPUTED_VALUE""")," ")</f>
        <v> </v>
      </c>
      <c r="H1266" s="44" t="str">
        <f>IFERROR(__xludf.DUMMYFUNCTION("""COMPUTED_VALUE""")," ")</f>
        <v> </v>
      </c>
      <c r="I1266" s="44" t="str">
        <f>IFERROR(__xludf.DUMMYFUNCTION("""COMPUTED_VALUE""")," ")</f>
        <v> </v>
      </c>
      <c r="J1266" s="44" t="str">
        <f>IFERROR(__xludf.DUMMYFUNCTION("""COMPUTED_VALUE"""),"")</f>
        <v/>
      </c>
      <c r="K1266" s="42" t="str">
        <f>IFERROR(__xludf.DUMMYFUNCTION("""COMPUTED_VALUE"""),"H. Jose Maria Vargas LG")</f>
        <v>H. Jose Maria Vargas LG</v>
      </c>
    </row>
    <row r="1267">
      <c r="A1267" s="44">
        <v>1266.0</v>
      </c>
      <c r="B1267" s="44" t="str">
        <f>IFERROR(__xludf.DUMMYFUNCTION("""COMPUTED_VALUE"""),"Centro de Acopio Caraballeda")</f>
        <v>Centro de Acopio Caraballeda</v>
      </c>
      <c r="C1267" s="45" t="str">
        <f>IFERROR(__xludf.DUMMYFUNCTION("""COMPUTED_VALUE"""),"ARRATIA THIAGO")</f>
        <v>ARRATIA THIAGO</v>
      </c>
      <c r="D1267" s="44" t="str">
        <f>IFERROR(__xludf.DUMMYFUNCTION("""COMPUTED_VALUE""")," ")</f>
        <v> </v>
      </c>
      <c r="E1267" s="44" t="str">
        <f>IFERROR(__xludf.DUMMYFUNCTION("""COMPUTED_VALUE"""),"")</f>
        <v/>
      </c>
      <c r="F1267" s="44" t="str">
        <f>IFERROR(__xludf.DUMMYFUNCTION("""COMPUTED_VALUE"""),"")</f>
        <v/>
      </c>
      <c r="G1267" s="44" t="str">
        <f>IFERROR(__xludf.DUMMYFUNCTION("""COMPUTED_VALUE""")," ")</f>
        <v> </v>
      </c>
      <c r="H1267" s="44" t="str">
        <f>IFERROR(__xludf.DUMMYFUNCTION("""COMPUTED_VALUE""")," ")</f>
        <v> </v>
      </c>
      <c r="I1267" s="44" t="str">
        <f>IFERROR(__xludf.DUMMYFUNCTION("""COMPUTED_VALUE"""),"Internado")</f>
        <v>Internado</v>
      </c>
      <c r="J1267" s="44" t="str">
        <f>IFERROR(__xludf.DUMMYFUNCTION("""COMPUTED_VALUE"""),"")</f>
        <v/>
      </c>
      <c r="K1267" s="42" t="str">
        <f>IFERROR(__xludf.DUMMYFUNCTION("""COMPUTED_VALUE"""),"🔍 BUSCAR PACIENTES")</f>
        <v>🔍 BUSCAR PACIENTES</v>
      </c>
    </row>
    <row r="1268">
      <c r="A1268" s="44">
        <v>1267.0</v>
      </c>
      <c r="B1268" s="44" t="str">
        <f>IFERROR(__xludf.DUMMYFUNCTION("""COMPUTED_VALUE"""),"Hospital Domingo Luciani")</f>
        <v>Hospital Domingo Luciani</v>
      </c>
      <c r="C1268" s="45" t="str">
        <f>IFERROR(__xludf.DUMMYFUNCTION("""COMPUTED_VALUE"""),"ARRIETA DOLIS")</f>
        <v>ARRIETA DOLIS</v>
      </c>
      <c r="D1268" s="44">
        <f>IFERROR(__xludf.DUMMYFUNCTION("""COMPUTED_VALUE"""),65.0)</f>
        <v>65</v>
      </c>
      <c r="E1268" s="44" t="str">
        <f>IFERROR(__xludf.DUMMYFUNCTION("""COMPUTED_VALUE"""),"")</f>
        <v/>
      </c>
      <c r="F1268" s="44" t="str">
        <f>IFERROR(__xludf.DUMMYFUNCTION("""COMPUTED_VALUE"""),"")</f>
        <v/>
      </c>
      <c r="G1268" s="44" t="str">
        <f>IFERROR(__xludf.DUMMYFUNCTION("""COMPUTED_VALUE""")," ")</f>
        <v> </v>
      </c>
      <c r="H1268" s="44" t="str">
        <f>IFERROR(__xludf.DUMMYFUNCTION("""COMPUTED_VALUE""")," ")</f>
        <v> </v>
      </c>
      <c r="I1268" s="44" t="str">
        <f>IFERROR(__xludf.DUMMYFUNCTION("""COMPUTED_VALUE""")," ")</f>
        <v> </v>
      </c>
      <c r="J1268" s="44" t="str">
        <f>IFERROR(__xludf.DUMMYFUNCTION("""COMPUTED_VALUE"""),"")</f>
        <v/>
      </c>
      <c r="K1268" s="42" t="str">
        <f>IFERROR(__xludf.DUMMYFUNCTION("""COMPUTED_VALUE"""),"🔍 BUSCAR PACIENTES")</f>
        <v>🔍 BUSCAR PACIENTES</v>
      </c>
    </row>
    <row r="1269">
      <c r="A1269" s="44">
        <v>1268.0</v>
      </c>
      <c r="B1269" s="44" t="str">
        <f>IFERROR(__xludf.DUMMYFUNCTION("""COMPUTED_VALUE"""),"Hospital Domingo Luciani")</f>
        <v>Hospital Domingo Luciani</v>
      </c>
      <c r="C1269" s="45" t="str">
        <f>IFERROR(__xludf.DUMMYFUNCTION("""COMPUTED_VALUE"""),"ARRIETA DORIS")</f>
        <v>ARRIETA DORIS</v>
      </c>
      <c r="D1269" s="44" t="str">
        <f>IFERROR(__xludf.DUMMYFUNCTION("""COMPUTED_VALUE""")," ")</f>
        <v> </v>
      </c>
      <c r="E1269" s="44" t="str">
        <f>IFERROR(__xludf.DUMMYFUNCTION("""COMPUTED_VALUE"""),"")</f>
        <v/>
      </c>
      <c r="F1269" s="44" t="str">
        <f>IFERROR(__xludf.DUMMYFUNCTION("""COMPUTED_VALUE"""),"")</f>
        <v/>
      </c>
      <c r="G1269" s="44" t="str">
        <f>IFERROR(__xludf.DUMMYFUNCTION("""COMPUTED_VALUE""")," ")</f>
        <v> </v>
      </c>
      <c r="H1269" s="44" t="str">
        <f>IFERROR(__xludf.DUMMYFUNCTION("""COMPUTED_VALUE""")," ")</f>
        <v> </v>
      </c>
      <c r="I1269" s="44" t="str">
        <f>IFERROR(__xludf.DUMMYFUNCTION("""COMPUTED_VALUE"""),"Quirófano")</f>
        <v>Quirófano</v>
      </c>
      <c r="J1269" s="44" t="str">
        <f>IFERROR(__xludf.DUMMYFUNCTION("""COMPUTED_VALUE"""),"")</f>
        <v/>
      </c>
      <c r="K1269" s="42" t="str">
        <f>IFERROR(__xludf.DUMMYFUNCTION("""COMPUTED_VALUE"""),"🔍 BUSCAR PACIENTES")</f>
        <v>🔍 BUSCAR PACIENTES</v>
      </c>
    </row>
    <row r="1270">
      <c r="A1270" s="44">
        <v>1269.0</v>
      </c>
      <c r="B1270" s="44" t="str">
        <f>IFERROR(__xludf.DUMMYFUNCTION("""COMPUTED_VALUE"""),"Hospital Domingo Luciani")</f>
        <v>Hospital Domingo Luciani</v>
      </c>
      <c r="C1270" s="45" t="str">
        <f>IFERROR(__xludf.DUMMYFUNCTION("""COMPUTED_VALUE"""),"ARRIETA OYOLA DORIS")</f>
        <v>ARRIETA OYOLA DORIS</v>
      </c>
      <c r="D1270" s="44">
        <f>IFERROR(__xludf.DUMMYFUNCTION("""COMPUTED_VALUE"""),65.0)</f>
        <v>65</v>
      </c>
      <c r="E1270" s="44" t="str">
        <f>IFERROR(__xludf.DUMMYFUNCTION("""COMPUTED_VALUE"""),"")</f>
        <v/>
      </c>
      <c r="F1270" s="44" t="str">
        <f>IFERROR(__xludf.DUMMYFUNCTION("""COMPUTED_VALUE"""),"")</f>
        <v/>
      </c>
      <c r="G1270" s="44" t="str">
        <f>IFERROR(__xludf.DUMMYFUNCTION("""COMPUTED_VALUE""")," ")</f>
        <v> </v>
      </c>
      <c r="H1270" s="44" t="str">
        <f>IFERROR(__xludf.DUMMYFUNCTION("""COMPUTED_VALUE"""),"Baruta")</f>
        <v>Baruta</v>
      </c>
      <c r="I1270" s="44" t="str">
        <f>IFERROR(__xludf.DUMMYFUNCTION("""COMPUTED_VALUE""")," ")</f>
        <v> </v>
      </c>
      <c r="J1270" s="44" t="str">
        <f>IFERROR(__xludf.DUMMYFUNCTION("""COMPUTED_VALUE"""),"")</f>
        <v/>
      </c>
      <c r="K1270" s="42" t="str">
        <f>IFERROR(__xludf.DUMMYFUNCTION("""COMPUTED_VALUE"""),"🔍 BUSCAR PACIENTES")</f>
        <v>🔍 BUSCAR PACIENTES</v>
      </c>
    </row>
    <row r="1271">
      <c r="A1271" s="44">
        <v>1270.0</v>
      </c>
      <c r="B1271" s="44" t="str">
        <f>IFERROR(__xludf.DUMMYFUNCTION("""COMPUTED_VALUE"""),"H. Jose Maria Vargas LG")</f>
        <v>H. Jose Maria Vargas LG</v>
      </c>
      <c r="C1271" s="45" t="str">
        <f>IFERROR(__xludf.DUMMYFUNCTION("""COMPUTED_VALUE"""),"ARRUGARE YONAIKER")</f>
        <v>ARRUGARE YONAIKER</v>
      </c>
      <c r="D1271" s="44" t="str">
        <f>IFERROR(__xludf.DUMMYFUNCTION("""COMPUTED_VALUE""")," ")</f>
        <v> </v>
      </c>
      <c r="E1271" s="44" t="str">
        <f>IFERROR(__xludf.DUMMYFUNCTION("""COMPUTED_VALUE"""),"")</f>
        <v/>
      </c>
      <c r="F1271" s="44" t="str">
        <f>IFERROR(__xludf.DUMMYFUNCTION("""COMPUTED_VALUE"""),"")</f>
        <v/>
      </c>
      <c r="G1271" s="44" t="str">
        <f>IFERROR(__xludf.DUMMYFUNCTION("""COMPUTED_VALUE""")," ")</f>
        <v> </v>
      </c>
      <c r="H1271" s="44" t="str">
        <f>IFERROR(__xludf.DUMMYFUNCTION("""COMPUTED_VALUE""")," ")</f>
        <v> </v>
      </c>
      <c r="I1271" s="44" t="str">
        <f>IFERROR(__xludf.DUMMYFUNCTION("""COMPUTED_VALUE""")," ")</f>
        <v> </v>
      </c>
      <c r="J1271" s="44" t="str">
        <f>IFERROR(__xludf.DUMMYFUNCTION("""COMPUTED_VALUE"""),"")</f>
        <v/>
      </c>
      <c r="K1271" s="42" t="str">
        <f>IFERROR(__xludf.DUMMYFUNCTION("""COMPUTED_VALUE"""),"H. Jose Maria Vargas LG")</f>
        <v>H. Jose Maria Vargas LG</v>
      </c>
    </row>
    <row r="1272">
      <c r="A1272" s="44">
        <v>1271.0</v>
      </c>
      <c r="B1272" s="44" t="str">
        <f>IFERROR(__xludf.DUMMYFUNCTION("""COMPUTED_VALUE"""),"Cruz Roja")</f>
        <v>Cruz Roja</v>
      </c>
      <c r="C1272" s="45" t="str">
        <f>IFERROR(__xludf.DUMMYFUNCTION("""COMPUTED_VALUE"""),"ARTEAGA/AHEDOGA BETI")</f>
        <v>ARTEAGA/AHEDOGA BETI</v>
      </c>
      <c r="D1272" s="44">
        <f>IFERROR(__xludf.DUMMYFUNCTION("""COMPUTED_VALUE"""),51.0)</f>
        <v>51</v>
      </c>
      <c r="E1272" s="44" t="str">
        <f>IFERROR(__xludf.DUMMYFUNCTION("""COMPUTED_VALUE"""),"")</f>
        <v/>
      </c>
      <c r="F1272" s="44" t="str">
        <f>IFERROR(__xludf.DUMMYFUNCTION("""COMPUTED_VALUE"""),"")</f>
        <v/>
      </c>
      <c r="G1272" s="44" t="str">
        <f>IFERROR(__xludf.DUMMYFUNCTION("""COMPUTED_VALUE""")," ")</f>
        <v> </v>
      </c>
      <c r="H1272" s="44" t="str">
        <f>IFERROR(__xludf.DUMMYFUNCTION("""COMPUTED_VALUE""")," ")</f>
        <v> </v>
      </c>
      <c r="I1272" s="44" t="str">
        <f>IFERROR(__xludf.DUMMYFUNCTION("""COMPUTED_VALUE"""),"Internado")</f>
        <v>Internado</v>
      </c>
      <c r="J1272" s="44" t="str">
        <f>IFERROR(__xludf.DUMMYFUNCTION("""COMPUTED_VALUE"""),"")</f>
        <v/>
      </c>
      <c r="K1272" s="42" t="str">
        <f>IFERROR(__xludf.DUMMYFUNCTION("""COMPUTED_VALUE"""),"Cruz Roja")</f>
        <v>Cruz Roja</v>
      </c>
    </row>
    <row r="1273">
      <c r="A1273" s="44">
        <v>1272.0</v>
      </c>
      <c r="B1273" s="44" t="str">
        <f>IFERROR(__xludf.DUMMYFUNCTION("""COMPUTED_VALUE"""),"Hospital Domingo Luciani")</f>
        <v>Hospital Domingo Luciani</v>
      </c>
      <c r="C1273" s="45" t="str">
        <f>IFERROR(__xludf.DUMMYFUNCTION("""COMPUTED_VALUE"""),"ARTEAGA AIDE")</f>
        <v>ARTEAGA AIDE</v>
      </c>
      <c r="D1273" s="44" t="str">
        <f>IFERROR(__xludf.DUMMYFUNCTION("""COMPUTED_VALUE""")," ")</f>
        <v> </v>
      </c>
      <c r="E1273" s="44" t="str">
        <f>IFERROR(__xludf.DUMMYFUNCTION("""COMPUTED_VALUE"""),"")</f>
        <v/>
      </c>
      <c r="F1273" s="44" t="str">
        <f>IFERROR(__xludf.DUMMYFUNCTION("""COMPUTED_VALUE"""),"")</f>
        <v/>
      </c>
      <c r="G1273" s="44" t="str">
        <f>IFERROR(__xludf.DUMMYFUNCTION("""COMPUTED_VALUE""")," ")</f>
        <v> </v>
      </c>
      <c r="H1273" s="44" t="str">
        <f>IFERROR(__xludf.DUMMYFUNCTION("""COMPUTED_VALUE""")," ")</f>
        <v> </v>
      </c>
      <c r="I1273" s="44" t="str">
        <f>IFERROR(__xludf.DUMMYFUNCTION("""COMPUTED_VALUE"""),"Politrauma / Rx")</f>
        <v>Politrauma / Rx</v>
      </c>
      <c r="J1273" s="44" t="str">
        <f>IFERROR(__xludf.DUMMYFUNCTION("""COMPUTED_VALUE"""),"")</f>
        <v/>
      </c>
      <c r="K1273" s="42" t="str">
        <f>IFERROR(__xludf.DUMMYFUNCTION("""COMPUTED_VALUE"""),"🔍 BUSCAR PACIENTES")</f>
        <v>🔍 BUSCAR PACIENTES</v>
      </c>
    </row>
    <row r="1274">
      <c r="A1274" s="44">
        <v>1273.0</v>
      </c>
      <c r="B1274" s="44" t="str">
        <f>IFERROR(__xludf.DUMMYFUNCTION("""COMPUTED_VALUE"""),"Cruz Roja")</f>
        <v>Cruz Roja</v>
      </c>
      <c r="C1274" s="45" t="str">
        <f>IFERROR(__xludf.DUMMYFUNCTION("""COMPUTED_VALUE"""),"ARTEAGA BETI")</f>
        <v>ARTEAGA BETI</v>
      </c>
      <c r="D1274" s="44">
        <f>IFERROR(__xludf.DUMMYFUNCTION("""COMPUTED_VALUE"""),51.0)</f>
        <v>51</v>
      </c>
      <c r="E1274" s="44" t="str">
        <f>IFERROR(__xludf.DUMMYFUNCTION("""COMPUTED_VALUE"""),"")</f>
        <v/>
      </c>
      <c r="F1274" s="44" t="str">
        <f>IFERROR(__xludf.DUMMYFUNCTION("""COMPUTED_VALUE"""),"")</f>
        <v/>
      </c>
      <c r="G1274" s="44">
        <f>IFERROR(__xludf.DUMMYFUNCTION("""COMPUTED_VALUE"""),1.206737E7)</f>
        <v>12067370</v>
      </c>
      <c r="H1274" s="44" t="str">
        <f>IFERROR(__xludf.DUMMYFUNCTION("""COMPUTED_VALUE"""),"La Candelaria")</f>
        <v>La Candelaria</v>
      </c>
      <c r="I1274" s="44" t="str">
        <f>IFERROR(__xludf.DUMMYFUNCTION("""COMPUTED_VALUE""")," ")</f>
        <v> </v>
      </c>
      <c r="J1274" s="44" t="str">
        <f>IFERROR(__xludf.DUMMYFUNCTION("""COMPUTED_VALUE"""),"")</f>
        <v/>
      </c>
      <c r="K1274" s="42" t="str">
        <f>IFERROR(__xludf.DUMMYFUNCTION("""COMPUTED_VALUE"""),"Cruz Roja")</f>
        <v>Cruz Roja</v>
      </c>
    </row>
    <row r="1275">
      <c r="A1275" s="44">
        <v>1274.0</v>
      </c>
      <c r="B1275" s="44" t="str">
        <f>IFERROR(__xludf.DUMMYFUNCTION("""COMPUTED_VALUE"""),"Hospital Domingo Luciani")</f>
        <v>Hospital Domingo Luciani</v>
      </c>
      <c r="C1275" s="45" t="str">
        <f>IFERROR(__xludf.DUMMYFUNCTION("""COMPUTED_VALUE"""),"ARTEAGA GLADYS")</f>
        <v>ARTEAGA GLADYS</v>
      </c>
      <c r="D1275" s="44">
        <f>IFERROR(__xludf.DUMMYFUNCTION("""COMPUTED_VALUE"""),72.0)</f>
        <v>72</v>
      </c>
      <c r="E1275" s="44" t="str">
        <f>IFERROR(__xludf.DUMMYFUNCTION("""COMPUTED_VALUE"""),"")</f>
        <v/>
      </c>
      <c r="F1275" s="44" t="str">
        <f>IFERROR(__xludf.DUMMYFUNCTION("""COMPUTED_VALUE"""),"")</f>
        <v/>
      </c>
      <c r="G1275" s="44" t="str">
        <f>IFERROR(__xludf.DUMMYFUNCTION("""COMPUTED_VALUE""")," ")</f>
        <v> </v>
      </c>
      <c r="H1275" s="44" t="str">
        <f>IFERROR(__xludf.DUMMYFUNCTION("""COMPUTED_VALUE""")," ")</f>
        <v> </v>
      </c>
      <c r="I1275" s="44" t="str">
        <f>IFERROR(__xludf.DUMMYFUNCTION("""COMPUTED_VALUE""")," ")</f>
        <v> </v>
      </c>
      <c r="J1275" s="44" t="str">
        <f>IFERROR(__xludf.DUMMYFUNCTION("""COMPUTED_VALUE"""),"")</f>
        <v/>
      </c>
      <c r="K1275" s="42" t="str">
        <f>IFERROR(__xludf.DUMMYFUNCTION("""COMPUTED_VALUE"""),"🔍 BUSCAR PACIENTES")</f>
        <v>🔍 BUSCAR PACIENTES</v>
      </c>
    </row>
    <row r="1276">
      <c r="A1276" s="44">
        <v>1275.0</v>
      </c>
      <c r="B1276" s="44" t="str">
        <f>IFERROR(__xludf.DUMMYFUNCTION("""COMPUTED_VALUE"""),"Hospital Pérez Carreño")</f>
        <v>Hospital Pérez Carreño</v>
      </c>
      <c r="C1276" s="45" t="str">
        <f>IFERROR(__xludf.DUMMYFUNCTION("""COMPUTED_VALUE"""),"Artiles Gabriel")</f>
        <v>Artiles Gabriel</v>
      </c>
      <c r="D1276" s="44"/>
      <c r="E1276" s="44" t="str">
        <f>IFERROR(__xludf.DUMMYFUNCTION("""COMPUTED_VALUE"""),"")</f>
        <v/>
      </c>
      <c r="F1276" s="44" t="str">
        <f>IFERROR(__xludf.DUMMYFUNCTION("""COMPUTED_VALUE"""),"")</f>
        <v/>
      </c>
      <c r="G1276" s="44" t="str">
        <f>IFERROR(__xludf.DUMMYFUNCTION("""COMPUTED_VALUE"""),"Traslados con destino asignado")</f>
        <v>Traslados con destino asignado</v>
      </c>
      <c r="H1276" s="44" t="str">
        <f>IFERROR(__xludf.DUMMYFUNCTION("""COMPUTED_VALUE"""),"Hospital Miguel Perez Carreño")</f>
        <v>Hospital Miguel Perez Carreño</v>
      </c>
      <c r="I1276" s="44"/>
      <c r="J1276" s="44" t="str">
        <f>IFERROR(__xludf.DUMMYFUNCTION("""COMPUTED_VALUE"""),"26/6/26")</f>
        <v>26/6/26</v>
      </c>
      <c r="K1276" s="42" t="str">
        <f>IFERROR(__xludf.DUMMYFUNCTION("""COMPUTED_VALUE"""),"Hospital Pérez Carreño")</f>
        <v>Hospital Pérez Carreño</v>
      </c>
    </row>
    <row r="1277">
      <c r="A1277" s="44">
        <v>1276.0</v>
      </c>
      <c r="B1277" s="44" t="str">
        <f>IFERROR(__xludf.DUMMYFUNCTION("""COMPUTED_VALUE"""),"Hospital Domingo Luciani")</f>
        <v>Hospital Domingo Luciani</v>
      </c>
      <c r="C1277" s="45" t="str">
        <f>IFERROR(__xludf.DUMMYFUNCTION("""COMPUTED_VALUE"""),"Arturo Salazer")</f>
        <v>Arturo Salazer</v>
      </c>
      <c r="D1277" s="44">
        <f>IFERROR(__xludf.DUMMYFUNCTION("""COMPUTED_VALUE"""),13.0)</f>
        <v>13</v>
      </c>
      <c r="E1277" s="44" t="str">
        <f>IFERROR(__xludf.DUMMYFUNCTION("""COMPUTED_VALUE"""),"")</f>
        <v/>
      </c>
      <c r="F1277" s="44" t="str">
        <f>IFERROR(__xludf.DUMMYFUNCTION("""COMPUTED_VALUE"""),"")</f>
        <v/>
      </c>
      <c r="G1277" s="44"/>
      <c r="H1277" s="44"/>
      <c r="I1277" s="44"/>
      <c r="J1277" s="44" t="str">
        <f>IFERROR(__xludf.DUMMYFUNCTION("""COMPUTED_VALUE"""),"")</f>
        <v/>
      </c>
      <c r="K1277" s="42" t="str">
        <f>IFERROR(__xludf.DUMMYFUNCTION("""COMPUTED_VALUE"""),"Hospital Domingo Luciani")</f>
        <v>Hospital Domingo Luciani</v>
      </c>
    </row>
    <row r="1278">
      <c r="A1278" s="44">
        <v>1277.0</v>
      </c>
      <c r="B1278" s="44" t="str">
        <f>IFERROR(__xludf.DUMMYFUNCTION("""COMPUTED_VALUE"""),"Hospital Domingo Luciani")</f>
        <v>Hospital Domingo Luciani</v>
      </c>
      <c r="C1278" s="45" t="str">
        <f>IFERROR(__xludf.DUMMYFUNCTION("""COMPUTED_VALUE"""),"Arturo Salugar")</f>
        <v>Arturo Salugar</v>
      </c>
      <c r="D1278" s="44">
        <f>IFERROR(__xludf.DUMMYFUNCTION("""COMPUTED_VALUE"""),13.0)</f>
        <v>13</v>
      </c>
      <c r="E1278" s="44" t="str">
        <f>IFERROR(__xludf.DUMMYFUNCTION("""COMPUTED_VALUE"""),"")</f>
        <v/>
      </c>
      <c r="F1278" s="44" t="str">
        <f>IFERROR(__xludf.DUMMYFUNCTION("""COMPUTED_VALUE"""),"")</f>
        <v/>
      </c>
      <c r="G1278" s="44"/>
      <c r="H1278" s="44"/>
      <c r="I1278" s="44"/>
      <c r="J1278" s="44" t="str">
        <f>IFERROR(__xludf.DUMMYFUNCTION("""COMPUTED_VALUE"""),"")</f>
        <v/>
      </c>
      <c r="K1278" s="42" t="str">
        <f>IFERROR(__xludf.DUMMYFUNCTION("""COMPUTED_VALUE"""),"Hospital Domingo Luciani")</f>
        <v>Hospital Domingo Luciani</v>
      </c>
    </row>
    <row r="1279">
      <c r="A1279" s="44">
        <v>1278.0</v>
      </c>
      <c r="B1279" s="44" t="str">
        <f>IFERROR(__xludf.DUMMYFUNCTION("""COMPUTED_VALUE"""),"Hospital Domingo Luciani")</f>
        <v>Hospital Domingo Luciani</v>
      </c>
      <c r="C1279" s="45" t="str">
        <f>IFERROR(__xludf.DUMMYFUNCTION("""COMPUTED_VALUE"""),"ARVELO VALERI")</f>
        <v>ARVELO VALERI</v>
      </c>
      <c r="D1279" s="44">
        <f>IFERROR(__xludf.DUMMYFUNCTION("""COMPUTED_VALUE"""),6.0)</f>
        <v>6</v>
      </c>
      <c r="E1279" s="44" t="str">
        <f>IFERROR(__xludf.DUMMYFUNCTION("""COMPUTED_VALUE"""),"")</f>
        <v/>
      </c>
      <c r="F1279" s="44" t="str">
        <f>IFERROR(__xludf.DUMMYFUNCTION("""COMPUTED_VALUE"""),"")</f>
        <v/>
      </c>
      <c r="G1279" s="44" t="str">
        <f>IFERROR(__xludf.DUMMYFUNCTION("""COMPUTED_VALUE""")," ")</f>
        <v> </v>
      </c>
      <c r="H1279" s="44" t="str">
        <f>IFERROR(__xludf.DUMMYFUNCTION("""COMPUTED_VALUE""")," ")</f>
        <v> </v>
      </c>
      <c r="I1279" s="44" t="str">
        <f>IFERROR(__xludf.DUMMYFUNCTION("""COMPUTED_VALUE"""),"Internado; PEDIATRIA PISO 6")</f>
        <v>Internado; PEDIATRIA PISO 6</v>
      </c>
      <c r="J1279" s="44" t="str">
        <f>IFERROR(__xludf.DUMMYFUNCTION("""COMPUTED_VALUE"""),"")</f>
        <v/>
      </c>
      <c r="K1279" s="42" t="str">
        <f>IFERROR(__xludf.DUMMYFUNCTION("""COMPUTED_VALUE"""),"🔍 BUSCAR PACIENTES")</f>
        <v>🔍 BUSCAR PACIENTES</v>
      </c>
    </row>
    <row r="1280">
      <c r="A1280" s="44">
        <v>1279.0</v>
      </c>
      <c r="B1280" s="44" t="str">
        <f>IFERROR(__xludf.DUMMYFUNCTION("""COMPUTED_VALUE"""),"Hospital Domingo Luciani")</f>
        <v>Hospital Domingo Luciani</v>
      </c>
      <c r="C1280" s="45" t="str">
        <f>IFERROR(__xludf.DUMMYFUNCTION("""COMPUTED_VALUE"""),"ASCANIO LUIS")</f>
        <v>ASCANIO LUIS</v>
      </c>
      <c r="D1280" s="44">
        <f>IFERROR(__xludf.DUMMYFUNCTION("""COMPUTED_VALUE"""),15.0)</f>
        <v>15</v>
      </c>
      <c r="E1280" s="44" t="str">
        <f>IFERROR(__xludf.DUMMYFUNCTION("""COMPUTED_VALUE"""),"")</f>
        <v/>
      </c>
      <c r="F1280" s="44" t="str">
        <f>IFERROR(__xludf.DUMMYFUNCTION("""COMPUTED_VALUE"""),"")</f>
        <v/>
      </c>
      <c r="G1280" s="44" t="str">
        <f>IFERROR(__xludf.DUMMYFUNCTION("""COMPUTED_VALUE""")," ")</f>
        <v> </v>
      </c>
      <c r="H1280" s="44" t="str">
        <f>IFERROR(__xludf.DUMMYFUNCTION("""COMPUTED_VALUE""")," ")</f>
        <v> </v>
      </c>
      <c r="I1280" s="44" t="str">
        <f>IFERROR(__xludf.DUMMYFUNCTION("""COMPUTED_VALUE"""),"Trauma")</f>
        <v>Trauma</v>
      </c>
      <c r="J1280" s="44" t="str">
        <f>IFERROR(__xludf.DUMMYFUNCTION("""COMPUTED_VALUE"""),"")</f>
        <v/>
      </c>
      <c r="K1280" s="42" t="str">
        <f>IFERROR(__xludf.DUMMYFUNCTION("""COMPUTED_VALUE"""),"🔍 BUSCAR PACIENTES")</f>
        <v>🔍 BUSCAR PACIENTES</v>
      </c>
    </row>
    <row r="1281">
      <c r="A1281" s="44">
        <v>1280.0</v>
      </c>
      <c r="B1281" s="44" t="str">
        <f>IFERROR(__xludf.DUMMYFUNCTION("""COMPUTED_VALUE"""),"Campo de Golf Playa los Cocos")</f>
        <v>Campo de Golf Playa los Cocos</v>
      </c>
      <c r="C1281" s="45" t="str">
        <f>IFERROR(__xludf.DUMMYFUNCTION("""COMPUTED_VALUE"""),"Asdrubal Ulloa")</f>
        <v>Asdrubal Ulloa</v>
      </c>
      <c r="D1281" s="44" t="str">
        <f>IFERROR(__xludf.DUMMYFUNCTION("""COMPUTED_VALUE"""),"")</f>
        <v/>
      </c>
      <c r="E1281" s="44" t="str">
        <f>IFERROR(__xludf.DUMMYFUNCTION("""COMPUTED_VALUE"""),"")</f>
        <v/>
      </c>
      <c r="F1281" s="44" t="str">
        <f>IFERROR(__xludf.DUMMYFUNCTION("""COMPUTED_VALUE"""),"")</f>
        <v/>
      </c>
      <c r="G1281" s="44" t="str">
        <f>IFERROR(__xludf.DUMMYFUNCTION("""COMPUTED_VALUE"""),"")</f>
        <v/>
      </c>
      <c r="H1281" s="44" t="str">
        <f>IFERROR(__xludf.DUMMYFUNCTION("""COMPUTED_VALUE"""),"")</f>
        <v/>
      </c>
      <c r="I1281" s="44"/>
      <c r="J1281" s="44" t="str">
        <f>IFERROR(__xludf.DUMMYFUNCTION("""COMPUTED_VALUE"""),"")</f>
        <v/>
      </c>
      <c r="K1281" s="42" t="str">
        <f>IFERROR(__xludf.DUMMYFUNCTION("""COMPUTED_VALUE"""),"Campo de Golf Playa los Cocos")</f>
        <v>Campo de Golf Playa los Cocos</v>
      </c>
    </row>
    <row r="1282">
      <c r="A1282" s="44">
        <v>1281.0</v>
      </c>
      <c r="B1282" s="44" t="str">
        <f>IFERROR(__xludf.DUMMYFUNCTION("""COMPUTED_VALUE"""),"Campo de Golf Playa los Cocos")</f>
        <v>Campo de Golf Playa los Cocos</v>
      </c>
      <c r="C1282" s="45" t="str">
        <f>IFERROR(__xludf.DUMMYFUNCTION("""COMPUTED_VALUE"""),"Ashly Acosta")</f>
        <v>Ashly Acosta</v>
      </c>
      <c r="D1282" s="44" t="str">
        <f>IFERROR(__xludf.DUMMYFUNCTION("""COMPUTED_VALUE"""),"")</f>
        <v/>
      </c>
      <c r="E1282" s="44" t="str">
        <f>IFERROR(__xludf.DUMMYFUNCTION("""COMPUTED_VALUE"""),"")</f>
        <v/>
      </c>
      <c r="F1282" s="44" t="str">
        <f>IFERROR(__xludf.DUMMYFUNCTION("""COMPUTED_VALUE"""),"")</f>
        <v/>
      </c>
      <c r="G1282" s="44" t="str">
        <f>IFERROR(__xludf.DUMMYFUNCTION("""COMPUTED_VALUE"""),"")</f>
        <v/>
      </c>
      <c r="H1282" s="44" t="str">
        <f>IFERROR(__xludf.DUMMYFUNCTION("""COMPUTED_VALUE"""),"")</f>
        <v/>
      </c>
      <c r="I1282" s="44" t="str">
        <f>IFERROR(__xludf.DUMMYFUNCTION("""COMPUTED_VALUE"""),"menor")</f>
        <v>menor</v>
      </c>
      <c r="J1282" s="44" t="str">
        <f>IFERROR(__xludf.DUMMYFUNCTION("""COMPUTED_VALUE"""),"")</f>
        <v/>
      </c>
      <c r="K1282" s="42" t="str">
        <f>IFERROR(__xludf.DUMMYFUNCTION("""COMPUTED_VALUE"""),"Campo de Golf Playa los Cocos")</f>
        <v>Campo de Golf Playa los Cocos</v>
      </c>
    </row>
    <row r="1283">
      <c r="A1283" s="44">
        <v>1282.0</v>
      </c>
      <c r="B1283" s="44" t="str">
        <f>IFERROR(__xludf.DUMMYFUNCTION("""COMPUTED_VALUE"""),"Hospital Pérez Carreño")</f>
        <v>Hospital Pérez Carreño</v>
      </c>
      <c r="C1283" s="45" t="str">
        <f>IFERROR(__xludf.DUMMYFUNCTION("""COMPUTED_VALUE"""),"ASHLY CARREÑO")</f>
        <v>ASHLY CARREÑO</v>
      </c>
      <c r="D1283" s="44">
        <f>IFERROR(__xludf.DUMMYFUNCTION("""COMPUTED_VALUE"""),8.0)</f>
        <v>8</v>
      </c>
      <c r="E1283" s="44" t="str">
        <f>IFERROR(__xludf.DUMMYFUNCTION("""COMPUTED_VALUE"""),"")</f>
        <v/>
      </c>
      <c r="F1283" s="44" t="str">
        <f>IFERROR(__xludf.DUMMYFUNCTION("""COMPUTED_VALUE"""),"")</f>
        <v/>
      </c>
      <c r="G1283" s="44" t="str">
        <f>IFERROR(__xludf.DUMMYFUNCTION("""COMPUTED_VALUE""")," ")</f>
        <v> </v>
      </c>
      <c r="H1283" s="44" t="str">
        <f>IFERROR(__xludf.DUMMYFUNCTION("""COMPUTED_VALUE""")," ")</f>
        <v> </v>
      </c>
      <c r="I1283" s="44" t="str">
        <f>IFERROR(__xludf.DUMMYFUNCTION("""COMPUTED_VALUE""")," ")</f>
        <v> </v>
      </c>
      <c r="J1283" s="44" t="str">
        <f>IFERROR(__xludf.DUMMYFUNCTION("""COMPUTED_VALUE"""),"25/06/2026")</f>
        <v>25/06/2026</v>
      </c>
      <c r="K1283" s="42" t="str">
        <f>IFERROR(__xludf.DUMMYFUNCTION("""COMPUTED_VALUE"""),"Hospital Pérez Carreño")</f>
        <v>Hospital Pérez Carreño</v>
      </c>
    </row>
    <row r="1284">
      <c r="A1284" s="44">
        <v>1283.0</v>
      </c>
      <c r="B1284" s="44" t="str">
        <f>IFERROR(__xludf.DUMMYFUNCTION("""COMPUTED_VALUE"""),"Hospital Pérez Carreño")</f>
        <v>Hospital Pérez Carreño</v>
      </c>
      <c r="C1284" s="45" t="str">
        <f>IFERROR(__xludf.DUMMYFUNCTION("""COMPUTED_VALUE"""),"Asly Carreño")</f>
        <v>Asly Carreño</v>
      </c>
      <c r="D1284" s="44" t="str">
        <f>IFERROR(__xludf.DUMMYFUNCTION("""COMPUTED_VALUE"""),"Caraballeda")</f>
        <v>Caraballeda</v>
      </c>
      <c r="E1284" s="44" t="str">
        <f>IFERROR(__xludf.DUMMYFUNCTION("""COMPUTED_VALUE"""),"")</f>
        <v/>
      </c>
      <c r="F1284" s="44" t="str">
        <f>IFERROR(__xludf.DUMMYFUNCTION("""COMPUTED_VALUE"""),"")</f>
        <v/>
      </c>
      <c r="G1284" s="44" t="str">
        <f>IFERROR(__xludf.DUMMYFUNCTION("""COMPUTED_VALUE"""),"ALTA")</f>
        <v>ALTA</v>
      </c>
      <c r="H1284" s="44"/>
      <c r="I1284" s="44"/>
      <c r="J1284" s="44"/>
      <c r="K1284" s="42" t="str">
        <f>IFERROR(__xludf.DUMMYFUNCTION("""COMPUTED_VALUE"""),"Hospital Pérez Carreño")</f>
        <v>Hospital Pérez Carreño</v>
      </c>
    </row>
    <row r="1285">
      <c r="A1285" s="44">
        <v>1284.0</v>
      </c>
      <c r="B1285" s="44" t="str">
        <f>IFERROR(__xludf.DUMMYFUNCTION("""COMPUTED_VALUE"""),"Hospital Domingo Luciani")</f>
        <v>Hospital Domingo Luciani</v>
      </c>
      <c r="C1285" s="45" t="str">
        <f>IFERROR(__xludf.DUMMYFUNCTION("""COMPUTED_VALUE"""),"Astrid Hender")</f>
        <v>Astrid Hender</v>
      </c>
      <c r="D1285" s="44">
        <f>IFERROR(__xludf.DUMMYFUNCTION("""COMPUTED_VALUE"""),38.0)</f>
        <v>38</v>
      </c>
      <c r="E1285" s="44" t="str">
        <f>IFERROR(__xludf.DUMMYFUNCTION("""COMPUTED_VALUE"""),"")</f>
        <v/>
      </c>
      <c r="F1285" s="44" t="str">
        <f>IFERROR(__xludf.DUMMYFUNCTION("""COMPUTED_VALUE"""),"")</f>
        <v/>
      </c>
      <c r="G1285" s="44"/>
      <c r="H1285" s="44"/>
      <c r="I1285" s="44"/>
      <c r="J1285" s="44" t="str">
        <f>IFERROR(__xludf.DUMMYFUNCTION("""COMPUTED_VALUE"""),"")</f>
        <v/>
      </c>
      <c r="K1285" s="42" t="str">
        <f>IFERROR(__xludf.DUMMYFUNCTION("""COMPUTED_VALUE"""),"Hospital Domingo Luciani")</f>
        <v>Hospital Domingo Luciani</v>
      </c>
    </row>
    <row r="1286">
      <c r="A1286" s="44">
        <v>1285.0</v>
      </c>
      <c r="B1286" s="44" t="str">
        <f>IFERROR(__xludf.DUMMYFUNCTION("""COMPUTED_VALUE"""),"Campo de Golf Playa los Cocos")</f>
        <v>Campo de Golf Playa los Cocos</v>
      </c>
      <c r="C1286" s="45" t="str">
        <f>IFERROR(__xludf.DUMMYFUNCTION("""COMPUTED_VALUE"""),"Aurielys Delgado")</f>
        <v>Aurielys Delgado</v>
      </c>
      <c r="D1286" s="44" t="str">
        <f>IFERROR(__xludf.DUMMYFUNCTION("""COMPUTED_VALUE"""),"")</f>
        <v/>
      </c>
      <c r="E1286" s="44" t="str">
        <f>IFERROR(__xludf.DUMMYFUNCTION("""COMPUTED_VALUE"""),"")</f>
        <v/>
      </c>
      <c r="F1286" s="44" t="str">
        <f>IFERROR(__xludf.DUMMYFUNCTION("""COMPUTED_VALUE"""),"")</f>
        <v/>
      </c>
      <c r="G1286" s="44" t="str">
        <f>IFERROR(__xludf.DUMMYFUNCTION("""COMPUTED_VALUE"""),"")</f>
        <v/>
      </c>
      <c r="H1286" s="44" t="str">
        <f>IFERROR(__xludf.DUMMYFUNCTION("""COMPUTED_VALUE"""),"")</f>
        <v/>
      </c>
      <c r="I1286" s="44"/>
      <c r="J1286" s="44" t="str">
        <f>IFERROR(__xludf.DUMMYFUNCTION("""COMPUTED_VALUE"""),"")</f>
        <v/>
      </c>
      <c r="K1286" s="42" t="str">
        <f>IFERROR(__xludf.DUMMYFUNCTION("""COMPUTED_VALUE"""),"Campo de Golf Playa los Cocos")</f>
        <v>Campo de Golf Playa los Cocos</v>
      </c>
    </row>
    <row r="1287">
      <c r="A1287" s="44">
        <v>1286.0</v>
      </c>
      <c r="B1287" s="44" t="str">
        <f>IFERROR(__xludf.DUMMYFUNCTION("""COMPUTED_VALUE"""),"Hospital Domingo Luciani")</f>
        <v>Hospital Domingo Luciani</v>
      </c>
      <c r="C1287" s="45" t="str">
        <f>IFERROR(__xludf.DUMMYFUNCTION("""COMPUTED_VALUE"""),"AURORA ORDOZ")</f>
        <v>AURORA ORDOZ</v>
      </c>
      <c r="D1287" s="44" t="str">
        <f>IFERROR(__xludf.DUMMYFUNCTION("""COMPUTED_VALUE""")," ")</f>
        <v> </v>
      </c>
      <c r="E1287" s="44" t="str">
        <f>IFERROR(__xludf.DUMMYFUNCTION("""COMPUTED_VALUE"""),"")</f>
        <v/>
      </c>
      <c r="F1287" s="44" t="str">
        <f>IFERROR(__xludf.DUMMYFUNCTION("""COMPUTED_VALUE"""),"")</f>
        <v/>
      </c>
      <c r="G1287" s="44" t="str">
        <f>IFERROR(__xludf.DUMMYFUNCTION("""COMPUTED_VALUE""")," ")</f>
        <v> </v>
      </c>
      <c r="H1287" s="44" t="str">
        <f>IFERROR(__xludf.DUMMYFUNCTION("""COMPUTED_VALUE""")," ")</f>
        <v> </v>
      </c>
      <c r="I1287" s="44" t="str">
        <f>IFERROR(__xludf.DUMMYFUNCTION("""COMPUTED_VALUE"""),"Politrauma")</f>
        <v>Politrauma</v>
      </c>
      <c r="J1287" s="44" t="str">
        <f>IFERROR(__xludf.DUMMYFUNCTION("""COMPUTED_VALUE"""),"")</f>
        <v/>
      </c>
      <c r="K1287" s="42" t="str">
        <f>IFERROR(__xludf.DUMMYFUNCTION("""COMPUTED_VALUE"""),"🔍 BUSCAR PACIENTES")</f>
        <v>🔍 BUSCAR PACIENTES</v>
      </c>
    </row>
    <row r="1288">
      <c r="A1288" s="44">
        <v>1287.0</v>
      </c>
      <c r="B1288" s="44" t="str">
        <f>IFERROR(__xludf.DUMMYFUNCTION("""COMPUTED_VALUE"""),"Hospital Vargas de Caracas")</f>
        <v>Hospital Vargas de Caracas</v>
      </c>
      <c r="C1288" s="45" t="str">
        <f>IFERROR(__xludf.DUMMYFUNCTION("""COMPUTED_VALUE"""),"AVELLO SILVIA")</f>
        <v>AVELLO SILVIA</v>
      </c>
      <c r="D1288" s="44" t="str">
        <f>IFERROR(__xludf.DUMMYFUNCTION("""COMPUTED_VALUE""")," ")</f>
        <v> </v>
      </c>
      <c r="E1288" s="44" t="str">
        <f>IFERROR(__xludf.DUMMYFUNCTION("""COMPUTED_VALUE"""),"")</f>
        <v/>
      </c>
      <c r="F1288" s="44" t="str">
        <f>IFERROR(__xludf.DUMMYFUNCTION("""COMPUTED_VALUE""")," ")</f>
        <v> </v>
      </c>
      <c r="G1288" s="44" t="str">
        <f>IFERROR(__xludf.DUMMYFUNCTION("""COMPUTED_VALUE"""),"")</f>
        <v/>
      </c>
      <c r="H1288" s="44" t="str">
        <f>IFERROR(__xludf.DUMMYFUNCTION("""COMPUTED_VALUE""")," ")</f>
        <v> </v>
      </c>
      <c r="I1288" s="44" t="str">
        <f>IFERROR(__xludf.DUMMYFUNCTION("""COMPUTED_VALUE""")," ")</f>
        <v> </v>
      </c>
      <c r="J1288" s="44" t="str">
        <f>IFERROR(__xludf.DUMMYFUNCTION("""COMPUTED_VALUE"""),"")</f>
        <v/>
      </c>
      <c r="K1288" s="42" t="str">
        <f>IFERROR(__xludf.DUMMYFUNCTION("""COMPUTED_VALUE"""),"Hospital Vargas de Caracas")</f>
        <v>Hospital Vargas de Caracas</v>
      </c>
    </row>
    <row r="1289">
      <c r="A1289" s="44">
        <v>1288.0</v>
      </c>
      <c r="B1289" s="44" t="str">
        <f>IFERROR(__xludf.DUMMYFUNCTION("""COMPUTED_VALUE"""),"Hospital Pérez Carreño")</f>
        <v>Hospital Pérez Carreño</v>
      </c>
      <c r="C1289" s="45" t="str">
        <f>IFERROR(__xludf.DUMMYFUNCTION("""COMPUTED_VALUE"""),"AVENDANO MARLENE")</f>
        <v>AVENDANO MARLENE</v>
      </c>
      <c r="D1289" s="44" t="str">
        <f>IFERROR(__xludf.DUMMYFUNCTION("""COMPUTED_VALUE""")," ")</f>
        <v> </v>
      </c>
      <c r="E1289" s="44" t="str">
        <f>IFERROR(__xludf.DUMMYFUNCTION("""COMPUTED_VALUE"""),"")</f>
        <v/>
      </c>
      <c r="F1289" s="44" t="str">
        <f>IFERROR(__xludf.DUMMYFUNCTION("""COMPUTED_VALUE"""),"")</f>
        <v/>
      </c>
      <c r="G1289" s="44" t="str">
        <f>IFERROR(__xludf.DUMMYFUNCTION("""COMPUTED_VALUE""")," ")</f>
        <v> </v>
      </c>
      <c r="H1289" s="44" t="str">
        <f>IFERROR(__xludf.DUMMYFUNCTION("""COMPUTED_VALUE""")," ")</f>
        <v> </v>
      </c>
      <c r="I1289" s="44" t="str">
        <f>IFERROR(__xludf.DUMMYFUNCTION("""COMPUTED_VALUE"""),"Traumashock | Traumachok – Triaje; La Guaira")</f>
        <v>Traumashock | Traumachok – Triaje; La Guaira</v>
      </c>
      <c r="J1289" s="44" t="str">
        <f>IFERROR(__xludf.DUMMYFUNCTION("""COMPUTED_VALUE"""),"25/06/2026")</f>
        <v>25/06/2026</v>
      </c>
      <c r="K1289" s="42" t="str">
        <f>IFERROR(__xludf.DUMMYFUNCTION("""COMPUTED_VALUE"""),"Hospital Pérez Carreño")</f>
        <v>Hospital Pérez Carreño</v>
      </c>
    </row>
    <row r="1290">
      <c r="A1290" s="44">
        <v>1289.0</v>
      </c>
      <c r="B1290" s="44" t="str">
        <f>IFERROR(__xludf.DUMMYFUNCTION("""COMPUTED_VALUE"""),"Hospital Pérez Carreño")</f>
        <v>Hospital Pérez Carreño</v>
      </c>
      <c r="C1290" s="45" t="str">
        <f>IFERROR(__xludf.DUMMYFUNCTION("""COMPUTED_VALUE"""),"AVENDANO WISTON")</f>
        <v>AVENDANO WISTON</v>
      </c>
      <c r="D1290" s="44" t="str">
        <f>IFERROR(__xludf.DUMMYFUNCTION("""COMPUTED_VALUE""")," ")</f>
        <v> </v>
      </c>
      <c r="E1290" s="44" t="str">
        <f>IFERROR(__xludf.DUMMYFUNCTION("""COMPUTED_VALUE"""),"")</f>
        <v/>
      </c>
      <c r="F1290" s="44" t="str">
        <f>IFERROR(__xludf.DUMMYFUNCTION("""COMPUTED_VALUE"""),"")</f>
        <v/>
      </c>
      <c r="G1290" s="44" t="str">
        <f>IFERROR(__xludf.DUMMYFUNCTION("""COMPUTED_VALUE""")," ")</f>
        <v> </v>
      </c>
      <c r="H1290" s="44" t="str">
        <f>IFERROR(__xludf.DUMMYFUNCTION("""COMPUTED_VALUE""")," ")</f>
        <v> </v>
      </c>
      <c r="I1290" s="44" t="str">
        <f>IFERROR(__xludf.DUMMYFUNCTION("""COMPUTED_VALUE"""),"Traumashock | Traumatología – Triaje; La Guaira")</f>
        <v>Traumashock | Traumatología – Triaje; La Guaira</v>
      </c>
      <c r="J1290" s="44" t="str">
        <f>IFERROR(__xludf.DUMMYFUNCTION("""COMPUTED_VALUE"""),"25/06/2026")</f>
        <v>25/06/2026</v>
      </c>
      <c r="K1290" s="42" t="str">
        <f>IFERROR(__xludf.DUMMYFUNCTION("""COMPUTED_VALUE"""),"Hospital Pérez Carreño")</f>
        <v>Hospital Pérez Carreño</v>
      </c>
    </row>
    <row r="1291">
      <c r="A1291" s="44">
        <v>1290.0</v>
      </c>
      <c r="B1291" s="44" t="str">
        <f>IFERROR(__xludf.DUMMYFUNCTION("""COMPUTED_VALUE"""),"Centro de Acopio Caraballeda")</f>
        <v>Centro de Acopio Caraballeda</v>
      </c>
      <c r="C1291" s="45" t="str">
        <f>IFERROR(__xludf.DUMMYFUNCTION("""COMPUTED_VALUE"""),"AVILAN FRANCISCO")</f>
        <v>AVILAN FRANCISCO</v>
      </c>
      <c r="D1291" s="44" t="str">
        <f>IFERROR(__xludf.DUMMYFUNCTION("""COMPUTED_VALUE""")," ")</f>
        <v> </v>
      </c>
      <c r="E1291" s="44" t="str">
        <f>IFERROR(__xludf.DUMMYFUNCTION("""COMPUTED_VALUE"""),"")</f>
        <v/>
      </c>
      <c r="F1291" s="44" t="str">
        <f>IFERROR(__xludf.DUMMYFUNCTION("""COMPUTED_VALUE"""),"")</f>
        <v/>
      </c>
      <c r="G1291" s="44" t="str">
        <f>IFERROR(__xludf.DUMMYFUNCTION("""COMPUTED_VALUE""")," ")</f>
        <v> </v>
      </c>
      <c r="H1291" s="44" t="str">
        <f>IFERROR(__xludf.DUMMYFUNCTION("""COMPUTED_VALUE""")," ")</f>
        <v> </v>
      </c>
      <c r="I1291" s="44" t="str">
        <f>IFERROR(__xludf.DUMMYFUNCTION("""COMPUTED_VALUE"""),"Internado")</f>
        <v>Internado</v>
      </c>
      <c r="J1291" s="44" t="str">
        <f>IFERROR(__xludf.DUMMYFUNCTION("""COMPUTED_VALUE"""),"")</f>
        <v/>
      </c>
      <c r="K1291" s="42" t="str">
        <f>IFERROR(__xludf.DUMMYFUNCTION("""COMPUTED_VALUE"""),"🔍 BUSCAR PACIENTES")</f>
        <v>🔍 BUSCAR PACIENTES</v>
      </c>
    </row>
    <row r="1292">
      <c r="A1292" s="44">
        <v>1291.0</v>
      </c>
      <c r="B1292" s="44" t="str">
        <f>IFERROR(__xludf.DUMMYFUNCTION("""COMPUTED_VALUE"""),"Centro de Acopio Caraballeda")</f>
        <v>Centro de Acopio Caraballeda</v>
      </c>
      <c r="C1292" s="45" t="str">
        <f>IFERROR(__xludf.DUMMYFUNCTION("""COMPUTED_VALUE"""),"AVILAN KATHERINE")</f>
        <v>AVILAN KATHERINE</v>
      </c>
      <c r="D1292" s="44" t="str">
        <f>IFERROR(__xludf.DUMMYFUNCTION("""COMPUTED_VALUE""")," ")</f>
        <v> </v>
      </c>
      <c r="E1292" s="44" t="str">
        <f>IFERROR(__xludf.DUMMYFUNCTION("""COMPUTED_VALUE"""),"")</f>
        <v/>
      </c>
      <c r="F1292" s="44" t="str">
        <f>IFERROR(__xludf.DUMMYFUNCTION("""COMPUTED_VALUE"""),"")</f>
        <v/>
      </c>
      <c r="G1292" s="44" t="str">
        <f>IFERROR(__xludf.DUMMYFUNCTION("""COMPUTED_VALUE""")," ")</f>
        <v> </v>
      </c>
      <c r="H1292" s="44" t="str">
        <f>IFERROR(__xludf.DUMMYFUNCTION("""COMPUTED_VALUE""")," ")</f>
        <v> </v>
      </c>
      <c r="I1292" s="44" t="str">
        <f>IFERROR(__xludf.DUMMYFUNCTION("""COMPUTED_VALUE"""),"Internado")</f>
        <v>Internado</v>
      </c>
      <c r="J1292" s="44" t="str">
        <f>IFERROR(__xludf.DUMMYFUNCTION("""COMPUTED_VALUE"""),"")</f>
        <v/>
      </c>
      <c r="K1292" s="42" t="str">
        <f>IFERROR(__xludf.DUMMYFUNCTION("""COMPUTED_VALUE"""),"🔍 BUSCAR PACIENTES")</f>
        <v>🔍 BUSCAR PACIENTES</v>
      </c>
    </row>
    <row r="1293">
      <c r="A1293" s="44">
        <v>1292.0</v>
      </c>
      <c r="B1293" s="44" t="str">
        <f>IFERROR(__xludf.DUMMYFUNCTION("""COMPUTED_VALUE"""),"Hospital Domingo Luciani")</f>
        <v>Hospital Domingo Luciani</v>
      </c>
      <c r="C1293" s="45" t="str">
        <f>IFERROR(__xludf.DUMMYFUNCTION("""COMPUTED_VALUE"""),"Axel Lihenez")</f>
        <v>Axel Lihenez</v>
      </c>
      <c r="D1293" s="44">
        <f>IFERROR(__xludf.DUMMYFUNCTION("""COMPUTED_VALUE"""),4.0)</f>
        <v>4</v>
      </c>
      <c r="E1293" s="44" t="str">
        <f>IFERROR(__xludf.DUMMYFUNCTION("""COMPUTED_VALUE"""),"")</f>
        <v/>
      </c>
      <c r="F1293" s="44" t="str">
        <f>IFERROR(__xludf.DUMMYFUNCTION("""COMPUTED_VALUE"""),"")</f>
        <v/>
      </c>
      <c r="G1293" s="44"/>
      <c r="H1293" s="44"/>
      <c r="I1293" s="44"/>
      <c r="J1293" s="44" t="str">
        <f>IFERROR(__xludf.DUMMYFUNCTION("""COMPUTED_VALUE"""),"")</f>
        <v/>
      </c>
      <c r="K1293" s="42" t="str">
        <f>IFERROR(__xludf.DUMMYFUNCTION("""COMPUTED_VALUE"""),"Hospital Domingo Luciani")</f>
        <v>Hospital Domingo Luciani</v>
      </c>
    </row>
    <row r="1294">
      <c r="A1294" s="44">
        <v>1293.0</v>
      </c>
      <c r="B1294" s="44" t="str">
        <f>IFERROR(__xludf.DUMMYFUNCTION("""COMPUTED_VALUE"""),"Hospital Domingo Luciani")</f>
        <v>Hospital Domingo Luciani</v>
      </c>
      <c r="C1294" s="45" t="str">
        <f>IFERROR(__xludf.DUMMYFUNCTION("""COMPUTED_VALUE"""),"Axiel Jimenez")</f>
        <v>Axiel Jimenez</v>
      </c>
      <c r="D1294" s="44">
        <f>IFERROR(__xludf.DUMMYFUNCTION("""COMPUTED_VALUE"""),4.0)</f>
        <v>4</v>
      </c>
      <c r="E1294" s="44" t="str">
        <f>IFERROR(__xludf.DUMMYFUNCTION("""COMPUTED_VALUE"""),"")</f>
        <v/>
      </c>
      <c r="F1294" s="44" t="str">
        <f>IFERROR(__xludf.DUMMYFUNCTION("""COMPUTED_VALUE"""),"")</f>
        <v/>
      </c>
      <c r="G1294" s="44"/>
      <c r="H1294" s="44"/>
      <c r="I1294" s="44"/>
      <c r="J1294" s="44" t="str">
        <f>IFERROR(__xludf.DUMMYFUNCTION("""COMPUTED_VALUE"""),"")</f>
        <v/>
      </c>
      <c r="K1294" s="42" t="str">
        <f>IFERROR(__xludf.DUMMYFUNCTION("""COMPUTED_VALUE"""),"Hospital Domingo Luciani")</f>
        <v>Hospital Domingo Luciani</v>
      </c>
    </row>
    <row r="1295">
      <c r="A1295" s="44">
        <v>1294.0</v>
      </c>
      <c r="B1295" s="44" t="str">
        <f>IFERROR(__xludf.DUMMYFUNCTION("""COMPUTED_VALUE"""),"H. Jose Maria Vargas LG")</f>
        <v>H. Jose Maria Vargas LG</v>
      </c>
      <c r="C1295" s="45" t="str">
        <f>IFERROR(__xludf.DUMMYFUNCTION("""COMPUTED_VALUE"""),"AZUNTA EUDRI")</f>
        <v>AZUNTA EUDRI</v>
      </c>
      <c r="D1295" s="44" t="str">
        <f>IFERROR(__xludf.DUMMYFUNCTION("""COMPUTED_VALUE""")," ")</f>
        <v> </v>
      </c>
      <c r="E1295" s="44" t="str">
        <f>IFERROR(__xludf.DUMMYFUNCTION("""COMPUTED_VALUE"""),"")</f>
        <v/>
      </c>
      <c r="F1295" s="44" t="str">
        <f>IFERROR(__xludf.DUMMYFUNCTION("""COMPUTED_VALUE"""),"")</f>
        <v/>
      </c>
      <c r="G1295" s="44" t="str">
        <f>IFERROR(__xludf.DUMMYFUNCTION("""COMPUTED_VALUE""")," ")</f>
        <v> </v>
      </c>
      <c r="H1295" s="44" t="str">
        <f>IFERROR(__xludf.DUMMYFUNCTION("""COMPUTED_VALUE""")," ")</f>
        <v> </v>
      </c>
      <c r="I1295" s="44" t="str">
        <f>IFERROR(__xludf.DUMMYFUNCTION("""COMPUTED_VALUE""")," ")</f>
        <v> </v>
      </c>
      <c r="J1295" s="44" t="str">
        <f>IFERROR(__xludf.DUMMYFUNCTION("""COMPUTED_VALUE"""),"")</f>
        <v/>
      </c>
      <c r="K1295" s="42" t="str">
        <f>IFERROR(__xludf.DUMMYFUNCTION("""COMPUTED_VALUE"""),"H. Jose Maria Vargas LG")</f>
        <v>H. Jose Maria Vargas LG</v>
      </c>
    </row>
    <row r="1296">
      <c r="A1296" s="44">
        <v>1295.0</v>
      </c>
      <c r="B1296" s="44" t="str">
        <f>IFERROR(__xludf.DUMMYFUNCTION("""COMPUTED_VALUE"""),"Hospital Pérez Carreño")</f>
        <v>Hospital Pérez Carreño</v>
      </c>
      <c r="C1296" s="45" t="str">
        <f>IFERROR(__xludf.DUMMYFUNCTION("""COMPUTED_VALUE"""),"BACELO BELKIS")</f>
        <v>BACELO BELKIS</v>
      </c>
      <c r="D1296" s="44" t="str">
        <f>IFERROR(__xludf.DUMMYFUNCTION("""COMPUTED_VALUE""")," ")</f>
        <v> </v>
      </c>
      <c r="E1296" s="44" t="str">
        <f>IFERROR(__xludf.DUMMYFUNCTION("""COMPUTED_VALUE"""),"")</f>
        <v/>
      </c>
      <c r="F1296" s="44" t="str">
        <f>IFERROR(__xludf.DUMMYFUNCTION("""COMPUTED_VALUE"""),"")</f>
        <v/>
      </c>
      <c r="G1296" s="44" t="str">
        <f>IFERROR(__xludf.DUMMYFUNCTION("""COMPUTED_VALUE""")," ")</f>
        <v> </v>
      </c>
      <c r="H1296" s="44" t="str">
        <f>IFERROR(__xludf.DUMMYFUNCTION("""COMPUTED_VALUE""")," ")</f>
        <v> </v>
      </c>
      <c r="I1296" s="44" t="str">
        <f>IFERROR(__xludf.DUMMYFUNCTION("""COMPUTED_VALUE"""),"Traumashock")</f>
        <v>Traumashock</v>
      </c>
      <c r="J1296" s="44" t="str">
        <f>IFERROR(__xludf.DUMMYFUNCTION("""COMPUTED_VALUE"""),"25/06/2026")</f>
        <v>25/06/2026</v>
      </c>
      <c r="K1296" s="42" t="str">
        <f>IFERROR(__xludf.DUMMYFUNCTION("""COMPUTED_VALUE"""),"Hospital Pérez Carreño")</f>
        <v>Hospital Pérez Carreño</v>
      </c>
    </row>
    <row r="1297">
      <c r="A1297" s="44">
        <v>1296.0</v>
      </c>
      <c r="B1297" s="44" t="str">
        <f>IFERROR(__xludf.DUMMYFUNCTION("""COMPUTED_VALUE"""),"Clínica El Ávila")</f>
        <v>Clínica El Ávila</v>
      </c>
      <c r="C1297" s="45" t="str">
        <f>IFERROR(__xludf.DUMMYFUNCTION("""COMPUTED_VALUE"""),"BADEL RICARDO")</f>
        <v>BADEL RICARDO</v>
      </c>
      <c r="D1297" s="44" t="str">
        <f>IFERROR(__xludf.DUMMYFUNCTION("""COMPUTED_VALUE""")," ")</f>
        <v> </v>
      </c>
      <c r="E1297" s="44" t="str">
        <f>IFERROR(__xludf.DUMMYFUNCTION("""COMPUTED_VALUE"""),"")</f>
        <v/>
      </c>
      <c r="F1297" s="44" t="str">
        <f>IFERROR(__xludf.DUMMYFUNCTION("""COMPUTED_VALUE"""),"")</f>
        <v/>
      </c>
      <c r="G1297" s="44" t="str">
        <f>IFERROR(__xludf.DUMMYFUNCTION("""COMPUTED_VALUE""")," ")</f>
        <v> </v>
      </c>
      <c r="H1297" s="44" t="str">
        <f>IFERROR(__xludf.DUMMYFUNCTION("""COMPUTED_VALUE""")," ")</f>
        <v> </v>
      </c>
      <c r="I1297" s="44" t="str">
        <f>IFERROR(__xludf.DUMMYFUNCTION("""COMPUTED_VALUE""")," ")</f>
        <v> </v>
      </c>
      <c r="J1297" s="44" t="str">
        <f>IFERROR(__xludf.DUMMYFUNCTION("""COMPUTED_VALUE"""),"")</f>
        <v/>
      </c>
      <c r="K1297" s="42" t="str">
        <f>IFERROR(__xludf.DUMMYFUNCTION("""COMPUTED_VALUE"""),"Clínica El Ávila")</f>
        <v>Clínica El Ávila</v>
      </c>
    </row>
    <row r="1298">
      <c r="A1298" s="44">
        <v>1297.0</v>
      </c>
      <c r="B1298" s="44" t="str">
        <f>IFERROR(__xludf.DUMMYFUNCTION("""COMPUTED_VALUE"""),"H. Jose Maria Vargas LG")</f>
        <v>H. Jose Maria Vargas LG</v>
      </c>
      <c r="C1298" s="45" t="str">
        <f>IFERROR(__xludf.DUMMYFUNCTION("""COMPUTED_VALUE"""),"BADILLO YOSELIS")</f>
        <v>BADILLO YOSELIS</v>
      </c>
      <c r="D1298" s="44" t="str">
        <f>IFERROR(__xludf.DUMMYFUNCTION("""COMPUTED_VALUE""")," ")</f>
        <v> </v>
      </c>
      <c r="E1298" s="44" t="str">
        <f>IFERROR(__xludf.DUMMYFUNCTION("""COMPUTED_VALUE"""),"")</f>
        <v/>
      </c>
      <c r="F1298" s="44" t="str">
        <f>IFERROR(__xludf.DUMMYFUNCTION("""COMPUTED_VALUE"""),"")</f>
        <v/>
      </c>
      <c r="G1298" s="44" t="str">
        <f>IFERROR(__xludf.DUMMYFUNCTION("""COMPUTED_VALUE""")," ")</f>
        <v> </v>
      </c>
      <c r="H1298" s="44" t="str">
        <f>IFERROR(__xludf.DUMMYFUNCTION("""COMPUTED_VALUE"""),"Tanaguarena")</f>
        <v>Tanaguarena</v>
      </c>
      <c r="I1298" s="44" t="str">
        <f>IFERROR(__xludf.DUMMYFUNCTION("""COMPUTED_VALUE""")," ")</f>
        <v> </v>
      </c>
      <c r="J1298" s="44" t="str">
        <f>IFERROR(__xludf.DUMMYFUNCTION("""COMPUTED_VALUE"""),"")</f>
        <v/>
      </c>
      <c r="K1298" s="42" t="str">
        <f>IFERROR(__xludf.DUMMYFUNCTION("""COMPUTED_VALUE"""),"H. Jose Maria Vargas LG")</f>
        <v>H. Jose Maria Vargas LG</v>
      </c>
    </row>
    <row r="1299">
      <c r="A1299" s="44">
        <v>1298.0</v>
      </c>
      <c r="B1299" s="44" t="str">
        <f>IFERROR(__xludf.DUMMYFUNCTION("""COMPUTED_VALUE"""),"Hospital Vargas de Caracas")</f>
        <v>Hospital Vargas de Caracas</v>
      </c>
      <c r="C1299" s="45" t="str">
        <f>IFERROR(__xludf.DUMMYFUNCTION("""COMPUTED_VALUE"""),"BAEZ MARIA A.")</f>
        <v>BAEZ MARIA A.</v>
      </c>
      <c r="D1299" s="44" t="str">
        <f>IFERROR(__xludf.DUMMYFUNCTION("""COMPUTED_VALUE""")," ")</f>
        <v> </v>
      </c>
      <c r="E1299" s="44" t="str">
        <f>IFERROR(__xludf.DUMMYFUNCTION("""COMPUTED_VALUE"""),"")</f>
        <v/>
      </c>
      <c r="F1299" s="44" t="str">
        <f>IFERROR(__xludf.DUMMYFUNCTION("""COMPUTED_VALUE""")," ")</f>
        <v> </v>
      </c>
      <c r="G1299" s="44" t="str">
        <f>IFERROR(__xludf.DUMMYFUNCTION("""COMPUTED_VALUE"""),"")</f>
        <v/>
      </c>
      <c r="H1299" s="44" t="str">
        <f>IFERROR(__xludf.DUMMYFUNCTION("""COMPUTED_VALUE""")," ")</f>
        <v> </v>
      </c>
      <c r="I1299" s="44" t="str">
        <f>IFERROR(__xludf.DUMMYFUNCTION("""COMPUTED_VALUE""")," ")</f>
        <v> </v>
      </c>
      <c r="J1299" s="44" t="str">
        <f>IFERROR(__xludf.DUMMYFUNCTION("""COMPUTED_VALUE"""),"")</f>
        <v/>
      </c>
      <c r="K1299" s="42" t="str">
        <f>IFERROR(__xludf.DUMMYFUNCTION("""COMPUTED_VALUE"""),"Hospital Vargas de Caracas")</f>
        <v>Hospital Vargas de Caracas</v>
      </c>
    </row>
    <row r="1300">
      <c r="A1300" s="44">
        <v>1299.0</v>
      </c>
      <c r="B1300" s="44" t="str">
        <f>IFERROR(__xludf.DUMMYFUNCTION("""COMPUTED_VALUE"""),"Hospital Vargas de Caracas")</f>
        <v>Hospital Vargas de Caracas</v>
      </c>
      <c r="C1300" s="45" t="str">
        <f>IFERROR(__xludf.DUMMYFUNCTION("""COMPUTED_VALUE"""),"BAEZ MARIA ANYELICA")</f>
        <v>BAEZ MARIA ANYELICA</v>
      </c>
      <c r="D1300" s="44" t="str">
        <f>IFERROR(__xludf.DUMMYFUNCTION("""COMPUTED_VALUE""")," ")</f>
        <v> </v>
      </c>
      <c r="E1300" s="44" t="str">
        <f>IFERROR(__xludf.DUMMYFUNCTION("""COMPUTED_VALUE"""),"")</f>
        <v/>
      </c>
      <c r="F1300" s="44" t="str">
        <f>IFERROR(__xludf.DUMMYFUNCTION("""COMPUTED_VALUE""")," ")</f>
        <v> </v>
      </c>
      <c r="G1300" s="44" t="str">
        <f>IFERROR(__xludf.DUMMYFUNCTION("""COMPUTED_VALUE"""),"")</f>
        <v/>
      </c>
      <c r="H1300" s="44" t="str">
        <f>IFERROR(__xludf.DUMMYFUNCTION("""COMPUTED_VALUE"""),"Guaira")</f>
        <v>Guaira</v>
      </c>
      <c r="I1300" s="44" t="str">
        <f>IFERROR(__xludf.DUMMYFUNCTION("""COMPUTED_VALUE""")," ")</f>
        <v> </v>
      </c>
      <c r="J1300" s="44" t="str">
        <f>IFERROR(__xludf.DUMMYFUNCTION("""COMPUTED_VALUE"""),"")</f>
        <v/>
      </c>
      <c r="K1300" s="42" t="str">
        <f>IFERROR(__xludf.DUMMYFUNCTION("""COMPUTED_VALUE"""),"Hospital Vargas de Caracas")</f>
        <v>Hospital Vargas de Caracas</v>
      </c>
    </row>
    <row r="1301">
      <c r="A1301" s="44">
        <v>1300.0</v>
      </c>
      <c r="B1301" s="44" t="str">
        <f>IFERROR(__xludf.DUMMYFUNCTION("""COMPUTED_VALUE"""),"Periférico de Catia")</f>
        <v>Periférico de Catia</v>
      </c>
      <c r="C1301" s="45" t="str">
        <f>IFERROR(__xludf.DUMMYFUNCTION("""COMPUTED_VALUE"""),"Balas Laura")</f>
        <v>Balas Laura</v>
      </c>
      <c r="D1301" s="44">
        <f>IFERROR(__xludf.DUMMYFUNCTION("""COMPUTED_VALUE"""),22.0)</f>
        <v>22</v>
      </c>
      <c r="E1301" s="44" t="str">
        <f>IFERROR(__xludf.DUMMYFUNCTION("""COMPUTED_VALUE"""),"")</f>
        <v/>
      </c>
      <c r="F1301" s="44" t="str">
        <f>IFERROR(__xludf.DUMMYFUNCTION("""COMPUTED_VALUE"""),"")</f>
        <v/>
      </c>
      <c r="G1301" s="44"/>
      <c r="H1301" s="44"/>
      <c r="I1301" s="44" t="str">
        <f>IFERROR(__xludf.DUMMYFUNCTION("""COMPUTED_VALUE"""),"Politrauma Emerg. Nueva (version anterior)")</f>
        <v>Politrauma Emerg. Nueva (version anterior)</v>
      </c>
      <c r="J1301" s="44" t="str">
        <f>IFERROR(__xludf.DUMMYFUNCTION("""COMPUTED_VALUE"""),"")</f>
        <v/>
      </c>
      <c r="K1301" s="42" t="str">
        <f>IFERROR(__xludf.DUMMYFUNCTION("""COMPUTED_VALUE"""),"Periférico de Catia")</f>
        <v>Periférico de Catia</v>
      </c>
    </row>
    <row r="1302">
      <c r="A1302" s="44">
        <v>1301.0</v>
      </c>
      <c r="B1302" s="44" t="str">
        <f>IFERROR(__xludf.DUMMYFUNCTION("""COMPUTED_VALUE"""),"Hospital Domingo Luciani")</f>
        <v>Hospital Domingo Luciani</v>
      </c>
      <c r="C1302" s="45" t="str">
        <f>IFERROR(__xludf.DUMMYFUNCTION("""COMPUTED_VALUE"""),"BALASS GONZALEZ ESMERALDA ANTONIETA")</f>
        <v>BALASS GONZALEZ ESMERALDA ANTONIETA</v>
      </c>
      <c r="D1302" s="44">
        <f>IFERROR(__xludf.DUMMYFUNCTION("""COMPUTED_VALUE"""),54.0)</f>
        <v>54</v>
      </c>
      <c r="E1302" s="44" t="str">
        <f>IFERROR(__xludf.DUMMYFUNCTION("""COMPUTED_VALUE"""),"")</f>
        <v/>
      </c>
      <c r="F1302" s="44" t="str">
        <f>IFERROR(__xludf.DUMMYFUNCTION("""COMPUTED_VALUE"""),"")</f>
        <v/>
      </c>
      <c r="G1302" s="44" t="str">
        <f>IFERROR(__xludf.DUMMYFUNCTION("""COMPUTED_VALUE""")," ")</f>
        <v> </v>
      </c>
      <c r="H1302" s="44" t="str">
        <f>IFERROR(__xludf.DUMMYFUNCTION("""COMPUTED_VALUE""")," ")</f>
        <v> </v>
      </c>
      <c r="I1302" s="44" t="str">
        <f>IFERROR(__xludf.DUMMYFUNCTION("""COMPUTED_VALUE"""),"Politrauma Emerg. Nueva")</f>
        <v>Politrauma Emerg. Nueva</v>
      </c>
      <c r="J1302" s="44" t="str">
        <f>IFERROR(__xludf.DUMMYFUNCTION("""COMPUTED_VALUE"""),"")</f>
        <v/>
      </c>
      <c r="K1302" s="42" t="str">
        <f>IFERROR(__xludf.DUMMYFUNCTION("""COMPUTED_VALUE"""),"🔍 BUSCAR PACIENTES")</f>
        <v>🔍 BUSCAR PACIENTES</v>
      </c>
    </row>
    <row r="1303">
      <c r="A1303" s="44">
        <v>1302.0</v>
      </c>
      <c r="B1303" s="44" t="str">
        <f>IFERROR(__xludf.DUMMYFUNCTION("""COMPUTED_VALUE"""),"Hospital Pérez Carreño")</f>
        <v>Hospital Pérez Carreño</v>
      </c>
      <c r="C1303" s="45" t="str">
        <f>IFERROR(__xludf.DUMMYFUNCTION("""COMPUTED_VALUE"""),"BALBAS SENAIDA")</f>
        <v>BALBAS SENAIDA</v>
      </c>
      <c r="D1303" s="44" t="str">
        <f>IFERROR(__xludf.DUMMYFUNCTION("""COMPUTED_VALUE""")," ")</f>
        <v> </v>
      </c>
      <c r="E1303" s="44" t="str">
        <f>IFERROR(__xludf.DUMMYFUNCTION("""COMPUTED_VALUE"""),"")</f>
        <v/>
      </c>
      <c r="F1303" s="44" t="str">
        <f>IFERROR(__xludf.DUMMYFUNCTION("""COMPUTED_VALUE"""),"")</f>
        <v/>
      </c>
      <c r="G1303" s="44" t="str">
        <f>IFERROR(__xludf.DUMMYFUNCTION("""COMPUTED_VALUE""")," ")</f>
        <v> </v>
      </c>
      <c r="H1303" s="44" t="str">
        <f>IFERROR(__xludf.DUMMYFUNCTION("""COMPUTED_VALUE""")," ")</f>
        <v> </v>
      </c>
      <c r="I1303" s="44" t="str">
        <f>IFERROR(__xludf.DUMMYFUNCTION("""COMPUTED_VALUE"""),"Internado")</f>
        <v>Internado</v>
      </c>
      <c r="J1303" s="44" t="str">
        <f>IFERROR(__xludf.DUMMYFUNCTION("""COMPUTED_VALUE"""),"25/06/2026")</f>
        <v>25/06/2026</v>
      </c>
      <c r="K1303" s="42" t="str">
        <f>IFERROR(__xludf.DUMMYFUNCTION("""COMPUTED_VALUE"""),"Hospital Pérez Carreño")</f>
        <v>Hospital Pérez Carreño</v>
      </c>
    </row>
    <row r="1304">
      <c r="A1304" s="44">
        <v>1303.0</v>
      </c>
      <c r="B1304" s="44" t="str">
        <f>IFERROR(__xludf.DUMMYFUNCTION("""COMPUTED_VALUE"""),"Hospital Domingo Luciani")</f>
        <v>Hospital Domingo Luciani</v>
      </c>
      <c r="C1304" s="45" t="str">
        <f>IFERROR(__xludf.DUMMYFUNCTION("""COMPUTED_VALUE"""),"BALBUENO WILMED")</f>
        <v>BALBUENO WILMED</v>
      </c>
      <c r="D1304" s="44">
        <f>IFERROR(__xludf.DUMMYFUNCTION("""COMPUTED_VALUE"""),37.0)</f>
        <v>37</v>
      </c>
      <c r="E1304" s="44" t="str">
        <f>IFERROR(__xludf.DUMMYFUNCTION("""COMPUTED_VALUE"""),"")</f>
        <v/>
      </c>
      <c r="F1304" s="44" t="str">
        <f>IFERROR(__xludf.DUMMYFUNCTION("""COMPUTED_VALUE"""),"")</f>
        <v/>
      </c>
      <c r="G1304" s="44" t="str">
        <f>IFERROR(__xludf.DUMMYFUNCTION("""COMPUTED_VALUE""")," ")</f>
        <v> </v>
      </c>
      <c r="H1304" s="44" t="str">
        <f>IFERROR(__xludf.DUMMYFUNCTION("""COMPUTED_VALUE""")," ")</f>
        <v> </v>
      </c>
      <c r="I1304" s="44" t="str">
        <f>IFERROR(__xludf.DUMMYFUNCTION("""COMPUTED_VALUE""")," ")</f>
        <v> </v>
      </c>
      <c r="J1304" s="44" t="str">
        <f>IFERROR(__xludf.DUMMYFUNCTION("""COMPUTED_VALUE"""),"")</f>
        <v/>
      </c>
      <c r="K1304" s="42" t="str">
        <f>IFERROR(__xludf.DUMMYFUNCTION("""COMPUTED_VALUE"""),"🔍 BUSCAR PACIENTES")</f>
        <v>🔍 BUSCAR PACIENTES</v>
      </c>
    </row>
    <row r="1305">
      <c r="A1305" s="44">
        <v>1304.0</v>
      </c>
      <c r="B1305" s="44" t="str">
        <f>IFERROR(__xludf.DUMMYFUNCTION("""COMPUTED_VALUE"""),"Hospital Domingo Luciani")</f>
        <v>Hospital Domingo Luciani</v>
      </c>
      <c r="C1305" s="45" t="str">
        <f>IFERROR(__xludf.DUMMYFUNCTION("""COMPUTED_VALUE"""),"BALBUENO WILMER")</f>
        <v>BALBUENO WILMER</v>
      </c>
      <c r="D1305" s="44">
        <f>IFERROR(__xludf.DUMMYFUNCTION("""COMPUTED_VALUE"""),37.0)</f>
        <v>37</v>
      </c>
      <c r="E1305" s="44" t="str">
        <f>IFERROR(__xludf.DUMMYFUNCTION("""COMPUTED_VALUE"""),"")</f>
        <v/>
      </c>
      <c r="F1305" s="44" t="str">
        <f>IFERROR(__xludf.DUMMYFUNCTION("""COMPUTED_VALUE"""),"")</f>
        <v/>
      </c>
      <c r="G1305" s="44" t="str">
        <f>IFERROR(__xludf.DUMMYFUNCTION("""COMPUTED_VALUE""")," ")</f>
        <v> </v>
      </c>
      <c r="H1305" s="44" t="str">
        <f>IFERROR(__xludf.DUMMYFUNCTION("""COMPUTED_VALUE""")," ")</f>
        <v> </v>
      </c>
      <c r="I1305" s="44" t="str">
        <f>IFERROR(__xludf.DUMMYFUNCTION("""COMPUTED_VALUE""")," ")</f>
        <v> </v>
      </c>
      <c r="J1305" s="44" t="str">
        <f>IFERROR(__xludf.DUMMYFUNCTION("""COMPUTED_VALUE"""),"")</f>
        <v/>
      </c>
      <c r="K1305" s="42" t="str">
        <f>IFERROR(__xludf.DUMMYFUNCTION("""COMPUTED_VALUE"""),"🔍 BUSCAR PACIENTES")</f>
        <v>🔍 BUSCAR PACIENTES</v>
      </c>
    </row>
    <row r="1306">
      <c r="A1306" s="44">
        <v>1305.0</v>
      </c>
      <c r="B1306" s="44" t="str">
        <f>IFERROR(__xludf.DUMMYFUNCTION("""COMPUTED_VALUE"""),"Hospital Domingo Luciani")</f>
        <v>Hospital Domingo Luciani</v>
      </c>
      <c r="C1306" s="45" t="str">
        <f>IFERROR(__xludf.DUMMYFUNCTION("""COMPUTED_VALUE"""),"Bamy Zamora")</f>
        <v>Bamy Zamora</v>
      </c>
      <c r="D1306" s="44">
        <f>IFERROR(__xludf.DUMMYFUNCTION("""COMPUTED_VALUE"""),38.0)</f>
        <v>38</v>
      </c>
      <c r="E1306" s="44" t="str">
        <f>IFERROR(__xludf.DUMMYFUNCTION("""COMPUTED_VALUE"""),"")</f>
        <v/>
      </c>
      <c r="F1306" s="44" t="str">
        <f>IFERROR(__xludf.DUMMYFUNCTION("""COMPUTED_VALUE"""),"")</f>
        <v/>
      </c>
      <c r="G1306" s="44"/>
      <c r="H1306" s="44"/>
      <c r="I1306" s="44"/>
      <c r="J1306" s="44" t="str">
        <f>IFERROR(__xludf.DUMMYFUNCTION("""COMPUTED_VALUE"""),"")</f>
        <v/>
      </c>
      <c r="K1306" s="42" t="str">
        <f>IFERROR(__xludf.DUMMYFUNCTION("""COMPUTED_VALUE"""),"Hospital Domingo Luciani")</f>
        <v>Hospital Domingo Luciani</v>
      </c>
    </row>
    <row r="1307">
      <c r="A1307" s="44">
        <v>1306.0</v>
      </c>
      <c r="B1307" s="44" t="str">
        <f>IFERROR(__xludf.DUMMYFUNCTION("""COMPUTED_VALUE"""),"Hospital Pérez Carreño")</f>
        <v>Hospital Pérez Carreño</v>
      </c>
      <c r="C1307" s="45" t="str">
        <f>IFERROR(__xludf.DUMMYFUNCTION("""COMPUTED_VALUE"""),"BAPTISTA HERRERA YERMAN EMMANUEL")</f>
        <v>BAPTISTA HERRERA YERMAN EMMANUEL</v>
      </c>
      <c r="D1307" s="44" t="str">
        <f>IFERROR(__xludf.DUMMYFUNCTION("""COMPUTED_VALUE""")," ")</f>
        <v> </v>
      </c>
      <c r="E1307" s="44" t="str">
        <f>IFERROR(__xludf.DUMMYFUNCTION("""COMPUTED_VALUE"""),"")</f>
        <v/>
      </c>
      <c r="F1307" s="44" t="str">
        <f>IFERROR(__xludf.DUMMYFUNCTION("""COMPUTED_VALUE"""),"")</f>
        <v/>
      </c>
      <c r="G1307" s="44" t="str">
        <f>IFERROR(__xludf.DUMMYFUNCTION("""COMPUTED_VALUE""")," ")</f>
        <v> </v>
      </c>
      <c r="H1307" s="44" t="str">
        <f>IFERROR(__xludf.DUMMYFUNCTION("""COMPUTED_VALUE""")," ")</f>
        <v> </v>
      </c>
      <c r="I1307" s="44" t="str">
        <f>IFERROR(__xludf.DUMMYFUNCTION("""COMPUTED_VALUE"""),"Internado")</f>
        <v>Internado</v>
      </c>
      <c r="J1307" s="44" t="str">
        <f>IFERROR(__xludf.DUMMYFUNCTION("""COMPUTED_VALUE"""),"25/06/2026")</f>
        <v>25/06/2026</v>
      </c>
      <c r="K1307" s="42" t="str">
        <f>IFERROR(__xludf.DUMMYFUNCTION("""COMPUTED_VALUE"""),"Hospital Pérez Carreño")</f>
        <v>Hospital Pérez Carreño</v>
      </c>
    </row>
    <row r="1308">
      <c r="A1308" s="44">
        <v>1307.0</v>
      </c>
      <c r="B1308" s="44" t="str">
        <f>IFERROR(__xludf.DUMMYFUNCTION("""COMPUTED_VALUE"""),"La Guaira Sin Hospital")</f>
        <v>La Guaira Sin Hospital</v>
      </c>
      <c r="C1308" s="45" t="str">
        <f>IFERROR(__xludf.DUMMYFUNCTION("""COMPUTED_VALUE"""),"Baptista Herrero Yerman Emmanuel")</f>
        <v>Baptista Herrero Yerman Emmanuel</v>
      </c>
      <c r="D1308" s="44" t="str">
        <f>IFERROR(__xludf.DUMMYFUNCTION("""COMPUTED_VALUE"""),"")</f>
        <v/>
      </c>
      <c r="E1308" s="44" t="str">
        <f>IFERROR(__xludf.DUMMYFUNCTION("""COMPUTED_VALUE"""),"")</f>
        <v/>
      </c>
      <c r="F1308" s="44" t="str">
        <f>IFERROR(__xludf.DUMMYFUNCTION("""COMPUTED_VALUE"""),"")</f>
        <v/>
      </c>
      <c r="G1308" s="44" t="str">
        <f>IFERROR(__xludf.DUMMYFUNCTION("""COMPUTED_VALUE"""),"")</f>
        <v/>
      </c>
      <c r="H1308" s="44"/>
      <c r="I1308" s="44" t="str">
        <f>IFERROR(__xludf.DUMMYFUNCTION("""COMPUTED_VALUE"""),"Listas solo con nombre")</f>
        <v>Listas solo con nombre</v>
      </c>
      <c r="J1308" s="44" t="str">
        <f>IFERROR(__xludf.DUMMYFUNCTION("""COMPUTED_VALUE"""),"")</f>
        <v/>
      </c>
      <c r="K1308" s="42" t="str">
        <f>IFERROR(__xludf.DUMMYFUNCTION("""COMPUTED_VALUE"""),"La Guaira Sin Hospital")</f>
        <v>La Guaira Sin Hospital</v>
      </c>
    </row>
    <row r="1309">
      <c r="A1309" s="44">
        <v>1308.0</v>
      </c>
      <c r="B1309" s="44" t="str">
        <f>IFERROR(__xludf.DUMMYFUNCTION("""COMPUTED_VALUE"""),"Hospital Pérez Carreño")</f>
        <v>Hospital Pérez Carreño</v>
      </c>
      <c r="C1309" s="45" t="str">
        <f>IFERROR(__xludf.DUMMYFUNCTION("""COMPUTED_VALUE"""),"Baptista Herreros Yerman Emmanuel")</f>
        <v>Baptista Herreros Yerman Emmanuel</v>
      </c>
      <c r="D1309" s="44"/>
      <c r="E1309" s="44" t="str">
        <f>IFERROR(__xludf.DUMMYFUNCTION("""COMPUTED_VALUE"""),"")</f>
        <v/>
      </c>
      <c r="F1309" s="44" t="str">
        <f>IFERROR(__xludf.DUMMYFUNCTION("""COMPUTED_VALUE"""),"")</f>
        <v/>
      </c>
      <c r="G1309" s="44" t="str">
        <f>IFERROR(__xludf.DUMMYFUNCTION("""COMPUTED_VALUE"""),"Traslados")</f>
        <v>Traslados</v>
      </c>
      <c r="H1309" s="44" t="str">
        <f>IFERROR(__xludf.DUMMYFUNCTION("""COMPUTED_VALUE"""),"Hospital Miguel Perez Carreño")</f>
        <v>Hospital Miguel Perez Carreño</v>
      </c>
      <c r="I1309" s="44"/>
      <c r="J1309" s="44" t="str">
        <f>IFERROR(__xludf.DUMMYFUNCTION("""COMPUTED_VALUE"""),"26/6/26")</f>
        <v>26/6/26</v>
      </c>
      <c r="K1309" s="42" t="str">
        <f>IFERROR(__xludf.DUMMYFUNCTION("""COMPUTED_VALUE"""),"Hospital Pérez Carreño")</f>
        <v>Hospital Pérez Carreño</v>
      </c>
    </row>
    <row r="1310">
      <c r="A1310" s="44">
        <v>1309.0</v>
      </c>
      <c r="B1310" s="44" t="str">
        <f>IFERROR(__xludf.DUMMYFUNCTION("""COMPUTED_VALUE"""),"Campo de Golf Playa los Cocos")</f>
        <v>Campo de Golf Playa los Cocos</v>
      </c>
      <c r="C1310" s="45" t="str">
        <f>IFERROR(__xludf.DUMMYFUNCTION("""COMPUTED_VALUE"""),"Barbara Moreno")</f>
        <v>Barbara Moreno</v>
      </c>
      <c r="D1310" s="44" t="str">
        <f>IFERROR(__xludf.DUMMYFUNCTION("""COMPUTED_VALUE"""),"")</f>
        <v/>
      </c>
      <c r="E1310" s="44" t="str">
        <f>IFERROR(__xludf.DUMMYFUNCTION("""COMPUTED_VALUE"""),"")</f>
        <v/>
      </c>
      <c r="F1310" s="44" t="str">
        <f>IFERROR(__xludf.DUMMYFUNCTION("""COMPUTED_VALUE"""),"")</f>
        <v/>
      </c>
      <c r="G1310" s="44" t="str">
        <f>IFERROR(__xludf.DUMMYFUNCTION("""COMPUTED_VALUE"""),"")</f>
        <v/>
      </c>
      <c r="H1310" s="44" t="str">
        <f>IFERROR(__xludf.DUMMYFUNCTION("""COMPUTED_VALUE"""),"")</f>
        <v/>
      </c>
      <c r="I1310" s="44"/>
      <c r="J1310" s="44" t="str">
        <f>IFERROR(__xludf.DUMMYFUNCTION("""COMPUTED_VALUE"""),"")</f>
        <v/>
      </c>
      <c r="K1310" s="42" t="str">
        <f>IFERROR(__xludf.DUMMYFUNCTION("""COMPUTED_VALUE"""),"Campo de Golf Playa los Cocos")</f>
        <v>Campo de Golf Playa los Cocos</v>
      </c>
    </row>
    <row r="1311">
      <c r="A1311" s="44">
        <v>1310.0</v>
      </c>
      <c r="B1311" s="44" t="str">
        <f>IFERROR(__xludf.DUMMYFUNCTION("""COMPUTED_VALUE"""),"Hospital Pérez Carreño")</f>
        <v>Hospital Pérez Carreño</v>
      </c>
      <c r="C1311" s="45" t="str">
        <f>IFERROR(__xludf.DUMMYFUNCTION("""COMPUTED_VALUE"""),"Barcelo Diego")</f>
        <v>Barcelo Diego</v>
      </c>
      <c r="D1311" s="44"/>
      <c r="E1311" s="44" t="str">
        <f>IFERROR(__xludf.DUMMYFUNCTION("""COMPUTED_VALUE"""),"")</f>
        <v/>
      </c>
      <c r="F1311" s="44" t="str">
        <f>IFERROR(__xludf.DUMMYFUNCTION("""COMPUTED_VALUE"""),"")</f>
        <v/>
      </c>
      <c r="G1311" s="44" t="str">
        <f>IFERROR(__xludf.DUMMYFUNCTION("""COMPUTED_VALUE"""),"Traslados con destino asignado")</f>
        <v>Traslados con destino asignado</v>
      </c>
      <c r="H1311" s="44" t="str">
        <f>IFERROR(__xludf.DUMMYFUNCTION("""COMPUTED_VALUE"""),"Hospital Miguel Perez Carreño")</f>
        <v>Hospital Miguel Perez Carreño</v>
      </c>
      <c r="I1311" s="44"/>
      <c r="J1311" s="44" t="str">
        <f>IFERROR(__xludf.DUMMYFUNCTION("""COMPUTED_VALUE"""),"26/6/26")</f>
        <v>26/6/26</v>
      </c>
      <c r="K1311" s="42" t="str">
        <f>IFERROR(__xludf.DUMMYFUNCTION("""COMPUTED_VALUE"""),"Hospital Pérez Carreño")</f>
        <v>Hospital Pérez Carreño</v>
      </c>
    </row>
    <row r="1312">
      <c r="A1312" s="44">
        <v>1311.0</v>
      </c>
      <c r="B1312" s="44" t="str">
        <f>IFERROR(__xludf.DUMMYFUNCTION("""COMPUTED_VALUE"""),"Periférico de Catia")</f>
        <v>Periférico de Catia</v>
      </c>
      <c r="C1312" s="45" t="str">
        <f>IFERROR(__xludf.DUMMYFUNCTION("""COMPUTED_VALUE"""),"Barras Esmeralda")</f>
        <v>Barras Esmeralda</v>
      </c>
      <c r="D1312" s="44">
        <f>IFERROR(__xludf.DUMMYFUNCTION("""COMPUTED_VALUE"""),54.0)</f>
        <v>54</v>
      </c>
      <c r="E1312" s="44" t="str">
        <f>IFERROR(__xludf.DUMMYFUNCTION("""COMPUTED_VALUE"""),"")</f>
        <v/>
      </c>
      <c r="F1312" s="44" t="str">
        <f>IFERROR(__xludf.DUMMYFUNCTION("""COMPUTED_VALUE"""),"")</f>
        <v/>
      </c>
      <c r="G1312" s="44"/>
      <c r="H1312" s="44"/>
      <c r="I1312" s="44" t="str">
        <f>IFERROR(__xludf.DUMMYFUNCTION("""COMPUTED_VALUE"""),"Politrauma Emerg. Nueva (version anterior)")</f>
        <v>Politrauma Emerg. Nueva (version anterior)</v>
      </c>
      <c r="J1312" s="44" t="str">
        <f>IFERROR(__xludf.DUMMYFUNCTION("""COMPUTED_VALUE"""),"")</f>
        <v/>
      </c>
      <c r="K1312" s="42" t="str">
        <f>IFERROR(__xludf.DUMMYFUNCTION("""COMPUTED_VALUE"""),"Periférico de Catia")</f>
        <v>Periférico de Catia</v>
      </c>
    </row>
    <row r="1313">
      <c r="A1313" s="44">
        <v>1312.0</v>
      </c>
      <c r="B1313" s="44" t="str">
        <f>IFERROR(__xludf.DUMMYFUNCTION("""COMPUTED_VALUE"""),"Hospital Pérez Carreño")</f>
        <v>Hospital Pérez Carreño</v>
      </c>
      <c r="C1313" s="45" t="str">
        <f>IFERROR(__xludf.DUMMYFUNCTION("""COMPUTED_VALUE"""),"BARREGO JOSE")</f>
        <v>BARREGO JOSE</v>
      </c>
      <c r="D1313" s="44" t="str">
        <f>IFERROR(__xludf.DUMMYFUNCTION("""COMPUTED_VALUE""")," ")</f>
        <v> </v>
      </c>
      <c r="E1313" s="44" t="str">
        <f>IFERROR(__xludf.DUMMYFUNCTION("""COMPUTED_VALUE"""),"")</f>
        <v/>
      </c>
      <c r="F1313" s="44" t="str">
        <f>IFERROR(__xludf.DUMMYFUNCTION("""COMPUTED_VALUE"""),"")</f>
        <v/>
      </c>
      <c r="G1313" s="44" t="str">
        <f>IFERROR(__xludf.DUMMYFUNCTION("""COMPUTED_VALUE""")," ")</f>
        <v> </v>
      </c>
      <c r="H1313" s="44" t="str">
        <f>IFERROR(__xludf.DUMMYFUNCTION("""COMPUTED_VALUE""")," ")</f>
        <v> </v>
      </c>
      <c r="I1313" s="44" t="str">
        <f>IFERROR(__xludf.DUMMYFUNCTION("""COMPUTED_VALUE"""),"Internado")</f>
        <v>Internado</v>
      </c>
      <c r="J1313" s="44" t="str">
        <f>IFERROR(__xludf.DUMMYFUNCTION("""COMPUTED_VALUE"""),"25/06/2026")</f>
        <v>25/06/2026</v>
      </c>
      <c r="K1313" s="42" t="str">
        <f>IFERROR(__xludf.DUMMYFUNCTION("""COMPUTED_VALUE"""),"Hospital Pérez Carreño")</f>
        <v>Hospital Pérez Carreño</v>
      </c>
    </row>
    <row r="1314">
      <c r="A1314" s="44">
        <v>1313.0</v>
      </c>
      <c r="B1314" s="44" t="str">
        <f>IFERROR(__xludf.DUMMYFUNCTION("""COMPUTED_VALUE"""),"Cruz Roja")</f>
        <v>Cruz Roja</v>
      </c>
      <c r="C1314" s="45" t="str">
        <f>IFERROR(__xludf.DUMMYFUNCTION("""COMPUTED_VALUE"""),"BARRETO IRAMA")</f>
        <v>BARRETO IRAMA</v>
      </c>
      <c r="D1314" s="44">
        <f>IFERROR(__xludf.DUMMYFUNCTION("""COMPUTED_VALUE"""),74.0)</f>
        <v>74</v>
      </c>
      <c r="E1314" s="44" t="str">
        <f>IFERROR(__xludf.DUMMYFUNCTION("""COMPUTED_VALUE"""),"")</f>
        <v/>
      </c>
      <c r="F1314" s="44" t="str">
        <f>IFERROR(__xludf.DUMMYFUNCTION("""COMPUTED_VALUE"""),"")</f>
        <v/>
      </c>
      <c r="G1314" s="44" t="str">
        <f>IFERROR(__xludf.DUMMYFUNCTION("""COMPUTED_VALUE""")," ")</f>
        <v> </v>
      </c>
      <c r="H1314" s="44" t="str">
        <f>IFERROR(__xludf.DUMMYFUNCTION("""COMPUTED_VALUE"""),"La Candelaria")</f>
        <v>La Candelaria</v>
      </c>
      <c r="I1314" s="44" t="str">
        <f>IFERROR(__xludf.DUMMYFUNCTION("""COMPUTED_VALUE""")," ")</f>
        <v> </v>
      </c>
      <c r="J1314" s="44" t="str">
        <f>IFERROR(__xludf.DUMMYFUNCTION("""COMPUTED_VALUE"""),"")</f>
        <v/>
      </c>
      <c r="K1314" s="42" t="str">
        <f>IFERROR(__xludf.DUMMYFUNCTION("""COMPUTED_VALUE"""),"Cruz Roja")</f>
        <v>Cruz Roja</v>
      </c>
    </row>
    <row r="1315">
      <c r="A1315" s="44">
        <v>1314.0</v>
      </c>
      <c r="B1315" s="44" t="str">
        <f>IFERROR(__xludf.DUMMYFUNCTION("""COMPUTED_VALUE"""),"Hospital Domingo Luciani")</f>
        <v>Hospital Domingo Luciani</v>
      </c>
      <c r="C1315" s="45" t="str">
        <f>IFERROR(__xludf.DUMMYFUNCTION("""COMPUTED_VALUE"""),"BARRETO RICARDO")</f>
        <v>BARRETO RICARDO</v>
      </c>
      <c r="D1315" s="44">
        <f>IFERROR(__xludf.DUMMYFUNCTION("""COMPUTED_VALUE"""),42.0)</f>
        <v>42</v>
      </c>
      <c r="E1315" s="44" t="str">
        <f>IFERROR(__xludf.DUMMYFUNCTION("""COMPUTED_VALUE"""),"")</f>
        <v/>
      </c>
      <c r="F1315" s="44" t="str">
        <f>IFERROR(__xludf.DUMMYFUNCTION("""COMPUTED_VALUE"""),"")</f>
        <v/>
      </c>
      <c r="G1315" s="44" t="str">
        <f>IFERROR(__xludf.DUMMYFUNCTION("""COMPUTED_VALUE""")," ")</f>
        <v> </v>
      </c>
      <c r="H1315" s="44" t="str">
        <f>IFERROR(__xludf.DUMMYFUNCTION("""COMPUTED_VALUE""")," ")</f>
        <v> </v>
      </c>
      <c r="I1315" s="44" t="str">
        <f>IFERROR(__xludf.DUMMYFUNCTION("""COMPUTED_VALUE""")," ")</f>
        <v> </v>
      </c>
      <c r="J1315" s="44" t="str">
        <f>IFERROR(__xludf.DUMMYFUNCTION("""COMPUTED_VALUE"""),"")</f>
        <v/>
      </c>
      <c r="K1315" s="42" t="str">
        <f>IFERROR(__xludf.DUMMYFUNCTION("""COMPUTED_VALUE"""),"🔍 BUSCAR PACIENTES")</f>
        <v>🔍 BUSCAR PACIENTES</v>
      </c>
    </row>
    <row r="1316">
      <c r="A1316" s="44">
        <v>1315.0</v>
      </c>
      <c r="B1316" s="44" t="str">
        <f>IFERROR(__xludf.DUMMYFUNCTION("""COMPUTED_VALUE"""),"Hospital Domingo Luciani")</f>
        <v>Hospital Domingo Luciani</v>
      </c>
      <c r="C1316" s="45" t="str">
        <f>IFERROR(__xludf.DUMMYFUNCTION("""COMPUTED_VALUE"""),"BARRETO YOSEANNY")</f>
        <v>BARRETO YOSEANNY</v>
      </c>
      <c r="D1316" s="44">
        <f>IFERROR(__xludf.DUMMYFUNCTION("""COMPUTED_VALUE"""),30.0)</f>
        <v>30</v>
      </c>
      <c r="E1316" s="44" t="str">
        <f>IFERROR(__xludf.DUMMYFUNCTION("""COMPUTED_VALUE"""),"")</f>
        <v/>
      </c>
      <c r="F1316" s="44" t="str">
        <f>IFERROR(__xludf.DUMMYFUNCTION("""COMPUTED_VALUE"""),"")</f>
        <v/>
      </c>
      <c r="G1316" s="44" t="str">
        <f>IFERROR(__xludf.DUMMYFUNCTION("""COMPUTED_VALUE""")," ")</f>
        <v> </v>
      </c>
      <c r="H1316" s="44" t="str">
        <f>IFERROR(__xludf.DUMMYFUNCTION("""COMPUTED_VALUE""")," ")</f>
        <v> </v>
      </c>
      <c r="I1316" s="44" t="str">
        <f>IFERROR(__xludf.DUMMYFUNCTION("""COMPUTED_VALUE"""),"Quirófano – F")</f>
        <v>Quirófano – F</v>
      </c>
      <c r="J1316" s="44" t="str">
        <f>IFERROR(__xludf.DUMMYFUNCTION("""COMPUTED_VALUE"""),"")</f>
        <v/>
      </c>
      <c r="K1316" s="42" t="str">
        <f>IFERROR(__xludf.DUMMYFUNCTION("""COMPUTED_VALUE"""),"🔍 BUSCAR PACIENTES")</f>
        <v>🔍 BUSCAR PACIENTES</v>
      </c>
    </row>
    <row r="1317">
      <c r="A1317" s="44">
        <v>1316.0</v>
      </c>
      <c r="B1317" s="44" t="str">
        <f>IFERROR(__xludf.DUMMYFUNCTION("""COMPUTED_VALUE"""),"Centro de Acopio Caraballeda")</f>
        <v>Centro de Acopio Caraballeda</v>
      </c>
      <c r="C1317" s="45" t="str">
        <f>IFERROR(__xludf.DUMMYFUNCTION("""COMPUTED_VALUE"""),"BARRIOS EBERTO")</f>
        <v>BARRIOS EBERTO</v>
      </c>
      <c r="D1317" s="44" t="str">
        <f>IFERROR(__xludf.DUMMYFUNCTION("""COMPUTED_VALUE""")," ")</f>
        <v> </v>
      </c>
      <c r="E1317" s="44" t="str">
        <f>IFERROR(__xludf.DUMMYFUNCTION("""COMPUTED_VALUE"""),"")</f>
        <v/>
      </c>
      <c r="F1317" s="44" t="str">
        <f>IFERROR(__xludf.DUMMYFUNCTION("""COMPUTED_VALUE"""),"")</f>
        <v/>
      </c>
      <c r="G1317" s="44" t="str">
        <f>IFERROR(__xludf.DUMMYFUNCTION("""COMPUTED_VALUE""")," ")</f>
        <v> </v>
      </c>
      <c r="H1317" s="44" t="str">
        <f>IFERROR(__xludf.DUMMYFUNCTION("""COMPUTED_VALUE""")," ")</f>
        <v> </v>
      </c>
      <c r="I1317" s="44" t="str">
        <f>IFERROR(__xludf.DUMMYFUNCTION("""COMPUTED_VALUE"""),"Internado")</f>
        <v>Internado</v>
      </c>
      <c r="J1317" s="44" t="str">
        <f>IFERROR(__xludf.DUMMYFUNCTION("""COMPUTED_VALUE"""),"")</f>
        <v/>
      </c>
      <c r="K1317" s="42" t="str">
        <f>IFERROR(__xludf.DUMMYFUNCTION("""COMPUTED_VALUE"""),"🔍 BUSCAR PACIENTES")</f>
        <v>🔍 BUSCAR PACIENTES</v>
      </c>
    </row>
    <row r="1318">
      <c r="A1318" s="44">
        <v>1317.0</v>
      </c>
      <c r="B1318" s="44" t="str">
        <f>IFERROR(__xludf.DUMMYFUNCTION("""COMPUTED_VALUE"""),"Hospital Pérez Carreño")</f>
        <v>Hospital Pérez Carreño</v>
      </c>
      <c r="C1318" s="45" t="str">
        <f>IFERROR(__xludf.DUMMYFUNCTION("""COMPUTED_VALUE"""),"Barrios Katherin")</f>
        <v>Barrios Katherin</v>
      </c>
      <c r="D1318" s="44"/>
      <c r="E1318" s="44" t="str">
        <f>IFERROR(__xludf.DUMMYFUNCTION("""COMPUTED_VALUE"""),"")</f>
        <v/>
      </c>
      <c r="F1318" s="44" t="str">
        <f>IFERROR(__xludf.DUMMYFUNCTION("""COMPUTED_VALUE"""),"")</f>
        <v/>
      </c>
      <c r="G1318" s="44" t="str">
        <f>IFERROR(__xludf.DUMMYFUNCTION("""COMPUTED_VALUE"""),"Traslados")</f>
        <v>Traslados</v>
      </c>
      <c r="H1318" s="44" t="str">
        <f>IFERROR(__xludf.DUMMYFUNCTION("""COMPUTED_VALUE"""),"Hospital Miguel Perez Carreño")</f>
        <v>Hospital Miguel Perez Carreño</v>
      </c>
      <c r="I1318" s="44"/>
      <c r="J1318" s="44" t="str">
        <f>IFERROR(__xludf.DUMMYFUNCTION("""COMPUTED_VALUE"""),"26/6/26")</f>
        <v>26/6/26</v>
      </c>
      <c r="K1318" s="42" t="str">
        <f>IFERROR(__xludf.DUMMYFUNCTION("""COMPUTED_VALUE"""),"Hospital Pérez Carreño")</f>
        <v>Hospital Pérez Carreño</v>
      </c>
    </row>
    <row r="1319">
      <c r="A1319" s="44">
        <v>1318.0</v>
      </c>
      <c r="B1319" s="44" t="str">
        <f>IFERROR(__xludf.DUMMYFUNCTION("""COMPUTED_VALUE"""),"Hospital Pérez Carreño")</f>
        <v>Hospital Pérez Carreño</v>
      </c>
      <c r="C1319" s="45" t="str">
        <f>IFERROR(__xludf.DUMMYFUNCTION("""COMPUTED_VALUE"""),"BARRIOS KATHERINE")</f>
        <v>BARRIOS KATHERINE</v>
      </c>
      <c r="D1319" s="44" t="str">
        <f>IFERROR(__xludf.DUMMYFUNCTION("""COMPUTED_VALUE""")," ")</f>
        <v> </v>
      </c>
      <c r="E1319" s="44" t="str">
        <f>IFERROR(__xludf.DUMMYFUNCTION("""COMPUTED_VALUE"""),"")</f>
        <v/>
      </c>
      <c r="F1319" s="44" t="str">
        <f>IFERROR(__xludf.DUMMYFUNCTION("""COMPUTED_VALUE"""),"")</f>
        <v/>
      </c>
      <c r="G1319" s="44" t="str">
        <f>IFERROR(__xludf.DUMMYFUNCTION("""COMPUTED_VALUE""")," ")</f>
        <v> </v>
      </c>
      <c r="H1319" s="44" t="str">
        <f>IFERROR(__xludf.DUMMYFUNCTION("""COMPUTED_VALUE""")," ")</f>
        <v> </v>
      </c>
      <c r="I1319" s="44" t="str">
        <f>IFERROR(__xludf.DUMMYFUNCTION("""COMPUTED_VALUE"""),"Internado")</f>
        <v>Internado</v>
      </c>
      <c r="J1319" s="44" t="str">
        <f>IFERROR(__xludf.DUMMYFUNCTION("""COMPUTED_VALUE"""),"25/06/2026")</f>
        <v>25/06/2026</v>
      </c>
      <c r="K1319" s="42" t="str">
        <f>IFERROR(__xludf.DUMMYFUNCTION("""COMPUTED_VALUE"""),"Hospital Pérez Carreño")</f>
        <v>Hospital Pérez Carreño</v>
      </c>
    </row>
    <row r="1320">
      <c r="A1320" s="44">
        <v>1319.0</v>
      </c>
      <c r="B1320" s="44" t="str">
        <f>IFERROR(__xludf.DUMMYFUNCTION("""COMPUTED_VALUE"""),"H. Jose Maria Vargas LG")</f>
        <v>H. Jose Maria Vargas LG</v>
      </c>
      <c r="C1320" s="45" t="str">
        <f>IFERROR(__xludf.DUMMYFUNCTION("""COMPUTED_VALUE"""),"BARRIOS KATON")</f>
        <v>BARRIOS KATON</v>
      </c>
      <c r="D1320" s="44" t="str">
        <f>IFERROR(__xludf.DUMMYFUNCTION("""COMPUTED_VALUE""")," ")</f>
        <v> </v>
      </c>
      <c r="E1320" s="44" t="str">
        <f>IFERROR(__xludf.DUMMYFUNCTION("""COMPUTED_VALUE"""),"")</f>
        <v/>
      </c>
      <c r="F1320" s="44" t="str">
        <f>IFERROR(__xludf.DUMMYFUNCTION("""COMPUTED_VALUE"""),"")</f>
        <v/>
      </c>
      <c r="G1320" s="44" t="str">
        <f>IFERROR(__xludf.DUMMYFUNCTION("""COMPUTED_VALUE""")," ")</f>
        <v> </v>
      </c>
      <c r="H1320" s="44" t="str">
        <f>IFERROR(__xludf.DUMMYFUNCTION("""COMPUTED_VALUE""")," ")</f>
        <v> </v>
      </c>
      <c r="I1320" s="44" t="str">
        <f>IFERROR(__xludf.DUMMYFUNCTION("""COMPUTED_VALUE""")," ")</f>
        <v> </v>
      </c>
      <c r="J1320" s="44" t="str">
        <f>IFERROR(__xludf.DUMMYFUNCTION("""COMPUTED_VALUE"""),"")</f>
        <v/>
      </c>
      <c r="K1320" s="42" t="str">
        <f>IFERROR(__xludf.DUMMYFUNCTION("""COMPUTED_VALUE"""),"H. Jose Maria Vargas LG")</f>
        <v>H. Jose Maria Vargas LG</v>
      </c>
    </row>
    <row r="1321">
      <c r="A1321" s="44">
        <v>1320.0</v>
      </c>
      <c r="B1321" s="44" t="str">
        <f>IFERROR(__xludf.DUMMYFUNCTION("""COMPUTED_VALUE"""),"Hospital Domingo Luciani")</f>
        <v>Hospital Domingo Luciani</v>
      </c>
      <c r="C1321" s="45" t="str">
        <f>IFERROR(__xludf.DUMMYFUNCTION("""COMPUTED_VALUE"""),"BAUTE MORELIS")</f>
        <v>BAUTE MORELIS</v>
      </c>
      <c r="D1321" s="44">
        <f>IFERROR(__xludf.DUMMYFUNCTION("""COMPUTED_VALUE"""),65.0)</f>
        <v>65</v>
      </c>
      <c r="E1321" s="44" t="str">
        <f>IFERROR(__xludf.DUMMYFUNCTION("""COMPUTED_VALUE"""),"")</f>
        <v/>
      </c>
      <c r="F1321" s="44" t="str">
        <f>IFERROR(__xludf.DUMMYFUNCTION("""COMPUTED_VALUE"""),"")</f>
        <v/>
      </c>
      <c r="G1321" s="44" t="str">
        <f>IFERROR(__xludf.DUMMYFUNCTION("""COMPUTED_VALUE""")," ")</f>
        <v> </v>
      </c>
      <c r="H1321" s="44" t="str">
        <f>IFERROR(__xludf.DUMMYFUNCTION("""COMPUTED_VALUE""")," ")</f>
        <v> </v>
      </c>
      <c r="I1321" s="44" t="str">
        <f>IFERROR(__xludf.DUMMYFUNCTION("""COMPUTED_VALUE"""),"Pol I – F; Politrauma")</f>
        <v>Pol I – F; Politrauma</v>
      </c>
      <c r="J1321" s="44" t="str">
        <f>IFERROR(__xludf.DUMMYFUNCTION("""COMPUTED_VALUE"""),"")</f>
        <v/>
      </c>
      <c r="K1321" s="42" t="str">
        <f>IFERROR(__xludf.DUMMYFUNCTION("""COMPUTED_VALUE"""),"🔍 BUSCAR PACIENTES")</f>
        <v>🔍 BUSCAR PACIENTES</v>
      </c>
    </row>
    <row r="1322">
      <c r="A1322" s="44">
        <v>1321.0</v>
      </c>
      <c r="B1322" s="44" t="str">
        <f>IFERROR(__xludf.DUMMYFUNCTION("""COMPUTED_VALUE"""),"Hospital Vargas de Caracas")</f>
        <v>Hospital Vargas de Caracas</v>
      </c>
      <c r="C1322" s="45" t="str">
        <f>IFERROR(__xludf.DUMMYFUNCTION("""COMPUTED_VALUE"""),"BAUTISTA JUANA")</f>
        <v>BAUTISTA JUANA</v>
      </c>
      <c r="D1322" s="44" t="str">
        <f>IFERROR(__xludf.DUMMYFUNCTION("""COMPUTED_VALUE""")," ")</f>
        <v> </v>
      </c>
      <c r="E1322" s="44" t="str">
        <f>IFERROR(__xludf.DUMMYFUNCTION("""COMPUTED_VALUE"""),"")</f>
        <v/>
      </c>
      <c r="F1322" s="44" t="str">
        <f>IFERROR(__xludf.DUMMYFUNCTION("""COMPUTED_VALUE""")," ")</f>
        <v> </v>
      </c>
      <c r="G1322" s="44" t="str">
        <f>IFERROR(__xludf.DUMMYFUNCTION("""COMPUTED_VALUE"""),"")</f>
        <v/>
      </c>
      <c r="H1322" s="44" t="str">
        <f>IFERROR(__xludf.DUMMYFUNCTION("""COMPUTED_VALUE""")," ")</f>
        <v> </v>
      </c>
      <c r="I1322" s="44" t="str">
        <f>IFERROR(__xludf.DUMMYFUNCTION("""COMPUTED_VALUE"""),"⚠ FALLECIDA")</f>
        <v>⚠ FALLECIDA</v>
      </c>
      <c r="J1322" s="44" t="str">
        <f>IFERROR(__xludf.DUMMYFUNCTION("""COMPUTED_VALUE"""),"")</f>
        <v/>
      </c>
      <c r="K1322" s="42" t="str">
        <f>IFERROR(__xludf.DUMMYFUNCTION("""COMPUTED_VALUE"""),"Hospital Vargas de Caracas")</f>
        <v>Hospital Vargas de Caracas</v>
      </c>
    </row>
    <row r="1323">
      <c r="A1323" s="44">
        <v>1322.0</v>
      </c>
      <c r="B1323" s="44" t="str">
        <f>IFERROR(__xludf.DUMMYFUNCTION("""COMPUTED_VALUE"""),"Cruz Roja")</f>
        <v>Cruz Roja</v>
      </c>
      <c r="C1323" s="45" t="str">
        <f>IFERROR(__xludf.DUMMYFUNCTION("""COMPUTED_VALUE"""),"BEGOCHEA REINALDO")</f>
        <v>BEGOCHEA REINALDO</v>
      </c>
      <c r="D1323" s="44">
        <f>IFERROR(__xludf.DUMMYFUNCTION("""COMPUTED_VALUE"""),43.0)</f>
        <v>43</v>
      </c>
      <c r="E1323" s="44" t="str">
        <f>IFERROR(__xludf.DUMMYFUNCTION("""COMPUTED_VALUE"""),"")</f>
        <v/>
      </c>
      <c r="F1323" s="44" t="str">
        <f>IFERROR(__xludf.DUMMYFUNCTION("""COMPUTED_VALUE"""),"")</f>
        <v/>
      </c>
      <c r="G1323" s="44" t="str">
        <f>IFERROR(__xludf.DUMMYFUNCTION("""COMPUTED_VALUE""")," ")</f>
        <v> </v>
      </c>
      <c r="H1323" s="44" t="str">
        <f>IFERROR(__xludf.DUMMYFUNCTION("""COMPUTED_VALUE"""),"Sarria")</f>
        <v>Sarria</v>
      </c>
      <c r="I1323" s="44" t="str">
        <f>IFERROR(__xludf.DUMMYFUNCTION("""COMPUTED_VALUE""")," ")</f>
        <v> </v>
      </c>
      <c r="J1323" s="44" t="str">
        <f>IFERROR(__xludf.DUMMYFUNCTION("""COMPUTED_VALUE"""),"")</f>
        <v/>
      </c>
      <c r="K1323" s="42" t="str">
        <f>IFERROR(__xludf.DUMMYFUNCTION("""COMPUTED_VALUE"""),"Cruz Roja")</f>
        <v>Cruz Roja</v>
      </c>
    </row>
    <row r="1324">
      <c r="A1324" s="44">
        <v>1323.0</v>
      </c>
      <c r="B1324" s="44" t="str">
        <f>IFERROR(__xludf.DUMMYFUNCTION("""COMPUTED_VALUE"""),"Cruz Roja")</f>
        <v>Cruz Roja</v>
      </c>
      <c r="C1324" s="45" t="str">
        <f>IFERROR(__xludf.DUMMYFUNCTION("""COMPUTED_VALUE"""),"BELANDRIA JOFFRE")</f>
        <v>BELANDRIA JOFFRE</v>
      </c>
      <c r="D1324" s="44">
        <f>IFERROR(__xludf.DUMMYFUNCTION("""COMPUTED_VALUE"""),63.0)</f>
        <v>63</v>
      </c>
      <c r="E1324" s="44" t="str">
        <f>IFERROR(__xludf.DUMMYFUNCTION("""COMPUTED_VALUE"""),"")</f>
        <v/>
      </c>
      <c r="F1324" s="44" t="str">
        <f>IFERROR(__xludf.DUMMYFUNCTION("""COMPUTED_VALUE"""),"")</f>
        <v/>
      </c>
      <c r="G1324" s="44" t="str">
        <f>IFERROR(__xludf.DUMMYFUNCTION("""COMPUTED_VALUE""")," ")</f>
        <v> </v>
      </c>
      <c r="H1324" s="44" t="str">
        <f>IFERROR(__xludf.DUMMYFUNCTION("""COMPUTED_VALUE"""),"Valles del Tuy")</f>
        <v>Valles del Tuy</v>
      </c>
      <c r="I1324" s="44" t="str">
        <f>IFERROR(__xludf.DUMMYFUNCTION("""COMPUTED_VALUE""")," ")</f>
        <v> </v>
      </c>
      <c r="J1324" s="44" t="str">
        <f>IFERROR(__xludf.DUMMYFUNCTION("""COMPUTED_VALUE"""),"")</f>
        <v/>
      </c>
      <c r="K1324" s="42" t="str">
        <f>IFERROR(__xludf.DUMMYFUNCTION("""COMPUTED_VALUE"""),"Cruz Roja")</f>
        <v>Cruz Roja</v>
      </c>
    </row>
    <row r="1325">
      <c r="A1325" s="44">
        <v>1324.0</v>
      </c>
      <c r="B1325" s="44" t="str">
        <f>IFERROR(__xludf.DUMMYFUNCTION("""COMPUTED_VALUE"""),"Hospital Pérez Carreño")</f>
        <v>Hospital Pérez Carreño</v>
      </c>
      <c r="C1325" s="45" t="str">
        <f>IFERROR(__xludf.DUMMYFUNCTION("""COMPUTED_VALUE"""),"Belkis Bacelo")</f>
        <v>Belkis Bacelo</v>
      </c>
      <c r="D1325" s="44"/>
      <c r="E1325" s="44" t="str">
        <f>IFERROR(__xludf.DUMMYFUNCTION("""COMPUTED_VALUE"""),"")</f>
        <v/>
      </c>
      <c r="F1325" s="44" t="str">
        <f>IFERROR(__xludf.DUMMYFUNCTION("""COMPUTED_VALUE"""),"")</f>
        <v/>
      </c>
      <c r="G1325" s="44" t="str">
        <f>IFERROR(__xludf.DUMMYFUNCTION("""COMPUTED_VALUE"""),"Traumashock ")</f>
        <v>Traumashock </v>
      </c>
      <c r="H1325" s="44" t="str">
        <f>IFERROR(__xludf.DUMMYFUNCTION("""COMPUTED_VALUE"""),"Hospital Miguel Perez Carreño")</f>
        <v>Hospital Miguel Perez Carreño</v>
      </c>
      <c r="I1325" s="44"/>
      <c r="J1325" s="44" t="str">
        <f>IFERROR(__xludf.DUMMYFUNCTION("""COMPUTED_VALUE"""),"26/6/26")</f>
        <v>26/6/26</v>
      </c>
      <c r="K1325" s="42" t="str">
        <f>IFERROR(__xludf.DUMMYFUNCTION("""COMPUTED_VALUE"""),"Hospital Pérez Carreño")</f>
        <v>Hospital Pérez Carreño</v>
      </c>
    </row>
    <row r="1326">
      <c r="A1326" s="44">
        <v>1325.0</v>
      </c>
      <c r="B1326" s="44" t="str">
        <f>IFERROR(__xludf.DUMMYFUNCTION("""COMPUTED_VALUE"""),"Campo de Golf Playa los Cocos")</f>
        <v>Campo de Golf Playa los Cocos</v>
      </c>
      <c r="C1326" s="45" t="str">
        <f>IFERROR(__xludf.DUMMYFUNCTION("""COMPUTED_VALUE"""),"Belkys Caraballo")</f>
        <v>Belkys Caraballo</v>
      </c>
      <c r="D1326" s="44" t="str">
        <f>IFERROR(__xludf.DUMMYFUNCTION("""COMPUTED_VALUE"""),"")</f>
        <v/>
      </c>
      <c r="E1326" s="44" t="str">
        <f>IFERROR(__xludf.DUMMYFUNCTION("""COMPUTED_VALUE"""),"")</f>
        <v/>
      </c>
      <c r="F1326" s="44" t="str">
        <f>IFERROR(__xludf.DUMMYFUNCTION("""COMPUTED_VALUE"""),"")</f>
        <v/>
      </c>
      <c r="G1326" s="44" t="str">
        <f>IFERROR(__xludf.DUMMYFUNCTION("""COMPUTED_VALUE"""),"")</f>
        <v/>
      </c>
      <c r="H1326" s="44" t="str">
        <f>IFERROR(__xludf.DUMMYFUNCTION("""COMPUTED_VALUE"""),"")</f>
        <v/>
      </c>
      <c r="I1326" s="44"/>
      <c r="J1326" s="44" t="str">
        <f>IFERROR(__xludf.DUMMYFUNCTION("""COMPUTED_VALUE"""),"")</f>
        <v/>
      </c>
      <c r="K1326" s="42" t="str">
        <f>IFERROR(__xludf.DUMMYFUNCTION("""COMPUTED_VALUE"""),"Campo de Golf Playa los Cocos")</f>
        <v>Campo de Golf Playa los Cocos</v>
      </c>
    </row>
    <row r="1327">
      <c r="A1327" s="44">
        <v>1326.0</v>
      </c>
      <c r="B1327" s="44" t="str">
        <f>IFERROR(__xludf.DUMMYFUNCTION("""COMPUTED_VALUE"""),"Campo de Golf Playa los Cocos")</f>
        <v>Campo de Golf Playa los Cocos</v>
      </c>
      <c r="C1327" s="45" t="str">
        <f>IFERROR(__xludf.DUMMYFUNCTION("""COMPUTED_VALUE"""),"Belkys Castillo")</f>
        <v>Belkys Castillo</v>
      </c>
      <c r="D1327" s="44" t="str">
        <f>IFERROR(__xludf.DUMMYFUNCTION("""COMPUTED_VALUE"""),"")</f>
        <v/>
      </c>
      <c r="E1327" s="44" t="str">
        <f>IFERROR(__xludf.DUMMYFUNCTION("""COMPUTED_VALUE"""),"")</f>
        <v/>
      </c>
      <c r="F1327" s="44" t="str">
        <f>IFERROR(__xludf.DUMMYFUNCTION("""COMPUTED_VALUE"""),"")</f>
        <v/>
      </c>
      <c r="G1327" s="44" t="str">
        <f>IFERROR(__xludf.DUMMYFUNCTION("""COMPUTED_VALUE"""),"")</f>
        <v/>
      </c>
      <c r="H1327" s="44" t="str">
        <f>IFERROR(__xludf.DUMMYFUNCTION("""COMPUTED_VALUE"""),"")</f>
        <v/>
      </c>
      <c r="I1327" s="44"/>
      <c r="J1327" s="44" t="str">
        <f>IFERROR(__xludf.DUMMYFUNCTION("""COMPUTED_VALUE"""),"")</f>
        <v/>
      </c>
      <c r="K1327" s="42" t="str">
        <f>IFERROR(__xludf.DUMMYFUNCTION("""COMPUTED_VALUE"""),"Campo de Golf Playa los Cocos")</f>
        <v>Campo de Golf Playa los Cocos</v>
      </c>
    </row>
    <row r="1328">
      <c r="A1328" s="44">
        <v>1327.0</v>
      </c>
      <c r="B1328" s="44" t="str">
        <f>IFERROR(__xludf.DUMMYFUNCTION("""COMPUTED_VALUE"""),"Hospital Pérez Carreño")</f>
        <v>Hospital Pérez Carreño</v>
      </c>
      <c r="C1328" s="45" t="str">
        <f>IFERROR(__xludf.DUMMYFUNCTION("""COMPUTED_VALUE"""),"BELLO ALANA")</f>
        <v>BELLO ALANA</v>
      </c>
      <c r="D1328" s="44">
        <f>IFERROR(__xludf.DUMMYFUNCTION("""COMPUTED_VALUE"""),3.0)</f>
        <v>3</v>
      </c>
      <c r="E1328" s="44" t="str">
        <f>IFERROR(__xludf.DUMMYFUNCTION("""COMPUTED_VALUE"""),"")</f>
        <v/>
      </c>
      <c r="F1328" s="44" t="str">
        <f>IFERROR(__xludf.DUMMYFUNCTION("""COMPUTED_VALUE"""),"")</f>
        <v/>
      </c>
      <c r="G1328" s="44" t="str">
        <f>IFERROR(__xludf.DUMMYFUNCTION("""COMPUTED_VALUE""")," ")</f>
        <v> </v>
      </c>
      <c r="H1328" s="44" t="str">
        <f>IFERROR(__xludf.DUMMYFUNCTION("""COMPUTED_VALUE""")," ")</f>
        <v> </v>
      </c>
      <c r="I1328" s="44" t="str">
        <f>IFERROR(__xludf.DUMMYFUNCTION("""COMPUTED_VALUE"""),"Emerg. Pediátrica")</f>
        <v>Emerg. Pediátrica</v>
      </c>
      <c r="J1328" s="44" t="str">
        <f>IFERROR(__xludf.DUMMYFUNCTION("""COMPUTED_VALUE"""),"25/06/2026")</f>
        <v>25/06/2026</v>
      </c>
      <c r="K1328" s="42" t="str">
        <f>IFERROR(__xludf.DUMMYFUNCTION("""COMPUTED_VALUE"""),"Hospital Pérez Carreño")</f>
        <v>Hospital Pérez Carreño</v>
      </c>
    </row>
    <row r="1329">
      <c r="A1329" s="44">
        <v>1328.0</v>
      </c>
      <c r="B1329" s="44" t="str">
        <f>IFERROR(__xludf.DUMMYFUNCTION("""COMPUTED_VALUE"""),"H. Jose Maria Vargas LG")</f>
        <v>H. Jose Maria Vargas LG</v>
      </c>
      <c r="C1329" s="45" t="str">
        <f>IFERROR(__xludf.DUMMYFUNCTION("""COMPUTED_VALUE"""),"BELLO JOSE LIN")</f>
        <v>BELLO JOSE LIN</v>
      </c>
      <c r="D1329" s="44" t="str">
        <f>IFERROR(__xludf.DUMMYFUNCTION("""COMPUTED_VALUE""")," ")</f>
        <v> </v>
      </c>
      <c r="E1329" s="44" t="str">
        <f>IFERROR(__xludf.DUMMYFUNCTION("""COMPUTED_VALUE"""),"")</f>
        <v/>
      </c>
      <c r="F1329" s="44" t="str">
        <f>IFERROR(__xludf.DUMMYFUNCTION("""COMPUTED_VALUE"""),"")</f>
        <v/>
      </c>
      <c r="G1329" s="44" t="str">
        <f>IFERROR(__xludf.DUMMYFUNCTION("""COMPUTED_VALUE""")," ")</f>
        <v> </v>
      </c>
      <c r="H1329" s="44" t="str">
        <f>IFERROR(__xludf.DUMMYFUNCTION("""COMPUTED_VALUE""")," ")</f>
        <v> </v>
      </c>
      <c r="I1329" s="44" t="str">
        <f>IFERROR(__xludf.DUMMYFUNCTION("""COMPUTED_VALUE""")," ")</f>
        <v> </v>
      </c>
      <c r="J1329" s="44" t="str">
        <f>IFERROR(__xludf.DUMMYFUNCTION("""COMPUTED_VALUE"""),"")</f>
        <v/>
      </c>
      <c r="K1329" s="42" t="str">
        <f>IFERROR(__xludf.DUMMYFUNCTION("""COMPUTED_VALUE"""),"H. Jose Maria Vargas LG")</f>
        <v>H. Jose Maria Vargas LG</v>
      </c>
    </row>
    <row r="1330">
      <c r="A1330" s="44">
        <v>1329.0</v>
      </c>
      <c r="B1330" s="44" t="str">
        <f>IFERROR(__xludf.DUMMYFUNCTION("""COMPUTED_VALUE"""),"Centro de Acopio Caraballeda")</f>
        <v>Centro de Acopio Caraballeda</v>
      </c>
      <c r="C1330" s="45" t="str">
        <f>IFERROR(__xludf.DUMMYFUNCTION("""COMPUTED_VALUE"""),"BELLO USIEL")</f>
        <v>BELLO USIEL</v>
      </c>
      <c r="D1330" s="44" t="str">
        <f>IFERROR(__xludf.DUMMYFUNCTION("""COMPUTED_VALUE""")," ")</f>
        <v> </v>
      </c>
      <c r="E1330" s="44" t="str">
        <f>IFERROR(__xludf.DUMMYFUNCTION("""COMPUTED_VALUE"""),"")</f>
        <v/>
      </c>
      <c r="F1330" s="44" t="str">
        <f>IFERROR(__xludf.DUMMYFUNCTION("""COMPUTED_VALUE"""),"")</f>
        <v/>
      </c>
      <c r="G1330" s="44" t="str">
        <f>IFERROR(__xludf.DUMMYFUNCTION("""COMPUTED_VALUE""")," ")</f>
        <v> </v>
      </c>
      <c r="H1330" s="44" t="str">
        <f>IFERROR(__xludf.DUMMYFUNCTION("""COMPUTED_VALUE""")," ")</f>
        <v> </v>
      </c>
      <c r="I1330" s="44" t="str">
        <f>IFERROR(__xludf.DUMMYFUNCTION("""COMPUTED_VALUE"""),"Internado")</f>
        <v>Internado</v>
      </c>
      <c r="J1330" s="44" t="str">
        <f>IFERROR(__xludf.DUMMYFUNCTION("""COMPUTED_VALUE"""),"")</f>
        <v/>
      </c>
      <c r="K1330" s="42" t="str">
        <f>IFERROR(__xludf.DUMMYFUNCTION("""COMPUTED_VALUE"""),"🔍 BUSCAR PACIENTES")</f>
        <v>🔍 BUSCAR PACIENTES</v>
      </c>
    </row>
    <row r="1331">
      <c r="A1331" s="44">
        <v>1330.0</v>
      </c>
      <c r="B1331" s="44" t="str">
        <f>IFERROR(__xludf.DUMMYFUNCTION("""COMPUTED_VALUE"""),"Centro de Acopio Caraballeda")</f>
        <v>Centro de Acopio Caraballeda</v>
      </c>
      <c r="C1331" s="45" t="str">
        <f>IFERROR(__xludf.DUMMYFUNCTION("""COMPUTED_VALUE"""),"BENAVIDES YOLIMAR")</f>
        <v>BENAVIDES YOLIMAR</v>
      </c>
      <c r="D1331" s="44" t="str">
        <f>IFERROR(__xludf.DUMMYFUNCTION("""COMPUTED_VALUE""")," ")</f>
        <v> </v>
      </c>
      <c r="E1331" s="44" t="str">
        <f>IFERROR(__xludf.DUMMYFUNCTION("""COMPUTED_VALUE"""),"")</f>
        <v/>
      </c>
      <c r="F1331" s="44" t="str">
        <f>IFERROR(__xludf.DUMMYFUNCTION("""COMPUTED_VALUE"""),"")</f>
        <v/>
      </c>
      <c r="G1331" s="44" t="str">
        <f>IFERROR(__xludf.DUMMYFUNCTION("""COMPUTED_VALUE""")," ")</f>
        <v> </v>
      </c>
      <c r="H1331" s="44" t="str">
        <f>IFERROR(__xludf.DUMMYFUNCTION("""COMPUTED_VALUE""")," ")</f>
        <v> </v>
      </c>
      <c r="I1331" s="44" t="str">
        <f>IFERROR(__xludf.DUMMYFUNCTION("""COMPUTED_VALUE"""),"Internado")</f>
        <v>Internado</v>
      </c>
      <c r="J1331" s="44" t="str">
        <f>IFERROR(__xludf.DUMMYFUNCTION("""COMPUTED_VALUE"""),"")</f>
        <v/>
      </c>
      <c r="K1331" s="42" t="str">
        <f>IFERROR(__xludf.DUMMYFUNCTION("""COMPUTED_VALUE"""),"🔍 BUSCAR PACIENTES")</f>
        <v>🔍 BUSCAR PACIENTES</v>
      </c>
    </row>
    <row r="1332">
      <c r="A1332" s="44">
        <v>1331.0</v>
      </c>
      <c r="B1332" s="44" t="str">
        <f>IFERROR(__xludf.DUMMYFUNCTION("""COMPUTED_VALUE"""),"Hospital Domingo Luciani")</f>
        <v>Hospital Domingo Luciani</v>
      </c>
      <c r="C1332" s="45" t="str">
        <f>IFERROR(__xludf.DUMMYFUNCTION("""COMPUTED_VALUE"""),"BENCOMO NORKY")</f>
        <v>BENCOMO NORKY</v>
      </c>
      <c r="D1332" s="44">
        <f>IFERROR(__xludf.DUMMYFUNCTION("""COMPUTED_VALUE"""),37.0)</f>
        <v>37</v>
      </c>
      <c r="E1332" s="44" t="str">
        <f>IFERROR(__xludf.DUMMYFUNCTION("""COMPUTED_VALUE"""),"")</f>
        <v/>
      </c>
      <c r="F1332" s="44" t="str">
        <f>IFERROR(__xludf.DUMMYFUNCTION("""COMPUTED_VALUE"""),"")</f>
        <v/>
      </c>
      <c r="G1332" s="44" t="str">
        <f>IFERROR(__xludf.DUMMYFUNCTION("""COMPUTED_VALUE""")," ")</f>
        <v> </v>
      </c>
      <c r="H1332" s="44" t="str">
        <f>IFERROR(__xludf.DUMMYFUNCTION("""COMPUTED_VALUE""")," ")</f>
        <v> </v>
      </c>
      <c r="I1332" s="44" t="str">
        <f>IFERROR(__xludf.DUMMYFUNCTION("""COMPUTED_VALUE"""),"Internado; PISO 2")</f>
        <v>Internado; PISO 2</v>
      </c>
      <c r="J1332" s="44" t="str">
        <f>IFERROR(__xludf.DUMMYFUNCTION("""COMPUTED_VALUE"""),"")</f>
        <v/>
      </c>
      <c r="K1332" s="42" t="str">
        <f>IFERROR(__xludf.DUMMYFUNCTION("""COMPUTED_VALUE"""),"🔍 BUSCAR PACIENTES")</f>
        <v>🔍 BUSCAR PACIENTES</v>
      </c>
    </row>
    <row r="1333">
      <c r="A1333" s="44">
        <v>1332.0</v>
      </c>
      <c r="B1333" s="44" t="str">
        <f>IFERROR(__xludf.DUMMYFUNCTION("""COMPUTED_VALUE"""),"Periférico de Catia")</f>
        <v>Periférico de Catia</v>
      </c>
      <c r="C1333" s="45" t="str">
        <f>IFERROR(__xludf.DUMMYFUNCTION("""COMPUTED_VALUE"""),"Bengifo Guillermina")</f>
        <v>Bengifo Guillermina</v>
      </c>
      <c r="D1333" s="44">
        <f>IFERROR(__xludf.DUMMYFUNCTION("""COMPUTED_VALUE"""),4.0)</f>
        <v>4</v>
      </c>
      <c r="E1333" s="44" t="str">
        <f>IFERROR(__xludf.DUMMYFUNCTION("""COMPUTED_VALUE"""),"")</f>
        <v/>
      </c>
      <c r="F1333" s="44" t="str">
        <f>IFERROR(__xludf.DUMMYFUNCTION("""COMPUTED_VALUE"""),"")</f>
        <v/>
      </c>
      <c r="G1333" s="44"/>
      <c r="H1333" s="44"/>
      <c r="I1333" s="44" t="str">
        <f>IFERROR(__xludf.DUMMYFUNCTION("""COMPUTED_VALUE"""),"Lista adicional (pizarra extensa sin titulo de sala especifico)")</f>
        <v>Lista adicional (pizarra extensa sin titulo de sala especifico)</v>
      </c>
      <c r="J1333" s="44" t="str">
        <f>IFERROR(__xludf.DUMMYFUNCTION("""COMPUTED_VALUE"""),"")</f>
        <v/>
      </c>
      <c r="K1333" s="42" t="str">
        <f>IFERROR(__xludf.DUMMYFUNCTION("""COMPUTED_VALUE"""),"Periférico de Catia")</f>
        <v>Periférico de Catia</v>
      </c>
    </row>
    <row r="1334">
      <c r="A1334" s="44">
        <v>1333.0</v>
      </c>
      <c r="B1334" s="44" t="str">
        <f>IFERROR(__xludf.DUMMYFUNCTION("""COMPUTED_VALUE"""),"Hospital Pérez Carreño")</f>
        <v>Hospital Pérez Carreño</v>
      </c>
      <c r="C1334" s="45" t="str">
        <f>IFERROR(__xludf.DUMMYFUNCTION("""COMPUTED_VALUE"""),"BENITES FREDDY")</f>
        <v>BENITES FREDDY</v>
      </c>
      <c r="D1334" s="44" t="str">
        <f>IFERROR(__xludf.DUMMYFUNCTION("""COMPUTED_VALUE""")," ")</f>
        <v> </v>
      </c>
      <c r="E1334" s="44" t="str">
        <f>IFERROR(__xludf.DUMMYFUNCTION("""COMPUTED_VALUE"""),"")</f>
        <v/>
      </c>
      <c r="F1334" s="44" t="str">
        <f>IFERROR(__xludf.DUMMYFUNCTION("""COMPUTED_VALUE"""),"")</f>
        <v/>
      </c>
      <c r="G1334" s="44" t="str">
        <f>IFERROR(__xludf.DUMMYFUNCTION("""COMPUTED_VALUE""")," ")</f>
        <v> </v>
      </c>
      <c r="H1334" s="44" t="str">
        <f>IFERROR(__xludf.DUMMYFUNCTION("""COMPUTED_VALUE""")," ")</f>
        <v> </v>
      </c>
      <c r="I1334" s="44" t="str">
        <f>IFERROR(__xludf.DUMMYFUNCTION("""COMPUTED_VALUE"""),"Traumachok; todos los servicios; Tomografía; La Guaira")</f>
        <v>Traumachok; todos los servicios; Tomografía; La Guaira</v>
      </c>
      <c r="J1334" s="44" t="str">
        <f>IFERROR(__xludf.DUMMYFUNCTION("""COMPUTED_VALUE"""),"25/06/2026")</f>
        <v>25/06/2026</v>
      </c>
      <c r="K1334" s="42" t="str">
        <f>IFERROR(__xludf.DUMMYFUNCTION("""COMPUTED_VALUE"""),"Hospital Pérez Carreño")</f>
        <v>Hospital Pérez Carreño</v>
      </c>
    </row>
    <row r="1335">
      <c r="A1335" s="44">
        <v>1334.0</v>
      </c>
      <c r="B1335" s="44" t="str">
        <f>IFERROR(__xludf.DUMMYFUNCTION("""COMPUTED_VALUE"""),"Clínica El Ávila")</f>
        <v>Clínica El Ávila</v>
      </c>
      <c r="C1335" s="45" t="str">
        <f>IFERROR(__xludf.DUMMYFUNCTION("""COMPUTED_VALUE"""),"BENITEZ FRENESI")</f>
        <v>BENITEZ FRENESI</v>
      </c>
      <c r="D1335" s="44" t="str">
        <f>IFERROR(__xludf.DUMMYFUNCTION("""COMPUTED_VALUE""")," ")</f>
        <v> </v>
      </c>
      <c r="E1335" s="44" t="str">
        <f>IFERROR(__xludf.DUMMYFUNCTION("""COMPUTED_VALUE"""),"")</f>
        <v/>
      </c>
      <c r="F1335" s="44" t="str">
        <f>IFERROR(__xludf.DUMMYFUNCTION("""COMPUTED_VALUE"""),"")</f>
        <v/>
      </c>
      <c r="G1335" s="44" t="str">
        <f>IFERROR(__xludf.DUMMYFUNCTION("""COMPUTED_VALUE""")," ")</f>
        <v> </v>
      </c>
      <c r="H1335" s="44" t="str">
        <f>IFERROR(__xludf.DUMMYFUNCTION("""COMPUTED_VALUE""")," ")</f>
        <v> </v>
      </c>
      <c r="I1335" s="44" t="str">
        <f>IFERROR(__xludf.DUMMYFUNCTION("""COMPUTED_VALUE""")," ")</f>
        <v> </v>
      </c>
      <c r="J1335" s="44" t="str">
        <f>IFERROR(__xludf.DUMMYFUNCTION("""COMPUTED_VALUE"""),"")</f>
        <v/>
      </c>
      <c r="K1335" s="42" t="str">
        <f>IFERROR(__xludf.DUMMYFUNCTION("""COMPUTED_VALUE"""),"Clínica El Ávila")</f>
        <v>Clínica El Ávila</v>
      </c>
    </row>
    <row r="1336">
      <c r="A1336" s="44">
        <v>1335.0</v>
      </c>
      <c r="B1336" s="44" t="str">
        <f>IFERROR(__xludf.DUMMYFUNCTION("""COMPUTED_VALUE"""),"Campo de Golf Playa los Cocos")</f>
        <v>Campo de Golf Playa los Cocos</v>
      </c>
      <c r="C1336" s="45" t="str">
        <f>IFERROR(__xludf.DUMMYFUNCTION("""COMPUTED_VALUE"""),"Benjamin Dewentt")</f>
        <v>Benjamin Dewentt</v>
      </c>
      <c r="D1336" s="44" t="str">
        <f>IFERROR(__xludf.DUMMYFUNCTION("""COMPUTED_VALUE"""),"")</f>
        <v/>
      </c>
      <c r="E1336" s="44" t="str">
        <f>IFERROR(__xludf.DUMMYFUNCTION("""COMPUTED_VALUE"""),"")</f>
        <v/>
      </c>
      <c r="F1336" s="44" t="str">
        <f>IFERROR(__xludf.DUMMYFUNCTION("""COMPUTED_VALUE"""),"")</f>
        <v/>
      </c>
      <c r="G1336" s="44" t="str">
        <f>IFERROR(__xludf.DUMMYFUNCTION("""COMPUTED_VALUE"""),"")</f>
        <v/>
      </c>
      <c r="H1336" s="44" t="str">
        <f>IFERROR(__xludf.DUMMYFUNCTION("""COMPUTED_VALUE"""),"")</f>
        <v/>
      </c>
      <c r="I1336" s="44" t="str">
        <f>IFERROR(__xludf.DUMMYFUNCTION("""COMPUTED_VALUE"""),"menor")</f>
        <v>menor</v>
      </c>
      <c r="J1336" s="44" t="str">
        <f>IFERROR(__xludf.DUMMYFUNCTION("""COMPUTED_VALUE"""),"")</f>
        <v/>
      </c>
      <c r="K1336" s="42" t="str">
        <f>IFERROR(__xludf.DUMMYFUNCTION("""COMPUTED_VALUE"""),"Campo de Golf Playa los Cocos")</f>
        <v>Campo de Golf Playa los Cocos</v>
      </c>
    </row>
    <row r="1337">
      <c r="A1337" s="44">
        <v>1336.0</v>
      </c>
      <c r="B1337" s="44" t="str">
        <f>IFERROR(__xludf.DUMMYFUNCTION("""COMPUTED_VALUE"""),"Hospital Domingo Luciani")</f>
        <v>Hospital Domingo Luciani</v>
      </c>
      <c r="C1337" s="45" t="str">
        <f>IFERROR(__xludf.DUMMYFUNCTION("""COMPUTED_VALUE"""),"BERCOMO NAILIS")</f>
        <v>BERCOMO NAILIS</v>
      </c>
      <c r="D1337" s="44">
        <f>IFERROR(__xludf.DUMMYFUNCTION("""COMPUTED_VALUE"""),37.0)</f>
        <v>37</v>
      </c>
      <c r="E1337" s="44" t="str">
        <f>IFERROR(__xludf.DUMMYFUNCTION("""COMPUTED_VALUE"""),"")</f>
        <v/>
      </c>
      <c r="F1337" s="44" t="str">
        <f>IFERROR(__xludf.DUMMYFUNCTION("""COMPUTED_VALUE"""),"")</f>
        <v/>
      </c>
      <c r="G1337" s="44" t="str">
        <f>IFERROR(__xludf.DUMMYFUNCTION("""COMPUTED_VALUE""")," ")</f>
        <v> </v>
      </c>
      <c r="H1337" s="44" t="str">
        <f>IFERROR(__xludf.DUMMYFUNCTION("""COMPUTED_VALUE""")," ")</f>
        <v> </v>
      </c>
      <c r="I1337" s="44" t="str">
        <f>IFERROR(__xludf.DUMMYFUNCTION("""COMPUTED_VALUE"""),"Internado; POLITRAUMA")</f>
        <v>Internado; POLITRAUMA</v>
      </c>
      <c r="J1337" s="44" t="str">
        <f>IFERROR(__xludf.DUMMYFUNCTION("""COMPUTED_VALUE"""),"")</f>
        <v/>
      </c>
      <c r="K1337" s="42" t="str">
        <f>IFERROR(__xludf.DUMMYFUNCTION("""COMPUTED_VALUE"""),"🔍 BUSCAR PACIENTES")</f>
        <v>🔍 BUSCAR PACIENTES</v>
      </c>
    </row>
    <row r="1338">
      <c r="A1338" s="44">
        <v>1337.0</v>
      </c>
      <c r="B1338" s="44" t="str">
        <f>IFERROR(__xludf.DUMMYFUNCTION("""COMPUTED_VALUE"""),"Hospital Domingo Luciani")</f>
        <v>Hospital Domingo Luciani</v>
      </c>
      <c r="C1338" s="45" t="str">
        <f>IFERROR(__xludf.DUMMYFUNCTION("""COMPUTED_VALUE"""),"BERCOMO NORKIS")</f>
        <v>BERCOMO NORKIS</v>
      </c>
      <c r="D1338" s="44">
        <f>IFERROR(__xludf.DUMMYFUNCTION("""COMPUTED_VALUE"""),37.0)</f>
        <v>37</v>
      </c>
      <c r="E1338" s="44" t="str">
        <f>IFERROR(__xludf.DUMMYFUNCTION("""COMPUTED_VALUE"""),"")</f>
        <v/>
      </c>
      <c r="F1338" s="44" t="str">
        <f>IFERROR(__xludf.DUMMYFUNCTION("""COMPUTED_VALUE"""),"")</f>
        <v/>
      </c>
      <c r="G1338" s="44" t="str">
        <f>IFERROR(__xludf.DUMMYFUNCTION("""COMPUTED_VALUE""")," ")</f>
        <v> </v>
      </c>
      <c r="H1338" s="44" t="str">
        <f>IFERROR(__xludf.DUMMYFUNCTION("""COMPUTED_VALUE"""),"La Guaira")</f>
        <v>La Guaira</v>
      </c>
      <c r="I1338" s="44" t="str">
        <f>IFERROR(__xludf.DUMMYFUNCTION("""COMPUTED_VALUE"""),"Ingresos 6am-9:20pm")</f>
        <v>Ingresos 6am-9:20pm</v>
      </c>
      <c r="J1338" s="44" t="str">
        <f>IFERROR(__xludf.DUMMYFUNCTION("""COMPUTED_VALUE"""),"")</f>
        <v/>
      </c>
      <c r="K1338" s="42" t="str">
        <f>IFERROR(__xludf.DUMMYFUNCTION("""COMPUTED_VALUE"""),"🔍 BUSCAR PACIENTES")</f>
        <v>🔍 BUSCAR PACIENTES</v>
      </c>
    </row>
    <row r="1339">
      <c r="A1339" s="44">
        <v>1338.0</v>
      </c>
      <c r="B1339" s="44" t="str">
        <f>IFERROR(__xludf.DUMMYFUNCTION("""COMPUTED_VALUE"""),"Clínica El Ávila")</f>
        <v>Clínica El Ávila</v>
      </c>
      <c r="C1339" s="45" t="str">
        <f>IFERROR(__xludf.DUMMYFUNCTION("""COMPUTED_VALUE"""),"BERK CIM")</f>
        <v>BERK CIM</v>
      </c>
      <c r="D1339" s="44" t="str">
        <f>IFERROR(__xludf.DUMMYFUNCTION("""COMPUTED_VALUE""")," ")</f>
        <v> </v>
      </c>
      <c r="E1339" s="44" t="str">
        <f>IFERROR(__xludf.DUMMYFUNCTION("""COMPUTED_VALUE"""),"")</f>
        <v/>
      </c>
      <c r="F1339" s="44" t="str">
        <f>IFERROR(__xludf.DUMMYFUNCTION("""COMPUTED_VALUE"""),"")</f>
        <v/>
      </c>
      <c r="G1339" s="44" t="str">
        <f>IFERROR(__xludf.DUMMYFUNCTION("""COMPUTED_VALUE""")," ")</f>
        <v> </v>
      </c>
      <c r="H1339" s="44" t="str">
        <f>IFERROR(__xludf.DUMMYFUNCTION("""COMPUTED_VALUE""")," ")</f>
        <v> </v>
      </c>
      <c r="I1339" s="44" t="str">
        <f>IFERROR(__xludf.DUMMYFUNCTION("""COMPUTED_VALUE""")," ")</f>
        <v> </v>
      </c>
      <c r="J1339" s="44" t="str">
        <f>IFERROR(__xludf.DUMMYFUNCTION("""COMPUTED_VALUE"""),"")</f>
        <v/>
      </c>
      <c r="K1339" s="42" t="str">
        <f>IFERROR(__xludf.DUMMYFUNCTION("""COMPUTED_VALUE"""),"Clínica El Ávila")</f>
        <v>Clínica El Ávila</v>
      </c>
    </row>
    <row r="1340">
      <c r="A1340" s="44">
        <v>1339.0</v>
      </c>
      <c r="B1340" s="44" t="str">
        <f>IFERROR(__xludf.DUMMYFUNCTION("""COMPUTED_VALUE"""),"Campo de Golf Playa los Cocos")</f>
        <v>Campo de Golf Playa los Cocos</v>
      </c>
      <c r="C1340" s="45" t="str">
        <f>IFERROR(__xludf.DUMMYFUNCTION("""COMPUTED_VALUE"""),"Beryaki Perez")</f>
        <v>Beryaki Perez</v>
      </c>
      <c r="D1340" s="44" t="str">
        <f>IFERROR(__xludf.DUMMYFUNCTION("""COMPUTED_VALUE"""),"")</f>
        <v/>
      </c>
      <c r="E1340" s="44" t="str">
        <f>IFERROR(__xludf.DUMMYFUNCTION("""COMPUTED_VALUE"""),"")</f>
        <v/>
      </c>
      <c r="F1340" s="44" t="str">
        <f>IFERROR(__xludf.DUMMYFUNCTION("""COMPUTED_VALUE"""),"")</f>
        <v/>
      </c>
      <c r="G1340" s="44" t="str">
        <f>IFERROR(__xludf.DUMMYFUNCTION("""COMPUTED_VALUE"""),"")</f>
        <v/>
      </c>
      <c r="H1340" s="44" t="str">
        <f>IFERROR(__xludf.DUMMYFUNCTION("""COMPUTED_VALUE"""),"")</f>
        <v/>
      </c>
      <c r="I1340" s="44"/>
      <c r="J1340" s="44" t="str">
        <f>IFERROR(__xludf.DUMMYFUNCTION("""COMPUTED_VALUE"""),"")</f>
        <v/>
      </c>
      <c r="K1340" s="42" t="str">
        <f>IFERROR(__xludf.DUMMYFUNCTION("""COMPUTED_VALUE"""),"Campo de Golf Playa los Cocos")</f>
        <v>Campo de Golf Playa los Cocos</v>
      </c>
    </row>
    <row r="1341">
      <c r="A1341" s="44">
        <v>1340.0</v>
      </c>
      <c r="B1341" s="44" t="str">
        <f>IFERROR(__xludf.DUMMYFUNCTION("""COMPUTED_VALUE"""),"Hospital Domingo Luciani")</f>
        <v>Hospital Domingo Luciani</v>
      </c>
      <c r="C1341" s="45" t="str">
        <f>IFERROR(__xludf.DUMMYFUNCTION("""COMPUTED_VALUE"""),"BETANCOURT MARIA")</f>
        <v>BETANCOURT MARIA</v>
      </c>
      <c r="D1341" s="44">
        <f>IFERROR(__xludf.DUMMYFUNCTION("""COMPUTED_VALUE"""),74.0)</f>
        <v>74</v>
      </c>
      <c r="E1341" s="44" t="str">
        <f>IFERROR(__xludf.DUMMYFUNCTION("""COMPUTED_VALUE"""),"")</f>
        <v/>
      </c>
      <c r="F1341" s="44" t="str">
        <f>IFERROR(__xludf.DUMMYFUNCTION("""COMPUTED_VALUE"""),"")</f>
        <v/>
      </c>
      <c r="G1341" s="44" t="str">
        <f>IFERROR(__xludf.DUMMYFUNCTION("""COMPUTED_VALUE""")," ")</f>
        <v> </v>
      </c>
      <c r="H1341" s="44" t="str">
        <f>IFERROR(__xludf.DUMMYFUNCTION("""COMPUTED_VALUE""")," ")</f>
        <v> </v>
      </c>
      <c r="I1341" s="44" t="str">
        <f>IFERROR(__xludf.DUMMYFUNCTION("""COMPUTED_VALUE"""),"Fallecida")</f>
        <v>Fallecida</v>
      </c>
      <c r="J1341" s="44" t="str">
        <f>IFERROR(__xludf.DUMMYFUNCTION("""COMPUTED_VALUE"""),"")</f>
        <v/>
      </c>
      <c r="K1341" s="42" t="str">
        <f>IFERROR(__xludf.DUMMYFUNCTION("""COMPUTED_VALUE"""),"🔍 BUSCAR PACIENTES")</f>
        <v>🔍 BUSCAR PACIENTES</v>
      </c>
    </row>
    <row r="1342">
      <c r="A1342" s="44">
        <v>1341.0</v>
      </c>
      <c r="B1342" s="44" t="str">
        <f>IFERROR(__xludf.DUMMYFUNCTION("""COMPUTED_VALUE"""),"H. Jose Maria Vargas LG")</f>
        <v>H. Jose Maria Vargas LG</v>
      </c>
      <c r="C1342" s="45" t="str">
        <f>IFERROR(__xludf.DUMMYFUNCTION("""COMPUTED_VALUE"""),"BETANCOURT NINOSCA")</f>
        <v>BETANCOURT NINOSCA</v>
      </c>
      <c r="D1342" s="44" t="str">
        <f>IFERROR(__xludf.DUMMYFUNCTION("""COMPUTED_VALUE""")," ")</f>
        <v> </v>
      </c>
      <c r="E1342" s="44" t="str">
        <f>IFERROR(__xludf.DUMMYFUNCTION("""COMPUTED_VALUE"""),"")</f>
        <v/>
      </c>
      <c r="F1342" s="44" t="str">
        <f>IFERROR(__xludf.DUMMYFUNCTION("""COMPUTED_VALUE"""),"")</f>
        <v/>
      </c>
      <c r="G1342" s="44" t="str">
        <f>IFERROR(__xludf.DUMMYFUNCTION("""COMPUTED_VALUE""")," ")</f>
        <v> </v>
      </c>
      <c r="H1342" s="44" t="str">
        <f>IFERROR(__xludf.DUMMYFUNCTION("""COMPUTED_VALUE""")," ")</f>
        <v> </v>
      </c>
      <c r="I1342" s="44" t="str">
        <f>IFERROR(__xludf.DUMMYFUNCTION("""COMPUTED_VALUE""")," ")</f>
        <v> </v>
      </c>
      <c r="J1342" s="44" t="str">
        <f>IFERROR(__xludf.DUMMYFUNCTION("""COMPUTED_VALUE"""),"")</f>
        <v/>
      </c>
      <c r="K1342" s="42" t="str">
        <f>IFERROR(__xludf.DUMMYFUNCTION("""COMPUTED_VALUE"""),"H. Jose Maria Vargas LG")</f>
        <v>H. Jose Maria Vargas LG</v>
      </c>
    </row>
    <row r="1343">
      <c r="A1343" s="44">
        <v>1342.0</v>
      </c>
      <c r="B1343" s="44" t="str">
        <f>IFERROR(__xludf.DUMMYFUNCTION("""COMPUTED_VALUE"""),"La Guaira Sin Hospital")</f>
        <v>La Guaira Sin Hospital</v>
      </c>
      <c r="C1343" s="45" t="str">
        <f>IFERROR(__xludf.DUMMYFUNCTION("""COMPUTED_VALUE"""),"Bezeno Maximo Miguel Galvis")</f>
        <v>Bezeno Maximo Miguel Galvis</v>
      </c>
      <c r="D1343" s="44" t="str">
        <f>IFERROR(__xludf.DUMMYFUNCTION("""COMPUTED_VALUE"""),"")</f>
        <v/>
      </c>
      <c r="E1343" s="44" t="str">
        <f>IFERROR(__xludf.DUMMYFUNCTION("""COMPUTED_VALUE"""),"")</f>
        <v/>
      </c>
      <c r="F1343" s="44" t="str">
        <f>IFERROR(__xludf.DUMMYFUNCTION("""COMPUTED_VALUE"""),"")</f>
        <v/>
      </c>
      <c r="G1343" s="44" t="str">
        <f>IFERROR(__xludf.DUMMYFUNCTION("""COMPUTED_VALUE"""),"")</f>
        <v/>
      </c>
      <c r="H1343" s="44"/>
      <c r="I1343" s="44" t="str">
        <f>IFERROR(__xludf.DUMMYFUNCTION("""COMPUTED_VALUE"""),"Listas con ubicación")</f>
        <v>Listas con ubicación</v>
      </c>
      <c r="J1343" s="44" t="str">
        <f>IFERROR(__xludf.DUMMYFUNCTION("""COMPUTED_VALUE"""),"")</f>
        <v/>
      </c>
      <c r="K1343" s="42" t="str">
        <f>IFERROR(__xludf.DUMMYFUNCTION("""COMPUTED_VALUE"""),"La Guaira Sin Hospital")</f>
        <v>La Guaira Sin Hospital</v>
      </c>
    </row>
    <row r="1344">
      <c r="A1344" s="44">
        <v>1343.0</v>
      </c>
      <c r="B1344" s="44" t="str">
        <f>IFERROR(__xludf.DUMMYFUNCTION("""COMPUTED_VALUE"""),"Campo de Golf Playa los Cocos")</f>
        <v>Campo de Golf Playa los Cocos</v>
      </c>
      <c r="C1344" s="45" t="str">
        <f>IFERROR(__xludf.DUMMYFUNCTION("""COMPUTED_VALUE"""),"Bilomela Placido Maria")</f>
        <v>Bilomela Placido Maria</v>
      </c>
      <c r="D1344" s="44" t="str">
        <f>IFERROR(__xludf.DUMMYFUNCTION("""COMPUTED_VALUE"""),"")</f>
        <v/>
      </c>
      <c r="E1344" s="44" t="str">
        <f>IFERROR(__xludf.DUMMYFUNCTION("""COMPUTED_VALUE"""),"")</f>
        <v/>
      </c>
      <c r="F1344" s="44" t="str">
        <f>IFERROR(__xludf.DUMMYFUNCTION("""COMPUTED_VALUE"""),"")</f>
        <v/>
      </c>
      <c r="G1344" s="44" t="str">
        <f>IFERROR(__xludf.DUMMYFUNCTION("""COMPUTED_VALUE"""),"")</f>
        <v/>
      </c>
      <c r="H1344" s="44" t="str">
        <f>IFERROR(__xludf.DUMMYFUNCTION("""COMPUTED_VALUE"""),"")</f>
        <v/>
      </c>
      <c r="I1344" s="44"/>
      <c r="J1344" s="44" t="str">
        <f>IFERROR(__xludf.DUMMYFUNCTION("""COMPUTED_VALUE"""),"")</f>
        <v/>
      </c>
      <c r="K1344" s="42" t="str">
        <f>IFERROR(__xludf.DUMMYFUNCTION("""COMPUTED_VALUE"""),"Campo de Golf Playa los Cocos")</f>
        <v>Campo de Golf Playa los Cocos</v>
      </c>
    </row>
    <row r="1345">
      <c r="A1345" s="44">
        <v>1344.0</v>
      </c>
      <c r="B1345" s="44" t="str">
        <f>IFERROR(__xludf.DUMMYFUNCTION("""COMPUTED_VALUE"""),"Hospital Domingo Luciani")</f>
        <v>Hospital Domingo Luciani</v>
      </c>
      <c r="C1345" s="45" t="str">
        <f>IFERROR(__xludf.DUMMYFUNCTION("""COMPUTED_VALUE"""),"BISVAL CLARA")</f>
        <v>BISVAL CLARA</v>
      </c>
      <c r="D1345" s="44">
        <f>IFERROR(__xludf.DUMMYFUNCTION("""COMPUTED_VALUE"""),62.0)</f>
        <v>62</v>
      </c>
      <c r="E1345" s="44" t="str">
        <f>IFERROR(__xludf.DUMMYFUNCTION("""COMPUTED_VALUE"""),"")</f>
        <v/>
      </c>
      <c r="F1345" s="44" t="str">
        <f>IFERROR(__xludf.DUMMYFUNCTION("""COMPUTED_VALUE"""),"")</f>
        <v/>
      </c>
      <c r="G1345" s="44" t="str">
        <f>IFERROR(__xludf.DUMMYFUNCTION("""COMPUTED_VALUE""")," ")</f>
        <v> </v>
      </c>
      <c r="H1345" s="44" t="str">
        <f>IFERROR(__xludf.DUMMYFUNCTION("""COMPUTED_VALUE""")," ")</f>
        <v> </v>
      </c>
      <c r="I1345" s="44" t="str">
        <f>IFERROR(__xludf.DUMMYFUNCTION("""COMPUTED_VALUE""")," ")</f>
        <v> </v>
      </c>
      <c r="J1345" s="44" t="str">
        <f>IFERROR(__xludf.DUMMYFUNCTION("""COMPUTED_VALUE"""),"")</f>
        <v/>
      </c>
      <c r="K1345" s="42" t="str">
        <f>IFERROR(__xludf.DUMMYFUNCTION("""COMPUTED_VALUE"""),"🔍 BUSCAR PACIENTES")</f>
        <v>🔍 BUSCAR PACIENTES</v>
      </c>
    </row>
    <row r="1346">
      <c r="A1346" s="44">
        <v>1345.0</v>
      </c>
      <c r="B1346" s="44" t="str">
        <f>IFERROR(__xludf.DUMMYFUNCTION("""COMPUTED_VALUE"""),"Campo de Golf Playa los Cocos")</f>
        <v>Campo de Golf Playa los Cocos</v>
      </c>
      <c r="C1346" s="45" t="str">
        <f>IFERROR(__xludf.DUMMYFUNCTION("""COMPUTED_VALUE"""),"Bladimir Gomez")</f>
        <v>Bladimir Gomez</v>
      </c>
      <c r="D1346" s="44" t="str">
        <f>IFERROR(__xludf.DUMMYFUNCTION("""COMPUTED_VALUE"""),"")</f>
        <v/>
      </c>
      <c r="E1346" s="44" t="str">
        <f>IFERROR(__xludf.DUMMYFUNCTION("""COMPUTED_VALUE"""),"")</f>
        <v/>
      </c>
      <c r="F1346" s="44" t="str">
        <f>IFERROR(__xludf.DUMMYFUNCTION("""COMPUTED_VALUE"""),"")</f>
        <v/>
      </c>
      <c r="G1346" s="44" t="str">
        <f>IFERROR(__xludf.DUMMYFUNCTION("""COMPUTED_VALUE"""),"")</f>
        <v/>
      </c>
      <c r="H1346" s="44" t="str">
        <f>IFERROR(__xludf.DUMMYFUNCTION("""COMPUTED_VALUE"""),"")</f>
        <v/>
      </c>
      <c r="I1346" s="44"/>
      <c r="J1346" s="44" t="str">
        <f>IFERROR(__xludf.DUMMYFUNCTION("""COMPUTED_VALUE"""),"")</f>
        <v/>
      </c>
      <c r="K1346" s="42" t="str">
        <f>IFERROR(__xludf.DUMMYFUNCTION("""COMPUTED_VALUE"""),"Campo de Golf Playa los Cocos")</f>
        <v>Campo de Golf Playa los Cocos</v>
      </c>
    </row>
    <row r="1347">
      <c r="A1347" s="44">
        <v>1346.0</v>
      </c>
      <c r="B1347" s="44" t="str">
        <f>IFERROR(__xludf.DUMMYFUNCTION("""COMPUTED_VALUE"""),"Periférico de Catia")</f>
        <v>Periférico de Catia</v>
      </c>
      <c r="C1347" s="45" t="str">
        <f>IFERROR(__xludf.DUMMYFUNCTION("""COMPUTED_VALUE"""),"Blanco Briceño Carmen")</f>
        <v>Blanco Briceño Carmen</v>
      </c>
      <c r="D1347" s="44"/>
      <c r="E1347" s="44" t="str">
        <f>IFERROR(__xludf.DUMMYFUNCTION("""COMPUTED_VALUE"""),"")</f>
        <v/>
      </c>
      <c r="F1347" s="44" t="str">
        <f>IFERROR(__xludf.DUMMYFUNCTION("""COMPUTED_VALUE"""),"")</f>
        <v/>
      </c>
      <c r="G1347" s="44"/>
      <c r="H1347" s="44"/>
      <c r="I1347" s="44" t="str">
        <f>IFERROR(__xludf.DUMMYFUNCTION("""COMPUTED_VALUE"""),"Politrauma (continuacion, hoja sin edades)")</f>
        <v>Politrauma (continuacion, hoja sin edades)</v>
      </c>
      <c r="J1347" s="44" t="str">
        <f>IFERROR(__xludf.DUMMYFUNCTION("""COMPUTED_VALUE"""),"")</f>
        <v/>
      </c>
      <c r="K1347" s="42" t="str">
        <f>IFERROR(__xludf.DUMMYFUNCTION("""COMPUTED_VALUE"""),"Periférico de Catia")</f>
        <v>Periférico de Catia</v>
      </c>
    </row>
    <row r="1348">
      <c r="A1348" s="44">
        <v>1347.0</v>
      </c>
      <c r="B1348" s="44" t="str">
        <f>IFERROR(__xludf.DUMMYFUNCTION("""COMPUTED_VALUE"""),"Hospital Domingo Luciani")</f>
        <v>Hospital Domingo Luciani</v>
      </c>
      <c r="C1348" s="45" t="str">
        <f>IFERROR(__xludf.DUMMYFUNCTION("""COMPUTED_VALUE"""),"BLANCO CARMEN")</f>
        <v>BLANCO CARMEN</v>
      </c>
      <c r="D1348" s="44">
        <f>IFERROR(__xludf.DUMMYFUNCTION("""COMPUTED_VALUE"""),55.0)</f>
        <v>55</v>
      </c>
      <c r="E1348" s="44" t="str">
        <f>IFERROR(__xludf.DUMMYFUNCTION("""COMPUTED_VALUE"""),"")</f>
        <v/>
      </c>
      <c r="F1348" s="44" t="str">
        <f>IFERROR(__xludf.DUMMYFUNCTION("""COMPUTED_VALUE"""),"")</f>
        <v/>
      </c>
      <c r="G1348" s="44" t="str">
        <f>IFERROR(__xludf.DUMMYFUNCTION("""COMPUTED_VALUE""")," ")</f>
        <v> </v>
      </c>
      <c r="H1348" s="44" t="str">
        <f>IFERROR(__xludf.DUMMYFUNCTION("""COMPUTED_VALUE""")," ")</f>
        <v> </v>
      </c>
      <c r="I1348" s="44" t="str">
        <f>IFERROR(__xludf.DUMMYFUNCTION("""COMPUTED_VALUE""")," ")</f>
        <v> </v>
      </c>
      <c r="J1348" s="44" t="str">
        <f>IFERROR(__xludf.DUMMYFUNCTION("""COMPUTED_VALUE"""),"")</f>
        <v/>
      </c>
      <c r="K1348" s="42" t="str">
        <f>IFERROR(__xludf.DUMMYFUNCTION("""COMPUTED_VALUE"""),"🔍 BUSCAR PACIENTES")</f>
        <v>🔍 BUSCAR PACIENTES</v>
      </c>
    </row>
    <row r="1349">
      <c r="A1349" s="44">
        <v>1348.0</v>
      </c>
      <c r="B1349" s="44" t="str">
        <f>IFERROR(__xludf.DUMMYFUNCTION("""COMPUTED_VALUE"""),"Centro de Acopio Caraballeda")</f>
        <v>Centro de Acopio Caraballeda</v>
      </c>
      <c r="C1349" s="45" t="str">
        <f>IFERROR(__xludf.DUMMYFUNCTION("""COMPUTED_VALUE"""),"BLANCO CLAUDIA")</f>
        <v>BLANCO CLAUDIA</v>
      </c>
      <c r="D1349" s="44" t="str">
        <f>IFERROR(__xludf.DUMMYFUNCTION("""COMPUTED_VALUE""")," ")</f>
        <v> </v>
      </c>
      <c r="E1349" s="44" t="str">
        <f>IFERROR(__xludf.DUMMYFUNCTION("""COMPUTED_VALUE"""),"")</f>
        <v/>
      </c>
      <c r="F1349" s="44" t="str">
        <f>IFERROR(__xludf.DUMMYFUNCTION("""COMPUTED_VALUE"""),"")</f>
        <v/>
      </c>
      <c r="G1349" s="44" t="str">
        <f>IFERROR(__xludf.DUMMYFUNCTION("""COMPUTED_VALUE""")," ")</f>
        <v> </v>
      </c>
      <c r="H1349" s="44" t="str">
        <f>IFERROR(__xludf.DUMMYFUNCTION("""COMPUTED_VALUE""")," ")</f>
        <v> </v>
      </c>
      <c r="I1349" s="44" t="str">
        <f>IFERROR(__xludf.DUMMYFUNCTION("""COMPUTED_VALUE"""),"Internado")</f>
        <v>Internado</v>
      </c>
      <c r="J1349" s="44" t="str">
        <f>IFERROR(__xludf.DUMMYFUNCTION("""COMPUTED_VALUE"""),"")</f>
        <v/>
      </c>
      <c r="K1349" s="42" t="str">
        <f>IFERROR(__xludf.DUMMYFUNCTION("""COMPUTED_VALUE"""),"🔍 BUSCAR PACIENTES")</f>
        <v>🔍 BUSCAR PACIENTES</v>
      </c>
    </row>
    <row r="1350">
      <c r="A1350" s="44">
        <v>1349.0</v>
      </c>
      <c r="B1350" s="44" t="str">
        <f>IFERROR(__xludf.DUMMYFUNCTION("""COMPUTED_VALUE"""),"Hospital Vargas de Caracas")</f>
        <v>Hospital Vargas de Caracas</v>
      </c>
      <c r="C1350" s="45" t="str">
        <f>IFERROR(__xludf.DUMMYFUNCTION("""COMPUTED_VALUE"""),"BLANCO FRANK")</f>
        <v>BLANCO FRANK</v>
      </c>
      <c r="D1350" s="44" t="str">
        <f>IFERROR(__xludf.DUMMYFUNCTION("""COMPUTED_VALUE""")," ")</f>
        <v> </v>
      </c>
      <c r="E1350" s="44" t="str">
        <f>IFERROR(__xludf.DUMMYFUNCTION("""COMPUTED_VALUE"""),"")</f>
        <v/>
      </c>
      <c r="F1350" s="44" t="str">
        <f>IFERROR(__xludf.DUMMYFUNCTION("""COMPUTED_VALUE""")," ")</f>
        <v> </v>
      </c>
      <c r="G1350" s="44" t="str">
        <f>IFERROR(__xludf.DUMMYFUNCTION("""COMPUTED_VALUE"""),"")</f>
        <v/>
      </c>
      <c r="H1350" s="44" t="str">
        <f>IFERROR(__xludf.DUMMYFUNCTION("""COMPUTED_VALUE""")," ")</f>
        <v> </v>
      </c>
      <c r="I1350" s="44" t="str">
        <f>IFERROR(__xludf.DUMMYFUNCTION("""COMPUTED_VALUE"""),"Internado")</f>
        <v>Internado</v>
      </c>
      <c r="J1350" s="44" t="str">
        <f>IFERROR(__xludf.DUMMYFUNCTION("""COMPUTED_VALUE"""),"")</f>
        <v/>
      </c>
      <c r="K1350" s="42" t="str">
        <f>IFERROR(__xludf.DUMMYFUNCTION("""COMPUTED_VALUE"""),"Hospital Vargas de Caracas")</f>
        <v>Hospital Vargas de Caracas</v>
      </c>
    </row>
    <row r="1351">
      <c r="A1351" s="44">
        <v>1350.0</v>
      </c>
      <c r="B1351" s="44" t="str">
        <f>IFERROR(__xludf.DUMMYFUNCTION("""COMPUTED_VALUE"""),"Hospital Pérez Carreño")</f>
        <v>Hospital Pérez Carreño</v>
      </c>
      <c r="C1351" s="45" t="str">
        <f>IFERROR(__xludf.DUMMYFUNCTION("""COMPUTED_VALUE"""),"BLANCO GALVIS MAXIMO MIGUEL")</f>
        <v>BLANCO GALVIS MAXIMO MIGUEL</v>
      </c>
      <c r="D1351" s="44" t="str">
        <f>IFERROR(__xludf.DUMMYFUNCTION("""COMPUTED_VALUE""")," ")</f>
        <v> </v>
      </c>
      <c r="E1351" s="44" t="str">
        <f>IFERROR(__xludf.DUMMYFUNCTION("""COMPUTED_VALUE"""),"")</f>
        <v/>
      </c>
      <c r="F1351" s="44" t="str">
        <f>IFERROR(__xludf.DUMMYFUNCTION("""COMPUTED_VALUE"""),"")</f>
        <v/>
      </c>
      <c r="G1351" s="44" t="str">
        <f>IFERROR(__xludf.DUMMYFUNCTION("""COMPUTED_VALUE""")," ")</f>
        <v> </v>
      </c>
      <c r="H1351" s="44" t="str">
        <f>IFERROR(__xludf.DUMMYFUNCTION("""COMPUTED_VALUE""")," ")</f>
        <v> </v>
      </c>
      <c r="I1351" s="44" t="str">
        <f>IFERROR(__xludf.DUMMYFUNCTION("""COMPUTED_VALUE"""),"Internado")</f>
        <v>Internado</v>
      </c>
      <c r="J1351" s="44" t="str">
        <f>IFERROR(__xludf.DUMMYFUNCTION("""COMPUTED_VALUE"""),"25/06/2026")</f>
        <v>25/06/2026</v>
      </c>
      <c r="K1351" s="42" t="str">
        <f>IFERROR(__xludf.DUMMYFUNCTION("""COMPUTED_VALUE"""),"Hospital Pérez Carreño")</f>
        <v>Hospital Pérez Carreño</v>
      </c>
    </row>
    <row r="1352">
      <c r="A1352" s="44">
        <v>1351.0</v>
      </c>
      <c r="B1352" s="44" t="str">
        <f>IFERROR(__xludf.DUMMYFUNCTION("""COMPUTED_VALUE"""),"Periférico de Catia")</f>
        <v>Periférico de Catia</v>
      </c>
      <c r="C1352" s="45" t="str">
        <f>IFERROR(__xludf.DUMMYFUNCTION("""COMPUTED_VALUE"""),"Blanco Jesica")</f>
        <v>Blanco Jesica</v>
      </c>
      <c r="D1352" s="44">
        <f>IFERROR(__xludf.DUMMYFUNCTION("""COMPUTED_VALUE"""),53.0)</f>
        <v>53</v>
      </c>
      <c r="E1352" s="44" t="str">
        <f>IFERROR(__xludf.DUMMYFUNCTION("""COMPUTED_VALUE"""),"")</f>
        <v/>
      </c>
      <c r="F1352" s="44" t="str">
        <f>IFERROR(__xludf.DUMMYFUNCTION("""COMPUTED_VALUE"""),"")</f>
        <v/>
      </c>
      <c r="G1352" s="44"/>
      <c r="H1352" s="44"/>
      <c r="I1352" s="44" t="str">
        <f>IFERROR(__xludf.DUMMYFUNCTION("""COMPUTED_VALUE"""),"Politrauma Emergencia Nueva")</f>
        <v>Politrauma Emergencia Nueva</v>
      </c>
      <c r="J1352" s="44" t="str">
        <f>IFERROR(__xludf.DUMMYFUNCTION("""COMPUTED_VALUE"""),"")</f>
        <v/>
      </c>
      <c r="K1352" s="42" t="str">
        <f>IFERROR(__xludf.DUMMYFUNCTION("""COMPUTED_VALUE"""),"Periférico de Catia")</f>
        <v>Periférico de Catia</v>
      </c>
    </row>
    <row r="1353">
      <c r="A1353" s="44">
        <v>1352.0</v>
      </c>
      <c r="B1353" s="44" t="str">
        <f>IFERROR(__xludf.DUMMYFUNCTION("""COMPUTED_VALUE"""),"Hospital Domingo Luciani")</f>
        <v>Hospital Domingo Luciani</v>
      </c>
      <c r="C1353" s="45" t="str">
        <f>IFERROR(__xludf.DUMMYFUNCTION("""COMPUTED_VALUE"""),"BLANCO JOSE")</f>
        <v>BLANCO JOSE</v>
      </c>
      <c r="D1353" s="44">
        <f>IFERROR(__xludf.DUMMYFUNCTION("""COMPUTED_VALUE"""),6.0)</f>
        <v>6</v>
      </c>
      <c r="E1353" s="44" t="str">
        <f>IFERROR(__xludf.DUMMYFUNCTION("""COMPUTED_VALUE"""),"")</f>
        <v/>
      </c>
      <c r="F1353" s="44" t="str">
        <f>IFERROR(__xludf.DUMMYFUNCTION("""COMPUTED_VALUE"""),"")</f>
        <v/>
      </c>
      <c r="G1353" s="44" t="str">
        <f>IFERROR(__xludf.DUMMYFUNCTION("""COMPUTED_VALUE""")," ")</f>
        <v> </v>
      </c>
      <c r="H1353" s="44" t="str">
        <f>IFERROR(__xludf.DUMMYFUNCTION("""COMPUTED_VALUE""")," ")</f>
        <v> </v>
      </c>
      <c r="I1353" s="44" t="str">
        <f>IFERROR(__xludf.DUMMYFUNCTION("""COMPUTED_VALUE""")," ")</f>
        <v> </v>
      </c>
      <c r="J1353" s="44" t="str">
        <f>IFERROR(__xludf.DUMMYFUNCTION("""COMPUTED_VALUE"""),"")</f>
        <v/>
      </c>
      <c r="K1353" s="42" t="str">
        <f>IFERROR(__xludf.DUMMYFUNCTION("""COMPUTED_VALUE"""),"🔍 BUSCAR PACIENTES")</f>
        <v>🔍 BUSCAR PACIENTES</v>
      </c>
    </row>
    <row r="1354">
      <c r="A1354" s="44">
        <v>1353.0</v>
      </c>
      <c r="B1354" s="44" t="str">
        <f>IFERROR(__xludf.DUMMYFUNCTION("""COMPUTED_VALUE"""),"Hospital Pérez Carreño")</f>
        <v>Hospital Pérez Carreño</v>
      </c>
      <c r="C1354" s="45" t="str">
        <f>IFERROR(__xludf.DUMMYFUNCTION("""COMPUTED_VALUE"""),"Blanco Luis")</f>
        <v>Blanco Luis</v>
      </c>
      <c r="D1354" s="44"/>
      <c r="E1354" s="44" t="str">
        <f>IFERROR(__xludf.DUMMYFUNCTION("""COMPUTED_VALUE"""),"")</f>
        <v/>
      </c>
      <c r="F1354" s="44" t="str">
        <f>IFERROR(__xludf.DUMMYFUNCTION("""COMPUTED_VALUE"""),"")</f>
        <v/>
      </c>
      <c r="G1354" s="44" t="str">
        <f>IFERROR(__xludf.DUMMYFUNCTION("""COMPUTED_VALUE"""),"Traslados con destino asignado")</f>
        <v>Traslados con destino asignado</v>
      </c>
      <c r="H1354" s="44" t="str">
        <f>IFERROR(__xludf.DUMMYFUNCTION("""COMPUTED_VALUE"""),"Hospital Miguel Perez Carreño")</f>
        <v>Hospital Miguel Perez Carreño</v>
      </c>
      <c r="I1354" s="44"/>
      <c r="J1354" s="44" t="str">
        <f>IFERROR(__xludf.DUMMYFUNCTION("""COMPUTED_VALUE"""),"26/6/26")</f>
        <v>26/6/26</v>
      </c>
      <c r="K1354" s="42" t="str">
        <f>IFERROR(__xludf.DUMMYFUNCTION("""COMPUTED_VALUE"""),"Hospital Pérez Carreño")</f>
        <v>Hospital Pérez Carreño</v>
      </c>
    </row>
    <row r="1355">
      <c r="A1355" s="44">
        <v>1354.0</v>
      </c>
      <c r="B1355" s="44" t="str">
        <f>IFERROR(__xludf.DUMMYFUNCTION("""COMPUTED_VALUE"""),"H. Jose Maria Vargas LG")</f>
        <v>H. Jose Maria Vargas LG</v>
      </c>
      <c r="C1355" s="45" t="str">
        <f>IFERROR(__xludf.DUMMYFUNCTION("""COMPUTED_VALUE"""),"BLANCO MAIKOL")</f>
        <v>BLANCO MAIKOL</v>
      </c>
      <c r="D1355" s="44" t="str">
        <f>IFERROR(__xludf.DUMMYFUNCTION("""COMPUTED_VALUE""")," ")</f>
        <v> </v>
      </c>
      <c r="E1355" s="44" t="str">
        <f>IFERROR(__xludf.DUMMYFUNCTION("""COMPUTED_VALUE"""),"")</f>
        <v/>
      </c>
      <c r="F1355" s="44" t="str">
        <f>IFERROR(__xludf.DUMMYFUNCTION("""COMPUTED_VALUE"""),"")</f>
        <v/>
      </c>
      <c r="G1355" s="44" t="str">
        <f>IFERROR(__xludf.DUMMYFUNCTION("""COMPUTED_VALUE""")," ")</f>
        <v> </v>
      </c>
      <c r="H1355" s="44" t="str">
        <f>IFERROR(__xludf.DUMMYFUNCTION("""COMPUTED_VALUE""")," ")</f>
        <v> </v>
      </c>
      <c r="I1355" s="44" t="str">
        <f>IFERROR(__xludf.DUMMYFUNCTION("""COMPUTED_VALUE""")," ")</f>
        <v> </v>
      </c>
      <c r="J1355" s="44" t="str">
        <f>IFERROR(__xludf.DUMMYFUNCTION("""COMPUTED_VALUE"""),"")</f>
        <v/>
      </c>
      <c r="K1355" s="42" t="str">
        <f>IFERROR(__xludf.DUMMYFUNCTION("""COMPUTED_VALUE"""),"H. Jose Maria Vargas LG")</f>
        <v>H. Jose Maria Vargas LG</v>
      </c>
    </row>
    <row r="1356">
      <c r="A1356" s="44">
        <v>1355.0</v>
      </c>
      <c r="B1356" s="44" t="str">
        <f>IFERROR(__xludf.DUMMYFUNCTION("""COMPUTED_VALUE"""),"Hospital Domingo Luciani")</f>
        <v>Hospital Domingo Luciani</v>
      </c>
      <c r="C1356" s="45" t="str">
        <f>IFERROR(__xludf.DUMMYFUNCTION("""COMPUTED_VALUE"""),"BLANCO SOFIA SEGURA")</f>
        <v>BLANCO SOFIA SEGURA</v>
      </c>
      <c r="D1356" s="44" t="str">
        <f>IFERROR(__xludf.DUMMYFUNCTION("""COMPUTED_VALUE""")," ")</f>
        <v> </v>
      </c>
      <c r="E1356" s="44" t="str">
        <f>IFERROR(__xludf.DUMMYFUNCTION("""COMPUTED_VALUE"""),"")</f>
        <v/>
      </c>
      <c r="F1356" s="44" t="str">
        <f>IFERROR(__xludf.DUMMYFUNCTION("""COMPUTED_VALUE"""),"")</f>
        <v/>
      </c>
      <c r="G1356" s="44" t="str">
        <f>IFERROR(__xludf.DUMMYFUNCTION("""COMPUTED_VALUE""")," ")</f>
        <v> </v>
      </c>
      <c r="H1356" s="44" t="str">
        <f>IFERROR(__xludf.DUMMYFUNCTION("""COMPUTED_VALUE""")," ")</f>
        <v> </v>
      </c>
      <c r="I1356" s="44" t="str">
        <f>IFERROR(__xludf.DUMMYFUNCTION("""COMPUTED_VALUE"""),"Politrauma")</f>
        <v>Politrauma</v>
      </c>
      <c r="J1356" s="44" t="str">
        <f>IFERROR(__xludf.DUMMYFUNCTION("""COMPUTED_VALUE"""),"")</f>
        <v/>
      </c>
      <c r="K1356" s="42" t="str">
        <f>IFERROR(__xludf.DUMMYFUNCTION("""COMPUTED_VALUE"""),"🔍 BUSCAR PACIENTES")</f>
        <v>🔍 BUSCAR PACIENTES</v>
      </c>
    </row>
    <row r="1357">
      <c r="A1357" s="44">
        <v>1356.0</v>
      </c>
      <c r="B1357" s="44" t="str">
        <f>IFERROR(__xludf.DUMMYFUNCTION("""COMPUTED_VALUE"""),"Hospital Domingo Luciani")</f>
        <v>Hospital Domingo Luciani</v>
      </c>
      <c r="C1357" s="45" t="str">
        <f>IFERROR(__xludf.DUMMYFUNCTION("""COMPUTED_VALUE"""),"BLANCO YESICA")</f>
        <v>BLANCO YESICA</v>
      </c>
      <c r="D1357" s="44">
        <f>IFERROR(__xludf.DUMMYFUNCTION("""COMPUTED_VALUE"""),53.0)</f>
        <v>53</v>
      </c>
      <c r="E1357" s="44" t="str">
        <f>IFERROR(__xludf.DUMMYFUNCTION("""COMPUTED_VALUE"""),"")</f>
        <v/>
      </c>
      <c r="F1357" s="44" t="str">
        <f>IFERROR(__xludf.DUMMYFUNCTION("""COMPUTED_VALUE"""),"")</f>
        <v/>
      </c>
      <c r="G1357" s="44" t="str">
        <f>IFERROR(__xludf.DUMMYFUNCTION("""COMPUTED_VALUE""")," ")</f>
        <v> </v>
      </c>
      <c r="H1357" s="44" t="str">
        <f>IFERROR(__xludf.DUMMYFUNCTION("""COMPUTED_VALUE""")," ")</f>
        <v> </v>
      </c>
      <c r="I1357" s="44" t="str">
        <f>IFERROR(__xludf.DUMMYFUNCTION("""COMPUTED_VALUE"""),"PISO 2 |  ")</f>
        <v>PISO 2 |  </v>
      </c>
      <c r="J1357" s="44" t="str">
        <f>IFERROR(__xludf.DUMMYFUNCTION("""COMPUTED_VALUE"""),"")</f>
        <v/>
      </c>
      <c r="K1357" s="42" t="str">
        <f>IFERROR(__xludf.DUMMYFUNCTION("""COMPUTED_VALUE"""),"🔍 BUSCAR PACIENTES")</f>
        <v>🔍 BUSCAR PACIENTES</v>
      </c>
    </row>
    <row r="1358">
      <c r="A1358" s="44">
        <v>1357.0</v>
      </c>
      <c r="B1358" s="44" t="str">
        <f>IFERROR(__xludf.DUMMYFUNCTION("""COMPUTED_VALUE"""),"Periférico de Catia")</f>
        <v>Periférico de Catia</v>
      </c>
      <c r="C1358" s="45" t="str">
        <f>IFERROR(__xludf.DUMMYFUNCTION("""COMPUTED_VALUE"""),"Blanco Yessika")</f>
        <v>Blanco Yessika</v>
      </c>
      <c r="D1358" s="44">
        <f>IFERROR(__xludf.DUMMYFUNCTION("""COMPUTED_VALUE"""),53.0)</f>
        <v>53</v>
      </c>
      <c r="E1358" s="44" t="str">
        <f>IFERROR(__xludf.DUMMYFUNCTION("""COMPUTED_VALUE"""),"")</f>
        <v/>
      </c>
      <c r="F1358" s="44" t="str">
        <f>IFERROR(__xludf.DUMMYFUNCTION("""COMPUTED_VALUE"""),"")</f>
        <v/>
      </c>
      <c r="G1358" s="44"/>
      <c r="H1358" s="44"/>
      <c r="I1358" s="44" t="str">
        <f>IFERROR(__xludf.DUMMYFUNCTION("""COMPUTED_VALUE"""),"Lista adicional (pizarra extensa sin titulo de sala especifico)")</f>
        <v>Lista adicional (pizarra extensa sin titulo de sala especifico)</v>
      </c>
      <c r="J1358" s="44" t="str">
        <f>IFERROR(__xludf.DUMMYFUNCTION("""COMPUTED_VALUE"""),"")</f>
        <v/>
      </c>
      <c r="K1358" s="42" t="str">
        <f>IFERROR(__xludf.DUMMYFUNCTION("""COMPUTED_VALUE"""),"Periférico de Catia")</f>
        <v>Periférico de Catia</v>
      </c>
    </row>
    <row r="1359">
      <c r="A1359" s="44">
        <v>1358.0</v>
      </c>
      <c r="B1359" s="44" t="str">
        <f>IFERROR(__xludf.DUMMYFUNCTION("""COMPUTED_VALUE"""),"Hospital Domingo Luciani")</f>
        <v>Hospital Domingo Luciani</v>
      </c>
      <c r="C1359" s="45" t="str">
        <f>IFERROR(__xludf.DUMMYFUNCTION("""COMPUTED_VALUE"""),"BLANCO YVEREMIA")</f>
        <v>BLANCO YVEREMIA</v>
      </c>
      <c r="D1359" s="44" t="str">
        <f>IFERROR(__xludf.DUMMYFUNCTION("""COMPUTED_VALUE""")," ")</f>
        <v> </v>
      </c>
      <c r="E1359" s="44" t="str">
        <f>IFERROR(__xludf.DUMMYFUNCTION("""COMPUTED_VALUE"""),"")</f>
        <v/>
      </c>
      <c r="F1359" s="44" t="str">
        <f>IFERROR(__xludf.DUMMYFUNCTION("""COMPUTED_VALUE"""),"")</f>
        <v/>
      </c>
      <c r="G1359" s="44" t="str">
        <f>IFERROR(__xludf.DUMMYFUNCTION("""COMPUTED_VALUE""")," ")</f>
        <v> </v>
      </c>
      <c r="H1359" s="44" t="str">
        <f>IFERROR(__xludf.DUMMYFUNCTION("""COMPUTED_VALUE""")," ")</f>
        <v> </v>
      </c>
      <c r="I1359" s="44" t="str">
        <f>IFERROR(__xludf.DUMMYFUNCTION("""COMPUTED_VALUE"""),"Cardiología Piso 2 – H-10 – F")</f>
        <v>Cardiología Piso 2 – H-10 – F</v>
      </c>
      <c r="J1359" s="44" t="str">
        <f>IFERROR(__xludf.DUMMYFUNCTION("""COMPUTED_VALUE"""),"")</f>
        <v/>
      </c>
      <c r="K1359" s="42" t="str">
        <f>IFERROR(__xludf.DUMMYFUNCTION("""COMPUTED_VALUE"""),"🔍 BUSCAR PACIENTES")</f>
        <v>🔍 BUSCAR PACIENTES</v>
      </c>
    </row>
    <row r="1360">
      <c r="A1360" s="44">
        <v>1359.0</v>
      </c>
      <c r="B1360" s="44" t="str">
        <f>IFERROR(__xludf.DUMMYFUNCTION("""COMPUTED_VALUE"""),"Hospital Domingo Luciani")</f>
        <v>Hospital Domingo Luciani</v>
      </c>
      <c r="C1360" s="45" t="str">
        <f>IFERROR(__xludf.DUMMYFUNCTION("""COMPUTED_VALUE"""),"BLANCOS YESSICA")</f>
        <v>BLANCOS YESSICA</v>
      </c>
      <c r="D1360" s="44">
        <f>IFERROR(__xludf.DUMMYFUNCTION("""COMPUTED_VALUE"""),53.0)</f>
        <v>53</v>
      </c>
      <c r="E1360" s="44" t="str">
        <f>IFERROR(__xludf.DUMMYFUNCTION("""COMPUTED_VALUE"""),"")</f>
        <v/>
      </c>
      <c r="F1360" s="44" t="str">
        <f>IFERROR(__xludf.DUMMYFUNCTION("""COMPUTED_VALUE"""),"")</f>
        <v/>
      </c>
      <c r="G1360" s="44" t="str">
        <f>IFERROR(__xludf.DUMMYFUNCTION("""COMPUTED_VALUE""")," ")</f>
        <v> </v>
      </c>
      <c r="H1360" s="44" t="str">
        <f>IFERROR(__xludf.DUMMYFUNCTION("""COMPUTED_VALUE""")," ")</f>
        <v> </v>
      </c>
      <c r="I1360" s="44" t="str">
        <f>IFERROR(__xludf.DUMMYFUNCTION("""COMPUTED_VALUE""")," ")</f>
        <v> </v>
      </c>
      <c r="J1360" s="44" t="str">
        <f>IFERROR(__xludf.DUMMYFUNCTION("""COMPUTED_VALUE"""),"")</f>
        <v/>
      </c>
      <c r="K1360" s="42" t="str">
        <f>IFERROR(__xludf.DUMMYFUNCTION("""COMPUTED_VALUE"""),"🔍 BUSCAR PACIENTES")</f>
        <v>🔍 BUSCAR PACIENTES</v>
      </c>
    </row>
    <row r="1361">
      <c r="A1361" s="44">
        <v>1360.0</v>
      </c>
      <c r="B1361" s="44" t="str">
        <f>IFERROR(__xludf.DUMMYFUNCTION("""COMPUTED_VALUE"""),"H. Jose Maria Vargas LG")</f>
        <v>H. Jose Maria Vargas LG</v>
      </c>
      <c r="C1361" s="45" t="str">
        <f>IFERROR(__xludf.DUMMYFUNCTION("""COMPUTED_VALUE"""),"BLANDI SEBASTIAN")</f>
        <v>BLANDI SEBASTIAN</v>
      </c>
      <c r="D1361" s="44" t="str">
        <f>IFERROR(__xludf.DUMMYFUNCTION("""COMPUTED_VALUE""")," ")</f>
        <v> </v>
      </c>
      <c r="E1361" s="44" t="str">
        <f>IFERROR(__xludf.DUMMYFUNCTION("""COMPUTED_VALUE"""),"")</f>
        <v/>
      </c>
      <c r="F1361" s="44" t="str">
        <f>IFERROR(__xludf.DUMMYFUNCTION("""COMPUTED_VALUE"""),"")</f>
        <v/>
      </c>
      <c r="G1361" s="44" t="str">
        <f>IFERROR(__xludf.DUMMYFUNCTION("""COMPUTED_VALUE""")," ")</f>
        <v> </v>
      </c>
      <c r="H1361" s="44" t="str">
        <f>IFERROR(__xludf.DUMMYFUNCTION("""COMPUTED_VALUE""")," ")</f>
        <v> </v>
      </c>
      <c r="I1361" s="44" t="str">
        <f>IFERROR(__xludf.DUMMYFUNCTION("""COMPUTED_VALUE""")," ")</f>
        <v> </v>
      </c>
      <c r="J1361" s="44" t="str">
        <f>IFERROR(__xludf.DUMMYFUNCTION("""COMPUTED_VALUE"""),"")</f>
        <v/>
      </c>
      <c r="K1361" s="42" t="str">
        <f>IFERROR(__xludf.DUMMYFUNCTION("""COMPUTED_VALUE"""),"H. Jose Maria Vargas LG")</f>
        <v>H. Jose Maria Vargas LG</v>
      </c>
    </row>
    <row r="1362">
      <c r="A1362" s="44">
        <v>1361.0</v>
      </c>
      <c r="B1362" s="44" t="str">
        <f>IFERROR(__xludf.DUMMYFUNCTION("""COMPUTED_VALUE"""),"Hospital Domingo Luciani")</f>
        <v>Hospital Domingo Luciani</v>
      </c>
      <c r="C1362" s="45" t="str">
        <f>IFERROR(__xludf.DUMMYFUNCTION("""COMPUTED_VALUE"""),"BLANDIN SEBASTIAN")</f>
        <v>BLANDIN SEBASTIAN</v>
      </c>
      <c r="D1362" s="44">
        <f>IFERROR(__xludf.DUMMYFUNCTION("""COMPUTED_VALUE"""),7.0)</f>
        <v>7</v>
      </c>
      <c r="E1362" s="44" t="str">
        <f>IFERROR(__xludf.DUMMYFUNCTION("""COMPUTED_VALUE"""),"")</f>
        <v/>
      </c>
      <c r="F1362" s="44" t="str">
        <f>IFERROR(__xludf.DUMMYFUNCTION("""COMPUTED_VALUE"""),"")</f>
        <v/>
      </c>
      <c r="G1362" s="44" t="str">
        <f>IFERROR(__xludf.DUMMYFUNCTION("""COMPUTED_VALUE""")," ")</f>
        <v> </v>
      </c>
      <c r="H1362" s="44" t="str">
        <f>IFERROR(__xludf.DUMMYFUNCTION("""COMPUTED_VALUE"""),"La Guaira")</f>
        <v>La Guaira</v>
      </c>
      <c r="I1362" s="44" t="str">
        <f>IFERROR(__xludf.DUMMYFUNCTION("""COMPUTED_VALUE"""),"Pediatría")</f>
        <v>Pediatría</v>
      </c>
      <c r="J1362" s="44" t="str">
        <f>IFERROR(__xludf.DUMMYFUNCTION("""COMPUTED_VALUE"""),"")</f>
        <v/>
      </c>
      <c r="K1362" s="42" t="str">
        <f>IFERROR(__xludf.DUMMYFUNCTION("""COMPUTED_VALUE"""),"🔍 BUSCAR PACIENTES")</f>
        <v>🔍 BUSCAR PACIENTES</v>
      </c>
    </row>
    <row r="1363">
      <c r="A1363" s="44">
        <v>1362.0</v>
      </c>
      <c r="B1363" s="44" t="str">
        <f>IFERROR(__xludf.DUMMYFUNCTION("""COMPUTED_VALUE"""),"Hospital Pérez Carreño")</f>
        <v>Hospital Pérez Carreño</v>
      </c>
      <c r="C1363" s="45" t="str">
        <f>IFERROR(__xludf.DUMMYFUNCTION("""COMPUTED_VALUE"""),"Bnacho Adriana")</f>
        <v>Bnacho Adriana</v>
      </c>
      <c r="D1363" s="44"/>
      <c r="E1363" s="44" t="str">
        <f>IFERROR(__xludf.DUMMYFUNCTION("""COMPUTED_VALUE"""),"")</f>
        <v/>
      </c>
      <c r="F1363" s="44" t="str">
        <f>IFERROR(__xludf.DUMMYFUNCTION("""COMPUTED_VALUE"""),"")</f>
        <v/>
      </c>
      <c r="G1363" s="44" t="str">
        <f>IFERROR(__xludf.DUMMYFUNCTION("""COMPUTED_VALUE"""),"Traslados")</f>
        <v>Traslados</v>
      </c>
      <c r="H1363" s="44" t="str">
        <f>IFERROR(__xludf.DUMMYFUNCTION("""COMPUTED_VALUE"""),"Hospital Miguel Perez Carreño")</f>
        <v>Hospital Miguel Perez Carreño</v>
      </c>
      <c r="I1363" s="44"/>
      <c r="J1363" s="44" t="str">
        <f>IFERROR(__xludf.DUMMYFUNCTION("""COMPUTED_VALUE"""),"26/6/26")</f>
        <v>26/6/26</v>
      </c>
      <c r="K1363" s="42" t="str">
        <f>IFERROR(__xludf.DUMMYFUNCTION("""COMPUTED_VALUE"""),"Hospital Pérez Carreño")</f>
        <v>Hospital Pérez Carreño</v>
      </c>
    </row>
    <row r="1364">
      <c r="A1364" s="44">
        <v>1363.0</v>
      </c>
      <c r="B1364" s="44" t="str">
        <f>IFERROR(__xludf.DUMMYFUNCTION("""COMPUTED_VALUE"""),"Hospital Vargas de Caracas")</f>
        <v>Hospital Vargas de Caracas</v>
      </c>
      <c r="C1364" s="45" t="str">
        <f>IFERROR(__xludf.DUMMYFUNCTION("""COMPUTED_VALUE"""),"BOADA EVELYN")</f>
        <v>BOADA EVELYN</v>
      </c>
      <c r="D1364" s="44">
        <f>IFERROR(__xludf.DUMMYFUNCTION("""COMPUTED_VALUE"""),26.0)</f>
        <v>26</v>
      </c>
      <c r="E1364" s="44" t="str">
        <f>IFERROR(__xludf.DUMMYFUNCTION("""COMPUTED_VALUE"""),"")</f>
        <v/>
      </c>
      <c r="F1364" s="44" t="str">
        <f>IFERROR(__xludf.DUMMYFUNCTION("""COMPUTED_VALUE""")," ")</f>
        <v> </v>
      </c>
      <c r="G1364" s="44" t="str">
        <f>IFERROR(__xludf.DUMMYFUNCTION("""COMPUTED_VALUE"""),"")</f>
        <v/>
      </c>
      <c r="H1364" s="44" t="str">
        <f>IFERROR(__xludf.DUMMYFUNCTION("""COMPUTED_VALUE"""),"La Guaira")</f>
        <v>La Guaira</v>
      </c>
      <c r="I1364" s="44" t="str">
        <f>IFERROR(__xludf.DUMMYFUNCTION("""COMPUTED_VALUE"""),"UPT")</f>
        <v>UPT</v>
      </c>
      <c r="J1364" s="44" t="str">
        <f>IFERROR(__xludf.DUMMYFUNCTION("""COMPUTED_VALUE"""),"")</f>
        <v/>
      </c>
      <c r="K1364" s="42" t="str">
        <f>IFERROR(__xludf.DUMMYFUNCTION("""COMPUTED_VALUE"""),"Hospital Vargas de Caracas")</f>
        <v>Hospital Vargas de Caracas</v>
      </c>
    </row>
    <row r="1365">
      <c r="A1365" s="44">
        <v>1364.0</v>
      </c>
      <c r="B1365" s="44" t="str">
        <f>IFERROR(__xludf.DUMMYFUNCTION("""COMPUTED_VALUE"""),"Hospital Domingo Luciani")</f>
        <v>Hospital Domingo Luciani</v>
      </c>
      <c r="C1365" s="45" t="str">
        <f>IFERROR(__xludf.DUMMYFUNCTION("""COMPUTED_VALUE"""),"BOADO EVOELYN")</f>
        <v>BOADO EVOELYN</v>
      </c>
      <c r="D1365" s="44" t="str">
        <f>IFERROR(__xludf.DUMMYFUNCTION("""COMPUTED_VALUE""")," ")</f>
        <v> </v>
      </c>
      <c r="E1365" s="44" t="str">
        <f>IFERROR(__xludf.DUMMYFUNCTION("""COMPUTED_VALUE"""),"")</f>
        <v/>
      </c>
      <c r="F1365" s="44" t="str">
        <f>IFERROR(__xludf.DUMMYFUNCTION("""COMPUTED_VALUE"""),"")</f>
        <v/>
      </c>
      <c r="G1365" s="44" t="str">
        <f>IFERROR(__xludf.DUMMYFUNCTION("""COMPUTED_VALUE""")," ")</f>
        <v> </v>
      </c>
      <c r="H1365" s="44" t="str">
        <f>IFERROR(__xludf.DUMMYFUNCTION("""COMPUTED_VALUE""")," ")</f>
        <v> </v>
      </c>
      <c r="I1365" s="44" t="str">
        <f>IFERROR(__xludf.DUMMYFUNCTION("""COMPUTED_VALUE"""),"Politrauma Emerg. Nueva")</f>
        <v>Politrauma Emerg. Nueva</v>
      </c>
      <c r="J1365" s="44" t="str">
        <f>IFERROR(__xludf.DUMMYFUNCTION("""COMPUTED_VALUE"""),"")</f>
        <v/>
      </c>
      <c r="K1365" s="42" t="str">
        <f>IFERROR(__xludf.DUMMYFUNCTION("""COMPUTED_VALUE"""),"🔍 BUSCAR PACIENTES")</f>
        <v>🔍 BUSCAR PACIENTES</v>
      </c>
    </row>
    <row r="1366">
      <c r="A1366" s="44">
        <v>1365.0</v>
      </c>
      <c r="B1366" s="44" t="str">
        <f>IFERROR(__xludf.DUMMYFUNCTION("""COMPUTED_VALUE"""),"H. Jose Maria Vargas LG")</f>
        <v>H. Jose Maria Vargas LG</v>
      </c>
      <c r="C1366" s="45" t="str">
        <f>IFERROR(__xludf.DUMMYFUNCTION("""COMPUTED_VALUE"""),"BOGADO ANTONELLA")</f>
        <v>BOGADO ANTONELLA</v>
      </c>
      <c r="D1366" s="44" t="str">
        <f>IFERROR(__xludf.DUMMYFUNCTION("""COMPUTED_VALUE""")," ")</f>
        <v> </v>
      </c>
      <c r="E1366" s="44" t="str">
        <f>IFERROR(__xludf.DUMMYFUNCTION("""COMPUTED_VALUE"""),"")</f>
        <v/>
      </c>
      <c r="F1366" s="44" t="str">
        <f>IFERROR(__xludf.DUMMYFUNCTION("""COMPUTED_VALUE"""),"")</f>
        <v/>
      </c>
      <c r="G1366" s="44" t="str">
        <f>IFERROR(__xludf.DUMMYFUNCTION("""COMPUTED_VALUE""")," ")</f>
        <v> </v>
      </c>
      <c r="H1366" s="44" t="str">
        <f>IFERROR(__xludf.DUMMYFUNCTION("""COMPUTED_VALUE""")," ")</f>
        <v> </v>
      </c>
      <c r="I1366" s="44" t="str">
        <f>IFERROR(__xludf.DUMMYFUNCTION("""COMPUTED_VALUE""")," ")</f>
        <v> </v>
      </c>
      <c r="J1366" s="44" t="str">
        <f>IFERROR(__xludf.DUMMYFUNCTION("""COMPUTED_VALUE"""),"")</f>
        <v/>
      </c>
      <c r="K1366" s="42" t="str">
        <f>IFERROR(__xludf.DUMMYFUNCTION("""COMPUTED_VALUE"""),"H. Jose Maria Vargas LG")</f>
        <v>H. Jose Maria Vargas LG</v>
      </c>
    </row>
    <row r="1367">
      <c r="A1367" s="44">
        <v>1366.0</v>
      </c>
      <c r="B1367" s="44" t="str">
        <f>IFERROR(__xludf.DUMMYFUNCTION("""COMPUTED_VALUE"""),"H. Jose Maria Vargas LG")</f>
        <v>H. Jose Maria Vargas LG</v>
      </c>
      <c r="C1367" s="45" t="str">
        <f>IFERROR(__xludf.DUMMYFUNCTION("""COMPUTED_VALUE"""),"BOLIVAR BLANCO")</f>
        <v>BOLIVAR BLANCO</v>
      </c>
      <c r="D1367" s="44" t="str">
        <f>IFERROR(__xludf.DUMMYFUNCTION("""COMPUTED_VALUE""")," ")</f>
        <v> </v>
      </c>
      <c r="E1367" s="44" t="str">
        <f>IFERROR(__xludf.DUMMYFUNCTION("""COMPUTED_VALUE"""),"")</f>
        <v/>
      </c>
      <c r="F1367" s="44" t="str">
        <f>IFERROR(__xludf.DUMMYFUNCTION("""COMPUTED_VALUE"""),"")</f>
        <v/>
      </c>
      <c r="G1367" s="44" t="str">
        <f>IFERROR(__xludf.DUMMYFUNCTION("""COMPUTED_VALUE""")," ")</f>
        <v> </v>
      </c>
      <c r="H1367" s="44" t="str">
        <f>IFERROR(__xludf.DUMMYFUNCTION("""COMPUTED_VALUE""")," ")</f>
        <v> </v>
      </c>
      <c r="I1367" s="44" t="str">
        <f>IFERROR(__xludf.DUMMYFUNCTION("""COMPUTED_VALUE""")," ")</f>
        <v> </v>
      </c>
      <c r="J1367" s="44" t="str">
        <f>IFERROR(__xludf.DUMMYFUNCTION("""COMPUTED_VALUE"""),"")</f>
        <v/>
      </c>
      <c r="K1367" s="42" t="str">
        <f>IFERROR(__xludf.DUMMYFUNCTION("""COMPUTED_VALUE"""),"H. Jose Maria Vargas LG")</f>
        <v>H. Jose Maria Vargas LG</v>
      </c>
    </row>
    <row r="1368">
      <c r="A1368" s="44">
        <v>1367.0</v>
      </c>
      <c r="B1368" s="44" t="str">
        <f>IFERROR(__xludf.DUMMYFUNCTION("""COMPUTED_VALUE"""),"Hospital Pérez Carreño")</f>
        <v>Hospital Pérez Carreño</v>
      </c>
      <c r="C1368" s="45" t="str">
        <f>IFERROR(__xludf.DUMMYFUNCTION("""COMPUTED_VALUE"""),"BOLIVAR BOLIVAR J. JOSE")</f>
        <v>BOLIVAR BOLIVAR J. JOSE</v>
      </c>
      <c r="D1368" s="44" t="str">
        <f>IFERROR(__xludf.DUMMYFUNCTION("""COMPUTED_VALUE""")," ")</f>
        <v> </v>
      </c>
      <c r="E1368" s="44" t="str">
        <f>IFERROR(__xludf.DUMMYFUNCTION("""COMPUTED_VALUE"""),"")</f>
        <v/>
      </c>
      <c r="F1368" s="44" t="str">
        <f>IFERROR(__xludf.DUMMYFUNCTION("""COMPUTED_VALUE"""),"")</f>
        <v/>
      </c>
      <c r="G1368" s="44" t="str">
        <f>IFERROR(__xludf.DUMMYFUNCTION("""COMPUTED_VALUE""")," ")</f>
        <v> </v>
      </c>
      <c r="H1368" s="44" t="str">
        <f>IFERROR(__xludf.DUMMYFUNCTION("""COMPUTED_VALUE""")," ")</f>
        <v> </v>
      </c>
      <c r="I1368" s="44" t="str">
        <f>IFERROR(__xludf.DUMMYFUNCTION("""COMPUTED_VALUE"""),"Internado")</f>
        <v>Internado</v>
      </c>
      <c r="J1368" s="44" t="str">
        <f>IFERROR(__xludf.DUMMYFUNCTION("""COMPUTED_VALUE"""),"25/06/2026")</f>
        <v>25/06/2026</v>
      </c>
      <c r="K1368" s="42" t="str">
        <f>IFERROR(__xludf.DUMMYFUNCTION("""COMPUTED_VALUE"""),"Hospital Pérez Carreño")</f>
        <v>Hospital Pérez Carreño</v>
      </c>
    </row>
    <row r="1369">
      <c r="A1369" s="44">
        <v>1368.0</v>
      </c>
      <c r="B1369" s="44" t="str">
        <f>IFERROR(__xludf.DUMMYFUNCTION("""COMPUTED_VALUE"""),"Hospital Pérez Carreño")</f>
        <v>Hospital Pérez Carreño</v>
      </c>
      <c r="C1369" s="45" t="str">
        <f>IFERROR(__xludf.DUMMYFUNCTION("""COMPUTED_VALUE"""),"Bolivar Carlos")</f>
        <v>Bolivar Carlos</v>
      </c>
      <c r="D1369" s="44"/>
      <c r="E1369" s="44" t="str">
        <f>IFERROR(__xludf.DUMMYFUNCTION("""COMPUTED_VALUE"""),"")</f>
        <v/>
      </c>
      <c r="F1369" s="44" t="str">
        <f>IFERROR(__xludf.DUMMYFUNCTION("""COMPUTED_VALUE"""),"")</f>
        <v/>
      </c>
      <c r="G1369" s="44" t="str">
        <f>IFERROR(__xludf.DUMMYFUNCTION("""COMPUTED_VALUE"""),"Traslados con destino asignado")</f>
        <v>Traslados con destino asignado</v>
      </c>
      <c r="H1369" s="44" t="str">
        <f>IFERROR(__xludf.DUMMYFUNCTION("""COMPUTED_VALUE"""),"Hospital Miguel Perez Carreño")</f>
        <v>Hospital Miguel Perez Carreño</v>
      </c>
      <c r="I1369" s="44"/>
      <c r="J1369" s="44" t="str">
        <f>IFERROR(__xludf.DUMMYFUNCTION("""COMPUTED_VALUE"""),"26/6/26")</f>
        <v>26/6/26</v>
      </c>
      <c r="K1369" s="42" t="str">
        <f>IFERROR(__xludf.DUMMYFUNCTION("""COMPUTED_VALUE"""),"Hospital Pérez Carreño")</f>
        <v>Hospital Pérez Carreño</v>
      </c>
    </row>
    <row r="1370">
      <c r="A1370" s="44">
        <v>1369.0</v>
      </c>
      <c r="B1370" s="44" t="str">
        <f>IFERROR(__xludf.DUMMYFUNCTION("""COMPUTED_VALUE"""),"La Guaira Sin Hospital")</f>
        <v>La Guaira Sin Hospital</v>
      </c>
      <c r="C1370" s="45" t="str">
        <f>IFERROR(__xludf.DUMMYFUNCTION("""COMPUTED_VALUE"""),"Bolivar Daniela Yetselle")</f>
        <v>Bolivar Daniela Yetselle</v>
      </c>
      <c r="D1370" s="44" t="str">
        <f>IFERROR(__xludf.DUMMYFUNCTION("""COMPUTED_VALUE"""),"")</f>
        <v/>
      </c>
      <c r="E1370" s="44" t="str">
        <f>IFERROR(__xludf.DUMMYFUNCTION("""COMPUTED_VALUE"""),"")</f>
        <v/>
      </c>
      <c r="F1370" s="44" t="str">
        <f>IFERROR(__xludf.DUMMYFUNCTION("""COMPUTED_VALUE"""),"")</f>
        <v/>
      </c>
      <c r="G1370" s="44" t="str">
        <f>IFERROR(__xludf.DUMMYFUNCTION("""COMPUTED_VALUE"""),"")</f>
        <v/>
      </c>
      <c r="H1370" s="44" t="str">
        <f>IFERROR(__xludf.DUMMYFUNCTION("""COMPUTED_VALUE"""),"Tanaguarenas")</f>
        <v>Tanaguarenas</v>
      </c>
      <c r="I1370" s="44" t="str">
        <f>IFERROR(__xludf.DUMMYFUNCTION("""COMPUTED_VALUE"""),"Listas con ubicación")</f>
        <v>Listas con ubicación</v>
      </c>
      <c r="J1370" s="44" t="str">
        <f>IFERROR(__xludf.DUMMYFUNCTION("""COMPUTED_VALUE"""),"")</f>
        <v/>
      </c>
      <c r="K1370" s="42" t="str">
        <f>IFERROR(__xludf.DUMMYFUNCTION("""COMPUTED_VALUE"""),"La Guaira Sin Hospital")</f>
        <v>La Guaira Sin Hospital</v>
      </c>
    </row>
    <row r="1371">
      <c r="A1371" s="44">
        <v>1370.0</v>
      </c>
      <c r="B1371" s="44" t="str">
        <f>IFERROR(__xludf.DUMMYFUNCTION("""COMPUTED_VALUE"""),"La Guaira Sin Hospital")</f>
        <v>La Guaira Sin Hospital</v>
      </c>
      <c r="C1371" s="45" t="str">
        <f>IFERROR(__xludf.DUMMYFUNCTION("""COMPUTED_VALUE"""),"Bolivar Jose Jose")</f>
        <v>Bolivar Jose Jose</v>
      </c>
      <c r="D1371" s="44" t="str">
        <f>IFERROR(__xludf.DUMMYFUNCTION("""COMPUTED_VALUE"""),"")</f>
        <v/>
      </c>
      <c r="E1371" s="44" t="str">
        <f>IFERROR(__xludf.DUMMYFUNCTION("""COMPUTED_VALUE"""),"")</f>
        <v/>
      </c>
      <c r="F1371" s="44" t="str">
        <f>IFERROR(__xludf.DUMMYFUNCTION("""COMPUTED_VALUE"""),"")</f>
        <v/>
      </c>
      <c r="G1371" s="44" t="str">
        <f>IFERROR(__xludf.DUMMYFUNCTION("""COMPUTED_VALUE"""),"")</f>
        <v/>
      </c>
      <c r="H1371" s="44" t="str">
        <f>IFERROR(__xludf.DUMMYFUNCTION("""COMPUTED_VALUE"""),"Tanaguarenas")</f>
        <v>Tanaguarenas</v>
      </c>
      <c r="I1371" s="44" t="str">
        <f>IFERROR(__xludf.DUMMYFUNCTION("""COMPUTED_VALUE"""),"Listas con ubicación")</f>
        <v>Listas con ubicación</v>
      </c>
      <c r="J1371" s="44" t="str">
        <f>IFERROR(__xludf.DUMMYFUNCTION("""COMPUTED_VALUE"""),"")</f>
        <v/>
      </c>
      <c r="K1371" s="42" t="str">
        <f>IFERROR(__xludf.DUMMYFUNCTION("""COMPUTED_VALUE"""),"La Guaira Sin Hospital")</f>
        <v>La Guaira Sin Hospital</v>
      </c>
    </row>
    <row r="1372">
      <c r="A1372" s="44">
        <v>1371.0</v>
      </c>
      <c r="B1372" s="44" t="str">
        <f>IFERROR(__xludf.DUMMYFUNCTION("""COMPUTED_VALUE"""),"Hospital Pérez Carreño")</f>
        <v>Hospital Pérez Carreño</v>
      </c>
      <c r="C1372" s="45" t="str">
        <f>IFERROR(__xludf.DUMMYFUNCTION("""COMPUTED_VALUE"""),"BOLIVAR YETSELLE DANIELA")</f>
        <v>BOLIVAR YETSELLE DANIELA</v>
      </c>
      <c r="D1372" s="44" t="str">
        <f>IFERROR(__xludf.DUMMYFUNCTION("""COMPUTED_VALUE""")," ")</f>
        <v> </v>
      </c>
      <c r="E1372" s="44" t="str">
        <f>IFERROR(__xludf.DUMMYFUNCTION("""COMPUTED_VALUE"""),"")</f>
        <v/>
      </c>
      <c r="F1372" s="44" t="str">
        <f>IFERROR(__xludf.DUMMYFUNCTION("""COMPUTED_VALUE"""),"")</f>
        <v/>
      </c>
      <c r="G1372" s="44" t="str">
        <f>IFERROR(__xludf.DUMMYFUNCTION("""COMPUTED_VALUE""")," ")</f>
        <v> </v>
      </c>
      <c r="H1372" s="44" t="str">
        <f>IFERROR(__xludf.DUMMYFUNCTION("""COMPUTED_VALUE""")," ")</f>
        <v> </v>
      </c>
      <c r="I1372" s="44" t="str">
        <f>IFERROR(__xludf.DUMMYFUNCTION("""COMPUTED_VALUE"""),"Internado")</f>
        <v>Internado</v>
      </c>
      <c r="J1372" s="44" t="str">
        <f>IFERROR(__xludf.DUMMYFUNCTION("""COMPUTED_VALUE"""),"25/06/2026")</f>
        <v>25/06/2026</v>
      </c>
      <c r="K1372" s="42" t="str">
        <f>IFERROR(__xludf.DUMMYFUNCTION("""COMPUTED_VALUE"""),"Hospital Pérez Carreño")</f>
        <v>Hospital Pérez Carreño</v>
      </c>
    </row>
    <row r="1373">
      <c r="A1373" s="44">
        <v>1372.0</v>
      </c>
      <c r="B1373" s="44" t="str">
        <f>IFERROR(__xludf.DUMMYFUNCTION("""COMPUTED_VALUE"""),"Clínica El Ávila")</f>
        <v>Clínica El Ávila</v>
      </c>
      <c r="C1373" s="45" t="str">
        <f>IFERROR(__xludf.DUMMYFUNCTION("""COMPUTED_VALUE"""),"BOLOGNESI SOFIA")</f>
        <v>BOLOGNESI SOFIA</v>
      </c>
      <c r="D1373" s="44" t="str">
        <f>IFERROR(__xludf.DUMMYFUNCTION("""COMPUTED_VALUE""")," ")</f>
        <v> </v>
      </c>
      <c r="E1373" s="44" t="str">
        <f>IFERROR(__xludf.DUMMYFUNCTION("""COMPUTED_VALUE"""),"")</f>
        <v/>
      </c>
      <c r="F1373" s="44" t="str">
        <f>IFERROR(__xludf.DUMMYFUNCTION("""COMPUTED_VALUE"""),"")</f>
        <v/>
      </c>
      <c r="G1373" s="44" t="str">
        <f>IFERROR(__xludf.DUMMYFUNCTION("""COMPUTED_VALUE""")," ")</f>
        <v> </v>
      </c>
      <c r="H1373" s="44" t="str">
        <f>IFERROR(__xludf.DUMMYFUNCTION("""COMPUTED_VALUE""")," ")</f>
        <v> </v>
      </c>
      <c r="I1373" s="44" t="str">
        <f>IFERROR(__xludf.DUMMYFUNCTION("""COMPUTED_VALUE""")," ")</f>
        <v> </v>
      </c>
      <c r="J1373" s="44" t="str">
        <f>IFERROR(__xludf.DUMMYFUNCTION("""COMPUTED_VALUE"""),"")</f>
        <v/>
      </c>
      <c r="K1373" s="42" t="str">
        <f>IFERROR(__xludf.DUMMYFUNCTION("""COMPUTED_VALUE"""),"Clínica El Ávila")</f>
        <v>Clínica El Ávila</v>
      </c>
    </row>
    <row r="1374">
      <c r="A1374" s="44">
        <v>1373.0</v>
      </c>
      <c r="B1374" s="44" t="str">
        <f>IFERROR(__xludf.DUMMYFUNCTION("""COMPUTED_VALUE"""),"Hospital Domingo Luciani")</f>
        <v>Hospital Domingo Luciani</v>
      </c>
      <c r="C1374" s="45" t="str">
        <f>IFERROR(__xludf.DUMMYFUNCTION("""COMPUTED_VALUE"""),"BOMPARD RADHI")</f>
        <v>BOMPARD RADHI</v>
      </c>
      <c r="D1374" s="44" t="str">
        <f>IFERROR(__xludf.DUMMYFUNCTION("""COMPUTED_VALUE""")," ")</f>
        <v> </v>
      </c>
      <c r="E1374" s="44" t="str">
        <f>IFERROR(__xludf.DUMMYFUNCTION("""COMPUTED_VALUE"""),"")</f>
        <v/>
      </c>
      <c r="F1374" s="44" t="str">
        <f>IFERROR(__xludf.DUMMYFUNCTION("""COMPUTED_VALUE"""),"")</f>
        <v/>
      </c>
      <c r="G1374" s="44" t="str">
        <f>IFERROR(__xludf.DUMMYFUNCTION("""COMPUTED_VALUE""")," ")</f>
        <v> </v>
      </c>
      <c r="H1374" s="44" t="str">
        <f>IFERROR(__xludf.DUMMYFUNCTION("""COMPUTED_VALUE""")," ")</f>
        <v> </v>
      </c>
      <c r="I1374" s="44" t="str">
        <f>IFERROR(__xludf.DUMMYFUNCTION("""COMPUTED_VALUE"""),"Politrauma")</f>
        <v>Politrauma</v>
      </c>
      <c r="J1374" s="44" t="str">
        <f>IFERROR(__xludf.DUMMYFUNCTION("""COMPUTED_VALUE"""),"")</f>
        <v/>
      </c>
      <c r="K1374" s="42" t="str">
        <f>IFERROR(__xludf.DUMMYFUNCTION("""COMPUTED_VALUE"""),"🔍 BUSCAR PACIENTES")</f>
        <v>🔍 BUSCAR PACIENTES</v>
      </c>
    </row>
    <row r="1375">
      <c r="A1375" s="44">
        <v>1374.0</v>
      </c>
      <c r="B1375" s="44" t="str">
        <f>IFERROR(__xludf.DUMMYFUNCTION("""COMPUTED_VALUE"""),"Hospital Domingo Luciani")</f>
        <v>Hospital Domingo Luciani</v>
      </c>
      <c r="C1375" s="45" t="str">
        <f>IFERROR(__xludf.DUMMYFUNCTION("""COMPUTED_VALUE"""),"BOMPARO RODNI")</f>
        <v>BOMPARO RODNI</v>
      </c>
      <c r="D1375" s="44" t="str">
        <f>IFERROR(__xludf.DUMMYFUNCTION("""COMPUTED_VALUE""")," ")</f>
        <v> </v>
      </c>
      <c r="E1375" s="44" t="str">
        <f>IFERROR(__xludf.DUMMYFUNCTION("""COMPUTED_VALUE"""),"")</f>
        <v/>
      </c>
      <c r="F1375" s="44" t="str">
        <f>IFERROR(__xludf.DUMMYFUNCTION("""COMPUTED_VALUE"""),"")</f>
        <v/>
      </c>
      <c r="G1375" s="44" t="str">
        <f>IFERROR(__xludf.DUMMYFUNCTION("""COMPUTED_VALUE""")," ")</f>
        <v> </v>
      </c>
      <c r="H1375" s="44" t="str">
        <f>IFERROR(__xludf.DUMMYFUNCTION("""COMPUTED_VALUE""")," ")</f>
        <v> </v>
      </c>
      <c r="I1375" s="44" t="str">
        <f>IFERROR(__xludf.DUMMYFUNCTION("""COMPUTED_VALUE""")," ")</f>
        <v> </v>
      </c>
      <c r="J1375" s="44" t="str">
        <f>IFERROR(__xludf.DUMMYFUNCTION("""COMPUTED_VALUE"""),"")</f>
        <v/>
      </c>
      <c r="K1375" s="42" t="str">
        <f>IFERROR(__xludf.DUMMYFUNCTION("""COMPUTED_VALUE"""),"🔍 BUSCAR PACIENTES")</f>
        <v>🔍 BUSCAR PACIENTES</v>
      </c>
    </row>
    <row r="1376">
      <c r="A1376" s="44">
        <v>1375.0</v>
      </c>
      <c r="B1376" s="44" t="str">
        <f>IFERROR(__xludf.DUMMYFUNCTION("""COMPUTED_VALUE"""),"Campo de Golf Playa los Cocos")</f>
        <v>Campo de Golf Playa los Cocos</v>
      </c>
      <c r="C1376" s="45" t="str">
        <f>IFERROR(__xludf.DUMMYFUNCTION("""COMPUTED_VALUE"""),"Bonnie Pugarita")</f>
        <v>Bonnie Pugarita</v>
      </c>
      <c r="D1376" s="44" t="str">
        <f>IFERROR(__xludf.DUMMYFUNCTION("""COMPUTED_VALUE"""),"")</f>
        <v/>
      </c>
      <c r="E1376" s="44" t="str">
        <f>IFERROR(__xludf.DUMMYFUNCTION("""COMPUTED_VALUE"""),"")</f>
        <v/>
      </c>
      <c r="F1376" s="44" t="str">
        <f>IFERROR(__xludf.DUMMYFUNCTION("""COMPUTED_VALUE"""),"")</f>
        <v/>
      </c>
      <c r="G1376" s="44" t="str">
        <f>IFERROR(__xludf.DUMMYFUNCTION("""COMPUTED_VALUE"""),"")</f>
        <v/>
      </c>
      <c r="H1376" s="44" t="str">
        <f>IFERROR(__xludf.DUMMYFUNCTION("""COMPUTED_VALUE"""),"")</f>
        <v/>
      </c>
      <c r="I1376" s="44"/>
      <c r="J1376" s="44" t="str">
        <f>IFERROR(__xludf.DUMMYFUNCTION("""COMPUTED_VALUE"""),"")</f>
        <v/>
      </c>
      <c r="K1376" s="42" t="str">
        <f>IFERROR(__xludf.DUMMYFUNCTION("""COMPUTED_VALUE"""),"Campo de Golf Playa los Cocos")</f>
        <v>Campo de Golf Playa los Cocos</v>
      </c>
    </row>
    <row r="1377">
      <c r="A1377" s="44">
        <v>1376.0</v>
      </c>
      <c r="B1377" s="44" t="str">
        <f>IFERROR(__xludf.DUMMYFUNCTION("""COMPUTED_VALUE"""),"Hospital Domingo Luciani")</f>
        <v>Hospital Domingo Luciani</v>
      </c>
      <c r="C1377" s="45" t="str">
        <f>IFERROR(__xludf.DUMMYFUNCTION("""COMPUTED_VALUE"""),"BORGES CARMEN")</f>
        <v>BORGES CARMEN</v>
      </c>
      <c r="D1377" s="44">
        <f>IFERROR(__xludf.DUMMYFUNCTION("""COMPUTED_VALUE"""),68.0)</f>
        <v>68</v>
      </c>
      <c r="E1377" s="44" t="str">
        <f>IFERROR(__xludf.DUMMYFUNCTION("""COMPUTED_VALUE"""),"")</f>
        <v/>
      </c>
      <c r="F1377" s="44" t="str">
        <f>IFERROR(__xludf.DUMMYFUNCTION("""COMPUTED_VALUE"""),"")</f>
        <v/>
      </c>
      <c r="G1377" s="44" t="str">
        <f>IFERROR(__xludf.DUMMYFUNCTION("""COMPUTED_VALUE""")," ")</f>
        <v> </v>
      </c>
      <c r="H1377" s="44" t="str">
        <f>IFERROR(__xludf.DUMMYFUNCTION("""COMPUTED_VALUE"""),"El Hatillo")</f>
        <v>El Hatillo</v>
      </c>
      <c r="I1377" s="44" t="str">
        <f>IFERROR(__xludf.DUMMYFUNCTION("""COMPUTED_VALUE""")," ")</f>
        <v> </v>
      </c>
      <c r="J1377" s="44" t="str">
        <f>IFERROR(__xludf.DUMMYFUNCTION("""COMPUTED_VALUE"""),"")</f>
        <v/>
      </c>
      <c r="K1377" s="42" t="str">
        <f>IFERROR(__xludf.DUMMYFUNCTION("""COMPUTED_VALUE"""),"🔍 BUSCAR PACIENTES")</f>
        <v>🔍 BUSCAR PACIENTES</v>
      </c>
    </row>
    <row r="1378">
      <c r="A1378" s="44">
        <v>1377.0</v>
      </c>
      <c r="B1378" s="44" t="str">
        <f>IFERROR(__xludf.DUMMYFUNCTION("""COMPUTED_VALUE"""),"Hospital Domingo Luciani")</f>
        <v>Hospital Domingo Luciani</v>
      </c>
      <c r="C1378" s="45" t="str">
        <f>IFERROR(__xludf.DUMMYFUNCTION("""COMPUTED_VALUE"""),"BORGES LILIANE")</f>
        <v>BORGES LILIANE</v>
      </c>
      <c r="D1378" s="44">
        <f>IFERROR(__xludf.DUMMYFUNCTION("""COMPUTED_VALUE"""),21.0)</f>
        <v>21</v>
      </c>
      <c r="E1378" s="44" t="str">
        <f>IFERROR(__xludf.DUMMYFUNCTION("""COMPUTED_VALUE"""),"")</f>
        <v/>
      </c>
      <c r="F1378" s="44" t="str">
        <f>IFERROR(__xludf.DUMMYFUNCTION("""COMPUTED_VALUE"""),"")</f>
        <v/>
      </c>
      <c r="G1378" s="44" t="str">
        <f>IFERROR(__xludf.DUMMYFUNCTION("""COMPUTED_VALUE""")," ")</f>
        <v> </v>
      </c>
      <c r="H1378" s="44" t="str">
        <f>IFERROR(__xludf.DUMMYFUNCTION("""COMPUTED_VALUE"""),"La Guaira")</f>
        <v>La Guaira</v>
      </c>
      <c r="I1378" s="44" t="str">
        <f>IFERROR(__xludf.DUMMYFUNCTION("""COMPUTED_VALUE""")," ")</f>
        <v> </v>
      </c>
      <c r="J1378" s="44" t="str">
        <f>IFERROR(__xludf.DUMMYFUNCTION("""COMPUTED_VALUE"""),"")</f>
        <v/>
      </c>
      <c r="K1378" s="42" t="str">
        <f>IFERROR(__xludf.DUMMYFUNCTION("""COMPUTED_VALUE"""),"🔍 BUSCAR PACIENTES")</f>
        <v>🔍 BUSCAR PACIENTES</v>
      </c>
    </row>
    <row r="1379">
      <c r="A1379" s="44">
        <v>1378.0</v>
      </c>
      <c r="B1379" s="44" t="str">
        <f>IFERROR(__xludf.DUMMYFUNCTION("""COMPUTED_VALUE"""),"Periférico de Catia")</f>
        <v>Periférico de Catia</v>
      </c>
      <c r="C1379" s="45" t="str">
        <f>IFERROR(__xludf.DUMMYFUNCTION("""COMPUTED_VALUE"""),"Bosparte Ronny")</f>
        <v>Bosparte Ronny</v>
      </c>
      <c r="D1379" s="44">
        <f>IFERROR(__xludf.DUMMYFUNCTION("""COMPUTED_VALUE"""),38.0)</f>
        <v>38</v>
      </c>
      <c r="E1379" s="44" t="str">
        <f>IFERROR(__xludf.DUMMYFUNCTION("""COMPUTED_VALUE"""),"")</f>
        <v/>
      </c>
      <c r="F1379" s="44" t="str">
        <f>IFERROR(__xludf.DUMMYFUNCTION("""COMPUTED_VALUE"""),"")</f>
        <v/>
      </c>
      <c r="G1379" s="44"/>
      <c r="H1379" s="44"/>
      <c r="I1379" s="44" t="str">
        <f>IFERROR(__xludf.DUMMYFUNCTION("""COMPUTED_VALUE"""),"Lista adicional (pizarra extensa sin titulo de sala especifico)")</f>
        <v>Lista adicional (pizarra extensa sin titulo de sala especifico)</v>
      </c>
      <c r="J1379" s="44" t="str">
        <f>IFERROR(__xludf.DUMMYFUNCTION("""COMPUTED_VALUE"""),"")</f>
        <v/>
      </c>
      <c r="K1379" s="42" t="str">
        <f>IFERROR(__xludf.DUMMYFUNCTION("""COMPUTED_VALUE"""),"Periférico de Catia")</f>
        <v>Periférico de Catia</v>
      </c>
    </row>
    <row r="1380">
      <c r="A1380" s="44">
        <v>1379.0</v>
      </c>
      <c r="B1380" s="44" t="str">
        <f>IFERROR(__xludf.DUMMYFUNCTION("""COMPUTED_VALUE"""),"Hospital Domingo Luciani")</f>
        <v>Hospital Domingo Luciani</v>
      </c>
      <c r="C1380" s="45" t="str">
        <f>IFERROR(__xludf.DUMMYFUNCTION("""COMPUTED_VALUE"""),"BOSPARTTE RONNY")</f>
        <v>BOSPARTTE RONNY</v>
      </c>
      <c r="D1380" s="44">
        <f>IFERROR(__xludf.DUMMYFUNCTION("""COMPUTED_VALUE"""),33.0)</f>
        <v>33</v>
      </c>
      <c r="E1380" s="44" t="str">
        <f>IFERROR(__xludf.DUMMYFUNCTION("""COMPUTED_VALUE"""),"")</f>
        <v/>
      </c>
      <c r="F1380" s="44" t="str">
        <f>IFERROR(__xludf.DUMMYFUNCTION("""COMPUTED_VALUE"""),"")</f>
        <v/>
      </c>
      <c r="G1380" s="44" t="str">
        <f>IFERROR(__xludf.DUMMYFUNCTION("""COMPUTED_VALUE""")," ")</f>
        <v> </v>
      </c>
      <c r="H1380" s="44" t="str">
        <f>IFERROR(__xludf.DUMMYFUNCTION("""COMPUTED_VALUE""")," ")</f>
        <v> </v>
      </c>
      <c r="I1380" s="44" t="str">
        <f>IFERROR(__xludf.DUMMYFUNCTION("""COMPUTED_VALUE""")," ")</f>
        <v> </v>
      </c>
      <c r="J1380" s="44" t="str">
        <f>IFERROR(__xludf.DUMMYFUNCTION("""COMPUTED_VALUE"""),"")</f>
        <v/>
      </c>
      <c r="K1380" s="42" t="str">
        <f>IFERROR(__xludf.DUMMYFUNCTION("""COMPUTED_VALUE"""),"🔍 BUSCAR PACIENTES")</f>
        <v>🔍 BUSCAR PACIENTES</v>
      </c>
    </row>
    <row r="1381">
      <c r="A1381" s="44">
        <v>1380.0</v>
      </c>
      <c r="B1381" s="44" t="str">
        <f>IFERROR(__xludf.DUMMYFUNCTION("""COMPUTED_VALUE"""),"Hospital Pérez Carreño")</f>
        <v>Hospital Pérez Carreño</v>
      </c>
      <c r="C1381" s="45" t="str">
        <f>IFERROR(__xludf.DUMMYFUNCTION("""COMPUTED_VALUE"""),"BOUS CANDELARIO")</f>
        <v>BOUS CANDELARIO</v>
      </c>
      <c r="D1381" s="44" t="str">
        <f>IFERROR(__xludf.DUMMYFUNCTION("""COMPUTED_VALUE""")," ")</f>
        <v> </v>
      </c>
      <c r="E1381" s="44" t="str">
        <f>IFERROR(__xludf.DUMMYFUNCTION("""COMPUTED_VALUE"""),"")</f>
        <v/>
      </c>
      <c r="F1381" s="44" t="str">
        <f>IFERROR(__xludf.DUMMYFUNCTION("""COMPUTED_VALUE"""),"")</f>
        <v/>
      </c>
      <c r="G1381" s="44" t="str">
        <f>IFERROR(__xludf.DUMMYFUNCTION("""COMPUTED_VALUE""")," ")</f>
        <v> </v>
      </c>
      <c r="H1381" s="44" t="str">
        <f>IFERROR(__xludf.DUMMYFUNCTION("""COMPUTED_VALUE""")," ")</f>
        <v> </v>
      </c>
      <c r="I1381" s="44" t="str">
        <f>IFERROR(__xludf.DUMMYFUNCTION("""COMPUTED_VALUE"""),"Traumachok – Traumatología; La Guaira")</f>
        <v>Traumachok – Traumatología; La Guaira</v>
      </c>
      <c r="J1381" s="44" t="str">
        <f>IFERROR(__xludf.DUMMYFUNCTION("""COMPUTED_VALUE"""),"25/06/2026")</f>
        <v>25/06/2026</v>
      </c>
      <c r="K1381" s="42" t="str">
        <f>IFERROR(__xludf.DUMMYFUNCTION("""COMPUTED_VALUE"""),"Hospital Pérez Carreño")</f>
        <v>Hospital Pérez Carreño</v>
      </c>
    </row>
    <row r="1382">
      <c r="A1382" s="44">
        <v>1381.0</v>
      </c>
      <c r="B1382" s="44" t="str">
        <f>IFERROR(__xludf.DUMMYFUNCTION("""COMPUTED_VALUE"""),"Hospital Pérez Carreño")</f>
        <v>Hospital Pérez Carreño</v>
      </c>
      <c r="C1382" s="45" t="str">
        <f>IFERROR(__xludf.DUMMYFUNCTION("""COMPUTED_VALUE"""),"Bovs Candelario")</f>
        <v>Bovs Candelario</v>
      </c>
      <c r="D1382" s="44"/>
      <c r="E1382" s="44" t="str">
        <f>IFERROR(__xludf.DUMMYFUNCTION("""COMPUTED_VALUE"""),"")</f>
        <v/>
      </c>
      <c r="F1382" s="44" t="str">
        <f>IFERROR(__xludf.DUMMYFUNCTION("""COMPUTED_VALUE"""),"")</f>
        <v/>
      </c>
      <c r="G1382" s="44" t="str">
        <f>IFERROR(__xludf.DUMMYFUNCTION("""COMPUTED_VALUE"""),"Traumashock ")</f>
        <v>Traumashock </v>
      </c>
      <c r="H1382" s="44" t="str">
        <f>IFERROR(__xludf.DUMMYFUNCTION("""COMPUTED_VALUE"""),"Hospital Miguel Perez Carreño")</f>
        <v>Hospital Miguel Perez Carreño</v>
      </c>
      <c r="I1382" s="44"/>
      <c r="J1382" s="44" t="str">
        <f>IFERROR(__xludf.DUMMYFUNCTION("""COMPUTED_VALUE"""),"26/6/26")</f>
        <v>26/6/26</v>
      </c>
      <c r="K1382" s="42" t="str">
        <f>IFERROR(__xludf.DUMMYFUNCTION("""COMPUTED_VALUE"""),"Hospital Pérez Carreño")</f>
        <v>Hospital Pérez Carreño</v>
      </c>
    </row>
    <row r="1383">
      <c r="A1383" s="44">
        <v>1382.0</v>
      </c>
      <c r="B1383" s="44" t="str">
        <f>IFERROR(__xludf.DUMMYFUNCTION("""COMPUTED_VALUE"""),"Hospital Pérez Carreño")</f>
        <v>Hospital Pérez Carreño</v>
      </c>
      <c r="C1383" s="45" t="str">
        <f>IFERROR(__xludf.DUMMYFUNCTION("""COMPUTED_VALUE"""),"Bracamonte Rojas Genesis")</f>
        <v>Bracamonte Rojas Genesis</v>
      </c>
      <c r="D1383" s="44"/>
      <c r="E1383" s="44" t="str">
        <f>IFERROR(__xludf.DUMMYFUNCTION("""COMPUTED_VALUE"""),"")</f>
        <v/>
      </c>
      <c r="F1383" s="44" t="str">
        <f>IFERROR(__xludf.DUMMYFUNCTION("""COMPUTED_VALUE"""),"")</f>
        <v/>
      </c>
      <c r="G1383" s="44" t="str">
        <f>IFERROR(__xludf.DUMMYFUNCTION("""COMPUTED_VALUE"""),"Traslados")</f>
        <v>Traslados</v>
      </c>
      <c r="H1383" s="44" t="str">
        <f>IFERROR(__xludf.DUMMYFUNCTION("""COMPUTED_VALUE"""),"Hospital Miguel Perez Carreño")</f>
        <v>Hospital Miguel Perez Carreño</v>
      </c>
      <c r="I1383" s="44"/>
      <c r="J1383" s="44" t="str">
        <f>IFERROR(__xludf.DUMMYFUNCTION("""COMPUTED_VALUE"""),"26/6/26")</f>
        <v>26/6/26</v>
      </c>
      <c r="K1383" s="42" t="str">
        <f>IFERROR(__xludf.DUMMYFUNCTION("""COMPUTED_VALUE"""),"Hospital Pérez Carreño")</f>
        <v>Hospital Pérez Carreño</v>
      </c>
    </row>
    <row r="1384">
      <c r="A1384" s="44">
        <v>1383.0</v>
      </c>
      <c r="B1384" s="44" t="str">
        <f>IFERROR(__xludf.DUMMYFUNCTION("""COMPUTED_VALUE"""),"Hospital Pérez Carreño")</f>
        <v>Hospital Pérez Carreño</v>
      </c>
      <c r="C1384" s="45" t="str">
        <f>IFERROR(__xludf.DUMMYFUNCTION("""COMPUTED_VALUE"""),"BRACHO ADRIANA")</f>
        <v>BRACHO ADRIANA</v>
      </c>
      <c r="D1384" s="44" t="str">
        <f>IFERROR(__xludf.DUMMYFUNCTION("""COMPUTED_VALUE""")," ")</f>
        <v> </v>
      </c>
      <c r="E1384" s="44" t="str">
        <f>IFERROR(__xludf.DUMMYFUNCTION("""COMPUTED_VALUE"""),"")</f>
        <v/>
      </c>
      <c r="F1384" s="44" t="str">
        <f>IFERROR(__xludf.DUMMYFUNCTION("""COMPUTED_VALUE"""),"")</f>
        <v/>
      </c>
      <c r="G1384" s="44" t="str">
        <f>IFERROR(__xludf.DUMMYFUNCTION("""COMPUTED_VALUE""")," ")</f>
        <v> </v>
      </c>
      <c r="H1384" s="44" t="str">
        <f>IFERROR(__xludf.DUMMYFUNCTION("""COMPUTED_VALUE""")," ")</f>
        <v> </v>
      </c>
      <c r="I1384" s="44" t="str">
        <f>IFERROR(__xludf.DUMMYFUNCTION("""COMPUTED_VALUE"""),"Internado")</f>
        <v>Internado</v>
      </c>
      <c r="J1384" s="44" t="str">
        <f>IFERROR(__xludf.DUMMYFUNCTION("""COMPUTED_VALUE"""),"25/06/2026")</f>
        <v>25/06/2026</v>
      </c>
      <c r="K1384" s="42" t="str">
        <f>IFERROR(__xludf.DUMMYFUNCTION("""COMPUTED_VALUE"""),"Hospital Pérez Carreño")</f>
        <v>Hospital Pérez Carreño</v>
      </c>
    </row>
    <row r="1385">
      <c r="A1385" s="44">
        <v>1384.0</v>
      </c>
      <c r="B1385" s="44" t="str">
        <f>IFERROR(__xludf.DUMMYFUNCTION("""COMPUTED_VALUE"""),"Periférico de Catia")</f>
        <v>Periférico de Catia</v>
      </c>
      <c r="C1385" s="45" t="str">
        <f>IFERROR(__xludf.DUMMYFUNCTION("""COMPUTED_VALUE"""),"Bradian Garcia")</f>
        <v>Bradian Garcia</v>
      </c>
      <c r="D1385" s="44">
        <f>IFERROR(__xludf.DUMMYFUNCTION("""COMPUTED_VALUE"""),8.0)</f>
        <v>8</v>
      </c>
      <c r="E1385" s="44" t="str">
        <f>IFERROR(__xludf.DUMMYFUNCTION("""COMPUTED_VALUE"""),"")</f>
        <v/>
      </c>
      <c r="F1385" s="44" t="str">
        <f>IFERROR(__xludf.DUMMYFUNCTION("""COMPUTED_VALUE"""),"")</f>
        <v/>
      </c>
      <c r="G1385" s="44"/>
      <c r="H1385" s="44" t="str">
        <f>IFERROR(__xludf.DUMMYFUNCTION("""COMPUTED_VALUE"""),"La Guaira")</f>
        <v>La Guaira</v>
      </c>
      <c r="I1385" s="44" t="str">
        <f>IFERROR(__xludf.DUMMYFUNCTION("""COMPUTED_VALUE"""),"Pediatria. Todos procedentes de La Guaira segun nota del 26/06 7:00am")</f>
        <v>Pediatria. Todos procedentes de La Guaira segun nota del 26/06 7:00am</v>
      </c>
      <c r="J1385" s="44" t="str">
        <f>IFERROR(__xludf.DUMMYFUNCTION("""COMPUTED_VALUE"""),"")</f>
        <v/>
      </c>
      <c r="K1385" s="42" t="str">
        <f>IFERROR(__xludf.DUMMYFUNCTION("""COMPUTED_VALUE"""),"Periférico de Catia")</f>
        <v>Periférico de Catia</v>
      </c>
    </row>
    <row r="1386">
      <c r="A1386" s="44">
        <v>1385.0</v>
      </c>
      <c r="B1386" s="44" t="str">
        <f>IFERROR(__xludf.DUMMYFUNCTION("""COMPUTED_VALUE"""),"H. Jose Maria Vargas LG")</f>
        <v>H. Jose Maria Vargas LG</v>
      </c>
      <c r="C1386" s="45" t="str">
        <f>IFERROR(__xludf.DUMMYFUNCTION("""COMPUTED_VALUE"""),"BRANDON ARANNA")</f>
        <v>BRANDON ARANNA</v>
      </c>
      <c r="D1386" s="44" t="str">
        <f>IFERROR(__xludf.DUMMYFUNCTION("""COMPUTED_VALUE""")," ")</f>
        <v> </v>
      </c>
      <c r="E1386" s="44" t="str">
        <f>IFERROR(__xludf.DUMMYFUNCTION("""COMPUTED_VALUE"""),"")</f>
        <v/>
      </c>
      <c r="F1386" s="44" t="str">
        <f>IFERROR(__xludf.DUMMYFUNCTION("""COMPUTED_VALUE"""),"")</f>
        <v/>
      </c>
      <c r="G1386" s="44" t="str">
        <f>IFERROR(__xludf.DUMMYFUNCTION("""COMPUTED_VALUE""")," ")</f>
        <v> </v>
      </c>
      <c r="H1386" s="44" t="str">
        <f>IFERROR(__xludf.DUMMYFUNCTION("""COMPUTED_VALUE""")," ")</f>
        <v> </v>
      </c>
      <c r="I1386" s="44" t="str">
        <f>IFERROR(__xludf.DUMMYFUNCTION("""COMPUTED_VALUE""")," ")</f>
        <v> </v>
      </c>
      <c r="J1386" s="44" t="str">
        <f>IFERROR(__xludf.DUMMYFUNCTION("""COMPUTED_VALUE"""),"")</f>
        <v/>
      </c>
      <c r="K1386" s="42" t="str">
        <f>IFERROR(__xludf.DUMMYFUNCTION("""COMPUTED_VALUE"""),"H. Jose Maria Vargas LG")</f>
        <v>H. Jose Maria Vargas LG</v>
      </c>
    </row>
    <row r="1387">
      <c r="A1387" s="44">
        <v>1386.0</v>
      </c>
      <c r="B1387" s="44" t="str">
        <f>IFERROR(__xludf.DUMMYFUNCTION("""COMPUTED_VALUE"""),"Campo de Golf Playa los Cocos")</f>
        <v>Campo de Golf Playa los Cocos</v>
      </c>
      <c r="C1387" s="45" t="str">
        <f>IFERROR(__xludf.DUMMYFUNCTION("""COMPUTED_VALUE"""),"Branyeska Landaeta")</f>
        <v>Branyeska Landaeta</v>
      </c>
      <c r="D1387" s="44" t="str">
        <f>IFERROR(__xludf.DUMMYFUNCTION("""COMPUTED_VALUE"""),"")</f>
        <v/>
      </c>
      <c r="E1387" s="44" t="str">
        <f>IFERROR(__xludf.DUMMYFUNCTION("""COMPUTED_VALUE"""),"")</f>
        <v/>
      </c>
      <c r="F1387" s="44" t="str">
        <f>IFERROR(__xludf.DUMMYFUNCTION("""COMPUTED_VALUE"""),"")</f>
        <v/>
      </c>
      <c r="G1387" s="44" t="str">
        <f>IFERROR(__xludf.DUMMYFUNCTION("""COMPUTED_VALUE"""),"")</f>
        <v/>
      </c>
      <c r="H1387" s="44" t="str">
        <f>IFERROR(__xludf.DUMMYFUNCTION("""COMPUTED_VALUE"""),"")</f>
        <v/>
      </c>
      <c r="I1387" s="44"/>
      <c r="J1387" s="44" t="str">
        <f>IFERROR(__xludf.DUMMYFUNCTION("""COMPUTED_VALUE"""),"")</f>
        <v/>
      </c>
      <c r="K1387" s="42" t="str">
        <f>IFERROR(__xludf.DUMMYFUNCTION("""COMPUTED_VALUE"""),"Campo de Golf Playa los Cocos")</f>
        <v>Campo de Golf Playa los Cocos</v>
      </c>
    </row>
    <row r="1388">
      <c r="A1388" s="44">
        <v>1387.0</v>
      </c>
      <c r="B1388" s="44" t="str">
        <f>IFERROR(__xludf.DUMMYFUNCTION("""COMPUTED_VALUE"""),"Hospital Ana Francisca Pérez de")</f>
        <v>Hospital Ana Francisca Pérez de</v>
      </c>
      <c r="C1388" s="45" t="str">
        <f>IFERROR(__xludf.DUMMYFUNCTION("""COMPUTED_VALUE"""),"BRAZADO JOAQUIN")</f>
        <v>BRAZADO JOAQUIN</v>
      </c>
      <c r="D1388" s="44">
        <f>IFERROR(__xludf.DUMMYFUNCTION("""COMPUTED_VALUE"""),7.0)</f>
        <v>7</v>
      </c>
      <c r="E1388" s="44" t="str">
        <f>IFERROR(__xludf.DUMMYFUNCTION("""COMPUTED_VALUE"""),"")</f>
        <v/>
      </c>
      <c r="F1388" s="44" t="str">
        <f>IFERROR(__xludf.DUMMYFUNCTION("""COMPUTED_VALUE"""),"")</f>
        <v/>
      </c>
      <c r="G1388" s="44" t="str">
        <f>IFERROR(__xludf.DUMMYFUNCTION("""COMPUTED_VALUE""")," ")</f>
        <v> </v>
      </c>
      <c r="H1388" s="44" t="str">
        <f>IFERROR(__xludf.DUMMYFUNCTION("""COMPUTED_VALUE""")," ")</f>
        <v> </v>
      </c>
      <c r="I1388" s="44" t="str">
        <f>IFERROR(__xludf.DUMMYFUNCTION("""COMPUTED_VALUE"""),"Internado")</f>
        <v>Internado</v>
      </c>
      <c r="J1388" s="44" t="str">
        <f>IFERROR(__xludf.DUMMYFUNCTION("""COMPUTED_VALUE"""),"")</f>
        <v/>
      </c>
      <c r="K1388" s="42" t="str">
        <f>IFERROR(__xludf.DUMMYFUNCTION("""COMPUTED_VALUE"""),"Hospital Ana Francisca Pérez de")</f>
        <v>Hospital Ana Francisca Pérez de</v>
      </c>
    </row>
    <row r="1389">
      <c r="A1389" s="44">
        <v>1388.0</v>
      </c>
      <c r="B1389" s="44" t="str">
        <f>IFERROR(__xludf.DUMMYFUNCTION("""COMPUTED_VALUE"""),"Hospital Pérez Carreño")</f>
        <v>Hospital Pérez Carreño</v>
      </c>
      <c r="C1389" s="45" t="str">
        <f>IFERROR(__xludf.DUMMYFUNCTION("""COMPUTED_VALUE"""),"Breiner Vivian")</f>
        <v>Breiner Vivian</v>
      </c>
      <c r="D1389" s="44" t="str">
        <f>IFERROR(__xludf.DUMMYFUNCTION("""COMPUTED_VALUE"""),"24 años")</f>
        <v>24 años</v>
      </c>
      <c r="E1389" s="44" t="str">
        <f>IFERROR(__xludf.DUMMYFUNCTION("""COMPUTED_VALUE"""),"")</f>
        <v/>
      </c>
      <c r="F1389" s="44" t="str">
        <f>IFERROR(__xludf.DUMMYFUNCTION("""COMPUTED_VALUE"""),"")</f>
        <v/>
      </c>
      <c r="G1389" s="44" t="str">
        <f>IFERROR(__xludf.DUMMYFUNCTION("""COMPUTED_VALUE"""),"Traumashock ")</f>
        <v>Traumashock </v>
      </c>
      <c r="H1389" s="44" t="str">
        <f>IFERROR(__xludf.DUMMYFUNCTION("""COMPUTED_VALUE"""),"Hospital Miguel Perez Carreño")</f>
        <v>Hospital Miguel Perez Carreño</v>
      </c>
      <c r="I1389" s="44"/>
      <c r="J1389" s="44" t="str">
        <f>IFERROR(__xludf.DUMMYFUNCTION("""COMPUTED_VALUE"""),"26/6/26")</f>
        <v>26/6/26</v>
      </c>
      <c r="K1389" s="42" t="str">
        <f>IFERROR(__xludf.DUMMYFUNCTION("""COMPUTED_VALUE"""),"Hospital Pérez Carreño")</f>
        <v>Hospital Pérez Carreño</v>
      </c>
    </row>
    <row r="1390">
      <c r="A1390" s="44">
        <v>1389.0</v>
      </c>
      <c r="B1390" s="44" t="str">
        <f>IFERROR(__xludf.DUMMYFUNCTION("""COMPUTED_VALUE"""),"Hospital Pérez Carreño")</f>
        <v>Hospital Pérez Carreño</v>
      </c>
      <c r="C1390" s="45" t="str">
        <f>IFERROR(__xludf.DUMMYFUNCTION("""COMPUTED_VALUE"""),"BRICENO AMIKAR")</f>
        <v>BRICENO AMIKAR</v>
      </c>
      <c r="D1390" s="44" t="str">
        <f>IFERROR(__xludf.DUMMYFUNCTION("""COMPUTED_VALUE""")," ")</f>
        <v> </v>
      </c>
      <c r="E1390" s="44" t="str">
        <f>IFERROR(__xludf.DUMMYFUNCTION("""COMPUTED_VALUE"""),"")</f>
        <v/>
      </c>
      <c r="F1390" s="44" t="str">
        <f>IFERROR(__xludf.DUMMYFUNCTION("""COMPUTED_VALUE"""),"")</f>
        <v/>
      </c>
      <c r="G1390" s="44" t="str">
        <f>IFERROR(__xludf.DUMMYFUNCTION("""COMPUTED_VALUE""")," ")</f>
        <v> </v>
      </c>
      <c r="H1390" s="44" t="str">
        <f>IFERROR(__xludf.DUMMYFUNCTION("""COMPUTED_VALUE""")," ")</f>
        <v> </v>
      </c>
      <c r="I1390" s="44" t="str">
        <f>IFERROR(__xludf.DUMMYFUNCTION("""COMPUTED_VALUE"""),"Piso 3 – Traumachok; La Guaira")</f>
        <v>Piso 3 – Traumachok; La Guaira</v>
      </c>
      <c r="J1390" s="44" t="str">
        <f>IFERROR(__xludf.DUMMYFUNCTION("""COMPUTED_VALUE"""),"25/06/2026")</f>
        <v>25/06/2026</v>
      </c>
      <c r="K1390" s="42" t="str">
        <f>IFERROR(__xludf.DUMMYFUNCTION("""COMPUTED_VALUE"""),"Hospital Pérez Carreño")</f>
        <v>Hospital Pérez Carreño</v>
      </c>
    </row>
    <row r="1391">
      <c r="A1391" s="44">
        <v>1390.0</v>
      </c>
      <c r="B1391" s="44" t="str">
        <f>IFERROR(__xludf.DUMMYFUNCTION("""COMPUTED_VALUE"""),"Hospital Pérez Carreño")</f>
        <v>Hospital Pérez Carreño</v>
      </c>
      <c r="C1391" s="45" t="str">
        <f>IFERROR(__xludf.DUMMYFUNCTION("""COMPUTED_VALUE"""),"Briceño Amilcar")</f>
        <v>Briceño Amilcar</v>
      </c>
      <c r="D1391" s="44"/>
      <c r="E1391" s="44" t="str">
        <f>IFERROR(__xludf.DUMMYFUNCTION("""COMPUTED_VALUE"""),"")</f>
        <v/>
      </c>
      <c r="F1391" s="44" t="str">
        <f>IFERROR(__xludf.DUMMYFUNCTION("""COMPUTED_VALUE"""),"")</f>
        <v/>
      </c>
      <c r="G1391" s="44" t="str">
        <f>IFERROR(__xludf.DUMMYFUNCTION("""COMPUTED_VALUE"""),"Traslados con destino asignado")</f>
        <v>Traslados con destino asignado</v>
      </c>
      <c r="H1391" s="44" t="str">
        <f>IFERROR(__xludf.DUMMYFUNCTION("""COMPUTED_VALUE"""),"Hospital Miguel Perez Carreño")</f>
        <v>Hospital Miguel Perez Carreño</v>
      </c>
      <c r="I1391" s="44"/>
      <c r="J1391" s="44" t="str">
        <f>IFERROR(__xludf.DUMMYFUNCTION("""COMPUTED_VALUE"""),"26/6/26")</f>
        <v>26/6/26</v>
      </c>
      <c r="K1391" s="42" t="str">
        <f>IFERROR(__xludf.DUMMYFUNCTION("""COMPUTED_VALUE"""),"Hospital Pérez Carreño")</f>
        <v>Hospital Pérez Carreño</v>
      </c>
    </row>
    <row r="1392">
      <c r="A1392" s="44">
        <v>1391.0</v>
      </c>
      <c r="B1392" s="44" t="str">
        <f>IFERROR(__xludf.DUMMYFUNCTION("""COMPUTED_VALUE"""),"Hospital Pérez Carreño")</f>
        <v>Hospital Pérez Carreño</v>
      </c>
      <c r="C1392" s="45" t="str">
        <f>IFERROR(__xludf.DUMMYFUNCTION("""COMPUTED_VALUE"""),"Briceño Amilkar")</f>
        <v>Briceño Amilkar</v>
      </c>
      <c r="D1392" s="44"/>
      <c r="E1392" s="44" t="str">
        <f>IFERROR(__xludf.DUMMYFUNCTION("""COMPUTED_VALUE"""),"")</f>
        <v/>
      </c>
      <c r="F1392" s="44" t="str">
        <f>IFERROR(__xludf.DUMMYFUNCTION("""COMPUTED_VALUE"""),"")</f>
        <v/>
      </c>
      <c r="G1392" s="44" t="str">
        <f>IFERROR(__xludf.DUMMYFUNCTION("""COMPUTED_VALUE"""),"Traumashock")</f>
        <v>Traumashock</v>
      </c>
      <c r="H1392" s="44" t="str">
        <f>IFERROR(__xludf.DUMMYFUNCTION("""COMPUTED_VALUE"""),"Hospital Miguel Perez Carreño")</f>
        <v>Hospital Miguel Perez Carreño</v>
      </c>
      <c r="I1392" s="44"/>
      <c r="J1392" s="44" t="str">
        <f>IFERROR(__xludf.DUMMYFUNCTION("""COMPUTED_VALUE"""),"26/6/26")</f>
        <v>26/6/26</v>
      </c>
      <c r="K1392" s="42" t="str">
        <f>IFERROR(__xludf.DUMMYFUNCTION("""COMPUTED_VALUE"""),"Hospital Pérez Carreño")</f>
        <v>Hospital Pérez Carreño</v>
      </c>
    </row>
    <row r="1393">
      <c r="A1393" s="44">
        <v>1392.0</v>
      </c>
      <c r="B1393" s="44" t="str">
        <f>IFERROR(__xludf.DUMMYFUNCTION("""COMPUTED_VALUE"""),"Hospital Domingo Luciani")</f>
        <v>Hospital Domingo Luciani</v>
      </c>
      <c r="C1393" s="45" t="str">
        <f>IFERROR(__xludf.DUMMYFUNCTION("""COMPUTED_VALUE"""),"BRICENO CARMEN BLANCO")</f>
        <v>BRICENO CARMEN BLANCO</v>
      </c>
      <c r="D1393" s="44" t="str">
        <f>IFERROR(__xludf.DUMMYFUNCTION("""COMPUTED_VALUE""")," ")</f>
        <v> </v>
      </c>
      <c r="E1393" s="44" t="str">
        <f>IFERROR(__xludf.DUMMYFUNCTION("""COMPUTED_VALUE"""),"")</f>
        <v/>
      </c>
      <c r="F1393" s="44" t="str">
        <f>IFERROR(__xludf.DUMMYFUNCTION("""COMPUTED_VALUE"""),"")</f>
        <v/>
      </c>
      <c r="G1393" s="44" t="str">
        <f>IFERROR(__xludf.DUMMYFUNCTION("""COMPUTED_VALUE""")," ")</f>
        <v> </v>
      </c>
      <c r="H1393" s="44" t="str">
        <f>IFERROR(__xludf.DUMMYFUNCTION("""COMPUTED_VALUE""")," ")</f>
        <v> </v>
      </c>
      <c r="I1393" s="44" t="str">
        <f>IFERROR(__xludf.DUMMYFUNCTION("""COMPUTED_VALUE"""),"Internado; Politrauma")</f>
        <v>Internado; Politrauma</v>
      </c>
      <c r="J1393" s="44" t="str">
        <f>IFERROR(__xludf.DUMMYFUNCTION("""COMPUTED_VALUE"""),"")</f>
        <v/>
      </c>
      <c r="K1393" s="42" t="str">
        <f>IFERROR(__xludf.DUMMYFUNCTION("""COMPUTED_VALUE"""),"🔍 BUSCAR PACIENTES")</f>
        <v>🔍 BUSCAR PACIENTES</v>
      </c>
    </row>
    <row r="1394">
      <c r="A1394" s="44">
        <v>1393.0</v>
      </c>
      <c r="B1394" s="44" t="str">
        <f>IFERROR(__xludf.DUMMYFUNCTION("""COMPUTED_VALUE"""),"Hospital Domingo Luciani")</f>
        <v>Hospital Domingo Luciani</v>
      </c>
      <c r="C1394" s="45" t="str">
        <f>IFERROR(__xludf.DUMMYFUNCTION("""COMPUTED_VALUE"""),"BRICEÑO CARMEN BLANCO / BRICEÑO BLANCO CARMEN")</f>
        <v>BRICEÑO CARMEN BLANCO / BRICEÑO BLANCO CARMEN</v>
      </c>
      <c r="D1394" s="44" t="str">
        <f>IFERROR(__xludf.DUMMYFUNCTION("""COMPUTED_VALUE""")," ")</f>
        <v> </v>
      </c>
      <c r="E1394" s="44" t="str">
        <f>IFERROR(__xludf.DUMMYFUNCTION("""COMPUTED_VALUE"""),"")</f>
        <v/>
      </c>
      <c r="F1394" s="44" t="str">
        <f>IFERROR(__xludf.DUMMYFUNCTION("""COMPUTED_VALUE"""),"")</f>
        <v/>
      </c>
      <c r="G1394" s="44" t="str">
        <f>IFERROR(__xludf.DUMMYFUNCTION("""COMPUTED_VALUE""")," ")</f>
        <v> </v>
      </c>
      <c r="H1394" s="44" t="str">
        <f>IFERROR(__xludf.DUMMYFUNCTION("""COMPUTED_VALUE""")," ")</f>
        <v> </v>
      </c>
      <c r="I1394" s="44" t="str">
        <f>IFERROR(__xludf.DUMMYFUNCTION("""COMPUTED_VALUE"""),"Politrauma")</f>
        <v>Politrauma</v>
      </c>
      <c r="J1394" s="44" t="str">
        <f>IFERROR(__xludf.DUMMYFUNCTION("""COMPUTED_VALUE"""),"")</f>
        <v/>
      </c>
      <c r="K1394" s="42" t="str">
        <f>IFERROR(__xludf.DUMMYFUNCTION("""COMPUTED_VALUE"""),"🔍 BUSCAR PACIENTES")</f>
        <v>🔍 BUSCAR PACIENTES</v>
      </c>
    </row>
    <row r="1395">
      <c r="A1395" s="44">
        <v>1394.0</v>
      </c>
      <c r="B1395" s="44" t="str">
        <f>IFERROR(__xludf.DUMMYFUNCTION("""COMPUTED_VALUE"""),"Centro de Acopio Caraballeda")</f>
        <v>Centro de Acopio Caraballeda</v>
      </c>
      <c r="C1395" s="45" t="str">
        <f>IFERROR(__xludf.DUMMYFUNCTION("""COMPUTED_VALUE"""),"BRICENO MARY")</f>
        <v>BRICENO MARY</v>
      </c>
      <c r="D1395" s="44" t="str">
        <f>IFERROR(__xludf.DUMMYFUNCTION("""COMPUTED_VALUE""")," ")</f>
        <v> </v>
      </c>
      <c r="E1395" s="44" t="str">
        <f>IFERROR(__xludf.DUMMYFUNCTION("""COMPUTED_VALUE"""),"")</f>
        <v/>
      </c>
      <c r="F1395" s="44" t="str">
        <f>IFERROR(__xludf.DUMMYFUNCTION("""COMPUTED_VALUE"""),"")</f>
        <v/>
      </c>
      <c r="G1395" s="44" t="str">
        <f>IFERROR(__xludf.DUMMYFUNCTION("""COMPUTED_VALUE""")," ")</f>
        <v> </v>
      </c>
      <c r="H1395" s="44" t="str">
        <f>IFERROR(__xludf.DUMMYFUNCTION("""COMPUTED_VALUE""")," ")</f>
        <v> </v>
      </c>
      <c r="I1395" s="44" t="str">
        <f>IFERROR(__xludf.DUMMYFUNCTION("""COMPUTED_VALUE"""),"Internado")</f>
        <v>Internado</v>
      </c>
      <c r="J1395" s="44" t="str">
        <f>IFERROR(__xludf.DUMMYFUNCTION("""COMPUTED_VALUE"""),"")</f>
        <v/>
      </c>
      <c r="K1395" s="42" t="str">
        <f>IFERROR(__xludf.DUMMYFUNCTION("""COMPUTED_VALUE"""),"🔍 BUSCAR PACIENTES")</f>
        <v>🔍 BUSCAR PACIENTES</v>
      </c>
    </row>
    <row r="1396">
      <c r="A1396" s="44">
        <v>1395.0</v>
      </c>
      <c r="B1396" s="44" t="str">
        <f>IFERROR(__xludf.DUMMYFUNCTION("""COMPUTED_VALUE"""),"Hospital Pérez Carreño")</f>
        <v>Hospital Pérez Carreño</v>
      </c>
      <c r="C1396" s="45" t="str">
        <f>IFERROR(__xludf.DUMMYFUNCTION("""COMPUTED_VALUE"""),"Brigida Sarmiento")</f>
        <v>Brigida Sarmiento</v>
      </c>
      <c r="D1396" s="44" t="str">
        <f>IFERROR(__xludf.DUMMYFUNCTION("""COMPUTED_VALUE"""),"57 años")</f>
        <v>57 años</v>
      </c>
      <c r="E1396" s="44" t="str">
        <f>IFERROR(__xludf.DUMMYFUNCTION("""COMPUTED_VALUE"""),"")</f>
        <v/>
      </c>
      <c r="F1396" s="44" t="str">
        <f>IFERROR(__xludf.DUMMYFUNCTION("""COMPUTED_VALUE"""),"")</f>
        <v/>
      </c>
      <c r="G1396" s="44" t="str">
        <f>IFERROR(__xludf.DUMMYFUNCTION("""COMPUTED_VALUE"""),"Traumashock ")</f>
        <v>Traumashock </v>
      </c>
      <c r="H1396" s="44" t="str">
        <f>IFERROR(__xludf.DUMMYFUNCTION("""COMPUTED_VALUE"""),"Hospital Miguel Perez Carreño")</f>
        <v>Hospital Miguel Perez Carreño</v>
      </c>
      <c r="I1396" s="44"/>
      <c r="J1396" s="44" t="str">
        <f>IFERROR(__xludf.DUMMYFUNCTION("""COMPUTED_VALUE"""),"26/6/26")</f>
        <v>26/6/26</v>
      </c>
      <c r="K1396" s="42" t="str">
        <f>IFERROR(__xludf.DUMMYFUNCTION("""COMPUTED_VALUE"""),"Hospital Pérez Carreño")</f>
        <v>Hospital Pérez Carreño</v>
      </c>
    </row>
    <row r="1397">
      <c r="A1397" s="44">
        <v>1396.0</v>
      </c>
      <c r="B1397" s="44" t="str">
        <f>IFERROR(__xludf.DUMMYFUNCTION("""COMPUTED_VALUE"""),"Campo de Golf Playa los Cocos")</f>
        <v>Campo de Golf Playa los Cocos</v>
      </c>
      <c r="C1397" s="45" t="str">
        <f>IFERROR(__xludf.DUMMYFUNCTION("""COMPUTED_VALUE"""),"Brigith Milano")</f>
        <v>Brigith Milano</v>
      </c>
      <c r="D1397" s="44" t="str">
        <f>IFERROR(__xludf.DUMMYFUNCTION("""COMPUTED_VALUE"""),"")</f>
        <v/>
      </c>
      <c r="E1397" s="44" t="str">
        <f>IFERROR(__xludf.DUMMYFUNCTION("""COMPUTED_VALUE"""),"")</f>
        <v/>
      </c>
      <c r="F1397" s="44" t="str">
        <f>IFERROR(__xludf.DUMMYFUNCTION("""COMPUTED_VALUE"""),"")</f>
        <v/>
      </c>
      <c r="G1397" s="44" t="str">
        <f>IFERROR(__xludf.DUMMYFUNCTION("""COMPUTED_VALUE"""),"")</f>
        <v/>
      </c>
      <c r="H1397" s="44" t="str">
        <f>IFERROR(__xludf.DUMMYFUNCTION("""COMPUTED_VALUE"""),"")</f>
        <v/>
      </c>
      <c r="I1397" s="44" t="str">
        <f>IFERROR(__xludf.DUMMYFUNCTION("""COMPUTED_VALUE"""),"menor")</f>
        <v>menor</v>
      </c>
      <c r="J1397" s="44" t="str">
        <f>IFERROR(__xludf.DUMMYFUNCTION("""COMPUTED_VALUE"""),"")</f>
        <v/>
      </c>
      <c r="K1397" s="42" t="str">
        <f>IFERROR(__xludf.DUMMYFUNCTION("""COMPUTED_VALUE"""),"Campo de Golf Playa los Cocos")</f>
        <v>Campo de Golf Playa los Cocos</v>
      </c>
    </row>
    <row r="1398">
      <c r="A1398" s="44">
        <v>1397.0</v>
      </c>
      <c r="B1398" s="44" t="str">
        <f>IFERROR(__xludf.DUMMYFUNCTION("""COMPUTED_VALUE"""),"Hospital Pérez Carreño")</f>
        <v>Hospital Pérez Carreño</v>
      </c>
      <c r="C1398" s="45" t="str">
        <f>IFERROR(__xludf.DUMMYFUNCTION("""COMPUTED_VALUE"""),"Briisneidy Ceballos")</f>
        <v>Briisneidy Ceballos</v>
      </c>
      <c r="D1398" s="44"/>
      <c r="E1398" s="44" t="str">
        <f>IFERROR(__xludf.DUMMYFUNCTION("""COMPUTED_VALUE"""),"")</f>
        <v/>
      </c>
      <c r="F1398" s="44" t="str">
        <f>IFERROR(__xludf.DUMMYFUNCTION("""COMPUTED_VALUE"""),"")</f>
        <v/>
      </c>
      <c r="G1398" s="44" t="str">
        <f>IFERROR(__xludf.DUMMYFUNCTION("""COMPUTED_VALUE"""),"Traumashock ")</f>
        <v>Traumashock </v>
      </c>
      <c r="H1398" s="44" t="str">
        <f>IFERROR(__xludf.DUMMYFUNCTION("""COMPUTED_VALUE"""),"Hospital Miguel Perez Carreño")</f>
        <v>Hospital Miguel Perez Carreño</v>
      </c>
      <c r="I1398" s="44"/>
      <c r="J1398" s="44" t="str">
        <f>IFERROR(__xludf.DUMMYFUNCTION("""COMPUTED_VALUE"""),"26/6/26")</f>
        <v>26/6/26</v>
      </c>
      <c r="K1398" s="42" t="str">
        <f>IFERROR(__xludf.DUMMYFUNCTION("""COMPUTED_VALUE"""),"Hospital Pérez Carreño")</f>
        <v>Hospital Pérez Carreño</v>
      </c>
    </row>
    <row r="1399">
      <c r="A1399" s="44">
        <v>1398.0</v>
      </c>
      <c r="B1399" s="44" t="str">
        <f>IFERROR(__xludf.DUMMYFUNCTION("""COMPUTED_VALUE"""),"Hospital Pérez Carreño")</f>
        <v>Hospital Pérez Carreño</v>
      </c>
      <c r="C1399" s="45" t="str">
        <f>IFERROR(__xludf.DUMMYFUNCTION("""COMPUTED_VALUE"""),"BRITO ANTONELLA")</f>
        <v>BRITO ANTONELLA</v>
      </c>
      <c r="D1399" s="44">
        <f>IFERROR(__xludf.DUMMYFUNCTION("""COMPUTED_VALUE"""),10.0)</f>
        <v>10</v>
      </c>
      <c r="E1399" s="44" t="str">
        <f>IFERROR(__xludf.DUMMYFUNCTION("""COMPUTED_VALUE"""),"")</f>
        <v/>
      </c>
      <c r="F1399" s="44" t="str">
        <f>IFERROR(__xludf.DUMMYFUNCTION("""COMPUTED_VALUE"""),"")</f>
        <v/>
      </c>
      <c r="G1399" s="44" t="str">
        <f>IFERROR(__xludf.DUMMYFUNCTION("""COMPUTED_VALUE""")," ")</f>
        <v> </v>
      </c>
      <c r="H1399" s="44" t="str">
        <f>IFERROR(__xludf.DUMMYFUNCTION("""COMPUTED_VALUE""")," ")</f>
        <v> </v>
      </c>
      <c r="I1399" s="44" t="str">
        <f>IFERROR(__xludf.DUMMYFUNCTION("""COMPUTED_VALUE"""),"Emerg. Pediátrica – La Guaira")</f>
        <v>Emerg. Pediátrica – La Guaira</v>
      </c>
      <c r="J1399" s="44" t="str">
        <f>IFERROR(__xludf.DUMMYFUNCTION("""COMPUTED_VALUE"""),"25/06/2026")</f>
        <v>25/06/2026</v>
      </c>
      <c r="K1399" s="42" t="str">
        <f>IFERROR(__xludf.DUMMYFUNCTION("""COMPUTED_VALUE"""),"Hospital Pérez Carreño")</f>
        <v>Hospital Pérez Carreño</v>
      </c>
    </row>
    <row r="1400">
      <c r="A1400" s="44">
        <v>1399.0</v>
      </c>
      <c r="B1400" s="44" t="str">
        <f>IFERROR(__xludf.DUMMYFUNCTION("""COMPUTED_VALUE"""),"Hospital Domingo Luciani")</f>
        <v>Hospital Domingo Luciani</v>
      </c>
      <c r="C1400" s="45" t="str">
        <f>IFERROR(__xludf.DUMMYFUNCTION("""COMPUTED_VALUE"""),"BRITO GINA")</f>
        <v>BRITO GINA</v>
      </c>
      <c r="D1400" s="44">
        <f>IFERROR(__xludf.DUMMYFUNCTION("""COMPUTED_VALUE"""),49.0)</f>
        <v>49</v>
      </c>
      <c r="E1400" s="44" t="str">
        <f>IFERROR(__xludf.DUMMYFUNCTION("""COMPUTED_VALUE"""),"")</f>
        <v/>
      </c>
      <c r="F1400" s="44" t="str">
        <f>IFERROR(__xludf.DUMMYFUNCTION("""COMPUTED_VALUE"""),"")</f>
        <v/>
      </c>
      <c r="G1400" s="44" t="str">
        <f>IFERROR(__xludf.DUMMYFUNCTION("""COMPUTED_VALUE""")," ")</f>
        <v> </v>
      </c>
      <c r="H1400" s="44" t="str">
        <f>IFERROR(__xludf.DUMMYFUNCTION("""COMPUTED_VALUE""")," ")</f>
        <v> </v>
      </c>
      <c r="I1400" s="44" t="str">
        <f>IFERROR(__xludf.DUMMYFUNCTION("""COMPUTED_VALUE"""),"Cardiología Piso 2 – H-11 – F")</f>
        <v>Cardiología Piso 2 – H-11 – F</v>
      </c>
      <c r="J1400" s="44" t="str">
        <f>IFERROR(__xludf.DUMMYFUNCTION("""COMPUTED_VALUE"""),"")</f>
        <v/>
      </c>
      <c r="K1400" s="42" t="str">
        <f>IFERROR(__xludf.DUMMYFUNCTION("""COMPUTED_VALUE"""),"🔍 BUSCAR PACIENTES")</f>
        <v>🔍 BUSCAR PACIENTES</v>
      </c>
    </row>
    <row r="1401">
      <c r="A1401" s="44">
        <v>1400.0</v>
      </c>
      <c r="B1401" s="44" t="str">
        <f>IFERROR(__xludf.DUMMYFUNCTION("""COMPUTED_VALUE"""),"Hospital Pérez Carreño")</f>
        <v>Hospital Pérez Carreño</v>
      </c>
      <c r="C1401" s="45" t="str">
        <f>IFERROR(__xludf.DUMMYFUNCTION("""COMPUTED_VALUE"""),"Brito Morales Brayan David")</f>
        <v>Brito Morales Brayan David</v>
      </c>
      <c r="D1401" s="44"/>
      <c r="E1401" s="44" t="str">
        <f>IFERROR(__xludf.DUMMYFUNCTION("""COMPUTED_VALUE"""),"")</f>
        <v/>
      </c>
      <c r="F1401" s="44" t="str">
        <f>IFERROR(__xludf.DUMMYFUNCTION("""COMPUTED_VALUE"""),"")</f>
        <v/>
      </c>
      <c r="G1401" s="44" t="str">
        <f>IFERROR(__xludf.DUMMYFUNCTION("""COMPUTED_VALUE"""),"Traslados")</f>
        <v>Traslados</v>
      </c>
      <c r="H1401" s="44" t="str">
        <f>IFERROR(__xludf.DUMMYFUNCTION("""COMPUTED_VALUE"""),"Hospital Miguel Perez Carreño")</f>
        <v>Hospital Miguel Perez Carreño</v>
      </c>
      <c r="I1401" s="44"/>
      <c r="J1401" s="44" t="str">
        <f>IFERROR(__xludf.DUMMYFUNCTION("""COMPUTED_VALUE"""),"26/6/26")</f>
        <v>26/6/26</v>
      </c>
      <c r="K1401" s="42" t="str">
        <f>IFERROR(__xludf.DUMMYFUNCTION("""COMPUTED_VALUE"""),"Hospital Pérez Carreño")</f>
        <v>Hospital Pérez Carreño</v>
      </c>
    </row>
    <row r="1402">
      <c r="A1402" s="44">
        <v>1401.0</v>
      </c>
      <c r="B1402" s="44" t="str">
        <f>IFERROR(__xludf.DUMMYFUNCTION("""COMPUTED_VALUE"""),"Hospital Pérez Carreño")</f>
        <v>Hospital Pérez Carreño</v>
      </c>
      <c r="C1402" s="45" t="str">
        <f>IFERROR(__xludf.DUMMYFUNCTION("""COMPUTED_VALUE"""),"BRITO PINERO SAMUEL")</f>
        <v>BRITO PINERO SAMUEL</v>
      </c>
      <c r="D1402" s="44" t="str">
        <f>IFERROR(__xludf.DUMMYFUNCTION("""COMPUTED_VALUE""")," ")</f>
        <v> </v>
      </c>
      <c r="E1402" s="44" t="str">
        <f>IFERROR(__xludf.DUMMYFUNCTION("""COMPUTED_VALUE"""),"")</f>
        <v/>
      </c>
      <c r="F1402" s="44" t="str">
        <f>IFERROR(__xludf.DUMMYFUNCTION("""COMPUTED_VALUE"""),"")</f>
        <v/>
      </c>
      <c r="G1402" s="44" t="str">
        <f>IFERROR(__xludf.DUMMYFUNCTION("""COMPUTED_VALUE""")," ")</f>
        <v> </v>
      </c>
      <c r="H1402" s="44" t="str">
        <f>IFERROR(__xludf.DUMMYFUNCTION("""COMPUTED_VALUE""")," ")</f>
        <v> </v>
      </c>
      <c r="I1402" s="44" t="str">
        <f>IFERROR(__xludf.DUMMYFUNCTION("""COMPUTED_VALUE"""),"Internado")</f>
        <v>Internado</v>
      </c>
      <c r="J1402" s="44" t="str">
        <f>IFERROR(__xludf.DUMMYFUNCTION("""COMPUTED_VALUE"""),"25/06/2026")</f>
        <v>25/06/2026</v>
      </c>
      <c r="K1402" s="42" t="str">
        <f>IFERROR(__xludf.DUMMYFUNCTION("""COMPUTED_VALUE"""),"Hospital Pérez Carreño")</f>
        <v>Hospital Pérez Carreño</v>
      </c>
    </row>
    <row r="1403">
      <c r="A1403" s="44">
        <v>1402.0</v>
      </c>
      <c r="B1403" s="44" t="str">
        <f>IFERROR(__xludf.DUMMYFUNCTION("""COMPUTED_VALUE"""),"La Guaira Sin Hospital")</f>
        <v>La Guaira Sin Hospital</v>
      </c>
      <c r="C1403" s="45" t="str">
        <f>IFERROR(__xludf.DUMMYFUNCTION("""COMPUTED_VALUE"""),"Brito Piñero Samuel")</f>
        <v>Brito Piñero Samuel</v>
      </c>
      <c r="D1403" s="44" t="str">
        <f>IFERROR(__xludf.DUMMYFUNCTION("""COMPUTED_VALUE"""),"")</f>
        <v/>
      </c>
      <c r="E1403" s="44" t="str">
        <f>IFERROR(__xludf.DUMMYFUNCTION("""COMPUTED_VALUE"""),"")</f>
        <v/>
      </c>
      <c r="F1403" s="44" t="str">
        <f>IFERROR(__xludf.DUMMYFUNCTION("""COMPUTED_VALUE"""),"")</f>
        <v/>
      </c>
      <c r="G1403" s="44" t="str">
        <f>IFERROR(__xludf.DUMMYFUNCTION("""COMPUTED_VALUE"""),"")</f>
        <v/>
      </c>
      <c r="H1403" s="44"/>
      <c r="I1403" s="44" t="str">
        <f>IFERROR(__xludf.DUMMYFUNCTION("""COMPUTED_VALUE"""),"Listas solo con nombre")</f>
        <v>Listas solo con nombre</v>
      </c>
      <c r="J1403" s="44" t="str">
        <f>IFERROR(__xludf.DUMMYFUNCTION("""COMPUTED_VALUE"""),"")</f>
        <v/>
      </c>
      <c r="K1403" s="42" t="str">
        <f>IFERROR(__xludf.DUMMYFUNCTION("""COMPUTED_VALUE"""),"La Guaira Sin Hospital")</f>
        <v>La Guaira Sin Hospital</v>
      </c>
    </row>
    <row r="1404">
      <c r="A1404" s="44">
        <v>1403.0</v>
      </c>
      <c r="B1404" s="44" t="str">
        <f>IFERROR(__xludf.DUMMYFUNCTION("""COMPUTED_VALUE"""),"Hospital Pérez Carreño")</f>
        <v>Hospital Pérez Carreño</v>
      </c>
      <c r="C1404" s="45" t="str">
        <f>IFERROR(__xludf.DUMMYFUNCTION("""COMPUTED_VALUE"""),"Brito Pirreso Samuel")</f>
        <v>Brito Pirreso Samuel</v>
      </c>
      <c r="D1404" s="44"/>
      <c r="E1404" s="44" t="str">
        <f>IFERROR(__xludf.DUMMYFUNCTION("""COMPUTED_VALUE"""),"")</f>
        <v/>
      </c>
      <c r="F1404" s="44" t="str">
        <f>IFERROR(__xludf.DUMMYFUNCTION("""COMPUTED_VALUE"""),"")</f>
        <v/>
      </c>
      <c r="G1404" s="44" t="str">
        <f>IFERROR(__xludf.DUMMYFUNCTION("""COMPUTED_VALUE"""),"Traslados con destino asignado")</f>
        <v>Traslados con destino asignado</v>
      </c>
      <c r="H1404" s="44" t="str">
        <f>IFERROR(__xludf.DUMMYFUNCTION("""COMPUTED_VALUE"""),"Hospital Miguel Perez Carreño")</f>
        <v>Hospital Miguel Perez Carreño</v>
      </c>
      <c r="I1404" s="44"/>
      <c r="J1404" s="44" t="str">
        <f>IFERROR(__xludf.DUMMYFUNCTION("""COMPUTED_VALUE"""),"26/6/26")</f>
        <v>26/6/26</v>
      </c>
      <c r="K1404" s="42" t="str">
        <f>IFERROR(__xludf.DUMMYFUNCTION("""COMPUTED_VALUE"""),"Hospital Pérez Carreño")</f>
        <v>Hospital Pérez Carreño</v>
      </c>
    </row>
    <row r="1405">
      <c r="A1405" s="44">
        <v>1404.0</v>
      </c>
      <c r="B1405" s="44" t="str">
        <f>IFERROR(__xludf.DUMMYFUNCTION("""COMPUTED_VALUE"""),"H. Jose Maria Vargas LG")</f>
        <v>H. Jose Maria Vargas LG</v>
      </c>
      <c r="C1405" s="45" t="str">
        <f>IFERROR(__xludf.DUMMYFUNCTION("""COMPUTED_VALUE"""),"BRITO SAMUEL")</f>
        <v>BRITO SAMUEL</v>
      </c>
      <c r="D1405" s="44" t="str">
        <f>IFERROR(__xludf.DUMMYFUNCTION("""COMPUTED_VALUE""")," ")</f>
        <v> </v>
      </c>
      <c r="E1405" s="44" t="str">
        <f>IFERROR(__xludf.DUMMYFUNCTION("""COMPUTED_VALUE"""),"")</f>
        <v/>
      </c>
      <c r="F1405" s="44" t="str">
        <f>IFERROR(__xludf.DUMMYFUNCTION("""COMPUTED_VALUE"""),"")</f>
        <v/>
      </c>
      <c r="G1405" s="44" t="str">
        <f>IFERROR(__xludf.DUMMYFUNCTION("""COMPUTED_VALUE""")," ")</f>
        <v> </v>
      </c>
      <c r="H1405" s="44" t="str">
        <f>IFERROR(__xludf.DUMMYFUNCTION("""COMPUTED_VALUE""")," ")</f>
        <v> </v>
      </c>
      <c r="I1405" s="44" t="str">
        <f>IFERROR(__xludf.DUMMYFUNCTION("""COMPUTED_VALUE""")," ")</f>
        <v> </v>
      </c>
      <c r="J1405" s="44" t="str">
        <f>IFERROR(__xludf.DUMMYFUNCTION("""COMPUTED_VALUE"""),"")</f>
        <v/>
      </c>
      <c r="K1405" s="42" t="str">
        <f>IFERROR(__xludf.DUMMYFUNCTION("""COMPUTED_VALUE"""),"H. Jose Maria Vargas LG")</f>
        <v>H. Jose Maria Vargas LG</v>
      </c>
    </row>
    <row r="1406">
      <c r="A1406" s="44">
        <v>1405.0</v>
      </c>
      <c r="B1406" s="44" t="str">
        <f>IFERROR(__xludf.DUMMYFUNCTION("""COMPUTED_VALUE"""),"La Guaira Sin Hospital")</f>
        <v>La Guaira Sin Hospital</v>
      </c>
      <c r="C1406" s="45" t="str">
        <f>IFERROR(__xludf.DUMMYFUNCTION("""COMPUTED_VALUE"""),"Brizuela Gabnel")</f>
        <v>Brizuela Gabnel</v>
      </c>
      <c r="D1406" s="44" t="str">
        <f>IFERROR(__xludf.DUMMYFUNCTION("""COMPUTED_VALUE"""),"")</f>
        <v/>
      </c>
      <c r="E1406" s="44" t="str">
        <f>IFERROR(__xludf.DUMMYFUNCTION("""COMPUTED_VALUE"""),"")</f>
        <v/>
      </c>
      <c r="F1406" s="44" t="str">
        <f>IFERROR(__xludf.DUMMYFUNCTION("""COMPUTED_VALUE"""),"")</f>
        <v/>
      </c>
      <c r="G1406" s="44" t="str">
        <f>IFERROR(__xludf.DUMMYFUNCTION("""COMPUTED_VALUE"""),"")</f>
        <v/>
      </c>
      <c r="H1406" s="44" t="str">
        <f>IFERROR(__xludf.DUMMYFUNCTION("""COMPUTED_VALUE"""),"Playa Verde")</f>
        <v>Playa Verde</v>
      </c>
      <c r="I1406" s="44" t="str">
        <f>IFERROR(__xludf.DUMMYFUNCTION("""COMPUTED_VALUE"""),"Listas con ubicación")</f>
        <v>Listas con ubicación</v>
      </c>
      <c r="J1406" s="44" t="str">
        <f>IFERROR(__xludf.DUMMYFUNCTION("""COMPUTED_VALUE"""),"")</f>
        <v/>
      </c>
      <c r="K1406" s="42" t="str">
        <f>IFERROR(__xludf.DUMMYFUNCTION("""COMPUTED_VALUE"""),"La Guaira Sin Hospital")</f>
        <v>La Guaira Sin Hospital</v>
      </c>
    </row>
    <row r="1407">
      <c r="A1407" s="44">
        <v>1406.0</v>
      </c>
      <c r="B1407" s="44" t="str">
        <f>IFERROR(__xludf.DUMMYFUNCTION("""COMPUTED_VALUE"""),"Hospital Domingo Luciani")</f>
        <v>Hospital Domingo Luciani</v>
      </c>
      <c r="C1407" s="45" t="str">
        <f>IFERROR(__xludf.DUMMYFUNCTION("""COMPUTED_VALUE"""),"BUBAL CLARA")</f>
        <v>BUBAL CLARA</v>
      </c>
      <c r="D1407" s="44">
        <f>IFERROR(__xludf.DUMMYFUNCTION("""COMPUTED_VALUE"""),62.0)</f>
        <v>62</v>
      </c>
      <c r="E1407" s="44" t="str">
        <f>IFERROR(__xludf.DUMMYFUNCTION("""COMPUTED_VALUE"""),"")</f>
        <v/>
      </c>
      <c r="F1407" s="44" t="str">
        <f>IFERROR(__xludf.DUMMYFUNCTION("""COMPUTED_VALUE"""),"")</f>
        <v/>
      </c>
      <c r="G1407" s="44" t="str">
        <f>IFERROR(__xludf.DUMMYFUNCTION("""COMPUTED_VALUE""")," ")</f>
        <v> </v>
      </c>
      <c r="H1407" s="44" t="str">
        <f>IFERROR(__xludf.DUMMYFUNCTION("""COMPUTED_VALUE""")," ")</f>
        <v> </v>
      </c>
      <c r="I1407" s="44" t="str">
        <f>IFERROR(__xludf.DUMMYFUNCTION("""COMPUTED_VALUE""")," ")</f>
        <v> </v>
      </c>
      <c r="J1407" s="44" t="str">
        <f>IFERROR(__xludf.DUMMYFUNCTION("""COMPUTED_VALUE"""),"")</f>
        <v/>
      </c>
      <c r="K1407" s="42" t="str">
        <f>IFERROR(__xludf.DUMMYFUNCTION("""COMPUTED_VALUE"""),"🔍 BUSCAR PACIENTES")</f>
        <v>🔍 BUSCAR PACIENTES</v>
      </c>
    </row>
    <row r="1408">
      <c r="A1408" s="44">
        <v>1407.0</v>
      </c>
      <c r="B1408" s="44" t="str">
        <f>IFERROR(__xludf.DUMMYFUNCTION("""COMPUTED_VALUE"""),"Hospital Domingo Luciani")</f>
        <v>Hospital Domingo Luciani</v>
      </c>
      <c r="C1408" s="45" t="str">
        <f>IFERROR(__xludf.DUMMYFUNCTION("""COMPUTED_VALUE"""),"BUCE SAUL")</f>
        <v>BUCE SAUL</v>
      </c>
      <c r="D1408" s="44">
        <f>IFERROR(__xludf.DUMMYFUNCTION("""COMPUTED_VALUE"""),26.0)</f>
        <v>26</v>
      </c>
      <c r="E1408" s="44" t="str">
        <f>IFERROR(__xludf.DUMMYFUNCTION("""COMPUTED_VALUE"""),"")</f>
        <v/>
      </c>
      <c r="F1408" s="44" t="str">
        <f>IFERROR(__xludf.DUMMYFUNCTION("""COMPUTED_VALUE"""),"")</f>
        <v/>
      </c>
      <c r="G1408" s="44" t="str">
        <f>IFERROR(__xludf.DUMMYFUNCTION("""COMPUTED_VALUE""")," ")</f>
        <v> </v>
      </c>
      <c r="H1408" s="44" t="str">
        <f>IFERROR(__xludf.DUMMYFUNCTION("""COMPUTED_VALUE""")," ")</f>
        <v> </v>
      </c>
      <c r="I1408" s="44" t="str">
        <f>IFERROR(__xludf.DUMMYFUNCTION("""COMPUTED_VALUE"""),"Trauma")</f>
        <v>Trauma</v>
      </c>
      <c r="J1408" s="44" t="str">
        <f>IFERROR(__xludf.DUMMYFUNCTION("""COMPUTED_VALUE"""),"")</f>
        <v/>
      </c>
      <c r="K1408" s="42" t="str">
        <f>IFERROR(__xludf.DUMMYFUNCTION("""COMPUTED_VALUE"""),"🔍 BUSCAR PACIENTES")</f>
        <v>🔍 BUSCAR PACIENTES</v>
      </c>
    </row>
    <row r="1409">
      <c r="A1409" s="44">
        <v>1408.0</v>
      </c>
      <c r="B1409" s="44" t="str">
        <f>IFERROR(__xludf.DUMMYFUNCTION("""COMPUTED_VALUE"""),"Hospital Pérez Carreño")</f>
        <v>Hospital Pérez Carreño</v>
      </c>
      <c r="C1409" s="45" t="str">
        <f>IFERROR(__xludf.DUMMYFUNCTION("""COMPUTED_VALUE"""),"Buenaño Juan")</f>
        <v>Buenaño Juan</v>
      </c>
      <c r="D1409" s="44"/>
      <c r="E1409" s="44" t="str">
        <f>IFERROR(__xludf.DUMMYFUNCTION("""COMPUTED_VALUE"""),"")</f>
        <v/>
      </c>
      <c r="F1409" s="44" t="str">
        <f>IFERROR(__xludf.DUMMYFUNCTION("""COMPUTED_VALUE"""),"")</f>
        <v/>
      </c>
      <c r="G1409" s="44" t="str">
        <f>IFERROR(__xludf.DUMMYFUNCTION("""COMPUTED_VALUE"""),"Traslados con destino asignado")</f>
        <v>Traslados con destino asignado</v>
      </c>
      <c r="H1409" s="44" t="str">
        <f>IFERROR(__xludf.DUMMYFUNCTION("""COMPUTED_VALUE"""),"Hospital Miguel Perez Carreño")</f>
        <v>Hospital Miguel Perez Carreño</v>
      </c>
      <c r="I1409" s="44"/>
      <c r="J1409" s="44" t="str">
        <f>IFERROR(__xludf.DUMMYFUNCTION("""COMPUTED_VALUE"""),"26/6/26")</f>
        <v>26/6/26</v>
      </c>
      <c r="K1409" s="42" t="str">
        <f>IFERROR(__xludf.DUMMYFUNCTION("""COMPUTED_VALUE"""),"Hospital Pérez Carreño")</f>
        <v>Hospital Pérez Carreño</v>
      </c>
    </row>
    <row r="1410">
      <c r="A1410" s="44">
        <v>1409.0</v>
      </c>
      <c r="B1410" s="44" t="str">
        <f>IFERROR(__xludf.DUMMYFUNCTION("""COMPUTED_VALUE"""),"Hospital Pérez Carreño")</f>
        <v>Hospital Pérez Carreño</v>
      </c>
      <c r="C1410" s="45" t="str">
        <f>IFERROR(__xludf.DUMMYFUNCTION("""COMPUTED_VALUE"""),"BUENO DIAZ MERIDA")</f>
        <v>BUENO DIAZ MERIDA</v>
      </c>
      <c r="D1410" s="44" t="str">
        <f>IFERROR(__xludf.DUMMYFUNCTION("""COMPUTED_VALUE""")," ")</f>
        <v> </v>
      </c>
      <c r="E1410" s="44" t="str">
        <f>IFERROR(__xludf.DUMMYFUNCTION("""COMPUTED_VALUE"""),"")</f>
        <v/>
      </c>
      <c r="F1410" s="44" t="str">
        <f>IFERROR(__xludf.DUMMYFUNCTION("""COMPUTED_VALUE"""),"")</f>
        <v/>
      </c>
      <c r="G1410" s="44" t="str">
        <f>IFERROR(__xludf.DUMMYFUNCTION("""COMPUTED_VALUE""")," ")</f>
        <v> </v>
      </c>
      <c r="H1410" s="44" t="str">
        <f>IFERROR(__xludf.DUMMYFUNCTION("""COMPUTED_VALUE""")," ")</f>
        <v> </v>
      </c>
      <c r="I1410" s="44" t="str">
        <f>IFERROR(__xludf.DUMMYFUNCTION("""COMPUTED_VALUE"""),"Internado")</f>
        <v>Internado</v>
      </c>
      <c r="J1410" s="44" t="str">
        <f>IFERROR(__xludf.DUMMYFUNCTION("""COMPUTED_VALUE"""),"25/06/2026")</f>
        <v>25/06/2026</v>
      </c>
      <c r="K1410" s="42" t="str">
        <f>IFERROR(__xludf.DUMMYFUNCTION("""COMPUTED_VALUE"""),"Hospital Pérez Carreño")</f>
        <v>Hospital Pérez Carreño</v>
      </c>
    </row>
    <row r="1411">
      <c r="A1411" s="44">
        <v>1410.0</v>
      </c>
      <c r="B1411" s="44" t="str">
        <f>IFERROR(__xludf.DUMMYFUNCTION("""COMPUTED_VALUE"""),"La Guaira Sin Hospital")</f>
        <v>La Guaira Sin Hospital</v>
      </c>
      <c r="C1411" s="45" t="str">
        <f>IFERROR(__xludf.DUMMYFUNCTION("""COMPUTED_VALUE"""),"Bueno Merida Diaz")</f>
        <v>Bueno Merida Diaz</v>
      </c>
      <c r="D1411" s="44" t="str">
        <f>IFERROR(__xludf.DUMMYFUNCTION("""COMPUTED_VALUE"""),"")</f>
        <v/>
      </c>
      <c r="E1411" s="44" t="str">
        <f>IFERROR(__xludf.DUMMYFUNCTION("""COMPUTED_VALUE"""),"")</f>
        <v/>
      </c>
      <c r="F1411" s="44" t="str">
        <f>IFERROR(__xludf.DUMMYFUNCTION("""COMPUTED_VALUE"""),"")</f>
        <v/>
      </c>
      <c r="G1411" s="44" t="str">
        <f>IFERROR(__xludf.DUMMYFUNCTION("""COMPUTED_VALUE"""),"")</f>
        <v/>
      </c>
      <c r="H1411" s="44" t="str">
        <f>IFERROR(__xludf.DUMMYFUNCTION("""COMPUTED_VALUE"""),"Catia")</f>
        <v>Catia</v>
      </c>
      <c r="I1411" s="44" t="str">
        <f>IFERROR(__xludf.DUMMYFUNCTION("""COMPUTED_VALUE"""),"Listas con ubicación")</f>
        <v>Listas con ubicación</v>
      </c>
      <c r="J1411" s="44" t="str">
        <f>IFERROR(__xludf.DUMMYFUNCTION("""COMPUTED_VALUE"""),"")</f>
        <v/>
      </c>
      <c r="K1411" s="42" t="str">
        <f>IFERROR(__xludf.DUMMYFUNCTION("""COMPUTED_VALUE"""),"La Guaira Sin Hospital")</f>
        <v>La Guaira Sin Hospital</v>
      </c>
    </row>
    <row r="1412">
      <c r="A1412" s="44">
        <v>1411.0</v>
      </c>
      <c r="B1412" s="44" t="str">
        <f>IFERROR(__xludf.DUMMYFUNCTION("""COMPUTED_VALUE"""),"Hospital Domingo Luciani")</f>
        <v>Hospital Domingo Luciani</v>
      </c>
      <c r="C1412" s="45" t="str">
        <f>IFERROR(__xludf.DUMMYFUNCTION("""COMPUTED_VALUE"""),"BUI DANNIS")</f>
        <v>BUI DANNIS</v>
      </c>
      <c r="D1412" s="44">
        <f>IFERROR(__xludf.DUMMYFUNCTION("""COMPUTED_VALUE"""),41.0)</f>
        <v>41</v>
      </c>
      <c r="E1412" s="44" t="str">
        <f>IFERROR(__xludf.DUMMYFUNCTION("""COMPUTED_VALUE"""),"")</f>
        <v/>
      </c>
      <c r="F1412" s="44" t="str">
        <f>IFERROR(__xludf.DUMMYFUNCTION("""COMPUTED_VALUE"""),"")</f>
        <v/>
      </c>
      <c r="G1412" s="44" t="str">
        <f>IFERROR(__xludf.DUMMYFUNCTION("""COMPUTED_VALUE""")," ")</f>
        <v> </v>
      </c>
      <c r="H1412" s="44" t="str">
        <f>IFERROR(__xludf.DUMMYFUNCTION("""COMPUTED_VALUE""")," ")</f>
        <v> </v>
      </c>
      <c r="I1412" s="44" t="str">
        <f>IFERROR(__xludf.DUMMYFUNCTION("""COMPUTED_VALUE"""),"Quirófano – M")</f>
        <v>Quirófano – M</v>
      </c>
      <c r="J1412" s="44" t="str">
        <f>IFERROR(__xludf.DUMMYFUNCTION("""COMPUTED_VALUE"""),"")</f>
        <v/>
      </c>
      <c r="K1412" s="42" t="str">
        <f>IFERROR(__xludf.DUMMYFUNCTION("""COMPUTED_VALUE"""),"🔍 BUSCAR PACIENTES")</f>
        <v>🔍 BUSCAR PACIENTES</v>
      </c>
    </row>
    <row r="1413">
      <c r="A1413" s="44">
        <v>1412.0</v>
      </c>
      <c r="B1413" s="44" t="str">
        <f>IFERROR(__xludf.DUMMYFUNCTION("""COMPUTED_VALUE"""),"Periférico de Catia")</f>
        <v>Periférico de Catia</v>
      </c>
      <c r="C1413" s="45" t="str">
        <f>IFERROR(__xludf.DUMMYFUNCTION("""COMPUTED_VALUE"""),"Bustal Clara")</f>
        <v>Bustal Clara</v>
      </c>
      <c r="D1413" s="44">
        <f>IFERROR(__xludf.DUMMYFUNCTION("""COMPUTED_VALUE"""),62.0)</f>
        <v>62</v>
      </c>
      <c r="E1413" s="44" t="str">
        <f>IFERROR(__xludf.DUMMYFUNCTION("""COMPUTED_VALUE"""),"")</f>
        <v/>
      </c>
      <c r="F1413" s="44" t="str">
        <f>IFERROR(__xludf.DUMMYFUNCTION("""COMPUTED_VALUE"""),"")</f>
        <v/>
      </c>
      <c r="G1413" s="44"/>
      <c r="H1413" s="44"/>
      <c r="I1413" s="44" t="str">
        <f>IFERROR(__xludf.DUMMYFUNCTION("""COMPUTED_VALUE"""),"Lista adicional (pizarra extensa sin titulo de sala especifico)")</f>
        <v>Lista adicional (pizarra extensa sin titulo de sala especifico)</v>
      </c>
      <c r="J1413" s="44" t="str">
        <f>IFERROR(__xludf.DUMMYFUNCTION("""COMPUTED_VALUE"""),"")</f>
        <v/>
      </c>
      <c r="K1413" s="42" t="str">
        <f>IFERROR(__xludf.DUMMYFUNCTION("""COMPUTED_VALUE"""),"Periférico de Catia")</f>
        <v>Periférico de Catia</v>
      </c>
    </row>
    <row r="1414">
      <c r="A1414" s="44">
        <v>1413.0</v>
      </c>
      <c r="B1414" s="44" t="str">
        <f>IFERROR(__xludf.DUMMYFUNCTION("""COMPUTED_VALUE"""),"Hospital Domingo Luciani")</f>
        <v>Hospital Domingo Luciani</v>
      </c>
      <c r="C1414" s="45" t="str">
        <f>IFERROR(__xludf.DUMMYFUNCTION("""COMPUTED_VALUE"""),"CABARCA VENDEZILIN")</f>
        <v>CABARCA VENDEZILIN</v>
      </c>
      <c r="D1414" s="44">
        <f>IFERROR(__xludf.DUMMYFUNCTION("""COMPUTED_VALUE"""),13.0)</f>
        <v>13</v>
      </c>
      <c r="E1414" s="44" t="str">
        <f>IFERROR(__xludf.DUMMYFUNCTION("""COMPUTED_VALUE"""),"")</f>
        <v/>
      </c>
      <c r="F1414" s="44" t="str">
        <f>IFERROR(__xludf.DUMMYFUNCTION("""COMPUTED_VALUE"""),"")</f>
        <v/>
      </c>
      <c r="G1414" s="44" t="str">
        <f>IFERROR(__xludf.DUMMYFUNCTION("""COMPUTED_VALUE""")," ")</f>
        <v> </v>
      </c>
      <c r="H1414" s="44" t="str">
        <f>IFERROR(__xludf.DUMMYFUNCTION("""COMPUTED_VALUE""")," ")</f>
        <v> </v>
      </c>
      <c r="I1414" s="44" t="str">
        <f>IFERROR(__xludf.DUMMYFUNCTION("""COMPUTED_VALUE""")," ")</f>
        <v> </v>
      </c>
      <c r="J1414" s="44" t="str">
        <f>IFERROR(__xludf.DUMMYFUNCTION("""COMPUTED_VALUE"""),"")</f>
        <v/>
      </c>
      <c r="K1414" s="42" t="str">
        <f>IFERROR(__xludf.DUMMYFUNCTION("""COMPUTED_VALUE"""),"🔍 BUSCAR PACIENTES")</f>
        <v>🔍 BUSCAR PACIENTES</v>
      </c>
    </row>
    <row r="1415">
      <c r="A1415" s="44">
        <v>1414.0</v>
      </c>
      <c r="B1415" s="44" t="str">
        <f>IFERROR(__xludf.DUMMYFUNCTION("""COMPUTED_VALUE"""),"Hospital Domingo Luciani")</f>
        <v>Hospital Domingo Luciani</v>
      </c>
      <c r="C1415" s="45" t="str">
        <f>IFERROR(__xludf.DUMMYFUNCTION("""COMPUTED_VALUE"""),"CABARCA YENDERLIN")</f>
        <v>CABARCA YENDERLIN</v>
      </c>
      <c r="D1415" s="44">
        <f>IFERROR(__xludf.DUMMYFUNCTION("""COMPUTED_VALUE"""),12.0)</f>
        <v>12</v>
      </c>
      <c r="E1415" s="44" t="str">
        <f>IFERROR(__xludf.DUMMYFUNCTION("""COMPUTED_VALUE"""),"")</f>
        <v/>
      </c>
      <c r="F1415" s="44" t="str">
        <f>IFERROR(__xludf.DUMMYFUNCTION("""COMPUTED_VALUE"""),"")</f>
        <v/>
      </c>
      <c r="G1415" s="44" t="str">
        <f>IFERROR(__xludf.DUMMYFUNCTION("""COMPUTED_VALUE""")," ")</f>
        <v> </v>
      </c>
      <c r="H1415" s="44" t="str">
        <f>IFERROR(__xludf.DUMMYFUNCTION("""COMPUTED_VALUE"""),"Caribe")</f>
        <v>Caribe</v>
      </c>
      <c r="I1415" s="44" t="str">
        <f>IFERROR(__xludf.DUMMYFUNCTION("""COMPUTED_VALUE"""),"Pediatría")</f>
        <v>Pediatría</v>
      </c>
      <c r="J1415" s="44" t="str">
        <f>IFERROR(__xludf.DUMMYFUNCTION("""COMPUTED_VALUE"""),"")</f>
        <v/>
      </c>
      <c r="K1415" s="42" t="str">
        <f>IFERROR(__xludf.DUMMYFUNCTION("""COMPUTED_VALUE"""),"🔍 BUSCAR PACIENTES")</f>
        <v>🔍 BUSCAR PACIENTES</v>
      </c>
    </row>
    <row r="1416">
      <c r="A1416" s="44">
        <v>1415.0</v>
      </c>
      <c r="B1416" s="44" t="str">
        <f>IFERROR(__xludf.DUMMYFUNCTION("""COMPUTED_VALUE"""),"Hospital Domingo Luciani")</f>
        <v>Hospital Domingo Luciani</v>
      </c>
      <c r="C1416" s="45" t="str">
        <f>IFERROR(__xludf.DUMMYFUNCTION("""COMPUTED_VALUE"""),"CABARCA YENDERLIN / CABARCA YENDEL")</f>
        <v>CABARCA YENDERLIN / CABARCA YENDEL</v>
      </c>
      <c r="D1416" s="44">
        <f>IFERROR(__xludf.DUMMYFUNCTION("""COMPUTED_VALUE"""),13.0)</f>
        <v>13</v>
      </c>
      <c r="E1416" s="44" t="str">
        <f>IFERROR(__xludf.DUMMYFUNCTION("""COMPUTED_VALUE"""),"")</f>
        <v/>
      </c>
      <c r="F1416" s="44" t="str">
        <f>IFERROR(__xludf.DUMMYFUNCTION("""COMPUTED_VALUE"""),"")</f>
        <v/>
      </c>
      <c r="G1416" s="44" t="str">
        <f>IFERROR(__xludf.DUMMYFUNCTION("""COMPUTED_VALUE""")," ")</f>
        <v> </v>
      </c>
      <c r="H1416" s="44" t="str">
        <f>IFERROR(__xludf.DUMMYFUNCTION("""COMPUTED_VALUE""")," ")</f>
        <v> </v>
      </c>
      <c r="I1416" s="44" t="str">
        <f>IFERROR(__xludf.DUMMYFUNCTION("""COMPUTED_VALUE""")," ")</f>
        <v> </v>
      </c>
      <c r="J1416" s="44" t="str">
        <f>IFERROR(__xludf.DUMMYFUNCTION("""COMPUTED_VALUE"""),"")</f>
        <v/>
      </c>
      <c r="K1416" s="42" t="str">
        <f>IFERROR(__xludf.DUMMYFUNCTION("""COMPUTED_VALUE"""),"🔍 BUSCAR PACIENTES")</f>
        <v>🔍 BUSCAR PACIENTES</v>
      </c>
    </row>
    <row r="1417">
      <c r="A1417" s="44">
        <v>1416.0</v>
      </c>
      <c r="B1417" s="44" t="str">
        <f>IFERROR(__xludf.DUMMYFUNCTION("""COMPUTED_VALUE"""),"Hospital Pérez Carreño")</f>
        <v>Hospital Pérez Carreño</v>
      </c>
      <c r="C1417" s="45" t="str">
        <f>IFERROR(__xludf.DUMMYFUNCTION("""COMPUTED_VALUE"""),"CABELLO BRISNEIDY")</f>
        <v>CABELLO BRISNEIDY</v>
      </c>
      <c r="D1417" s="44" t="str">
        <f>IFERROR(__xludf.DUMMYFUNCTION("""COMPUTED_VALUE""")," ")</f>
        <v> </v>
      </c>
      <c r="E1417" s="44" t="str">
        <f>IFERROR(__xludf.DUMMYFUNCTION("""COMPUTED_VALUE"""),"")</f>
        <v/>
      </c>
      <c r="F1417" s="44" t="str">
        <f>IFERROR(__xludf.DUMMYFUNCTION("""COMPUTED_VALUE"""),"")</f>
        <v/>
      </c>
      <c r="G1417" s="44" t="str">
        <f>IFERROR(__xludf.DUMMYFUNCTION("""COMPUTED_VALUE""")," ")</f>
        <v> </v>
      </c>
      <c r="H1417" s="44" t="str">
        <f>IFERROR(__xludf.DUMMYFUNCTION("""COMPUTED_VALUE""")," ")</f>
        <v> </v>
      </c>
      <c r="I1417" s="44" t="str">
        <f>IFERROR(__xludf.DUMMYFUNCTION("""COMPUTED_VALUE"""),"Internado; Trauma Shock / Cirugía General")</f>
        <v>Internado; Trauma Shock / Cirugía General</v>
      </c>
      <c r="J1417" s="44" t="str">
        <f>IFERROR(__xludf.DUMMYFUNCTION("""COMPUTED_VALUE"""),"25/06/2026")</f>
        <v>25/06/2026</v>
      </c>
      <c r="K1417" s="42" t="str">
        <f>IFERROR(__xludf.DUMMYFUNCTION("""COMPUTED_VALUE"""),"Hospital Pérez Carreño")</f>
        <v>Hospital Pérez Carreño</v>
      </c>
    </row>
    <row r="1418">
      <c r="A1418" s="44">
        <v>1417.0</v>
      </c>
      <c r="B1418" s="44" t="str">
        <f>IFERROR(__xludf.DUMMYFUNCTION("""COMPUTED_VALUE"""),"Centro de Acopio Caraballeda")</f>
        <v>Centro de Acopio Caraballeda</v>
      </c>
      <c r="C1418" s="45" t="str">
        <f>IFERROR(__xludf.DUMMYFUNCTION("""COMPUTED_VALUE"""),"CABREA MAGALY")</f>
        <v>CABREA MAGALY</v>
      </c>
      <c r="D1418" s="44" t="str">
        <f>IFERROR(__xludf.DUMMYFUNCTION("""COMPUTED_VALUE""")," ")</f>
        <v> </v>
      </c>
      <c r="E1418" s="44" t="str">
        <f>IFERROR(__xludf.DUMMYFUNCTION("""COMPUTED_VALUE"""),"")</f>
        <v/>
      </c>
      <c r="F1418" s="44" t="str">
        <f>IFERROR(__xludf.DUMMYFUNCTION("""COMPUTED_VALUE"""),"")</f>
        <v/>
      </c>
      <c r="G1418" s="44" t="str">
        <f>IFERROR(__xludf.DUMMYFUNCTION("""COMPUTED_VALUE""")," ")</f>
        <v> </v>
      </c>
      <c r="H1418" s="44" t="str">
        <f>IFERROR(__xludf.DUMMYFUNCTION("""COMPUTED_VALUE""")," ")</f>
        <v> </v>
      </c>
      <c r="I1418" s="44" t="str">
        <f>IFERROR(__xludf.DUMMYFUNCTION("""COMPUTED_VALUE"""),"Internado")</f>
        <v>Internado</v>
      </c>
      <c r="J1418" s="44" t="str">
        <f>IFERROR(__xludf.DUMMYFUNCTION("""COMPUTED_VALUE"""),"")</f>
        <v/>
      </c>
      <c r="K1418" s="42" t="str">
        <f>IFERROR(__xludf.DUMMYFUNCTION("""COMPUTED_VALUE"""),"🔍 BUSCAR PACIENTES")</f>
        <v>🔍 BUSCAR PACIENTES</v>
      </c>
    </row>
    <row r="1419">
      <c r="A1419" s="44">
        <v>1418.0</v>
      </c>
      <c r="B1419" s="44" t="str">
        <f>IFERROR(__xludf.DUMMYFUNCTION("""COMPUTED_VALUE"""),"Hospital Domingo Luciani")</f>
        <v>Hospital Domingo Luciani</v>
      </c>
      <c r="C1419" s="45" t="str">
        <f>IFERROR(__xludf.DUMMYFUNCTION("""COMPUTED_VALUE"""),"CABRERA CARINA")</f>
        <v>CABRERA CARINA</v>
      </c>
      <c r="D1419" s="44" t="str">
        <f>IFERROR(__xludf.DUMMYFUNCTION("""COMPUTED_VALUE""")," ")</f>
        <v> </v>
      </c>
      <c r="E1419" s="44" t="str">
        <f>IFERROR(__xludf.DUMMYFUNCTION("""COMPUTED_VALUE"""),"")</f>
        <v/>
      </c>
      <c r="F1419" s="44" t="str">
        <f>IFERROR(__xludf.DUMMYFUNCTION("""COMPUTED_VALUE"""),"")</f>
        <v/>
      </c>
      <c r="G1419" s="44" t="str">
        <f>IFERROR(__xludf.DUMMYFUNCTION("""COMPUTED_VALUE""")," ")</f>
        <v> </v>
      </c>
      <c r="H1419" s="44" t="str">
        <f>IFERROR(__xludf.DUMMYFUNCTION("""COMPUTED_VALUE""")," ")</f>
        <v> </v>
      </c>
      <c r="I1419" s="44" t="str">
        <f>IFERROR(__xludf.DUMMYFUNCTION("""COMPUTED_VALUE"""),"Politrauma – Trauma")</f>
        <v>Politrauma – Trauma</v>
      </c>
      <c r="J1419" s="44" t="str">
        <f>IFERROR(__xludf.DUMMYFUNCTION("""COMPUTED_VALUE"""),"")</f>
        <v/>
      </c>
      <c r="K1419" s="42" t="str">
        <f>IFERROR(__xludf.DUMMYFUNCTION("""COMPUTED_VALUE"""),"🔍 BUSCAR PACIENTES")</f>
        <v>🔍 BUSCAR PACIENTES</v>
      </c>
    </row>
    <row r="1420">
      <c r="A1420" s="44">
        <v>1419.0</v>
      </c>
      <c r="B1420" s="44" t="str">
        <f>IFERROR(__xludf.DUMMYFUNCTION("""COMPUTED_VALUE"""),"Hospital Domingo Luciani")</f>
        <v>Hospital Domingo Luciani</v>
      </c>
      <c r="C1420" s="45" t="str">
        <f>IFERROR(__xludf.DUMMYFUNCTION("""COMPUTED_VALUE"""),"CABRERA KARINA")</f>
        <v>CABRERA KARINA</v>
      </c>
      <c r="D1420" s="44">
        <f>IFERROR(__xludf.DUMMYFUNCTION("""COMPUTED_VALUE"""),30.0)</f>
        <v>30</v>
      </c>
      <c r="E1420" s="44" t="str">
        <f>IFERROR(__xludf.DUMMYFUNCTION("""COMPUTED_VALUE"""),"")</f>
        <v/>
      </c>
      <c r="F1420" s="44" t="str">
        <f>IFERROR(__xludf.DUMMYFUNCTION("""COMPUTED_VALUE"""),"")</f>
        <v/>
      </c>
      <c r="G1420" s="44" t="str">
        <f>IFERROR(__xludf.DUMMYFUNCTION("""COMPUTED_VALUE""")," ")</f>
        <v> </v>
      </c>
      <c r="H1420" s="44" t="str">
        <f>IFERROR(__xludf.DUMMYFUNCTION("""COMPUTED_VALUE""")," ")</f>
        <v> </v>
      </c>
      <c r="I1420" s="44" t="str">
        <f>IFERROR(__xludf.DUMMYFUNCTION("""COMPUTED_VALUE""")," ")</f>
        <v> </v>
      </c>
      <c r="J1420" s="44" t="str">
        <f>IFERROR(__xludf.DUMMYFUNCTION("""COMPUTED_VALUE"""),"")</f>
        <v/>
      </c>
      <c r="K1420" s="42" t="str">
        <f>IFERROR(__xludf.DUMMYFUNCTION("""COMPUTED_VALUE"""),"🔍 BUSCAR PACIENTES")</f>
        <v>🔍 BUSCAR PACIENTES</v>
      </c>
    </row>
    <row r="1421">
      <c r="A1421" s="44">
        <v>1420.0</v>
      </c>
      <c r="B1421" s="44" t="str">
        <f>IFERROR(__xludf.DUMMYFUNCTION("""COMPUTED_VALUE"""),"H. Jose Maria Vargas LG")</f>
        <v>H. Jose Maria Vargas LG</v>
      </c>
      <c r="C1421" s="45" t="str">
        <f>IFERROR(__xludf.DUMMYFUNCTION("""COMPUTED_VALUE"""),"CABRERA LUCRECIA")</f>
        <v>CABRERA LUCRECIA</v>
      </c>
      <c r="D1421" s="44" t="str">
        <f>IFERROR(__xludf.DUMMYFUNCTION("""COMPUTED_VALUE""")," ")</f>
        <v> </v>
      </c>
      <c r="E1421" s="44" t="str">
        <f>IFERROR(__xludf.DUMMYFUNCTION("""COMPUTED_VALUE"""),"")</f>
        <v/>
      </c>
      <c r="F1421" s="44" t="str">
        <f>IFERROR(__xludf.DUMMYFUNCTION("""COMPUTED_VALUE"""),"")</f>
        <v/>
      </c>
      <c r="G1421" s="44" t="str">
        <f>IFERROR(__xludf.DUMMYFUNCTION("""COMPUTED_VALUE""")," ")</f>
        <v> </v>
      </c>
      <c r="H1421" s="44" t="str">
        <f>IFERROR(__xludf.DUMMYFUNCTION("""COMPUTED_VALUE""")," ")</f>
        <v> </v>
      </c>
      <c r="I1421" s="44" t="str">
        <f>IFERROR(__xludf.DUMMYFUNCTION("""COMPUTED_VALUE""")," ")</f>
        <v> </v>
      </c>
      <c r="J1421" s="44" t="str">
        <f>IFERROR(__xludf.DUMMYFUNCTION("""COMPUTED_VALUE"""),"")</f>
        <v/>
      </c>
      <c r="K1421" s="42" t="str">
        <f>IFERROR(__xludf.DUMMYFUNCTION("""COMPUTED_VALUE"""),"H. Jose Maria Vargas LG")</f>
        <v>H. Jose Maria Vargas LG</v>
      </c>
    </row>
    <row r="1422">
      <c r="A1422" s="44">
        <v>1421.0</v>
      </c>
      <c r="B1422" s="44" t="str">
        <f>IFERROR(__xludf.DUMMYFUNCTION("""COMPUTED_VALUE"""),"Hospital Domingo Luciani")</f>
        <v>Hospital Domingo Luciani</v>
      </c>
      <c r="C1422" s="45" t="str">
        <f>IFERROR(__xludf.DUMMYFUNCTION("""COMPUTED_VALUE"""),"CADARCA YENDERLI")</f>
        <v>CADARCA YENDERLI</v>
      </c>
      <c r="D1422" s="44" t="str">
        <f>IFERROR(__xludf.DUMMYFUNCTION("""COMPUTED_VALUE""")," ")</f>
        <v> </v>
      </c>
      <c r="E1422" s="44" t="str">
        <f>IFERROR(__xludf.DUMMYFUNCTION("""COMPUTED_VALUE"""),"")</f>
        <v/>
      </c>
      <c r="F1422" s="44" t="str">
        <f>IFERROR(__xludf.DUMMYFUNCTION("""COMPUTED_VALUE"""),"")</f>
        <v/>
      </c>
      <c r="G1422" s="44" t="str">
        <f>IFERROR(__xludf.DUMMYFUNCTION("""COMPUTED_VALUE""")," ")</f>
        <v> </v>
      </c>
      <c r="H1422" s="44" t="str">
        <f>IFERROR(__xludf.DUMMYFUNCTION("""COMPUTED_VALUE""")," ")</f>
        <v> </v>
      </c>
      <c r="I1422" s="44" t="str">
        <f>IFERROR(__xludf.DUMMYFUNCTION("""COMPUTED_VALUE"""),"Pediatría")</f>
        <v>Pediatría</v>
      </c>
      <c r="J1422" s="44" t="str">
        <f>IFERROR(__xludf.DUMMYFUNCTION("""COMPUTED_VALUE"""),"")</f>
        <v/>
      </c>
      <c r="K1422" s="42" t="str">
        <f>IFERROR(__xludf.DUMMYFUNCTION("""COMPUTED_VALUE"""),"🔍 BUSCAR PACIENTES")</f>
        <v>🔍 BUSCAR PACIENTES</v>
      </c>
    </row>
    <row r="1423">
      <c r="A1423" s="44">
        <v>1422.0</v>
      </c>
      <c r="B1423" s="44" t="str">
        <f>IFERROR(__xludf.DUMMYFUNCTION("""COMPUTED_VALUE"""),"Centro de Acopio Caraballeda")</f>
        <v>Centro de Acopio Caraballeda</v>
      </c>
      <c r="C1423" s="45" t="str">
        <f>IFERROR(__xludf.DUMMYFUNCTION("""COMPUTED_VALUE"""),"CADENAS JOSE GREGORIO")</f>
        <v>CADENAS JOSE GREGORIO</v>
      </c>
      <c r="D1423" s="44" t="str">
        <f>IFERROR(__xludf.DUMMYFUNCTION("""COMPUTED_VALUE""")," ")</f>
        <v> </v>
      </c>
      <c r="E1423" s="44" t="str">
        <f>IFERROR(__xludf.DUMMYFUNCTION("""COMPUTED_VALUE"""),"")</f>
        <v/>
      </c>
      <c r="F1423" s="44" t="str">
        <f>IFERROR(__xludf.DUMMYFUNCTION("""COMPUTED_VALUE"""),"")</f>
        <v/>
      </c>
      <c r="G1423" s="44" t="str">
        <f>IFERROR(__xludf.DUMMYFUNCTION("""COMPUTED_VALUE""")," ")</f>
        <v> </v>
      </c>
      <c r="H1423" s="44" t="str">
        <f>IFERROR(__xludf.DUMMYFUNCTION("""COMPUTED_VALUE""")," ")</f>
        <v> </v>
      </c>
      <c r="I1423" s="44" t="str">
        <f>IFERROR(__xludf.DUMMYFUNCTION("""COMPUTED_VALUE"""),"Internado")</f>
        <v>Internado</v>
      </c>
      <c r="J1423" s="44" t="str">
        <f>IFERROR(__xludf.DUMMYFUNCTION("""COMPUTED_VALUE"""),"")</f>
        <v/>
      </c>
      <c r="K1423" s="42" t="str">
        <f>IFERROR(__xludf.DUMMYFUNCTION("""COMPUTED_VALUE"""),"🔍 BUSCAR PACIENTES")</f>
        <v>🔍 BUSCAR PACIENTES</v>
      </c>
    </row>
    <row r="1424">
      <c r="A1424" s="44">
        <v>1423.0</v>
      </c>
      <c r="B1424" s="44" t="str">
        <f>IFERROR(__xludf.DUMMYFUNCTION("""COMPUTED_VALUE"""),"Centro de Acopio Caraballeda")</f>
        <v>Centro de Acopio Caraballeda</v>
      </c>
      <c r="C1424" s="45" t="str">
        <f>IFERROR(__xludf.DUMMYFUNCTION("""COMPUTED_VALUE"""),"CADENAS LANDRO")</f>
        <v>CADENAS LANDRO</v>
      </c>
      <c r="D1424" s="44" t="str">
        <f>IFERROR(__xludf.DUMMYFUNCTION("""COMPUTED_VALUE""")," ")</f>
        <v> </v>
      </c>
      <c r="E1424" s="44" t="str">
        <f>IFERROR(__xludf.DUMMYFUNCTION("""COMPUTED_VALUE"""),"")</f>
        <v/>
      </c>
      <c r="F1424" s="44" t="str">
        <f>IFERROR(__xludf.DUMMYFUNCTION("""COMPUTED_VALUE"""),"")</f>
        <v/>
      </c>
      <c r="G1424" s="44" t="str">
        <f>IFERROR(__xludf.DUMMYFUNCTION("""COMPUTED_VALUE""")," ")</f>
        <v> </v>
      </c>
      <c r="H1424" s="44" t="str">
        <f>IFERROR(__xludf.DUMMYFUNCTION("""COMPUTED_VALUE""")," ")</f>
        <v> </v>
      </c>
      <c r="I1424" s="44" t="str">
        <f>IFERROR(__xludf.DUMMYFUNCTION("""COMPUTED_VALUE"""),"Internado")</f>
        <v>Internado</v>
      </c>
      <c r="J1424" s="44" t="str">
        <f>IFERROR(__xludf.DUMMYFUNCTION("""COMPUTED_VALUE"""),"")</f>
        <v/>
      </c>
      <c r="K1424" s="42" t="str">
        <f>IFERROR(__xludf.DUMMYFUNCTION("""COMPUTED_VALUE"""),"🔍 BUSCAR PACIENTES")</f>
        <v>🔍 BUSCAR PACIENTES</v>
      </c>
    </row>
    <row r="1425">
      <c r="A1425" s="44">
        <v>1424.0</v>
      </c>
      <c r="B1425" s="44" t="str">
        <f>IFERROR(__xludf.DUMMYFUNCTION("""COMPUTED_VALUE"""),"Centro de Acopio Caraballeda")</f>
        <v>Centro de Acopio Caraballeda</v>
      </c>
      <c r="C1425" s="45" t="str">
        <f>IFERROR(__xludf.DUMMYFUNCTION("""COMPUTED_VALUE"""),"CADENAS ONAS")</f>
        <v>CADENAS ONAS</v>
      </c>
      <c r="D1425" s="44" t="str">
        <f>IFERROR(__xludf.DUMMYFUNCTION("""COMPUTED_VALUE""")," ")</f>
        <v> </v>
      </c>
      <c r="E1425" s="44" t="str">
        <f>IFERROR(__xludf.DUMMYFUNCTION("""COMPUTED_VALUE"""),"")</f>
        <v/>
      </c>
      <c r="F1425" s="44" t="str">
        <f>IFERROR(__xludf.DUMMYFUNCTION("""COMPUTED_VALUE"""),"")</f>
        <v/>
      </c>
      <c r="G1425" s="44" t="str">
        <f>IFERROR(__xludf.DUMMYFUNCTION("""COMPUTED_VALUE""")," ")</f>
        <v> </v>
      </c>
      <c r="H1425" s="44" t="str">
        <f>IFERROR(__xludf.DUMMYFUNCTION("""COMPUTED_VALUE""")," ")</f>
        <v> </v>
      </c>
      <c r="I1425" s="44" t="str">
        <f>IFERROR(__xludf.DUMMYFUNCTION("""COMPUTED_VALUE"""),"Internado")</f>
        <v>Internado</v>
      </c>
      <c r="J1425" s="44" t="str">
        <f>IFERROR(__xludf.DUMMYFUNCTION("""COMPUTED_VALUE"""),"")</f>
        <v/>
      </c>
      <c r="K1425" s="42" t="str">
        <f>IFERROR(__xludf.DUMMYFUNCTION("""COMPUTED_VALUE"""),"🔍 BUSCAR PACIENTES")</f>
        <v>🔍 BUSCAR PACIENTES</v>
      </c>
    </row>
    <row r="1426">
      <c r="A1426" s="44">
        <v>1425.0</v>
      </c>
      <c r="B1426" s="44" t="str">
        <f>IFERROR(__xludf.DUMMYFUNCTION("""COMPUTED_VALUE"""),"H. Jose Maria Vargas LG")</f>
        <v>H. Jose Maria Vargas LG</v>
      </c>
      <c r="C1426" s="45" t="str">
        <f>IFERROR(__xludf.DUMMYFUNCTION("""COMPUTED_VALUE"""),"CAISEDO ARMANDO")</f>
        <v>CAISEDO ARMANDO</v>
      </c>
      <c r="D1426" s="44">
        <f>IFERROR(__xludf.DUMMYFUNCTION("""COMPUTED_VALUE"""),67.0)</f>
        <v>67</v>
      </c>
      <c r="E1426" s="44" t="str">
        <f>IFERROR(__xludf.DUMMYFUNCTION("""COMPUTED_VALUE"""),"")</f>
        <v/>
      </c>
      <c r="F1426" s="44" t="str">
        <f>IFERROR(__xludf.DUMMYFUNCTION("""COMPUTED_VALUE"""),"")</f>
        <v/>
      </c>
      <c r="G1426" s="44" t="str">
        <f>IFERROR(__xludf.DUMMYFUNCTION("""COMPUTED_VALUE""")," ")</f>
        <v> </v>
      </c>
      <c r="H1426" s="44" t="str">
        <f>IFERROR(__xludf.DUMMYFUNCTION("""COMPUTED_VALUE"""),"Tanaguarena")</f>
        <v>Tanaguarena</v>
      </c>
      <c r="I1426" s="44" t="str">
        <f>IFERROR(__xludf.DUMMYFUNCTION("""COMPUTED_VALUE""")," ")</f>
        <v> </v>
      </c>
      <c r="J1426" s="44" t="str">
        <f>IFERROR(__xludf.DUMMYFUNCTION("""COMPUTED_VALUE"""),"")</f>
        <v/>
      </c>
      <c r="K1426" s="42" t="str">
        <f>IFERROR(__xludf.DUMMYFUNCTION("""COMPUTED_VALUE"""),"H. Jose Maria Vargas LG")</f>
        <v>H. Jose Maria Vargas LG</v>
      </c>
    </row>
    <row r="1427">
      <c r="A1427" s="44">
        <v>1426.0</v>
      </c>
      <c r="B1427" s="44" t="str">
        <f>IFERROR(__xludf.DUMMYFUNCTION("""COMPUTED_VALUE"""),"Hospital Domingo Luciani")</f>
        <v>Hospital Domingo Luciani</v>
      </c>
      <c r="C1427" s="45" t="str">
        <f>IFERROR(__xludf.DUMMYFUNCTION("""COMPUTED_VALUE"""),"CALDERA LEWIS")</f>
        <v>CALDERA LEWIS</v>
      </c>
      <c r="D1427" s="44">
        <f>IFERROR(__xludf.DUMMYFUNCTION("""COMPUTED_VALUE"""),40.0)</f>
        <v>40</v>
      </c>
      <c r="E1427" s="44" t="str">
        <f>IFERROR(__xludf.DUMMYFUNCTION("""COMPUTED_VALUE"""),"")</f>
        <v/>
      </c>
      <c r="F1427" s="44" t="str">
        <f>IFERROR(__xludf.DUMMYFUNCTION("""COMPUTED_VALUE"""),"")</f>
        <v/>
      </c>
      <c r="G1427" s="44" t="str">
        <f>IFERROR(__xludf.DUMMYFUNCTION("""COMPUTED_VALUE""")," ")</f>
        <v> </v>
      </c>
      <c r="H1427" s="44" t="str">
        <f>IFERROR(__xludf.DUMMYFUNCTION("""COMPUTED_VALUE""")," ")</f>
        <v> </v>
      </c>
      <c r="I1427" s="44" t="str">
        <f>IFERROR(__xludf.DUMMYFUNCTION("""COMPUTED_VALUE""")," ")</f>
        <v> </v>
      </c>
      <c r="J1427" s="44" t="str">
        <f>IFERROR(__xludf.DUMMYFUNCTION("""COMPUTED_VALUE"""),"")</f>
        <v/>
      </c>
      <c r="K1427" s="42" t="str">
        <f>IFERROR(__xludf.DUMMYFUNCTION("""COMPUTED_VALUE"""),"🔍 BUSCAR PACIENTES")</f>
        <v>🔍 BUSCAR PACIENTES</v>
      </c>
    </row>
    <row r="1428">
      <c r="A1428" s="44">
        <v>1427.0</v>
      </c>
      <c r="B1428" s="44" t="str">
        <f>IFERROR(__xludf.DUMMYFUNCTION("""COMPUTED_VALUE"""),"Centro de Acopio Caraballeda")</f>
        <v>Centro de Acopio Caraballeda</v>
      </c>
      <c r="C1428" s="45" t="str">
        <f>IFERROR(__xludf.DUMMYFUNCTION("""COMPUTED_VALUE"""),"CALDERO MARIA ELENA")</f>
        <v>CALDERO MARIA ELENA</v>
      </c>
      <c r="D1428" s="44" t="str">
        <f>IFERROR(__xludf.DUMMYFUNCTION("""COMPUTED_VALUE""")," ")</f>
        <v> </v>
      </c>
      <c r="E1428" s="44" t="str">
        <f>IFERROR(__xludf.DUMMYFUNCTION("""COMPUTED_VALUE"""),"")</f>
        <v/>
      </c>
      <c r="F1428" s="44" t="str">
        <f>IFERROR(__xludf.DUMMYFUNCTION("""COMPUTED_VALUE"""),"")</f>
        <v/>
      </c>
      <c r="G1428" s="44" t="str">
        <f>IFERROR(__xludf.DUMMYFUNCTION("""COMPUTED_VALUE""")," ")</f>
        <v> </v>
      </c>
      <c r="H1428" s="44" t="str">
        <f>IFERROR(__xludf.DUMMYFUNCTION("""COMPUTED_VALUE""")," ")</f>
        <v> </v>
      </c>
      <c r="I1428" s="44" t="str">
        <f>IFERROR(__xludf.DUMMYFUNCTION("""COMPUTED_VALUE"""),"Internado")</f>
        <v>Internado</v>
      </c>
      <c r="J1428" s="44" t="str">
        <f>IFERROR(__xludf.DUMMYFUNCTION("""COMPUTED_VALUE"""),"")</f>
        <v/>
      </c>
      <c r="K1428" s="42" t="str">
        <f>IFERROR(__xludf.DUMMYFUNCTION("""COMPUTED_VALUE"""),"🔍 BUSCAR PACIENTES")</f>
        <v>🔍 BUSCAR PACIENTES</v>
      </c>
    </row>
    <row r="1429">
      <c r="A1429" s="44">
        <v>1428.0</v>
      </c>
      <c r="B1429" s="44" t="str">
        <f>IFERROR(__xludf.DUMMYFUNCTION("""COMPUTED_VALUE"""),"Hospital Domingo Luciani")</f>
        <v>Hospital Domingo Luciani</v>
      </c>
      <c r="C1429" s="45" t="str">
        <f>IFERROR(__xludf.DUMMYFUNCTION("""COMPUTED_VALUE"""),"CALOS GONZALEZ")</f>
        <v>CALOS GONZALEZ</v>
      </c>
      <c r="D1429" s="44" t="str">
        <f>IFERROR(__xludf.DUMMYFUNCTION("""COMPUTED_VALUE""")," ")</f>
        <v> </v>
      </c>
      <c r="E1429" s="44" t="str">
        <f>IFERROR(__xludf.DUMMYFUNCTION("""COMPUTED_VALUE"""),"")</f>
        <v/>
      </c>
      <c r="F1429" s="44" t="str">
        <f>IFERROR(__xludf.DUMMYFUNCTION("""COMPUTED_VALUE"""),"")</f>
        <v/>
      </c>
      <c r="G1429" s="44" t="str">
        <f>IFERROR(__xludf.DUMMYFUNCTION("""COMPUTED_VALUE""")," ")</f>
        <v> </v>
      </c>
      <c r="H1429" s="44" t="str">
        <f>IFERROR(__xludf.DUMMYFUNCTION("""COMPUTED_VALUE""")," ")</f>
        <v> </v>
      </c>
      <c r="I1429" s="44" t="str">
        <f>IFERROR(__xludf.DUMMYFUNCTION("""COMPUTED_VALUE"""),"Politrauma Emerg. Nueva")</f>
        <v>Politrauma Emerg. Nueva</v>
      </c>
      <c r="J1429" s="44" t="str">
        <f>IFERROR(__xludf.DUMMYFUNCTION("""COMPUTED_VALUE"""),"")</f>
        <v/>
      </c>
      <c r="K1429" s="42" t="str">
        <f>IFERROR(__xludf.DUMMYFUNCTION("""COMPUTED_VALUE"""),"🔍 BUSCAR PACIENTES")</f>
        <v>🔍 BUSCAR PACIENTES</v>
      </c>
    </row>
    <row r="1430">
      <c r="A1430" s="44">
        <v>1429.0</v>
      </c>
      <c r="B1430" s="44" t="str">
        <f>IFERROR(__xludf.DUMMYFUNCTION("""COMPUTED_VALUE"""),"H. Jose Maria Vargas LG")</f>
        <v>H. Jose Maria Vargas LG</v>
      </c>
      <c r="C1430" s="45" t="str">
        <f>IFERROR(__xludf.DUMMYFUNCTION("""COMPUTED_VALUE"""),"CAMACARO JUNIO")</f>
        <v>CAMACARO JUNIO</v>
      </c>
      <c r="D1430" s="44">
        <f>IFERROR(__xludf.DUMMYFUNCTION("""COMPUTED_VALUE"""),26.0)</f>
        <v>26</v>
      </c>
      <c r="E1430" s="44" t="str">
        <f>IFERROR(__xludf.DUMMYFUNCTION("""COMPUTED_VALUE"""),"")</f>
        <v/>
      </c>
      <c r="F1430" s="44" t="str">
        <f>IFERROR(__xludf.DUMMYFUNCTION("""COMPUTED_VALUE"""),"")</f>
        <v/>
      </c>
      <c r="G1430" s="44" t="str">
        <f>IFERROR(__xludf.DUMMYFUNCTION("""COMPUTED_VALUE""")," ")</f>
        <v> </v>
      </c>
      <c r="H1430" s="44" t="str">
        <f>IFERROR(__xludf.DUMMYFUNCTION("""COMPUTED_VALUE"""),"Naiguata")</f>
        <v>Naiguata</v>
      </c>
      <c r="I1430" s="44" t="str">
        <f>IFERROR(__xludf.DUMMYFUNCTION("""COMPUTED_VALUE""")," ")</f>
        <v> </v>
      </c>
      <c r="J1430" s="44" t="str">
        <f>IFERROR(__xludf.DUMMYFUNCTION("""COMPUTED_VALUE"""),"")</f>
        <v/>
      </c>
      <c r="K1430" s="42" t="str">
        <f>IFERROR(__xludf.DUMMYFUNCTION("""COMPUTED_VALUE"""),"H. Jose Maria Vargas LG")</f>
        <v>H. Jose Maria Vargas LG</v>
      </c>
    </row>
    <row r="1431">
      <c r="A1431" s="44">
        <v>1430.0</v>
      </c>
      <c r="B1431" s="44" t="str">
        <f>IFERROR(__xludf.DUMMYFUNCTION("""COMPUTED_VALUE"""),"Centro de Acopio Caraballeda")</f>
        <v>Centro de Acopio Caraballeda</v>
      </c>
      <c r="C1431" s="45" t="str">
        <f>IFERROR(__xludf.DUMMYFUNCTION("""COMPUTED_VALUE"""),"CAMARGO ANGEL")</f>
        <v>CAMARGO ANGEL</v>
      </c>
      <c r="D1431" s="44" t="str">
        <f>IFERROR(__xludf.DUMMYFUNCTION("""COMPUTED_VALUE""")," ")</f>
        <v> </v>
      </c>
      <c r="E1431" s="44" t="str">
        <f>IFERROR(__xludf.DUMMYFUNCTION("""COMPUTED_VALUE"""),"")</f>
        <v/>
      </c>
      <c r="F1431" s="44" t="str">
        <f>IFERROR(__xludf.DUMMYFUNCTION("""COMPUTED_VALUE"""),"")</f>
        <v/>
      </c>
      <c r="G1431" s="44" t="str">
        <f>IFERROR(__xludf.DUMMYFUNCTION("""COMPUTED_VALUE""")," ")</f>
        <v> </v>
      </c>
      <c r="H1431" s="44" t="str">
        <f>IFERROR(__xludf.DUMMYFUNCTION("""COMPUTED_VALUE""")," ")</f>
        <v> </v>
      </c>
      <c r="I1431" s="44" t="str">
        <f>IFERROR(__xludf.DUMMYFUNCTION("""COMPUTED_VALUE"""),"Internado")</f>
        <v>Internado</v>
      </c>
      <c r="J1431" s="44" t="str">
        <f>IFERROR(__xludf.DUMMYFUNCTION("""COMPUTED_VALUE"""),"")</f>
        <v/>
      </c>
      <c r="K1431" s="42" t="str">
        <f>IFERROR(__xludf.DUMMYFUNCTION("""COMPUTED_VALUE"""),"🔍 BUSCAR PACIENTES")</f>
        <v>🔍 BUSCAR PACIENTES</v>
      </c>
    </row>
    <row r="1432">
      <c r="A1432" s="44">
        <v>1431.0</v>
      </c>
      <c r="B1432" s="44" t="str">
        <f>IFERROR(__xludf.DUMMYFUNCTION("""COMPUTED_VALUE"""),"Centro de Acopio Caraballeda")</f>
        <v>Centro de Acopio Caraballeda</v>
      </c>
      <c r="C1432" s="45" t="str">
        <f>IFERROR(__xludf.DUMMYFUNCTION("""COMPUTED_VALUE"""),"CAMARGO MARTIN")</f>
        <v>CAMARGO MARTIN</v>
      </c>
      <c r="D1432" s="44" t="str">
        <f>IFERROR(__xludf.DUMMYFUNCTION("""COMPUTED_VALUE""")," ")</f>
        <v> </v>
      </c>
      <c r="E1432" s="44" t="str">
        <f>IFERROR(__xludf.DUMMYFUNCTION("""COMPUTED_VALUE"""),"")</f>
        <v/>
      </c>
      <c r="F1432" s="44" t="str">
        <f>IFERROR(__xludf.DUMMYFUNCTION("""COMPUTED_VALUE"""),"")</f>
        <v/>
      </c>
      <c r="G1432" s="44" t="str">
        <f>IFERROR(__xludf.DUMMYFUNCTION("""COMPUTED_VALUE""")," ")</f>
        <v> </v>
      </c>
      <c r="H1432" s="44" t="str">
        <f>IFERROR(__xludf.DUMMYFUNCTION("""COMPUTED_VALUE""")," ")</f>
        <v> </v>
      </c>
      <c r="I1432" s="44" t="str">
        <f>IFERROR(__xludf.DUMMYFUNCTION("""COMPUTED_VALUE"""),"Internado")</f>
        <v>Internado</v>
      </c>
      <c r="J1432" s="44" t="str">
        <f>IFERROR(__xludf.DUMMYFUNCTION("""COMPUTED_VALUE"""),"")</f>
        <v/>
      </c>
      <c r="K1432" s="42" t="str">
        <f>IFERROR(__xludf.DUMMYFUNCTION("""COMPUTED_VALUE"""),"🔍 BUSCAR PACIENTES")</f>
        <v>🔍 BUSCAR PACIENTES</v>
      </c>
    </row>
    <row r="1433">
      <c r="A1433" s="44">
        <v>1432.0</v>
      </c>
      <c r="B1433" s="44" t="str">
        <f>IFERROR(__xludf.DUMMYFUNCTION("""COMPUTED_VALUE"""),"Centro de Acopio Caraballeda")</f>
        <v>Centro de Acopio Caraballeda</v>
      </c>
      <c r="C1433" s="45" t="str">
        <f>IFERROR(__xludf.DUMMYFUNCTION("""COMPUTED_VALUE"""),"CAMARGO RODNER")</f>
        <v>CAMARGO RODNER</v>
      </c>
      <c r="D1433" s="44" t="str">
        <f>IFERROR(__xludf.DUMMYFUNCTION("""COMPUTED_VALUE""")," ")</f>
        <v> </v>
      </c>
      <c r="E1433" s="44" t="str">
        <f>IFERROR(__xludf.DUMMYFUNCTION("""COMPUTED_VALUE"""),"")</f>
        <v/>
      </c>
      <c r="F1433" s="44" t="str">
        <f>IFERROR(__xludf.DUMMYFUNCTION("""COMPUTED_VALUE"""),"")</f>
        <v/>
      </c>
      <c r="G1433" s="44" t="str">
        <f>IFERROR(__xludf.DUMMYFUNCTION("""COMPUTED_VALUE""")," ")</f>
        <v> </v>
      </c>
      <c r="H1433" s="44" t="str">
        <f>IFERROR(__xludf.DUMMYFUNCTION("""COMPUTED_VALUE""")," ")</f>
        <v> </v>
      </c>
      <c r="I1433" s="44" t="str">
        <f>IFERROR(__xludf.DUMMYFUNCTION("""COMPUTED_VALUE"""),"Internado; MENOR")</f>
        <v>Internado; MENOR</v>
      </c>
      <c r="J1433" s="44" t="str">
        <f>IFERROR(__xludf.DUMMYFUNCTION("""COMPUTED_VALUE"""),"")</f>
        <v/>
      </c>
      <c r="K1433" s="42" t="str">
        <f>IFERROR(__xludf.DUMMYFUNCTION("""COMPUTED_VALUE"""),"🔍 BUSCAR PACIENTES")</f>
        <v>🔍 BUSCAR PACIENTES</v>
      </c>
    </row>
    <row r="1434">
      <c r="A1434" s="44">
        <v>1433.0</v>
      </c>
      <c r="B1434" s="44" t="str">
        <f>IFERROR(__xludf.DUMMYFUNCTION("""COMPUTED_VALUE"""),"Hospital Vargas de Caracas")</f>
        <v>Hospital Vargas de Caracas</v>
      </c>
      <c r="C1434" s="45" t="str">
        <f>IFERROR(__xludf.DUMMYFUNCTION("""COMPUTED_VALUE"""),"Camila Diaz Romero")</f>
        <v>Camila Diaz Romero</v>
      </c>
      <c r="D1434" s="44">
        <f>IFERROR(__xludf.DUMMYFUNCTION("""COMPUTED_VALUE"""),9.0)</f>
        <v>9</v>
      </c>
      <c r="E1434" s="44" t="str">
        <f>IFERROR(__xludf.DUMMYFUNCTION("""COMPUTED_VALUE"""),"")</f>
        <v/>
      </c>
      <c r="F1434" s="44"/>
      <c r="G1434" s="44" t="str">
        <f>IFERROR(__xludf.DUMMYFUNCTION("""COMPUTED_VALUE"""),"")</f>
        <v/>
      </c>
      <c r="H1434" s="44"/>
      <c r="I1434" s="44" t="str">
        <f>IFERROR(__xludf.DUMMYFUNCTION("""COMPUTED_VALUE"""),"Edad (9a) anotada junto al nombre en la pizarra original")</f>
        <v>Edad (9a) anotada junto al nombre en la pizarra original</v>
      </c>
      <c r="J1434" s="44" t="str">
        <f>IFERROR(__xludf.DUMMYFUNCTION("""COMPUTED_VALUE"""),"")</f>
        <v/>
      </c>
      <c r="K1434" s="42" t="str">
        <f>IFERROR(__xludf.DUMMYFUNCTION("""COMPUTED_VALUE"""),"Hospital Vargas de Caracas")</f>
        <v>Hospital Vargas de Caracas</v>
      </c>
    </row>
    <row r="1435">
      <c r="A1435" s="44">
        <v>1434.0</v>
      </c>
      <c r="B1435" s="44" t="str">
        <f>IFERROR(__xludf.DUMMYFUNCTION("""COMPUTED_VALUE"""),"HOSPITAL VARGAS")</f>
        <v>HOSPITAL VARGAS</v>
      </c>
      <c r="C1435" s="45" t="str">
        <f>IFERROR(__xludf.DUMMYFUNCTION("""COMPUTED_VALUE"""),"Camila Díaz Romero")</f>
        <v>Camila Díaz Romero</v>
      </c>
      <c r="D1435" s="44" t="str">
        <f>IFERROR(__xludf.DUMMYFUNCTION("""COMPUTED_VALUE"""),"4 años")</f>
        <v>4 años</v>
      </c>
      <c r="E1435" s="44" t="str">
        <f>IFERROR(__xludf.DUMMYFUNCTION("""COMPUTED_VALUE"""),"")</f>
        <v/>
      </c>
      <c r="F1435" s="44" t="str">
        <f>IFERROR(__xludf.DUMMYFUNCTION("""COMPUTED_VALUE"""),"")</f>
        <v/>
      </c>
      <c r="G1435" s="44" t="str">
        <f>IFERROR(__xludf.DUMMYFUNCTION("""COMPUTED_VALUE"""),"")</f>
        <v/>
      </c>
      <c r="H1435" s="44" t="str">
        <f>IFERROR(__xludf.DUMMYFUNCTION("""COMPUTED_VALUE"""),"")</f>
        <v/>
      </c>
      <c r="I1435" s="44" t="str">
        <f>IFERROR(__xludf.DUMMYFUNCTION("""COMPUTED_VALUE"""),"Herido / atendido")</f>
        <v>Herido / atendido</v>
      </c>
      <c r="J1435" s="44" t="str">
        <f>IFERROR(__xludf.DUMMYFUNCTION("""COMPUTED_VALUE"""),"24.06.2026 ")</f>
        <v>24.06.2026 </v>
      </c>
      <c r="K1435" s="42" t="str">
        <f>IFERROR(__xludf.DUMMYFUNCTION("""COMPUTED_VALUE"""),"HOSPITAL VARGAS")</f>
        <v>HOSPITAL VARGAS</v>
      </c>
    </row>
    <row r="1436">
      <c r="A1436" s="44">
        <v>1435.0</v>
      </c>
      <c r="B1436" s="44" t="str">
        <f>IFERROR(__xludf.DUMMYFUNCTION("""COMPUTED_VALUE"""),"Seguro Social La Guaira")</f>
        <v>Seguro Social La Guaira</v>
      </c>
      <c r="C1436" s="45" t="str">
        <f>IFERROR(__xludf.DUMMYFUNCTION("""COMPUTED_VALUE"""),"CAMILE PICCARDO")</f>
        <v>CAMILE PICCARDO</v>
      </c>
      <c r="D1436" s="44">
        <f>IFERROR(__xludf.DUMMYFUNCTION("""COMPUTED_VALUE"""),16.0)</f>
        <v>16</v>
      </c>
      <c r="E1436" s="44" t="str">
        <f>IFERROR(__xludf.DUMMYFUNCTION("""COMPUTED_VALUE"""),"")</f>
        <v/>
      </c>
      <c r="F1436" s="44" t="str">
        <f>IFERROR(__xludf.DUMMYFUNCTION("""COMPUTED_VALUE"""),"")</f>
        <v/>
      </c>
      <c r="G1436" s="44" t="str">
        <f>IFERROR(__xludf.DUMMYFUNCTION("""COMPUTED_VALUE""")," ")</f>
        <v> </v>
      </c>
      <c r="H1436" s="44" t="str">
        <f>IFERROR(__xludf.DUMMYFUNCTION("""COMPUTED_VALUE"""),"Caribe")</f>
        <v>Caribe</v>
      </c>
      <c r="I1436" s="44" t="str">
        <f>IFERROR(__xludf.DUMMYFUNCTION("""COMPUTED_VALUE""")," ")</f>
        <v> </v>
      </c>
      <c r="J1436" s="44" t="str">
        <f>IFERROR(__xludf.DUMMYFUNCTION("""COMPUTED_VALUE"""),"")</f>
        <v/>
      </c>
      <c r="K1436" s="42" t="str">
        <f>IFERROR(__xludf.DUMMYFUNCTION("""COMPUTED_VALUE"""),"Seguro Social La Guaira")</f>
        <v>Seguro Social La Guaira</v>
      </c>
    </row>
    <row r="1437">
      <c r="A1437" s="44">
        <v>1436.0</v>
      </c>
      <c r="B1437" s="44" t="str">
        <f>IFERROR(__xludf.DUMMYFUNCTION("""COMPUTED_VALUE"""),"Hospital Domingo Luciani")</f>
        <v>Hospital Domingo Luciani</v>
      </c>
      <c r="C1437" s="45" t="str">
        <f>IFERROR(__xludf.DUMMYFUNCTION("""COMPUTED_VALUE"""),"CANDAD VICTORIA")</f>
        <v>CANDAD VICTORIA</v>
      </c>
      <c r="D1437" s="44">
        <f>IFERROR(__xludf.DUMMYFUNCTION("""COMPUTED_VALUE"""),29.0)</f>
        <v>29</v>
      </c>
      <c r="E1437" s="44" t="str">
        <f>IFERROR(__xludf.DUMMYFUNCTION("""COMPUTED_VALUE"""),"")</f>
        <v/>
      </c>
      <c r="F1437" s="44" t="str">
        <f>IFERROR(__xludf.DUMMYFUNCTION("""COMPUTED_VALUE"""),"")</f>
        <v/>
      </c>
      <c r="G1437" s="44" t="str">
        <f>IFERROR(__xludf.DUMMYFUNCTION("""COMPUTED_VALUE""")," ")</f>
        <v> </v>
      </c>
      <c r="H1437" s="44" t="str">
        <f>IFERROR(__xludf.DUMMYFUNCTION("""COMPUTED_VALUE""")," ")</f>
        <v> </v>
      </c>
      <c r="I1437" s="44" t="str">
        <f>IFERROR(__xludf.DUMMYFUNCTION("""COMPUTED_VALUE"""),"Trauma")</f>
        <v>Trauma</v>
      </c>
      <c r="J1437" s="44" t="str">
        <f>IFERROR(__xludf.DUMMYFUNCTION("""COMPUTED_VALUE"""),"")</f>
        <v/>
      </c>
      <c r="K1437" s="42" t="str">
        <f>IFERROR(__xludf.DUMMYFUNCTION("""COMPUTED_VALUE"""),"🔍 BUSCAR PACIENTES")</f>
        <v>🔍 BUSCAR PACIENTES</v>
      </c>
    </row>
    <row r="1438">
      <c r="A1438" s="44">
        <v>1437.0</v>
      </c>
      <c r="B1438" s="44" t="str">
        <f>IFERROR(__xludf.DUMMYFUNCTION("""COMPUTED_VALUE"""),"Hospital Pérez Carreño")</f>
        <v>Hospital Pérez Carreño</v>
      </c>
      <c r="C1438" s="45" t="str">
        <f>IFERROR(__xludf.DUMMYFUNCTION("""COMPUTED_VALUE"""),"CANDELANO ROIS")</f>
        <v>CANDELANO ROIS</v>
      </c>
      <c r="D1438" s="44" t="str">
        <f>IFERROR(__xludf.DUMMYFUNCTION("""COMPUTED_VALUE""")," ")</f>
        <v> </v>
      </c>
      <c r="E1438" s="44" t="str">
        <f>IFERROR(__xludf.DUMMYFUNCTION("""COMPUTED_VALUE"""),"")</f>
        <v/>
      </c>
      <c r="F1438" s="44" t="str">
        <f>IFERROR(__xludf.DUMMYFUNCTION("""COMPUTED_VALUE"""),"")</f>
        <v/>
      </c>
      <c r="G1438" s="44" t="str">
        <f>IFERROR(__xludf.DUMMYFUNCTION("""COMPUTED_VALUE""")," ")</f>
        <v> </v>
      </c>
      <c r="H1438" s="44" t="str">
        <f>IFERROR(__xludf.DUMMYFUNCTION("""COMPUTED_VALUE""")," ")</f>
        <v> </v>
      </c>
      <c r="I1438" s="44" t="str">
        <f>IFERROR(__xludf.DUMMYFUNCTION("""COMPUTED_VALUE"""),"Traumashock")</f>
        <v>Traumashock</v>
      </c>
      <c r="J1438" s="44" t="str">
        <f>IFERROR(__xludf.DUMMYFUNCTION("""COMPUTED_VALUE"""),"25/06/2026")</f>
        <v>25/06/2026</v>
      </c>
      <c r="K1438" s="42" t="str">
        <f>IFERROR(__xludf.DUMMYFUNCTION("""COMPUTED_VALUE"""),"Hospital Pérez Carreño")</f>
        <v>Hospital Pérez Carreño</v>
      </c>
    </row>
    <row r="1439">
      <c r="A1439" s="44">
        <v>1438.0</v>
      </c>
      <c r="B1439" s="44" t="str">
        <f>IFERROR(__xludf.DUMMYFUNCTION("""COMPUTED_VALUE"""),"Hospital Vargas de Caracas")</f>
        <v>Hospital Vargas de Caracas</v>
      </c>
      <c r="C1439" s="45" t="str">
        <f>IFERROR(__xludf.DUMMYFUNCTION("""COMPUTED_VALUE"""),"CANNABIS CORONEL")</f>
        <v>CANNABIS CORONEL</v>
      </c>
      <c r="D1439" s="44" t="str">
        <f>IFERROR(__xludf.DUMMYFUNCTION("""COMPUTED_VALUE""")," ")</f>
        <v> </v>
      </c>
      <c r="E1439" s="44" t="str">
        <f>IFERROR(__xludf.DUMMYFUNCTION("""COMPUTED_VALUE"""),"")</f>
        <v/>
      </c>
      <c r="F1439" s="44" t="str">
        <f>IFERROR(__xludf.DUMMYFUNCTION("""COMPUTED_VALUE""")," ")</f>
        <v> </v>
      </c>
      <c r="G1439" s="44" t="str">
        <f>IFERROR(__xludf.DUMMYFUNCTION("""COMPUTED_VALUE"""),"")</f>
        <v/>
      </c>
      <c r="H1439" s="44" t="str">
        <f>IFERROR(__xludf.DUMMYFUNCTION("""COMPUTED_VALUE""")," ")</f>
        <v> </v>
      </c>
      <c r="I1439" s="44" t="str">
        <f>IFERROR(__xludf.DUMMYFUNCTION("""COMPUTED_VALUE""")," ")</f>
        <v> </v>
      </c>
      <c r="J1439" s="44" t="str">
        <f>IFERROR(__xludf.DUMMYFUNCTION("""COMPUTED_VALUE"""),"")</f>
        <v/>
      </c>
      <c r="K1439" s="42" t="str">
        <f>IFERROR(__xludf.DUMMYFUNCTION("""COMPUTED_VALUE"""),"Hospital Vargas de Caracas")</f>
        <v>Hospital Vargas de Caracas</v>
      </c>
    </row>
    <row r="1440">
      <c r="A1440" s="44">
        <v>1439.0</v>
      </c>
      <c r="B1440" s="44" t="str">
        <f>IFERROR(__xludf.DUMMYFUNCTION("""COMPUTED_VALUE"""),"H. Jose Maria Vargas LG")</f>
        <v>H. Jose Maria Vargas LG</v>
      </c>
      <c r="C1440" s="45" t="str">
        <f>IFERROR(__xludf.DUMMYFUNCTION("""COMPUTED_VALUE"""),"CANO RODRIGO")</f>
        <v>CANO RODRIGO</v>
      </c>
      <c r="D1440" s="44" t="str">
        <f>IFERROR(__xludf.DUMMYFUNCTION("""COMPUTED_VALUE""")," ")</f>
        <v> </v>
      </c>
      <c r="E1440" s="44" t="str">
        <f>IFERROR(__xludf.DUMMYFUNCTION("""COMPUTED_VALUE"""),"")</f>
        <v/>
      </c>
      <c r="F1440" s="44" t="str">
        <f>IFERROR(__xludf.DUMMYFUNCTION("""COMPUTED_VALUE"""),"")</f>
        <v/>
      </c>
      <c r="G1440" s="44" t="str">
        <f>IFERROR(__xludf.DUMMYFUNCTION("""COMPUTED_VALUE""")," ")</f>
        <v> </v>
      </c>
      <c r="H1440" s="44" t="str">
        <f>IFERROR(__xludf.DUMMYFUNCTION("""COMPUTED_VALUE""")," ")</f>
        <v> </v>
      </c>
      <c r="I1440" s="44" t="str">
        <f>IFERROR(__xludf.DUMMYFUNCTION("""COMPUTED_VALUE""")," ")</f>
        <v> </v>
      </c>
      <c r="J1440" s="44" t="str">
        <f>IFERROR(__xludf.DUMMYFUNCTION("""COMPUTED_VALUE"""),"")</f>
        <v/>
      </c>
      <c r="K1440" s="42" t="str">
        <f>IFERROR(__xludf.DUMMYFUNCTION("""COMPUTED_VALUE"""),"H. Jose Maria Vargas LG")</f>
        <v>H. Jose Maria Vargas LG</v>
      </c>
    </row>
    <row r="1441">
      <c r="A1441" s="44">
        <v>1440.0</v>
      </c>
      <c r="B1441" s="44" t="str">
        <f>IFERROR(__xludf.DUMMYFUNCTION("""COMPUTED_VALUE"""),"Periférico de Catia")</f>
        <v>Periférico de Catia</v>
      </c>
      <c r="C1441" s="45" t="str">
        <f>IFERROR(__xludf.DUMMYFUNCTION("""COMPUTED_VALUE"""),"CAPOTA HAROLD")</f>
        <v>CAPOTA HAROLD</v>
      </c>
      <c r="D1441" s="44">
        <f>IFERROR(__xludf.DUMMYFUNCTION("""COMPUTED_VALUE"""),33.0)</f>
        <v>33</v>
      </c>
      <c r="E1441" s="44" t="str">
        <f>IFERROR(__xludf.DUMMYFUNCTION("""COMPUTED_VALUE"""),"")</f>
        <v/>
      </c>
      <c r="F1441" s="44" t="str">
        <f>IFERROR(__xludf.DUMMYFUNCTION("""COMPUTED_VALUE"""),"")</f>
        <v/>
      </c>
      <c r="G1441" s="44" t="str">
        <f>IFERROR(__xludf.DUMMYFUNCTION("""COMPUTED_VALUE""")," ")</f>
        <v> </v>
      </c>
      <c r="H1441" s="44" t="str">
        <f>IFERROR(__xludf.DUMMYFUNCTION("""COMPUTED_VALUE""")," ")</f>
        <v> </v>
      </c>
      <c r="I1441" s="44" t="str">
        <f>IFERROR(__xludf.DUMMYFUNCTION("""COMPUTED_VALUE"""),"Solo |  ")</f>
        <v>Solo |  </v>
      </c>
      <c r="J1441" s="44" t="str">
        <f>IFERROR(__xludf.DUMMYFUNCTION("""COMPUTED_VALUE"""),"")</f>
        <v/>
      </c>
      <c r="K1441" s="42" t="str">
        <f>IFERROR(__xludf.DUMMYFUNCTION("""COMPUTED_VALUE"""),"Periférico de Catia")</f>
        <v>Periférico de Catia</v>
      </c>
    </row>
    <row r="1442">
      <c r="A1442" s="44">
        <v>1441.0</v>
      </c>
      <c r="B1442" s="44" t="str">
        <f>IFERROR(__xludf.DUMMYFUNCTION("""COMPUTED_VALUE"""),"Hospital Domingo Luciani")</f>
        <v>Hospital Domingo Luciani</v>
      </c>
      <c r="C1442" s="45" t="str">
        <f>IFERROR(__xludf.DUMMYFUNCTION("""COMPUTED_VALUE"""),"CARABALLO BRANYERLIS")</f>
        <v>CARABALLO BRANYERLIS</v>
      </c>
      <c r="D1442" s="44">
        <f>IFERROR(__xludf.DUMMYFUNCTION("""COMPUTED_VALUE"""),29.0)</f>
        <v>29</v>
      </c>
      <c r="E1442" s="44" t="str">
        <f>IFERROR(__xludf.DUMMYFUNCTION("""COMPUTED_VALUE"""),"")</f>
        <v/>
      </c>
      <c r="F1442" s="44" t="str">
        <f>IFERROR(__xludf.DUMMYFUNCTION("""COMPUTED_VALUE"""),"")</f>
        <v/>
      </c>
      <c r="G1442" s="44" t="str">
        <f>IFERROR(__xludf.DUMMYFUNCTION("""COMPUTED_VALUE""")," ")</f>
        <v> </v>
      </c>
      <c r="H1442" s="44" t="str">
        <f>IFERROR(__xludf.DUMMYFUNCTION("""COMPUTED_VALUE""")," ")</f>
        <v> </v>
      </c>
      <c r="I1442" s="44" t="str">
        <f>IFERROR(__xludf.DUMMYFUNCTION("""COMPUTED_VALUE"""),"Cardiología Piso 2 – H-11 – F")</f>
        <v>Cardiología Piso 2 – H-11 – F</v>
      </c>
      <c r="J1442" s="44" t="str">
        <f>IFERROR(__xludf.DUMMYFUNCTION("""COMPUTED_VALUE"""),"")</f>
        <v/>
      </c>
      <c r="K1442" s="42" t="str">
        <f>IFERROR(__xludf.DUMMYFUNCTION("""COMPUTED_VALUE"""),"🔍 BUSCAR PACIENTES")</f>
        <v>🔍 BUSCAR PACIENTES</v>
      </c>
    </row>
    <row r="1443">
      <c r="A1443" s="44">
        <v>1442.0</v>
      </c>
      <c r="B1443" s="44" t="str">
        <f>IFERROR(__xludf.DUMMYFUNCTION("""COMPUTED_VALUE"""),"Hospital Domingo Luciani")</f>
        <v>Hospital Domingo Luciani</v>
      </c>
      <c r="C1443" s="45" t="str">
        <f>IFERROR(__xludf.DUMMYFUNCTION("""COMPUTED_VALUE"""),"CARDOZO CARLA")</f>
        <v>CARDOZO CARLA</v>
      </c>
      <c r="D1443" s="44">
        <f>IFERROR(__xludf.DUMMYFUNCTION("""COMPUTED_VALUE"""),25.0)</f>
        <v>25</v>
      </c>
      <c r="E1443" s="44" t="str">
        <f>IFERROR(__xludf.DUMMYFUNCTION("""COMPUTED_VALUE"""),"")</f>
        <v/>
      </c>
      <c r="F1443" s="44" t="str">
        <f>IFERROR(__xludf.DUMMYFUNCTION("""COMPUTED_VALUE"""),"")</f>
        <v/>
      </c>
      <c r="G1443" s="44" t="str">
        <f>IFERROR(__xludf.DUMMYFUNCTION("""COMPUTED_VALUE""")," ")</f>
        <v> </v>
      </c>
      <c r="H1443" s="44" t="str">
        <f>IFERROR(__xludf.DUMMYFUNCTION("""COMPUTED_VALUE""")," ")</f>
        <v> </v>
      </c>
      <c r="I1443" s="44" t="str">
        <f>IFERROR(__xludf.DUMMYFUNCTION("""COMPUTED_VALUE""")," ")</f>
        <v> </v>
      </c>
      <c r="J1443" s="44" t="str">
        <f>IFERROR(__xludf.DUMMYFUNCTION("""COMPUTED_VALUE"""),"")</f>
        <v/>
      </c>
      <c r="K1443" s="42" t="str">
        <f>IFERROR(__xludf.DUMMYFUNCTION("""COMPUTED_VALUE"""),"🔍 BUSCAR PACIENTES")</f>
        <v>🔍 BUSCAR PACIENTES</v>
      </c>
    </row>
    <row r="1444">
      <c r="A1444" s="44">
        <v>1443.0</v>
      </c>
      <c r="B1444" s="44" t="str">
        <f>IFERROR(__xludf.DUMMYFUNCTION("""COMPUTED_VALUE"""),"Hospital Domingo Luciani")</f>
        <v>Hospital Domingo Luciani</v>
      </c>
      <c r="C1444" s="45" t="str">
        <f>IFERROR(__xludf.DUMMYFUNCTION("""COMPUTED_VALUE"""),"CARDOZO MARKA")</f>
        <v>CARDOZO MARKA</v>
      </c>
      <c r="D1444" s="44">
        <f>IFERROR(__xludf.DUMMYFUNCTION("""COMPUTED_VALUE"""),26.0)</f>
        <v>26</v>
      </c>
      <c r="E1444" s="44" t="str">
        <f>IFERROR(__xludf.DUMMYFUNCTION("""COMPUTED_VALUE"""),"")</f>
        <v/>
      </c>
      <c r="F1444" s="44" t="str">
        <f>IFERROR(__xludf.DUMMYFUNCTION("""COMPUTED_VALUE"""),"")</f>
        <v/>
      </c>
      <c r="G1444" s="44" t="str">
        <f>IFERROR(__xludf.DUMMYFUNCTION("""COMPUTED_VALUE""")," ")</f>
        <v> </v>
      </c>
      <c r="H1444" s="44" t="str">
        <f>IFERROR(__xludf.DUMMYFUNCTION("""COMPUTED_VALUE""")," ")</f>
        <v> </v>
      </c>
      <c r="I1444" s="44" t="str">
        <f>IFERROR(__xludf.DUMMYFUNCTION("""COMPUTED_VALUE"""),"Medicina Interna")</f>
        <v>Medicina Interna</v>
      </c>
      <c r="J1444" s="44" t="str">
        <f>IFERROR(__xludf.DUMMYFUNCTION("""COMPUTED_VALUE"""),"")</f>
        <v/>
      </c>
      <c r="K1444" s="42" t="str">
        <f>IFERROR(__xludf.DUMMYFUNCTION("""COMPUTED_VALUE"""),"🔍 BUSCAR PACIENTES")</f>
        <v>🔍 BUSCAR PACIENTES</v>
      </c>
    </row>
    <row r="1445">
      <c r="A1445" s="44">
        <v>1444.0</v>
      </c>
      <c r="B1445" s="44" t="str">
        <f>IFERROR(__xludf.DUMMYFUNCTION("""COMPUTED_VALUE"""),"Periférico de Catia")</f>
        <v>Periférico de Catia</v>
      </c>
      <c r="C1445" s="45" t="str">
        <f>IFERROR(__xludf.DUMMYFUNCTION("""COMPUTED_VALUE"""),"Carina Cabrera")</f>
        <v>Carina Cabrera</v>
      </c>
      <c r="D1445" s="44"/>
      <c r="E1445" s="44" t="str">
        <f>IFERROR(__xludf.DUMMYFUNCTION("""COMPUTED_VALUE"""),"")</f>
        <v/>
      </c>
      <c r="F1445" s="44" t="str">
        <f>IFERROR(__xludf.DUMMYFUNCTION("""COMPUTED_VALUE"""),"")</f>
        <v/>
      </c>
      <c r="G1445" s="44"/>
      <c r="H1445" s="44"/>
      <c r="I1445" s="44" t="str">
        <f>IFERROR(__xludf.DUMMYFUNCTION("""COMPUTED_VALUE"""),"Politrauma (pizarra con anotaciones de ubicacion/estudio: Piso, Rx, Triaje, Trauma) — Trauma")</f>
        <v>Politrauma (pizarra con anotaciones de ubicacion/estudio: Piso, Rx, Triaje, Trauma) — Trauma</v>
      </c>
      <c r="J1445" s="44" t="str">
        <f>IFERROR(__xludf.DUMMYFUNCTION("""COMPUTED_VALUE"""),"")</f>
        <v/>
      </c>
      <c r="K1445" s="42" t="str">
        <f>IFERROR(__xludf.DUMMYFUNCTION("""COMPUTED_VALUE"""),"Periférico de Catia")</f>
        <v>Periférico de Catia</v>
      </c>
    </row>
    <row r="1446">
      <c r="A1446" s="44">
        <v>1445.0</v>
      </c>
      <c r="B1446" s="44" t="str">
        <f>IFERROR(__xludf.DUMMYFUNCTION("""COMPUTED_VALUE"""),"Hospital Domingo Luciani")</f>
        <v>Hospital Domingo Luciani</v>
      </c>
      <c r="C1446" s="45" t="str">
        <f>IFERROR(__xludf.DUMMYFUNCTION("""COMPUTED_VALUE"""),"CARLA CARDOZO")</f>
        <v>CARLA CARDOZO</v>
      </c>
      <c r="D1446" s="44" t="str">
        <f>IFERROR(__xludf.DUMMYFUNCTION("""COMPUTED_VALUE""")," ")</f>
        <v> </v>
      </c>
      <c r="E1446" s="44" t="str">
        <f>IFERROR(__xludf.DUMMYFUNCTION("""COMPUTED_VALUE"""),"")</f>
        <v/>
      </c>
      <c r="F1446" s="44" t="str">
        <f>IFERROR(__xludf.DUMMYFUNCTION("""COMPUTED_VALUE"""),"")</f>
        <v/>
      </c>
      <c r="G1446" s="44" t="str">
        <f>IFERROR(__xludf.DUMMYFUNCTION("""COMPUTED_VALUE""")," ")</f>
        <v> </v>
      </c>
      <c r="H1446" s="44" t="str">
        <f>IFERROR(__xludf.DUMMYFUNCTION("""COMPUTED_VALUE""")," ")</f>
        <v> </v>
      </c>
      <c r="I1446" s="44" t="str">
        <f>IFERROR(__xludf.DUMMYFUNCTION("""COMPUTED_VALUE""")," ")</f>
        <v> </v>
      </c>
      <c r="J1446" s="44" t="str">
        <f>IFERROR(__xludf.DUMMYFUNCTION("""COMPUTED_VALUE"""),"")</f>
        <v/>
      </c>
      <c r="K1446" s="42" t="str">
        <f>IFERROR(__xludf.DUMMYFUNCTION("""COMPUTED_VALUE"""),"🔍 BUSCAR PACIENTES")</f>
        <v>🔍 BUSCAR PACIENTES</v>
      </c>
    </row>
    <row r="1447">
      <c r="A1447" s="44">
        <v>1446.0</v>
      </c>
      <c r="B1447" s="44" t="str">
        <f>IFERROR(__xludf.DUMMYFUNCTION("""COMPUTED_VALUE"""),"Campo de Golf Playa los Cocos")</f>
        <v>Campo de Golf Playa los Cocos</v>
      </c>
      <c r="C1447" s="45" t="str">
        <f>IFERROR(__xludf.DUMMYFUNCTION("""COMPUTED_VALUE"""),"Carla Paredes")</f>
        <v>Carla Paredes</v>
      </c>
      <c r="D1447" s="44" t="str">
        <f>IFERROR(__xludf.DUMMYFUNCTION("""COMPUTED_VALUE"""),"")</f>
        <v/>
      </c>
      <c r="E1447" s="44" t="str">
        <f>IFERROR(__xludf.DUMMYFUNCTION("""COMPUTED_VALUE"""),"")</f>
        <v/>
      </c>
      <c r="F1447" s="44" t="str">
        <f>IFERROR(__xludf.DUMMYFUNCTION("""COMPUTED_VALUE"""),"")</f>
        <v/>
      </c>
      <c r="G1447" s="44" t="str">
        <f>IFERROR(__xludf.DUMMYFUNCTION("""COMPUTED_VALUE"""),"")</f>
        <v/>
      </c>
      <c r="H1447" s="44" t="str">
        <f>IFERROR(__xludf.DUMMYFUNCTION("""COMPUTED_VALUE"""),"")</f>
        <v/>
      </c>
      <c r="I1447" s="44"/>
      <c r="J1447" s="44" t="str">
        <f>IFERROR(__xludf.DUMMYFUNCTION("""COMPUTED_VALUE"""),"")</f>
        <v/>
      </c>
      <c r="K1447" s="42" t="str">
        <f>IFERROR(__xludf.DUMMYFUNCTION("""COMPUTED_VALUE"""),"Campo de Golf Playa los Cocos")</f>
        <v>Campo de Golf Playa los Cocos</v>
      </c>
    </row>
    <row r="1448">
      <c r="A1448" s="44">
        <v>1447.0</v>
      </c>
      <c r="B1448" s="44" t="str">
        <f>IFERROR(__xludf.DUMMYFUNCTION("""COMPUTED_VALUE"""),"Seguro Social La Guaira")</f>
        <v>Seguro Social La Guaira</v>
      </c>
      <c r="C1448" s="45" t="str">
        <f>IFERROR(__xludf.DUMMYFUNCTION("""COMPUTED_VALUE"""),"CARLINA HERNANDEZ")</f>
        <v>CARLINA HERNANDEZ</v>
      </c>
      <c r="D1448" s="44">
        <f>IFERROR(__xludf.DUMMYFUNCTION("""COMPUTED_VALUE"""),41.0)</f>
        <v>41</v>
      </c>
      <c r="E1448" s="44" t="str">
        <f>IFERROR(__xludf.DUMMYFUNCTION("""COMPUTED_VALUE"""),"")</f>
        <v/>
      </c>
      <c r="F1448" s="44" t="str">
        <f>IFERROR(__xludf.DUMMYFUNCTION("""COMPUTED_VALUE"""),"")</f>
        <v/>
      </c>
      <c r="G1448" s="44" t="str">
        <f>IFERROR(__xludf.DUMMYFUNCTION("""COMPUTED_VALUE""")," ")</f>
        <v> </v>
      </c>
      <c r="H1448" s="44" t="str">
        <f>IFERROR(__xludf.DUMMYFUNCTION("""COMPUTED_VALUE""")," ")</f>
        <v> </v>
      </c>
      <c r="I1448" s="44" t="str">
        <f>IFERROR(__xludf.DUMMYFUNCTION("""COMPUTED_VALUE""")," ")</f>
        <v> </v>
      </c>
      <c r="J1448" s="44" t="str">
        <f>IFERROR(__xludf.DUMMYFUNCTION("""COMPUTED_VALUE"""),"")</f>
        <v/>
      </c>
      <c r="K1448" s="42" t="str">
        <f>IFERROR(__xludf.DUMMYFUNCTION("""COMPUTED_VALUE"""),"Seguro Social La Guaira")</f>
        <v>Seguro Social La Guaira</v>
      </c>
    </row>
    <row r="1449">
      <c r="A1449" s="44">
        <v>1448.0</v>
      </c>
      <c r="B1449" s="44" t="str">
        <f>IFERROR(__xludf.DUMMYFUNCTION("""COMPUTED_VALUE"""),"Periférico de Catia")</f>
        <v>Periférico de Catia</v>
      </c>
      <c r="C1449" s="45" t="str">
        <f>IFERROR(__xludf.DUMMYFUNCTION("""COMPUTED_VALUE"""),"Carlos Castaño")</f>
        <v>Carlos Castaño</v>
      </c>
      <c r="D1449" s="44"/>
      <c r="E1449" s="44" t="str">
        <f>IFERROR(__xludf.DUMMYFUNCTION("""COMPUTED_VALUE"""),"")</f>
        <v/>
      </c>
      <c r="F1449" s="44" t="str">
        <f>IFERROR(__xludf.DUMMYFUNCTION("""COMPUTED_VALUE"""),"")</f>
        <v/>
      </c>
      <c r="G1449" s="44"/>
      <c r="H1449" s="44"/>
      <c r="I1449" s="44" t="str">
        <f>IFERROR(__xludf.DUMMYFUNCTION("""COMPUTED_VALUE"""),"Politrauma (pizarra con anotaciones de ubicacion/estudio: Piso, Rx, Triaje, Trauma) — Rx")</f>
        <v>Politrauma (pizarra con anotaciones de ubicacion/estudio: Piso, Rx, Triaje, Trauma) — Rx</v>
      </c>
      <c r="J1449" s="44" t="str">
        <f>IFERROR(__xludf.DUMMYFUNCTION("""COMPUTED_VALUE"""),"")</f>
        <v/>
      </c>
      <c r="K1449" s="42" t="str">
        <f>IFERROR(__xludf.DUMMYFUNCTION("""COMPUTED_VALUE"""),"Periférico de Catia")</f>
        <v>Periférico de Catia</v>
      </c>
    </row>
    <row r="1450">
      <c r="A1450" s="44">
        <v>1449.0</v>
      </c>
      <c r="B1450" s="44" t="str">
        <f>IFERROR(__xludf.DUMMYFUNCTION("""COMPUTED_VALUE"""),"Hospital Domingo Luciani")</f>
        <v>Hospital Domingo Luciani</v>
      </c>
      <c r="C1450" s="45" t="str">
        <f>IFERROR(__xludf.DUMMYFUNCTION("""COMPUTED_VALUE"""),"CARLOS CASTRO")</f>
        <v>CARLOS CASTRO</v>
      </c>
      <c r="D1450" s="44" t="str">
        <f>IFERROR(__xludf.DUMMYFUNCTION("""COMPUTED_VALUE""")," ")</f>
        <v> </v>
      </c>
      <c r="E1450" s="44" t="str">
        <f>IFERROR(__xludf.DUMMYFUNCTION("""COMPUTED_VALUE"""),"")</f>
        <v/>
      </c>
      <c r="F1450" s="44" t="str">
        <f>IFERROR(__xludf.DUMMYFUNCTION("""COMPUTED_VALUE"""),"")</f>
        <v/>
      </c>
      <c r="G1450" s="44" t="str">
        <f>IFERROR(__xludf.DUMMYFUNCTION("""COMPUTED_VALUE""")," ")</f>
        <v> </v>
      </c>
      <c r="H1450" s="44" t="str">
        <f>IFERROR(__xludf.DUMMYFUNCTION("""COMPUTED_VALUE""")," ")</f>
        <v> </v>
      </c>
      <c r="I1450" s="44" t="str">
        <f>IFERROR(__xludf.DUMMYFUNCTION("""COMPUTED_VALUE"""),"Politrauma / Rx")</f>
        <v>Politrauma / Rx</v>
      </c>
      <c r="J1450" s="44" t="str">
        <f>IFERROR(__xludf.DUMMYFUNCTION("""COMPUTED_VALUE"""),"")</f>
        <v/>
      </c>
      <c r="K1450" s="42" t="str">
        <f>IFERROR(__xludf.DUMMYFUNCTION("""COMPUTED_VALUE"""),"🔍 BUSCAR PACIENTES")</f>
        <v>🔍 BUSCAR PACIENTES</v>
      </c>
    </row>
    <row r="1451">
      <c r="A1451" s="44">
        <v>1450.0</v>
      </c>
      <c r="B1451" s="44" t="str">
        <f>IFERROR(__xludf.DUMMYFUNCTION("""COMPUTED_VALUE"""),"Hospital Domingo Luciani")</f>
        <v>Hospital Domingo Luciani</v>
      </c>
      <c r="C1451" s="45" t="str">
        <f>IFERROR(__xludf.DUMMYFUNCTION("""COMPUTED_VALUE"""),"Carlos Chacón")</f>
        <v>Carlos Chacón</v>
      </c>
      <c r="D1451" s="44">
        <f>IFERROR(__xludf.DUMMYFUNCTION("""COMPUTED_VALUE"""),13.0)</f>
        <v>13</v>
      </c>
      <c r="E1451" s="44" t="str">
        <f>IFERROR(__xludf.DUMMYFUNCTION("""COMPUTED_VALUE"""),"")</f>
        <v/>
      </c>
      <c r="F1451" s="44" t="str">
        <f>IFERROR(__xludf.DUMMYFUNCTION("""COMPUTED_VALUE"""),"")</f>
        <v/>
      </c>
      <c r="G1451" s="44"/>
      <c r="H1451" s="44"/>
      <c r="I1451" s="44"/>
      <c r="J1451" s="44" t="str">
        <f>IFERROR(__xludf.DUMMYFUNCTION("""COMPUTED_VALUE"""),"")</f>
        <v/>
      </c>
      <c r="K1451" s="42" t="str">
        <f>IFERROR(__xludf.DUMMYFUNCTION("""COMPUTED_VALUE"""),"Hospital Domingo Luciani")</f>
        <v>Hospital Domingo Luciani</v>
      </c>
    </row>
    <row r="1452">
      <c r="A1452" s="44">
        <v>1451.0</v>
      </c>
      <c r="B1452" s="44" t="str">
        <f>IFERROR(__xludf.DUMMYFUNCTION("""COMPUTED_VALUE"""),"Periférico de Catia")</f>
        <v>Periférico de Catia</v>
      </c>
      <c r="C1452" s="45" t="str">
        <f>IFERROR(__xludf.DUMMYFUNCTION("""COMPUTED_VALUE"""),"Carlos Gonzalez")</f>
        <v>Carlos Gonzalez</v>
      </c>
      <c r="D1452" s="44"/>
      <c r="E1452" s="44" t="str">
        <f>IFERROR(__xludf.DUMMYFUNCTION("""COMPUTED_VALUE"""),"")</f>
        <v/>
      </c>
      <c r="F1452" s="44" t="str">
        <f>IFERROR(__xludf.DUMMYFUNCTION("""COMPUTED_VALUE"""),"")</f>
        <v/>
      </c>
      <c r="G1452" s="44"/>
      <c r="H1452" s="44"/>
      <c r="I1452" s="44" t="str">
        <f>IFERROR(__xludf.DUMMYFUNCTION("""COMPUTED_VALUE"""),"Nota adicional 8:30pm (mismo grupo Politrauma) (sin edad)")</f>
        <v>Nota adicional 8:30pm (mismo grupo Politrauma) (sin edad)</v>
      </c>
      <c r="J1452" s="44" t="str">
        <f>IFERROR(__xludf.DUMMYFUNCTION("""COMPUTED_VALUE"""),"")</f>
        <v/>
      </c>
      <c r="K1452" s="42" t="str">
        <f>IFERROR(__xludf.DUMMYFUNCTION("""COMPUTED_VALUE"""),"Periférico de Catia")</f>
        <v>Periférico de Catia</v>
      </c>
    </row>
    <row r="1453">
      <c r="A1453" s="44">
        <v>1452.0</v>
      </c>
      <c r="B1453" s="44" t="str">
        <f>IFERROR(__xludf.DUMMYFUNCTION("""COMPUTED_VALUE"""),"Campo de Golf Playa los Cocos")</f>
        <v>Campo de Golf Playa los Cocos</v>
      </c>
      <c r="C1453" s="45" t="str">
        <f>IFERROR(__xludf.DUMMYFUNCTION("""COMPUTED_VALUE"""),"Carlos Lopez")</f>
        <v>Carlos Lopez</v>
      </c>
      <c r="D1453" s="44" t="str">
        <f>IFERROR(__xludf.DUMMYFUNCTION("""COMPUTED_VALUE"""),"")</f>
        <v/>
      </c>
      <c r="E1453" s="44" t="str">
        <f>IFERROR(__xludf.DUMMYFUNCTION("""COMPUTED_VALUE"""),"")</f>
        <v/>
      </c>
      <c r="F1453" s="44" t="str">
        <f>IFERROR(__xludf.DUMMYFUNCTION("""COMPUTED_VALUE"""),"")</f>
        <v/>
      </c>
      <c r="G1453" s="44" t="str">
        <f>IFERROR(__xludf.DUMMYFUNCTION("""COMPUTED_VALUE"""),"")</f>
        <v/>
      </c>
      <c r="H1453" s="44" t="str">
        <f>IFERROR(__xludf.DUMMYFUNCTION("""COMPUTED_VALUE"""),"")</f>
        <v/>
      </c>
      <c r="I1453" s="44"/>
      <c r="J1453" s="44" t="str">
        <f>IFERROR(__xludf.DUMMYFUNCTION("""COMPUTED_VALUE"""),"")</f>
        <v/>
      </c>
      <c r="K1453" s="42" t="str">
        <f>IFERROR(__xludf.DUMMYFUNCTION("""COMPUTED_VALUE"""),"Campo de Golf Playa los Cocos")</f>
        <v>Campo de Golf Playa los Cocos</v>
      </c>
    </row>
    <row r="1454">
      <c r="A1454" s="44">
        <v>1453.0</v>
      </c>
      <c r="B1454" s="44" t="str">
        <f>IFERROR(__xludf.DUMMYFUNCTION("""COMPUTED_VALUE"""),"HOSPITAL VARGAS")</f>
        <v>HOSPITAL VARGAS</v>
      </c>
      <c r="C1454" s="45" t="str">
        <f>IFERROR(__xludf.DUMMYFUNCTION("""COMPUTED_VALUE"""),"Carlos Luis Riera")</f>
        <v>Carlos Luis Riera</v>
      </c>
      <c r="D1454" s="44"/>
      <c r="E1454" s="44" t="str">
        <f>IFERROR(__xludf.DUMMYFUNCTION("""COMPUTED_VALUE"""),"")</f>
        <v/>
      </c>
      <c r="F1454" s="44" t="str">
        <f>IFERROR(__xludf.DUMMYFUNCTION("""COMPUTED_VALUE"""),"")</f>
        <v/>
      </c>
      <c r="G1454" s="44" t="str">
        <f>IFERROR(__xludf.DUMMYFUNCTION("""COMPUTED_VALUE"""),"")</f>
        <v/>
      </c>
      <c r="H1454" s="44" t="str">
        <f>IFERROR(__xludf.DUMMYFUNCTION("""COMPUTED_VALUE"""),"")</f>
        <v/>
      </c>
      <c r="I1454" s="44" t="str">
        <f>IFERROR(__xludf.DUMMYFUNCTION("""COMPUTED_VALUE"""),"Herido / atendido")</f>
        <v>Herido / atendido</v>
      </c>
      <c r="J1454" s="44" t="str">
        <f>IFERROR(__xludf.DUMMYFUNCTION("""COMPUTED_VALUE"""),"24.06.2026 ")</f>
        <v>24.06.2026 </v>
      </c>
      <c r="K1454" s="42" t="str">
        <f>IFERROR(__xludf.DUMMYFUNCTION("""COMPUTED_VALUE"""),"HOSPITAL VARGAS")</f>
        <v>HOSPITAL VARGAS</v>
      </c>
    </row>
    <row r="1455">
      <c r="A1455" s="44">
        <v>1454.0</v>
      </c>
      <c r="B1455" s="44" t="str">
        <f>IFERROR(__xludf.DUMMYFUNCTION("""COMPUTED_VALUE"""),"Periférico de Catia")</f>
        <v>Periférico de Catia</v>
      </c>
      <c r="C1455" s="45" t="str">
        <f>IFERROR(__xludf.DUMMYFUNCTION("""COMPUTED_VALUE"""),"CARLOS MALIER")</f>
        <v>CARLOS MALIER</v>
      </c>
      <c r="D1455" s="44">
        <f>IFERROR(__xludf.DUMMYFUNCTION("""COMPUTED_VALUE"""),26.0)</f>
        <v>26</v>
      </c>
      <c r="E1455" s="44" t="str">
        <f>IFERROR(__xludf.DUMMYFUNCTION("""COMPUTED_VALUE"""),"")</f>
        <v/>
      </c>
      <c r="F1455" s="44" t="str">
        <f>IFERROR(__xludf.DUMMYFUNCTION("""COMPUTED_VALUE"""),"")</f>
        <v/>
      </c>
      <c r="G1455" s="44" t="str">
        <f>IFERROR(__xludf.DUMMYFUNCTION("""COMPUTED_VALUE""")," ")</f>
        <v> </v>
      </c>
      <c r="H1455" s="44" t="str">
        <f>IFERROR(__xludf.DUMMYFUNCTION("""COMPUTED_VALUE"""),"La Guaira, Maiquetia")</f>
        <v>La Guaira, Maiquetia</v>
      </c>
      <c r="I1455" s="44" t="str">
        <f>IFERROR(__xludf.DUMMYFUNCTION("""COMPUTED_VALUE"""),"Emerg")</f>
        <v>Emerg</v>
      </c>
      <c r="J1455" s="44" t="str">
        <f>IFERROR(__xludf.DUMMYFUNCTION("""COMPUTED_VALUE"""),"")</f>
        <v/>
      </c>
      <c r="K1455" s="42" t="str">
        <f>IFERROR(__xludf.DUMMYFUNCTION("""COMPUTED_VALUE"""),"Periférico de Catia")</f>
        <v>Periférico de Catia</v>
      </c>
    </row>
    <row r="1456">
      <c r="A1456" s="44">
        <v>1455.0</v>
      </c>
      <c r="B1456" s="44" t="str">
        <f>IFERROR(__xludf.DUMMYFUNCTION("""COMPUTED_VALUE"""),"Campo de Golf Playa los Cocos")</f>
        <v>Campo de Golf Playa los Cocos</v>
      </c>
      <c r="C1456" s="45" t="str">
        <f>IFERROR(__xludf.DUMMYFUNCTION("""COMPUTED_VALUE"""),"Carlos Ontiveros")</f>
        <v>Carlos Ontiveros</v>
      </c>
      <c r="D1456" s="44" t="str">
        <f>IFERROR(__xludf.DUMMYFUNCTION("""COMPUTED_VALUE"""),"")</f>
        <v/>
      </c>
      <c r="E1456" s="44" t="str">
        <f>IFERROR(__xludf.DUMMYFUNCTION("""COMPUTED_VALUE"""),"")</f>
        <v/>
      </c>
      <c r="F1456" s="44" t="str">
        <f>IFERROR(__xludf.DUMMYFUNCTION("""COMPUTED_VALUE"""),"")</f>
        <v/>
      </c>
      <c r="G1456" s="44" t="str">
        <f>IFERROR(__xludf.DUMMYFUNCTION("""COMPUTED_VALUE"""),"")</f>
        <v/>
      </c>
      <c r="H1456" s="44" t="str">
        <f>IFERROR(__xludf.DUMMYFUNCTION("""COMPUTED_VALUE"""),"")</f>
        <v/>
      </c>
      <c r="I1456" s="44"/>
      <c r="J1456" s="44" t="str">
        <f>IFERROR(__xludf.DUMMYFUNCTION("""COMPUTED_VALUE"""),"")</f>
        <v/>
      </c>
      <c r="K1456" s="42" t="str">
        <f>IFERROR(__xludf.DUMMYFUNCTION("""COMPUTED_VALUE"""),"Campo de Golf Playa los Cocos")</f>
        <v>Campo de Golf Playa los Cocos</v>
      </c>
    </row>
    <row r="1457">
      <c r="A1457" s="44">
        <v>1456.0</v>
      </c>
      <c r="B1457" s="44" t="str">
        <f>IFERROR(__xludf.DUMMYFUNCTION("""COMPUTED_VALUE"""),"Hospital Pérez Carreño")</f>
        <v>Hospital Pérez Carreño</v>
      </c>
      <c r="C1457" s="45" t="str">
        <f>IFERROR(__xludf.DUMMYFUNCTION("""COMPUTED_VALUE"""),"Carlos Pacheco")</f>
        <v>Carlos Pacheco</v>
      </c>
      <c r="D1457" s="44"/>
      <c r="E1457" s="44" t="str">
        <f>IFERROR(__xludf.DUMMYFUNCTION("""COMPUTED_VALUE"""),"")</f>
        <v/>
      </c>
      <c r="F1457" s="44" t="str">
        <f>IFERROR(__xludf.DUMMYFUNCTION("""COMPUTED_VALUE"""),"")</f>
        <v/>
      </c>
      <c r="G1457" s="44" t="str">
        <f>IFERROR(__xludf.DUMMYFUNCTION("""COMPUTED_VALUE"""),"Traslados con destino asignado")</f>
        <v>Traslados con destino asignado</v>
      </c>
      <c r="H1457" s="44" t="str">
        <f>IFERROR(__xludf.DUMMYFUNCTION("""COMPUTED_VALUE"""),"Hospital Miguel Perez Carreño")</f>
        <v>Hospital Miguel Perez Carreño</v>
      </c>
      <c r="I1457" s="44"/>
      <c r="J1457" s="44" t="str">
        <f>IFERROR(__xludf.DUMMYFUNCTION("""COMPUTED_VALUE"""),"26/6/26")</f>
        <v>26/6/26</v>
      </c>
      <c r="K1457" s="42" t="str">
        <f>IFERROR(__xludf.DUMMYFUNCTION("""COMPUTED_VALUE"""),"Hospital Pérez Carreño")</f>
        <v>Hospital Pérez Carreño</v>
      </c>
    </row>
    <row r="1458">
      <c r="A1458" s="44">
        <v>1457.0</v>
      </c>
      <c r="B1458" s="44" t="str">
        <f>IFERROR(__xludf.DUMMYFUNCTION("""COMPUTED_VALUE"""),"Campo de Golf Playa los Cocos")</f>
        <v>Campo de Golf Playa los Cocos</v>
      </c>
      <c r="C1458" s="45" t="str">
        <f>IFERROR(__xludf.DUMMYFUNCTION("""COMPUTED_VALUE"""),"Carlos Paredes")</f>
        <v>Carlos Paredes</v>
      </c>
      <c r="D1458" s="44" t="str">
        <f>IFERROR(__xludf.DUMMYFUNCTION("""COMPUTED_VALUE"""),"")</f>
        <v/>
      </c>
      <c r="E1458" s="44" t="str">
        <f>IFERROR(__xludf.DUMMYFUNCTION("""COMPUTED_VALUE"""),"")</f>
        <v/>
      </c>
      <c r="F1458" s="44" t="str">
        <f>IFERROR(__xludf.DUMMYFUNCTION("""COMPUTED_VALUE"""),"")</f>
        <v/>
      </c>
      <c r="G1458" s="44" t="str">
        <f>IFERROR(__xludf.DUMMYFUNCTION("""COMPUTED_VALUE"""),"")</f>
        <v/>
      </c>
      <c r="H1458" s="44" t="str">
        <f>IFERROR(__xludf.DUMMYFUNCTION("""COMPUTED_VALUE"""),"")</f>
        <v/>
      </c>
      <c r="I1458" s="44"/>
      <c r="J1458" s="44" t="str">
        <f>IFERROR(__xludf.DUMMYFUNCTION("""COMPUTED_VALUE"""),"")</f>
        <v/>
      </c>
      <c r="K1458" s="42" t="str">
        <f>IFERROR(__xludf.DUMMYFUNCTION("""COMPUTED_VALUE"""),"Campo de Golf Playa los Cocos")</f>
        <v>Campo de Golf Playa los Cocos</v>
      </c>
    </row>
    <row r="1459">
      <c r="A1459" s="44">
        <v>1458.0</v>
      </c>
      <c r="B1459" s="44" t="str">
        <f>IFERROR(__xludf.DUMMYFUNCTION("""COMPUTED_VALUE"""),"Campo de Golf Playa los Cocos")</f>
        <v>Campo de Golf Playa los Cocos</v>
      </c>
      <c r="C1459" s="45" t="str">
        <f>IFERROR(__xludf.DUMMYFUNCTION("""COMPUTED_VALUE"""),"Carmen Aracely Ontiveros")</f>
        <v>Carmen Aracely Ontiveros</v>
      </c>
      <c r="D1459" s="44" t="str">
        <f>IFERROR(__xludf.DUMMYFUNCTION("""COMPUTED_VALUE"""),"")</f>
        <v/>
      </c>
      <c r="E1459" s="44" t="str">
        <f>IFERROR(__xludf.DUMMYFUNCTION("""COMPUTED_VALUE"""),"")</f>
        <v/>
      </c>
      <c r="F1459" s="44" t="str">
        <f>IFERROR(__xludf.DUMMYFUNCTION("""COMPUTED_VALUE"""),"")</f>
        <v/>
      </c>
      <c r="G1459" s="44" t="str">
        <f>IFERROR(__xludf.DUMMYFUNCTION("""COMPUTED_VALUE"""),"")</f>
        <v/>
      </c>
      <c r="H1459" s="44" t="str">
        <f>IFERROR(__xludf.DUMMYFUNCTION("""COMPUTED_VALUE"""),"")</f>
        <v/>
      </c>
      <c r="I1459" s="44"/>
      <c r="J1459" s="44" t="str">
        <f>IFERROR(__xludf.DUMMYFUNCTION("""COMPUTED_VALUE"""),"")</f>
        <v/>
      </c>
      <c r="K1459" s="42" t="str">
        <f>IFERROR(__xludf.DUMMYFUNCTION("""COMPUTED_VALUE"""),"Campo de Golf Playa los Cocos")</f>
        <v>Campo de Golf Playa los Cocos</v>
      </c>
    </row>
    <row r="1460">
      <c r="A1460" s="44">
        <v>1459.0</v>
      </c>
      <c r="B1460" s="44" t="str">
        <f>IFERROR(__xludf.DUMMYFUNCTION("""COMPUTED_VALUE"""),"Hospital Domingo Luciani")</f>
        <v>Hospital Domingo Luciani</v>
      </c>
      <c r="C1460" s="45" t="str">
        <f>IFERROR(__xludf.DUMMYFUNCTION("""COMPUTED_VALUE"""),"Carmen Blanco")</f>
        <v>Carmen Blanco</v>
      </c>
      <c r="D1460" s="44">
        <f>IFERROR(__xludf.DUMMYFUNCTION("""COMPUTED_VALUE"""),55.0)</f>
        <v>55</v>
      </c>
      <c r="E1460" s="44" t="str">
        <f>IFERROR(__xludf.DUMMYFUNCTION("""COMPUTED_VALUE"""),"")</f>
        <v/>
      </c>
      <c r="F1460" s="44" t="str">
        <f>IFERROR(__xludf.DUMMYFUNCTION("""COMPUTED_VALUE"""),"")</f>
        <v/>
      </c>
      <c r="G1460" s="44"/>
      <c r="H1460" s="44"/>
      <c r="I1460" s="44"/>
      <c r="J1460" s="44" t="str">
        <f>IFERROR(__xludf.DUMMYFUNCTION("""COMPUTED_VALUE"""),"")</f>
        <v/>
      </c>
      <c r="K1460" s="42" t="str">
        <f>IFERROR(__xludf.DUMMYFUNCTION("""COMPUTED_VALUE"""),"Hospital Domingo Luciani")</f>
        <v>Hospital Domingo Luciani</v>
      </c>
    </row>
    <row r="1461">
      <c r="A1461" s="44">
        <v>1460.0</v>
      </c>
      <c r="B1461" s="44" t="str">
        <f>IFERROR(__xludf.DUMMYFUNCTION("""COMPUTED_VALUE"""),"Hospital Domingo Luciani")</f>
        <v>Hospital Domingo Luciani</v>
      </c>
      <c r="C1461" s="45" t="str">
        <f>IFERROR(__xludf.DUMMYFUNCTION("""COMPUTED_VALUE"""),"Carmen Blanco Briceño")</f>
        <v>Carmen Blanco Briceño</v>
      </c>
      <c r="D1461" s="44">
        <f>IFERROR(__xludf.DUMMYFUNCTION("""COMPUTED_VALUE"""),0.0)</f>
        <v>0</v>
      </c>
      <c r="E1461" s="44" t="str">
        <f>IFERROR(__xludf.DUMMYFUNCTION("""COMPUTED_VALUE"""),"")</f>
        <v/>
      </c>
      <c r="F1461" s="44" t="str">
        <f>IFERROR(__xludf.DUMMYFUNCTION("""COMPUTED_VALUE"""),"")</f>
        <v/>
      </c>
      <c r="G1461" s="44"/>
      <c r="H1461" s="44"/>
      <c r="I1461" s="44"/>
      <c r="J1461" s="44" t="str">
        <f>IFERROR(__xludf.DUMMYFUNCTION("""COMPUTED_VALUE"""),"")</f>
        <v/>
      </c>
      <c r="K1461" s="42" t="str">
        <f>IFERROR(__xludf.DUMMYFUNCTION("""COMPUTED_VALUE"""),"Hospital Domingo Luciani")</f>
        <v>Hospital Domingo Luciani</v>
      </c>
    </row>
    <row r="1462">
      <c r="A1462" s="44">
        <v>1461.0</v>
      </c>
      <c r="B1462" s="44" t="str">
        <f>IFERROR(__xludf.DUMMYFUNCTION("""COMPUTED_VALUE"""),"HOSPITAL VARGAS")</f>
        <v>HOSPITAL VARGAS</v>
      </c>
      <c r="C1462" s="45" t="str">
        <f>IFERROR(__xludf.DUMMYFUNCTION("""COMPUTED_VALUE"""),"Carmen Cruz")</f>
        <v>Carmen Cruz</v>
      </c>
      <c r="D1462" s="44"/>
      <c r="E1462" s="44" t="str">
        <f>IFERROR(__xludf.DUMMYFUNCTION("""COMPUTED_VALUE"""),"")</f>
        <v/>
      </c>
      <c r="F1462" s="44" t="str">
        <f>IFERROR(__xludf.DUMMYFUNCTION("""COMPUTED_VALUE"""),"")</f>
        <v/>
      </c>
      <c r="G1462" s="44" t="str">
        <f>IFERROR(__xludf.DUMMYFUNCTION("""COMPUTED_VALUE"""),"")</f>
        <v/>
      </c>
      <c r="H1462" s="44" t="str">
        <f>IFERROR(__xludf.DUMMYFUNCTION("""COMPUTED_VALUE"""),"")</f>
        <v/>
      </c>
      <c r="I1462" s="44" t="str">
        <f>IFERROR(__xludf.DUMMYFUNCTION("""COMPUTED_VALUE"""),"Herido / atendido")</f>
        <v>Herido / atendido</v>
      </c>
      <c r="J1462" s="44" t="str">
        <f>IFERROR(__xludf.DUMMYFUNCTION("""COMPUTED_VALUE"""),"24.06.2026 ")</f>
        <v>24.06.2026 </v>
      </c>
      <c r="K1462" s="42" t="str">
        <f>IFERROR(__xludf.DUMMYFUNCTION("""COMPUTED_VALUE"""),"HOSPITAL VARGAS")</f>
        <v>HOSPITAL VARGAS</v>
      </c>
    </row>
    <row r="1463">
      <c r="A1463" s="44">
        <v>1462.0</v>
      </c>
      <c r="B1463" s="44" t="str">
        <f>IFERROR(__xludf.DUMMYFUNCTION("""COMPUTED_VALUE"""),"Campo de Golf Playa los Cocos")</f>
        <v>Campo de Golf Playa los Cocos</v>
      </c>
      <c r="C1463" s="45" t="str">
        <f>IFERROR(__xludf.DUMMYFUNCTION("""COMPUTED_VALUE"""),"Carmen Fuentes")</f>
        <v>Carmen Fuentes</v>
      </c>
      <c r="D1463" s="44" t="str">
        <f>IFERROR(__xludf.DUMMYFUNCTION("""COMPUTED_VALUE"""),"")</f>
        <v/>
      </c>
      <c r="E1463" s="44" t="str">
        <f>IFERROR(__xludf.DUMMYFUNCTION("""COMPUTED_VALUE"""),"")</f>
        <v/>
      </c>
      <c r="F1463" s="44" t="str">
        <f>IFERROR(__xludf.DUMMYFUNCTION("""COMPUTED_VALUE"""),"")</f>
        <v/>
      </c>
      <c r="G1463" s="44" t="str">
        <f>IFERROR(__xludf.DUMMYFUNCTION("""COMPUTED_VALUE"""),"")</f>
        <v/>
      </c>
      <c r="H1463" s="44" t="str">
        <f>IFERROR(__xludf.DUMMYFUNCTION("""COMPUTED_VALUE"""),"")</f>
        <v/>
      </c>
      <c r="I1463" s="44"/>
      <c r="J1463" s="44" t="str">
        <f>IFERROR(__xludf.DUMMYFUNCTION("""COMPUTED_VALUE"""),"")</f>
        <v/>
      </c>
      <c r="K1463" s="42" t="str">
        <f>IFERROR(__xludf.DUMMYFUNCTION("""COMPUTED_VALUE"""),"Campo de Golf Playa los Cocos")</f>
        <v>Campo de Golf Playa los Cocos</v>
      </c>
    </row>
    <row r="1464">
      <c r="A1464" s="44">
        <v>1463.0</v>
      </c>
      <c r="B1464" s="44" t="str">
        <f>IFERROR(__xludf.DUMMYFUNCTION("""COMPUTED_VALUE"""),"HOSPITAL VARGAS")</f>
        <v>HOSPITAL VARGAS</v>
      </c>
      <c r="C1464" s="45" t="str">
        <f>IFERROR(__xludf.DUMMYFUNCTION("""COMPUTED_VALUE"""),"Carmen Vargas")</f>
        <v>Carmen Vargas</v>
      </c>
      <c r="D1464" s="44"/>
      <c r="E1464" s="44" t="str">
        <f>IFERROR(__xludf.DUMMYFUNCTION("""COMPUTED_VALUE"""),"")</f>
        <v/>
      </c>
      <c r="F1464" s="44" t="str">
        <f>IFERROR(__xludf.DUMMYFUNCTION("""COMPUTED_VALUE"""),"")</f>
        <v/>
      </c>
      <c r="G1464" s="44" t="str">
        <f>IFERROR(__xludf.DUMMYFUNCTION("""COMPUTED_VALUE"""),"")</f>
        <v/>
      </c>
      <c r="H1464" s="44" t="str">
        <f>IFERROR(__xludf.DUMMYFUNCTION("""COMPUTED_VALUE"""),"")</f>
        <v/>
      </c>
      <c r="I1464" s="44" t="str">
        <f>IFERROR(__xludf.DUMMYFUNCTION("""COMPUTED_VALUE"""),"Herido / atendido")</f>
        <v>Herido / atendido</v>
      </c>
      <c r="J1464" s="44" t="str">
        <f>IFERROR(__xludf.DUMMYFUNCTION("""COMPUTED_VALUE"""),"24.06.2026 ")</f>
        <v>24.06.2026 </v>
      </c>
      <c r="K1464" s="42" t="str">
        <f>IFERROR(__xludf.DUMMYFUNCTION("""COMPUTED_VALUE"""),"HOSPITAL VARGAS")</f>
        <v>HOSPITAL VARGAS</v>
      </c>
    </row>
    <row r="1465">
      <c r="A1465" s="44">
        <v>1464.0</v>
      </c>
      <c r="B1465" s="44" t="str">
        <f>IFERROR(__xludf.DUMMYFUNCTION("""COMPUTED_VALUE"""),"Hospital Vargas de Caracas")</f>
        <v>Hospital Vargas de Caracas</v>
      </c>
      <c r="C1465" s="45" t="str">
        <f>IFERROR(__xludf.DUMMYFUNCTION("""COMPUTED_VALUE"""),"Carmen Velasquez")</f>
        <v>Carmen Velasquez</v>
      </c>
      <c r="D1465" s="44"/>
      <c r="E1465" s="44" t="str">
        <f>IFERROR(__xludf.DUMMYFUNCTION("""COMPUTED_VALUE"""),"")</f>
        <v/>
      </c>
      <c r="F1465" s="44"/>
      <c r="G1465" s="44" t="str">
        <f>IFERROR(__xludf.DUMMYFUNCTION("""COMPUTED_VALUE"""),"")</f>
        <v/>
      </c>
      <c r="H1465" s="44"/>
      <c r="I1465" s="44"/>
      <c r="J1465" s="44" t="str">
        <f>IFERROR(__xludf.DUMMYFUNCTION("""COMPUTED_VALUE"""),"")</f>
        <v/>
      </c>
      <c r="K1465" s="42" t="str">
        <f>IFERROR(__xludf.DUMMYFUNCTION("""COMPUTED_VALUE"""),"Hospital Vargas de Caracas")</f>
        <v>Hospital Vargas de Caracas</v>
      </c>
    </row>
    <row r="1466">
      <c r="A1466" s="44">
        <v>1465.0</v>
      </c>
      <c r="B1466" s="44" t="str">
        <f>IFERROR(__xludf.DUMMYFUNCTION("""COMPUTED_VALUE"""),"HOSPITAL VARGAS")</f>
        <v>HOSPITAL VARGAS</v>
      </c>
      <c r="C1466" s="45" t="str">
        <f>IFERROR(__xludf.DUMMYFUNCTION("""COMPUTED_VALUE"""),"Carmen Velásquez")</f>
        <v>Carmen Velásquez</v>
      </c>
      <c r="D1466" s="44"/>
      <c r="E1466" s="44" t="str">
        <f>IFERROR(__xludf.DUMMYFUNCTION("""COMPUTED_VALUE"""),"")</f>
        <v/>
      </c>
      <c r="F1466" s="44" t="str">
        <f>IFERROR(__xludf.DUMMYFUNCTION("""COMPUTED_VALUE"""),"")</f>
        <v/>
      </c>
      <c r="G1466" s="44" t="str">
        <f>IFERROR(__xludf.DUMMYFUNCTION("""COMPUTED_VALUE"""),"")</f>
        <v/>
      </c>
      <c r="H1466" s="44" t="str">
        <f>IFERROR(__xludf.DUMMYFUNCTION("""COMPUTED_VALUE"""),"")</f>
        <v/>
      </c>
      <c r="I1466" s="44" t="str">
        <f>IFERROR(__xludf.DUMMYFUNCTION("""COMPUTED_VALUE"""),"Herido / atendido")</f>
        <v>Herido / atendido</v>
      </c>
      <c r="J1466" s="44" t="str">
        <f>IFERROR(__xludf.DUMMYFUNCTION("""COMPUTED_VALUE"""),"24.06.2026 ")</f>
        <v>24.06.2026 </v>
      </c>
      <c r="K1466" s="42" t="str">
        <f>IFERROR(__xludf.DUMMYFUNCTION("""COMPUTED_VALUE"""),"HOSPITAL VARGAS")</f>
        <v>HOSPITAL VARGAS</v>
      </c>
    </row>
    <row r="1467">
      <c r="A1467" s="44">
        <v>1466.0</v>
      </c>
      <c r="B1467" s="44" t="str">
        <f>IFERROR(__xludf.DUMMYFUNCTION("""COMPUTED_VALUE"""),"Periférico de Catia")</f>
        <v>Periférico de Catia</v>
      </c>
      <c r="C1467" s="45" t="str">
        <f>IFERROR(__xludf.DUMMYFUNCTION("""COMPUTED_VALUE"""),"CARMESN QUINTERA")</f>
        <v>CARMESN QUINTERA</v>
      </c>
      <c r="D1467" s="44">
        <f>IFERROR(__xludf.DUMMYFUNCTION("""COMPUTED_VALUE"""),22.0)</f>
        <v>22</v>
      </c>
      <c r="E1467" s="44" t="str">
        <f>IFERROR(__xludf.DUMMYFUNCTION("""COMPUTED_VALUE"""),"")</f>
        <v/>
      </c>
      <c r="F1467" s="44" t="str">
        <f>IFERROR(__xludf.DUMMYFUNCTION("""COMPUTED_VALUE"""),"")</f>
        <v/>
      </c>
      <c r="G1467" s="44" t="str">
        <f>IFERROR(__xludf.DUMMYFUNCTION("""COMPUTED_VALUE""")," ")</f>
        <v> </v>
      </c>
      <c r="H1467" s="44" t="str">
        <f>IFERROR(__xludf.DUMMYFUNCTION("""COMPUTED_VALUE""")," ")</f>
        <v> </v>
      </c>
      <c r="I1467" s="44" t="str">
        <f>IFERROR(__xludf.DUMMYFUNCTION("""COMPUTED_VALUE"""),"Sola")</f>
        <v>Sola</v>
      </c>
      <c r="J1467" s="44" t="str">
        <f>IFERROR(__xludf.DUMMYFUNCTION("""COMPUTED_VALUE"""),"")</f>
        <v/>
      </c>
      <c r="K1467" s="42" t="str">
        <f>IFERROR(__xludf.DUMMYFUNCTION("""COMPUTED_VALUE"""),"Periférico de Catia")</f>
        <v>Periférico de Catia</v>
      </c>
    </row>
    <row r="1468">
      <c r="A1468" s="44">
        <v>1467.0</v>
      </c>
      <c r="B1468" s="44" t="str">
        <f>IFERROR(__xludf.DUMMYFUNCTION("""COMPUTED_VALUE"""),"Centro de Acopio Caraballeda")</f>
        <v>Centro de Acopio Caraballeda</v>
      </c>
      <c r="C1468" s="45" t="str">
        <f>IFERROR(__xludf.DUMMYFUNCTION("""COMPUTED_VALUE"""),"CARMONA ALANIS")</f>
        <v>CARMONA ALANIS</v>
      </c>
      <c r="D1468" s="44" t="str">
        <f>IFERROR(__xludf.DUMMYFUNCTION("""COMPUTED_VALUE""")," ")</f>
        <v> </v>
      </c>
      <c r="E1468" s="44" t="str">
        <f>IFERROR(__xludf.DUMMYFUNCTION("""COMPUTED_VALUE"""),"")</f>
        <v/>
      </c>
      <c r="F1468" s="44" t="str">
        <f>IFERROR(__xludf.DUMMYFUNCTION("""COMPUTED_VALUE"""),"")</f>
        <v/>
      </c>
      <c r="G1468" s="44" t="str">
        <f>IFERROR(__xludf.DUMMYFUNCTION("""COMPUTED_VALUE""")," ")</f>
        <v> </v>
      </c>
      <c r="H1468" s="44" t="str">
        <f>IFERROR(__xludf.DUMMYFUNCTION("""COMPUTED_VALUE""")," ")</f>
        <v> </v>
      </c>
      <c r="I1468" s="44" t="str">
        <f>IFERROR(__xludf.DUMMYFUNCTION("""COMPUTED_VALUE"""),"Internado")</f>
        <v>Internado</v>
      </c>
      <c r="J1468" s="44" t="str">
        <f>IFERROR(__xludf.DUMMYFUNCTION("""COMPUTED_VALUE"""),"")</f>
        <v/>
      </c>
      <c r="K1468" s="42" t="str">
        <f>IFERROR(__xludf.DUMMYFUNCTION("""COMPUTED_VALUE"""),"🔍 BUSCAR PACIENTES")</f>
        <v>🔍 BUSCAR PACIENTES</v>
      </c>
    </row>
    <row r="1469">
      <c r="A1469" s="44">
        <v>1468.0</v>
      </c>
      <c r="B1469" s="44" t="str">
        <f>IFERROR(__xludf.DUMMYFUNCTION("""COMPUTED_VALUE"""),"Hospital Domingo Luciani")</f>
        <v>Hospital Domingo Luciani</v>
      </c>
      <c r="C1469" s="45" t="str">
        <f>IFERROR(__xludf.DUMMYFUNCTION("""COMPUTED_VALUE"""),"CARRASQUEL SANTIAGO")</f>
        <v>CARRASQUEL SANTIAGO</v>
      </c>
      <c r="D1469" s="44">
        <f>IFERROR(__xludf.DUMMYFUNCTION("""COMPUTED_VALUE"""),14.0)</f>
        <v>14</v>
      </c>
      <c r="E1469" s="44" t="str">
        <f>IFERROR(__xludf.DUMMYFUNCTION("""COMPUTED_VALUE"""),"")</f>
        <v/>
      </c>
      <c r="F1469" s="44" t="str">
        <f>IFERROR(__xludf.DUMMYFUNCTION("""COMPUTED_VALUE"""),"")</f>
        <v/>
      </c>
      <c r="G1469" s="44" t="str">
        <f>IFERROR(__xludf.DUMMYFUNCTION("""COMPUTED_VALUE""")," ")</f>
        <v> </v>
      </c>
      <c r="H1469" s="44" t="str">
        <f>IFERROR(__xludf.DUMMYFUNCTION("""COMPUTED_VALUE"""),"La Guaira")</f>
        <v>La Guaira</v>
      </c>
      <c r="I1469" s="44" t="str">
        <f>IFERROR(__xludf.DUMMYFUNCTION("""COMPUTED_VALUE"""),"Ingresos 6am-9:20pm")</f>
        <v>Ingresos 6am-9:20pm</v>
      </c>
      <c r="J1469" s="44" t="str">
        <f>IFERROR(__xludf.DUMMYFUNCTION("""COMPUTED_VALUE"""),"")</f>
        <v/>
      </c>
      <c r="K1469" s="42" t="str">
        <f>IFERROR(__xludf.DUMMYFUNCTION("""COMPUTED_VALUE"""),"🔍 BUSCAR PACIENTES")</f>
        <v>🔍 BUSCAR PACIENTES</v>
      </c>
    </row>
    <row r="1470">
      <c r="A1470" s="44">
        <v>1469.0</v>
      </c>
      <c r="B1470" s="44" t="str">
        <f>IFERROR(__xludf.DUMMYFUNCTION("""COMPUTED_VALUE"""),"Hospital Pérez Carreño")</f>
        <v>Hospital Pérez Carreño</v>
      </c>
      <c r="C1470" s="45" t="str">
        <f>IFERROR(__xludf.DUMMYFUNCTION("""COMPUTED_VALUE"""),"CARREÑO ASHLY / CARREÑO ASLY")</f>
        <v>CARREÑO ASHLY / CARREÑO ASLY</v>
      </c>
      <c r="D1470" s="44">
        <f>IFERROR(__xludf.DUMMYFUNCTION("""COMPUTED_VALUE"""),8.0)</f>
        <v>8</v>
      </c>
      <c r="E1470" s="44" t="str">
        <f>IFERROR(__xludf.DUMMYFUNCTION("""COMPUTED_VALUE"""),"")</f>
        <v/>
      </c>
      <c r="F1470" s="44" t="str">
        <f>IFERROR(__xludf.DUMMYFUNCTION("""COMPUTED_VALUE"""),"")</f>
        <v/>
      </c>
      <c r="G1470" s="44" t="str">
        <f>IFERROR(__xludf.DUMMYFUNCTION("""COMPUTED_VALUE""")," ")</f>
        <v> </v>
      </c>
      <c r="H1470" s="44" t="str">
        <f>IFERROR(__xludf.DUMMYFUNCTION("""COMPUTED_VALUE""")," ")</f>
        <v> </v>
      </c>
      <c r="I1470" s="44" t="str">
        <f>IFERROR(__xludf.DUMMYFUNCTION("""COMPUTED_VALUE"""),"SIN FAMILIAR – Pediátrico | Emerg. Pediátrica – Caraballeda – Hermanos")</f>
        <v>SIN FAMILIAR – Pediátrico | Emerg. Pediátrica – Caraballeda – Hermanos</v>
      </c>
      <c r="J1470" s="44" t="str">
        <f>IFERROR(__xludf.DUMMYFUNCTION("""COMPUTED_VALUE"""),"25/06/2026")</f>
        <v>25/06/2026</v>
      </c>
      <c r="K1470" s="42" t="str">
        <f>IFERROR(__xludf.DUMMYFUNCTION("""COMPUTED_VALUE"""),"Hospital Pérez Carreño")</f>
        <v>Hospital Pérez Carreño</v>
      </c>
    </row>
    <row r="1471">
      <c r="A1471" s="44">
        <v>1470.0</v>
      </c>
      <c r="B1471" s="44" t="str">
        <f>IFERROR(__xludf.DUMMYFUNCTION("""COMPUTED_VALUE"""),"Hospital Pérez Carreño")</f>
        <v>Hospital Pérez Carreño</v>
      </c>
      <c r="C1471" s="45" t="str">
        <f>IFERROR(__xludf.DUMMYFUNCTION("""COMPUTED_VALUE"""),"CARRENO ASLY")</f>
        <v>CARRENO ASLY</v>
      </c>
      <c r="D1471" s="44" t="str">
        <f>IFERROR(__xludf.DUMMYFUNCTION("""COMPUTED_VALUE""")," ")</f>
        <v> </v>
      </c>
      <c r="E1471" s="44" t="str">
        <f>IFERROR(__xludf.DUMMYFUNCTION("""COMPUTED_VALUE"""),"")</f>
        <v/>
      </c>
      <c r="F1471" s="44" t="str">
        <f>IFERROR(__xludf.DUMMYFUNCTION("""COMPUTED_VALUE"""),"")</f>
        <v/>
      </c>
      <c r="G1471" s="44" t="str">
        <f>IFERROR(__xludf.DUMMYFUNCTION("""COMPUTED_VALUE""")," ")</f>
        <v> </v>
      </c>
      <c r="H1471" s="44" t="str">
        <f>IFERROR(__xludf.DUMMYFUNCTION("""COMPUTED_VALUE""")," ")</f>
        <v> </v>
      </c>
      <c r="I1471" s="44" t="str">
        <f>IFERROR(__xludf.DUMMYFUNCTION("""COMPUTED_VALUE"""),"Internado")</f>
        <v>Internado</v>
      </c>
      <c r="J1471" s="44" t="str">
        <f>IFERROR(__xludf.DUMMYFUNCTION("""COMPUTED_VALUE"""),"25/06/2026")</f>
        <v>25/06/2026</v>
      </c>
      <c r="K1471" s="42" t="str">
        <f>IFERROR(__xludf.DUMMYFUNCTION("""COMPUTED_VALUE"""),"Hospital Pérez Carreño")</f>
        <v>Hospital Pérez Carreño</v>
      </c>
    </row>
    <row r="1472">
      <c r="A1472" s="44">
        <v>1471.0</v>
      </c>
      <c r="B1472" s="44" t="str">
        <f>IFERROR(__xludf.DUMMYFUNCTION("""COMPUTED_VALUE"""),"La Guaira Sin Hospital")</f>
        <v>La Guaira Sin Hospital</v>
      </c>
      <c r="C1472" s="45" t="str">
        <f>IFERROR(__xludf.DUMMYFUNCTION("""COMPUTED_VALUE"""),"Carreño Asly Janzise")</f>
        <v>Carreño Asly Janzise</v>
      </c>
      <c r="D1472" s="44" t="str">
        <f>IFERROR(__xludf.DUMMYFUNCTION("""COMPUTED_VALUE"""),"")</f>
        <v/>
      </c>
      <c r="E1472" s="44" t="str">
        <f>IFERROR(__xludf.DUMMYFUNCTION("""COMPUTED_VALUE"""),"")</f>
        <v/>
      </c>
      <c r="F1472" s="44" t="str">
        <f>IFERROR(__xludf.DUMMYFUNCTION("""COMPUTED_VALUE"""),"")</f>
        <v/>
      </c>
      <c r="G1472" s="44" t="str">
        <f>IFERROR(__xludf.DUMMYFUNCTION("""COMPUTED_VALUE"""),"")</f>
        <v/>
      </c>
      <c r="H1472" s="44" t="str">
        <f>IFERROR(__xludf.DUMMYFUNCTION("""COMPUTED_VALUE"""),"La Guaira Caribe")</f>
        <v>La Guaira Caribe</v>
      </c>
      <c r="I1472" s="44" t="str">
        <f>IFERROR(__xludf.DUMMYFUNCTION("""COMPUTED_VALUE"""),"Listas con ubicación")</f>
        <v>Listas con ubicación</v>
      </c>
      <c r="J1472" s="44" t="str">
        <f>IFERROR(__xludf.DUMMYFUNCTION("""COMPUTED_VALUE"""),"")</f>
        <v/>
      </c>
      <c r="K1472" s="42" t="str">
        <f>IFERROR(__xludf.DUMMYFUNCTION("""COMPUTED_VALUE"""),"La Guaira Sin Hospital")</f>
        <v>La Guaira Sin Hospital</v>
      </c>
    </row>
    <row r="1473">
      <c r="A1473" s="44">
        <v>1472.0</v>
      </c>
      <c r="B1473" s="44" t="str">
        <f>IFERROR(__xludf.DUMMYFUNCTION("""COMPUTED_VALUE"""),"Hospital Pérez Carreño")</f>
        <v>Hospital Pérez Carreño</v>
      </c>
      <c r="C1473" s="45" t="str">
        <f>IFERROR(__xludf.DUMMYFUNCTION("""COMPUTED_VALUE"""),"CARREÑO DERECHO")</f>
        <v>CARREÑO DERECHO</v>
      </c>
      <c r="D1473" s="44">
        <f>IFERROR(__xludf.DUMMYFUNCTION("""COMPUTED_VALUE"""),4.0)</f>
        <v>4</v>
      </c>
      <c r="E1473" s="44" t="str">
        <f>IFERROR(__xludf.DUMMYFUNCTION("""COMPUTED_VALUE"""),"")</f>
        <v/>
      </c>
      <c r="F1473" s="44" t="str">
        <f>IFERROR(__xludf.DUMMYFUNCTION("""COMPUTED_VALUE"""),"")</f>
        <v/>
      </c>
      <c r="G1473" s="44" t="str">
        <f>IFERROR(__xludf.DUMMYFUNCTION("""COMPUTED_VALUE""")," ")</f>
        <v> </v>
      </c>
      <c r="H1473" s="44" t="str">
        <f>IFERROR(__xludf.DUMMYFUNCTION("""COMPUTED_VALUE""")," ")</f>
        <v> </v>
      </c>
      <c r="I1473" s="44" t="str">
        <f>IFERROR(__xludf.DUMMYFUNCTION("""COMPUTED_VALUE"""),"SIN FAMILIAR – Pediátrico")</f>
        <v>SIN FAMILIAR – Pediátrico</v>
      </c>
      <c r="J1473" s="44" t="str">
        <f>IFERROR(__xludf.DUMMYFUNCTION("""COMPUTED_VALUE"""),"25/06/2026")</f>
        <v>25/06/2026</v>
      </c>
      <c r="K1473" s="42" t="str">
        <f>IFERROR(__xludf.DUMMYFUNCTION("""COMPUTED_VALUE"""),"Hospital Pérez Carreño")</f>
        <v>Hospital Pérez Carreño</v>
      </c>
    </row>
    <row r="1474">
      <c r="A1474" s="44">
        <v>1473.0</v>
      </c>
      <c r="B1474" s="44" t="str">
        <f>IFERROR(__xludf.DUMMYFUNCTION("""COMPUTED_VALUE"""),"Hospital Pérez Carreño")</f>
        <v>Hospital Pérez Carreño</v>
      </c>
      <c r="C1474" s="45" t="str">
        <f>IFERROR(__xludf.DUMMYFUNCTION("""COMPUTED_VALUE"""),"CARRENO DERECK")</f>
        <v>CARRENO DERECK</v>
      </c>
      <c r="D1474" s="44" t="str">
        <f>IFERROR(__xludf.DUMMYFUNCTION("""COMPUTED_VALUE""")," ")</f>
        <v> </v>
      </c>
      <c r="E1474" s="44" t="str">
        <f>IFERROR(__xludf.DUMMYFUNCTION("""COMPUTED_VALUE"""),"")</f>
        <v/>
      </c>
      <c r="F1474" s="44" t="str">
        <f>IFERROR(__xludf.DUMMYFUNCTION("""COMPUTED_VALUE"""),"")</f>
        <v/>
      </c>
      <c r="G1474" s="44" t="str">
        <f>IFERROR(__xludf.DUMMYFUNCTION("""COMPUTED_VALUE""")," ")</f>
        <v> </v>
      </c>
      <c r="H1474" s="44" t="str">
        <f>IFERROR(__xludf.DUMMYFUNCTION("""COMPUTED_VALUE""")," ")</f>
        <v> </v>
      </c>
      <c r="I1474" s="44" t="str">
        <f>IFERROR(__xludf.DUMMYFUNCTION("""COMPUTED_VALUE"""),"Emerg. Pediátrica – Caraballeda – Hermanos")</f>
        <v>Emerg. Pediátrica – Caraballeda – Hermanos</v>
      </c>
      <c r="J1474" s="44" t="str">
        <f>IFERROR(__xludf.DUMMYFUNCTION("""COMPUTED_VALUE"""),"25/06/2026")</f>
        <v>25/06/2026</v>
      </c>
      <c r="K1474" s="42" t="str">
        <f>IFERROR(__xludf.DUMMYFUNCTION("""COMPUTED_VALUE"""),"Hospital Pérez Carreño")</f>
        <v>Hospital Pérez Carreño</v>
      </c>
    </row>
    <row r="1475">
      <c r="A1475" s="44">
        <v>1474.0</v>
      </c>
      <c r="B1475" s="44" t="str">
        <f>IFERROR(__xludf.DUMMYFUNCTION("""COMPUTED_VALUE"""),"Hospital Pérez Carreño")</f>
        <v>Hospital Pérez Carreño</v>
      </c>
      <c r="C1475" s="45" t="str">
        <f>IFERROR(__xludf.DUMMYFUNCTION("""COMPUTED_VALUE"""),"Carreño Derek Josue")</f>
        <v>Carreño Derek Josue</v>
      </c>
      <c r="D1475" s="44" t="str">
        <f>IFERROR(__xludf.DUMMYFUNCTION("""COMPUTED_VALUE"""),"5 años")</f>
        <v>5 años</v>
      </c>
      <c r="E1475" s="44" t="str">
        <f>IFERROR(__xludf.DUMMYFUNCTION("""COMPUTED_VALUE"""),"")</f>
        <v/>
      </c>
      <c r="F1475" s="44" t="str">
        <f>IFERROR(__xludf.DUMMYFUNCTION("""COMPUTED_VALUE"""),"")</f>
        <v/>
      </c>
      <c r="G1475" s="44" t="str">
        <f>IFERROR(__xludf.DUMMYFUNCTION("""COMPUTED_VALUE"""),"Pediatria")</f>
        <v>Pediatria</v>
      </c>
      <c r="H1475" s="44" t="str">
        <f>IFERROR(__xludf.DUMMYFUNCTION("""COMPUTED_VALUE"""),"Hospital Miguel Perez Carreño")</f>
        <v>Hospital Miguel Perez Carreño</v>
      </c>
      <c r="I1475" s="44"/>
      <c r="J1475" s="44" t="str">
        <f>IFERROR(__xludf.DUMMYFUNCTION("""COMPUTED_VALUE"""),"26/6/26")</f>
        <v>26/6/26</v>
      </c>
      <c r="K1475" s="42" t="str">
        <f>IFERROR(__xludf.DUMMYFUNCTION("""COMPUTED_VALUE"""),"Hospital Pérez Carreño")</f>
        <v>Hospital Pérez Carreño</v>
      </c>
    </row>
    <row r="1476">
      <c r="A1476" s="44">
        <v>1475.0</v>
      </c>
      <c r="B1476" s="44" t="str">
        <f>IFERROR(__xludf.DUMMYFUNCTION("""COMPUTED_VALUE"""),"Hospital Pérez Carreño")</f>
        <v>Hospital Pérez Carreño</v>
      </c>
      <c r="C1476" s="45" t="str">
        <f>IFERROR(__xludf.DUMMYFUNCTION("""COMPUTED_VALUE"""),"CARRENO ESPINOZA ZULEIKA YAXNEI")</f>
        <v>CARRENO ESPINOZA ZULEIKA YAXNEI</v>
      </c>
      <c r="D1476" s="44" t="str">
        <f>IFERROR(__xludf.DUMMYFUNCTION("""COMPUTED_VALUE""")," ")</f>
        <v> </v>
      </c>
      <c r="E1476" s="44" t="str">
        <f>IFERROR(__xludf.DUMMYFUNCTION("""COMPUTED_VALUE"""),"")</f>
        <v/>
      </c>
      <c r="F1476" s="44" t="str">
        <f>IFERROR(__xludf.DUMMYFUNCTION("""COMPUTED_VALUE"""),"")</f>
        <v/>
      </c>
      <c r="G1476" s="44" t="str">
        <f>IFERROR(__xludf.DUMMYFUNCTION("""COMPUTED_VALUE""")," ")</f>
        <v> </v>
      </c>
      <c r="H1476" s="44" t="str">
        <f>IFERROR(__xludf.DUMMYFUNCTION("""COMPUTED_VALUE""")," ")</f>
        <v> </v>
      </c>
      <c r="I1476" s="44" t="str">
        <f>IFERROR(__xludf.DUMMYFUNCTION("""COMPUTED_VALUE"""),"Internado")</f>
        <v>Internado</v>
      </c>
      <c r="J1476" s="44" t="str">
        <f>IFERROR(__xludf.DUMMYFUNCTION("""COMPUTED_VALUE"""),"25/06/2026")</f>
        <v>25/06/2026</v>
      </c>
      <c r="K1476" s="42" t="str">
        <f>IFERROR(__xludf.DUMMYFUNCTION("""COMPUTED_VALUE"""),"Hospital Pérez Carreño")</f>
        <v>Hospital Pérez Carreño</v>
      </c>
    </row>
    <row r="1477">
      <c r="A1477" s="44">
        <v>1476.0</v>
      </c>
      <c r="B1477" s="44" t="str">
        <f>IFERROR(__xludf.DUMMYFUNCTION("""COMPUTED_VALUE"""),"Hospital Pérez Carreño")</f>
        <v>Hospital Pérez Carreño</v>
      </c>
      <c r="C1477" s="45" t="str">
        <f>IFERROR(__xludf.DUMMYFUNCTION("""COMPUTED_VALUE"""),"Carreño Espinoza Zuleika Yaxnei")</f>
        <v>Carreño Espinoza Zuleika Yaxnei</v>
      </c>
      <c r="D1477" s="44"/>
      <c r="E1477" s="44" t="str">
        <f>IFERROR(__xludf.DUMMYFUNCTION("""COMPUTED_VALUE"""),"")</f>
        <v/>
      </c>
      <c r="F1477" s="44" t="str">
        <f>IFERROR(__xludf.DUMMYFUNCTION("""COMPUTED_VALUE"""),"")</f>
        <v/>
      </c>
      <c r="G1477" s="44" t="str">
        <f>IFERROR(__xludf.DUMMYFUNCTION("""COMPUTED_VALUE"""),"Traslados")</f>
        <v>Traslados</v>
      </c>
      <c r="H1477" s="44" t="str">
        <f>IFERROR(__xludf.DUMMYFUNCTION("""COMPUTED_VALUE"""),"Hospital Miguel Perez Carreño")</f>
        <v>Hospital Miguel Perez Carreño</v>
      </c>
      <c r="I1477" s="44"/>
      <c r="J1477" s="44" t="str">
        <f>IFERROR(__xludf.DUMMYFUNCTION("""COMPUTED_VALUE"""),"26/6/26")</f>
        <v>26/6/26</v>
      </c>
      <c r="K1477" s="42" t="str">
        <f>IFERROR(__xludf.DUMMYFUNCTION("""COMPUTED_VALUE"""),"Hospital Pérez Carreño")</f>
        <v>Hospital Pérez Carreño</v>
      </c>
    </row>
    <row r="1478">
      <c r="A1478" s="44">
        <v>1477.0</v>
      </c>
      <c r="B1478" s="44" t="str">
        <f>IFERROR(__xludf.DUMMYFUNCTION("""COMPUTED_VALUE"""),"Hospital Pérez Carreño")</f>
        <v>Hospital Pérez Carreño</v>
      </c>
      <c r="C1478" s="45" t="str">
        <f>IFERROR(__xludf.DUMMYFUNCTION("""COMPUTED_VALUE"""),"Carreño Romero Dory Jose")</f>
        <v>Carreño Romero Dory Jose</v>
      </c>
      <c r="D1478" s="44"/>
      <c r="E1478" s="44" t="str">
        <f>IFERROR(__xludf.DUMMYFUNCTION("""COMPUTED_VALUE"""),"")</f>
        <v/>
      </c>
      <c r="F1478" s="44" t="str">
        <f>IFERROR(__xludf.DUMMYFUNCTION("""COMPUTED_VALUE"""),"")</f>
        <v/>
      </c>
      <c r="G1478" s="44" t="str">
        <f>IFERROR(__xludf.DUMMYFUNCTION("""COMPUTED_VALUE"""),"Traslados con destino asignado")</f>
        <v>Traslados con destino asignado</v>
      </c>
      <c r="H1478" s="44" t="str">
        <f>IFERROR(__xludf.DUMMYFUNCTION("""COMPUTED_VALUE"""),"Hospital Miguel Perez Carreño")</f>
        <v>Hospital Miguel Perez Carreño</v>
      </c>
      <c r="I1478" s="44"/>
      <c r="J1478" s="44" t="str">
        <f>IFERROR(__xludf.DUMMYFUNCTION("""COMPUTED_VALUE"""),"26/6/26")</f>
        <v>26/6/26</v>
      </c>
      <c r="K1478" s="42" t="str">
        <f>IFERROR(__xludf.DUMMYFUNCTION("""COMPUTED_VALUE"""),"Hospital Pérez Carreño")</f>
        <v>Hospital Pérez Carreño</v>
      </c>
    </row>
    <row r="1479">
      <c r="A1479" s="44">
        <v>1478.0</v>
      </c>
      <c r="B1479" s="44" t="str">
        <f>IFERROR(__xludf.DUMMYFUNCTION("""COMPUTED_VALUE"""),"La Guaira Sin Hospital")</f>
        <v>La Guaira Sin Hospital</v>
      </c>
      <c r="C1479" s="45" t="str">
        <f>IFERROR(__xludf.DUMMYFUNCTION("""COMPUTED_VALUE"""),"Carrera Ashlys")</f>
        <v>Carrera Ashlys</v>
      </c>
      <c r="D1479" s="44" t="str">
        <f>IFERROR(__xludf.DUMMYFUNCTION("""COMPUTED_VALUE"""),"")</f>
        <v/>
      </c>
      <c r="E1479" s="44" t="str">
        <f>IFERROR(__xludf.DUMMYFUNCTION("""COMPUTED_VALUE"""),"")</f>
        <v/>
      </c>
      <c r="F1479" s="44" t="str">
        <f>IFERROR(__xludf.DUMMYFUNCTION("""COMPUTED_VALUE"""),"")</f>
        <v/>
      </c>
      <c r="G1479" s="44" t="str">
        <f>IFERROR(__xludf.DUMMYFUNCTION("""COMPUTED_VALUE"""),"")</f>
        <v/>
      </c>
      <c r="H1479" s="44" t="str">
        <f>IFERROR(__xludf.DUMMYFUNCTION("""COMPUTED_VALUE"""),"Caribe - La Guaira")</f>
        <v>Caribe - La Guaira</v>
      </c>
      <c r="I1479" s="44" t="str">
        <f>IFERROR(__xludf.DUMMYFUNCTION("""COMPUTED_VALUE"""),"Listas con ubicación")</f>
        <v>Listas con ubicación</v>
      </c>
      <c r="J1479" s="44" t="str">
        <f>IFERROR(__xludf.DUMMYFUNCTION("""COMPUTED_VALUE"""),"")</f>
        <v/>
      </c>
      <c r="K1479" s="42" t="str">
        <f>IFERROR(__xludf.DUMMYFUNCTION("""COMPUTED_VALUE"""),"La Guaira Sin Hospital")</f>
        <v>La Guaira Sin Hospital</v>
      </c>
    </row>
    <row r="1480">
      <c r="A1480" s="44">
        <v>1479.0</v>
      </c>
      <c r="B1480" s="44" t="str">
        <f>IFERROR(__xludf.DUMMYFUNCTION("""COMPUTED_VALUE"""),"H. Jose Maria Vargas LG")</f>
        <v>H. Jose Maria Vargas LG</v>
      </c>
      <c r="C1480" s="45" t="str">
        <f>IFERROR(__xludf.DUMMYFUNCTION("""COMPUTED_VALUE"""),"CARRILLO MIRIAN")</f>
        <v>CARRILLO MIRIAN</v>
      </c>
      <c r="D1480" s="44" t="str">
        <f>IFERROR(__xludf.DUMMYFUNCTION("""COMPUTED_VALUE""")," ")</f>
        <v> </v>
      </c>
      <c r="E1480" s="44" t="str">
        <f>IFERROR(__xludf.DUMMYFUNCTION("""COMPUTED_VALUE"""),"")</f>
        <v/>
      </c>
      <c r="F1480" s="44" t="str">
        <f>IFERROR(__xludf.DUMMYFUNCTION("""COMPUTED_VALUE"""),"")</f>
        <v/>
      </c>
      <c r="G1480" s="44" t="str">
        <f>IFERROR(__xludf.DUMMYFUNCTION("""COMPUTED_VALUE""")," ")</f>
        <v> </v>
      </c>
      <c r="H1480" s="44" t="str">
        <f>IFERROR(__xludf.DUMMYFUNCTION("""COMPUTED_VALUE""")," ")</f>
        <v> </v>
      </c>
      <c r="I1480" s="44" t="str">
        <f>IFERROR(__xludf.DUMMYFUNCTION("""COMPUTED_VALUE""")," ")</f>
        <v> </v>
      </c>
      <c r="J1480" s="44" t="str">
        <f>IFERROR(__xludf.DUMMYFUNCTION("""COMPUTED_VALUE"""),"")</f>
        <v/>
      </c>
      <c r="K1480" s="42" t="str">
        <f>IFERROR(__xludf.DUMMYFUNCTION("""COMPUTED_VALUE"""),"H. Jose Maria Vargas LG")</f>
        <v>H. Jose Maria Vargas LG</v>
      </c>
    </row>
    <row r="1481">
      <c r="A1481" s="44">
        <v>1480.0</v>
      </c>
      <c r="B1481" s="44" t="str">
        <f>IFERROR(__xludf.DUMMYFUNCTION("""COMPUTED_VALUE"""),"Hospital Domingo Luciani")</f>
        <v>Hospital Domingo Luciani</v>
      </c>
      <c r="C1481" s="45" t="str">
        <f>IFERROR(__xludf.DUMMYFUNCTION("""COMPUTED_VALUE"""),"CARRIZAJE SANTIAGO")</f>
        <v>CARRIZAJE SANTIAGO</v>
      </c>
      <c r="D1481" s="44">
        <f>IFERROR(__xludf.DUMMYFUNCTION("""COMPUTED_VALUE"""),94.0)</f>
        <v>94</v>
      </c>
      <c r="E1481" s="44" t="str">
        <f>IFERROR(__xludf.DUMMYFUNCTION("""COMPUTED_VALUE"""),"")</f>
        <v/>
      </c>
      <c r="F1481" s="44" t="str">
        <f>IFERROR(__xludf.DUMMYFUNCTION("""COMPUTED_VALUE"""),"")</f>
        <v/>
      </c>
      <c r="G1481" s="44" t="str">
        <f>IFERROR(__xludf.DUMMYFUNCTION("""COMPUTED_VALUE""")," ")</f>
        <v> </v>
      </c>
      <c r="H1481" s="44" t="str">
        <f>IFERROR(__xludf.DUMMYFUNCTION("""COMPUTED_VALUE""")," ")</f>
        <v> </v>
      </c>
      <c r="I1481" s="44" t="str">
        <f>IFERROR(__xludf.DUMMYFUNCTION("""COMPUTED_VALUE"""),"La Guaira – Ingresos 9am")</f>
        <v>La Guaira – Ingresos 9am</v>
      </c>
      <c r="J1481" s="44" t="str">
        <f>IFERROR(__xludf.DUMMYFUNCTION("""COMPUTED_VALUE"""),"")</f>
        <v/>
      </c>
      <c r="K1481" s="42" t="str">
        <f>IFERROR(__xludf.DUMMYFUNCTION("""COMPUTED_VALUE"""),"🔍 BUSCAR PACIENTES")</f>
        <v>🔍 BUSCAR PACIENTES</v>
      </c>
    </row>
    <row r="1482">
      <c r="A1482" s="44">
        <v>1481.0</v>
      </c>
      <c r="B1482" s="44" t="str">
        <f>IFERROR(__xludf.DUMMYFUNCTION("""COMPUTED_VALUE"""),"Hospital Vargas de Caracas")</f>
        <v>Hospital Vargas de Caracas</v>
      </c>
      <c r="C1482" s="45" t="str">
        <f>IFERROR(__xludf.DUMMYFUNCTION("""COMPUTED_VALUE"""),"CARTAS MIGUEL")</f>
        <v>CARTAS MIGUEL</v>
      </c>
      <c r="D1482" s="44" t="str">
        <f>IFERROR(__xludf.DUMMYFUNCTION("""COMPUTED_VALUE""")," ")</f>
        <v> </v>
      </c>
      <c r="E1482" s="44" t="str">
        <f>IFERROR(__xludf.DUMMYFUNCTION("""COMPUTED_VALUE"""),"")</f>
        <v/>
      </c>
      <c r="F1482" s="44" t="str">
        <f>IFERROR(__xludf.DUMMYFUNCTION("""COMPUTED_VALUE""")," ")</f>
        <v> </v>
      </c>
      <c r="G1482" s="44" t="str">
        <f>IFERROR(__xludf.DUMMYFUNCTION("""COMPUTED_VALUE"""),"")</f>
        <v/>
      </c>
      <c r="H1482" s="44" t="str">
        <f>IFERROR(__xludf.DUMMYFUNCTION("""COMPUTED_VALUE""")," ")</f>
        <v> </v>
      </c>
      <c r="I1482" s="44" t="str">
        <f>IFERROR(__xludf.DUMMYFUNCTION("""COMPUTED_VALUE""")," ")</f>
        <v> </v>
      </c>
      <c r="J1482" s="44" t="str">
        <f>IFERROR(__xludf.DUMMYFUNCTION("""COMPUTED_VALUE"""),"")</f>
        <v/>
      </c>
      <c r="K1482" s="42" t="str">
        <f>IFERROR(__xludf.DUMMYFUNCTION("""COMPUTED_VALUE"""),"Hospital Vargas de Caracas")</f>
        <v>Hospital Vargas de Caracas</v>
      </c>
    </row>
    <row r="1483">
      <c r="A1483" s="44">
        <v>1482.0</v>
      </c>
      <c r="B1483" s="44" t="str">
        <f>IFERROR(__xludf.DUMMYFUNCTION("""COMPUTED_VALUE"""),"La Guaira Sin Hospital")</f>
        <v>La Guaira Sin Hospital</v>
      </c>
      <c r="C1483" s="45" t="str">
        <f>IFERROR(__xludf.DUMMYFUNCTION("""COMPUTED_VALUE"""),"Caruso Valentina Viviana")</f>
        <v>Caruso Valentina Viviana</v>
      </c>
      <c r="D1483" s="44" t="str">
        <f>IFERROR(__xludf.DUMMYFUNCTION("""COMPUTED_VALUE"""),"")</f>
        <v/>
      </c>
      <c r="E1483" s="44" t="str">
        <f>IFERROR(__xludf.DUMMYFUNCTION("""COMPUTED_VALUE"""),"")</f>
        <v/>
      </c>
      <c r="F1483" s="44" t="str">
        <f>IFERROR(__xludf.DUMMYFUNCTION("""COMPUTED_VALUE"""),"")</f>
        <v/>
      </c>
      <c r="G1483" s="44" t="str">
        <f>IFERROR(__xludf.DUMMYFUNCTION("""COMPUTED_VALUE"""),"")</f>
        <v/>
      </c>
      <c r="H1483" s="44" t="str">
        <f>IFERROR(__xludf.DUMMYFUNCTION("""COMPUTED_VALUE"""),"Playa Grande")</f>
        <v>Playa Grande</v>
      </c>
      <c r="I1483" s="44" t="str">
        <f>IFERROR(__xludf.DUMMYFUNCTION("""COMPUTED_VALUE"""),"Listas con ubicación")</f>
        <v>Listas con ubicación</v>
      </c>
      <c r="J1483" s="44" t="str">
        <f>IFERROR(__xludf.DUMMYFUNCTION("""COMPUTED_VALUE"""),"")</f>
        <v/>
      </c>
      <c r="K1483" s="42" t="str">
        <f>IFERROR(__xludf.DUMMYFUNCTION("""COMPUTED_VALUE"""),"La Guaira Sin Hospital")</f>
        <v>La Guaira Sin Hospital</v>
      </c>
    </row>
    <row r="1484">
      <c r="A1484" s="44">
        <v>1483.0</v>
      </c>
      <c r="B1484" s="44" t="str">
        <f>IFERROR(__xludf.DUMMYFUNCTION("""COMPUTED_VALUE"""),"Hospital Pérez Carreño")</f>
        <v>Hospital Pérez Carreño</v>
      </c>
      <c r="C1484" s="45" t="str">
        <f>IFERROR(__xludf.DUMMYFUNCTION("""COMPUTED_VALUE"""),"Caruzo Mendoza Diego")</f>
        <v>Caruzo Mendoza Diego</v>
      </c>
      <c r="D1484" s="44"/>
      <c r="E1484" s="44" t="str">
        <f>IFERROR(__xludf.DUMMYFUNCTION("""COMPUTED_VALUE"""),"")</f>
        <v/>
      </c>
      <c r="F1484" s="44" t="str">
        <f>IFERROR(__xludf.DUMMYFUNCTION("""COMPUTED_VALUE"""),"")</f>
        <v/>
      </c>
      <c r="G1484" s="44" t="str">
        <f>IFERROR(__xludf.DUMMYFUNCTION("""COMPUTED_VALUE"""),"Traslados con destino asignado")</f>
        <v>Traslados con destino asignado</v>
      </c>
      <c r="H1484" s="44" t="str">
        <f>IFERROR(__xludf.DUMMYFUNCTION("""COMPUTED_VALUE"""),"Hospital Miguel Perez Carreño")</f>
        <v>Hospital Miguel Perez Carreño</v>
      </c>
      <c r="I1484" s="44"/>
      <c r="J1484" s="44" t="str">
        <f>IFERROR(__xludf.DUMMYFUNCTION("""COMPUTED_VALUE"""),"26/6/26")</f>
        <v>26/6/26</v>
      </c>
      <c r="K1484" s="42" t="str">
        <f>IFERROR(__xludf.DUMMYFUNCTION("""COMPUTED_VALUE"""),"Hospital Pérez Carreño")</f>
        <v>Hospital Pérez Carreño</v>
      </c>
    </row>
    <row r="1485">
      <c r="A1485" s="44">
        <v>1484.0</v>
      </c>
      <c r="B1485" s="44" t="str">
        <f>IFERROR(__xludf.DUMMYFUNCTION("""COMPUTED_VALUE"""),"Hospital Pérez Carreño")</f>
        <v>Hospital Pérez Carreño</v>
      </c>
      <c r="C1485" s="45" t="str">
        <f>IFERROR(__xludf.DUMMYFUNCTION("""COMPUTED_VALUE"""),"CARUZZO VALENTINA VIVIANA")</f>
        <v>CARUZZO VALENTINA VIVIANA</v>
      </c>
      <c r="D1485" s="44" t="str">
        <f>IFERROR(__xludf.DUMMYFUNCTION("""COMPUTED_VALUE""")," ")</f>
        <v> </v>
      </c>
      <c r="E1485" s="44" t="str">
        <f>IFERROR(__xludf.DUMMYFUNCTION("""COMPUTED_VALUE"""),"")</f>
        <v/>
      </c>
      <c r="F1485" s="44" t="str">
        <f>IFERROR(__xludf.DUMMYFUNCTION("""COMPUTED_VALUE"""),"")</f>
        <v/>
      </c>
      <c r="G1485" s="44" t="str">
        <f>IFERROR(__xludf.DUMMYFUNCTION("""COMPUTED_VALUE""")," ")</f>
        <v> </v>
      </c>
      <c r="H1485" s="44" t="str">
        <f>IFERROR(__xludf.DUMMYFUNCTION("""COMPUTED_VALUE""")," ")</f>
        <v> </v>
      </c>
      <c r="I1485" s="44" t="str">
        <f>IFERROR(__xludf.DUMMYFUNCTION("""COMPUTED_VALUE"""),"Internado")</f>
        <v>Internado</v>
      </c>
      <c r="J1485" s="44" t="str">
        <f>IFERROR(__xludf.DUMMYFUNCTION("""COMPUTED_VALUE"""),"25/06/2026")</f>
        <v>25/06/2026</v>
      </c>
      <c r="K1485" s="42" t="str">
        <f>IFERROR(__xludf.DUMMYFUNCTION("""COMPUTED_VALUE"""),"Hospital Pérez Carreño")</f>
        <v>Hospital Pérez Carreño</v>
      </c>
    </row>
    <row r="1486">
      <c r="A1486" s="44">
        <v>1485.0</v>
      </c>
      <c r="B1486" s="44" t="str">
        <f>IFERROR(__xludf.DUMMYFUNCTION("""COMPUTED_VALUE"""),"Hospital Domingo Luciani")</f>
        <v>Hospital Domingo Luciani</v>
      </c>
      <c r="C1486" s="45" t="str">
        <f>IFERROR(__xludf.DUMMYFUNCTION("""COMPUTED_VALUE"""),"CASTANEDA MARIA")</f>
        <v>CASTANEDA MARIA</v>
      </c>
      <c r="D1486" s="44">
        <f>IFERROR(__xludf.DUMMYFUNCTION("""COMPUTED_VALUE"""),73.0)</f>
        <v>73</v>
      </c>
      <c r="E1486" s="44" t="str">
        <f>IFERROR(__xludf.DUMMYFUNCTION("""COMPUTED_VALUE"""),"")</f>
        <v/>
      </c>
      <c r="F1486" s="44" t="str">
        <f>IFERROR(__xludf.DUMMYFUNCTION("""COMPUTED_VALUE"""),"")</f>
        <v/>
      </c>
      <c r="G1486" s="44" t="str">
        <f>IFERROR(__xludf.DUMMYFUNCTION("""COMPUTED_VALUE""")," ")</f>
        <v> </v>
      </c>
      <c r="H1486" s="44" t="str">
        <f>IFERROR(__xludf.DUMMYFUNCTION("""COMPUTED_VALUE""")," ")</f>
        <v> </v>
      </c>
      <c r="I1486" s="44" t="str">
        <f>IFERROR(__xludf.DUMMYFUNCTION("""COMPUTED_VALUE"""),"Internado; Fecha: 25/6/26 pm")</f>
        <v>Internado; Fecha: 25/6/26 pm</v>
      </c>
      <c r="J1486" s="44" t="str">
        <f>IFERROR(__xludf.DUMMYFUNCTION("""COMPUTED_VALUE"""),"")</f>
        <v/>
      </c>
      <c r="K1486" s="42" t="str">
        <f>IFERROR(__xludf.DUMMYFUNCTION("""COMPUTED_VALUE"""),"🔍 BUSCAR PACIENTES")</f>
        <v>🔍 BUSCAR PACIENTES</v>
      </c>
    </row>
    <row r="1487">
      <c r="A1487" s="44">
        <v>1486.0</v>
      </c>
      <c r="B1487" s="44" t="str">
        <f>IFERROR(__xludf.DUMMYFUNCTION("""COMPUTED_VALUE"""),"Periférico de Catia")</f>
        <v>Periférico de Catia</v>
      </c>
      <c r="C1487" s="45" t="str">
        <f>IFERROR(__xludf.DUMMYFUNCTION("""COMPUTED_VALUE"""),"Castañeda Maria (5)")</f>
        <v>Castañeda Maria (5)</v>
      </c>
      <c r="D1487" s="44">
        <f>IFERROR(__xludf.DUMMYFUNCTION("""COMPUTED_VALUE"""),73.0)</f>
        <v>73</v>
      </c>
      <c r="E1487" s="44" t="str">
        <f>IFERROR(__xludf.DUMMYFUNCTION("""COMPUTED_VALUE"""),"")</f>
        <v/>
      </c>
      <c r="F1487" s="44" t="str">
        <f>IFERROR(__xludf.DUMMYFUNCTION("""COMPUTED_VALUE"""),"")</f>
        <v/>
      </c>
      <c r="G1487" s="44"/>
      <c r="H1487" s="44"/>
      <c r="I1487" s="44" t="str">
        <f>IFERROR(__xludf.DUMMYFUNCTION("""COMPUTED_VALUE"""),"Lista adicional (pizarra extensa sin titulo de sala especifico) — posible duplicado de 'Castañeda Maria 73' (Politrauma Emergencia Vieja)")</f>
        <v>Lista adicional (pizarra extensa sin titulo de sala especifico) — posible duplicado de 'Castañeda Maria 73' (Politrauma Emergencia Vieja)</v>
      </c>
      <c r="J1487" s="44" t="str">
        <f>IFERROR(__xludf.DUMMYFUNCTION("""COMPUTED_VALUE"""),"")</f>
        <v/>
      </c>
      <c r="K1487" s="42" t="str">
        <f>IFERROR(__xludf.DUMMYFUNCTION("""COMPUTED_VALUE"""),"Periférico de Catia")</f>
        <v>Periférico de Catia</v>
      </c>
    </row>
    <row r="1488">
      <c r="A1488" s="44">
        <v>1487.0</v>
      </c>
      <c r="B1488" s="44" t="str">
        <f>IFERROR(__xludf.DUMMYFUNCTION("""COMPUTED_VALUE"""),"Hospital Domingo Luciani")</f>
        <v>Hospital Domingo Luciani</v>
      </c>
      <c r="C1488" s="45" t="str">
        <f>IFERROR(__xludf.DUMMYFUNCTION("""COMPUTED_VALUE"""),"CASTAÑEDA MARIA / CASTAÑEDA MARIE / MARIA CASTAÑEDA")</f>
        <v>CASTAÑEDA MARIA / CASTAÑEDA MARIE / MARIA CASTAÑEDA</v>
      </c>
      <c r="D1488" s="44" t="str">
        <f>IFERROR(__xludf.DUMMYFUNCTION("""COMPUTED_VALUE""")," ")</f>
        <v> </v>
      </c>
      <c r="E1488" s="44" t="str">
        <f>IFERROR(__xludf.DUMMYFUNCTION("""COMPUTED_VALUE"""),"")</f>
        <v/>
      </c>
      <c r="F1488" s="44" t="str">
        <f>IFERROR(__xludf.DUMMYFUNCTION("""COMPUTED_VALUE"""),"")</f>
        <v/>
      </c>
      <c r="G1488" s="44" t="str">
        <f>IFERROR(__xludf.DUMMYFUNCTION("""COMPUTED_VALUE""")," ")</f>
        <v> </v>
      </c>
      <c r="H1488" s="44" t="str">
        <f>IFERROR(__xludf.DUMMYFUNCTION("""COMPUTED_VALUE""")," ")</f>
        <v> </v>
      </c>
      <c r="I1488" s="44" t="str">
        <f>IFERROR(__xludf.DUMMYFUNCTION("""COMPUTED_VALUE"""),"Politrauma – Tel: 02128733207")</f>
        <v>Politrauma – Tel: 02128733207</v>
      </c>
      <c r="J1488" s="44" t="str">
        <f>IFERROR(__xludf.DUMMYFUNCTION("""COMPUTED_VALUE"""),"")</f>
        <v/>
      </c>
      <c r="K1488" s="42" t="str">
        <f>IFERROR(__xludf.DUMMYFUNCTION("""COMPUTED_VALUE"""),"🔍 BUSCAR PACIENTES")</f>
        <v>🔍 BUSCAR PACIENTES</v>
      </c>
    </row>
    <row r="1489">
      <c r="A1489" s="44">
        <v>1488.0</v>
      </c>
      <c r="B1489" s="44" t="str">
        <f>IFERROR(__xludf.DUMMYFUNCTION("""COMPUTED_VALUE"""),"Hospital Domingo Luciani")</f>
        <v>Hospital Domingo Luciani</v>
      </c>
      <c r="C1489" s="45" t="str">
        <f>IFERROR(__xludf.DUMMYFUNCTION("""COMPUTED_VALUE"""),"CASTAÑEDO MARIA")</f>
        <v>CASTAÑEDO MARIA</v>
      </c>
      <c r="D1489" s="44">
        <f>IFERROR(__xludf.DUMMYFUNCTION("""COMPUTED_VALUE"""),65.0)</f>
        <v>65</v>
      </c>
      <c r="E1489" s="44" t="str">
        <f>IFERROR(__xludf.DUMMYFUNCTION("""COMPUTED_VALUE"""),"")</f>
        <v/>
      </c>
      <c r="F1489" s="44" t="str">
        <f>IFERROR(__xludf.DUMMYFUNCTION("""COMPUTED_VALUE"""),"")</f>
        <v/>
      </c>
      <c r="G1489" s="44" t="str">
        <f>IFERROR(__xludf.DUMMYFUNCTION("""COMPUTED_VALUE""")," ")</f>
        <v> </v>
      </c>
      <c r="H1489" s="44" t="str">
        <f>IFERROR(__xludf.DUMMYFUNCTION("""COMPUTED_VALUE""")," ")</f>
        <v> </v>
      </c>
      <c r="I1489" s="44" t="str">
        <f>IFERROR(__xludf.DUMMYFUNCTION("""COMPUTED_VALUE"""),"Internado; Tomografía")</f>
        <v>Internado; Tomografía</v>
      </c>
      <c r="J1489" s="44" t="str">
        <f>IFERROR(__xludf.DUMMYFUNCTION("""COMPUTED_VALUE"""),"")</f>
        <v/>
      </c>
      <c r="K1489" s="42" t="str">
        <f>IFERROR(__xludf.DUMMYFUNCTION("""COMPUTED_VALUE"""),"🔍 BUSCAR PACIENTES")</f>
        <v>🔍 BUSCAR PACIENTES</v>
      </c>
    </row>
    <row r="1490">
      <c r="A1490" s="44">
        <v>1489.0</v>
      </c>
      <c r="B1490" s="44" t="str">
        <f>IFERROR(__xludf.DUMMYFUNCTION("""COMPUTED_VALUE"""),"Hospital Domingo Luciani")</f>
        <v>Hospital Domingo Luciani</v>
      </c>
      <c r="C1490" s="45" t="str">
        <f>IFERROR(__xludf.DUMMYFUNCTION("""COMPUTED_VALUE"""),"CASTANO CARLOS")</f>
        <v>CASTANO CARLOS</v>
      </c>
      <c r="D1490" s="44" t="str">
        <f>IFERROR(__xludf.DUMMYFUNCTION("""COMPUTED_VALUE""")," ")</f>
        <v> </v>
      </c>
      <c r="E1490" s="44" t="str">
        <f>IFERROR(__xludf.DUMMYFUNCTION("""COMPUTED_VALUE"""),"")</f>
        <v/>
      </c>
      <c r="F1490" s="44" t="str">
        <f>IFERROR(__xludf.DUMMYFUNCTION("""COMPUTED_VALUE"""),"")</f>
        <v/>
      </c>
      <c r="G1490" s="44" t="str">
        <f>IFERROR(__xludf.DUMMYFUNCTION("""COMPUTED_VALUE""")," ")</f>
        <v> </v>
      </c>
      <c r="H1490" s="44" t="str">
        <f>IFERROR(__xludf.DUMMYFUNCTION("""COMPUTED_VALUE""")," ")</f>
        <v> </v>
      </c>
      <c r="I1490" s="44" t="str">
        <f>IFERROR(__xludf.DUMMYFUNCTION("""COMPUTED_VALUE"""),"Politrauma – Rx")</f>
        <v>Politrauma – Rx</v>
      </c>
      <c r="J1490" s="44" t="str">
        <f>IFERROR(__xludf.DUMMYFUNCTION("""COMPUTED_VALUE"""),"")</f>
        <v/>
      </c>
      <c r="K1490" s="42" t="str">
        <f>IFERROR(__xludf.DUMMYFUNCTION("""COMPUTED_VALUE"""),"🔍 BUSCAR PACIENTES")</f>
        <v>🔍 BUSCAR PACIENTES</v>
      </c>
    </row>
    <row r="1491">
      <c r="A1491" s="44">
        <v>1490.0</v>
      </c>
      <c r="B1491" s="44" t="str">
        <f>IFERROR(__xludf.DUMMYFUNCTION("""COMPUTED_VALUE"""),"Hospital Domingo Luciani")</f>
        <v>Hospital Domingo Luciani</v>
      </c>
      <c r="C1491" s="45" t="str">
        <f>IFERROR(__xludf.DUMMYFUNCTION("""COMPUTED_VALUE"""),"CASTAÑO CARLOS")</f>
        <v>CASTAÑO CARLOS</v>
      </c>
      <c r="D1491" s="44">
        <f>IFERROR(__xludf.DUMMYFUNCTION("""COMPUTED_VALUE"""),47.0)</f>
        <v>47</v>
      </c>
      <c r="E1491" s="44" t="str">
        <f>IFERROR(__xludf.DUMMYFUNCTION("""COMPUTED_VALUE"""),"")</f>
        <v/>
      </c>
      <c r="F1491" s="44" t="str">
        <f>IFERROR(__xludf.DUMMYFUNCTION("""COMPUTED_VALUE"""),"")</f>
        <v/>
      </c>
      <c r="G1491" s="44" t="str">
        <f>IFERROR(__xludf.DUMMYFUNCTION("""COMPUTED_VALUE""")," ")</f>
        <v> </v>
      </c>
      <c r="H1491" s="44" t="str">
        <f>IFERROR(__xludf.DUMMYFUNCTION("""COMPUTED_VALUE""")," ")</f>
        <v> </v>
      </c>
      <c r="I1491" s="44" t="str">
        <f>IFERROR(__xludf.DUMMYFUNCTION("""COMPUTED_VALUE""")," ")</f>
        <v> </v>
      </c>
      <c r="J1491" s="44" t="str">
        <f>IFERROR(__xludf.DUMMYFUNCTION("""COMPUTED_VALUE"""),"")</f>
        <v/>
      </c>
      <c r="K1491" s="42" t="str">
        <f>IFERROR(__xludf.DUMMYFUNCTION("""COMPUTED_VALUE"""),"🔍 BUSCAR PACIENTES")</f>
        <v>🔍 BUSCAR PACIENTES</v>
      </c>
    </row>
    <row r="1492">
      <c r="A1492" s="44">
        <v>1491.0</v>
      </c>
      <c r="B1492" s="44" t="str">
        <f>IFERROR(__xludf.DUMMYFUNCTION("""COMPUTED_VALUE"""),"Periférico de Catia")</f>
        <v>Periférico de Catia</v>
      </c>
      <c r="C1492" s="45" t="str">
        <f>IFERROR(__xludf.DUMMYFUNCTION("""COMPUTED_VALUE"""),"Castaño Dana")</f>
        <v>Castaño Dana</v>
      </c>
      <c r="D1492" s="44">
        <f>IFERROR(__xludf.DUMMYFUNCTION("""COMPUTED_VALUE"""),12.0)</f>
        <v>12</v>
      </c>
      <c r="E1492" s="44" t="str">
        <f>IFERROR(__xludf.DUMMYFUNCTION("""COMPUTED_VALUE"""),"")</f>
        <v/>
      </c>
      <c r="F1492" s="44" t="str">
        <f>IFERROR(__xludf.DUMMYFUNCTION("""COMPUTED_VALUE"""),"")</f>
        <v/>
      </c>
      <c r="G1492" s="44"/>
      <c r="H1492" s="44"/>
      <c r="I1492" s="44" t="str">
        <f>IFERROR(__xludf.DUMMYFUNCTION("""COMPUTED_VALUE"""),"Lista adicional (pizarra extensa sin titulo de sala especifico)")</f>
        <v>Lista adicional (pizarra extensa sin titulo de sala especifico)</v>
      </c>
      <c r="J1492" s="44" t="str">
        <f>IFERROR(__xludf.DUMMYFUNCTION("""COMPUTED_VALUE"""),"")</f>
        <v/>
      </c>
      <c r="K1492" s="42" t="str">
        <f>IFERROR(__xludf.DUMMYFUNCTION("""COMPUTED_VALUE"""),"Periférico de Catia")</f>
        <v>Periférico de Catia</v>
      </c>
    </row>
    <row r="1493">
      <c r="A1493" s="44">
        <v>1492.0</v>
      </c>
      <c r="B1493" s="44" t="str">
        <f>IFERROR(__xludf.DUMMYFUNCTION("""COMPUTED_VALUE"""),"Hospital Domingo Luciani")</f>
        <v>Hospital Domingo Luciani</v>
      </c>
      <c r="C1493" s="45" t="str">
        <f>IFERROR(__xludf.DUMMYFUNCTION("""COMPUTED_VALUE"""),"CASTANO DANNA")</f>
        <v>CASTANO DANNA</v>
      </c>
      <c r="D1493" s="44">
        <f>IFERROR(__xludf.DUMMYFUNCTION("""COMPUTED_VALUE"""),17.0)</f>
        <v>17</v>
      </c>
      <c r="E1493" s="44" t="str">
        <f>IFERROR(__xludf.DUMMYFUNCTION("""COMPUTED_VALUE"""),"")</f>
        <v/>
      </c>
      <c r="F1493" s="44" t="str">
        <f>IFERROR(__xludf.DUMMYFUNCTION("""COMPUTED_VALUE"""),"")</f>
        <v/>
      </c>
      <c r="G1493" s="44" t="str">
        <f>IFERROR(__xludf.DUMMYFUNCTION("""COMPUTED_VALUE""")," ")</f>
        <v> </v>
      </c>
      <c r="H1493" s="44" t="str">
        <f>IFERROR(__xludf.DUMMYFUNCTION("""COMPUTED_VALUE""")," ")</f>
        <v> </v>
      </c>
      <c r="I1493" s="44" t="str">
        <f>IFERROR(__xludf.DUMMYFUNCTION("""COMPUTED_VALUE""")," ")</f>
        <v> </v>
      </c>
      <c r="J1493" s="44" t="str">
        <f>IFERROR(__xludf.DUMMYFUNCTION("""COMPUTED_VALUE"""),"")</f>
        <v/>
      </c>
      <c r="K1493" s="42" t="str">
        <f>IFERROR(__xludf.DUMMYFUNCTION("""COMPUTED_VALUE"""),"🔍 BUSCAR PACIENTES")</f>
        <v>🔍 BUSCAR PACIENTES</v>
      </c>
    </row>
    <row r="1494">
      <c r="A1494" s="44">
        <v>1493.0</v>
      </c>
      <c r="B1494" s="44" t="str">
        <f>IFERROR(__xludf.DUMMYFUNCTION("""COMPUTED_VALUE"""),"Hospital Domingo Luciani")</f>
        <v>Hospital Domingo Luciani</v>
      </c>
      <c r="C1494" s="45" t="str">
        <f>IFERROR(__xludf.DUMMYFUNCTION("""COMPUTED_VALUE"""),"CASTAÑO DANNA")</f>
        <v>CASTAÑO DANNA</v>
      </c>
      <c r="D1494" s="44">
        <f>IFERROR(__xludf.DUMMYFUNCTION("""COMPUTED_VALUE"""),12.0)</f>
        <v>12</v>
      </c>
      <c r="E1494" s="44" t="str">
        <f>IFERROR(__xludf.DUMMYFUNCTION("""COMPUTED_VALUE"""),"")</f>
        <v/>
      </c>
      <c r="F1494" s="44" t="str">
        <f>IFERROR(__xludf.DUMMYFUNCTION("""COMPUTED_VALUE"""),"")</f>
        <v/>
      </c>
      <c r="G1494" s="44" t="str">
        <f>IFERROR(__xludf.DUMMYFUNCTION("""COMPUTED_VALUE""")," ")</f>
        <v> </v>
      </c>
      <c r="H1494" s="44" t="str">
        <f>IFERROR(__xludf.DUMMYFUNCTION("""COMPUTED_VALUE""")," ")</f>
        <v> </v>
      </c>
      <c r="I1494" s="44" t="str">
        <f>IFERROR(__xludf.DUMMYFUNCTION("""COMPUTED_VALUE""")," ")</f>
        <v> </v>
      </c>
      <c r="J1494" s="44" t="str">
        <f>IFERROR(__xludf.DUMMYFUNCTION("""COMPUTED_VALUE"""),"")</f>
        <v/>
      </c>
      <c r="K1494" s="42" t="str">
        <f>IFERROR(__xludf.DUMMYFUNCTION("""COMPUTED_VALUE"""),"🔍 BUSCAR PACIENTES")</f>
        <v>🔍 BUSCAR PACIENTES</v>
      </c>
    </row>
    <row r="1495">
      <c r="A1495" s="44">
        <v>1494.0</v>
      </c>
      <c r="B1495" s="44" t="str">
        <f>IFERROR(__xludf.DUMMYFUNCTION("""COMPUTED_VALUE"""),"Hospital Domingo Luciani")</f>
        <v>Hospital Domingo Luciani</v>
      </c>
      <c r="C1495" s="45" t="str">
        <f>IFERROR(__xludf.DUMMYFUNCTION("""COMPUTED_VALUE"""),"CASTANO DONNA")</f>
        <v>CASTANO DONNA</v>
      </c>
      <c r="D1495" s="44">
        <f>IFERROR(__xludf.DUMMYFUNCTION("""COMPUTED_VALUE"""),12.0)</f>
        <v>12</v>
      </c>
      <c r="E1495" s="44" t="str">
        <f>IFERROR(__xludf.DUMMYFUNCTION("""COMPUTED_VALUE"""),"")</f>
        <v/>
      </c>
      <c r="F1495" s="44" t="str">
        <f>IFERROR(__xludf.DUMMYFUNCTION("""COMPUTED_VALUE"""),"")</f>
        <v/>
      </c>
      <c r="G1495" s="44" t="str">
        <f>IFERROR(__xludf.DUMMYFUNCTION("""COMPUTED_VALUE""")," ")</f>
        <v> </v>
      </c>
      <c r="H1495" s="44" t="str">
        <f>IFERROR(__xludf.DUMMYFUNCTION("""COMPUTED_VALUE""")," ")</f>
        <v> </v>
      </c>
      <c r="I1495" s="44" t="str">
        <f>IFERROR(__xludf.DUMMYFUNCTION("""COMPUTED_VALUE"""),"Pediatría")</f>
        <v>Pediatría</v>
      </c>
      <c r="J1495" s="44" t="str">
        <f>IFERROR(__xludf.DUMMYFUNCTION("""COMPUTED_VALUE"""),"")</f>
        <v/>
      </c>
      <c r="K1495" s="42" t="str">
        <f>IFERROR(__xludf.DUMMYFUNCTION("""COMPUTED_VALUE"""),"🔍 BUSCAR PACIENTES")</f>
        <v>🔍 BUSCAR PACIENTES</v>
      </c>
    </row>
    <row r="1496">
      <c r="A1496" s="44">
        <v>1495.0</v>
      </c>
      <c r="B1496" s="44" t="str">
        <f>IFERROR(__xludf.DUMMYFUNCTION("""COMPUTED_VALUE"""),"Hospital Domingo Luciani")</f>
        <v>Hospital Domingo Luciani</v>
      </c>
      <c r="C1496" s="45" t="str">
        <f>IFERROR(__xludf.DUMMYFUNCTION("""COMPUTED_VALUE"""),"CASTANO UHANA")</f>
        <v>CASTANO UHANA</v>
      </c>
      <c r="D1496" s="44">
        <f>IFERROR(__xludf.DUMMYFUNCTION("""COMPUTED_VALUE"""),12.0)</f>
        <v>12</v>
      </c>
      <c r="E1496" s="44" t="str">
        <f>IFERROR(__xludf.DUMMYFUNCTION("""COMPUTED_VALUE"""),"")</f>
        <v/>
      </c>
      <c r="F1496" s="44" t="str">
        <f>IFERROR(__xludf.DUMMYFUNCTION("""COMPUTED_VALUE"""),"")</f>
        <v/>
      </c>
      <c r="G1496" s="44" t="str">
        <f>IFERROR(__xludf.DUMMYFUNCTION("""COMPUTED_VALUE""")," ")</f>
        <v> </v>
      </c>
      <c r="H1496" s="44" t="str">
        <f>IFERROR(__xludf.DUMMYFUNCTION("""COMPUTED_VALUE"""),"Los Corales")</f>
        <v>Los Corales</v>
      </c>
      <c r="I1496" s="44" t="str">
        <f>IFERROR(__xludf.DUMMYFUNCTION("""COMPUTED_VALUE"""),"Pediatría")</f>
        <v>Pediatría</v>
      </c>
      <c r="J1496" s="44" t="str">
        <f>IFERROR(__xludf.DUMMYFUNCTION("""COMPUTED_VALUE"""),"")</f>
        <v/>
      </c>
      <c r="K1496" s="42" t="str">
        <f>IFERROR(__xludf.DUMMYFUNCTION("""COMPUTED_VALUE"""),"🔍 BUSCAR PACIENTES")</f>
        <v>🔍 BUSCAR PACIENTES</v>
      </c>
    </row>
    <row r="1497">
      <c r="A1497" s="44">
        <v>1496.0</v>
      </c>
      <c r="B1497" s="44" t="str">
        <f>IFERROR(__xludf.DUMMYFUNCTION("""COMPUTED_VALUE"""),"Hospital Domingo Luciani")</f>
        <v>Hospital Domingo Luciani</v>
      </c>
      <c r="C1497" s="45" t="str">
        <f>IFERROR(__xludf.DUMMYFUNCTION("""COMPUTED_VALUE"""),"CASTELLERO MARIA")</f>
        <v>CASTELLERO MARIA</v>
      </c>
      <c r="D1497" s="44">
        <f>IFERROR(__xludf.DUMMYFUNCTION("""COMPUTED_VALUE"""),65.0)</f>
        <v>65</v>
      </c>
      <c r="E1497" s="44" t="str">
        <f>IFERROR(__xludf.DUMMYFUNCTION("""COMPUTED_VALUE"""),"")</f>
        <v/>
      </c>
      <c r="F1497" s="44" t="str">
        <f>IFERROR(__xludf.DUMMYFUNCTION("""COMPUTED_VALUE"""),"")</f>
        <v/>
      </c>
      <c r="G1497" s="44" t="str">
        <f>IFERROR(__xludf.DUMMYFUNCTION("""COMPUTED_VALUE""")," ")</f>
        <v> </v>
      </c>
      <c r="H1497" s="44" t="str">
        <f>IFERROR(__xludf.DUMMYFUNCTION("""COMPUTED_VALUE""")," ")</f>
        <v> </v>
      </c>
      <c r="I1497" s="44" t="str">
        <f>IFERROR(__xludf.DUMMYFUNCTION("""COMPUTED_VALUE"""),"Politrauma – Guarena")</f>
        <v>Politrauma – Guarena</v>
      </c>
      <c r="J1497" s="44" t="str">
        <f>IFERROR(__xludf.DUMMYFUNCTION("""COMPUTED_VALUE"""),"")</f>
        <v/>
      </c>
      <c r="K1497" s="42" t="str">
        <f>IFERROR(__xludf.DUMMYFUNCTION("""COMPUTED_VALUE"""),"🔍 BUSCAR PACIENTES")</f>
        <v>🔍 BUSCAR PACIENTES</v>
      </c>
    </row>
    <row r="1498">
      <c r="A1498" s="44">
        <v>1497.0</v>
      </c>
      <c r="B1498" s="44" t="str">
        <f>IFERROR(__xludf.DUMMYFUNCTION("""COMPUTED_VALUE"""),"Hospital Vargas de Caracas")</f>
        <v>Hospital Vargas de Caracas</v>
      </c>
      <c r="C1498" s="45" t="str">
        <f>IFERROR(__xludf.DUMMYFUNCTION("""COMPUTED_VALUE"""),"CASTILLO ALEXANDER")</f>
        <v>CASTILLO ALEXANDER</v>
      </c>
      <c r="D1498" s="44" t="str">
        <f>IFERROR(__xludf.DUMMYFUNCTION("""COMPUTED_VALUE""")," ")</f>
        <v> </v>
      </c>
      <c r="E1498" s="44" t="str">
        <f>IFERROR(__xludf.DUMMYFUNCTION("""COMPUTED_VALUE"""),"")</f>
        <v/>
      </c>
      <c r="F1498" s="44" t="str">
        <f>IFERROR(__xludf.DUMMYFUNCTION("""COMPUTED_VALUE""")," ")</f>
        <v> </v>
      </c>
      <c r="G1498" s="44" t="str">
        <f>IFERROR(__xludf.DUMMYFUNCTION("""COMPUTED_VALUE"""),"")</f>
        <v/>
      </c>
      <c r="H1498" s="44" t="str">
        <f>IFERROR(__xludf.DUMMYFUNCTION("""COMPUTED_VALUE""")," ")</f>
        <v> </v>
      </c>
      <c r="I1498" s="44" t="str">
        <f>IFERROR(__xludf.DUMMYFUNCTION("""COMPUTED_VALUE""")," ")</f>
        <v> </v>
      </c>
      <c r="J1498" s="44" t="str">
        <f>IFERROR(__xludf.DUMMYFUNCTION("""COMPUTED_VALUE"""),"")</f>
        <v/>
      </c>
      <c r="K1498" s="42" t="str">
        <f>IFERROR(__xludf.DUMMYFUNCTION("""COMPUTED_VALUE"""),"Hospital Vargas de Caracas")</f>
        <v>Hospital Vargas de Caracas</v>
      </c>
    </row>
    <row r="1499">
      <c r="A1499" s="44">
        <v>1498.0</v>
      </c>
      <c r="B1499" s="44" t="str">
        <f>IFERROR(__xludf.DUMMYFUNCTION("""COMPUTED_VALUE"""),"Centro de Acopio Caraballeda")</f>
        <v>Centro de Acopio Caraballeda</v>
      </c>
      <c r="C1499" s="45" t="str">
        <f>IFERROR(__xludf.DUMMYFUNCTION("""COMPUTED_VALUE"""),"CASTILLO BELKYS")</f>
        <v>CASTILLO BELKYS</v>
      </c>
      <c r="D1499" s="44" t="str">
        <f>IFERROR(__xludf.DUMMYFUNCTION("""COMPUTED_VALUE""")," ")</f>
        <v> </v>
      </c>
      <c r="E1499" s="44" t="str">
        <f>IFERROR(__xludf.DUMMYFUNCTION("""COMPUTED_VALUE"""),"")</f>
        <v/>
      </c>
      <c r="F1499" s="44" t="str">
        <f>IFERROR(__xludf.DUMMYFUNCTION("""COMPUTED_VALUE"""),"")</f>
        <v/>
      </c>
      <c r="G1499" s="44" t="str">
        <f>IFERROR(__xludf.DUMMYFUNCTION("""COMPUTED_VALUE""")," ")</f>
        <v> </v>
      </c>
      <c r="H1499" s="44" t="str">
        <f>IFERROR(__xludf.DUMMYFUNCTION("""COMPUTED_VALUE""")," ")</f>
        <v> </v>
      </c>
      <c r="I1499" s="44" t="str">
        <f>IFERROR(__xludf.DUMMYFUNCTION("""COMPUTED_VALUE"""),"Internado")</f>
        <v>Internado</v>
      </c>
      <c r="J1499" s="44" t="str">
        <f>IFERROR(__xludf.DUMMYFUNCTION("""COMPUTED_VALUE"""),"")</f>
        <v/>
      </c>
      <c r="K1499" s="42" t="str">
        <f>IFERROR(__xludf.DUMMYFUNCTION("""COMPUTED_VALUE"""),"🔍 BUSCAR PACIENTES")</f>
        <v>🔍 BUSCAR PACIENTES</v>
      </c>
    </row>
    <row r="1500">
      <c r="A1500" s="44">
        <v>1499.0</v>
      </c>
      <c r="B1500" s="44" t="str">
        <f>IFERROR(__xludf.DUMMYFUNCTION("""COMPUTED_VALUE"""),"Centro de Acopio Caraballeda")</f>
        <v>Centro de Acopio Caraballeda</v>
      </c>
      <c r="C1500" s="45" t="str">
        <f>IFERROR(__xludf.DUMMYFUNCTION("""COMPUTED_VALUE"""),"CASTILLO DOUGLAS")</f>
        <v>CASTILLO DOUGLAS</v>
      </c>
      <c r="D1500" s="44" t="str">
        <f>IFERROR(__xludf.DUMMYFUNCTION("""COMPUTED_VALUE""")," ")</f>
        <v> </v>
      </c>
      <c r="E1500" s="44" t="str">
        <f>IFERROR(__xludf.DUMMYFUNCTION("""COMPUTED_VALUE"""),"")</f>
        <v/>
      </c>
      <c r="F1500" s="44" t="str">
        <f>IFERROR(__xludf.DUMMYFUNCTION("""COMPUTED_VALUE"""),"")</f>
        <v/>
      </c>
      <c r="G1500" s="44" t="str">
        <f>IFERROR(__xludf.DUMMYFUNCTION("""COMPUTED_VALUE""")," ")</f>
        <v> </v>
      </c>
      <c r="H1500" s="44" t="str">
        <f>IFERROR(__xludf.DUMMYFUNCTION("""COMPUTED_VALUE""")," ")</f>
        <v> </v>
      </c>
      <c r="I1500" s="44" t="str">
        <f>IFERROR(__xludf.DUMMYFUNCTION("""COMPUTED_VALUE"""),"Internado")</f>
        <v>Internado</v>
      </c>
      <c r="J1500" s="44" t="str">
        <f>IFERROR(__xludf.DUMMYFUNCTION("""COMPUTED_VALUE"""),"")</f>
        <v/>
      </c>
      <c r="K1500" s="42" t="str">
        <f>IFERROR(__xludf.DUMMYFUNCTION("""COMPUTED_VALUE"""),"🔍 BUSCAR PACIENTES")</f>
        <v>🔍 BUSCAR PACIENTES</v>
      </c>
    </row>
    <row r="1501">
      <c r="A1501" s="44">
        <v>1500.0</v>
      </c>
      <c r="B1501" s="44" t="str">
        <f>IFERROR(__xludf.DUMMYFUNCTION("""COMPUTED_VALUE"""),"Periférico de Catia")</f>
        <v>Periférico de Catia</v>
      </c>
      <c r="C1501" s="45" t="str">
        <f>IFERROR(__xludf.DUMMYFUNCTION("""COMPUTED_VALUE"""),"CASTILLO JORGE")</f>
        <v>CASTILLO JORGE</v>
      </c>
      <c r="D1501" s="44">
        <f>IFERROR(__xludf.DUMMYFUNCTION("""COMPUTED_VALUE"""),26.0)</f>
        <v>26</v>
      </c>
      <c r="E1501" s="44" t="str">
        <f>IFERROR(__xludf.DUMMYFUNCTION("""COMPUTED_VALUE"""),"")</f>
        <v/>
      </c>
      <c r="F1501" s="44" t="str">
        <f>IFERROR(__xludf.DUMMYFUNCTION("""COMPUTED_VALUE"""),"")</f>
        <v/>
      </c>
      <c r="G1501" s="44" t="str">
        <f>IFERROR(__xludf.DUMMYFUNCTION("""COMPUTED_VALUE""")," ")</f>
        <v> </v>
      </c>
      <c r="H1501" s="44" t="str">
        <f>IFERROR(__xludf.DUMMYFUNCTION("""COMPUTED_VALUE""")," ")</f>
        <v> </v>
      </c>
      <c r="I1501" s="44" t="str">
        <f>IFERROR(__xludf.DUMMYFUNCTION("""COMPUTED_VALUE"""),"Nuevo ingreso / Hermano / Caída 2:16")</f>
        <v>Nuevo ingreso / Hermano / Caída 2:16</v>
      </c>
      <c r="J1501" s="44" t="str">
        <f>IFERROR(__xludf.DUMMYFUNCTION("""COMPUTED_VALUE"""),"")</f>
        <v/>
      </c>
      <c r="K1501" s="42" t="str">
        <f>IFERROR(__xludf.DUMMYFUNCTION("""COMPUTED_VALUE"""),"Periférico de Catia")</f>
        <v>Periférico de Catia</v>
      </c>
    </row>
    <row r="1502">
      <c r="A1502" s="44">
        <v>1501.0</v>
      </c>
      <c r="B1502" s="44" t="str">
        <f>IFERROR(__xludf.DUMMYFUNCTION("""COMPUTED_VALUE"""),"Hospital Pérez Carreño")</f>
        <v>Hospital Pérez Carreño</v>
      </c>
      <c r="C1502" s="45" t="str">
        <f>IFERROR(__xludf.DUMMYFUNCTION("""COMPUTED_VALUE"""),"Castillo Landi")</f>
        <v>Castillo Landi</v>
      </c>
      <c r="D1502" s="44"/>
      <c r="E1502" s="44" t="str">
        <f>IFERROR(__xludf.DUMMYFUNCTION("""COMPUTED_VALUE"""),"")</f>
        <v/>
      </c>
      <c r="F1502" s="44" t="str">
        <f>IFERROR(__xludf.DUMMYFUNCTION("""COMPUTED_VALUE"""),"")</f>
        <v/>
      </c>
      <c r="G1502" s="44" t="str">
        <f>IFERROR(__xludf.DUMMYFUNCTION("""COMPUTED_VALUE"""),"Traslados con destino asignado")</f>
        <v>Traslados con destino asignado</v>
      </c>
      <c r="H1502" s="44" t="str">
        <f>IFERROR(__xludf.DUMMYFUNCTION("""COMPUTED_VALUE"""),"Hospital Miguel Perez Carreño")</f>
        <v>Hospital Miguel Perez Carreño</v>
      </c>
      <c r="I1502" s="44"/>
      <c r="J1502" s="44" t="str">
        <f>IFERROR(__xludf.DUMMYFUNCTION("""COMPUTED_VALUE"""),"26/6/26")</f>
        <v>26/6/26</v>
      </c>
      <c r="K1502" s="42" t="str">
        <f>IFERROR(__xludf.DUMMYFUNCTION("""COMPUTED_VALUE"""),"Hospital Pérez Carreño")</f>
        <v>Hospital Pérez Carreño</v>
      </c>
    </row>
    <row r="1503">
      <c r="A1503" s="44">
        <v>1502.0</v>
      </c>
      <c r="B1503" s="44" t="str">
        <f>IFERROR(__xludf.DUMMYFUNCTION("""COMPUTED_VALUE"""),"Periférico de Catia")</f>
        <v>Periférico de Catia</v>
      </c>
      <c r="C1503" s="45" t="str">
        <f>IFERROR(__xludf.DUMMYFUNCTION("""COMPUTED_VALUE"""),"Castillo Luis")</f>
        <v>Castillo Luis</v>
      </c>
      <c r="D1503" s="44">
        <f>IFERROR(__xludf.DUMMYFUNCTION("""COMPUTED_VALUE"""),42.0)</f>
        <v>42</v>
      </c>
      <c r="E1503" s="44" t="str">
        <f>IFERROR(__xludf.DUMMYFUNCTION("""COMPUTED_VALUE"""),"")</f>
        <v/>
      </c>
      <c r="F1503" s="44" t="str">
        <f>IFERROR(__xludf.DUMMYFUNCTION("""COMPUTED_VALUE"""),"")</f>
        <v/>
      </c>
      <c r="G1503" s="44"/>
      <c r="H1503" s="44"/>
      <c r="I1503" s="44" t="str">
        <f>IFERROR(__xludf.DUMMYFUNCTION("""COMPUTED_VALUE"""),"Quirofano")</f>
        <v>Quirofano</v>
      </c>
      <c r="J1503" s="44" t="str">
        <f>IFERROR(__xludf.DUMMYFUNCTION("""COMPUTED_VALUE"""),"")</f>
        <v/>
      </c>
      <c r="K1503" s="42" t="str">
        <f>IFERROR(__xludf.DUMMYFUNCTION("""COMPUTED_VALUE"""),"Periférico de Catia")</f>
        <v>Periférico de Catia</v>
      </c>
    </row>
    <row r="1504">
      <c r="A1504" s="44">
        <v>1503.0</v>
      </c>
      <c r="B1504" s="44" t="str">
        <f>IFERROR(__xludf.DUMMYFUNCTION("""COMPUTED_VALUE"""),"Hospital Domingo Luciani")</f>
        <v>Hospital Domingo Luciani</v>
      </c>
      <c r="C1504" s="45" t="str">
        <f>IFERROR(__xludf.DUMMYFUNCTION("""COMPUTED_VALUE"""),"CASTILLO LUSIS")</f>
        <v>CASTILLO LUSIS</v>
      </c>
      <c r="D1504" s="44">
        <f>IFERROR(__xludf.DUMMYFUNCTION("""COMPUTED_VALUE"""),42.0)</f>
        <v>42</v>
      </c>
      <c r="E1504" s="44" t="str">
        <f>IFERROR(__xludf.DUMMYFUNCTION("""COMPUTED_VALUE"""),"")</f>
        <v/>
      </c>
      <c r="F1504" s="44" t="str">
        <f>IFERROR(__xludf.DUMMYFUNCTION("""COMPUTED_VALUE"""),"")</f>
        <v/>
      </c>
      <c r="G1504" s="44" t="str">
        <f>IFERROR(__xludf.DUMMYFUNCTION("""COMPUTED_VALUE""")," ")</f>
        <v> </v>
      </c>
      <c r="H1504" s="44" t="str">
        <f>IFERROR(__xludf.DUMMYFUNCTION("""COMPUTED_VALUE""")," ")</f>
        <v> </v>
      </c>
      <c r="I1504" s="44" t="str">
        <f>IFERROR(__xludf.DUMMYFUNCTION("""COMPUTED_VALUE"""),"Quirófano – F")</f>
        <v>Quirófano – F</v>
      </c>
      <c r="J1504" s="44" t="str">
        <f>IFERROR(__xludf.DUMMYFUNCTION("""COMPUTED_VALUE"""),"")</f>
        <v/>
      </c>
      <c r="K1504" s="42" t="str">
        <f>IFERROR(__xludf.DUMMYFUNCTION("""COMPUTED_VALUE"""),"🔍 BUSCAR PACIENTES")</f>
        <v>🔍 BUSCAR PACIENTES</v>
      </c>
    </row>
    <row r="1505">
      <c r="A1505" s="44">
        <v>1504.0</v>
      </c>
      <c r="B1505" s="44" t="str">
        <f>IFERROR(__xludf.DUMMYFUNCTION("""COMPUTED_VALUE"""),"Centro de Acopio Caraballeda")</f>
        <v>Centro de Acopio Caraballeda</v>
      </c>
      <c r="C1505" s="45" t="str">
        <f>IFERROR(__xludf.DUMMYFUNCTION("""COMPUTED_VALUE"""),"CASTILLO MANUEL")</f>
        <v>CASTILLO MANUEL</v>
      </c>
      <c r="D1505" s="44" t="str">
        <f>IFERROR(__xludf.DUMMYFUNCTION("""COMPUTED_VALUE""")," ")</f>
        <v> </v>
      </c>
      <c r="E1505" s="44" t="str">
        <f>IFERROR(__xludf.DUMMYFUNCTION("""COMPUTED_VALUE"""),"")</f>
        <v/>
      </c>
      <c r="F1505" s="44" t="str">
        <f>IFERROR(__xludf.DUMMYFUNCTION("""COMPUTED_VALUE"""),"")</f>
        <v/>
      </c>
      <c r="G1505" s="44" t="str">
        <f>IFERROR(__xludf.DUMMYFUNCTION("""COMPUTED_VALUE""")," ")</f>
        <v> </v>
      </c>
      <c r="H1505" s="44" t="str">
        <f>IFERROR(__xludf.DUMMYFUNCTION("""COMPUTED_VALUE""")," ")</f>
        <v> </v>
      </c>
      <c r="I1505" s="44" t="str">
        <f>IFERROR(__xludf.DUMMYFUNCTION("""COMPUTED_VALUE"""),"Internado")</f>
        <v>Internado</v>
      </c>
      <c r="J1505" s="44" t="str">
        <f>IFERROR(__xludf.DUMMYFUNCTION("""COMPUTED_VALUE"""),"")</f>
        <v/>
      </c>
      <c r="K1505" s="42" t="str">
        <f>IFERROR(__xludf.DUMMYFUNCTION("""COMPUTED_VALUE"""),"🔍 BUSCAR PACIENTES")</f>
        <v>🔍 BUSCAR PACIENTES</v>
      </c>
    </row>
    <row r="1506">
      <c r="A1506" s="44">
        <v>1505.0</v>
      </c>
      <c r="B1506" s="44" t="str">
        <f>IFERROR(__xludf.DUMMYFUNCTION("""COMPUTED_VALUE"""),"Centro de Acopio Caraballeda")</f>
        <v>Centro de Acopio Caraballeda</v>
      </c>
      <c r="C1506" s="45" t="str">
        <f>IFERROR(__xludf.DUMMYFUNCTION("""COMPUTED_VALUE"""),"CASTILLO (MENOR) NORELKYS")</f>
        <v>CASTILLO (MENOR) NORELKYS</v>
      </c>
      <c r="D1506" s="44" t="str">
        <f>IFERROR(__xludf.DUMMYFUNCTION("""COMPUTED_VALUE""")," ")</f>
        <v> </v>
      </c>
      <c r="E1506" s="44" t="str">
        <f>IFERROR(__xludf.DUMMYFUNCTION("""COMPUTED_VALUE"""),"")</f>
        <v/>
      </c>
      <c r="F1506" s="44" t="str">
        <f>IFERROR(__xludf.DUMMYFUNCTION("""COMPUTED_VALUE"""),"")</f>
        <v/>
      </c>
      <c r="G1506" s="44" t="str">
        <f>IFERROR(__xludf.DUMMYFUNCTION("""COMPUTED_VALUE""")," ")</f>
        <v> </v>
      </c>
      <c r="H1506" s="44" t="str">
        <f>IFERROR(__xludf.DUMMYFUNCTION("""COMPUTED_VALUE""")," ")</f>
        <v> </v>
      </c>
      <c r="I1506" s="44" t="str">
        <f>IFERROR(__xludf.DUMMYFUNCTION("""COMPUTED_VALUE"""),"Internado")</f>
        <v>Internado</v>
      </c>
      <c r="J1506" s="44" t="str">
        <f>IFERROR(__xludf.DUMMYFUNCTION("""COMPUTED_VALUE"""),"")</f>
        <v/>
      </c>
      <c r="K1506" s="42" t="str">
        <f>IFERROR(__xludf.DUMMYFUNCTION("""COMPUTED_VALUE"""),"🔍 BUSCAR PACIENTES")</f>
        <v>🔍 BUSCAR PACIENTES</v>
      </c>
    </row>
    <row r="1507">
      <c r="A1507" s="44">
        <v>1506.0</v>
      </c>
      <c r="B1507" s="44" t="str">
        <f>IFERROR(__xludf.DUMMYFUNCTION("""COMPUTED_VALUE"""),"La Guaira Sin Hospital")</f>
        <v>La Guaira Sin Hospital</v>
      </c>
      <c r="C1507" s="45" t="str">
        <f>IFERROR(__xludf.DUMMYFUNCTION("""COMPUTED_VALUE"""),"Castillo Oscaru Ayari")</f>
        <v>Castillo Oscaru Ayari</v>
      </c>
      <c r="D1507" s="44" t="str">
        <f>IFERROR(__xludf.DUMMYFUNCTION("""COMPUTED_VALUE"""),"")</f>
        <v/>
      </c>
      <c r="E1507" s="44" t="str">
        <f>IFERROR(__xludf.DUMMYFUNCTION("""COMPUTED_VALUE"""),"")</f>
        <v/>
      </c>
      <c r="F1507" s="44" t="str">
        <f>IFERROR(__xludf.DUMMYFUNCTION("""COMPUTED_VALUE"""),"")</f>
        <v/>
      </c>
      <c r="G1507" s="44" t="str">
        <f>IFERROR(__xludf.DUMMYFUNCTION("""COMPUTED_VALUE"""),"")</f>
        <v/>
      </c>
      <c r="H1507" s="44"/>
      <c r="I1507" s="44" t="str">
        <f>IFERROR(__xludf.DUMMYFUNCTION("""COMPUTED_VALUE"""),"Listas solo con nombre")</f>
        <v>Listas solo con nombre</v>
      </c>
      <c r="J1507" s="44" t="str">
        <f>IFERROR(__xludf.DUMMYFUNCTION("""COMPUTED_VALUE"""),"")</f>
        <v/>
      </c>
      <c r="K1507" s="42" t="str">
        <f>IFERROR(__xludf.DUMMYFUNCTION("""COMPUTED_VALUE"""),"La Guaira Sin Hospital")</f>
        <v>La Guaira Sin Hospital</v>
      </c>
    </row>
    <row r="1508">
      <c r="A1508" s="44">
        <v>1507.0</v>
      </c>
      <c r="B1508" s="44" t="str">
        <f>IFERROR(__xludf.DUMMYFUNCTION("""COMPUTED_VALUE"""),"Hospital Pérez Carreño")</f>
        <v>Hospital Pérez Carreño</v>
      </c>
      <c r="C1508" s="45" t="str">
        <f>IFERROR(__xludf.DUMMYFUNCTION("""COMPUTED_VALUE"""),"Castillo Oscary Agarr")</f>
        <v>Castillo Oscary Agarr</v>
      </c>
      <c r="D1508" s="44"/>
      <c r="E1508" s="44" t="str">
        <f>IFERROR(__xludf.DUMMYFUNCTION("""COMPUTED_VALUE"""),"")</f>
        <v/>
      </c>
      <c r="F1508" s="44" t="str">
        <f>IFERROR(__xludf.DUMMYFUNCTION("""COMPUTED_VALUE"""),"")</f>
        <v/>
      </c>
      <c r="G1508" s="44" t="str">
        <f>IFERROR(__xludf.DUMMYFUNCTION("""COMPUTED_VALUE"""),"Traslados")</f>
        <v>Traslados</v>
      </c>
      <c r="H1508" s="44" t="str">
        <f>IFERROR(__xludf.DUMMYFUNCTION("""COMPUTED_VALUE"""),"Hospital Miguel Perez Carreño")</f>
        <v>Hospital Miguel Perez Carreño</v>
      </c>
      <c r="I1508" s="44"/>
      <c r="J1508" s="44" t="str">
        <f>IFERROR(__xludf.DUMMYFUNCTION("""COMPUTED_VALUE"""),"26/6/26")</f>
        <v>26/6/26</v>
      </c>
      <c r="K1508" s="42" t="str">
        <f>IFERROR(__xludf.DUMMYFUNCTION("""COMPUTED_VALUE"""),"Hospital Pérez Carreño")</f>
        <v>Hospital Pérez Carreño</v>
      </c>
    </row>
    <row r="1509">
      <c r="A1509" s="44">
        <v>1508.0</v>
      </c>
      <c r="B1509" s="44" t="str">
        <f>IFERROR(__xludf.DUMMYFUNCTION("""COMPUTED_VALUE"""),"Hospital Domingo Luciani")</f>
        <v>Hospital Domingo Luciani</v>
      </c>
      <c r="C1509" s="45" t="str">
        <f>IFERROR(__xludf.DUMMYFUNCTION("""COMPUTED_VALUE"""),"CASTILLO RICARDO")</f>
        <v>CASTILLO RICARDO</v>
      </c>
      <c r="D1509" s="44">
        <f>IFERROR(__xludf.DUMMYFUNCTION("""COMPUTED_VALUE"""),42.0)</f>
        <v>42</v>
      </c>
      <c r="E1509" s="44" t="str">
        <f>IFERROR(__xludf.DUMMYFUNCTION("""COMPUTED_VALUE"""),"")</f>
        <v/>
      </c>
      <c r="F1509" s="44" t="str">
        <f>IFERROR(__xludf.DUMMYFUNCTION("""COMPUTED_VALUE"""),"")</f>
        <v/>
      </c>
      <c r="G1509" s="44" t="str">
        <f>IFERROR(__xludf.DUMMYFUNCTION("""COMPUTED_VALUE""")," ")</f>
        <v> </v>
      </c>
      <c r="H1509" s="44" t="str">
        <f>IFERROR(__xludf.DUMMYFUNCTION("""COMPUTED_VALUE""")," ")</f>
        <v> </v>
      </c>
      <c r="I1509" s="44" t="str">
        <f>IFERROR(__xludf.DUMMYFUNCTION("""COMPUTED_VALUE"""),"Quirófano")</f>
        <v>Quirófano</v>
      </c>
      <c r="J1509" s="44" t="str">
        <f>IFERROR(__xludf.DUMMYFUNCTION("""COMPUTED_VALUE"""),"")</f>
        <v/>
      </c>
      <c r="K1509" s="42" t="str">
        <f>IFERROR(__xludf.DUMMYFUNCTION("""COMPUTED_VALUE"""),"🔍 BUSCAR PACIENTES")</f>
        <v>🔍 BUSCAR PACIENTES</v>
      </c>
    </row>
    <row r="1510">
      <c r="A1510" s="44">
        <v>1509.0</v>
      </c>
      <c r="B1510" s="44" t="str">
        <f>IFERROR(__xludf.DUMMYFUNCTION("""COMPUTED_VALUE"""),"Hospital Pérez Carreño")</f>
        <v>Hospital Pérez Carreño</v>
      </c>
      <c r="C1510" s="45" t="str">
        <f>IFERROR(__xludf.DUMMYFUNCTION("""COMPUTED_VALUE"""),"Castillo Sigaone")</f>
        <v>Castillo Sigaone</v>
      </c>
      <c r="D1510" s="44"/>
      <c r="E1510" s="44" t="str">
        <f>IFERROR(__xludf.DUMMYFUNCTION("""COMPUTED_VALUE"""),"")</f>
        <v/>
      </c>
      <c r="F1510" s="44" t="str">
        <f>IFERROR(__xludf.DUMMYFUNCTION("""COMPUTED_VALUE"""),"")</f>
        <v/>
      </c>
      <c r="G1510" s="44" t="str">
        <f>IFERROR(__xludf.DUMMYFUNCTION("""COMPUTED_VALUE"""),"Traslados con destino asignado")</f>
        <v>Traslados con destino asignado</v>
      </c>
      <c r="H1510" s="44" t="str">
        <f>IFERROR(__xludf.DUMMYFUNCTION("""COMPUTED_VALUE"""),"Hospital Miguel Perez Carreño")</f>
        <v>Hospital Miguel Perez Carreño</v>
      </c>
      <c r="I1510" s="44"/>
      <c r="J1510" s="44" t="str">
        <f>IFERROR(__xludf.DUMMYFUNCTION("""COMPUTED_VALUE"""),"26/6/26")</f>
        <v>26/6/26</v>
      </c>
      <c r="K1510" s="42" t="str">
        <f>IFERROR(__xludf.DUMMYFUNCTION("""COMPUTED_VALUE"""),"Hospital Pérez Carreño")</f>
        <v>Hospital Pérez Carreño</v>
      </c>
    </row>
    <row r="1511">
      <c r="A1511" s="44">
        <v>1510.0</v>
      </c>
      <c r="B1511" s="44" t="str">
        <f>IFERROR(__xludf.DUMMYFUNCTION("""COMPUTED_VALUE"""),"Hospital Domingo Luciani")</f>
        <v>Hospital Domingo Luciani</v>
      </c>
      <c r="C1511" s="45" t="str">
        <f>IFERROR(__xludf.DUMMYFUNCTION("""COMPUTED_VALUE"""),"CASTILLO VICTORIA")</f>
        <v>CASTILLO VICTORIA</v>
      </c>
      <c r="D1511" s="44">
        <f>IFERROR(__xludf.DUMMYFUNCTION("""COMPUTED_VALUE"""),10.0)</f>
        <v>10</v>
      </c>
      <c r="E1511" s="44" t="str">
        <f>IFERROR(__xludf.DUMMYFUNCTION("""COMPUTED_VALUE"""),"")</f>
        <v/>
      </c>
      <c r="F1511" s="44" t="str">
        <f>IFERROR(__xludf.DUMMYFUNCTION("""COMPUTED_VALUE"""),"")</f>
        <v/>
      </c>
      <c r="G1511" s="44" t="str">
        <f>IFERROR(__xludf.DUMMYFUNCTION("""COMPUTED_VALUE""")," ")</f>
        <v> </v>
      </c>
      <c r="H1511" s="44" t="str">
        <f>IFERROR(__xludf.DUMMYFUNCTION("""COMPUTED_VALUE""")," ")</f>
        <v> </v>
      </c>
      <c r="I1511" s="44" t="str">
        <f>IFERROR(__xludf.DUMMYFUNCTION("""COMPUTED_VALUE"""),"Pediatría – La Guaira")</f>
        <v>Pediatría – La Guaira</v>
      </c>
      <c r="J1511" s="44" t="str">
        <f>IFERROR(__xludf.DUMMYFUNCTION("""COMPUTED_VALUE"""),"")</f>
        <v/>
      </c>
      <c r="K1511" s="42" t="str">
        <f>IFERROR(__xludf.DUMMYFUNCTION("""COMPUTED_VALUE"""),"🔍 BUSCAR PACIENTES")</f>
        <v>🔍 BUSCAR PACIENTES</v>
      </c>
    </row>
    <row r="1512">
      <c r="A1512" s="44">
        <v>1511.0</v>
      </c>
      <c r="B1512" s="44" t="str">
        <f>IFERROR(__xludf.DUMMYFUNCTION("""COMPUTED_VALUE"""),"Centro de Acopio Caraballeda")</f>
        <v>Centro de Acopio Caraballeda</v>
      </c>
      <c r="C1512" s="45" t="str">
        <f>IFERROR(__xludf.DUMMYFUNCTION("""COMPUTED_VALUE"""),"CASTILLO WILMER")</f>
        <v>CASTILLO WILMER</v>
      </c>
      <c r="D1512" s="44" t="str">
        <f>IFERROR(__xludf.DUMMYFUNCTION("""COMPUTED_VALUE""")," ")</f>
        <v> </v>
      </c>
      <c r="E1512" s="44" t="str">
        <f>IFERROR(__xludf.DUMMYFUNCTION("""COMPUTED_VALUE"""),"")</f>
        <v/>
      </c>
      <c r="F1512" s="44" t="str">
        <f>IFERROR(__xludf.DUMMYFUNCTION("""COMPUTED_VALUE"""),"")</f>
        <v/>
      </c>
      <c r="G1512" s="44" t="str">
        <f>IFERROR(__xludf.DUMMYFUNCTION("""COMPUTED_VALUE""")," ")</f>
        <v> </v>
      </c>
      <c r="H1512" s="44" t="str">
        <f>IFERROR(__xludf.DUMMYFUNCTION("""COMPUTED_VALUE""")," ")</f>
        <v> </v>
      </c>
      <c r="I1512" s="44" t="str">
        <f>IFERROR(__xludf.DUMMYFUNCTION("""COMPUTED_VALUE"""),"Internado")</f>
        <v>Internado</v>
      </c>
      <c r="J1512" s="44" t="str">
        <f>IFERROR(__xludf.DUMMYFUNCTION("""COMPUTED_VALUE"""),"")</f>
        <v/>
      </c>
      <c r="K1512" s="42" t="str">
        <f>IFERROR(__xludf.DUMMYFUNCTION("""COMPUTED_VALUE"""),"🔍 BUSCAR PACIENTES")</f>
        <v>🔍 BUSCAR PACIENTES</v>
      </c>
    </row>
    <row r="1513">
      <c r="A1513" s="44">
        <v>1512.0</v>
      </c>
      <c r="B1513" s="44" t="str">
        <f>IFERROR(__xludf.DUMMYFUNCTION("""COMPUTED_VALUE"""),"Hospital Domingo Luciani")</f>
        <v>Hospital Domingo Luciani</v>
      </c>
      <c r="C1513" s="45" t="str">
        <f>IFERROR(__xludf.DUMMYFUNCTION("""COMPUTED_VALUE"""),"CASTILLO YAISKAR")</f>
        <v>CASTILLO YAISKAR</v>
      </c>
      <c r="D1513" s="44">
        <f>IFERROR(__xludf.DUMMYFUNCTION("""COMPUTED_VALUE"""),28.0)</f>
        <v>28</v>
      </c>
      <c r="E1513" s="44" t="str">
        <f>IFERROR(__xludf.DUMMYFUNCTION("""COMPUTED_VALUE"""),"")</f>
        <v/>
      </c>
      <c r="F1513" s="44" t="str">
        <f>IFERROR(__xludf.DUMMYFUNCTION("""COMPUTED_VALUE"""),"")</f>
        <v/>
      </c>
      <c r="G1513" s="44" t="str">
        <f>IFERROR(__xludf.DUMMYFUNCTION("""COMPUTED_VALUE""")," ")</f>
        <v> </v>
      </c>
      <c r="H1513" s="44" t="str">
        <f>IFERROR(__xludf.DUMMYFUNCTION("""COMPUTED_VALUE""")," ")</f>
        <v> </v>
      </c>
      <c r="I1513" s="44" t="str">
        <f>IFERROR(__xludf.DUMMYFUNCTION("""COMPUTED_VALUE"""),"Politrauma Emerg. Vieja")</f>
        <v>Politrauma Emerg. Vieja</v>
      </c>
      <c r="J1513" s="44" t="str">
        <f>IFERROR(__xludf.DUMMYFUNCTION("""COMPUTED_VALUE"""),"")</f>
        <v/>
      </c>
      <c r="K1513" s="42" t="str">
        <f>IFERROR(__xludf.DUMMYFUNCTION("""COMPUTED_VALUE"""),"🔍 BUSCAR PACIENTES")</f>
        <v>🔍 BUSCAR PACIENTES</v>
      </c>
    </row>
    <row r="1514">
      <c r="A1514" s="44">
        <v>1513.0</v>
      </c>
      <c r="B1514" s="44" t="str">
        <f>IFERROR(__xludf.DUMMYFUNCTION("""COMPUTED_VALUE"""),"Centro de Acopio Caraballeda")</f>
        <v>Centro de Acopio Caraballeda</v>
      </c>
      <c r="C1514" s="45" t="str">
        <f>IFERROR(__xludf.DUMMYFUNCTION("""COMPUTED_VALUE"""),"CASTILLO YELEISY")</f>
        <v>CASTILLO YELEISY</v>
      </c>
      <c r="D1514" s="44" t="str">
        <f>IFERROR(__xludf.DUMMYFUNCTION("""COMPUTED_VALUE""")," ")</f>
        <v> </v>
      </c>
      <c r="E1514" s="44" t="str">
        <f>IFERROR(__xludf.DUMMYFUNCTION("""COMPUTED_VALUE"""),"")</f>
        <v/>
      </c>
      <c r="F1514" s="44" t="str">
        <f>IFERROR(__xludf.DUMMYFUNCTION("""COMPUTED_VALUE"""),"")</f>
        <v/>
      </c>
      <c r="G1514" s="44" t="str">
        <f>IFERROR(__xludf.DUMMYFUNCTION("""COMPUTED_VALUE""")," ")</f>
        <v> </v>
      </c>
      <c r="H1514" s="44" t="str">
        <f>IFERROR(__xludf.DUMMYFUNCTION("""COMPUTED_VALUE""")," ")</f>
        <v> </v>
      </c>
      <c r="I1514" s="44" t="str">
        <f>IFERROR(__xludf.DUMMYFUNCTION("""COMPUTED_VALUE"""),"Internado")</f>
        <v>Internado</v>
      </c>
      <c r="J1514" s="44" t="str">
        <f>IFERROR(__xludf.DUMMYFUNCTION("""COMPUTED_VALUE"""),"")</f>
        <v/>
      </c>
      <c r="K1514" s="42" t="str">
        <f>IFERROR(__xludf.DUMMYFUNCTION("""COMPUTED_VALUE"""),"🔍 BUSCAR PACIENTES")</f>
        <v>🔍 BUSCAR PACIENTES</v>
      </c>
    </row>
    <row r="1515">
      <c r="A1515" s="44">
        <v>1514.0</v>
      </c>
      <c r="B1515" s="44" t="str">
        <f>IFERROR(__xludf.DUMMYFUNCTION("""COMPUTED_VALUE"""),"Hospital Pérez Carreño")</f>
        <v>Hospital Pérez Carreño</v>
      </c>
      <c r="C1515" s="45" t="str">
        <f>IFERROR(__xludf.DUMMYFUNCTION("""COMPUTED_VALUE"""),"CASTRILLO ESTEFANY")</f>
        <v>CASTRILLO ESTEFANY</v>
      </c>
      <c r="D1515" s="44" t="str">
        <f>IFERROR(__xludf.DUMMYFUNCTION("""COMPUTED_VALUE""")," ")</f>
        <v> </v>
      </c>
      <c r="E1515" s="44" t="str">
        <f>IFERROR(__xludf.DUMMYFUNCTION("""COMPUTED_VALUE"""),"")</f>
        <v/>
      </c>
      <c r="F1515" s="44" t="str">
        <f>IFERROR(__xludf.DUMMYFUNCTION("""COMPUTED_VALUE"""),"")</f>
        <v/>
      </c>
      <c r="G1515" s="44" t="str">
        <f>IFERROR(__xludf.DUMMYFUNCTION("""COMPUTED_VALUE""")," ")</f>
        <v> </v>
      </c>
      <c r="H1515" s="44" t="str">
        <f>IFERROR(__xludf.DUMMYFUNCTION("""COMPUTED_VALUE""")," ")</f>
        <v> </v>
      </c>
      <c r="I1515" s="44" t="str">
        <f>IFERROR(__xludf.DUMMYFUNCTION("""COMPUTED_VALUE"""),"Internado")</f>
        <v>Internado</v>
      </c>
      <c r="J1515" s="44" t="str">
        <f>IFERROR(__xludf.DUMMYFUNCTION("""COMPUTED_VALUE"""),"25/06/2026")</f>
        <v>25/06/2026</v>
      </c>
      <c r="K1515" s="42" t="str">
        <f>IFERROR(__xludf.DUMMYFUNCTION("""COMPUTED_VALUE"""),"Hospital Pérez Carreño")</f>
        <v>Hospital Pérez Carreño</v>
      </c>
    </row>
    <row r="1516">
      <c r="A1516" s="44">
        <v>1515.0</v>
      </c>
      <c r="B1516" s="44" t="str">
        <f>IFERROR(__xludf.DUMMYFUNCTION("""COMPUTED_VALUE"""),"Hospital Vargas de Caracas")</f>
        <v>Hospital Vargas de Caracas</v>
      </c>
      <c r="C1516" s="45" t="str">
        <f>IFERROR(__xludf.DUMMYFUNCTION("""COMPUTED_VALUE"""),"CASTRO EDEBUN")</f>
        <v>CASTRO EDEBUN</v>
      </c>
      <c r="D1516" s="44" t="str">
        <f>IFERROR(__xludf.DUMMYFUNCTION("""COMPUTED_VALUE""")," ")</f>
        <v> </v>
      </c>
      <c r="E1516" s="44" t="str">
        <f>IFERROR(__xludf.DUMMYFUNCTION("""COMPUTED_VALUE"""),"")</f>
        <v/>
      </c>
      <c r="F1516" s="44" t="str">
        <f>IFERROR(__xludf.DUMMYFUNCTION("""COMPUTED_VALUE""")," ")</f>
        <v> </v>
      </c>
      <c r="G1516" s="44" t="str">
        <f>IFERROR(__xludf.DUMMYFUNCTION("""COMPUTED_VALUE"""),"")</f>
        <v/>
      </c>
      <c r="H1516" s="44" t="str">
        <f>IFERROR(__xludf.DUMMYFUNCTION("""COMPUTED_VALUE""")," ")</f>
        <v> </v>
      </c>
      <c r="I1516" s="44" t="str">
        <f>IFERROR(__xludf.DUMMYFUNCTION("""COMPUTED_VALUE""")," ")</f>
        <v> </v>
      </c>
      <c r="J1516" s="44" t="str">
        <f>IFERROR(__xludf.DUMMYFUNCTION("""COMPUTED_VALUE"""),"")</f>
        <v/>
      </c>
      <c r="K1516" s="42" t="str">
        <f>IFERROR(__xludf.DUMMYFUNCTION("""COMPUTED_VALUE"""),"Hospital Vargas de Caracas")</f>
        <v>Hospital Vargas de Caracas</v>
      </c>
    </row>
    <row r="1517">
      <c r="A1517" s="44">
        <v>1516.0</v>
      </c>
      <c r="B1517" s="44" t="str">
        <f>IFERROR(__xludf.DUMMYFUNCTION("""COMPUTED_VALUE"""),"Hospital Domingo Luciani")</f>
        <v>Hospital Domingo Luciani</v>
      </c>
      <c r="C1517" s="45" t="str">
        <f>IFERROR(__xludf.DUMMYFUNCTION("""COMPUTED_VALUE"""),"CASTRO JUAN")</f>
        <v>CASTRO JUAN</v>
      </c>
      <c r="D1517" s="44">
        <f>IFERROR(__xludf.DUMMYFUNCTION("""COMPUTED_VALUE"""),26.0)</f>
        <v>26</v>
      </c>
      <c r="E1517" s="44" t="str">
        <f>IFERROR(__xludf.DUMMYFUNCTION("""COMPUTED_VALUE"""),"")</f>
        <v/>
      </c>
      <c r="F1517" s="44" t="str">
        <f>IFERROR(__xludf.DUMMYFUNCTION("""COMPUTED_VALUE"""),"")</f>
        <v/>
      </c>
      <c r="G1517" s="44" t="str">
        <f>IFERROR(__xludf.DUMMYFUNCTION("""COMPUTED_VALUE""")," ")</f>
        <v> </v>
      </c>
      <c r="H1517" s="44" t="str">
        <f>IFERROR(__xludf.DUMMYFUNCTION("""COMPUTED_VALUE""")," ")</f>
        <v> </v>
      </c>
      <c r="I1517" s="44" t="str">
        <f>IFERROR(__xludf.DUMMYFUNCTION("""COMPUTED_VALUE""")," ")</f>
        <v> </v>
      </c>
      <c r="J1517" s="44" t="str">
        <f>IFERROR(__xludf.DUMMYFUNCTION("""COMPUTED_VALUE"""),"")</f>
        <v/>
      </c>
      <c r="K1517" s="42" t="str">
        <f>IFERROR(__xludf.DUMMYFUNCTION("""COMPUTED_VALUE"""),"🔍 BUSCAR PACIENTES")</f>
        <v>🔍 BUSCAR PACIENTES</v>
      </c>
    </row>
    <row r="1518">
      <c r="A1518" s="44">
        <v>1517.0</v>
      </c>
      <c r="B1518" s="44" t="str">
        <f>IFERROR(__xludf.DUMMYFUNCTION("""COMPUTED_VALUE"""),"H. Jose Maria Vargas LG")</f>
        <v>H. Jose Maria Vargas LG</v>
      </c>
      <c r="C1518" s="45" t="str">
        <f>IFERROR(__xludf.DUMMYFUNCTION("""COMPUTED_VALUE"""),"CAUMACORA NATHIELIS")</f>
        <v>CAUMACORA NATHIELIS</v>
      </c>
      <c r="D1518" s="44" t="str">
        <f>IFERROR(__xludf.DUMMYFUNCTION("""COMPUTED_VALUE""")," ")</f>
        <v> </v>
      </c>
      <c r="E1518" s="44" t="str">
        <f>IFERROR(__xludf.DUMMYFUNCTION("""COMPUTED_VALUE"""),"")</f>
        <v/>
      </c>
      <c r="F1518" s="44" t="str">
        <f>IFERROR(__xludf.DUMMYFUNCTION("""COMPUTED_VALUE"""),"")</f>
        <v/>
      </c>
      <c r="G1518" s="44" t="str">
        <f>IFERROR(__xludf.DUMMYFUNCTION("""COMPUTED_VALUE""")," ")</f>
        <v> </v>
      </c>
      <c r="H1518" s="44" t="str">
        <f>IFERROR(__xludf.DUMMYFUNCTION("""COMPUTED_VALUE""")," ")</f>
        <v> </v>
      </c>
      <c r="I1518" s="44" t="str">
        <f>IFERROR(__xludf.DUMMYFUNCTION("""COMPUTED_VALUE""")," ")</f>
        <v> </v>
      </c>
      <c r="J1518" s="44" t="str">
        <f>IFERROR(__xludf.DUMMYFUNCTION("""COMPUTED_VALUE"""),"")</f>
        <v/>
      </c>
      <c r="K1518" s="42" t="str">
        <f>IFERROR(__xludf.DUMMYFUNCTION("""COMPUTED_VALUE"""),"H. Jose Maria Vargas LG")</f>
        <v>H. Jose Maria Vargas LG</v>
      </c>
    </row>
    <row r="1519">
      <c r="A1519" s="44">
        <v>1518.0</v>
      </c>
      <c r="B1519" s="44" t="str">
        <f>IFERROR(__xludf.DUMMYFUNCTION("""COMPUTED_VALUE"""),"Hospital Pérez Carreño")</f>
        <v>Hospital Pérez Carreño</v>
      </c>
      <c r="C1519" s="45" t="str">
        <f>IFERROR(__xludf.DUMMYFUNCTION("""COMPUTED_VALUE"""),"CEBALLO BRIONEIDY")</f>
        <v>CEBALLO BRIONEIDY</v>
      </c>
      <c r="D1519" s="44" t="str">
        <f>IFERROR(__xludf.DUMMYFUNCTION("""COMPUTED_VALUE""")," ")</f>
        <v> </v>
      </c>
      <c r="E1519" s="44" t="str">
        <f>IFERROR(__xludf.DUMMYFUNCTION("""COMPUTED_VALUE"""),"")</f>
        <v/>
      </c>
      <c r="F1519" s="44" t="str">
        <f>IFERROR(__xludf.DUMMYFUNCTION("""COMPUTED_VALUE"""),"")</f>
        <v/>
      </c>
      <c r="G1519" s="44" t="str">
        <f>IFERROR(__xludf.DUMMYFUNCTION("""COMPUTED_VALUE""")," ")</f>
        <v> </v>
      </c>
      <c r="H1519" s="44" t="str">
        <f>IFERROR(__xludf.DUMMYFUNCTION("""COMPUTED_VALUE""")," ")</f>
        <v> </v>
      </c>
      <c r="I1519" s="44" t="str">
        <f>IFERROR(__xludf.DUMMYFUNCTION("""COMPUTED_VALUE"""),"Traumachok – Cirugía Observación; La Guaira")</f>
        <v>Traumachok – Cirugía Observación; La Guaira</v>
      </c>
      <c r="J1519" s="44" t="str">
        <f>IFERROR(__xludf.DUMMYFUNCTION("""COMPUTED_VALUE"""),"25/06/2026")</f>
        <v>25/06/2026</v>
      </c>
      <c r="K1519" s="42" t="str">
        <f>IFERROR(__xludf.DUMMYFUNCTION("""COMPUTED_VALUE"""),"Hospital Pérez Carreño")</f>
        <v>Hospital Pérez Carreño</v>
      </c>
    </row>
    <row r="1520">
      <c r="A1520" s="44">
        <v>1519.0</v>
      </c>
      <c r="B1520" s="44" t="str">
        <f>IFERROR(__xludf.DUMMYFUNCTION("""COMPUTED_VALUE"""),"Hospital Pérez Carreño")</f>
        <v>Hospital Pérez Carreño</v>
      </c>
      <c r="C1520" s="45" t="str">
        <f>IFERROR(__xludf.DUMMYFUNCTION("""COMPUTED_VALUE"""),"CEBALLOS BRISNEIBY")</f>
        <v>CEBALLOS BRISNEIBY</v>
      </c>
      <c r="D1520" s="44" t="str">
        <f>IFERROR(__xludf.DUMMYFUNCTION("""COMPUTED_VALUE""")," ")</f>
        <v> </v>
      </c>
      <c r="E1520" s="44" t="str">
        <f>IFERROR(__xludf.DUMMYFUNCTION("""COMPUTED_VALUE"""),"")</f>
        <v/>
      </c>
      <c r="F1520" s="44" t="str">
        <f>IFERROR(__xludf.DUMMYFUNCTION("""COMPUTED_VALUE"""),"")</f>
        <v/>
      </c>
      <c r="G1520" s="44" t="str">
        <f>IFERROR(__xludf.DUMMYFUNCTION("""COMPUTED_VALUE""")," ")</f>
        <v> </v>
      </c>
      <c r="H1520" s="44" t="str">
        <f>IFERROR(__xludf.DUMMYFUNCTION("""COMPUTED_VALUE""")," ")</f>
        <v> </v>
      </c>
      <c r="I1520" s="44" t="str">
        <f>IFERROR(__xludf.DUMMYFUNCTION("""COMPUTED_VALUE"""),"Traumachok – Medicina Interna; La Guaira")</f>
        <v>Traumachok – Medicina Interna; La Guaira</v>
      </c>
      <c r="J1520" s="44" t="str">
        <f>IFERROR(__xludf.DUMMYFUNCTION("""COMPUTED_VALUE"""),"25/06/2026")</f>
        <v>25/06/2026</v>
      </c>
      <c r="K1520" s="42" t="str">
        <f>IFERROR(__xludf.DUMMYFUNCTION("""COMPUTED_VALUE"""),"Hospital Pérez Carreño")</f>
        <v>Hospital Pérez Carreño</v>
      </c>
    </row>
    <row r="1521">
      <c r="A1521" s="44">
        <v>1520.0</v>
      </c>
      <c r="B1521" s="44" t="str">
        <f>IFERROR(__xludf.DUMMYFUNCTION("""COMPUTED_VALUE"""),"Hospital Pérez Carreño")</f>
        <v>Hospital Pérez Carreño</v>
      </c>
      <c r="C1521" s="45" t="str">
        <f>IFERROR(__xludf.DUMMYFUNCTION("""COMPUTED_VALUE"""),"CEBALLOS BRUISNEIDY")</f>
        <v>CEBALLOS BRUISNEIDY</v>
      </c>
      <c r="D1521" s="44" t="str">
        <f>IFERROR(__xludf.DUMMYFUNCTION("""COMPUTED_VALUE""")," ")</f>
        <v> </v>
      </c>
      <c r="E1521" s="44" t="str">
        <f>IFERROR(__xludf.DUMMYFUNCTION("""COMPUTED_VALUE"""),"")</f>
        <v/>
      </c>
      <c r="F1521" s="44" t="str">
        <f>IFERROR(__xludf.DUMMYFUNCTION("""COMPUTED_VALUE"""),"")</f>
        <v/>
      </c>
      <c r="G1521" s="44" t="str">
        <f>IFERROR(__xludf.DUMMYFUNCTION("""COMPUTED_VALUE""")," ")</f>
        <v> </v>
      </c>
      <c r="H1521" s="44" t="str">
        <f>IFERROR(__xludf.DUMMYFUNCTION("""COMPUTED_VALUE""")," ")</f>
        <v> </v>
      </c>
      <c r="I1521" s="44" t="str">
        <f>IFERROR(__xludf.DUMMYFUNCTION("""COMPUTED_VALUE"""),"Traumashock")</f>
        <v>Traumashock</v>
      </c>
      <c r="J1521" s="44" t="str">
        <f>IFERROR(__xludf.DUMMYFUNCTION("""COMPUTED_VALUE"""),"25/06/2026")</f>
        <v>25/06/2026</v>
      </c>
      <c r="K1521" s="42" t="str">
        <f>IFERROR(__xludf.DUMMYFUNCTION("""COMPUTED_VALUE"""),"Hospital Pérez Carreño")</f>
        <v>Hospital Pérez Carreño</v>
      </c>
    </row>
    <row r="1522">
      <c r="A1522" s="44">
        <v>1521.0</v>
      </c>
      <c r="B1522" s="44" t="str">
        <f>IFERROR(__xludf.DUMMYFUNCTION("""COMPUTED_VALUE"""),"La Guaira Sin Hospital")</f>
        <v>La Guaira Sin Hospital</v>
      </c>
      <c r="C1522" s="45" t="str">
        <f>IFERROR(__xludf.DUMMYFUNCTION("""COMPUTED_VALUE"""),"Ceballos Gonzalez Gioanelde")</f>
        <v>Ceballos Gonzalez Gioanelde</v>
      </c>
      <c r="D1522" s="44" t="str">
        <f>IFERROR(__xludf.DUMMYFUNCTION("""COMPUTED_VALUE"""),"")</f>
        <v/>
      </c>
      <c r="E1522" s="44" t="str">
        <f>IFERROR(__xludf.DUMMYFUNCTION("""COMPUTED_VALUE"""),"")</f>
        <v/>
      </c>
      <c r="F1522" s="44" t="str">
        <f>IFERROR(__xludf.DUMMYFUNCTION("""COMPUTED_VALUE"""),"")</f>
        <v/>
      </c>
      <c r="G1522" s="44" t="str">
        <f>IFERROR(__xludf.DUMMYFUNCTION("""COMPUTED_VALUE"""),"")</f>
        <v/>
      </c>
      <c r="H1522" s="44"/>
      <c r="I1522" s="44" t="str">
        <f>IFERROR(__xludf.DUMMYFUNCTION("""COMPUTED_VALUE"""),"Listas solo con nombre")</f>
        <v>Listas solo con nombre</v>
      </c>
      <c r="J1522" s="44" t="str">
        <f>IFERROR(__xludf.DUMMYFUNCTION("""COMPUTED_VALUE"""),"")</f>
        <v/>
      </c>
      <c r="K1522" s="42" t="str">
        <f>IFERROR(__xludf.DUMMYFUNCTION("""COMPUTED_VALUE"""),"La Guaira Sin Hospital")</f>
        <v>La Guaira Sin Hospital</v>
      </c>
    </row>
    <row r="1523">
      <c r="A1523" s="44">
        <v>1522.0</v>
      </c>
      <c r="B1523" s="44" t="str">
        <f>IFERROR(__xludf.DUMMYFUNCTION("""COMPUTED_VALUE"""),"Hospital Pérez Carreño")</f>
        <v>Hospital Pérez Carreño</v>
      </c>
      <c r="C1523" s="45" t="str">
        <f>IFERROR(__xludf.DUMMYFUNCTION("""COMPUTED_VALUE"""),"Ceballos Granado")</f>
        <v>Ceballos Granado</v>
      </c>
      <c r="D1523" s="44"/>
      <c r="E1523" s="44" t="str">
        <f>IFERROR(__xludf.DUMMYFUNCTION("""COMPUTED_VALUE"""),"")</f>
        <v/>
      </c>
      <c r="F1523" s="44" t="str">
        <f>IFERROR(__xludf.DUMMYFUNCTION("""COMPUTED_VALUE"""),"")</f>
        <v/>
      </c>
      <c r="G1523" s="44" t="str">
        <f>IFERROR(__xludf.DUMMYFUNCTION("""COMPUTED_VALUE"""),"Traslados con destino asignado")</f>
        <v>Traslados con destino asignado</v>
      </c>
      <c r="H1523" s="44" t="str">
        <f>IFERROR(__xludf.DUMMYFUNCTION("""COMPUTED_VALUE"""),"Hospital Miguel Perez Carreño")</f>
        <v>Hospital Miguel Perez Carreño</v>
      </c>
      <c r="I1523" s="44"/>
      <c r="J1523" s="44" t="str">
        <f>IFERROR(__xludf.DUMMYFUNCTION("""COMPUTED_VALUE"""),"26/6/26")</f>
        <v>26/6/26</v>
      </c>
      <c r="K1523" s="42" t="str">
        <f>IFERROR(__xludf.DUMMYFUNCTION("""COMPUTED_VALUE"""),"Hospital Pérez Carreño")</f>
        <v>Hospital Pérez Carreño</v>
      </c>
    </row>
    <row r="1524">
      <c r="A1524" s="44">
        <v>1523.0</v>
      </c>
      <c r="B1524" s="44" t="str">
        <f>IFERROR(__xludf.DUMMYFUNCTION("""COMPUTED_VALUE"""),"Hospital Pérez Carreño")</f>
        <v>Hospital Pérez Carreño</v>
      </c>
      <c r="C1524" s="45" t="str">
        <f>IFERROR(__xludf.DUMMYFUNCTION("""COMPUTED_VALUE"""),"CEBALLOS GRANELDE")</f>
        <v>CEBALLOS GRANELDE</v>
      </c>
      <c r="D1524" s="44" t="str">
        <f>IFERROR(__xludf.DUMMYFUNCTION("""COMPUTED_VALUE""")," ")</f>
        <v> </v>
      </c>
      <c r="E1524" s="44" t="str">
        <f>IFERROR(__xludf.DUMMYFUNCTION("""COMPUTED_VALUE"""),"")</f>
        <v/>
      </c>
      <c r="F1524" s="44" t="str">
        <f>IFERROR(__xludf.DUMMYFUNCTION("""COMPUTED_VALUE"""),"")</f>
        <v/>
      </c>
      <c r="G1524" s="44" t="str">
        <f>IFERROR(__xludf.DUMMYFUNCTION("""COMPUTED_VALUE""")," ")</f>
        <v> </v>
      </c>
      <c r="H1524" s="44" t="str">
        <f>IFERROR(__xludf.DUMMYFUNCTION("""COMPUTED_VALUE""")," ")</f>
        <v> </v>
      </c>
      <c r="I1524" s="44" t="str">
        <f>IFERROR(__xludf.DUMMYFUNCTION("""COMPUTED_VALUE"""),"Internado")</f>
        <v>Internado</v>
      </c>
      <c r="J1524" s="44" t="str">
        <f>IFERROR(__xludf.DUMMYFUNCTION("""COMPUTED_VALUE"""),"25/06/2026")</f>
        <v>25/06/2026</v>
      </c>
      <c r="K1524" s="42" t="str">
        <f>IFERROR(__xludf.DUMMYFUNCTION("""COMPUTED_VALUE"""),"Hospital Pérez Carreño")</f>
        <v>Hospital Pérez Carreño</v>
      </c>
    </row>
    <row r="1525">
      <c r="A1525" s="44">
        <v>1524.0</v>
      </c>
      <c r="B1525" s="44" t="str">
        <f>IFERROR(__xludf.DUMMYFUNCTION("""COMPUTED_VALUE"""),"Cruz Roja")</f>
        <v>Cruz Roja</v>
      </c>
      <c r="C1525" s="45" t="str">
        <f>IFERROR(__xludf.DUMMYFUNCTION("""COMPUTED_VALUE"""),"CEDENO CARLOS")</f>
        <v>CEDENO CARLOS</v>
      </c>
      <c r="D1525" s="44">
        <f>IFERROR(__xludf.DUMMYFUNCTION("""COMPUTED_VALUE"""),76.0)</f>
        <v>76</v>
      </c>
      <c r="E1525" s="44" t="str">
        <f>IFERROR(__xludf.DUMMYFUNCTION("""COMPUTED_VALUE"""),"")</f>
        <v/>
      </c>
      <c r="F1525" s="44" t="str">
        <f>IFERROR(__xludf.DUMMYFUNCTION("""COMPUTED_VALUE"""),"")</f>
        <v/>
      </c>
      <c r="G1525" s="44" t="str">
        <f>IFERROR(__xludf.DUMMYFUNCTION("""COMPUTED_VALUE""")," ")</f>
        <v> </v>
      </c>
      <c r="H1525" s="44" t="str">
        <f>IFERROR(__xludf.DUMMYFUNCTION("""COMPUTED_VALUE""")," ")</f>
        <v> </v>
      </c>
      <c r="I1525" s="44" t="str">
        <f>IFERROR(__xludf.DUMMYFUNCTION("""COMPUTED_VALUE""")," ")</f>
        <v> </v>
      </c>
      <c r="J1525" s="44" t="str">
        <f>IFERROR(__xludf.DUMMYFUNCTION("""COMPUTED_VALUE"""),"")</f>
        <v/>
      </c>
      <c r="K1525" s="42" t="str">
        <f>IFERROR(__xludf.DUMMYFUNCTION("""COMPUTED_VALUE"""),"Cruz Roja")</f>
        <v>Cruz Roja</v>
      </c>
    </row>
    <row r="1526">
      <c r="A1526" s="44">
        <v>1525.0</v>
      </c>
      <c r="B1526" s="44" t="str">
        <f>IFERROR(__xludf.DUMMYFUNCTION("""COMPUTED_VALUE"""),"H. Jose Maria Vargas LG")</f>
        <v>H. Jose Maria Vargas LG</v>
      </c>
      <c r="C1526" s="45" t="str">
        <f>IFERROR(__xludf.DUMMYFUNCTION("""COMPUTED_VALUE"""),"CEDENO FRINEDYS")</f>
        <v>CEDENO FRINEDYS</v>
      </c>
      <c r="D1526" s="44" t="str">
        <f>IFERROR(__xludf.DUMMYFUNCTION("""COMPUTED_VALUE""")," ")</f>
        <v> </v>
      </c>
      <c r="E1526" s="44" t="str">
        <f>IFERROR(__xludf.DUMMYFUNCTION("""COMPUTED_VALUE"""),"")</f>
        <v/>
      </c>
      <c r="F1526" s="44" t="str">
        <f>IFERROR(__xludf.DUMMYFUNCTION("""COMPUTED_VALUE"""),"")</f>
        <v/>
      </c>
      <c r="G1526" s="44" t="str">
        <f>IFERROR(__xludf.DUMMYFUNCTION("""COMPUTED_VALUE""")," ")</f>
        <v> </v>
      </c>
      <c r="H1526" s="44" t="str">
        <f>IFERROR(__xludf.DUMMYFUNCTION("""COMPUTED_VALUE""")," ")</f>
        <v> </v>
      </c>
      <c r="I1526" s="44" t="str">
        <f>IFERROR(__xludf.DUMMYFUNCTION("""COMPUTED_VALUE"""),"Internado")</f>
        <v>Internado</v>
      </c>
      <c r="J1526" s="44" t="str">
        <f>IFERROR(__xludf.DUMMYFUNCTION("""COMPUTED_VALUE"""),"")</f>
        <v/>
      </c>
      <c r="K1526" s="42" t="str">
        <f>IFERROR(__xludf.DUMMYFUNCTION("""COMPUTED_VALUE"""),"H. Jose Maria Vargas LG")</f>
        <v>H. Jose Maria Vargas LG</v>
      </c>
    </row>
    <row r="1527">
      <c r="A1527" s="44">
        <v>1526.0</v>
      </c>
      <c r="B1527" s="44" t="str">
        <f>IFERROR(__xludf.DUMMYFUNCTION("""COMPUTED_VALUE"""),"Centro de Acopio Caraballeda")</f>
        <v>Centro de Acopio Caraballeda</v>
      </c>
      <c r="C1527" s="45" t="str">
        <f>IFERROR(__xludf.DUMMYFUNCTION("""COMPUTED_VALUE"""),"CEJAS GERDIS")</f>
        <v>CEJAS GERDIS</v>
      </c>
      <c r="D1527" s="44" t="str">
        <f>IFERROR(__xludf.DUMMYFUNCTION("""COMPUTED_VALUE""")," ")</f>
        <v> </v>
      </c>
      <c r="E1527" s="44" t="str">
        <f>IFERROR(__xludf.DUMMYFUNCTION("""COMPUTED_VALUE"""),"")</f>
        <v/>
      </c>
      <c r="F1527" s="44" t="str">
        <f>IFERROR(__xludf.DUMMYFUNCTION("""COMPUTED_VALUE"""),"")</f>
        <v/>
      </c>
      <c r="G1527" s="44" t="str">
        <f>IFERROR(__xludf.DUMMYFUNCTION("""COMPUTED_VALUE""")," ")</f>
        <v> </v>
      </c>
      <c r="H1527" s="44" t="str">
        <f>IFERROR(__xludf.DUMMYFUNCTION("""COMPUTED_VALUE""")," ")</f>
        <v> </v>
      </c>
      <c r="I1527" s="44" t="str">
        <f>IFERROR(__xludf.DUMMYFUNCTION("""COMPUTED_VALUE"""),"Internado")</f>
        <v>Internado</v>
      </c>
      <c r="J1527" s="44" t="str">
        <f>IFERROR(__xludf.DUMMYFUNCTION("""COMPUTED_VALUE"""),"")</f>
        <v/>
      </c>
      <c r="K1527" s="42" t="str">
        <f>IFERROR(__xludf.DUMMYFUNCTION("""COMPUTED_VALUE"""),"🔍 BUSCAR PACIENTES")</f>
        <v>🔍 BUSCAR PACIENTES</v>
      </c>
    </row>
    <row r="1528">
      <c r="A1528" s="44">
        <v>1527.0</v>
      </c>
      <c r="B1528" s="44" t="str">
        <f>IFERROR(__xludf.DUMMYFUNCTION("""COMPUTED_VALUE"""),"Centro de Acopio Caraballeda")</f>
        <v>Centro de Acopio Caraballeda</v>
      </c>
      <c r="C1528" s="45" t="str">
        <f>IFERROR(__xludf.DUMMYFUNCTION("""COMPUTED_VALUE"""),"CEJAS MIGUEL")</f>
        <v>CEJAS MIGUEL</v>
      </c>
      <c r="D1528" s="44" t="str">
        <f>IFERROR(__xludf.DUMMYFUNCTION("""COMPUTED_VALUE""")," ")</f>
        <v> </v>
      </c>
      <c r="E1528" s="44" t="str">
        <f>IFERROR(__xludf.DUMMYFUNCTION("""COMPUTED_VALUE"""),"")</f>
        <v/>
      </c>
      <c r="F1528" s="44" t="str">
        <f>IFERROR(__xludf.DUMMYFUNCTION("""COMPUTED_VALUE"""),"")</f>
        <v/>
      </c>
      <c r="G1528" s="44" t="str">
        <f>IFERROR(__xludf.DUMMYFUNCTION("""COMPUTED_VALUE""")," ")</f>
        <v> </v>
      </c>
      <c r="H1528" s="44" t="str">
        <f>IFERROR(__xludf.DUMMYFUNCTION("""COMPUTED_VALUE""")," ")</f>
        <v> </v>
      </c>
      <c r="I1528" s="44" t="str">
        <f>IFERROR(__xludf.DUMMYFUNCTION("""COMPUTED_VALUE"""),"Internado")</f>
        <v>Internado</v>
      </c>
      <c r="J1528" s="44" t="str">
        <f>IFERROR(__xludf.DUMMYFUNCTION("""COMPUTED_VALUE"""),"")</f>
        <v/>
      </c>
      <c r="K1528" s="42" t="str">
        <f>IFERROR(__xludf.DUMMYFUNCTION("""COMPUTED_VALUE"""),"🔍 BUSCAR PACIENTES")</f>
        <v>🔍 BUSCAR PACIENTES</v>
      </c>
    </row>
    <row r="1529">
      <c r="A1529" s="44">
        <v>1528.0</v>
      </c>
      <c r="B1529" s="44" t="str">
        <f>IFERROR(__xludf.DUMMYFUNCTION("""COMPUTED_VALUE"""),"Hospital Domingo Luciani")</f>
        <v>Hospital Domingo Luciani</v>
      </c>
      <c r="C1529" s="45" t="str">
        <f>IFERROR(__xludf.DUMMYFUNCTION("""COMPUTED_VALUE"""),"CELA TANIA")</f>
        <v>CELA TANIA</v>
      </c>
      <c r="D1529" s="44">
        <f>IFERROR(__xludf.DUMMYFUNCTION("""COMPUTED_VALUE"""),34.0)</f>
        <v>34</v>
      </c>
      <c r="E1529" s="44" t="str">
        <f>IFERROR(__xludf.DUMMYFUNCTION("""COMPUTED_VALUE"""),"")</f>
        <v/>
      </c>
      <c r="F1529" s="44" t="str">
        <f>IFERROR(__xludf.DUMMYFUNCTION("""COMPUTED_VALUE"""),"")</f>
        <v/>
      </c>
      <c r="G1529" s="44" t="str">
        <f>IFERROR(__xludf.DUMMYFUNCTION("""COMPUTED_VALUE""")," ")</f>
        <v> </v>
      </c>
      <c r="H1529" s="44" t="str">
        <f>IFERROR(__xludf.DUMMYFUNCTION("""COMPUTED_VALUE""")," ")</f>
        <v> </v>
      </c>
      <c r="I1529" s="44" t="str">
        <f>IFERROR(__xludf.DUMMYFUNCTION("""COMPUTED_VALUE""")," ")</f>
        <v> </v>
      </c>
      <c r="J1529" s="44" t="str">
        <f>IFERROR(__xludf.DUMMYFUNCTION("""COMPUTED_VALUE"""),"")</f>
        <v/>
      </c>
      <c r="K1529" s="42" t="str">
        <f>IFERROR(__xludf.DUMMYFUNCTION("""COMPUTED_VALUE"""),"🔍 BUSCAR PACIENTES")</f>
        <v>🔍 BUSCAR PACIENTES</v>
      </c>
    </row>
    <row r="1530">
      <c r="A1530" s="44">
        <v>1529.0</v>
      </c>
      <c r="B1530" s="44" t="str">
        <f>IFERROR(__xludf.DUMMYFUNCTION("""COMPUTED_VALUE"""),"Hospital Pérez Carreño")</f>
        <v>Hospital Pérez Carreño</v>
      </c>
      <c r="C1530" s="45" t="str">
        <f>IFERROR(__xludf.DUMMYFUNCTION("""COMPUTED_VALUE"""),"Celeste Yiferoa")</f>
        <v>Celeste Yiferoa</v>
      </c>
      <c r="D1530" s="44"/>
      <c r="E1530" s="44" t="str">
        <f>IFERROR(__xludf.DUMMYFUNCTION("""COMPUTED_VALUE"""),"")</f>
        <v/>
      </c>
      <c r="F1530" s="44" t="str">
        <f>IFERROR(__xludf.DUMMYFUNCTION("""COMPUTED_VALUE"""),"")</f>
        <v/>
      </c>
      <c r="G1530" s="44" t="str">
        <f>IFERROR(__xludf.DUMMYFUNCTION("""COMPUTED_VALUE"""),"Traumashock ")</f>
        <v>Traumashock </v>
      </c>
      <c r="H1530" s="44" t="str">
        <f>IFERROR(__xludf.DUMMYFUNCTION("""COMPUTED_VALUE"""),"Hospital Miguel Perez Carreño")</f>
        <v>Hospital Miguel Perez Carreño</v>
      </c>
      <c r="I1530" s="44"/>
      <c r="J1530" s="44" t="str">
        <f>IFERROR(__xludf.DUMMYFUNCTION("""COMPUTED_VALUE"""),"26/6/26")</f>
        <v>26/6/26</v>
      </c>
      <c r="K1530" s="42" t="str">
        <f>IFERROR(__xludf.DUMMYFUNCTION("""COMPUTED_VALUE"""),"Hospital Pérez Carreño")</f>
        <v>Hospital Pérez Carreño</v>
      </c>
    </row>
    <row r="1531">
      <c r="A1531" s="44">
        <v>1530.0</v>
      </c>
      <c r="B1531" s="44" t="str">
        <f>IFERROR(__xludf.DUMMYFUNCTION("""COMPUTED_VALUE"""),"Hospital Domingo Luciani")</f>
        <v>Hospital Domingo Luciani</v>
      </c>
      <c r="C1531" s="45" t="str">
        <f>IFERROR(__xludf.DUMMYFUNCTION("""COMPUTED_VALUE"""),"CELIS TANIA")</f>
        <v>CELIS TANIA</v>
      </c>
      <c r="D1531" s="44">
        <f>IFERROR(__xludf.DUMMYFUNCTION("""COMPUTED_VALUE"""),62.0)</f>
        <v>62</v>
      </c>
      <c r="E1531" s="44" t="str">
        <f>IFERROR(__xludf.DUMMYFUNCTION("""COMPUTED_VALUE"""),"")</f>
        <v/>
      </c>
      <c r="F1531" s="44" t="str">
        <f>IFERROR(__xludf.DUMMYFUNCTION("""COMPUTED_VALUE"""),"")</f>
        <v/>
      </c>
      <c r="G1531" s="44" t="str">
        <f>IFERROR(__xludf.DUMMYFUNCTION("""COMPUTED_VALUE""")," ")</f>
        <v> </v>
      </c>
      <c r="H1531" s="44" t="str">
        <f>IFERROR(__xludf.DUMMYFUNCTION("""COMPUTED_VALUE""")," ")</f>
        <v> </v>
      </c>
      <c r="I1531" s="44" t="str">
        <f>IFERROR(__xludf.DUMMYFUNCTION("""COMPUTED_VALUE"""),"Politrauma Emerg. Nueva")</f>
        <v>Politrauma Emerg. Nueva</v>
      </c>
      <c r="J1531" s="44" t="str">
        <f>IFERROR(__xludf.DUMMYFUNCTION("""COMPUTED_VALUE"""),"")</f>
        <v/>
      </c>
      <c r="K1531" s="42" t="str">
        <f>IFERROR(__xludf.DUMMYFUNCTION("""COMPUTED_VALUE"""),"🔍 BUSCAR PACIENTES")</f>
        <v>🔍 BUSCAR PACIENTES</v>
      </c>
    </row>
    <row r="1532">
      <c r="A1532" s="44">
        <v>1531.0</v>
      </c>
      <c r="B1532" s="44" t="str">
        <f>IFERROR(__xludf.DUMMYFUNCTION("""COMPUTED_VALUE"""),"Seguro Social La Guaira")</f>
        <v>Seguro Social La Guaira</v>
      </c>
      <c r="C1532" s="45" t="str">
        <f>IFERROR(__xludf.DUMMYFUNCTION("""COMPUTED_VALUE"""),"CENDELIS ARENA")</f>
        <v>CENDELIS ARENA</v>
      </c>
      <c r="D1532" s="44">
        <f>IFERROR(__xludf.DUMMYFUNCTION("""COMPUTED_VALUE"""),15.0)</f>
        <v>15</v>
      </c>
      <c r="E1532" s="44" t="str">
        <f>IFERROR(__xludf.DUMMYFUNCTION("""COMPUTED_VALUE"""),"")</f>
        <v/>
      </c>
      <c r="F1532" s="44" t="str">
        <f>IFERROR(__xludf.DUMMYFUNCTION("""COMPUTED_VALUE"""),"")</f>
        <v/>
      </c>
      <c r="G1532" s="44" t="str">
        <f>IFERROR(__xludf.DUMMYFUNCTION("""COMPUTED_VALUE""")," ")</f>
        <v> </v>
      </c>
      <c r="H1532" s="44" t="str">
        <f>IFERROR(__xludf.DUMMYFUNCTION("""COMPUTED_VALUE"""),"Caribe")</f>
        <v>Caribe</v>
      </c>
      <c r="I1532" s="44" t="str">
        <f>IFERROR(__xludf.DUMMYFUNCTION("""COMPUTED_VALUE""")," ")</f>
        <v> </v>
      </c>
      <c r="J1532" s="44" t="str">
        <f>IFERROR(__xludf.DUMMYFUNCTION("""COMPUTED_VALUE"""),"")</f>
        <v/>
      </c>
      <c r="K1532" s="42" t="str">
        <f>IFERROR(__xludf.DUMMYFUNCTION("""COMPUTED_VALUE"""),"Seguro Social La Guaira")</f>
        <v>Seguro Social La Guaira</v>
      </c>
    </row>
    <row r="1533">
      <c r="A1533" s="44">
        <v>1532.0</v>
      </c>
      <c r="B1533" s="44" t="str">
        <f>IFERROR(__xludf.DUMMYFUNCTION("""COMPUTED_VALUE"""),"Seguro Social La Guaira")</f>
        <v>Seguro Social La Guaira</v>
      </c>
      <c r="C1533" s="45" t="str">
        <f>IFERROR(__xludf.DUMMYFUNCTION("""COMPUTED_VALUE"""),"CENYELIS ARENA")</f>
        <v>CENYELIS ARENA</v>
      </c>
      <c r="D1533" s="44">
        <f>IFERROR(__xludf.DUMMYFUNCTION("""COMPUTED_VALUE"""),7.0)</f>
        <v>7</v>
      </c>
      <c r="E1533" s="44" t="str">
        <f>IFERROR(__xludf.DUMMYFUNCTION("""COMPUTED_VALUE"""),"")</f>
        <v/>
      </c>
      <c r="F1533" s="44" t="str">
        <f>IFERROR(__xludf.DUMMYFUNCTION("""COMPUTED_VALUE"""),"")</f>
        <v/>
      </c>
      <c r="G1533" s="44" t="str">
        <f>IFERROR(__xludf.DUMMYFUNCTION("""COMPUTED_VALUE""")," ")</f>
        <v> </v>
      </c>
      <c r="H1533" s="44" t="str">
        <f>IFERROR(__xludf.DUMMYFUNCTION("""COMPUTED_VALUE"""),"Caribe OPP27")</f>
        <v>Caribe OPP27</v>
      </c>
      <c r="I1533" s="44" t="str">
        <f>IFERROR(__xludf.DUMMYFUNCTION("""COMPUTED_VALUE""")," ")</f>
        <v> </v>
      </c>
      <c r="J1533" s="44" t="str">
        <f>IFERROR(__xludf.DUMMYFUNCTION("""COMPUTED_VALUE"""),"")</f>
        <v/>
      </c>
      <c r="K1533" s="42" t="str">
        <f>IFERROR(__xludf.DUMMYFUNCTION("""COMPUTED_VALUE"""),"Seguro Social La Guaira")</f>
        <v>Seguro Social La Guaira</v>
      </c>
    </row>
    <row r="1534">
      <c r="A1534" s="44">
        <v>1533.0</v>
      </c>
      <c r="B1534" s="44" t="str">
        <f>IFERROR(__xludf.DUMMYFUNCTION("""COMPUTED_VALUE"""),"Centro de Acopio Caraballeda")</f>
        <v>Centro de Acopio Caraballeda</v>
      </c>
      <c r="C1534" s="45" t="str">
        <f>IFERROR(__xludf.DUMMYFUNCTION("""COMPUTED_VALUE"""),"CERRO HARRY")</f>
        <v>CERRO HARRY</v>
      </c>
      <c r="D1534" s="44" t="str">
        <f>IFERROR(__xludf.DUMMYFUNCTION("""COMPUTED_VALUE""")," ")</f>
        <v> </v>
      </c>
      <c r="E1534" s="44" t="str">
        <f>IFERROR(__xludf.DUMMYFUNCTION("""COMPUTED_VALUE"""),"")</f>
        <v/>
      </c>
      <c r="F1534" s="44" t="str">
        <f>IFERROR(__xludf.DUMMYFUNCTION("""COMPUTED_VALUE"""),"")</f>
        <v/>
      </c>
      <c r="G1534" s="44" t="str">
        <f>IFERROR(__xludf.DUMMYFUNCTION("""COMPUTED_VALUE""")," ")</f>
        <v> </v>
      </c>
      <c r="H1534" s="44" t="str">
        <f>IFERROR(__xludf.DUMMYFUNCTION("""COMPUTED_VALUE""")," ")</f>
        <v> </v>
      </c>
      <c r="I1534" s="44" t="str">
        <f>IFERROR(__xludf.DUMMYFUNCTION("""COMPUTED_VALUE"""),"Internado")</f>
        <v>Internado</v>
      </c>
      <c r="J1534" s="44" t="str">
        <f>IFERROR(__xludf.DUMMYFUNCTION("""COMPUTED_VALUE"""),"")</f>
        <v/>
      </c>
      <c r="K1534" s="42" t="str">
        <f>IFERROR(__xludf.DUMMYFUNCTION("""COMPUTED_VALUE"""),"🔍 BUSCAR PACIENTES")</f>
        <v>🔍 BUSCAR PACIENTES</v>
      </c>
    </row>
    <row r="1535">
      <c r="A1535" s="44">
        <v>1534.0</v>
      </c>
      <c r="B1535" s="44" t="str">
        <f>IFERROR(__xludf.DUMMYFUNCTION("""COMPUTED_VALUE"""),"Periférico de Catia")</f>
        <v>Periférico de Catia</v>
      </c>
      <c r="C1535" s="45" t="str">
        <f>IFERROR(__xludf.DUMMYFUNCTION("""COMPUTED_VALUE"""),"CERVELAN FERMINE")</f>
        <v>CERVELAN FERMINE</v>
      </c>
      <c r="D1535" s="44" t="str">
        <f>IFERROR(__xludf.DUMMYFUNCTION("""COMPUTED_VALUE""")," ")</f>
        <v> </v>
      </c>
      <c r="E1535" s="44" t="str">
        <f>IFERROR(__xludf.DUMMYFUNCTION("""COMPUTED_VALUE"""),"")</f>
        <v/>
      </c>
      <c r="F1535" s="44" t="str">
        <f>IFERROR(__xludf.DUMMYFUNCTION("""COMPUTED_VALUE"""),"")</f>
        <v/>
      </c>
      <c r="G1535" s="44" t="str">
        <f>IFERROR(__xludf.DUMMYFUNCTION("""COMPUTED_VALUE""")," ")</f>
        <v> </v>
      </c>
      <c r="H1535" s="44" t="str">
        <f>IFERROR(__xludf.DUMMYFUNCTION("""COMPUTED_VALUE""")," ")</f>
        <v> </v>
      </c>
      <c r="I1535" s="44" t="str">
        <f>IFERROR(__xludf.DUMMYFUNCTION("""COMPUTED_VALUE""")," ")</f>
        <v> </v>
      </c>
      <c r="J1535" s="44" t="str">
        <f>IFERROR(__xludf.DUMMYFUNCTION("""COMPUTED_VALUE"""),"")</f>
        <v/>
      </c>
      <c r="K1535" s="42" t="str">
        <f>IFERROR(__xludf.DUMMYFUNCTION("""COMPUTED_VALUE"""),"Periférico de Catia")</f>
        <v>Periférico de Catia</v>
      </c>
    </row>
    <row r="1536">
      <c r="A1536" s="44">
        <v>1535.0</v>
      </c>
      <c r="B1536" s="44" t="str">
        <f>IFERROR(__xludf.DUMMYFUNCTION("""COMPUTED_VALUE"""),"Hospital Pérez Carreño")</f>
        <v>Hospital Pérez Carreño</v>
      </c>
      <c r="C1536" s="45" t="str">
        <f>IFERROR(__xludf.DUMMYFUNCTION("""COMPUTED_VALUE"""),"Cesar Charmelo")</f>
        <v>Cesar Charmelo</v>
      </c>
      <c r="D1536" s="44" t="str">
        <f>IFERROR(__xludf.DUMMYFUNCTION("""COMPUTED_VALUE"""),"Caraballeda")</f>
        <v>Caraballeda</v>
      </c>
      <c r="E1536" s="44" t="str">
        <f>IFERROR(__xludf.DUMMYFUNCTION("""COMPUTED_VALUE"""),"")</f>
        <v/>
      </c>
      <c r="F1536" s="44" t="str">
        <f>IFERROR(__xludf.DUMMYFUNCTION("""COMPUTED_VALUE"""),"")</f>
        <v/>
      </c>
      <c r="G1536" s="44"/>
      <c r="H1536" s="44"/>
      <c r="I1536" s="44"/>
      <c r="J1536" s="44"/>
      <c r="K1536" s="42" t="str">
        <f>IFERROR(__xludf.DUMMYFUNCTION("""COMPUTED_VALUE"""),"Hospital Pérez Carreño")</f>
        <v>Hospital Pérez Carreño</v>
      </c>
    </row>
    <row r="1537">
      <c r="A1537" s="44">
        <v>1536.0</v>
      </c>
      <c r="B1537" s="44" t="str">
        <f>IFERROR(__xludf.DUMMYFUNCTION("""COMPUTED_VALUE"""),"Hospital Pérez Carreño")</f>
        <v>Hospital Pérez Carreño</v>
      </c>
      <c r="C1537" s="45" t="str">
        <f>IFERROR(__xludf.DUMMYFUNCTION("""COMPUTED_VALUE"""),"Cesar Chemelo")</f>
        <v>Cesar Chemelo</v>
      </c>
      <c r="D1537" s="44" t="str">
        <f>IFERROR(__xludf.DUMMYFUNCTION("""COMPUTED_VALUE"""),"5 años")</f>
        <v>5 años</v>
      </c>
      <c r="E1537" s="44" t="str">
        <f>IFERROR(__xludf.DUMMYFUNCTION("""COMPUTED_VALUE"""),"")</f>
        <v/>
      </c>
      <c r="F1537" s="44" t="str">
        <f>IFERROR(__xludf.DUMMYFUNCTION("""COMPUTED_VALUE"""),"")</f>
        <v/>
      </c>
      <c r="G1537" s="44" t="str">
        <f>IFERROR(__xludf.DUMMYFUNCTION("""COMPUTED_VALUE"""),"Pediatria")</f>
        <v>Pediatria</v>
      </c>
      <c r="H1537" s="44" t="str">
        <f>IFERROR(__xludf.DUMMYFUNCTION("""COMPUTED_VALUE"""),"Hospital Miguel Perez Carreño")</f>
        <v>Hospital Miguel Perez Carreño</v>
      </c>
      <c r="I1537" s="44"/>
      <c r="J1537" s="44" t="str">
        <f>IFERROR(__xludf.DUMMYFUNCTION("""COMPUTED_VALUE"""),"26/6/26")</f>
        <v>26/6/26</v>
      </c>
      <c r="K1537" s="42" t="str">
        <f>IFERROR(__xludf.DUMMYFUNCTION("""COMPUTED_VALUE"""),"Hospital Pérez Carreño")</f>
        <v>Hospital Pérez Carreño</v>
      </c>
    </row>
    <row r="1538">
      <c r="A1538" s="44">
        <v>1537.0</v>
      </c>
      <c r="B1538" s="44" t="str">
        <f>IFERROR(__xludf.DUMMYFUNCTION("""COMPUTED_VALUE"""),"Hospital Pérez Carreño")</f>
        <v>Hospital Pérez Carreño</v>
      </c>
      <c r="C1538" s="45" t="str">
        <f>IFERROR(__xludf.DUMMYFUNCTION("""COMPUTED_VALUE"""),"CESAR CHERMETO")</f>
        <v>CESAR CHERMETO</v>
      </c>
      <c r="D1538" s="44">
        <f>IFERROR(__xludf.DUMMYFUNCTION("""COMPUTED_VALUE"""),5.0)</f>
        <v>5</v>
      </c>
      <c r="E1538" s="44" t="str">
        <f>IFERROR(__xludf.DUMMYFUNCTION("""COMPUTED_VALUE"""),"")</f>
        <v/>
      </c>
      <c r="F1538" s="44" t="str">
        <f>IFERROR(__xludf.DUMMYFUNCTION("""COMPUTED_VALUE"""),"")</f>
        <v/>
      </c>
      <c r="G1538" s="44" t="str">
        <f>IFERROR(__xludf.DUMMYFUNCTION("""COMPUTED_VALUE""")," ")</f>
        <v> </v>
      </c>
      <c r="H1538" s="44" t="str">
        <f>IFERROR(__xludf.DUMMYFUNCTION("""COMPUTED_VALUE""")," ")</f>
        <v> </v>
      </c>
      <c r="I1538" s="44" t="str">
        <f>IFERROR(__xludf.DUMMYFUNCTION("""COMPUTED_VALUE""")," ")</f>
        <v> </v>
      </c>
      <c r="J1538" s="44" t="str">
        <f>IFERROR(__xludf.DUMMYFUNCTION("""COMPUTED_VALUE"""),"25/06/2026")</f>
        <v>25/06/2026</v>
      </c>
      <c r="K1538" s="42" t="str">
        <f>IFERROR(__xludf.DUMMYFUNCTION("""COMPUTED_VALUE"""),"Hospital Pérez Carreño")</f>
        <v>Hospital Pérez Carreño</v>
      </c>
    </row>
    <row r="1539">
      <c r="A1539" s="44">
        <v>1538.0</v>
      </c>
      <c r="B1539" s="44" t="str">
        <f>IFERROR(__xludf.DUMMYFUNCTION("""COMPUTED_VALUE"""),"Centro de Acopio Caraballeda")</f>
        <v>Centro de Acopio Caraballeda</v>
      </c>
      <c r="C1539" s="45" t="str">
        <f>IFERROR(__xludf.DUMMYFUNCTION("""COMPUTED_VALUE"""),"CESAR JULIO")</f>
        <v>CESAR JULIO</v>
      </c>
      <c r="D1539" s="44" t="str">
        <f>IFERROR(__xludf.DUMMYFUNCTION("""COMPUTED_VALUE""")," ")</f>
        <v> </v>
      </c>
      <c r="E1539" s="44" t="str">
        <f>IFERROR(__xludf.DUMMYFUNCTION("""COMPUTED_VALUE"""),"")</f>
        <v/>
      </c>
      <c r="F1539" s="44" t="str">
        <f>IFERROR(__xludf.DUMMYFUNCTION("""COMPUTED_VALUE"""),"")</f>
        <v/>
      </c>
      <c r="G1539" s="44" t="str">
        <f>IFERROR(__xludf.DUMMYFUNCTION("""COMPUTED_VALUE""")," ")</f>
        <v> </v>
      </c>
      <c r="H1539" s="44" t="str">
        <f>IFERROR(__xludf.DUMMYFUNCTION("""COMPUTED_VALUE""")," ")</f>
        <v> </v>
      </c>
      <c r="I1539" s="44" t="str">
        <f>IFERROR(__xludf.DUMMYFUNCTION("""COMPUTED_VALUE"""),"Internado")</f>
        <v>Internado</v>
      </c>
      <c r="J1539" s="44" t="str">
        <f>IFERROR(__xludf.DUMMYFUNCTION("""COMPUTED_VALUE"""),"")</f>
        <v/>
      </c>
      <c r="K1539" s="42" t="str">
        <f>IFERROR(__xludf.DUMMYFUNCTION("""COMPUTED_VALUE"""),"🔍 BUSCAR PACIENTES")</f>
        <v>🔍 BUSCAR PACIENTES</v>
      </c>
    </row>
    <row r="1540">
      <c r="A1540" s="44">
        <v>1539.0</v>
      </c>
      <c r="B1540" s="44" t="str">
        <f>IFERROR(__xludf.DUMMYFUNCTION("""COMPUTED_VALUE"""),"HOSPITAL VARGAS")</f>
        <v>HOSPITAL VARGAS</v>
      </c>
      <c r="C1540" s="45" t="str">
        <f>IFERROR(__xludf.DUMMYFUNCTION("""COMPUTED_VALUE"""),"Cesar Márquez")</f>
        <v>Cesar Márquez</v>
      </c>
      <c r="D1540" s="44"/>
      <c r="E1540" s="44" t="str">
        <f>IFERROR(__xludf.DUMMYFUNCTION("""COMPUTED_VALUE"""),"")</f>
        <v/>
      </c>
      <c r="F1540" s="44" t="str">
        <f>IFERROR(__xludf.DUMMYFUNCTION("""COMPUTED_VALUE"""),"")</f>
        <v/>
      </c>
      <c r="G1540" s="44" t="str">
        <f>IFERROR(__xludf.DUMMYFUNCTION("""COMPUTED_VALUE"""),"")</f>
        <v/>
      </c>
      <c r="H1540" s="44" t="str">
        <f>IFERROR(__xludf.DUMMYFUNCTION("""COMPUTED_VALUE"""),"")</f>
        <v/>
      </c>
      <c r="I1540" s="44" t="str">
        <f>IFERROR(__xludf.DUMMYFUNCTION("""COMPUTED_VALUE"""),"Herido / atendido")</f>
        <v>Herido / atendido</v>
      </c>
      <c r="J1540" s="44" t="str">
        <f>IFERROR(__xludf.DUMMYFUNCTION("""COMPUTED_VALUE"""),"24.06.2026 ")</f>
        <v>24.06.2026 </v>
      </c>
      <c r="K1540" s="42" t="str">
        <f>IFERROR(__xludf.DUMMYFUNCTION("""COMPUTED_VALUE"""),"HOSPITAL VARGAS")</f>
        <v>HOSPITAL VARGAS</v>
      </c>
    </row>
    <row r="1541">
      <c r="A1541" s="44">
        <v>1540.0</v>
      </c>
      <c r="B1541" s="44" t="str">
        <f>IFERROR(__xludf.DUMMYFUNCTION("""COMPUTED_VALUE"""),"HOSPITAL VARGAS")</f>
        <v>HOSPITAL VARGAS</v>
      </c>
      <c r="C1541" s="45" t="str">
        <f>IFERROR(__xludf.DUMMYFUNCTION("""COMPUTED_VALUE"""),"Cesar Urbina")</f>
        <v>Cesar Urbina</v>
      </c>
      <c r="D1541" s="44"/>
      <c r="E1541" s="44" t="str">
        <f>IFERROR(__xludf.DUMMYFUNCTION("""COMPUTED_VALUE"""),"")</f>
        <v/>
      </c>
      <c r="F1541" s="44" t="str">
        <f>IFERROR(__xludf.DUMMYFUNCTION("""COMPUTED_VALUE"""),"")</f>
        <v/>
      </c>
      <c r="G1541" s="44" t="str">
        <f>IFERROR(__xludf.DUMMYFUNCTION("""COMPUTED_VALUE"""),"")</f>
        <v/>
      </c>
      <c r="H1541" s="44" t="str">
        <f>IFERROR(__xludf.DUMMYFUNCTION("""COMPUTED_VALUE"""),"")</f>
        <v/>
      </c>
      <c r="I1541" s="44" t="str">
        <f>IFERROR(__xludf.DUMMYFUNCTION("""COMPUTED_VALUE"""),"Herido / atendido")</f>
        <v>Herido / atendido</v>
      </c>
      <c r="J1541" s="44" t="str">
        <f>IFERROR(__xludf.DUMMYFUNCTION("""COMPUTED_VALUE"""),"24.06.2026 ")</f>
        <v>24.06.2026 </v>
      </c>
      <c r="K1541" s="42" t="str">
        <f>IFERROR(__xludf.DUMMYFUNCTION("""COMPUTED_VALUE"""),"HOSPITAL VARGAS")</f>
        <v>HOSPITAL VARGAS</v>
      </c>
    </row>
    <row r="1542">
      <c r="A1542" s="44">
        <v>1541.0</v>
      </c>
      <c r="B1542" s="44" t="str">
        <f>IFERROR(__xludf.DUMMYFUNCTION("""COMPUTED_VALUE"""),"Hospital Vargas de Caracas")</f>
        <v>Hospital Vargas de Caracas</v>
      </c>
      <c r="C1542" s="45" t="str">
        <f>IFERROR(__xludf.DUMMYFUNCTION("""COMPUTED_VALUE"""),"CEZZEN JOLELANY")</f>
        <v>CEZZEN JOLELANY</v>
      </c>
      <c r="D1542" s="44" t="str">
        <f>IFERROR(__xludf.DUMMYFUNCTION("""COMPUTED_VALUE""")," ")</f>
        <v> </v>
      </c>
      <c r="E1542" s="44" t="str">
        <f>IFERROR(__xludf.DUMMYFUNCTION("""COMPUTED_VALUE"""),"")</f>
        <v/>
      </c>
      <c r="F1542" s="44" t="str">
        <f>IFERROR(__xludf.DUMMYFUNCTION("""COMPUTED_VALUE""")," ")</f>
        <v> </v>
      </c>
      <c r="G1542" s="44" t="str">
        <f>IFERROR(__xludf.DUMMYFUNCTION("""COMPUTED_VALUE"""),"")</f>
        <v/>
      </c>
      <c r="H1542" s="44" t="str">
        <f>IFERROR(__xludf.DUMMYFUNCTION("""COMPUTED_VALUE"""),"Guaira")</f>
        <v>Guaira</v>
      </c>
      <c r="I1542" s="44" t="str">
        <f>IFERROR(__xludf.DUMMYFUNCTION("""COMPUTED_VALUE""")," ")</f>
        <v> </v>
      </c>
      <c r="J1542" s="44" t="str">
        <f>IFERROR(__xludf.DUMMYFUNCTION("""COMPUTED_VALUE"""),"")</f>
        <v/>
      </c>
      <c r="K1542" s="42" t="str">
        <f>IFERROR(__xludf.DUMMYFUNCTION("""COMPUTED_VALUE"""),"Hospital Vargas de Caracas")</f>
        <v>Hospital Vargas de Caracas</v>
      </c>
    </row>
    <row r="1543">
      <c r="A1543" s="44">
        <v>1542.0</v>
      </c>
      <c r="B1543" s="44" t="str">
        <f>IFERROR(__xludf.DUMMYFUNCTION("""COMPUTED_VALUE"""),"Periférico de Catia")</f>
        <v>Periférico de Catia</v>
      </c>
      <c r="C1543" s="45" t="str">
        <f>IFERROR(__xludf.DUMMYFUNCTION("""COMPUTED_VALUE"""),"CHACIN ALDAIR / CHACIN ALDAO")</f>
        <v>CHACIN ALDAIR / CHACIN ALDAO</v>
      </c>
      <c r="D1543" s="44">
        <f>IFERROR(__xludf.DUMMYFUNCTION("""COMPUTED_VALUE"""),37.0)</f>
        <v>37</v>
      </c>
      <c r="E1543" s="44" t="str">
        <f>IFERROR(__xludf.DUMMYFUNCTION("""COMPUTED_VALUE"""),"")</f>
        <v/>
      </c>
      <c r="F1543" s="44" t="str">
        <f>IFERROR(__xludf.DUMMYFUNCTION("""COMPUTED_VALUE"""),"")</f>
        <v/>
      </c>
      <c r="G1543" s="44" t="str">
        <f>IFERROR(__xludf.DUMMYFUNCTION("""COMPUTED_VALUE""")," ")</f>
        <v> </v>
      </c>
      <c r="H1543" s="44" t="str">
        <f>IFERROR(__xludf.DUMMYFUNCTION("""COMPUTED_VALUE""")," ")</f>
        <v> </v>
      </c>
      <c r="I1543" s="44" t="str">
        <f>IFERROR(__xludf.DUMMYFUNCTION("""COMPUTED_VALUE"""),"Sobrine")</f>
        <v>Sobrine</v>
      </c>
      <c r="J1543" s="44" t="str">
        <f>IFERROR(__xludf.DUMMYFUNCTION("""COMPUTED_VALUE"""),"")</f>
        <v/>
      </c>
      <c r="K1543" s="42" t="str">
        <f>IFERROR(__xludf.DUMMYFUNCTION("""COMPUTED_VALUE"""),"Periférico de Catia")</f>
        <v>Periférico de Catia</v>
      </c>
    </row>
    <row r="1544">
      <c r="A1544" s="44">
        <v>1543.0</v>
      </c>
      <c r="B1544" s="44" t="str">
        <f>IFERROR(__xludf.DUMMYFUNCTION("""COMPUTED_VALUE"""),"Periférico de Catia")</f>
        <v>Periférico de Catia</v>
      </c>
      <c r="C1544" s="45" t="str">
        <f>IFERROR(__xludf.DUMMYFUNCTION("""COMPUTED_VALUE"""),"CHACIR TORTOZ")</f>
        <v>CHACIR TORTOZ</v>
      </c>
      <c r="D1544" s="44">
        <f>IFERROR(__xludf.DUMMYFUNCTION("""COMPUTED_VALUE"""),37.0)</f>
        <v>37</v>
      </c>
      <c r="E1544" s="44" t="str">
        <f>IFERROR(__xludf.DUMMYFUNCTION("""COMPUTED_VALUE"""),"")</f>
        <v/>
      </c>
      <c r="F1544" s="44" t="str">
        <f>IFERROR(__xludf.DUMMYFUNCTION("""COMPUTED_VALUE"""),"")</f>
        <v/>
      </c>
      <c r="G1544" s="44" t="str">
        <f>IFERROR(__xludf.DUMMYFUNCTION("""COMPUTED_VALUE""")," ")</f>
        <v> </v>
      </c>
      <c r="H1544" s="44" t="str">
        <f>IFERROR(__xludf.DUMMYFUNCTION("""COMPUTED_VALUE""")," ")</f>
        <v> </v>
      </c>
      <c r="I1544" s="44" t="str">
        <f>IFERROR(__xludf.DUMMYFUNCTION("""COMPUTED_VALUE"""),"Amigo")</f>
        <v>Amigo</v>
      </c>
      <c r="J1544" s="44" t="str">
        <f>IFERROR(__xludf.DUMMYFUNCTION("""COMPUTED_VALUE"""),"")</f>
        <v/>
      </c>
      <c r="K1544" s="42" t="str">
        <f>IFERROR(__xludf.DUMMYFUNCTION("""COMPUTED_VALUE"""),"Periférico de Catia")</f>
        <v>Periférico de Catia</v>
      </c>
    </row>
    <row r="1545">
      <c r="A1545" s="44">
        <v>1544.0</v>
      </c>
      <c r="B1545" s="44" t="str">
        <f>IFERROR(__xludf.DUMMYFUNCTION("""COMPUTED_VALUE"""),"Periférico de Catia")</f>
        <v>Periférico de Catia</v>
      </c>
      <c r="C1545" s="45" t="str">
        <f>IFERROR(__xludf.DUMMYFUNCTION("""COMPUTED_VALUE"""),"Chacon Carlos")</f>
        <v>Chacon Carlos</v>
      </c>
      <c r="D1545" s="44">
        <f>IFERROR(__xludf.DUMMYFUNCTION("""COMPUTED_VALUE"""),13.0)</f>
        <v>13</v>
      </c>
      <c r="E1545" s="44" t="str">
        <f>IFERROR(__xludf.DUMMYFUNCTION("""COMPUTED_VALUE"""),"")</f>
        <v/>
      </c>
      <c r="F1545" s="44" t="str">
        <f>IFERROR(__xludf.DUMMYFUNCTION("""COMPUTED_VALUE"""),"")</f>
        <v/>
      </c>
      <c r="G1545" s="44"/>
      <c r="H1545" s="44"/>
      <c r="I1545" s="44" t="str">
        <f>IFERROR(__xludf.DUMMYFUNCTION("""COMPUTED_VALUE"""),"Lista adicional (pizarra extensa sin titulo de sala especifico)")</f>
        <v>Lista adicional (pizarra extensa sin titulo de sala especifico)</v>
      </c>
      <c r="J1545" s="44" t="str">
        <f>IFERROR(__xludf.DUMMYFUNCTION("""COMPUTED_VALUE"""),"")</f>
        <v/>
      </c>
      <c r="K1545" s="42" t="str">
        <f>IFERROR(__xludf.DUMMYFUNCTION("""COMPUTED_VALUE"""),"Periférico de Catia")</f>
        <v>Periférico de Catia</v>
      </c>
    </row>
    <row r="1546">
      <c r="A1546" s="44">
        <v>1545.0</v>
      </c>
      <c r="B1546" s="44" t="str">
        <f>IFERROR(__xludf.DUMMYFUNCTION("""COMPUTED_VALUE"""),"Hospital Domingo Luciani")</f>
        <v>Hospital Domingo Luciani</v>
      </c>
      <c r="C1546" s="45" t="str">
        <f>IFERROR(__xludf.DUMMYFUNCTION("""COMPUTED_VALUE"""),"CHACÓN CARLOS")</f>
        <v>CHACÓN CARLOS</v>
      </c>
      <c r="D1546" s="44">
        <f>IFERROR(__xludf.DUMMYFUNCTION("""COMPUTED_VALUE"""),43.0)</f>
        <v>43</v>
      </c>
      <c r="E1546" s="44" t="str">
        <f>IFERROR(__xludf.DUMMYFUNCTION("""COMPUTED_VALUE"""),"")</f>
        <v/>
      </c>
      <c r="F1546" s="44" t="str">
        <f>IFERROR(__xludf.DUMMYFUNCTION("""COMPUTED_VALUE"""),"")</f>
        <v/>
      </c>
      <c r="G1546" s="44" t="str">
        <f>IFERROR(__xludf.DUMMYFUNCTION("""COMPUTED_VALUE""")," ")</f>
        <v> </v>
      </c>
      <c r="H1546" s="44" t="str">
        <f>IFERROR(__xludf.DUMMYFUNCTION("""COMPUTED_VALUE""")," ")</f>
        <v> </v>
      </c>
      <c r="I1546" s="44" t="str">
        <f>IFERROR(__xludf.DUMMYFUNCTION("""COMPUTED_VALUE""")," ")</f>
        <v> </v>
      </c>
      <c r="J1546" s="44" t="str">
        <f>IFERROR(__xludf.DUMMYFUNCTION("""COMPUTED_VALUE"""),"")</f>
        <v/>
      </c>
      <c r="K1546" s="42" t="str">
        <f>IFERROR(__xludf.DUMMYFUNCTION("""COMPUTED_VALUE"""),"🔍 BUSCAR PACIENTES")</f>
        <v>🔍 BUSCAR PACIENTES</v>
      </c>
    </row>
    <row r="1547">
      <c r="A1547" s="44">
        <v>1546.0</v>
      </c>
      <c r="B1547" s="44" t="str">
        <f>IFERROR(__xludf.DUMMYFUNCTION("""COMPUTED_VALUE"""),"Hospital Vargas de Caracas")</f>
        <v>Hospital Vargas de Caracas</v>
      </c>
      <c r="C1547" s="45" t="str">
        <f>IFERROR(__xludf.DUMMYFUNCTION("""COMPUTED_VALUE"""),"CHACON FREDDY")</f>
        <v>CHACON FREDDY</v>
      </c>
      <c r="D1547" s="44" t="str">
        <f>IFERROR(__xludf.DUMMYFUNCTION("""COMPUTED_VALUE""")," ")</f>
        <v> </v>
      </c>
      <c r="E1547" s="44" t="str">
        <f>IFERROR(__xludf.DUMMYFUNCTION("""COMPUTED_VALUE"""),"")</f>
        <v/>
      </c>
      <c r="F1547" s="44" t="str">
        <f>IFERROR(__xludf.DUMMYFUNCTION("""COMPUTED_VALUE""")," ")</f>
        <v> </v>
      </c>
      <c r="G1547" s="44" t="str">
        <f>IFERROR(__xludf.DUMMYFUNCTION("""COMPUTED_VALUE"""),"")</f>
        <v/>
      </c>
      <c r="H1547" s="44" t="str">
        <f>IFERROR(__xludf.DUMMYFUNCTION("""COMPUTED_VALUE""")," ")</f>
        <v> </v>
      </c>
      <c r="I1547" s="44" t="str">
        <f>IFERROR(__xludf.DUMMYFUNCTION("""COMPUTED_VALUE""")," ")</f>
        <v> </v>
      </c>
      <c r="J1547" s="44" t="str">
        <f>IFERROR(__xludf.DUMMYFUNCTION("""COMPUTED_VALUE"""),"")</f>
        <v/>
      </c>
      <c r="K1547" s="42" t="str">
        <f>IFERROR(__xludf.DUMMYFUNCTION("""COMPUTED_VALUE"""),"Hospital Vargas de Caracas")</f>
        <v>Hospital Vargas de Caracas</v>
      </c>
    </row>
    <row r="1548">
      <c r="A1548" s="44">
        <v>1547.0</v>
      </c>
      <c r="B1548" s="44" t="str">
        <f>IFERROR(__xludf.DUMMYFUNCTION("""COMPUTED_VALUE"""),"Centro de Acopio Caraballeda")</f>
        <v>Centro de Acopio Caraballeda</v>
      </c>
      <c r="C1548" s="45" t="str">
        <f>IFERROR(__xludf.DUMMYFUNCTION("""COMPUTED_VALUE"""),"CHACON JULIO")</f>
        <v>CHACON JULIO</v>
      </c>
      <c r="D1548" s="44" t="str">
        <f>IFERROR(__xludf.DUMMYFUNCTION("""COMPUTED_VALUE""")," ")</f>
        <v> </v>
      </c>
      <c r="E1548" s="44" t="str">
        <f>IFERROR(__xludf.DUMMYFUNCTION("""COMPUTED_VALUE"""),"")</f>
        <v/>
      </c>
      <c r="F1548" s="44" t="str">
        <f>IFERROR(__xludf.DUMMYFUNCTION("""COMPUTED_VALUE"""),"")</f>
        <v/>
      </c>
      <c r="G1548" s="44" t="str">
        <f>IFERROR(__xludf.DUMMYFUNCTION("""COMPUTED_VALUE""")," ")</f>
        <v> </v>
      </c>
      <c r="H1548" s="44" t="str">
        <f>IFERROR(__xludf.DUMMYFUNCTION("""COMPUTED_VALUE""")," ")</f>
        <v> </v>
      </c>
      <c r="I1548" s="44" t="str">
        <f>IFERROR(__xludf.DUMMYFUNCTION("""COMPUTED_VALUE"""),"Internado")</f>
        <v>Internado</v>
      </c>
      <c r="J1548" s="44" t="str">
        <f>IFERROR(__xludf.DUMMYFUNCTION("""COMPUTED_VALUE"""),"")</f>
        <v/>
      </c>
      <c r="K1548" s="42" t="str">
        <f>IFERROR(__xludf.DUMMYFUNCTION("""COMPUTED_VALUE"""),"🔍 BUSCAR PACIENTES")</f>
        <v>🔍 BUSCAR PACIENTES</v>
      </c>
    </row>
    <row r="1549">
      <c r="A1549" s="44">
        <v>1548.0</v>
      </c>
      <c r="B1549" s="44" t="str">
        <f>IFERROR(__xludf.DUMMYFUNCTION("""COMPUTED_VALUE"""),"Hospital Domingo Luciani")</f>
        <v>Hospital Domingo Luciani</v>
      </c>
      <c r="C1549" s="45" t="str">
        <f>IFERROR(__xludf.DUMMYFUNCTION("""COMPUTED_VALUE"""),"CHALON CARLOS")</f>
        <v>CHALON CARLOS</v>
      </c>
      <c r="D1549" s="44" t="str">
        <f>IFERROR(__xludf.DUMMYFUNCTION("""COMPUTED_VALUE""")," ")</f>
        <v> </v>
      </c>
      <c r="E1549" s="44" t="str">
        <f>IFERROR(__xludf.DUMMYFUNCTION("""COMPUTED_VALUE"""),"")</f>
        <v/>
      </c>
      <c r="F1549" s="44" t="str">
        <f>IFERROR(__xludf.DUMMYFUNCTION("""COMPUTED_VALUE"""),"")</f>
        <v/>
      </c>
      <c r="G1549" s="44" t="str">
        <f>IFERROR(__xludf.DUMMYFUNCTION("""COMPUTED_VALUE""")," ")</f>
        <v> </v>
      </c>
      <c r="H1549" s="44" t="str">
        <f>IFERROR(__xludf.DUMMYFUNCTION("""COMPUTED_VALUE""")," ")</f>
        <v> </v>
      </c>
      <c r="I1549" s="44" t="str">
        <f>IFERROR(__xludf.DUMMYFUNCTION("""COMPUTED_VALUE"""),"Pediatría")</f>
        <v>Pediatría</v>
      </c>
      <c r="J1549" s="44" t="str">
        <f>IFERROR(__xludf.DUMMYFUNCTION("""COMPUTED_VALUE"""),"")</f>
        <v/>
      </c>
      <c r="K1549" s="42" t="str">
        <f>IFERROR(__xludf.DUMMYFUNCTION("""COMPUTED_VALUE"""),"🔍 BUSCAR PACIENTES")</f>
        <v>🔍 BUSCAR PACIENTES</v>
      </c>
    </row>
    <row r="1550">
      <c r="A1550" s="44">
        <v>1549.0</v>
      </c>
      <c r="B1550" s="44" t="str">
        <f>IFERROR(__xludf.DUMMYFUNCTION("""COMPUTED_VALUE"""),"Hospital Pérez Carreño")</f>
        <v>Hospital Pérez Carreño</v>
      </c>
      <c r="C1550" s="45" t="str">
        <f>IFERROR(__xludf.DUMMYFUNCTION("""COMPUTED_VALUE"""),"CHAN ABEL")</f>
        <v>CHAN ABEL</v>
      </c>
      <c r="D1550" s="44" t="str">
        <f>IFERROR(__xludf.DUMMYFUNCTION("""COMPUTED_VALUE""")," ")</f>
        <v> </v>
      </c>
      <c r="E1550" s="44" t="str">
        <f>IFERROR(__xludf.DUMMYFUNCTION("""COMPUTED_VALUE"""),"")</f>
        <v/>
      </c>
      <c r="F1550" s="44" t="str">
        <f>IFERROR(__xludf.DUMMYFUNCTION("""COMPUTED_VALUE"""),"")</f>
        <v/>
      </c>
      <c r="G1550" s="44" t="str">
        <f>IFERROR(__xludf.DUMMYFUNCTION("""COMPUTED_VALUE""")," ")</f>
        <v> </v>
      </c>
      <c r="H1550" s="44" t="str">
        <f>IFERROR(__xludf.DUMMYFUNCTION("""COMPUTED_VALUE""")," ")</f>
        <v> </v>
      </c>
      <c r="I1550" s="44" t="str">
        <f>IFERROR(__xludf.DUMMYFUNCTION("""COMPUTED_VALUE"""),"Traumashock")</f>
        <v>Traumashock</v>
      </c>
      <c r="J1550" s="44" t="str">
        <f>IFERROR(__xludf.DUMMYFUNCTION("""COMPUTED_VALUE"""),"25/06/2026")</f>
        <v>25/06/2026</v>
      </c>
      <c r="K1550" s="42" t="str">
        <f>IFERROR(__xludf.DUMMYFUNCTION("""COMPUTED_VALUE"""),"Hospital Pérez Carreño")</f>
        <v>Hospital Pérez Carreño</v>
      </c>
    </row>
    <row r="1551">
      <c r="A1551" s="44">
        <v>1550.0</v>
      </c>
      <c r="B1551" s="44" t="str">
        <f>IFERROR(__xludf.DUMMYFUNCTION("""COMPUTED_VALUE"""),"Campo de Golf Playa los Cocos")</f>
        <v>Campo de Golf Playa los Cocos</v>
      </c>
      <c r="C1551" s="45" t="str">
        <f>IFERROR(__xludf.DUMMYFUNCTION("""COMPUTED_VALUE"""),"Charlie Jaramillo")</f>
        <v>Charlie Jaramillo</v>
      </c>
      <c r="D1551" s="44" t="str">
        <f>IFERROR(__xludf.DUMMYFUNCTION("""COMPUTED_VALUE"""),"")</f>
        <v/>
      </c>
      <c r="E1551" s="44" t="str">
        <f>IFERROR(__xludf.DUMMYFUNCTION("""COMPUTED_VALUE"""),"")</f>
        <v/>
      </c>
      <c r="F1551" s="44" t="str">
        <f>IFERROR(__xludf.DUMMYFUNCTION("""COMPUTED_VALUE"""),"")</f>
        <v/>
      </c>
      <c r="G1551" s="44" t="str">
        <f>IFERROR(__xludf.DUMMYFUNCTION("""COMPUTED_VALUE"""),"")</f>
        <v/>
      </c>
      <c r="H1551" s="44" t="str">
        <f>IFERROR(__xludf.DUMMYFUNCTION("""COMPUTED_VALUE"""),"")</f>
        <v/>
      </c>
      <c r="I1551" s="44"/>
      <c r="J1551" s="44" t="str">
        <f>IFERROR(__xludf.DUMMYFUNCTION("""COMPUTED_VALUE"""),"")</f>
        <v/>
      </c>
      <c r="K1551" s="42" t="str">
        <f>IFERROR(__xludf.DUMMYFUNCTION("""COMPUTED_VALUE"""),"Campo de Golf Playa los Cocos")</f>
        <v>Campo de Golf Playa los Cocos</v>
      </c>
    </row>
    <row r="1552">
      <c r="A1552" s="44">
        <v>1551.0</v>
      </c>
      <c r="B1552" s="44" t="str">
        <f>IFERROR(__xludf.DUMMYFUNCTION("""COMPUTED_VALUE"""),"Hospital Pérez Carreño")</f>
        <v>Hospital Pérez Carreño</v>
      </c>
      <c r="C1552" s="45" t="str">
        <f>IFERROR(__xludf.DUMMYFUNCTION("""COMPUTED_VALUE"""),"CHARMELO CESAR")</f>
        <v>CHARMELO CESAR</v>
      </c>
      <c r="D1552" s="44">
        <f>IFERROR(__xludf.DUMMYFUNCTION("""COMPUTED_VALUE"""),5.0)</f>
        <v>5</v>
      </c>
      <c r="E1552" s="44" t="str">
        <f>IFERROR(__xludf.DUMMYFUNCTION("""COMPUTED_VALUE"""),"")</f>
        <v/>
      </c>
      <c r="F1552" s="44" t="str">
        <f>IFERROR(__xludf.DUMMYFUNCTION("""COMPUTED_VALUE"""),"")</f>
        <v/>
      </c>
      <c r="G1552" s="44" t="str">
        <f>IFERROR(__xludf.DUMMYFUNCTION("""COMPUTED_VALUE""")," ")</f>
        <v> </v>
      </c>
      <c r="H1552" s="44" t="str">
        <f>IFERROR(__xludf.DUMMYFUNCTION("""COMPUTED_VALUE""")," ")</f>
        <v> </v>
      </c>
      <c r="I1552" s="44" t="str">
        <f>IFERROR(__xludf.DUMMYFUNCTION("""COMPUTED_VALUE"""),"Emerg. Pediátrica – Caraballeda")</f>
        <v>Emerg. Pediátrica – Caraballeda</v>
      </c>
      <c r="J1552" s="44" t="str">
        <f>IFERROR(__xludf.DUMMYFUNCTION("""COMPUTED_VALUE"""),"25/06/2026")</f>
        <v>25/06/2026</v>
      </c>
      <c r="K1552" s="42" t="str">
        <f>IFERROR(__xludf.DUMMYFUNCTION("""COMPUTED_VALUE"""),"Hospital Pérez Carreño")</f>
        <v>Hospital Pérez Carreño</v>
      </c>
    </row>
    <row r="1553">
      <c r="A1553" s="44">
        <v>1552.0</v>
      </c>
      <c r="B1553" s="44" t="str">
        <f>IFERROR(__xludf.DUMMYFUNCTION("""COMPUTED_VALUE"""),"Cruz Roja")</f>
        <v>Cruz Roja</v>
      </c>
      <c r="C1553" s="45" t="str">
        <f>IFERROR(__xludf.DUMMYFUNCTION("""COMPUTED_VALUE"""),"CHEN BOYE")</f>
        <v>CHEN BOYE</v>
      </c>
      <c r="D1553" s="44">
        <f>IFERROR(__xludf.DUMMYFUNCTION("""COMPUTED_VALUE"""),21.0)</f>
        <v>21</v>
      </c>
      <c r="E1553" s="44" t="str">
        <f>IFERROR(__xludf.DUMMYFUNCTION("""COMPUTED_VALUE"""),"")</f>
        <v/>
      </c>
      <c r="F1553" s="44" t="str">
        <f>IFERROR(__xludf.DUMMYFUNCTION("""COMPUTED_VALUE"""),"")</f>
        <v/>
      </c>
      <c r="G1553" s="44" t="str">
        <f>IFERROR(__xludf.DUMMYFUNCTION("""COMPUTED_VALUE""")," ")</f>
        <v> </v>
      </c>
      <c r="H1553" s="44" t="str">
        <f>IFERROR(__xludf.DUMMYFUNCTION("""COMPUTED_VALUE""")," ")</f>
        <v> </v>
      </c>
      <c r="I1553" s="44" t="str">
        <f>IFERROR(__xludf.DUMMYFUNCTION("""COMPUTED_VALUE""")," ")</f>
        <v> </v>
      </c>
      <c r="J1553" s="44" t="str">
        <f>IFERROR(__xludf.DUMMYFUNCTION("""COMPUTED_VALUE"""),"")</f>
        <v/>
      </c>
      <c r="K1553" s="42" t="str">
        <f>IFERROR(__xludf.DUMMYFUNCTION("""COMPUTED_VALUE"""),"Cruz Roja")</f>
        <v>Cruz Roja</v>
      </c>
    </row>
    <row r="1554">
      <c r="A1554" s="44">
        <v>1553.0</v>
      </c>
      <c r="B1554" s="44" t="str">
        <f>IFERROR(__xludf.DUMMYFUNCTION("""COMPUTED_VALUE"""),"Hospital Pérez Carreño")</f>
        <v>Hospital Pérez Carreño</v>
      </c>
      <c r="C1554" s="45" t="str">
        <f>IFERROR(__xludf.DUMMYFUNCTION("""COMPUTED_VALUE"""),"CHERMETO CESAR")</f>
        <v>CHERMETO CESAR</v>
      </c>
      <c r="D1554" s="44">
        <f>IFERROR(__xludf.DUMMYFUNCTION("""COMPUTED_VALUE"""),5.0)</f>
        <v>5</v>
      </c>
      <c r="E1554" s="44" t="str">
        <f>IFERROR(__xludf.DUMMYFUNCTION("""COMPUTED_VALUE"""),"")</f>
        <v/>
      </c>
      <c r="F1554" s="44" t="str">
        <f>IFERROR(__xludf.DUMMYFUNCTION("""COMPUTED_VALUE"""),"")</f>
        <v/>
      </c>
      <c r="G1554" s="44" t="str">
        <f>IFERROR(__xludf.DUMMYFUNCTION("""COMPUTED_VALUE""")," ")</f>
        <v> </v>
      </c>
      <c r="H1554" s="44" t="str">
        <f>IFERROR(__xludf.DUMMYFUNCTION("""COMPUTED_VALUE""")," ")</f>
        <v> </v>
      </c>
      <c r="I1554" s="44" t="str">
        <f>IFERROR(__xludf.DUMMYFUNCTION("""COMPUTED_VALUE"""),"SIN FAMILIAR – Pediátrico")</f>
        <v>SIN FAMILIAR – Pediátrico</v>
      </c>
      <c r="J1554" s="44" t="str">
        <f>IFERROR(__xludf.DUMMYFUNCTION("""COMPUTED_VALUE"""),"25/06/2026")</f>
        <v>25/06/2026</v>
      </c>
      <c r="K1554" s="42" t="str">
        <f>IFERROR(__xludf.DUMMYFUNCTION("""COMPUTED_VALUE"""),"Hospital Pérez Carreño")</f>
        <v>Hospital Pérez Carreño</v>
      </c>
    </row>
    <row r="1555">
      <c r="A1555" s="44">
        <v>1554.0</v>
      </c>
      <c r="B1555" s="44" t="str">
        <f>IFERROR(__xludf.DUMMYFUNCTION("""COMPUTED_VALUE"""),"HOSPITAL VARGAS")</f>
        <v>HOSPITAL VARGAS</v>
      </c>
      <c r="C1555" s="45" t="str">
        <f>IFERROR(__xludf.DUMMYFUNCTION("""COMPUTED_VALUE"""),"Chiquinquirá Heberth")</f>
        <v>Chiquinquirá Heberth</v>
      </c>
      <c r="D1555" s="44"/>
      <c r="E1555" s="44" t="str">
        <f>IFERROR(__xludf.DUMMYFUNCTION("""COMPUTED_VALUE"""),"")</f>
        <v/>
      </c>
      <c r="F1555" s="44" t="str">
        <f>IFERROR(__xludf.DUMMYFUNCTION("""COMPUTED_VALUE"""),"")</f>
        <v/>
      </c>
      <c r="G1555" s="44" t="str">
        <f>IFERROR(__xludf.DUMMYFUNCTION("""COMPUTED_VALUE"""),"")</f>
        <v/>
      </c>
      <c r="H1555" s="44" t="str">
        <f>IFERROR(__xludf.DUMMYFUNCTION("""COMPUTED_VALUE"""),"")</f>
        <v/>
      </c>
      <c r="I1555" s="44" t="str">
        <f>IFERROR(__xludf.DUMMYFUNCTION("""COMPUTED_VALUE"""),"Herido / atendido")</f>
        <v>Herido / atendido</v>
      </c>
      <c r="J1555" s="44" t="str">
        <f>IFERROR(__xludf.DUMMYFUNCTION("""COMPUTED_VALUE"""),"24.06.2026 ")</f>
        <v>24.06.2026 </v>
      </c>
      <c r="K1555" s="42" t="str">
        <f>IFERROR(__xludf.DUMMYFUNCTION("""COMPUTED_VALUE"""),"HOSPITAL VARGAS")</f>
        <v>HOSPITAL VARGAS</v>
      </c>
    </row>
    <row r="1556">
      <c r="A1556" s="44">
        <v>1555.0</v>
      </c>
      <c r="B1556" s="44" t="str">
        <f>IFERROR(__xludf.DUMMYFUNCTION("""COMPUTED_VALUE"""),"La Guaira Sin Hospital")</f>
        <v>La Guaira Sin Hospital</v>
      </c>
      <c r="C1556" s="45" t="str">
        <f>IFERROR(__xludf.DUMMYFUNCTION("""COMPUTED_VALUE"""),"Chirinos Jose Maximiliano Martinez")</f>
        <v>Chirinos Jose Maximiliano Martinez</v>
      </c>
      <c r="D1556" s="44" t="str">
        <f>IFERROR(__xludf.DUMMYFUNCTION("""COMPUTED_VALUE"""),"")</f>
        <v/>
      </c>
      <c r="E1556" s="44" t="str">
        <f>IFERROR(__xludf.DUMMYFUNCTION("""COMPUTED_VALUE"""),"")</f>
        <v/>
      </c>
      <c r="F1556" s="44" t="str">
        <f>IFERROR(__xludf.DUMMYFUNCTION("""COMPUTED_VALUE"""),"")</f>
        <v/>
      </c>
      <c r="G1556" s="44" t="str">
        <f>IFERROR(__xludf.DUMMYFUNCTION("""COMPUTED_VALUE"""),"")</f>
        <v/>
      </c>
      <c r="H1556" s="44" t="str">
        <f>IFERROR(__xludf.DUMMYFUNCTION("""COMPUTED_VALUE"""),"La Guaira Hotel Eduard Suite")</f>
        <v>La Guaira Hotel Eduard Suite</v>
      </c>
      <c r="I1556" s="44" t="str">
        <f>IFERROR(__xludf.DUMMYFUNCTION("""COMPUTED_VALUE"""),"Listas con ubicación")</f>
        <v>Listas con ubicación</v>
      </c>
      <c r="J1556" s="44" t="str">
        <f>IFERROR(__xludf.DUMMYFUNCTION("""COMPUTED_VALUE"""),"")</f>
        <v/>
      </c>
      <c r="K1556" s="42" t="str">
        <f>IFERROR(__xludf.DUMMYFUNCTION("""COMPUTED_VALUE"""),"La Guaira Sin Hospital")</f>
        <v>La Guaira Sin Hospital</v>
      </c>
    </row>
    <row r="1557">
      <c r="A1557" s="44">
        <v>1556.0</v>
      </c>
      <c r="B1557" s="44" t="str">
        <f>IFERROR(__xludf.DUMMYFUNCTION("""COMPUTED_VALUE"""),"Hospital Pérez Carreño")</f>
        <v>Hospital Pérez Carreño</v>
      </c>
      <c r="C1557" s="45" t="str">
        <f>IFERROR(__xludf.DUMMYFUNCTION("""COMPUTED_VALUE"""),"CHIRINOS MARTINEZ MAXIMILIANO JOSE")</f>
        <v>CHIRINOS MARTINEZ MAXIMILIANO JOSE</v>
      </c>
      <c r="D1557" s="44">
        <f>IFERROR(__xludf.DUMMYFUNCTION("""COMPUTED_VALUE"""),6.0)</f>
        <v>6</v>
      </c>
      <c r="E1557" s="44" t="str">
        <f>IFERROR(__xludf.DUMMYFUNCTION("""COMPUTED_VALUE"""),"")</f>
        <v/>
      </c>
      <c r="F1557" s="44" t="str">
        <f>IFERROR(__xludf.DUMMYFUNCTION("""COMPUTED_VALUE"""),"")</f>
        <v/>
      </c>
      <c r="G1557" s="44" t="str">
        <f>IFERROR(__xludf.DUMMYFUNCTION("""COMPUTED_VALUE""")," ")</f>
        <v> </v>
      </c>
      <c r="H1557" s="44" t="str">
        <f>IFERROR(__xludf.DUMMYFUNCTION("""COMPUTED_VALUE""")," ")</f>
        <v> </v>
      </c>
      <c r="I1557" s="44" t="str">
        <f>IFERROR(__xludf.DUMMYFUNCTION("""COMPUTED_VALUE"""),"SIN FAMILIAR – Pediátrico")</f>
        <v>SIN FAMILIAR – Pediátrico</v>
      </c>
      <c r="J1557" s="44" t="str">
        <f>IFERROR(__xludf.DUMMYFUNCTION("""COMPUTED_VALUE"""),"25/06/2026")</f>
        <v>25/06/2026</v>
      </c>
      <c r="K1557" s="42" t="str">
        <f>IFERROR(__xludf.DUMMYFUNCTION("""COMPUTED_VALUE"""),"Hospital Pérez Carreño")</f>
        <v>Hospital Pérez Carreño</v>
      </c>
    </row>
    <row r="1558">
      <c r="A1558" s="44">
        <v>1557.0</v>
      </c>
      <c r="B1558" s="44" t="str">
        <f>IFERROR(__xludf.DUMMYFUNCTION("""COMPUTED_VALUE"""),"Hospital Pérez Carreño")</f>
        <v>Hospital Pérez Carreño</v>
      </c>
      <c r="C1558" s="45" t="str">
        <f>IFERROR(__xludf.DUMMYFUNCTION("""COMPUTED_VALUE"""),"CHIRINOS MIRANDA DULCE")</f>
        <v>CHIRINOS MIRANDA DULCE</v>
      </c>
      <c r="D1558" s="44" t="str">
        <f>IFERROR(__xludf.DUMMYFUNCTION("""COMPUTED_VALUE""")," ")</f>
        <v> </v>
      </c>
      <c r="E1558" s="44" t="str">
        <f>IFERROR(__xludf.DUMMYFUNCTION("""COMPUTED_VALUE"""),"")</f>
        <v/>
      </c>
      <c r="F1558" s="44" t="str">
        <f>IFERROR(__xludf.DUMMYFUNCTION("""COMPUTED_VALUE"""),"")</f>
        <v/>
      </c>
      <c r="G1558" s="44" t="str">
        <f>IFERROR(__xludf.DUMMYFUNCTION("""COMPUTED_VALUE""")," ")</f>
        <v> </v>
      </c>
      <c r="H1558" s="44" t="str">
        <f>IFERROR(__xludf.DUMMYFUNCTION("""COMPUTED_VALUE""")," ")</f>
        <v> </v>
      </c>
      <c r="I1558" s="44" t="str">
        <f>IFERROR(__xludf.DUMMYFUNCTION("""COMPUTED_VALUE"""),"Internado")</f>
        <v>Internado</v>
      </c>
      <c r="J1558" s="44" t="str">
        <f>IFERROR(__xludf.DUMMYFUNCTION("""COMPUTED_VALUE"""),"25/06/2026")</f>
        <v>25/06/2026</v>
      </c>
      <c r="K1558" s="42" t="str">
        <f>IFERROR(__xludf.DUMMYFUNCTION("""COMPUTED_VALUE"""),"Hospital Pérez Carreño")</f>
        <v>Hospital Pérez Carreño</v>
      </c>
    </row>
    <row r="1559">
      <c r="A1559" s="44">
        <v>1558.0</v>
      </c>
      <c r="B1559" s="44" t="str">
        <f>IFERROR(__xludf.DUMMYFUNCTION("""COMPUTED_VALUE"""),"Centro de Acopio Caraballeda")</f>
        <v>Centro de Acopio Caraballeda</v>
      </c>
      <c r="C1559" s="45" t="str">
        <f>IFERROR(__xludf.DUMMYFUNCTION("""COMPUTED_VALUE"""),"CHIVICO MICHEL")</f>
        <v>CHIVICO MICHEL</v>
      </c>
      <c r="D1559" s="44" t="str">
        <f>IFERROR(__xludf.DUMMYFUNCTION("""COMPUTED_VALUE""")," ")</f>
        <v> </v>
      </c>
      <c r="E1559" s="44" t="str">
        <f>IFERROR(__xludf.DUMMYFUNCTION("""COMPUTED_VALUE"""),"")</f>
        <v/>
      </c>
      <c r="F1559" s="44" t="str">
        <f>IFERROR(__xludf.DUMMYFUNCTION("""COMPUTED_VALUE"""),"")</f>
        <v/>
      </c>
      <c r="G1559" s="44" t="str">
        <f>IFERROR(__xludf.DUMMYFUNCTION("""COMPUTED_VALUE""")," ")</f>
        <v> </v>
      </c>
      <c r="H1559" s="44" t="str">
        <f>IFERROR(__xludf.DUMMYFUNCTION("""COMPUTED_VALUE""")," ")</f>
        <v> </v>
      </c>
      <c r="I1559" s="44" t="str">
        <f>IFERROR(__xludf.DUMMYFUNCTION("""COMPUTED_VALUE"""),"Internado")</f>
        <v>Internado</v>
      </c>
      <c r="J1559" s="44" t="str">
        <f>IFERROR(__xludf.DUMMYFUNCTION("""COMPUTED_VALUE"""),"")</f>
        <v/>
      </c>
      <c r="K1559" s="42" t="str">
        <f>IFERROR(__xludf.DUMMYFUNCTION("""COMPUTED_VALUE"""),"🔍 BUSCAR PACIENTES")</f>
        <v>🔍 BUSCAR PACIENTES</v>
      </c>
    </row>
    <row r="1560">
      <c r="A1560" s="44">
        <v>1559.0</v>
      </c>
      <c r="B1560" s="44" t="str">
        <f>IFERROR(__xludf.DUMMYFUNCTION("""COMPUTED_VALUE"""),"H. Jose Maria Vargas LG")</f>
        <v>H. Jose Maria Vargas LG</v>
      </c>
      <c r="C1560" s="45" t="str">
        <f>IFERROR(__xludf.DUMMYFUNCTION("""COMPUTED_VALUE"""),"CINATE JACINTA")</f>
        <v>CINATE JACINTA</v>
      </c>
      <c r="D1560" s="44" t="str">
        <f>IFERROR(__xludf.DUMMYFUNCTION("""COMPUTED_VALUE""")," ")</f>
        <v> </v>
      </c>
      <c r="E1560" s="44" t="str">
        <f>IFERROR(__xludf.DUMMYFUNCTION("""COMPUTED_VALUE"""),"")</f>
        <v/>
      </c>
      <c r="F1560" s="44" t="str">
        <f>IFERROR(__xludf.DUMMYFUNCTION("""COMPUTED_VALUE"""),"")</f>
        <v/>
      </c>
      <c r="G1560" s="44" t="str">
        <f>IFERROR(__xludf.DUMMYFUNCTION("""COMPUTED_VALUE""")," ")</f>
        <v> </v>
      </c>
      <c r="H1560" s="44" t="str">
        <f>IFERROR(__xludf.DUMMYFUNCTION("""COMPUTED_VALUE""")," ")</f>
        <v> </v>
      </c>
      <c r="I1560" s="44" t="str">
        <f>IFERROR(__xludf.DUMMYFUNCTION("""COMPUTED_VALUE"""),"Internado; Fallecio")</f>
        <v>Internado; Fallecio</v>
      </c>
      <c r="J1560" s="44" t="str">
        <f>IFERROR(__xludf.DUMMYFUNCTION("""COMPUTED_VALUE"""),"")</f>
        <v/>
      </c>
      <c r="K1560" s="42" t="str">
        <f>IFERROR(__xludf.DUMMYFUNCTION("""COMPUTED_VALUE"""),"H. Jose Maria Vargas LG")</f>
        <v>H. Jose Maria Vargas LG</v>
      </c>
    </row>
    <row r="1561">
      <c r="A1561" s="44">
        <v>1560.0</v>
      </c>
      <c r="B1561" s="44" t="str">
        <f>IFERROR(__xludf.DUMMYFUNCTION("""COMPUTED_VALUE"""),"Periférico de Catia")</f>
        <v>Periférico de Catia</v>
      </c>
      <c r="C1561" s="45" t="str">
        <f>IFERROR(__xludf.DUMMYFUNCTION("""COMPUTED_VALUE"""),"CIPRIOTA SEVILLE")</f>
        <v>CIPRIOTA SEVILLE</v>
      </c>
      <c r="D1561" s="44">
        <f>IFERROR(__xludf.DUMMYFUNCTION("""COMPUTED_VALUE"""),29.0)</f>
        <v>29</v>
      </c>
      <c r="E1561" s="44" t="str">
        <f>IFERROR(__xludf.DUMMYFUNCTION("""COMPUTED_VALUE"""),"")</f>
        <v/>
      </c>
      <c r="F1561" s="44" t="str">
        <f>IFERROR(__xludf.DUMMYFUNCTION("""COMPUTED_VALUE"""),"")</f>
        <v/>
      </c>
      <c r="G1561" s="44" t="str">
        <f>IFERROR(__xludf.DUMMYFUNCTION("""COMPUTED_VALUE""")," ")</f>
        <v> </v>
      </c>
      <c r="H1561" s="44" t="str">
        <f>IFERROR(__xludf.DUMMYFUNCTION("""COMPUTED_VALUE""")," ")</f>
        <v> </v>
      </c>
      <c r="I1561" s="44" t="str">
        <f>IFERROR(__xludf.DUMMYFUNCTION("""COMPUTED_VALUE""")," ")</f>
        <v> </v>
      </c>
      <c r="J1561" s="44" t="str">
        <f>IFERROR(__xludf.DUMMYFUNCTION("""COMPUTED_VALUE"""),"")</f>
        <v/>
      </c>
      <c r="K1561" s="42" t="str">
        <f>IFERROR(__xludf.DUMMYFUNCTION("""COMPUTED_VALUE"""),"Periférico de Catia")</f>
        <v>Periférico de Catia</v>
      </c>
    </row>
    <row r="1562">
      <c r="A1562" s="44">
        <v>1561.0</v>
      </c>
      <c r="B1562" s="44" t="str">
        <f>IFERROR(__xludf.DUMMYFUNCTION("""COMPUTED_VALUE"""),"Hospital Domingo Luciani")</f>
        <v>Hospital Domingo Luciani</v>
      </c>
      <c r="C1562" s="45" t="str">
        <f>IFERROR(__xludf.DUMMYFUNCTION("""COMPUTED_VALUE"""),"CISNERO ROSA")</f>
        <v>CISNERO ROSA</v>
      </c>
      <c r="D1562" s="44">
        <f>IFERROR(__xludf.DUMMYFUNCTION("""COMPUTED_VALUE"""),57.0)</f>
        <v>57</v>
      </c>
      <c r="E1562" s="44" t="str">
        <f>IFERROR(__xludf.DUMMYFUNCTION("""COMPUTED_VALUE"""),"")</f>
        <v/>
      </c>
      <c r="F1562" s="44" t="str">
        <f>IFERROR(__xludf.DUMMYFUNCTION("""COMPUTED_VALUE"""),"")</f>
        <v/>
      </c>
      <c r="G1562" s="44" t="str">
        <f>IFERROR(__xludf.DUMMYFUNCTION("""COMPUTED_VALUE""")," ")</f>
        <v> </v>
      </c>
      <c r="H1562" s="44" t="str">
        <f>IFERROR(__xludf.DUMMYFUNCTION("""COMPUTED_VALUE""")," ")</f>
        <v> </v>
      </c>
      <c r="I1562" s="44" t="str">
        <f>IFERROR(__xludf.DUMMYFUNCTION("""COMPUTED_VALUE""")," ")</f>
        <v> </v>
      </c>
      <c r="J1562" s="44" t="str">
        <f>IFERROR(__xludf.DUMMYFUNCTION("""COMPUTED_VALUE"""),"")</f>
        <v/>
      </c>
      <c r="K1562" s="42" t="str">
        <f>IFERROR(__xludf.DUMMYFUNCTION("""COMPUTED_VALUE"""),"🔍 BUSCAR PACIENTES")</f>
        <v>🔍 BUSCAR PACIENTES</v>
      </c>
    </row>
    <row r="1563">
      <c r="A1563" s="44">
        <v>1562.0</v>
      </c>
      <c r="B1563" s="44" t="str">
        <f>IFERROR(__xludf.DUMMYFUNCTION("""COMPUTED_VALUE"""),"Hospital Domingo Luciani")</f>
        <v>Hospital Domingo Luciani</v>
      </c>
      <c r="C1563" s="45" t="str">
        <f>IFERROR(__xludf.DUMMYFUNCTION("""COMPUTED_VALUE"""),"Cladiska Herrera")</f>
        <v>Cladiska Herrera</v>
      </c>
      <c r="D1563" s="44">
        <f>IFERROR(__xludf.DUMMYFUNCTION("""COMPUTED_VALUE"""),25.0)</f>
        <v>25</v>
      </c>
      <c r="E1563" s="44" t="str">
        <f>IFERROR(__xludf.DUMMYFUNCTION("""COMPUTED_VALUE"""),"")</f>
        <v/>
      </c>
      <c r="F1563" s="44" t="str">
        <f>IFERROR(__xludf.DUMMYFUNCTION("""COMPUTED_VALUE"""),"")</f>
        <v/>
      </c>
      <c r="G1563" s="44"/>
      <c r="H1563" s="44"/>
      <c r="I1563" s="44"/>
      <c r="J1563" s="44" t="str">
        <f>IFERROR(__xludf.DUMMYFUNCTION("""COMPUTED_VALUE"""),"")</f>
        <v/>
      </c>
      <c r="K1563" s="42" t="str">
        <f>IFERROR(__xludf.DUMMYFUNCTION("""COMPUTED_VALUE"""),"Hospital Domingo Luciani")</f>
        <v>Hospital Domingo Luciani</v>
      </c>
    </row>
    <row r="1564">
      <c r="A1564" s="44">
        <v>1563.0</v>
      </c>
      <c r="B1564" s="44" t="str">
        <f>IFERROR(__xludf.DUMMYFUNCTION("""COMPUTED_VALUE"""),"Hospital Domingo Luciani")</f>
        <v>Hospital Domingo Luciani</v>
      </c>
      <c r="C1564" s="45" t="str">
        <f>IFERROR(__xludf.DUMMYFUNCTION("""COMPUTED_VALUE"""),"cladiska Milano")</f>
        <v>cladiska Milano</v>
      </c>
      <c r="D1564" s="44">
        <f>IFERROR(__xludf.DUMMYFUNCTION("""COMPUTED_VALUE"""),25.0)</f>
        <v>25</v>
      </c>
      <c r="E1564" s="44" t="str">
        <f>IFERROR(__xludf.DUMMYFUNCTION("""COMPUTED_VALUE"""),"")</f>
        <v/>
      </c>
      <c r="F1564" s="44" t="str">
        <f>IFERROR(__xludf.DUMMYFUNCTION("""COMPUTED_VALUE"""),"")</f>
        <v/>
      </c>
      <c r="G1564" s="44"/>
      <c r="H1564" s="44"/>
      <c r="I1564" s="44"/>
      <c r="J1564" s="44" t="str">
        <f>IFERROR(__xludf.DUMMYFUNCTION("""COMPUTED_VALUE"""),"")</f>
        <v/>
      </c>
      <c r="K1564" s="42" t="str">
        <f>IFERROR(__xludf.DUMMYFUNCTION("""COMPUTED_VALUE"""),"Hospital Domingo Luciani")</f>
        <v>Hospital Domingo Luciani</v>
      </c>
    </row>
    <row r="1565">
      <c r="A1565" s="44">
        <v>1564.0</v>
      </c>
      <c r="B1565" s="44" t="str">
        <f>IFERROR(__xludf.DUMMYFUNCTION("""COMPUTED_VALUE"""),"Hospital Domingo Luciani")</f>
        <v>Hospital Domingo Luciani</v>
      </c>
      <c r="C1565" s="45" t="str">
        <f>IFERROR(__xludf.DUMMYFUNCTION("""COMPUTED_VALUE"""),"Clara Bustal")</f>
        <v>Clara Bustal</v>
      </c>
      <c r="D1565" s="44">
        <f>IFERROR(__xludf.DUMMYFUNCTION("""COMPUTED_VALUE"""),62.0)</f>
        <v>62</v>
      </c>
      <c r="E1565" s="44" t="str">
        <f>IFERROR(__xludf.DUMMYFUNCTION("""COMPUTED_VALUE"""),"")</f>
        <v/>
      </c>
      <c r="F1565" s="44" t="str">
        <f>IFERROR(__xludf.DUMMYFUNCTION("""COMPUTED_VALUE"""),"")</f>
        <v/>
      </c>
      <c r="G1565" s="44"/>
      <c r="H1565" s="44"/>
      <c r="I1565" s="44"/>
      <c r="J1565" s="44" t="str">
        <f>IFERROR(__xludf.DUMMYFUNCTION("""COMPUTED_VALUE"""),"")</f>
        <v/>
      </c>
      <c r="K1565" s="42" t="str">
        <f>IFERROR(__xludf.DUMMYFUNCTION("""COMPUTED_VALUE"""),"Hospital Domingo Luciani")</f>
        <v>Hospital Domingo Luciani</v>
      </c>
    </row>
    <row r="1566">
      <c r="A1566" s="44">
        <v>1565.0</v>
      </c>
      <c r="B1566" s="44" t="str">
        <f>IFERROR(__xludf.DUMMYFUNCTION("""COMPUTED_VALUE"""),"Hospital Domingo Luciani")</f>
        <v>Hospital Domingo Luciani</v>
      </c>
      <c r="C1566" s="45" t="str">
        <f>IFERROR(__xludf.DUMMYFUNCTION("""COMPUTED_VALUE"""),"Clara Lorio Uisbal")</f>
        <v>Clara Lorio Uisbal</v>
      </c>
      <c r="D1566" s="44">
        <f>IFERROR(__xludf.DUMMYFUNCTION("""COMPUTED_VALUE"""),0.0)</f>
        <v>0</v>
      </c>
      <c r="E1566" s="44" t="str">
        <f>IFERROR(__xludf.DUMMYFUNCTION("""COMPUTED_VALUE"""),"")</f>
        <v/>
      </c>
      <c r="F1566" s="44" t="str">
        <f>IFERROR(__xludf.DUMMYFUNCTION("""COMPUTED_VALUE"""),"")</f>
        <v/>
      </c>
      <c r="G1566" s="44"/>
      <c r="H1566" s="44"/>
      <c r="I1566" s="44"/>
      <c r="J1566" s="44" t="str">
        <f>IFERROR(__xludf.DUMMYFUNCTION("""COMPUTED_VALUE"""),"")</f>
        <v/>
      </c>
      <c r="K1566" s="42" t="str">
        <f>IFERROR(__xludf.DUMMYFUNCTION("""COMPUTED_VALUE"""),"Hospital Domingo Luciani")</f>
        <v>Hospital Domingo Luciani</v>
      </c>
    </row>
    <row r="1567">
      <c r="A1567" s="44">
        <v>1566.0</v>
      </c>
      <c r="B1567" s="44" t="str">
        <f>IFERROR(__xludf.DUMMYFUNCTION("""COMPUTED_VALUE"""),"Hospital Pérez Carreño")</f>
        <v>Hospital Pérez Carreño</v>
      </c>
      <c r="C1567" s="45" t="str">
        <f>IFERROR(__xludf.DUMMYFUNCTION("""COMPUTED_VALUE"""),"Clariangela Martinez")</f>
        <v>Clariangela Martinez</v>
      </c>
      <c r="D1567" s="44" t="str">
        <f>IFERROR(__xludf.DUMMYFUNCTION("""COMPUTED_VALUE"""),"30 años")</f>
        <v>30 años</v>
      </c>
      <c r="E1567" s="44" t="str">
        <f>IFERROR(__xludf.DUMMYFUNCTION("""COMPUTED_VALUE"""),"")</f>
        <v/>
      </c>
      <c r="F1567" s="44" t="str">
        <f>IFERROR(__xludf.DUMMYFUNCTION("""COMPUTED_VALUE"""),"")</f>
        <v/>
      </c>
      <c r="G1567" s="44" t="str">
        <f>IFERROR(__xludf.DUMMYFUNCTION("""COMPUTED_VALUE"""),"Traumashock")</f>
        <v>Traumashock</v>
      </c>
      <c r="H1567" s="44" t="str">
        <f>IFERROR(__xludf.DUMMYFUNCTION("""COMPUTED_VALUE"""),"Hospital Miguel Perez Carreño")</f>
        <v>Hospital Miguel Perez Carreño</v>
      </c>
      <c r="I1567" s="44"/>
      <c r="J1567" s="44" t="str">
        <f>IFERROR(__xludf.DUMMYFUNCTION("""COMPUTED_VALUE"""),"26/6/26")</f>
        <v>26/6/26</v>
      </c>
      <c r="K1567" s="42" t="str">
        <f>IFERROR(__xludf.DUMMYFUNCTION("""COMPUTED_VALUE"""),"Hospital Pérez Carreño")</f>
        <v>Hospital Pérez Carreño</v>
      </c>
    </row>
    <row r="1568">
      <c r="A1568" s="44">
        <v>1567.0</v>
      </c>
      <c r="B1568" s="44" t="str">
        <f>IFERROR(__xludf.DUMMYFUNCTION("""COMPUTED_VALUE"""),"Campo de Golf Playa los Cocos")</f>
        <v>Campo de Golf Playa los Cocos</v>
      </c>
      <c r="C1568" s="45" t="str">
        <f>IFERROR(__xludf.DUMMYFUNCTION("""COMPUTED_VALUE"""),"Claudia Blanco")</f>
        <v>Claudia Blanco</v>
      </c>
      <c r="D1568" s="44" t="str">
        <f>IFERROR(__xludf.DUMMYFUNCTION("""COMPUTED_VALUE"""),"")</f>
        <v/>
      </c>
      <c r="E1568" s="44" t="str">
        <f>IFERROR(__xludf.DUMMYFUNCTION("""COMPUTED_VALUE"""),"")</f>
        <v/>
      </c>
      <c r="F1568" s="44" t="str">
        <f>IFERROR(__xludf.DUMMYFUNCTION("""COMPUTED_VALUE"""),"")</f>
        <v/>
      </c>
      <c r="G1568" s="44" t="str">
        <f>IFERROR(__xludf.DUMMYFUNCTION("""COMPUTED_VALUE"""),"")</f>
        <v/>
      </c>
      <c r="H1568" s="44" t="str">
        <f>IFERROR(__xludf.DUMMYFUNCTION("""COMPUTED_VALUE"""),"")</f>
        <v/>
      </c>
      <c r="I1568" s="44"/>
      <c r="J1568" s="44" t="str">
        <f>IFERROR(__xludf.DUMMYFUNCTION("""COMPUTED_VALUE"""),"")</f>
        <v/>
      </c>
      <c r="K1568" s="42" t="str">
        <f>IFERROR(__xludf.DUMMYFUNCTION("""COMPUTED_VALUE"""),"Campo de Golf Playa los Cocos")</f>
        <v>Campo de Golf Playa los Cocos</v>
      </c>
    </row>
    <row r="1569">
      <c r="A1569" s="44">
        <v>1568.0</v>
      </c>
      <c r="B1569" s="44" t="str">
        <f>IFERROR(__xludf.DUMMYFUNCTION("""COMPUTED_VALUE"""),"HOSPITAL VARGAS")</f>
        <v>HOSPITAL VARGAS</v>
      </c>
      <c r="C1569" s="45" t="str">
        <f>IFERROR(__xludf.DUMMYFUNCTION("""COMPUTED_VALUE"""),"Claudia Verde")</f>
        <v>Claudia Verde</v>
      </c>
      <c r="D1569" s="44"/>
      <c r="E1569" s="44" t="str">
        <f>IFERROR(__xludf.DUMMYFUNCTION("""COMPUTED_VALUE"""),"")</f>
        <v/>
      </c>
      <c r="F1569" s="44" t="str">
        <f>IFERROR(__xludf.DUMMYFUNCTION("""COMPUTED_VALUE"""),"")</f>
        <v/>
      </c>
      <c r="G1569" s="44" t="str">
        <f>IFERROR(__xludf.DUMMYFUNCTION("""COMPUTED_VALUE"""),"")</f>
        <v/>
      </c>
      <c r="H1569" s="44" t="str">
        <f>IFERROR(__xludf.DUMMYFUNCTION("""COMPUTED_VALUE"""),"")</f>
        <v/>
      </c>
      <c r="I1569" s="44" t="str">
        <f>IFERROR(__xludf.DUMMYFUNCTION("""COMPUTED_VALUE"""),"Herido / atendido")</f>
        <v>Herido / atendido</v>
      </c>
      <c r="J1569" s="44" t="str">
        <f>IFERROR(__xludf.DUMMYFUNCTION("""COMPUTED_VALUE"""),"24.06.2026 ")</f>
        <v>24.06.2026 </v>
      </c>
      <c r="K1569" s="42" t="str">
        <f>IFERROR(__xludf.DUMMYFUNCTION("""COMPUTED_VALUE"""),"HOSPITAL VARGAS")</f>
        <v>HOSPITAL VARGAS</v>
      </c>
    </row>
    <row r="1570">
      <c r="A1570" s="44">
        <v>1569.0</v>
      </c>
      <c r="B1570" s="44" t="str">
        <f>IFERROR(__xludf.DUMMYFUNCTION("""COMPUTED_VALUE"""),"Hospital Vargas de Caracas")</f>
        <v>Hospital Vargas de Caracas</v>
      </c>
      <c r="C1570" s="45" t="str">
        <f>IFERROR(__xludf.DUMMYFUNCTION("""COMPUTED_VALUE"""),"CLAUDINES VERDE")</f>
        <v>CLAUDINES VERDE</v>
      </c>
      <c r="D1570" s="44" t="str">
        <f>IFERROR(__xludf.DUMMYFUNCTION("""COMPUTED_VALUE""")," ")</f>
        <v> </v>
      </c>
      <c r="E1570" s="44" t="str">
        <f>IFERROR(__xludf.DUMMYFUNCTION("""COMPUTED_VALUE"""),"")</f>
        <v/>
      </c>
      <c r="F1570" s="44" t="str">
        <f>IFERROR(__xludf.DUMMYFUNCTION("""COMPUTED_VALUE""")," ")</f>
        <v> </v>
      </c>
      <c r="G1570" s="44" t="str">
        <f>IFERROR(__xludf.DUMMYFUNCTION("""COMPUTED_VALUE"""),"")</f>
        <v/>
      </c>
      <c r="H1570" s="44" t="str">
        <f>IFERROR(__xludf.DUMMYFUNCTION("""COMPUTED_VALUE"""),"Hlam")</f>
        <v>Hlam</v>
      </c>
      <c r="I1570" s="44" t="str">
        <f>IFERROR(__xludf.DUMMYFUNCTION("""COMPUTED_VALUE""")," ")</f>
        <v> </v>
      </c>
      <c r="J1570" s="44" t="str">
        <f>IFERROR(__xludf.DUMMYFUNCTION("""COMPUTED_VALUE"""),"")</f>
        <v/>
      </c>
      <c r="K1570" s="42" t="str">
        <f>IFERROR(__xludf.DUMMYFUNCTION("""COMPUTED_VALUE"""),"Hospital Vargas de Caracas")</f>
        <v>Hospital Vargas de Caracas</v>
      </c>
    </row>
    <row r="1571">
      <c r="A1571" s="44">
        <v>1570.0</v>
      </c>
      <c r="B1571" s="44" t="str">
        <f>IFERROR(__xludf.DUMMYFUNCTION("""COMPUTED_VALUE"""),"Hospital Pérez Carreño")</f>
        <v>Hospital Pérez Carreño</v>
      </c>
      <c r="C1571" s="45" t="str">
        <f>IFERROR(__xludf.DUMMYFUNCTION("""COMPUTED_VALUE"""),"COHALUE GABRIEL")</f>
        <v>COHALUE GABRIEL</v>
      </c>
      <c r="D1571" s="44" t="str">
        <f>IFERROR(__xludf.DUMMYFUNCTION("""COMPUTED_VALUE""")," ")</f>
        <v> </v>
      </c>
      <c r="E1571" s="44" t="str">
        <f>IFERROR(__xludf.DUMMYFUNCTION("""COMPUTED_VALUE"""),"")</f>
        <v/>
      </c>
      <c r="F1571" s="44" t="str">
        <f>IFERROR(__xludf.DUMMYFUNCTION("""COMPUTED_VALUE"""),"")</f>
        <v/>
      </c>
      <c r="G1571" s="44" t="str">
        <f>IFERROR(__xludf.DUMMYFUNCTION("""COMPUTED_VALUE""")," ")</f>
        <v> </v>
      </c>
      <c r="H1571" s="44" t="str">
        <f>IFERROR(__xludf.DUMMYFUNCTION("""COMPUTED_VALUE""")," ")</f>
        <v> </v>
      </c>
      <c r="I1571" s="44" t="str">
        <f>IFERROR(__xludf.DUMMYFUNCTION("""COMPUTED_VALUE"""),"Neuro – Traumachok; La Guaira")</f>
        <v>Neuro – Traumachok; La Guaira</v>
      </c>
      <c r="J1571" s="44" t="str">
        <f>IFERROR(__xludf.DUMMYFUNCTION("""COMPUTED_VALUE"""),"25/06/2026")</f>
        <v>25/06/2026</v>
      </c>
      <c r="K1571" s="42" t="str">
        <f>IFERROR(__xludf.DUMMYFUNCTION("""COMPUTED_VALUE"""),"Hospital Pérez Carreño")</f>
        <v>Hospital Pérez Carreño</v>
      </c>
    </row>
    <row r="1572">
      <c r="A1572" s="44">
        <v>1571.0</v>
      </c>
      <c r="B1572" s="44" t="str">
        <f>IFERROR(__xludf.DUMMYFUNCTION("""COMPUTED_VALUE"""),"Hospital Pérez Carreño")</f>
        <v>Hospital Pérez Carreño</v>
      </c>
      <c r="C1572" s="45" t="str">
        <f>IFERROR(__xludf.DUMMYFUNCTION("""COMPUTED_VALUE"""),"COLINA ANGARITA YOHANDRI ABEL")</f>
        <v>COLINA ANGARITA YOHANDRI ABEL</v>
      </c>
      <c r="D1572" s="44" t="str">
        <f>IFERROR(__xludf.DUMMYFUNCTION("""COMPUTED_VALUE""")," ")</f>
        <v> </v>
      </c>
      <c r="E1572" s="44" t="str">
        <f>IFERROR(__xludf.DUMMYFUNCTION("""COMPUTED_VALUE"""),"")</f>
        <v/>
      </c>
      <c r="F1572" s="44" t="str">
        <f>IFERROR(__xludf.DUMMYFUNCTION("""COMPUTED_VALUE"""),"")</f>
        <v/>
      </c>
      <c r="G1572" s="44" t="str">
        <f>IFERROR(__xludf.DUMMYFUNCTION("""COMPUTED_VALUE""")," ")</f>
        <v> </v>
      </c>
      <c r="H1572" s="44" t="str">
        <f>IFERROR(__xludf.DUMMYFUNCTION("""COMPUTED_VALUE""")," ")</f>
        <v> </v>
      </c>
      <c r="I1572" s="44" t="str">
        <f>IFERROR(__xludf.DUMMYFUNCTION("""COMPUTED_VALUE"""),"Internado")</f>
        <v>Internado</v>
      </c>
      <c r="J1572" s="44" t="str">
        <f>IFERROR(__xludf.DUMMYFUNCTION("""COMPUTED_VALUE"""),"25/06/2026")</f>
        <v>25/06/2026</v>
      </c>
      <c r="K1572" s="42" t="str">
        <f>IFERROR(__xludf.DUMMYFUNCTION("""COMPUTED_VALUE"""),"Hospital Pérez Carreño")</f>
        <v>Hospital Pérez Carreño</v>
      </c>
    </row>
    <row r="1573">
      <c r="A1573" s="44">
        <v>1572.0</v>
      </c>
      <c r="B1573" s="44" t="str">
        <f>IFERROR(__xludf.DUMMYFUNCTION("""COMPUTED_VALUE"""),"Periférico de Catia")</f>
        <v>Periférico de Catia</v>
      </c>
      <c r="C1573" s="45" t="str">
        <f>IFERROR(__xludf.DUMMYFUNCTION("""COMPUTED_VALUE"""),"COLIVERIARES QUELL")</f>
        <v>COLIVERIARES QUELL</v>
      </c>
      <c r="D1573" s="44">
        <f>IFERROR(__xludf.DUMMYFUNCTION("""COMPUTED_VALUE"""),27.0)</f>
        <v>27</v>
      </c>
      <c r="E1573" s="44" t="str">
        <f>IFERROR(__xludf.DUMMYFUNCTION("""COMPUTED_VALUE"""),"")</f>
        <v/>
      </c>
      <c r="F1573" s="44" t="str">
        <f>IFERROR(__xludf.DUMMYFUNCTION("""COMPUTED_VALUE"""),"")</f>
        <v/>
      </c>
      <c r="G1573" s="44" t="str">
        <f>IFERROR(__xludf.DUMMYFUNCTION("""COMPUTED_VALUE""")," ")</f>
        <v> </v>
      </c>
      <c r="H1573" s="44" t="str">
        <f>IFERROR(__xludf.DUMMYFUNCTION("""COMPUTED_VALUE""")," ")</f>
        <v> </v>
      </c>
      <c r="I1573" s="44" t="str">
        <f>IFERROR(__xludf.DUMMYFUNCTION("""COMPUTED_VALUE"""),"Solo")</f>
        <v>Solo</v>
      </c>
      <c r="J1573" s="44" t="str">
        <f>IFERROR(__xludf.DUMMYFUNCTION("""COMPUTED_VALUE"""),"")</f>
        <v/>
      </c>
      <c r="K1573" s="42" t="str">
        <f>IFERROR(__xludf.DUMMYFUNCTION("""COMPUTED_VALUE"""),"Periférico de Catia")</f>
        <v>Periférico de Catia</v>
      </c>
    </row>
    <row r="1574">
      <c r="A1574" s="44">
        <v>1573.0</v>
      </c>
      <c r="B1574" s="44" t="str">
        <f>IFERROR(__xludf.DUMMYFUNCTION("""COMPUTED_VALUE"""),"Periférico de Catia")</f>
        <v>Periférico de Catia</v>
      </c>
      <c r="C1574" s="45" t="str">
        <f>IFERROR(__xludf.DUMMYFUNCTION("""COMPUTED_VALUE"""),"COLMENARAS YADHER")</f>
        <v>COLMENARAS YADHER</v>
      </c>
      <c r="D1574" s="44">
        <f>IFERROR(__xludf.DUMMYFUNCTION("""COMPUTED_VALUE"""),3.0)</f>
        <v>3</v>
      </c>
      <c r="E1574" s="44" t="str">
        <f>IFERROR(__xludf.DUMMYFUNCTION("""COMPUTED_VALUE"""),"")</f>
        <v/>
      </c>
      <c r="F1574" s="44" t="str">
        <f>IFERROR(__xludf.DUMMYFUNCTION("""COMPUTED_VALUE"""),"")</f>
        <v/>
      </c>
      <c r="G1574" s="44" t="str">
        <f>IFERROR(__xludf.DUMMYFUNCTION("""COMPUTED_VALUE""")," ")</f>
        <v> </v>
      </c>
      <c r="H1574" s="44" t="str">
        <f>IFERROR(__xludf.DUMMYFUNCTION("""COMPUTED_VALUE""")," ")</f>
        <v> </v>
      </c>
      <c r="I1574" s="44" t="str">
        <f>IFERROR(__xludf.DUMMYFUNCTION("""COMPUTED_VALUE""")," ")</f>
        <v> </v>
      </c>
      <c r="J1574" s="44" t="str">
        <f>IFERROR(__xludf.DUMMYFUNCTION("""COMPUTED_VALUE"""),"")</f>
        <v/>
      </c>
      <c r="K1574" s="42" t="str">
        <f>IFERROR(__xludf.DUMMYFUNCTION("""COMPUTED_VALUE"""),"Periférico de Catia")</f>
        <v>Periférico de Catia</v>
      </c>
    </row>
    <row r="1575">
      <c r="A1575" s="44">
        <v>1574.0</v>
      </c>
      <c r="B1575" s="44" t="str">
        <f>IFERROR(__xludf.DUMMYFUNCTION("""COMPUTED_VALUE"""),"Hospital Vargas de Caracas")</f>
        <v>Hospital Vargas de Caracas</v>
      </c>
      <c r="C1575" s="45" t="str">
        <f>IFERROR(__xludf.DUMMYFUNCTION("""COMPUTED_VALUE"""),"COLMENARES DARWIN / COLIMENARES DARWIN")</f>
        <v>COLMENARES DARWIN / COLIMENARES DARWIN</v>
      </c>
      <c r="D1575" s="44" t="str">
        <f>IFERROR(__xludf.DUMMYFUNCTION("""COMPUTED_VALUE""")," ")</f>
        <v> </v>
      </c>
      <c r="E1575" s="44" t="str">
        <f>IFERROR(__xludf.DUMMYFUNCTION("""COMPUTED_VALUE"""),"")</f>
        <v/>
      </c>
      <c r="F1575" s="44" t="str">
        <f>IFERROR(__xludf.DUMMYFUNCTION("""COMPUTED_VALUE""")," ")</f>
        <v> </v>
      </c>
      <c r="G1575" s="44" t="str">
        <f>IFERROR(__xludf.DUMMYFUNCTION("""COMPUTED_VALUE"""),"")</f>
        <v/>
      </c>
      <c r="H1575" s="44" t="str">
        <f>IFERROR(__xludf.DUMMYFUNCTION("""COMPUTED_VALUE""")," ")</f>
        <v> </v>
      </c>
      <c r="I1575" s="44" t="str">
        <f>IFERROR(__xludf.DUMMYFUNCTION("""COMPUTED_VALUE""")," ")</f>
        <v> </v>
      </c>
      <c r="J1575" s="44" t="str">
        <f>IFERROR(__xludf.DUMMYFUNCTION("""COMPUTED_VALUE"""),"")</f>
        <v/>
      </c>
      <c r="K1575" s="42" t="str">
        <f>IFERROR(__xludf.DUMMYFUNCTION("""COMPUTED_VALUE"""),"Hospital Vargas de Caracas")</f>
        <v>Hospital Vargas de Caracas</v>
      </c>
    </row>
    <row r="1576">
      <c r="A1576" s="44">
        <v>1575.0</v>
      </c>
      <c r="B1576" s="44" t="str">
        <f>IFERROR(__xludf.DUMMYFUNCTION("""COMPUTED_VALUE"""),"Periférico de Catia")</f>
        <v>Periférico de Catia</v>
      </c>
      <c r="C1576" s="45" t="str">
        <f>IFERROR(__xludf.DUMMYFUNCTION("""COMPUTED_VALUE"""),"COLMENARES GISELL")</f>
        <v>COLMENARES GISELL</v>
      </c>
      <c r="D1576" s="44">
        <f>IFERROR(__xludf.DUMMYFUNCTION("""COMPUTED_VALUE"""),50.0)</f>
        <v>50</v>
      </c>
      <c r="E1576" s="44" t="str">
        <f>IFERROR(__xludf.DUMMYFUNCTION("""COMPUTED_VALUE"""),"")</f>
        <v/>
      </c>
      <c r="F1576" s="44" t="str">
        <f>IFERROR(__xludf.DUMMYFUNCTION("""COMPUTED_VALUE"""),"")</f>
        <v/>
      </c>
      <c r="G1576" s="44" t="str">
        <f>IFERROR(__xludf.DUMMYFUNCTION("""COMPUTED_VALUE""")," ")</f>
        <v> </v>
      </c>
      <c r="H1576" s="44" t="str">
        <f>IFERROR(__xludf.DUMMYFUNCTION("""COMPUTED_VALUE"""),"La Guaira")</f>
        <v>La Guaira</v>
      </c>
      <c r="I1576" s="44" t="str">
        <f>IFERROR(__xludf.DUMMYFUNCTION("""COMPUTED_VALUE"""),"TRM")</f>
        <v>TRM</v>
      </c>
      <c r="J1576" s="44" t="str">
        <f>IFERROR(__xludf.DUMMYFUNCTION("""COMPUTED_VALUE"""),"")</f>
        <v/>
      </c>
      <c r="K1576" s="42" t="str">
        <f>IFERROR(__xludf.DUMMYFUNCTION("""COMPUTED_VALUE"""),"Periférico de Catia")</f>
        <v>Periférico de Catia</v>
      </c>
    </row>
    <row r="1577">
      <c r="A1577" s="44">
        <v>1576.0</v>
      </c>
      <c r="B1577" s="44" t="str">
        <f>IFERROR(__xludf.DUMMYFUNCTION("""COMPUTED_VALUE"""),"Periférico de Catia")</f>
        <v>Periférico de Catia</v>
      </c>
      <c r="C1577" s="45" t="str">
        <f>IFERROR(__xludf.DUMMYFUNCTION("""COMPUTED_VALUE"""),"COLMENERES VEZIER")</f>
        <v>COLMENERES VEZIER</v>
      </c>
      <c r="D1577" s="44">
        <f>IFERROR(__xludf.DUMMYFUNCTION("""COMPUTED_VALUE"""),24.0)</f>
        <v>24</v>
      </c>
      <c r="E1577" s="44" t="str">
        <f>IFERROR(__xludf.DUMMYFUNCTION("""COMPUTED_VALUE"""),"")</f>
        <v/>
      </c>
      <c r="F1577" s="44" t="str">
        <f>IFERROR(__xludf.DUMMYFUNCTION("""COMPUTED_VALUE"""),"")</f>
        <v/>
      </c>
      <c r="G1577" s="44" t="str">
        <f>IFERROR(__xludf.DUMMYFUNCTION("""COMPUTED_VALUE""")," ")</f>
        <v> </v>
      </c>
      <c r="H1577" s="44" t="str">
        <f>IFERROR(__xludf.DUMMYFUNCTION("""COMPUTED_VALUE""")," ")</f>
        <v> </v>
      </c>
      <c r="I1577" s="44" t="str">
        <f>IFERROR(__xludf.DUMMYFUNCTION("""COMPUTED_VALUE"""),"Sola")</f>
        <v>Sola</v>
      </c>
      <c r="J1577" s="44" t="str">
        <f>IFERROR(__xludf.DUMMYFUNCTION("""COMPUTED_VALUE"""),"")</f>
        <v/>
      </c>
      <c r="K1577" s="42" t="str">
        <f>IFERROR(__xludf.DUMMYFUNCTION("""COMPUTED_VALUE"""),"Periférico de Catia")</f>
        <v>Periférico de Catia</v>
      </c>
    </row>
    <row r="1578">
      <c r="A1578" s="44">
        <v>1577.0</v>
      </c>
      <c r="B1578" s="44" t="str">
        <f>IFERROR(__xludf.DUMMYFUNCTION("""COMPUTED_VALUE"""),"Centro de Acopio Caraballeda")</f>
        <v>Centro de Acopio Caraballeda</v>
      </c>
      <c r="C1578" s="45" t="str">
        <f>IFERROR(__xludf.DUMMYFUNCTION("""COMPUTED_VALUE"""),"CONDE DIANA")</f>
        <v>CONDE DIANA</v>
      </c>
      <c r="D1578" s="44" t="str">
        <f>IFERROR(__xludf.DUMMYFUNCTION("""COMPUTED_VALUE""")," ")</f>
        <v> </v>
      </c>
      <c r="E1578" s="44" t="str">
        <f>IFERROR(__xludf.DUMMYFUNCTION("""COMPUTED_VALUE"""),"")</f>
        <v/>
      </c>
      <c r="F1578" s="44" t="str">
        <f>IFERROR(__xludf.DUMMYFUNCTION("""COMPUTED_VALUE"""),"")</f>
        <v/>
      </c>
      <c r="G1578" s="44" t="str">
        <f>IFERROR(__xludf.DUMMYFUNCTION("""COMPUTED_VALUE""")," ")</f>
        <v> </v>
      </c>
      <c r="H1578" s="44" t="str">
        <f>IFERROR(__xludf.DUMMYFUNCTION("""COMPUTED_VALUE""")," ")</f>
        <v> </v>
      </c>
      <c r="I1578" s="44" t="str">
        <f>IFERROR(__xludf.DUMMYFUNCTION("""COMPUTED_VALUE"""),"Internado")</f>
        <v>Internado</v>
      </c>
      <c r="J1578" s="44" t="str">
        <f>IFERROR(__xludf.DUMMYFUNCTION("""COMPUTED_VALUE"""),"")</f>
        <v/>
      </c>
      <c r="K1578" s="42" t="str">
        <f>IFERROR(__xludf.DUMMYFUNCTION("""COMPUTED_VALUE"""),"🔍 BUSCAR PACIENTES")</f>
        <v>🔍 BUSCAR PACIENTES</v>
      </c>
    </row>
    <row r="1579">
      <c r="A1579" s="44">
        <v>1578.0</v>
      </c>
      <c r="B1579" s="44" t="str">
        <f>IFERROR(__xludf.DUMMYFUNCTION("""COMPUTED_VALUE"""),"Hospital Pérez Carreño")</f>
        <v>Hospital Pérez Carreño</v>
      </c>
      <c r="C1579" s="45" t="str">
        <f>IFERROR(__xludf.DUMMYFUNCTION("""COMPUTED_VALUE"""),"Coni La Castro Leidi Jarome")</f>
        <v>Coni La Castro Leidi Jarome</v>
      </c>
      <c r="D1579" s="44"/>
      <c r="E1579" s="44" t="str">
        <f>IFERROR(__xludf.DUMMYFUNCTION("""COMPUTED_VALUE"""),"")</f>
        <v/>
      </c>
      <c r="F1579" s="44" t="str">
        <f>IFERROR(__xludf.DUMMYFUNCTION("""COMPUTED_VALUE"""),"")</f>
        <v/>
      </c>
      <c r="G1579" s="44" t="str">
        <f>IFERROR(__xludf.DUMMYFUNCTION("""COMPUTED_VALUE"""),"Traslados con destino asignado")</f>
        <v>Traslados con destino asignado</v>
      </c>
      <c r="H1579" s="44" t="str">
        <f>IFERROR(__xludf.DUMMYFUNCTION("""COMPUTED_VALUE"""),"Hospital Miguel Perez Carreño")</f>
        <v>Hospital Miguel Perez Carreño</v>
      </c>
      <c r="I1579" s="44"/>
      <c r="J1579" s="44" t="str">
        <f>IFERROR(__xludf.DUMMYFUNCTION("""COMPUTED_VALUE"""),"26/6/26")</f>
        <v>26/6/26</v>
      </c>
      <c r="K1579" s="42" t="str">
        <f>IFERROR(__xludf.DUMMYFUNCTION("""COMPUTED_VALUE"""),"Hospital Pérez Carreño")</f>
        <v>Hospital Pérez Carreño</v>
      </c>
    </row>
    <row r="1580">
      <c r="A1580" s="44">
        <v>1579.0</v>
      </c>
      <c r="B1580" s="44" t="str">
        <f>IFERROR(__xludf.DUMMYFUNCTION("""COMPUTED_VALUE"""),"Centro de Acopio Caraballeda")</f>
        <v>Centro de Acopio Caraballeda</v>
      </c>
      <c r="C1580" s="45" t="str">
        <f>IFERROR(__xludf.DUMMYFUNCTION("""COMPUTED_VALUE"""),"CONTRAMAESTRE ARIANNI")</f>
        <v>CONTRAMAESTRE ARIANNI</v>
      </c>
      <c r="D1580" s="44" t="str">
        <f>IFERROR(__xludf.DUMMYFUNCTION("""COMPUTED_VALUE""")," ")</f>
        <v> </v>
      </c>
      <c r="E1580" s="44" t="str">
        <f>IFERROR(__xludf.DUMMYFUNCTION("""COMPUTED_VALUE"""),"")</f>
        <v/>
      </c>
      <c r="F1580" s="44" t="str">
        <f>IFERROR(__xludf.DUMMYFUNCTION("""COMPUTED_VALUE"""),"")</f>
        <v/>
      </c>
      <c r="G1580" s="44" t="str">
        <f>IFERROR(__xludf.DUMMYFUNCTION("""COMPUTED_VALUE""")," ")</f>
        <v> </v>
      </c>
      <c r="H1580" s="44" t="str">
        <f>IFERROR(__xludf.DUMMYFUNCTION("""COMPUTED_VALUE""")," ")</f>
        <v> </v>
      </c>
      <c r="I1580" s="44" t="str">
        <f>IFERROR(__xludf.DUMMYFUNCTION("""COMPUTED_VALUE"""),"Internado")</f>
        <v>Internado</v>
      </c>
      <c r="J1580" s="44" t="str">
        <f>IFERROR(__xludf.DUMMYFUNCTION("""COMPUTED_VALUE"""),"")</f>
        <v/>
      </c>
      <c r="K1580" s="42" t="str">
        <f>IFERROR(__xludf.DUMMYFUNCTION("""COMPUTED_VALUE"""),"🔍 BUSCAR PACIENTES")</f>
        <v>🔍 BUSCAR PACIENTES</v>
      </c>
    </row>
    <row r="1581">
      <c r="A1581" s="44">
        <v>1580.0</v>
      </c>
      <c r="B1581" s="44" t="str">
        <f>IFERROR(__xludf.DUMMYFUNCTION("""COMPUTED_VALUE"""),"Centro de Acopio Caraballeda")</f>
        <v>Centro de Acopio Caraballeda</v>
      </c>
      <c r="C1581" s="45" t="str">
        <f>IFERROR(__xludf.DUMMYFUNCTION("""COMPUTED_VALUE"""),"CONTRAMAESTRE SARAI")</f>
        <v>CONTRAMAESTRE SARAI</v>
      </c>
      <c r="D1581" s="44" t="str">
        <f>IFERROR(__xludf.DUMMYFUNCTION("""COMPUTED_VALUE""")," ")</f>
        <v> </v>
      </c>
      <c r="E1581" s="44" t="str">
        <f>IFERROR(__xludf.DUMMYFUNCTION("""COMPUTED_VALUE"""),"")</f>
        <v/>
      </c>
      <c r="F1581" s="44" t="str">
        <f>IFERROR(__xludf.DUMMYFUNCTION("""COMPUTED_VALUE"""),"")</f>
        <v/>
      </c>
      <c r="G1581" s="44" t="str">
        <f>IFERROR(__xludf.DUMMYFUNCTION("""COMPUTED_VALUE""")," ")</f>
        <v> </v>
      </c>
      <c r="H1581" s="44" t="str">
        <f>IFERROR(__xludf.DUMMYFUNCTION("""COMPUTED_VALUE""")," ")</f>
        <v> </v>
      </c>
      <c r="I1581" s="44" t="str">
        <f>IFERROR(__xludf.DUMMYFUNCTION("""COMPUTED_VALUE"""),"Internado")</f>
        <v>Internado</v>
      </c>
      <c r="J1581" s="44" t="str">
        <f>IFERROR(__xludf.DUMMYFUNCTION("""COMPUTED_VALUE"""),"")</f>
        <v/>
      </c>
      <c r="K1581" s="42" t="str">
        <f>IFERROR(__xludf.DUMMYFUNCTION("""COMPUTED_VALUE"""),"🔍 BUSCAR PACIENTES")</f>
        <v>🔍 BUSCAR PACIENTES</v>
      </c>
    </row>
    <row r="1582">
      <c r="A1582" s="44">
        <v>1581.0</v>
      </c>
      <c r="B1582" s="44" t="str">
        <f>IFERROR(__xludf.DUMMYFUNCTION("""COMPUTED_VALUE"""),"Centro de Acopio Caraballeda")</f>
        <v>Centro de Acopio Caraballeda</v>
      </c>
      <c r="C1582" s="45" t="str">
        <f>IFERROR(__xludf.DUMMYFUNCTION("""COMPUTED_VALUE"""),"CONTRERAS ANA")</f>
        <v>CONTRERAS ANA</v>
      </c>
      <c r="D1582" s="44" t="str">
        <f>IFERROR(__xludf.DUMMYFUNCTION("""COMPUTED_VALUE""")," ")</f>
        <v> </v>
      </c>
      <c r="E1582" s="44" t="str">
        <f>IFERROR(__xludf.DUMMYFUNCTION("""COMPUTED_VALUE"""),"")</f>
        <v/>
      </c>
      <c r="F1582" s="44" t="str">
        <f>IFERROR(__xludf.DUMMYFUNCTION("""COMPUTED_VALUE"""),"")</f>
        <v/>
      </c>
      <c r="G1582" s="44" t="str">
        <f>IFERROR(__xludf.DUMMYFUNCTION("""COMPUTED_VALUE""")," ")</f>
        <v> </v>
      </c>
      <c r="H1582" s="44" t="str">
        <f>IFERROR(__xludf.DUMMYFUNCTION("""COMPUTED_VALUE""")," ")</f>
        <v> </v>
      </c>
      <c r="I1582" s="44" t="str">
        <f>IFERROR(__xludf.DUMMYFUNCTION("""COMPUTED_VALUE"""),"Internado")</f>
        <v>Internado</v>
      </c>
      <c r="J1582" s="44" t="str">
        <f>IFERROR(__xludf.DUMMYFUNCTION("""COMPUTED_VALUE"""),"")</f>
        <v/>
      </c>
      <c r="K1582" s="42" t="str">
        <f>IFERROR(__xludf.DUMMYFUNCTION("""COMPUTED_VALUE"""),"🔍 BUSCAR PACIENTES")</f>
        <v>🔍 BUSCAR PACIENTES</v>
      </c>
    </row>
    <row r="1583">
      <c r="A1583" s="44">
        <v>1582.0</v>
      </c>
      <c r="B1583" s="44" t="str">
        <f>IFERROR(__xludf.DUMMYFUNCTION("""COMPUTED_VALUE"""),"Hospital Vargas de Caracas")</f>
        <v>Hospital Vargas de Caracas</v>
      </c>
      <c r="C1583" s="45" t="str">
        <f>IFERROR(__xludf.DUMMYFUNCTION("""COMPUTED_VALUE"""),"CONTRERAS JEANSPIER")</f>
        <v>CONTRERAS JEANSPIER</v>
      </c>
      <c r="D1583" s="44" t="str">
        <f>IFERROR(__xludf.DUMMYFUNCTION("""COMPUTED_VALUE""")," ")</f>
        <v> </v>
      </c>
      <c r="E1583" s="44" t="str">
        <f>IFERROR(__xludf.DUMMYFUNCTION("""COMPUTED_VALUE"""),"")</f>
        <v/>
      </c>
      <c r="F1583" s="44" t="str">
        <f>IFERROR(__xludf.DUMMYFUNCTION("""COMPUTED_VALUE""")," ")</f>
        <v> </v>
      </c>
      <c r="G1583" s="44" t="str">
        <f>IFERROR(__xludf.DUMMYFUNCTION("""COMPUTED_VALUE"""),"")</f>
        <v/>
      </c>
      <c r="H1583" s="44" t="str">
        <f>IFERROR(__xludf.DUMMYFUNCTION("""COMPUTED_VALUE""")," ")</f>
        <v> </v>
      </c>
      <c r="I1583" s="44" t="str">
        <f>IFERROR(__xludf.DUMMYFUNCTION("""COMPUTED_VALUE""")," ")</f>
        <v> </v>
      </c>
      <c r="J1583" s="44" t="str">
        <f>IFERROR(__xludf.DUMMYFUNCTION("""COMPUTED_VALUE"""),"")</f>
        <v/>
      </c>
      <c r="K1583" s="42" t="str">
        <f>IFERROR(__xludf.DUMMYFUNCTION("""COMPUTED_VALUE"""),"Hospital Vargas de Caracas")</f>
        <v>Hospital Vargas de Caracas</v>
      </c>
    </row>
    <row r="1584">
      <c r="A1584" s="44">
        <v>1583.0</v>
      </c>
      <c r="B1584" s="44" t="str">
        <f>IFERROR(__xludf.DUMMYFUNCTION("""COMPUTED_VALUE"""),"Hospital Pérez Carreño")</f>
        <v>Hospital Pérez Carreño</v>
      </c>
      <c r="C1584" s="45" t="str">
        <f>IFERROR(__xludf.DUMMYFUNCTION("""COMPUTED_VALUE"""),"CONTRERAS JORLY")</f>
        <v>CONTRERAS JORLY</v>
      </c>
      <c r="D1584" s="44" t="str">
        <f>IFERROR(__xludf.DUMMYFUNCTION("""COMPUTED_VALUE""")," ")</f>
        <v> </v>
      </c>
      <c r="E1584" s="44" t="str">
        <f>IFERROR(__xludf.DUMMYFUNCTION("""COMPUTED_VALUE"""),"")</f>
        <v/>
      </c>
      <c r="F1584" s="44" t="str">
        <f>IFERROR(__xludf.DUMMYFUNCTION("""COMPUTED_VALUE"""),"")</f>
        <v/>
      </c>
      <c r="G1584" s="44" t="str">
        <f>IFERROR(__xludf.DUMMYFUNCTION("""COMPUTED_VALUE""")," ")</f>
        <v> </v>
      </c>
      <c r="H1584" s="44" t="str">
        <f>IFERROR(__xludf.DUMMYFUNCTION("""COMPUTED_VALUE""")," ")</f>
        <v> </v>
      </c>
      <c r="I1584" s="44" t="str">
        <f>IFERROR(__xludf.DUMMYFUNCTION("""COMPUTED_VALUE"""),"Internado")</f>
        <v>Internado</v>
      </c>
      <c r="J1584" s="44" t="str">
        <f>IFERROR(__xludf.DUMMYFUNCTION("""COMPUTED_VALUE"""),"25/06/2026")</f>
        <v>25/06/2026</v>
      </c>
      <c r="K1584" s="42" t="str">
        <f>IFERROR(__xludf.DUMMYFUNCTION("""COMPUTED_VALUE"""),"Hospital Pérez Carreño")</f>
        <v>Hospital Pérez Carreño</v>
      </c>
    </row>
    <row r="1585">
      <c r="A1585" s="44">
        <v>1584.0</v>
      </c>
      <c r="B1585" s="44" t="str">
        <f>IFERROR(__xludf.DUMMYFUNCTION("""COMPUTED_VALUE"""),"Hospital Pérez Carreño")</f>
        <v>Hospital Pérez Carreño</v>
      </c>
      <c r="C1585" s="45" t="str">
        <f>IFERROR(__xludf.DUMMYFUNCTION("""COMPUTED_VALUE"""),"CONTRERAS JOSE")</f>
        <v>CONTRERAS JOSE</v>
      </c>
      <c r="D1585" s="44" t="str">
        <f>IFERROR(__xludf.DUMMYFUNCTION("""COMPUTED_VALUE""")," ")</f>
        <v> </v>
      </c>
      <c r="E1585" s="44" t="str">
        <f>IFERROR(__xludf.DUMMYFUNCTION("""COMPUTED_VALUE"""),"")</f>
        <v/>
      </c>
      <c r="F1585" s="44" t="str">
        <f>IFERROR(__xludf.DUMMYFUNCTION("""COMPUTED_VALUE"""),"")</f>
        <v/>
      </c>
      <c r="G1585" s="44" t="str">
        <f>IFERROR(__xludf.DUMMYFUNCTION("""COMPUTED_VALUE""")," ")</f>
        <v> </v>
      </c>
      <c r="H1585" s="44" t="str">
        <f>IFERROR(__xludf.DUMMYFUNCTION("""COMPUTED_VALUE""")," ")</f>
        <v> </v>
      </c>
      <c r="I1585" s="44" t="str">
        <f>IFERROR(__xludf.DUMMYFUNCTION("""COMPUTED_VALUE"""),"Internado")</f>
        <v>Internado</v>
      </c>
      <c r="J1585" s="44" t="str">
        <f>IFERROR(__xludf.DUMMYFUNCTION("""COMPUTED_VALUE"""),"25/06/2026")</f>
        <v>25/06/2026</v>
      </c>
      <c r="K1585" s="42" t="str">
        <f>IFERROR(__xludf.DUMMYFUNCTION("""COMPUTED_VALUE"""),"Hospital Pérez Carreño")</f>
        <v>Hospital Pérez Carreño</v>
      </c>
    </row>
    <row r="1586">
      <c r="A1586" s="44">
        <v>1585.0</v>
      </c>
      <c r="B1586" s="44" t="str">
        <f>IFERROR(__xludf.DUMMYFUNCTION("""COMPUTED_VALUE"""),"Hospital Pérez Carreño")</f>
        <v>Hospital Pérez Carreño</v>
      </c>
      <c r="C1586" s="45" t="str">
        <f>IFERROR(__xludf.DUMMYFUNCTION("""COMPUTED_VALUE"""),"Contreras Yarelis")</f>
        <v>Contreras Yarelis</v>
      </c>
      <c r="D1586" s="44"/>
      <c r="E1586" s="44" t="str">
        <f>IFERROR(__xludf.DUMMYFUNCTION("""COMPUTED_VALUE"""),"")</f>
        <v/>
      </c>
      <c r="F1586" s="44" t="str">
        <f>IFERROR(__xludf.DUMMYFUNCTION("""COMPUTED_VALUE"""),"")</f>
        <v/>
      </c>
      <c r="G1586" s="44" t="str">
        <f>IFERROR(__xludf.DUMMYFUNCTION("""COMPUTED_VALUE"""),"Traslados con destino asignado")</f>
        <v>Traslados con destino asignado</v>
      </c>
      <c r="H1586" s="44" t="str">
        <f>IFERROR(__xludf.DUMMYFUNCTION("""COMPUTED_VALUE"""),"Hospital Miguel Perez Carreño")</f>
        <v>Hospital Miguel Perez Carreño</v>
      </c>
      <c r="I1586" s="44"/>
      <c r="J1586" s="44" t="str">
        <f>IFERROR(__xludf.DUMMYFUNCTION("""COMPUTED_VALUE"""),"26/6/26")</f>
        <v>26/6/26</v>
      </c>
      <c r="K1586" s="42" t="str">
        <f>IFERROR(__xludf.DUMMYFUNCTION("""COMPUTED_VALUE"""),"Hospital Pérez Carreño")</f>
        <v>Hospital Pérez Carreño</v>
      </c>
    </row>
    <row r="1587">
      <c r="A1587" s="44">
        <v>1586.0</v>
      </c>
      <c r="B1587" s="44" t="str">
        <f>IFERROR(__xludf.DUMMYFUNCTION("""COMPUTED_VALUE"""),"Hospital Pérez Carreño")</f>
        <v>Hospital Pérez Carreño</v>
      </c>
      <c r="C1587" s="45" t="str">
        <f>IFERROR(__xludf.DUMMYFUNCTION("""COMPUTED_VALUE"""),"CONTRERAS YORGI / CONTRERAS YORXI")</f>
        <v>CONTRERAS YORGI / CONTRERAS YORXI</v>
      </c>
      <c r="D1587" s="44" t="str">
        <f>IFERROR(__xludf.DUMMYFUNCTION("""COMPUTED_VALUE""")," ")</f>
        <v> </v>
      </c>
      <c r="E1587" s="44" t="str">
        <f>IFERROR(__xludf.DUMMYFUNCTION("""COMPUTED_VALUE"""),"")</f>
        <v/>
      </c>
      <c r="F1587" s="44" t="str">
        <f>IFERROR(__xludf.DUMMYFUNCTION("""COMPUTED_VALUE"""),"")</f>
        <v/>
      </c>
      <c r="G1587" s="44" t="str">
        <f>IFERROR(__xludf.DUMMYFUNCTION("""COMPUTED_VALUE""")," ")</f>
        <v> </v>
      </c>
      <c r="H1587" s="44" t="str">
        <f>IFERROR(__xludf.DUMMYFUNCTION("""COMPUTED_VALUE""")," ")</f>
        <v> </v>
      </c>
      <c r="I1587" s="44" t="str">
        <f>IFERROR(__xludf.DUMMYFUNCTION("""COMPUTED_VALUE"""),"Traumashock")</f>
        <v>Traumashock</v>
      </c>
      <c r="J1587" s="44" t="str">
        <f>IFERROR(__xludf.DUMMYFUNCTION("""COMPUTED_VALUE"""),"25/06/2026")</f>
        <v>25/06/2026</v>
      </c>
      <c r="K1587" s="42" t="str">
        <f>IFERROR(__xludf.DUMMYFUNCTION("""COMPUTED_VALUE"""),"Hospital Pérez Carreño")</f>
        <v>Hospital Pérez Carreño</v>
      </c>
    </row>
    <row r="1588">
      <c r="A1588" s="44">
        <v>1587.0</v>
      </c>
      <c r="B1588" s="44" t="str">
        <f>IFERROR(__xludf.DUMMYFUNCTION("""COMPUTED_VALUE"""),"Hospital Pérez Carreño")</f>
        <v>Hospital Pérez Carreño</v>
      </c>
      <c r="C1588" s="45" t="str">
        <f>IFERROR(__xludf.DUMMYFUNCTION("""COMPUTED_VALUE"""),"CONTRERAS YORYI")</f>
        <v>CONTRERAS YORYI</v>
      </c>
      <c r="D1588" s="44" t="str">
        <f>IFERROR(__xludf.DUMMYFUNCTION("""COMPUTED_VALUE""")," ")</f>
        <v> </v>
      </c>
      <c r="E1588" s="44" t="str">
        <f>IFERROR(__xludf.DUMMYFUNCTION("""COMPUTED_VALUE"""),"")</f>
        <v/>
      </c>
      <c r="F1588" s="44" t="str">
        <f>IFERROR(__xludf.DUMMYFUNCTION("""COMPUTED_VALUE"""),"")</f>
        <v/>
      </c>
      <c r="G1588" s="44" t="str">
        <f>IFERROR(__xludf.DUMMYFUNCTION("""COMPUTED_VALUE""")," ")</f>
        <v> </v>
      </c>
      <c r="H1588" s="44" t="str">
        <f>IFERROR(__xludf.DUMMYFUNCTION("""COMPUTED_VALUE""")," ")</f>
        <v> </v>
      </c>
      <c r="I1588" s="44" t="str">
        <f>IFERROR(__xludf.DUMMYFUNCTION("""COMPUTED_VALUE"""),"Traumashock")</f>
        <v>Traumashock</v>
      </c>
      <c r="J1588" s="44" t="str">
        <f>IFERROR(__xludf.DUMMYFUNCTION("""COMPUTED_VALUE"""),"25/06/2026")</f>
        <v>25/06/2026</v>
      </c>
      <c r="K1588" s="42" t="str">
        <f>IFERROR(__xludf.DUMMYFUNCTION("""COMPUTED_VALUE"""),"Hospital Pérez Carreño")</f>
        <v>Hospital Pérez Carreño</v>
      </c>
    </row>
    <row r="1589">
      <c r="A1589" s="44">
        <v>1588.0</v>
      </c>
      <c r="B1589" s="44" t="str">
        <f>IFERROR(__xludf.DUMMYFUNCTION("""COMPUTED_VALUE"""),"Hospital Domingo Luciani")</f>
        <v>Hospital Domingo Luciani</v>
      </c>
      <c r="C1589" s="45" t="str">
        <f>IFERROR(__xludf.DUMMYFUNCTION("""COMPUTED_VALUE"""),"Corbos Chacón")</f>
        <v>Corbos Chacón</v>
      </c>
      <c r="D1589" s="44">
        <f>IFERROR(__xludf.DUMMYFUNCTION("""COMPUTED_VALUE"""),13.0)</f>
        <v>13</v>
      </c>
      <c r="E1589" s="44" t="str">
        <f>IFERROR(__xludf.DUMMYFUNCTION("""COMPUTED_VALUE"""),"")</f>
        <v/>
      </c>
      <c r="F1589" s="44" t="str">
        <f>IFERROR(__xludf.DUMMYFUNCTION("""COMPUTED_VALUE"""),"")</f>
        <v/>
      </c>
      <c r="G1589" s="44"/>
      <c r="H1589" s="44"/>
      <c r="I1589" s="44"/>
      <c r="J1589" s="44" t="str">
        <f>IFERROR(__xludf.DUMMYFUNCTION("""COMPUTED_VALUE"""),"")</f>
        <v/>
      </c>
      <c r="K1589" s="42" t="str">
        <f>IFERROR(__xludf.DUMMYFUNCTION("""COMPUTED_VALUE"""),"Hospital Domingo Luciani")</f>
        <v>Hospital Domingo Luciani</v>
      </c>
    </row>
    <row r="1590">
      <c r="A1590" s="44">
        <v>1589.0</v>
      </c>
      <c r="B1590" s="44" t="str">
        <f>IFERROR(__xludf.DUMMYFUNCTION("""COMPUTED_VALUE"""),"Hospital Pérez Carreño")</f>
        <v>Hospital Pérez Carreño</v>
      </c>
      <c r="C1590" s="45" t="str">
        <f>IFERROR(__xludf.DUMMYFUNCTION("""COMPUTED_VALUE"""),"CORDERO ALEXIS JOSEFINA")</f>
        <v>CORDERO ALEXIS JOSEFINA</v>
      </c>
      <c r="D1590" s="44" t="str">
        <f>IFERROR(__xludf.DUMMYFUNCTION("""COMPUTED_VALUE""")," ")</f>
        <v> </v>
      </c>
      <c r="E1590" s="44" t="str">
        <f>IFERROR(__xludf.DUMMYFUNCTION("""COMPUTED_VALUE"""),"")</f>
        <v/>
      </c>
      <c r="F1590" s="44" t="str">
        <f>IFERROR(__xludf.DUMMYFUNCTION("""COMPUTED_VALUE"""),"")</f>
        <v/>
      </c>
      <c r="G1590" s="44" t="str">
        <f>IFERROR(__xludf.DUMMYFUNCTION("""COMPUTED_VALUE""")," ")</f>
        <v> </v>
      </c>
      <c r="H1590" s="44" t="str">
        <f>IFERROR(__xludf.DUMMYFUNCTION("""COMPUTED_VALUE""")," ")</f>
        <v> </v>
      </c>
      <c r="I1590" s="44" t="str">
        <f>IFERROR(__xludf.DUMMYFUNCTION("""COMPUTED_VALUE"""),"Traumashock")</f>
        <v>Traumashock</v>
      </c>
      <c r="J1590" s="44" t="str">
        <f>IFERROR(__xludf.DUMMYFUNCTION("""COMPUTED_VALUE"""),"25/06/2026")</f>
        <v>25/06/2026</v>
      </c>
      <c r="K1590" s="42" t="str">
        <f>IFERROR(__xludf.DUMMYFUNCTION("""COMPUTED_VALUE"""),"Hospital Pérez Carreño")</f>
        <v>Hospital Pérez Carreño</v>
      </c>
    </row>
    <row r="1591">
      <c r="A1591" s="44">
        <v>1590.0</v>
      </c>
      <c r="B1591" s="44" t="str">
        <f>IFERROR(__xludf.DUMMYFUNCTION("""COMPUTED_VALUE"""),"Hospital Pérez Carreño")</f>
        <v>Hospital Pérez Carreño</v>
      </c>
      <c r="C1591" s="45" t="str">
        <f>IFERROR(__xludf.DUMMYFUNCTION("""COMPUTED_VALUE"""),"Cordero Galaxis Josefina")</f>
        <v>Cordero Galaxis Josefina</v>
      </c>
      <c r="D1591" s="44"/>
      <c r="E1591" s="44" t="str">
        <f>IFERROR(__xludf.DUMMYFUNCTION("""COMPUTED_VALUE"""),"")</f>
        <v/>
      </c>
      <c r="F1591" s="44" t="str">
        <f>IFERROR(__xludf.DUMMYFUNCTION("""COMPUTED_VALUE"""),"")</f>
        <v/>
      </c>
      <c r="G1591" s="44" t="str">
        <f>IFERROR(__xludf.DUMMYFUNCTION("""COMPUTED_VALUE"""),"Traslados con destino asignado")</f>
        <v>Traslados con destino asignado</v>
      </c>
      <c r="H1591" s="44" t="str">
        <f>IFERROR(__xludf.DUMMYFUNCTION("""COMPUTED_VALUE"""),"Hospital Miguel Perez Carreño")</f>
        <v>Hospital Miguel Perez Carreño</v>
      </c>
      <c r="I1591" s="44"/>
      <c r="J1591" s="44" t="str">
        <f>IFERROR(__xludf.DUMMYFUNCTION("""COMPUTED_VALUE"""),"26/6/26")</f>
        <v>26/6/26</v>
      </c>
      <c r="K1591" s="42" t="str">
        <f>IFERROR(__xludf.DUMMYFUNCTION("""COMPUTED_VALUE"""),"Hospital Pérez Carreño")</f>
        <v>Hospital Pérez Carreño</v>
      </c>
    </row>
    <row r="1592">
      <c r="A1592" s="44">
        <v>1591.0</v>
      </c>
      <c r="B1592" s="44" t="str">
        <f>IFERROR(__xludf.DUMMYFUNCTION("""COMPUTED_VALUE"""),"La Guaira Sin Hospital")</f>
        <v>La Guaira Sin Hospital</v>
      </c>
      <c r="C1592" s="45" t="str">
        <f>IFERROR(__xludf.DUMMYFUNCTION("""COMPUTED_VALUE"""),"Cordero Parra Willians Jose")</f>
        <v>Cordero Parra Willians Jose</v>
      </c>
      <c r="D1592" s="44" t="str">
        <f>IFERROR(__xludf.DUMMYFUNCTION("""COMPUTED_VALUE"""),"")</f>
        <v/>
      </c>
      <c r="E1592" s="44" t="str">
        <f>IFERROR(__xludf.DUMMYFUNCTION("""COMPUTED_VALUE"""),"")</f>
        <v/>
      </c>
      <c r="F1592" s="44" t="str">
        <f>IFERROR(__xludf.DUMMYFUNCTION("""COMPUTED_VALUE"""),"")</f>
        <v/>
      </c>
      <c r="G1592" s="44" t="str">
        <f>IFERROR(__xludf.DUMMYFUNCTION("""COMPUTED_VALUE"""),"")</f>
        <v/>
      </c>
      <c r="H1592" s="44"/>
      <c r="I1592" s="44" t="str">
        <f>IFERROR(__xludf.DUMMYFUNCTION("""COMPUTED_VALUE"""),"Listas solo con nombre")</f>
        <v>Listas solo con nombre</v>
      </c>
      <c r="J1592" s="44" t="str">
        <f>IFERROR(__xludf.DUMMYFUNCTION("""COMPUTED_VALUE"""),"")</f>
        <v/>
      </c>
      <c r="K1592" s="42" t="str">
        <f>IFERROR(__xludf.DUMMYFUNCTION("""COMPUTED_VALUE"""),"La Guaira Sin Hospital")</f>
        <v>La Guaira Sin Hospital</v>
      </c>
    </row>
    <row r="1593">
      <c r="A1593" s="44">
        <v>1592.0</v>
      </c>
      <c r="B1593" s="44" t="str">
        <f>IFERROR(__xludf.DUMMYFUNCTION("""COMPUTED_VALUE"""),"Hospital Pérez Carreño")</f>
        <v>Hospital Pérez Carreño</v>
      </c>
      <c r="C1593" s="45" t="str">
        <f>IFERROR(__xludf.DUMMYFUNCTION("""COMPUTED_VALUE"""),"CORDERO PARYA WILLIAMS JOSE")</f>
        <v>CORDERO PARYA WILLIAMS JOSE</v>
      </c>
      <c r="D1593" s="44" t="str">
        <f>IFERROR(__xludf.DUMMYFUNCTION("""COMPUTED_VALUE""")," ")</f>
        <v> </v>
      </c>
      <c r="E1593" s="44" t="str">
        <f>IFERROR(__xludf.DUMMYFUNCTION("""COMPUTED_VALUE"""),"")</f>
        <v/>
      </c>
      <c r="F1593" s="44" t="str">
        <f>IFERROR(__xludf.DUMMYFUNCTION("""COMPUTED_VALUE"""),"")</f>
        <v/>
      </c>
      <c r="G1593" s="44" t="str">
        <f>IFERROR(__xludf.DUMMYFUNCTION("""COMPUTED_VALUE""")," ")</f>
        <v> </v>
      </c>
      <c r="H1593" s="44" t="str">
        <f>IFERROR(__xludf.DUMMYFUNCTION("""COMPUTED_VALUE""")," ")</f>
        <v> </v>
      </c>
      <c r="I1593" s="44" t="str">
        <f>IFERROR(__xludf.DUMMYFUNCTION("""COMPUTED_VALUE"""),"Internado")</f>
        <v>Internado</v>
      </c>
      <c r="J1593" s="44" t="str">
        <f>IFERROR(__xludf.DUMMYFUNCTION("""COMPUTED_VALUE"""),"25/06/2026")</f>
        <v>25/06/2026</v>
      </c>
      <c r="K1593" s="42" t="str">
        <f>IFERROR(__xludf.DUMMYFUNCTION("""COMPUTED_VALUE"""),"Hospital Pérez Carreño")</f>
        <v>Hospital Pérez Carreño</v>
      </c>
    </row>
    <row r="1594">
      <c r="A1594" s="44">
        <v>1593.0</v>
      </c>
      <c r="B1594" s="44" t="str">
        <f>IFERROR(__xludf.DUMMYFUNCTION("""COMPUTED_VALUE"""),"Hospital Pérez Carreño")</f>
        <v>Hospital Pérez Carreño</v>
      </c>
      <c r="C1594" s="45" t="str">
        <f>IFERROR(__xludf.DUMMYFUNCTION("""COMPUTED_VALUE"""),"Cordero Paryo Williams Jose")</f>
        <v>Cordero Paryo Williams Jose</v>
      </c>
      <c r="D1594" s="44"/>
      <c r="E1594" s="44" t="str">
        <f>IFERROR(__xludf.DUMMYFUNCTION("""COMPUTED_VALUE"""),"")</f>
        <v/>
      </c>
      <c r="F1594" s="44" t="str">
        <f>IFERROR(__xludf.DUMMYFUNCTION("""COMPUTED_VALUE"""),"")</f>
        <v/>
      </c>
      <c r="G1594" s="44" t="str">
        <f>IFERROR(__xludf.DUMMYFUNCTION("""COMPUTED_VALUE"""),"Traslados")</f>
        <v>Traslados</v>
      </c>
      <c r="H1594" s="44" t="str">
        <f>IFERROR(__xludf.DUMMYFUNCTION("""COMPUTED_VALUE"""),"Hospital Miguel Perez Carreño")</f>
        <v>Hospital Miguel Perez Carreño</v>
      </c>
      <c r="I1594" s="44"/>
      <c r="J1594" s="44" t="str">
        <f>IFERROR(__xludf.DUMMYFUNCTION("""COMPUTED_VALUE"""),"26/6/26")</f>
        <v>26/6/26</v>
      </c>
      <c r="K1594" s="42" t="str">
        <f>IFERROR(__xludf.DUMMYFUNCTION("""COMPUTED_VALUE"""),"Hospital Pérez Carreño")</f>
        <v>Hospital Pérez Carreño</v>
      </c>
    </row>
    <row r="1595">
      <c r="A1595" s="44">
        <v>1594.0</v>
      </c>
      <c r="B1595" s="44" t="str">
        <f>IFERROR(__xludf.DUMMYFUNCTION("""COMPUTED_VALUE"""),"Hospital Pérez Carreño")</f>
        <v>Hospital Pérez Carreño</v>
      </c>
      <c r="C1595" s="45" t="str">
        <f>IFERROR(__xludf.DUMMYFUNCTION("""COMPUTED_VALUE"""),"CORDOBA DAYANA")</f>
        <v>CORDOBA DAYANA</v>
      </c>
      <c r="D1595" s="44" t="str">
        <f>IFERROR(__xludf.DUMMYFUNCTION("""COMPUTED_VALUE""")," ")</f>
        <v> </v>
      </c>
      <c r="E1595" s="44" t="str">
        <f>IFERROR(__xludf.DUMMYFUNCTION("""COMPUTED_VALUE"""),"")</f>
        <v/>
      </c>
      <c r="F1595" s="44" t="str">
        <f>IFERROR(__xludf.DUMMYFUNCTION("""COMPUTED_VALUE"""),"")</f>
        <v/>
      </c>
      <c r="G1595" s="44" t="str">
        <f>IFERROR(__xludf.DUMMYFUNCTION("""COMPUTED_VALUE""")," ")</f>
        <v> </v>
      </c>
      <c r="H1595" s="44" t="str">
        <f>IFERROR(__xludf.DUMMYFUNCTION("""COMPUTED_VALUE""")," ")</f>
        <v> </v>
      </c>
      <c r="I1595" s="44" t="str">
        <f>IFERROR(__xludf.DUMMYFUNCTION("""COMPUTED_VALUE"""),"Traumashock")</f>
        <v>Traumashock</v>
      </c>
      <c r="J1595" s="44" t="str">
        <f>IFERROR(__xludf.DUMMYFUNCTION("""COMPUTED_VALUE"""),"25/06/2026")</f>
        <v>25/06/2026</v>
      </c>
      <c r="K1595" s="42" t="str">
        <f>IFERROR(__xludf.DUMMYFUNCTION("""COMPUTED_VALUE"""),"Hospital Pérez Carreño")</f>
        <v>Hospital Pérez Carreño</v>
      </c>
    </row>
    <row r="1596">
      <c r="A1596" s="44">
        <v>1595.0</v>
      </c>
      <c r="B1596" s="44" t="str">
        <f>IFERROR(__xludf.DUMMYFUNCTION("""COMPUTED_VALUE"""),"Hospital Ricardo Baquero González")</f>
        <v>Hospital Ricardo Baquero González</v>
      </c>
      <c r="C1596" s="45" t="str">
        <f>IFERROR(__xludf.DUMMYFUNCTION("""COMPUTED_VALUE"""),"CORDOBA EDUANYELIS")</f>
        <v>CORDOBA EDUANYELIS</v>
      </c>
      <c r="D1596" s="44">
        <f>IFERROR(__xludf.DUMMYFUNCTION("""COMPUTED_VALUE"""),6.0)</f>
        <v>6</v>
      </c>
      <c r="E1596" s="44" t="str">
        <f>IFERROR(__xludf.DUMMYFUNCTION("""COMPUTED_VALUE"""),"")</f>
        <v/>
      </c>
      <c r="F1596" s="44" t="str">
        <f>IFERROR(__xludf.DUMMYFUNCTION("""COMPUTED_VALUE"""),"")</f>
        <v/>
      </c>
      <c r="G1596" s="44" t="str">
        <f>IFERROR(__xludf.DUMMYFUNCTION("""COMPUTED_VALUE""")," ")</f>
        <v> </v>
      </c>
      <c r="H1596" s="44" t="str">
        <f>IFERROR(__xludf.DUMMYFUNCTION("""COMPUTED_VALUE""")," ")</f>
        <v> </v>
      </c>
      <c r="I1596" s="44" t="str">
        <f>IFERROR(__xludf.DUMMYFUNCTION("""COMPUTED_VALUE"""),"Internado; Cirugía General")</f>
        <v>Internado; Cirugía General</v>
      </c>
      <c r="J1596" s="44" t="str">
        <f>IFERROR(__xludf.DUMMYFUNCTION("""COMPUTED_VALUE"""),"")</f>
        <v/>
      </c>
      <c r="K1596" s="42" t="str">
        <f>IFERROR(__xludf.DUMMYFUNCTION("""COMPUTED_VALUE"""),"🔍 BUSCAR PACIENTES")</f>
        <v>🔍 BUSCAR PACIENTES</v>
      </c>
    </row>
    <row r="1597">
      <c r="A1597" s="44">
        <v>1596.0</v>
      </c>
      <c r="B1597" s="44" t="str">
        <f>IFERROR(__xludf.DUMMYFUNCTION("""COMPUTED_VALUE"""),"Hospital Pérez Carreño")</f>
        <v>Hospital Pérez Carreño</v>
      </c>
      <c r="C1597" s="45" t="str">
        <f>IFERROR(__xludf.DUMMYFUNCTION("""COMPUTED_VALUE"""),"Cordona Dayana")</f>
        <v>Cordona Dayana</v>
      </c>
      <c r="D1597" s="44"/>
      <c r="E1597" s="44" t="str">
        <f>IFERROR(__xludf.DUMMYFUNCTION("""COMPUTED_VALUE"""),"")</f>
        <v/>
      </c>
      <c r="F1597" s="44" t="str">
        <f>IFERROR(__xludf.DUMMYFUNCTION("""COMPUTED_VALUE"""),"")</f>
        <v/>
      </c>
      <c r="G1597" s="44" t="str">
        <f>IFERROR(__xludf.DUMMYFUNCTION("""COMPUTED_VALUE"""),"Traslados con destino asignado")</f>
        <v>Traslados con destino asignado</v>
      </c>
      <c r="H1597" s="44" t="str">
        <f>IFERROR(__xludf.DUMMYFUNCTION("""COMPUTED_VALUE"""),"Hospital Miguel Perez Carreño")</f>
        <v>Hospital Miguel Perez Carreño</v>
      </c>
      <c r="I1597" s="44"/>
      <c r="J1597" s="44" t="str">
        <f>IFERROR(__xludf.DUMMYFUNCTION("""COMPUTED_VALUE"""),"26/6/26")</f>
        <v>26/6/26</v>
      </c>
      <c r="K1597" s="42" t="str">
        <f>IFERROR(__xludf.DUMMYFUNCTION("""COMPUTED_VALUE"""),"Hospital Pérez Carreño")</f>
        <v>Hospital Pérez Carreño</v>
      </c>
    </row>
    <row r="1598">
      <c r="A1598" s="44">
        <v>1597.0</v>
      </c>
      <c r="B1598" s="44" t="str">
        <f>IFERROR(__xludf.DUMMYFUNCTION("""COMPUTED_VALUE"""),"Hospital Domingo Luciani")</f>
        <v>Hospital Domingo Luciani</v>
      </c>
      <c r="C1598" s="45" t="str">
        <f>IFERROR(__xludf.DUMMYFUNCTION("""COMPUTED_VALUE"""),"CORDOVA ARNALDO")</f>
        <v>CORDOVA ARNALDO</v>
      </c>
      <c r="D1598" s="44">
        <f>IFERROR(__xludf.DUMMYFUNCTION("""COMPUTED_VALUE"""),19.0)</f>
        <v>19</v>
      </c>
      <c r="E1598" s="44" t="str">
        <f>IFERROR(__xludf.DUMMYFUNCTION("""COMPUTED_VALUE"""),"")</f>
        <v/>
      </c>
      <c r="F1598" s="44" t="str">
        <f>IFERROR(__xludf.DUMMYFUNCTION("""COMPUTED_VALUE"""),"")</f>
        <v/>
      </c>
      <c r="G1598" s="44" t="str">
        <f>IFERROR(__xludf.DUMMYFUNCTION("""COMPUTED_VALUE""")," ")</f>
        <v> </v>
      </c>
      <c r="H1598" s="44" t="str">
        <f>IFERROR(__xludf.DUMMYFUNCTION("""COMPUTED_VALUE""")," ")</f>
        <v> </v>
      </c>
      <c r="I1598" s="44" t="str">
        <f>IFERROR(__xludf.DUMMYFUNCTION("""COMPUTED_VALUE""")," ")</f>
        <v> </v>
      </c>
      <c r="J1598" s="44" t="str">
        <f>IFERROR(__xludf.DUMMYFUNCTION("""COMPUTED_VALUE"""),"")</f>
        <v/>
      </c>
      <c r="K1598" s="42" t="str">
        <f>IFERROR(__xludf.DUMMYFUNCTION("""COMPUTED_VALUE"""),"🔍 BUSCAR PACIENTES")</f>
        <v>🔍 BUSCAR PACIENTES</v>
      </c>
    </row>
    <row r="1599">
      <c r="A1599" s="44">
        <v>1598.0</v>
      </c>
      <c r="B1599" s="44" t="str">
        <f>IFERROR(__xludf.DUMMYFUNCTION("""COMPUTED_VALUE"""),"Campo de Golf Playa los Cocos")</f>
        <v>Campo de Golf Playa los Cocos</v>
      </c>
      <c r="C1599" s="45" t="str">
        <f>IFERROR(__xludf.DUMMYFUNCTION("""COMPUTED_VALUE"""),"Coromoto Larez")</f>
        <v>Coromoto Larez</v>
      </c>
      <c r="D1599" s="44" t="str">
        <f>IFERROR(__xludf.DUMMYFUNCTION("""COMPUTED_VALUE"""),"")</f>
        <v/>
      </c>
      <c r="E1599" s="44" t="str">
        <f>IFERROR(__xludf.DUMMYFUNCTION("""COMPUTED_VALUE"""),"")</f>
        <v/>
      </c>
      <c r="F1599" s="44" t="str">
        <f>IFERROR(__xludf.DUMMYFUNCTION("""COMPUTED_VALUE"""),"")</f>
        <v/>
      </c>
      <c r="G1599" s="44" t="str">
        <f>IFERROR(__xludf.DUMMYFUNCTION("""COMPUTED_VALUE"""),"")</f>
        <v/>
      </c>
      <c r="H1599" s="44" t="str">
        <f>IFERROR(__xludf.DUMMYFUNCTION("""COMPUTED_VALUE"""),"")</f>
        <v/>
      </c>
      <c r="I1599" s="44"/>
      <c r="J1599" s="44" t="str">
        <f>IFERROR(__xludf.DUMMYFUNCTION("""COMPUTED_VALUE"""),"")</f>
        <v/>
      </c>
      <c r="K1599" s="42" t="str">
        <f>IFERROR(__xludf.DUMMYFUNCTION("""COMPUTED_VALUE"""),"Campo de Golf Playa los Cocos")</f>
        <v>Campo de Golf Playa los Cocos</v>
      </c>
    </row>
    <row r="1600">
      <c r="A1600" s="44">
        <v>1599.0</v>
      </c>
      <c r="B1600" s="44" t="str">
        <f>IFERROR(__xludf.DUMMYFUNCTION("""COMPUTED_VALUE"""),"Hospital Pérez Carreño")</f>
        <v>Hospital Pérez Carreño</v>
      </c>
      <c r="C1600" s="45" t="str">
        <f>IFERROR(__xludf.DUMMYFUNCTION("""COMPUTED_VALUE"""),"Coronado Yasenia")</f>
        <v>Coronado Yasenia</v>
      </c>
      <c r="D1600" s="44"/>
      <c r="E1600" s="44" t="str">
        <f>IFERROR(__xludf.DUMMYFUNCTION("""COMPUTED_VALUE"""),"")</f>
        <v/>
      </c>
      <c r="F1600" s="44" t="str">
        <f>IFERROR(__xludf.DUMMYFUNCTION("""COMPUTED_VALUE"""),"")</f>
        <v/>
      </c>
      <c r="G1600" s="44" t="str">
        <f>IFERROR(__xludf.DUMMYFUNCTION("""COMPUTED_VALUE"""),"Traslados con destino asignado")</f>
        <v>Traslados con destino asignado</v>
      </c>
      <c r="H1600" s="44" t="str">
        <f>IFERROR(__xludf.DUMMYFUNCTION("""COMPUTED_VALUE"""),"Hospital Miguel Perez Carreño")</f>
        <v>Hospital Miguel Perez Carreño</v>
      </c>
      <c r="I1600" s="44"/>
      <c r="J1600" s="44" t="str">
        <f>IFERROR(__xludf.DUMMYFUNCTION("""COMPUTED_VALUE"""),"26/6/26")</f>
        <v>26/6/26</v>
      </c>
      <c r="K1600" s="42" t="str">
        <f>IFERROR(__xludf.DUMMYFUNCTION("""COMPUTED_VALUE"""),"Hospital Pérez Carreño")</f>
        <v>Hospital Pérez Carreño</v>
      </c>
    </row>
    <row r="1601">
      <c r="A1601" s="44">
        <v>1600.0</v>
      </c>
      <c r="B1601" s="44" t="str">
        <f>IFERROR(__xludf.DUMMYFUNCTION("""COMPUTED_VALUE"""),"Hospital Pérez Carreño")</f>
        <v>Hospital Pérez Carreño</v>
      </c>
      <c r="C1601" s="45" t="str">
        <f>IFERROR(__xludf.DUMMYFUNCTION("""COMPUTED_VALUE"""),"CORONADO YESENIA")</f>
        <v>CORONADO YESENIA</v>
      </c>
      <c r="D1601" s="44">
        <f>IFERROR(__xludf.DUMMYFUNCTION("""COMPUTED_VALUE"""),6.0)</f>
        <v>6</v>
      </c>
      <c r="E1601" s="44" t="str">
        <f>IFERROR(__xludf.DUMMYFUNCTION("""COMPUTED_VALUE"""),"")</f>
        <v/>
      </c>
      <c r="F1601" s="44" t="str">
        <f>IFERROR(__xludf.DUMMYFUNCTION("""COMPUTED_VALUE"""),"")</f>
        <v/>
      </c>
      <c r="G1601" s="44" t="str">
        <f>IFERROR(__xludf.DUMMYFUNCTION("""COMPUTED_VALUE""")," ")</f>
        <v> </v>
      </c>
      <c r="H1601" s="44" t="str">
        <f>IFERROR(__xludf.DUMMYFUNCTION("""COMPUTED_VALUE""")," ")</f>
        <v> </v>
      </c>
      <c r="I1601" s="44" t="str">
        <f>IFERROR(__xludf.DUMMYFUNCTION("""COMPUTED_VALUE"""),"Traumashock")</f>
        <v>Traumashock</v>
      </c>
      <c r="J1601" s="44" t="str">
        <f>IFERROR(__xludf.DUMMYFUNCTION("""COMPUTED_VALUE"""),"25/06/2026")</f>
        <v>25/06/2026</v>
      </c>
      <c r="K1601" s="42" t="str">
        <f>IFERROR(__xludf.DUMMYFUNCTION("""COMPUTED_VALUE"""),"Hospital Pérez Carreño")</f>
        <v>Hospital Pérez Carreño</v>
      </c>
    </row>
    <row r="1602">
      <c r="A1602" s="44">
        <v>1601.0</v>
      </c>
      <c r="B1602" s="44" t="str">
        <f>IFERROR(__xludf.DUMMYFUNCTION("""COMPUTED_VALUE"""),"H. Jose Maria Vargas LG")</f>
        <v>H. Jose Maria Vargas LG</v>
      </c>
      <c r="C1602" s="45" t="str">
        <f>IFERROR(__xludf.DUMMYFUNCTION("""COMPUTED_VALUE"""),"CORONEL JOSNEL")</f>
        <v>CORONEL JOSNEL</v>
      </c>
      <c r="D1602" s="44" t="str">
        <f>IFERROR(__xludf.DUMMYFUNCTION("""COMPUTED_VALUE""")," ")</f>
        <v> </v>
      </c>
      <c r="E1602" s="44" t="str">
        <f>IFERROR(__xludf.DUMMYFUNCTION("""COMPUTED_VALUE"""),"")</f>
        <v/>
      </c>
      <c r="F1602" s="44" t="str">
        <f>IFERROR(__xludf.DUMMYFUNCTION("""COMPUTED_VALUE"""),"")</f>
        <v/>
      </c>
      <c r="G1602" s="44" t="str">
        <f>IFERROR(__xludf.DUMMYFUNCTION("""COMPUTED_VALUE""")," ")</f>
        <v> </v>
      </c>
      <c r="H1602" s="44" t="str">
        <f>IFERROR(__xludf.DUMMYFUNCTION("""COMPUTED_VALUE""")," ")</f>
        <v> </v>
      </c>
      <c r="I1602" s="44" t="str">
        <f>IFERROR(__xludf.DUMMYFUNCTION("""COMPUTED_VALUE"""),"Internado")</f>
        <v>Internado</v>
      </c>
      <c r="J1602" s="44" t="str">
        <f>IFERROR(__xludf.DUMMYFUNCTION("""COMPUTED_VALUE"""),"")</f>
        <v/>
      </c>
      <c r="K1602" s="42" t="str">
        <f>IFERROR(__xludf.DUMMYFUNCTION("""COMPUTED_VALUE"""),"H. Jose Maria Vargas LG")</f>
        <v>H. Jose Maria Vargas LG</v>
      </c>
    </row>
    <row r="1603">
      <c r="A1603" s="44">
        <v>1602.0</v>
      </c>
      <c r="B1603" s="44" t="str">
        <f>IFERROR(__xludf.DUMMYFUNCTION("""COMPUTED_VALUE"""),"Hospital Vargas de Caracas")</f>
        <v>Hospital Vargas de Caracas</v>
      </c>
      <c r="C1603" s="45" t="str">
        <f>IFERROR(__xludf.DUMMYFUNCTION("""COMPUTED_VALUE"""),"CORONEL YONEL")</f>
        <v>CORONEL YONEL</v>
      </c>
      <c r="D1603" s="44" t="str">
        <f>IFERROR(__xludf.DUMMYFUNCTION("""COMPUTED_VALUE""")," ")</f>
        <v> </v>
      </c>
      <c r="E1603" s="44" t="str">
        <f>IFERROR(__xludf.DUMMYFUNCTION("""COMPUTED_VALUE"""),"")</f>
        <v/>
      </c>
      <c r="F1603" s="44" t="str">
        <f>IFERROR(__xludf.DUMMYFUNCTION("""COMPUTED_VALUE""")," ")</f>
        <v> </v>
      </c>
      <c r="G1603" s="44" t="str">
        <f>IFERROR(__xludf.DUMMYFUNCTION("""COMPUTED_VALUE"""),"")</f>
        <v/>
      </c>
      <c r="H1603" s="44" t="str">
        <f>IFERROR(__xludf.DUMMYFUNCTION("""COMPUTED_VALUE"""),"Guaira")</f>
        <v>Guaira</v>
      </c>
      <c r="I1603" s="44" t="str">
        <f>IFERROR(__xludf.DUMMYFUNCTION("""COMPUTED_VALUE""")," ")</f>
        <v> </v>
      </c>
      <c r="J1603" s="44" t="str">
        <f>IFERROR(__xludf.DUMMYFUNCTION("""COMPUTED_VALUE"""),"")</f>
        <v/>
      </c>
      <c r="K1603" s="42" t="str">
        <f>IFERROR(__xludf.DUMMYFUNCTION("""COMPUTED_VALUE"""),"Hospital Vargas de Caracas")</f>
        <v>Hospital Vargas de Caracas</v>
      </c>
    </row>
    <row r="1604">
      <c r="A1604" s="44">
        <v>1603.0</v>
      </c>
      <c r="B1604" s="44" t="str">
        <f>IFERROR(__xludf.DUMMYFUNCTION("""COMPUTED_VALUE"""),"Hospital Pérez Carreño")</f>
        <v>Hospital Pérez Carreño</v>
      </c>
      <c r="C1604" s="45" t="str">
        <f>IFERROR(__xludf.DUMMYFUNCTION("""COMPUTED_VALUE"""),"CORREA DAINER")</f>
        <v>CORREA DAINER</v>
      </c>
      <c r="D1604" s="44" t="str">
        <f>IFERROR(__xludf.DUMMYFUNCTION("""COMPUTED_VALUE""")," ")</f>
        <v> </v>
      </c>
      <c r="E1604" s="44" t="str">
        <f>IFERROR(__xludf.DUMMYFUNCTION("""COMPUTED_VALUE"""),"")</f>
        <v/>
      </c>
      <c r="F1604" s="44" t="str">
        <f>IFERROR(__xludf.DUMMYFUNCTION("""COMPUTED_VALUE"""),"")</f>
        <v/>
      </c>
      <c r="G1604" s="44" t="str">
        <f>IFERROR(__xludf.DUMMYFUNCTION("""COMPUTED_VALUE""")," ")</f>
        <v> </v>
      </c>
      <c r="H1604" s="44" t="str">
        <f>IFERROR(__xludf.DUMMYFUNCTION("""COMPUTED_VALUE""")," ")</f>
        <v> </v>
      </c>
      <c r="I1604" s="44" t="str">
        <f>IFERROR(__xludf.DUMMYFUNCTION("""COMPUTED_VALUE"""),"Internado")</f>
        <v>Internado</v>
      </c>
      <c r="J1604" s="44" t="str">
        <f>IFERROR(__xludf.DUMMYFUNCTION("""COMPUTED_VALUE"""),"25/06/2026")</f>
        <v>25/06/2026</v>
      </c>
      <c r="K1604" s="42" t="str">
        <f>IFERROR(__xludf.DUMMYFUNCTION("""COMPUTED_VALUE"""),"Hospital Pérez Carreño")</f>
        <v>Hospital Pérez Carreño</v>
      </c>
    </row>
    <row r="1605">
      <c r="A1605" s="44">
        <v>1604.0</v>
      </c>
      <c r="B1605" s="44" t="str">
        <f>IFERROR(__xludf.DUMMYFUNCTION("""COMPUTED_VALUE"""),"H. Jose Maria Vargas LG")</f>
        <v>H. Jose Maria Vargas LG</v>
      </c>
      <c r="C1605" s="45" t="str">
        <f>IFERROR(__xludf.DUMMYFUNCTION("""COMPUTED_VALUE"""),"CORRO YONALY")</f>
        <v>CORRO YONALY</v>
      </c>
      <c r="D1605" s="44" t="str">
        <f>IFERROR(__xludf.DUMMYFUNCTION("""COMPUTED_VALUE""")," ")</f>
        <v> </v>
      </c>
      <c r="E1605" s="44" t="str">
        <f>IFERROR(__xludf.DUMMYFUNCTION("""COMPUTED_VALUE"""),"")</f>
        <v/>
      </c>
      <c r="F1605" s="44" t="str">
        <f>IFERROR(__xludf.DUMMYFUNCTION("""COMPUTED_VALUE"""),"")</f>
        <v/>
      </c>
      <c r="G1605" s="44" t="str">
        <f>IFERROR(__xludf.DUMMYFUNCTION("""COMPUTED_VALUE""")," ")</f>
        <v> </v>
      </c>
      <c r="H1605" s="44" t="str">
        <f>IFERROR(__xludf.DUMMYFUNCTION("""COMPUTED_VALUE""")," ")</f>
        <v> </v>
      </c>
      <c r="I1605" s="44" t="str">
        <f>IFERROR(__xludf.DUMMYFUNCTION("""COMPUTED_VALUE""")," ")</f>
        <v> </v>
      </c>
      <c r="J1605" s="44" t="str">
        <f>IFERROR(__xludf.DUMMYFUNCTION("""COMPUTED_VALUE"""),"")</f>
        <v/>
      </c>
      <c r="K1605" s="42" t="str">
        <f>IFERROR(__xludf.DUMMYFUNCTION("""COMPUTED_VALUE"""),"H. Jose Maria Vargas LG")</f>
        <v>H. Jose Maria Vargas LG</v>
      </c>
    </row>
    <row r="1606">
      <c r="A1606" s="44">
        <v>1605.0</v>
      </c>
      <c r="B1606" s="44" t="str">
        <f>IFERROR(__xludf.DUMMYFUNCTION("""COMPUTED_VALUE"""),"Clínica El Ávila")</f>
        <v>Clínica El Ávila</v>
      </c>
      <c r="C1606" s="45" t="str">
        <f>IFERROR(__xludf.DUMMYFUNCTION("""COMPUTED_VALUE"""),"COSTA JOSE LUIS")</f>
        <v>COSTA JOSE LUIS</v>
      </c>
      <c r="D1606" s="44" t="str">
        <f>IFERROR(__xludf.DUMMYFUNCTION("""COMPUTED_VALUE""")," ")</f>
        <v> </v>
      </c>
      <c r="E1606" s="44" t="str">
        <f>IFERROR(__xludf.DUMMYFUNCTION("""COMPUTED_VALUE"""),"")</f>
        <v/>
      </c>
      <c r="F1606" s="44" t="str">
        <f>IFERROR(__xludf.DUMMYFUNCTION("""COMPUTED_VALUE"""),"")</f>
        <v/>
      </c>
      <c r="G1606" s="44" t="str">
        <f>IFERROR(__xludf.DUMMYFUNCTION("""COMPUTED_VALUE""")," ")</f>
        <v> </v>
      </c>
      <c r="H1606" s="44" t="str">
        <f>IFERROR(__xludf.DUMMYFUNCTION("""COMPUTED_VALUE""")," ")</f>
        <v> </v>
      </c>
      <c r="I1606" s="44" t="str">
        <f>IFERROR(__xludf.DUMMYFUNCTION("""COMPUTED_VALUE""")," ")</f>
        <v> </v>
      </c>
      <c r="J1606" s="44" t="str">
        <f>IFERROR(__xludf.DUMMYFUNCTION("""COMPUTED_VALUE"""),"")</f>
        <v/>
      </c>
      <c r="K1606" s="42" t="str">
        <f>IFERROR(__xludf.DUMMYFUNCTION("""COMPUTED_VALUE"""),"Clínica El Ávila")</f>
        <v>Clínica El Ávila</v>
      </c>
    </row>
    <row r="1607">
      <c r="A1607" s="44">
        <v>1606.0</v>
      </c>
      <c r="B1607" s="44" t="str">
        <f>IFERROR(__xludf.DUMMYFUNCTION("""COMPUTED_VALUE"""),"Hospital Domingo Luciani")</f>
        <v>Hospital Domingo Luciani</v>
      </c>
      <c r="C1607" s="45" t="str">
        <f>IFERROR(__xludf.DUMMYFUNCTION("""COMPUTED_VALUE"""),"COYO RAFAEL")</f>
        <v>COYO RAFAEL</v>
      </c>
      <c r="D1607" s="44">
        <f>IFERROR(__xludf.DUMMYFUNCTION("""COMPUTED_VALUE"""),32.0)</f>
        <v>32</v>
      </c>
      <c r="E1607" s="44" t="str">
        <f>IFERROR(__xludf.DUMMYFUNCTION("""COMPUTED_VALUE"""),"")</f>
        <v/>
      </c>
      <c r="F1607" s="44" t="str">
        <f>IFERROR(__xludf.DUMMYFUNCTION("""COMPUTED_VALUE"""),"")</f>
        <v/>
      </c>
      <c r="G1607" s="44" t="str">
        <f>IFERROR(__xludf.DUMMYFUNCTION("""COMPUTED_VALUE""")," ")</f>
        <v> </v>
      </c>
      <c r="H1607" s="44" t="str">
        <f>IFERROR(__xludf.DUMMYFUNCTION("""COMPUTED_VALUE""")," ")</f>
        <v> </v>
      </c>
      <c r="I1607" s="44" t="str">
        <f>IFERROR(__xludf.DUMMYFUNCTION("""COMPUTED_VALUE""")," ")</f>
        <v> </v>
      </c>
      <c r="J1607" s="44" t="str">
        <f>IFERROR(__xludf.DUMMYFUNCTION("""COMPUTED_VALUE"""),"")</f>
        <v/>
      </c>
      <c r="K1607" s="42" t="str">
        <f>IFERROR(__xludf.DUMMYFUNCTION("""COMPUTED_VALUE"""),"🔍 BUSCAR PACIENTES")</f>
        <v>🔍 BUSCAR PACIENTES</v>
      </c>
    </row>
    <row r="1608">
      <c r="A1608" s="44">
        <v>1607.0</v>
      </c>
      <c r="B1608" s="44" t="str">
        <f>IFERROR(__xludf.DUMMYFUNCTION("""COMPUTED_VALUE"""),"Campo de Golf Playa los Cocos")</f>
        <v>Campo de Golf Playa los Cocos</v>
      </c>
      <c r="C1608" s="45" t="str">
        <f>IFERROR(__xludf.DUMMYFUNCTION("""COMPUTED_VALUE"""),"Crismar Rodriguez")</f>
        <v>Crismar Rodriguez</v>
      </c>
      <c r="D1608" s="44" t="str">
        <f>IFERROR(__xludf.DUMMYFUNCTION("""COMPUTED_VALUE"""),"")</f>
        <v/>
      </c>
      <c r="E1608" s="44" t="str">
        <f>IFERROR(__xludf.DUMMYFUNCTION("""COMPUTED_VALUE"""),"")</f>
        <v/>
      </c>
      <c r="F1608" s="44" t="str">
        <f>IFERROR(__xludf.DUMMYFUNCTION("""COMPUTED_VALUE"""),"")</f>
        <v/>
      </c>
      <c r="G1608" s="44" t="str">
        <f>IFERROR(__xludf.DUMMYFUNCTION("""COMPUTED_VALUE"""),"")</f>
        <v/>
      </c>
      <c r="H1608" s="44" t="str">
        <f>IFERROR(__xludf.DUMMYFUNCTION("""COMPUTED_VALUE"""),"")</f>
        <v/>
      </c>
      <c r="I1608" s="44" t="str">
        <f>IFERROR(__xludf.DUMMYFUNCTION("""COMPUTED_VALUE"""),"menor")</f>
        <v>menor</v>
      </c>
      <c r="J1608" s="44" t="str">
        <f>IFERROR(__xludf.DUMMYFUNCTION("""COMPUTED_VALUE"""),"")</f>
        <v/>
      </c>
      <c r="K1608" s="42" t="str">
        <f>IFERROR(__xludf.DUMMYFUNCTION("""COMPUTED_VALUE"""),"Campo de Golf Playa los Cocos")</f>
        <v>Campo de Golf Playa los Cocos</v>
      </c>
    </row>
    <row r="1609">
      <c r="A1609" s="44">
        <v>1608.0</v>
      </c>
      <c r="B1609" s="44" t="str">
        <f>IFERROR(__xludf.DUMMYFUNCTION("""COMPUTED_VALUE"""),"Hospital Pérez Carreño")</f>
        <v>Hospital Pérez Carreño</v>
      </c>
      <c r="C1609" s="45" t="str">
        <f>IFERROR(__xludf.DUMMYFUNCTION("""COMPUTED_VALUE"""),"Cristian Ortega")</f>
        <v>Cristian Ortega</v>
      </c>
      <c r="D1609" s="44"/>
      <c r="E1609" s="44" t="str">
        <f>IFERROR(__xludf.DUMMYFUNCTION("""COMPUTED_VALUE"""),"")</f>
        <v/>
      </c>
      <c r="F1609" s="44" t="str">
        <f>IFERROR(__xludf.DUMMYFUNCTION("""COMPUTED_VALUE"""),"")</f>
        <v/>
      </c>
      <c r="G1609" s="44" t="str">
        <f>IFERROR(__xludf.DUMMYFUNCTION("""COMPUTED_VALUE"""),"Traumashock ")</f>
        <v>Traumashock </v>
      </c>
      <c r="H1609" s="44" t="str">
        <f>IFERROR(__xludf.DUMMYFUNCTION("""COMPUTED_VALUE"""),"Hospital Miguel Perez Carreño")</f>
        <v>Hospital Miguel Perez Carreño</v>
      </c>
      <c r="I1609" s="44"/>
      <c r="J1609" s="44" t="str">
        <f>IFERROR(__xludf.DUMMYFUNCTION("""COMPUTED_VALUE"""),"26/6/26")</f>
        <v>26/6/26</v>
      </c>
      <c r="K1609" s="42" t="str">
        <f>IFERROR(__xludf.DUMMYFUNCTION("""COMPUTED_VALUE"""),"Hospital Pérez Carreño")</f>
        <v>Hospital Pérez Carreño</v>
      </c>
    </row>
    <row r="1610">
      <c r="A1610" s="44">
        <v>1609.0</v>
      </c>
      <c r="B1610" s="44" t="str">
        <f>IFERROR(__xludf.DUMMYFUNCTION("""COMPUTED_VALUE"""),"Hospital Pérez Carreño")</f>
        <v>Hospital Pérez Carreño</v>
      </c>
      <c r="C1610" s="45" t="str">
        <f>IFERROR(__xludf.DUMMYFUNCTION("""COMPUTED_VALUE"""),"Cristopher Ortega")</f>
        <v>Cristopher Ortega</v>
      </c>
      <c r="D1610" s="44"/>
      <c r="E1610" s="44" t="str">
        <f>IFERROR(__xludf.DUMMYFUNCTION("""COMPUTED_VALUE"""),"")</f>
        <v/>
      </c>
      <c r="F1610" s="44" t="str">
        <f>IFERROR(__xludf.DUMMYFUNCTION("""COMPUTED_VALUE"""),"")</f>
        <v/>
      </c>
      <c r="G1610" s="44"/>
      <c r="H1610" s="44"/>
      <c r="I1610" s="44"/>
      <c r="J1610" s="44"/>
      <c r="K1610" s="42" t="str">
        <f>IFERROR(__xludf.DUMMYFUNCTION("""COMPUTED_VALUE"""),"Hospital Pérez Carreño")</f>
        <v>Hospital Pérez Carreño</v>
      </c>
    </row>
    <row r="1611">
      <c r="A1611" s="44">
        <v>1610.0</v>
      </c>
      <c r="B1611" s="44" t="str">
        <f>IFERROR(__xludf.DUMMYFUNCTION("""COMPUTED_VALUE"""),"Hospital Pérez Carreño")</f>
        <v>Hospital Pérez Carreño</v>
      </c>
      <c r="C1611" s="45" t="str">
        <f>IFERROR(__xludf.DUMMYFUNCTION("""COMPUTED_VALUE"""),"Cruz Hernandez")</f>
        <v>Cruz Hernandez</v>
      </c>
      <c r="D1611" s="44"/>
      <c r="E1611" s="44" t="str">
        <f>IFERROR(__xludf.DUMMYFUNCTION("""COMPUTED_VALUE"""),"")</f>
        <v/>
      </c>
      <c r="F1611" s="44" t="str">
        <f>IFERROR(__xludf.DUMMYFUNCTION("""COMPUTED_VALUE"""),"")</f>
        <v/>
      </c>
      <c r="G1611" s="44" t="str">
        <f>IFERROR(__xludf.DUMMYFUNCTION("""COMPUTED_VALUE"""),"Traumashock ")</f>
        <v>Traumashock </v>
      </c>
      <c r="H1611" s="44" t="str">
        <f>IFERROR(__xludf.DUMMYFUNCTION("""COMPUTED_VALUE"""),"Hospital Miguel Perez Carreño")</f>
        <v>Hospital Miguel Perez Carreño</v>
      </c>
      <c r="I1611" s="44"/>
      <c r="J1611" s="44" t="str">
        <f>IFERROR(__xludf.DUMMYFUNCTION("""COMPUTED_VALUE"""),"26/6/26")</f>
        <v>26/6/26</v>
      </c>
      <c r="K1611" s="42" t="str">
        <f>IFERROR(__xludf.DUMMYFUNCTION("""COMPUTED_VALUE"""),"Hospital Pérez Carreño")</f>
        <v>Hospital Pérez Carreño</v>
      </c>
    </row>
    <row r="1612">
      <c r="A1612" s="44">
        <v>1611.0</v>
      </c>
      <c r="B1612" s="44" t="str">
        <f>IFERROR(__xludf.DUMMYFUNCTION("""COMPUTED_VALUE"""),"H. Jose Maria Vargas LG")</f>
        <v>H. Jose Maria Vargas LG</v>
      </c>
      <c r="C1612" s="45" t="str">
        <f>IFERROR(__xludf.DUMMYFUNCTION("""COMPUTED_VALUE"""),"CUMA RUTH")</f>
        <v>CUMA RUTH</v>
      </c>
      <c r="D1612" s="44" t="str">
        <f>IFERROR(__xludf.DUMMYFUNCTION("""COMPUTED_VALUE""")," ")</f>
        <v> </v>
      </c>
      <c r="E1612" s="44" t="str">
        <f>IFERROR(__xludf.DUMMYFUNCTION("""COMPUTED_VALUE"""),"")</f>
        <v/>
      </c>
      <c r="F1612" s="44" t="str">
        <f>IFERROR(__xludf.DUMMYFUNCTION("""COMPUTED_VALUE"""),"")</f>
        <v/>
      </c>
      <c r="G1612" s="44" t="str">
        <f>IFERROR(__xludf.DUMMYFUNCTION("""COMPUTED_VALUE""")," ")</f>
        <v> </v>
      </c>
      <c r="H1612" s="44" t="str">
        <f>IFERROR(__xludf.DUMMYFUNCTION("""COMPUTED_VALUE""")," ")</f>
        <v> </v>
      </c>
      <c r="I1612" s="44" t="str">
        <f>IFERROR(__xludf.DUMMYFUNCTION("""COMPUTED_VALUE""")," ")</f>
        <v> </v>
      </c>
      <c r="J1612" s="44" t="str">
        <f>IFERROR(__xludf.DUMMYFUNCTION("""COMPUTED_VALUE"""),"")</f>
        <v/>
      </c>
      <c r="K1612" s="42" t="str">
        <f>IFERROR(__xludf.DUMMYFUNCTION("""COMPUTED_VALUE"""),"H. Jose Maria Vargas LG")</f>
        <v>H. Jose Maria Vargas LG</v>
      </c>
    </row>
    <row r="1613">
      <c r="A1613" s="44">
        <v>1612.0</v>
      </c>
      <c r="B1613" s="44" t="str">
        <f>IFERROR(__xludf.DUMMYFUNCTION("""COMPUTED_VALUE"""),"Periférico de Catia")</f>
        <v>Periférico de Catia</v>
      </c>
      <c r="C1613" s="45" t="str">
        <f>IFERROR(__xludf.DUMMYFUNCTION("""COMPUTED_VALUE"""),"Da Silva Antony")</f>
        <v>Da Silva Antony</v>
      </c>
      <c r="D1613" s="44">
        <f>IFERROR(__xludf.DUMMYFUNCTION("""COMPUTED_VALUE"""),19.0)</f>
        <v>19</v>
      </c>
      <c r="E1613" s="44" t="str">
        <f>IFERROR(__xludf.DUMMYFUNCTION("""COMPUTED_VALUE"""),"")</f>
        <v/>
      </c>
      <c r="F1613" s="44" t="str">
        <f>IFERROR(__xludf.DUMMYFUNCTION("""COMPUTED_VALUE"""),"")</f>
        <v/>
      </c>
      <c r="G1613" s="44"/>
      <c r="H1613" s="44"/>
      <c r="I1613" s="44" t="str">
        <f>IFERROR(__xludf.DUMMYFUNCTION("""COMPUTED_VALUE"""),"Politrauma Emergencia Vieja")</f>
        <v>Politrauma Emergencia Vieja</v>
      </c>
      <c r="J1613" s="44" t="str">
        <f>IFERROR(__xludf.DUMMYFUNCTION("""COMPUTED_VALUE"""),"")</f>
        <v/>
      </c>
      <c r="K1613" s="42" t="str">
        <f>IFERROR(__xludf.DUMMYFUNCTION("""COMPUTED_VALUE"""),"Periférico de Catia")</f>
        <v>Periférico de Catia</v>
      </c>
    </row>
    <row r="1614">
      <c r="A1614" s="44">
        <v>1613.0</v>
      </c>
      <c r="B1614" s="44" t="str">
        <f>IFERROR(__xludf.DUMMYFUNCTION("""COMPUTED_VALUE"""),"Hospital Domingo Luciani")</f>
        <v>Hospital Domingo Luciani</v>
      </c>
      <c r="C1614" s="45" t="str">
        <f>IFERROR(__xludf.DUMMYFUNCTION("""COMPUTED_VALUE"""),"DA SILVA ENGEERBUETH")</f>
        <v>DA SILVA ENGEERBUETH</v>
      </c>
      <c r="D1614" s="44">
        <f>IFERROR(__xludf.DUMMYFUNCTION("""COMPUTED_VALUE"""),19.0)</f>
        <v>19</v>
      </c>
      <c r="E1614" s="44" t="str">
        <f>IFERROR(__xludf.DUMMYFUNCTION("""COMPUTED_VALUE"""),"")</f>
        <v/>
      </c>
      <c r="F1614" s="44" t="str">
        <f>IFERROR(__xludf.DUMMYFUNCTION("""COMPUTED_VALUE"""),"")</f>
        <v/>
      </c>
      <c r="G1614" s="44" t="str">
        <f>IFERROR(__xludf.DUMMYFUNCTION("""COMPUTED_VALUE""")," ")</f>
        <v> </v>
      </c>
      <c r="H1614" s="44" t="str">
        <f>IFERROR(__xludf.DUMMYFUNCTION("""COMPUTED_VALUE""")," ")</f>
        <v> </v>
      </c>
      <c r="I1614" s="44" t="str">
        <f>IFERROR(__xludf.DUMMYFUNCTION("""COMPUTED_VALUE"""),"Politrauma Emerg. Vieja")</f>
        <v>Politrauma Emerg. Vieja</v>
      </c>
      <c r="J1614" s="44" t="str">
        <f>IFERROR(__xludf.DUMMYFUNCTION("""COMPUTED_VALUE"""),"")</f>
        <v/>
      </c>
      <c r="K1614" s="42" t="str">
        <f>IFERROR(__xludf.DUMMYFUNCTION("""COMPUTED_VALUE"""),"🔍 BUSCAR PACIENTES")</f>
        <v>🔍 BUSCAR PACIENTES</v>
      </c>
    </row>
    <row r="1615">
      <c r="A1615" s="44">
        <v>1614.0</v>
      </c>
      <c r="B1615" s="44" t="str">
        <f>IFERROR(__xludf.DUMMYFUNCTION("""COMPUTED_VALUE"""),"Periférico de Catia")</f>
        <v>Periférico de Catia</v>
      </c>
      <c r="C1615" s="45" t="str">
        <f>IFERROR(__xludf.DUMMYFUNCTION("""COMPUTED_VALUE"""),"Da Silva Engerberth")</f>
        <v>Da Silva Engerberth</v>
      </c>
      <c r="D1615" s="44">
        <f>IFERROR(__xludf.DUMMYFUNCTION("""COMPUTED_VALUE"""),21.0)</f>
        <v>21</v>
      </c>
      <c r="E1615" s="44" t="str">
        <f>IFERROR(__xludf.DUMMYFUNCTION("""COMPUTED_VALUE"""),"")</f>
        <v/>
      </c>
      <c r="F1615" s="44" t="str">
        <f>IFERROR(__xludf.DUMMYFUNCTION("""COMPUTED_VALUE"""),"")</f>
        <v/>
      </c>
      <c r="G1615" s="44"/>
      <c r="H1615" s="44"/>
      <c r="I1615" s="44" t="str">
        <f>IFERROR(__xludf.DUMMYFUNCTION("""COMPUTED_VALUE"""),"Politrauma Emergencia Vieja")</f>
        <v>Politrauma Emergencia Vieja</v>
      </c>
      <c r="J1615" s="44" t="str">
        <f>IFERROR(__xludf.DUMMYFUNCTION("""COMPUTED_VALUE"""),"")</f>
        <v/>
      </c>
      <c r="K1615" s="42" t="str">
        <f>IFERROR(__xludf.DUMMYFUNCTION("""COMPUTED_VALUE"""),"Periférico de Catia")</f>
        <v>Periférico de Catia</v>
      </c>
    </row>
    <row r="1616">
      <c r="A1616" s="44">
        <v>1615.0</v>
      </c>
      <c r="B1616" s="44" t="str">
        <f>IFERROR(__xludf.DUMMYFUNCTION("""COMPUTED_VALUE"""),"La Guaira Sin Hospital")</f>
        <v>La Guaira Sin Hospital</v>
      </c>
      <c r="C1616" s="45" t="str">
        <f>IFERROR(__xludf.DUMMYFUNCTION("""COMPUTED_VALUE"""),"Da Silva Jairo")</f>
        <v>Da Silva Jairo</v>
      </c>
      <c r="D1616" s="44" t="str">
        <f>IFERROR(__xludf.DUMMYFUNCTION("""COMPUTED_VALUE"""),"")</f>
        <v/>
      </c>
      <c r="E1616" s="44" t="str">
        <f>IFERROR(__xludf.DUMMYFUNCTION("""COMPUTED_VALUE"""),"")</f>
        <v/>
      </c>
      <c r="F1616" s="44" t="str">
        <f>IFERROR(__xludf.DUMMYFUNCTION("""COMPUTED_VALUE"""),"")</f>
        <v/>
      </c>
      <c r="G1616" s="44" t="str">
        <f>IFERROR(__xludf.DUMMYFUNCTION("""COMPUTED_VALUE"""),"")</f>
        <v/>
      </c>
      <c r="H1616" s="44" t="str">
        <f>IFERROR(__xludf.DUMMYFUNCTION("""COMPUTED_VALUE"""),"La Guaira")</f>
        <v>La Guaira</v>
      </c>
      <c r="I1616" s="44" t="str">
        <f>IFERROR(__xludf.DUMMYFUNCTION("""COMPUTED_VALUE"""),"Listas con ubicación")</f>
        <v>Listas con ubicación</v>
      </c>
      <c r="J1616" s="44" t="str">
        <f>IFERROR(__xludf.DUMMYFUNCTION("""COMPUTED_VALUE"""),"")</f>
        <v/>
      </c>
      <c r="K1616" s="42" t="str">
        <f>IFERROR(__xludf.DUMMYFUNCTION("""COMPUTED_VALUE"""),"La Guaira Sin Hospital")</f>
        <v>La Guaira Sin Hospital</v>
      </c>
    </row>
    <row r="1617">
      <c r="A1617" s="44">
        <v>1616.0</v>
      </c>
      <c r="B1617" s="44" t="str">
        <f>IFERROR(__xludf.DUMMYFUNCTION("""COMPUTED_VALUE"""),"HOSPITAL VARGAS")</f>
        <v>HOSPITAL VARGAS</v>
      </c>
      <c r="C1617" s="45" t="str">
        <f>IFERROR(__xludf.DUMMYFUNCTION("""COMPUTED_VALUE"""),"Daiberlyn González")</f>
        <v>Daiberlyn González</v>
      </c>
      <c r="D1617" s="44"/>
      <c r="E1617" s="44" t="str">
        <f>IFERROR(__xludf.DUMMYFUNCTION("""COMPUTED_VALUE"""),"")</f>
        <v/>
      </c>
      <c r="F1617" s="44" t="str">
        <f>IFERROR(__xludf.DUMMYFUNCTION("""COMPUTED_VALUE"""),"")</f>
        <v/>
      </c>
      <c r="G1617" s="44" t="str">
        <f>IFERROR(__xludf.DUMMYFUNCTION("""COMPUTED_VALUE"""),"")</f>
        <v/>
      </c>
      <c r="H1617" s="44" t="str">
        <f>IFERROR(__xludf.DUMMYFUNCTION("""COMPUTED_VALUE"""),"")</f>
        <v/>
      </c>
      <c r="I1617" s="44" t="str">
        <f>IFERROR(__xludf.DUMMYFUNCTION("""COMPUTED_VALUE"""),"Herido / atendido")</f>
        <v>Herido / atendido</v>
      </c>
      <c r="J1617" s="44" t="str">
        <f>IFERROR(__xludf.DUMMYFUNCTION("""COMPUTED_VALUE"""),"24.06.2026 ")</f>
        <v>24.06.2026 </v>
      </c>
      <c r="K1617" s="42" t="str">
        <f>IFERROR(__xludf.DUMMYFUNCTION("""COMPUTED_VALUE"""),"HOSPITAL VARGAS")</f>
        <v>HOSPITAL VARGAS</v>
      </c>
    </row>
    <row r="1618">
      <c r="A1618" s="44">
        <v>1617.0</v>
      </c>
      <c r="B1618" s="44" t="str">
        <f>IFERROR(__xludf.DUMMYFUNCTION("""COMPUTED_VALUE"""),"Campo de Golf Playa los Cocos")</f>
        <v>Campo de Golf Playa los Cocos</v>
      </c>
      <c r="C1618" s="45" t="str">
        <f>IFERROR(__xludf.DUMMYFUNCTION("""COMPUTED_VALUE"""),"Dailenys Rodriguez")</f>
        <v>Dailenys Rodriguez</v>
      </c>
      <c r="D1618" s="44" t="str">
        <f>IFERROR(__xludf.DUMMYFUNCTION("""COMPUTED_VALUE"""),"")</f>
        <v/>
      </c>
      <c r="E1618" s="44" t="str">
        <f>IFERROR(__xludf.DUMMYFUNCTION("""COMPUTED_VALUE"""),"")</f>
        <v/>
      </c>
      <c r="F1618" s="44" t="str">
        <f>IFERROR(__xludf.DUMMYFUNCTION("""COMPUTED_VALUE"""),"")</f>
        <v/>
      </c>
      <c r="G1618" s="44" t="str">
        <f>IFERROR(__xludf.DUMMYFUNCTION("""COMPUTED_VALUE"""),"")</f>
        <v/>
      </c>
      <c r="H1618" s="44" t="str">
        <f>IFERROR(__xludf.DUMMYFUNCTION("""COMPUTED_VALUE"""),"")</f>
        <v/>
      </c>
      <c r="I1618" s="44"/>
      <c r="J1618" s="44" t="str">
        <f>IFERROR(__xludf.DUMMYFUNCTION("""COMPUTED_VALUE"""),"")</f>
        <v/>
      </c>
      <c r="K1618" s="42" t="str">
        <f>IFERROR(__xludf.DUMMYFUNCTION("""COMPUTED_VALUE"""),"Campo de Golf Playa los Cocos")</f>
        <v>Campo de Golf Playa los Cocos</v>
      </c>
    </row>
    <row r="1619">
      <c r="A1619" s="44">
        <v>1618.0</v>
      </c>
      <c r="B1619" s="44" t="str">
        <f>IFERROR(__xludf.DUMMYFUNCTION("""COMPUTED_VALUE"""),"Campo de Golf Playa los Cocos")</f>
        <v>Campo de Golf Playa los Cocos</v>
      </c>
      <c r="C1619" s="45" t="str">
        <f>IFERROR(__xludf.DUMMYFUNCTION("""COMPUTED_VALUE"""),"Daimari Pantoja")</f>
        <v>Daimari Pantoja</v>
      </c>
      <c r="D1619" s="44" t="str">
        <f>IFERROR(__xludf.DUMMYFUNCTION("""COMPUTED_VALUE"""),"")</f>
        <v/>
      </c>
      <c r="E1619" s="44" t="str">
        <f>IFERROR(__xludf.DUMMYFUNCTION("""COMPUTED_VALUE"""),"")</f>
        <v/>
      </c>
      <c r="F1619" s="44" t="str">
        <f>IFERROR(__xludf.DUMMYFUNCTION("""COMPUTED_VALUE"""),"")</f>
        <v/>
      </c>
      <c r="G1619" s="44" t="str">
        <f>IFERROR(__xludf.DUMMYFUNCTION("""COMPUTED_VALUE"""),"")</f>
        <v/>
      </c>
      <c r="H1619" s="44" t="str">
        <f>IFERROR(__xludf.DUMMYFUNCTION("""COMPUTED_VALUE"""),"")</f>
        <v/>
      </c>
      <c r="I1619" s="44"/>
      <c r="J1619" s="44" t="str">
        <f>IFERROR(__xludf.DUMMYFUNCTION("""COMPUTED_VALUE"""),"")</f>
        <v/>
      </c>
      <c r="K1619" s="42" t="str">
        <f>IFERROR(__xludf.DUMMYFUNCTION("""COMPUTED_VALUE"""),"Campo de Golf Playa los Cocos")</f>
        <v>Campo de Golf Playa los Cocos</v>
      </c>
    </row>
    <row r="1620">
      <c r="A1620" s="44">
        <v>1619.0</v>
      </c>
      <c r="B1620" s="44" t="str">
        <f>IFERROR(__xludf.DUMMYFUNCTION("""COMPUTED_VALUE"""),"Campo de Golf Playa los Cocos")</f>
        <v>Campo de Golf Playa los Cocos</v>
      </c>
      <c r="C1620" s="45" t="str">
        <f>IFERROR(__xludf.DUMMYFUNCTION("""COMPUTED_VALUE"""),"Dainelis Hernandez")</f>
        <v>Dainelis Hernandez</v>
      </c>
      <c r="D1620" s="44" t="str">
        <f>IFERROR(__xludf.DUMMYFUNCTION("""COMPUTED_VALUE"""),"")</f>
        <v/>
      </c>
      <c r="E1620" s="44" t="str">
        <f>IFERROR(__xludf.DUMMYFUNCTION("""COMPUTED_VALUE"""),"")</f>
        <v/>
      </c>
      <c r="F1620" s="44" t="str">
        <f>IFERROR(__xludf.DUMMYFUNCTION("""COMPUTED_VALUE"""),"")</f>
        <v/>
      </c>
      <c r="G1620" s="44" t="str">
        <f>IFERROR(__xludf.DUMMYFUNCTION("""COMPUTED_VALUE"""),"")</f>
        <v/>
      </c>
      <c r="H1620" s="44" t="str">
        <f>IFERROR(__xludf.DUMMYFUNCTION("""COMPUTED_VALUE"""),"")</f>
        <v/>
      </c>
      <c r="I1620" s="44"/>
      <c r="J1620" s="44" t="str">
        <f>IFERROR(__xludf.DUMMYFUNCTION("""COMPUTED_VALUE"""),"")</f>
        <v/>
      </c>
      <c r="K1620" s="42" t="str">
        <f>IFERROR(__xludf.DUMMYFUNCTION("""COMPUTED_VALUE"""),"Campo de Golf Playa los Cocos")</f>
        <v>Campo de Golf Playa los Cocos</v>
      </c>
    </row>
    <row r="1621">
      <c r="A1621" s="44">
        <v>1620.0</v>
      </c>
      <c r="B1621" s="44" t="str">
        <f>IFERROR(__xludf.DUMMYFUNCTION("""COMPUTED_VALUE"""),"Campo de Golf Playa los Cocos")</f>
        <v>Campo de Golf Playa los Cocos</v>
      </c>
      <c r="C1621" s="45" t="str">
        <f>IFERROR(__xludf.DUMMYFUNCTION("""COMPUTED_VALUE"""),"Dalia Gomez")</f>
        <v>Dalia Gomez</v>
      </c>
      <c r="D1621" s="44" t="str">
        <f>IFERROR(__xludf.DUMMYFUNCTION("""COMPUTED_VALUE"""),"")</f>
        <v/>
      </c>
      <c r="E1621" s="44" t="str">
        <f>IFERROR(__xludf.DUMMYFUNCTION("""COMPUTED_VALUE"""),"")</f>
        <v/>
      </c>
      <c r="F1621" s="44" t="str">
        <f>IFERROR(__xludf.DUMMYFUNCTION("""COMPUTED_VALUE"""),"")</f>
        <v/>
      </c>
      <c r="G1621" s="44" t="str">
        <f>IFERROR(__xludf.DUMMYFUNCTION("""COMPUTED_VALUE"""),"")</f>
        <v/>
      </c>
      <c r="H1621" s="44" t="str">
        <f>IFERROR(__xludf.DUMMYFUNCTION("""COMPUTED_VALUE"""),"")</f>
        <v/>
      </c>
      <c r="I1621" s="44"/>
      <c r="J1621" s="44" t="str">
        <f>IFERROR(__xludf.DUMMYFUNCTION("""COMPUTED_VALUE"""),"")</f>
        <v/>
      </c>
      <c r="K1621" s="42" t="str">
        <f>IFERROR(__xludf.DUMMYFUNCTION("""COMPUTED_VALUE"""),"Campo de Golf Playa los Cocos")</f>
        <v>Campo de Golf Playa los Cocos</v>
      </c>
    </row>
    <row r="1622">
      <c r="A1622" s="44">
        <v>1621.0</v>
      </c>
      <c r="B1622" s="44" t="str">
        <f>IFERROR(__xludf.DUMMYFUNCTION("""COMPUTED_VALUE"""),"Periférico de Catia")</f>
        <v>Periférico de Catia</v>
      </c>
      <c r="C1622" s="45" t="str">
        <f>IFERROR(__xludf.DUMMYFUNCTION("""COMPUTED_VALUE"""),"DANELY RODRIGUEZ")</f>
        <v>DANELY RODRIGUEZ</v>
      </c>
      <c r="D1622" s="44" t="str">
        <f>IFERROR(__xludf.DUMMYFUNCTION("""COMPUTED_VALUE""")," ")</f>
        <v> </v>
      </c>
      <c r="E1622" s="44" t="str">
        <f>IFERROR(__xludf.DUMMYFUNCTION("""COMPUTED_VALUE"""),"")</f>
        <v/>
      </c>
      <c r="F1622" s="44" t="str">
        <f>IFERROR(__xludf.DUMMYFUNCTION("""COMPUTED_VALUE"""),"")</f>
        <v/>
      </c>
      <c r="G1622" s="44" t="str">
        <f>IFERROR(__xludf.DUMMYFUNCTION("""COMPUTED_VALUE""")," ")</f>
        <v> </v>
      </c>
      <c r="H1622" s="44" t="str">
        <f>IFERROR(__xludf.DUMMYFUNCTION("""COMPUTED_VALUE"""),"Los Paraísos de #13")</f>
        <v>Los Paraísos de #13</v>
      </c>
      <c r="I1622" s="44" t="str">
        <f>IFERROR(__xludf.DUMMYFUNCTION("""COMPUTED_VALUE""")," ")</f>
        <v> </v>
      </c>
      <c r="J1622" s="44" t="str">
        <f>IFERROR(__xludf.DUMMYFUNCTION("""COMPUTED_VALUE"""),"")</f>
        <v/>
      </c>
      <c r="K1622" s="42" t="str">
        <f>IFERROR(__xludf.DUMMYFUNCTION("""COMPUTED_VALUE"""),"Periférico de Catia")</f>
        <v>Periférico de Catia</v>
      </c>
    </row>
    <row r="1623">
      <c r="A1623" s="44">
        <v>1622.0</v>
      </c>
      <c r="B1623" s="44" t="str">
        <f>IFERROR(__xludf.DUMMYFUNCTION("""COMPUTED_VALUE"""),"Campo de Golf Playa los Cocos")</f>
        <v>Campo de Golf Playa los Cocos</v>
      </c>
      <c r="C1623" s="45" t="str">
        <f>IFERROR(__xludf.DUMMYFUNCTION("""COMPUTED_VALUE"""),"Daniel Leon")</f>
        <v>Daniel Leon</v>
      </c>
      <c r="D1623" s="44" t="str">
        <f>IFERROR(__xludf.DUMMYFUNCTION("""COMPUTED_VALUE"""),"")</f>
        <v/>
      </c>
      <c r="E1623" s="44" t="str">
        <f>IFERROR(__xludf.DUMMYFUNCTION("""COMPUTED_VALUE"""),"")</f>
        <v/>
      </c>
      <c r="F1623" s="44" t="str">
        <f>IFERROR(__xludf.DUMMYFUNCTION("""COMPUTED_VALUE"""),"")</f>
        <v/>
      </c>
      <c r="G1623" s="44" t="str">
        <f>IFERROR(__xludf.DUMMYFUNCTION("""COMPUTED_VALUE"""),"")</f>
        <v/>
      </c>
      <c r="H1623" s="44" t="str">
        <f>IFERROR(__xludf.DUMMYFUNCTION("""COMPUTED_VALUE"""),"")</f>
        <v/>
      </c>
      <c r="I1623" s="44"/>
      <c r="J1623" s="44" t="str">
        <f>IFERROR(__xludf.DUMMYFUNCTION("""COMPUTED_VALUE"""),"")</f>
        <v/>
      </c>
      <c r="K1623" s="42" t="str">
        <f>IFERROR(__xludf.DUMMYFUNCTION("""COMPUTED_VALUE"""),"Campo de Golf Playa los Cocos")</f>
        <v>Campo de Golf Playa los Cocos</v>
      </c>
    </row>
    <row r="1624">
      <c r="A1624" s="44">
        <v>1623.0</v>
      </c>
      <c r="B1624" s="44" t="str">
        <f>IFERROR(__xludf.DUMMYFUNCTION("""COMPUTED_VALUE"""),"Hospital Vargas de Caracas")</f>
        <v>Hospital Vargas de Caracas</v>
      </c>
      <c r="C1624" s="45" t="str">
        <f>IFERROR(__xludf.DUMMYFUNCTION("""COMPUTED_VALUE"""),"Daniel Lopez")</f>
        <v>Daniel Lopez</v>
      </c>
      <c r="D1624" s="44"/>
      <c r="E1624" s="44" t="str">
        <f>IFERROR(__xludf.DUMMYFUNCTION("""COMPUTED_VALUE"""),"")</f>
        <v/>
      </c>
      <c r="F1624" s="44"/>
      <c r="G1624" s="44" t="str">
        <f>IFERROR(__xludf.DUMMYFUNCTION("""COMPUTED_VALUE"""),"")</f>
        <v/>
      </c>
      <c r="H1624" s="44"/>
      <c r="I1624" s="44"/>
      <c r="J1624" s="44" t="str">
        <f>IFERROR(__xludf.DUMMYFUNCTION("""COMPUTED_VALUE"""),"")</f>
        <v/>
      </c>
      <c r="K1624" s="42" t="str">
        <f>IFERROR(__xludf.DUMMYFUNCTION("""COMPUTED_VALUE"""),"Hospital Vargas de Caracas")</f>
        <v>Hospital Vargas de Caracas</v>
      </c>
    </row>
    <row r="1625">
      <c r="A1625" s="44">
        <v>1624.0</v>
      </c>
      <c r="B1625" s="44" t="str">
        <f>IFERROR(__xludf.DUMMYFUNCTION("""COMPUTED_VALUE"""),"HOSPITAL VARGAS")</f>
        <v>HOSPITAL VARGAS</v>
      </c>
      <c r="C1625" s="45" t="str">
        <f>IFERROR(__xludf.DUMMYFUNCTION("""COMPUTED_VALUE"""),"Daniel López")</f>
        <v>Daniel López</v>
      </c>
      <c r="D1625" s="44" t="str">
        <f>IFERROR(__xludf.DUMMYFUNCTION("""COMPUTED_VALUE"""),"5 años")</f>
        <v>5 años</v>
      </c>
      <c r="E1625" s="44" t="str">
        <f>IFERROR(__xludf.DUMMYFUNCTION("""COMPUTED_VALUE"""),"")</f>
        <v/>
      </c>
      <c r="F1625" s="44" t="str">
        <f>IFERROR(__xludf.DUMMYFUNCTION("""COMPUTED_VALUE"""),"")</f>
        <v/>
      </c>
      <c r="G1625" s="44" t="str">
        <f>IFERROR(__xludf.DUMMYFUNCTION("""COMPUTED_VALUE"""),"")</f>
        <v/>
      </c>
      <c r="H1625" s="44" t="str">
        <f>IFERROR(__xludf.DUMMYFUNCTION("""COMPUTED_VALUE"""),"")</f>
        <v/>
      </c>
      <c r="I1625" s="44" t="str">
        <f>IFERROR(__xludf.DUMMYFUNCTION("""COMPUTED_VALUE"""),"Herido / atendido")</f>
        <v>Herido / atendido</v>
      </c>
      <c r="J1625" s="44" t="str">
        <f>IFERROR(__xludf.DUMMYFUNCTION("""COMPUTED_VALUE"""),"24.06.2026 ")</f>
        <v>24.06.2026 </v>
      </c>
      <c r="K1625" s="42" t="str">
        <f>IFERROR(__xludf.DUMMYFUNCTION("""COMPUTED_VALUE"""),"HOSPITAL VARGAS")</f>
        <v>HOSPITAL VARGAS</v>
      </c>
    </row>
    <row r="1626">
      <c r="A1626" s="44">
        <v>1625.0</v>
      </c>
      <c r="B1626" s="44" t="str">
        <f>IFERROR(__xludf.DUMMYFUNCTION("""COMPUTED_VALUE"""),"Campo de Golf Playa los Cocos")</f>
        <v>Campo de Golf Playa los Cocos</v>
      </c>
      <c r="C1626" s="45" t="str">
        <f>IFERROR(__xludf.DUMMYFUNCTION("""COMPUTED_VALUE"""),"Daniel Martinez")</f>
        <v>Daniel Martinez</v>
      </c>
      <c r="D1626" s="44" t="str">
        <f>IFERROR(__xludf.DUMMYFUNCTION("""COMPUTED_VALUE"""),"")</f>
        <v/>
      </c>
      <c r="E1626" s="44" t="str">
        <f>IFERROR(__xludf.DUMMYFUNCTION("""COMPUTED_VALUE"""),"")</f>
        <v/>
      </c>
      <c r="F1626" s="44" t="str">
        <f>IFERROR(__xludf.DUMMYFUNCTION("""COMPUTED_VALUE"""),"")</f>
        <v/>
      </c>
      <c r="G1626" s="44" t="str">
        <f>IFERROR(__xludf.DUMMYFUNCTION("""COMPUTED_VALUE"""),"")</f>
        <v/>
      </c>
      <c r="H1626" s="44" t="str">
        <f>IFERROR(__xludf.DUMMYFUNCTION("""COMPUTED_VALUE"""),"")</f>
        <v/>
      </c>
      <c r="I1626" s="44" t="str">
        <f>IFERROR(__xludf.DUMMYFUNCTION("""COMPUTED_VALUE"""),"menor")</f>
        <v>menor</v>
      </c>
      <c r="J1626" s="44" t="str">
        <f>IFERROR(__xludf.DUMMYFUNCTION("""COMPUTED_VALUE"""),"")</f>
        <v/>
      </c>
      <c r="K1626" s="42" t="str">
        <f>IFERROR(__xludf.DUMMYFUNCTION("""COMPUTED_VALUE"""),"Campo de Golf Playa los Cocos")</f>
        <v>Campo de Golf Playa los Cocos</v>
      </c>
    </row>
    <row r="1627">
      <c r="A1627" s="44">
        <v>1626.0</v>
      </c>
      <c r="B1627" s="44" t="str">
        <f>IFERROR(__xludf.DUMMYFUNCTION("""COMPUTED_VALUE"""),"HOSPITAL VARGAS")</f>
        <v>HOSPITAL VARGAS</v>
      </c>
      <c r="C1627" s="45" t="str">
        <f>IFERROR(__xludf.DUMMYFUNCTION("""COMPUTED_VALUE"""),"Daniel Pereira")</f>
        <v>Daniel Pereira</v>
      </c>
      <c r="D1627" s="44" t="str">
        <f>IFERROR(__xludf.DUMMYFUNCTION("""COMPUTED_VALUE"""),"4 años")</f>
        <v>4 años</v>
      </c>
      <c r="E1627" s="44" t="str">
        <f>IFERROR(__xludf.DUMMYFUNCTION("""COMPUTED_VALUE"""),"")</f>
        <v/>
      </c>
      <c r="F1627" s="44" t="str">
        <f>IFERROR(__xludf.DUMMYFUNCTION("""COMPUTED_VALUE"""),"")</f>
        <v/>
      </c>
      <c r="G1627" s="44" t="str">
        <f>IFERROR(__xludf.DUMMYFUNCTION("""COMPUTED_VALUE"""),"")</f>
        <v/>
      </c>
      <c r="H1627" s="44" t="str">
        <f>IFERROR(__xludf.DUMMYFUNCTION("""COMPUTED_VALUE"""),"")</f>
        <v/>
      </c>
      <c r="I1627" s="44" t="str">
        <f>IFERROR(__xludf.DUMMYFUNCTION("""COMPUTED_VALUE"""),"Herido / atendido")</f>
        <v>Herido / atendido</v>
      </c>
      <c r="J1627" s="44" t="str">
        <f>IFERROR(__xludf.DUMMYFUNCTION("""COMPUTED_VALUE"""),"24.06.2026 ")</f>
        <v>24.06.2026 </v>
      </c>
      <c r="K1627" s="42" t="str">
        <f>IFERROR(__xludf.DUMMYFUNCTION("""COMPUTED_VALUE"""),"HOSPITAL VARGAS")</f>
        <v>HOSPITAL VARGAS</v>
      </c>
    </row>
    <row r="1628">
      <c r="A1628" s="44">
        <v>1627.0</v>
      </c>
      <c r="B1628" s="44" t="str">
        <f>IFERROR(__xludf.DUMMYFUNCTION("""COMPUTED_VALUE"""),"Campo de Golf Playa los Cocos")</f>
        <v>Campo de Golf Playa los Cocos</v>
      </c>
      <c r="C1628" s="45" t="str">
        <f>IFERROR(__xludf.DUMMYFUNCTION("""COMPUTED_VALUE"""),"Daniela Rodriguez")</f>
        <v>Daniela Rodriguez</v>
      </c>
      <c r="D1628" s="44" t="str">
        <f>IFERROR(__xludf.DUMMYFUNCTION("""COMPUTED_VALUE"""),"")</f>
        <v/>
      </c>
      <c r="E1628" s="44" t="str">
        <f>IFERROR(__xludf.DUMMYFUNCTION("""COMPUTED_VALUE"""),"")</f>
        <v/>
      </c>
      <c r="F1628" s="44" t="str">
        <f>IFERROR(__xludf.DUMMYFUNCTION("""COMPUTED_VALUE"""),"")</f>
        <v/>
      </c>
      <c r="G1628" s="44" t="str">
        <f>IFERROR(__xludf.DUMMYFUNCTION("""COMPUTED_VALUE"""),"")</f>
        <v/>
      </c>
      <c r="H1628" s="44" t="str">
        <f>IFERROR(__xludf.DUMMYFUNCTION("""COMPUTED_VALUE"""),"")</f>
        <v/>
      </c>
      <c r="I1628" s="44"/>
      <c r="J1628" s="44" t="str">
        <f>IFERROR(__xludf.DUMMYFUNCTION("""COMPUTED_VALUE"""),"")</f>
        <v/>
      </c>
      <c r="K1628" s="42" t="str">
        <f>IFERROR(__xludf.DUMMYFUNCTION("""COMPUTED_VALUE"""),"Campo de Golf Playa los Cocos")</f>
        <v>Campo de Golf Playa los Cocos</v>
      </c>
    </row>
    <row r="1629">
      <c r="A1629" s="44">
        <v>1628.0</v>
      </c>
      <c r="B1629" s="44" t="str">
        <f>IFERROR(__xludf.DUMMYFUNCTION("""COMPUTED_VALUE"""),"Campo de Golf Playa los Cocos")</f>
        <v>Campo de Golf Playa los Cocos</v>
      </c>
      <c r="C1629" s="45" t="str">
        <f>IFERROR(__xludf.DUMMYFUNCTION("""COMPUTED_VALUE"""),"Daniela Tovar")</f>
        <v>Daniela Tovar</v>
      </c>
      <c r="D1629" s="44" t="str">
        <f>IFERROR(__xludf.DUMMYFUNCTION("""COMPUTED_VALUE"""),"")</f>
        <v/>
      </c>
      <c r="E1629" s="44" t="str">
        <f>IFERROR(__xludf.DUMMYFUNCTION("""COMPUTED_VALUE"""),"")</f>
        <v/>
      </c>
      <c r="F1629" s="44" t="str">
        <f>IFERROR(__xludf.DUMMYFUNCTION("""COMPUTED_VALUE"""),"")</f>
        <v/>
      </c>
      <c r="G1629" s="44" t="str">
        <f>IFERROR(__xludf.DUMMYFUNCTION("""COMPUTED_VALUE"""),"")</f>
        <v/>
      </c>
      <c r="H1629" s="44" t="str">
        <f>IFERROR(__xludf.DUMMYFUNCTION("""COMPUTED_VALUE"""),"")</f>
        <v/>
      </c>
      <c r="I1629" s="44"/>
      <c r="J1629" s="44" t="str">
        <f>IFERROR(__xludf.DUMMYFUNCTION("""COMPUTED_VALUE"""),"")</f>
        <v/>
      </c>
      <c r="K1629" s="42" t="str">
        <f>IFERROR(__xludf.DUMMYFUNCTION("""COMPUTED_VALUE"""),"Campo de Golf Playa los Cocos")</f>
        <v>Campo de Golf Playa los Cocos</v>
      </c>
    </row>
    <row r="1630">
      <c r="A1630" s="44">
        <v>1629.0</v>
      </c>
      <c r="B1630" s="44" t="str">
        <f>IFERROR(__xludf.DUMMYFUNCTION("""COMPUTED_VALUE"""),"Periférico de Catia")</f>
        <v>Periférico de Catia</v>
      </c>
      <c r="C1630" s="45" t="str">
        <f>IFERROR(__xludf.DUMMYFUNCTION("""COMPUTED_VALUE"""),"DANIELA YSABEL")</f>
        <v>DANIELA YSABEL</v>
      </c>
      <c r="D1630" s="44">
        <f>IFERROR(__xludf.DUMMYFUNCTION("""COMPUTED_VALUE"""),32.0)</f>
        <v>32</v>
      </c>
      <c r="E1630" s="44" t="str">
        <f>IFERROR(__xludf.DUMMYFUNCTION("""COMPUTED_VALUE"""),"")</f>
        <v/>
      </c>
      <c r="F1630" s="44" t="str">
        <f>IFERROR(__xludf.DUMMYFUNCTION("""COMPUTED_VALUE"""),"")</f>
        <v/>
      </c>
      <c r="G1630" s="44" t="str">
        <f>IFERROR(__xludf.DUMMYFUNCTION("""COMPUTED_VALUE""")," ")</f>
        <v> </v>
      </c>
      <c r="H1630" s="44" t="str">
        <f>IFERROR(__xludf.DUMMYFUNCTION("""COMPUTED_VALUE"""),"Alta Vista 81")</f>
        <v>Alta Vista 81</v>
      </c>
      <c r="I1630" s="44" t="str">
        <f>IFERROR(__xludf.DUMMYFUNCTION("""COMPUTED_VALUE""")," ")</f>
        <v> </v>
      </c>
      <c r="J1630" s="44" t="str">
        <f>IFERROR(__xludf.DUMMYFUNCTION("""COMPUTED_VALUE"""),"")</f>
        <v/>
      </c>
      <c r="K1630" s="42" t="str">
        <f>IFERROR(__xludf.DUMMYFUNCTION("""COMPUTED_VALUE"""),"Periférico de Catia")</f>
        <v>Periférico de Catia</v>
      </c>
    </row>
    <row r="1631">
      <c r="A1631" s="44">
        <v>1630.0</v>
      </c>
      <c r="B1631" s="44" t="str">
        <f>IFERROR(__xludf.DUMMYFUNCTION("""COMPUTED_VALUE"""),"Hospital Militar Universitario Dr. Carlos Arvelo")</f>
        <v>Hospital Militar Universitario Dr. Carlos Arvelo</v>
      </c>
      <c r="C1631" s="45" t="str">
        <f>IFERROR(__xludf.DUMMYFUNCTION("""COMPUTED_VALUE"""),"DANIELI CARELIS GARCIA")</f>
        <v>DANIELI CARELIS GARCIA</v>
      </c>
      <c r="D1631" s="44">
        <f>IFERROR(__xludf.DUMMYFUNCTION("""COMPUTED_VALUE"""),30.0)</f>
        <v>30</v>
      </c>
      <c r="E1631" s="44" t="str">
        <f>IFERROR(__xludf.DUMMYFUNCTION("""COMPUTED_VALUE"""),"")</f>
        <v/>
      </c>
      <c r="F1631" s="44" t="str">
        <f>IFERROR(__xludf.DUMMYFUNCTION("""COMPUTED_VALUE"""),"")</f>
        <v/>
      </c>
      <c r="G1631" s="44" t="str">
        <f>IFERROR(__xludf.DUMMYFUNCTION("""COMPUTED_VALUE""")," ")</f>
        <v> </v>
      </c>
      <c r="H1631" s="44" t="str">
        <f>IFERROR(__xludf.DUMMYFUNCTION("""COMPUTED_VALUE"""),"La Guaira")</f>
        <v>La Guaira</v>
      </c>
      <c r="I1631" s="44" t="str">
        <f>IFERROR(__xludf.DUMMYFUNCTION("""COMPUTED_VALUE"""),"PNA")</f>
        <v>PNA</v>
      </c>
      <c r="J1631" s="44" t="str">
        <f>IFERROR(__xludf.DUMMYFUNCTION("""COMPUTED_VALUE"""),"")</f>
        <v/>
      </c>
      <c r="K1631" s="42" t="str">
        <f>IFERROR(__xludf.DUMMYFUNCTION("""COMPUTED_VALUE"""),"🔍 BUSCAR PACIENTES")</f>
        <v>🔍 BUSCAR PACIENTES</v>
      </c>
    </row>
    <row r="1632">
      <c r="A1632" s="44">
        <v>1631.0</v>
      </c>
      <c r="B1632" s="44" t="str">
        <f>IFERROR(__xludf.DUMMYFUNCTION("""COMPUTED_VALUE"""),"Hospital Militar Dr. C. Arvelo")</f>
        <v>Hospital Militar Dr. C. Arvelo</v>
      </c>
      <c r="C1632" s="45" t="str">
        <f>IFERROR(__xludf.DUMMYFUNCTION("""COMPUTED_VALUE"""),"Danieli Carelis García")</f>
        <v>Danieli Carelis García</v>
      </c>
      <c r="D1632" s="44">
        <f>IFERROR(__xludf.DUMMYFUNCTION("""COMPUTED_VALUE"""),30.0)</f>
        <v>30</v>
      </c>
      <c r="E1632" s="44" t="str">
        <f>IFERROR(__xludf.DUMMYFUNCTION("""COMPUTED_VALUE"""),"")</f>
        <v/>
      </c>
      <c r="F1632" s="44" t="str">
        <f>IFERROR(__xludf.DUMMYFUNCTION("""COMPUTED_VALUE"""),"")</f>
        <v/>
      </c>
      <c r="G1632" s="44" t="str">
        <f>IFERROR(__xludf.DUMMYFUNCTION("""COMPUTED_VALUE"""),"")</f>
        <v/>
      </c>
      <c r="H1632" s="44" t="str">
        <f>IFERROR(__xludf.DUMMYFUNCTION("""COMPUTED_VALUE"""),"F")</f>
        <v>F</v>
      </c>
      <c r="I1632" s="44" t="str">
        <f>IFERROR(__xludf.DUMMYFUNCTION("""COMPUTED_VALUE"""),"La Guaira PNA")</f>
        <v>La Guaira PNA</v>
      </c>
      <c r="J1632" s="44" t="str">
        <f>IFERROR(__xludf.DUMMYFUNCTION("""COMPUTED_VALUE"""),"24/6/2026")</f>
        <v>24/6/2026</v>
      </c>
      <c r="K1632" s="42" t="str">
        <f>IFERROR(__xludf.DUMMYFUNCTION("""COMPUTED_VALUE"""),"Hospital Militar Dr. C. Arvelo")</f>
        <v>Hospital Militar Dr. C. Arvelo</v>
      </c>
    </row>
    <row r="1633">
      <c r="A1633" s="44">
        <v>1632.0</v>
      </c>
      <c r="B1633" s="44" t="str">
        <f>IFERROR(__xludf.DUMMYFUNCTION("""COMPUTED_VALUE"""),"Campo de Golf Playa los Cocos")</f>
        <v>Campo de Golf Playa los Cocos</v>
      </c>
      <c r="C1633" s="45" t="str">
        <f>IFERROR(__xludf.DUMMYFUNCTION("""COMPUTED_VALUE"""),"Danilo Mendoza")</f>
        <v>Danilo Mendoza</v>
      </c>
      <c r="D1633" s="44" t="str">
        <f>IFERROR(__xludf.DUMMYFUNCTION("""COMPUTED_VALUE"""),"")</f>
        <v/>
      </c>
      <c r="E1633" s="44" t="str">
        <f>IFERROR(__xludf.DUMMYFUNCTION("""COMPUTED_VALUE"""),"")</f>
        <v/>
      </c>
      <c r="F1633" s="44" t="str">
        <f>IFERROR(__xludf.DUMMYFUNCTION("""COMPUTED_VALUE"""),"")</f>
        <v/>
      </c>
      <c r="G1633" s="44" t="str">
        <f>IFERROR(__xludf.DUMMYFUNCTION("""COMPUTED_VALUE"""),"")</f>
        <v/>
      </c>
      <c r="H1633" s="44" t="str">
        <f>IFERROR(__xludf.DUMMYFUNCTION("""COMPUTED_VALUE"""),"")</f>
        <v/>
      </c>
      <c r="I1633" s="44"/>
      <c r="J1633" s="44" t="str">
        <f>IFERROR(__xludf.DUMMYFUNCTION("""COMPUTED_VALUE"""),"")</f>
        <v/>
      </c>
      <c r="K1633" s="42" t="str">
        <f>IFERROR(__xludf.DUMMYFUNCTION("""COMPUTED_VALUE"""),"Campo de Golf Playa los Cocos")</f>
        <v>Campo de Golf Playa los Cocos</v>
      </c>
    </row>
    <row r="1634">
      <c r="A1634" s="44">
        <v>1633.0</v>
      </c>
      <c r="B1634" s="44" t="str">
        <f>IFERROR(__xludf.DUMMYFUNCTION("""COMPUTED_VALUE"""),"Hospital Vargas de Caracas")</f>
        <v>Hospital Vargas de Caracas</v>
      </c>
      <c r="C1634" s="45" t="str">
        <f>IFERROR(__xludf.DUMMYFUNCTION("""COMPUTED_VALUE"""),"DANITA DIAZ VARONA")</f>
        <v>DANITA DIAZ VARONA</v>
      </c>
      <c r="D1634" s="44" t="str">
        <f>IFERROR(__xludf.DUMMYFUNCTION("""COMPUTED_VALUE""")," ")</f>
        <v> </v>
      </c>
      <c r="E1634" s="44" t="str">
        <f>IFERROR(__xludf.DUMMYFUNCTION("""COMPUTED_VALUE"""),"")</f>
        <v/>
      </c>
      <c r="F1634" s="44" t="str">
        <f>IFERROR(__xludf.DUMMYFUNCTION("""COMPUTED_VALUE""")," ")</f>
        <v> </v>
      </c>
      <c r="G1634" s="44" t="str">
        <f>IFERROR(__xludf.DUMMYFUNCTION("""COMPUTED_VALUE"""),"")</f>
        <v/>
      </c>
      <c r="H1634" s="44" t="str">
        <f>IFERROR(__xludf.DUMMYFUNCTION("""COMPUTED_VALUE""")," ")</f>
        <v> </v>
      </c>
      <c r="I1634" s="44" t="str">
        <f>IFERROR(__xludf.DUMMYFUNCTION("""COMPUTED_VALUE"""),"Pediátrico")</f>
        <v>Pediátrico</v>
      </c>
      <c r="J1634" s="44" t="str">
        <f>IFERROR(__xludf.DUMMYFUNCTION("""COMPUTED_VALUE"""),"")</f>
        <v/>
      </c>
      <c r="K1634" s="42" t="str">
        <f>IFERROR(__xludf.DUMMYFUNCTION("""COMPUTED_VALUE"""),"Hospital Vargas de Caracas")</f>
        <v>Hospital Vargas de Caracas</v>
      </c>
    </row>
    <row r="1635">
      <c r="A1635" s="44">
        <v>1634.0</v>
      </c>
      <c r="B1635" s="44" t="str">
        <f>IFERROR(__xludf.DUMMYFUNCTION("""COMPUTED_VALUE"""),"HOSPITAL VARGAS")</f>
        <v>HOSPITAL VARGAS</v>
      </c>
      <c r="C1635" s="45" t="str">
        <f>IFERROR(__xludf.DUMMYFUNCTION("""COMPUTED_VALUE"""),"Danker Pinto (F)")</f>
        <v>Danker Pinto (F)</v>
      </c>
      <c r="D1635" s="44"/>
      <c r="E1635" s="44" t="str">
        <f>IFERROR(__xludf.DUMMYFUNCTION("""COMPUTED_VALUE"""),"")</f>
        <v/>
      </c>
      <c r="F1635" s="44" t="str">
        <f>IFERROR(__xludf.DUMMYFUNCTION("""COMPUTED_VALUE"""),"")</f>
        <v/>
      </c>
      <c r="G1635" s="44" t="str">
        <f>IFERROR(__xludf.DUMMYFUNCTION("""COMPUTED_VALUE"""),"")</f>
        <v/>
      </c>
      <c r="H1635" s="44" t="str">
        <f>IFERROR(__xludf.DUMMYFUNCTION("""COMPUTED_VALUE"""),"")</f>
        <v/>
      </c>
      <c r="I1635" s="44" t="str">
        <f>IFERROR(__xludf.DUMMYFUNCTION("""COMPUTED_VALUE"""),"Revisar Herido / atendido")</f>
        <v>Revisar Herido / atendido</v>
      </c>
      <c r="J1635" s="44" t="str">
        <f>IFERROR(__xludf.DUMMYFUNCTION("""COMPUTED_VALUE"""),"24.06.2026 ")</f>
        <v>24.06.2026 </v>
      </c>
      <c r="K1635" s="42" t="str">
        <f>IFERROR(__xludf.DUMMYFUNCTION("""COMPUTED_VALUE"""),"HOSPITAL VARGAS")</f>
        <v>HOSPITAL VARGAS</v>
      </c>
    </row>
    <row r="1636">
      <c r="A1636" s="44">
        <v>1635.0</v>
      </c>
      <c r="B1636" s="44" t="str">
        <f>IFERROR(__xludf.DUMMYFUNCTION("""COMPUTED_VALUE"""),"Hospital Vargas de Caracas")</f>
        <v>Hospital Vargas de Caracas</v>
      </c>
      <c r="C1636" s="45" t="str">
        <f>IFERROR(__xludf.DUMMYFUNCTION("""COMPUTED_VALUE"""),"Danker Pintor")</f>
        <v>Danker Pintor</v>
      </c>
      <c r="D1636" s="44"/>
      <c r="E1636" s="44" t="str">
        <f>IFERROR(__xludf.DUMMYFUNCTION("""COMPUTED_VALUE"""),"")</f>
        <v/>
      </c>
      <c r="F1636" s="44"/>
      <c r="G1636" s="44" t="str">
        <f>IFERROR(__xludf.DUMMYFUNCTION("""COMPUTED_VALUE"""),"")</f>
        <v/>
      </c>
      <c r="H1636" s="44"/>
      <c r="I1636" s="44" t="str">
        <f>IFERROR(__xludf.DUMMYFUNCTION("""COMPUTED_VALUE"""),"Nombre tomado de la pizarra de pacientes; no aparece en el formulario con C.I.")</f>
        <v>Nombre tomado de la pizarra de pacientes; no aparece en el formulario con C.I.</v>
      </c>
      <c r="J1636" s="44" t="str">
        <f>IFERROR(__xludf.DUMMYFUNCTION("""COMPUTED_VALUE"""),"")</f>
        <v/>
      </c>
      <c r="K1636" s="42" t="str">
        <f>IFERROR(__xludf.DUMMYFUNCTION("""COMPUTED_VALUE"""),"Hospital Vargas de Caracas")</f>
        <v>Hospital Vargas de Caracas</v>
      </c>
    </row>
    <row r="1637">
      <c r="A1637" s="44">
        <v>1636.0</v>
      </c>
      <c r="B1637" s="44" t="str">
        <f>IFERROR(__xludf.DUMMYFUNCTION("""COMPUTED_VALUE"""),"Campo de Golf Playa los Cocos")</f>
        <v>Campo de Golf Playa los Cocos</v>
      </c>
      <c r="C1637" s="45" t="str">
        <f>IFERROR(__xludf.DUMMYFUNCTION("""COMPUTED_VALUE"""),"Danyer Romero")</f>
        <v>Danyer Romero</v>
      </c>
      <c r="D1637" s="44" t="str">
        <f>IFERROR(__xludf.DUMMYFUNCTION("""COMPUTED_VALUE"""),"")</f>
        <v/>
      </c>
      <c r="E1637" s="44" t="str">
        <f>IFERROR(__xludf.DUMMYFUNCTION("""COMPUTED_VALUE"""),"")</f>
        <v/>
      </c>
      <c r="F1637" s="44" t="str">
        <f>IFERROR(__xludf.DUMMYFUNCTION("""COMPUTED_VALUE"""),"")</f>
        <v/>
      </c>
      <c r="G1637" s="44" t="str">
        <f>IFERROR(__xludf.DUMMYFUNCTION("""COMPUTED_VALUE"""),"")</f>
        <v/>
      </c>
      <c r="H1637" s="44" t="str">
        <f>IFERROR(__xludf.DUMMYFUNCTION("""COMPUTED_VALUE"""),"")</f>
        <v/>
      </c>
      <c r="I1637" s="44" t="str">
        <f>IFERROR(__xludf.DUMMYFUNCTION("""COMPUTED_VALUE"""),"menor")</f>
        <v>menor</v>
      </c>
      <c r="J1637" s="44" t="str">
        <f>IFERROR(__xludf.DUMMYFUNCTION("""COMPUTED_VALUE"""),"")</f>
        <v/>
      </c>
      <c r="K1637" s="42" t="str">
        <f>IFERROR(__xludf.DUMMYFUNCTION("""COMPUTED_VALUE"""),"Campo de Golf Playa los Cocos")</f>
        <v>Campo de Golf Playa los Cocos</v>
      </c>
    </row>
    <row r="1638">
      <c r="A1638" s="44">
        <v>1637.0</v>
      </c>
      <c r="B1638" s="44" t="str">
        <f>IFERROR(__xludf.DUMMYFUNCTION("""COMPUTED_VALUE"""),"Campo de Golf Playa los Cocos")</f>
        <v>Campo de Golf Playa los Cocos</v>
      </c>
      <c r="C1638" s="45" t="str">
        <f>IFERROR(__xludf.DUMMYFUNCTION("""COMPUTED_VALUE"""),"Danyerlis Diaz")</f>
        <v>Danyerlis Diaz</v>
      </c>
      <c r="D1638" s="44" t="str">
        <f>IFERROR(__xludf.DUMMYFUNCTION("""COMPUTED_VALUE"""),"")</f>
        <v/>
      </c>
      <c r="E1638" s="44" t="str">
        <f>IFERROR(__xludf.DUMMYFUNCTION("""COMPUTED_VALUE"""),"")</f>
        <v/>
      </c>
      <c r="F1638" s="44" t="str">
        <f>IFERROR(__xludf.DUMMYFUNCTION("""COMPUTED_VALUE"""),"")</f>
        <v/>
      </c>
      <c r="G1638" s="44" t="str">
        <f>IFERROR(__xludf.DUMMYFUNCTION("""COMPUTED_VALUE"""),"")</f>
        <v/>
      </c>
      <c r="H1638" s="44" t="str">
        <f>IFERROR(__xludf.DUMMYFUNCTION("""COMPUTED_VALUE"""),"")</f>
        <v/>
      </c>
      <c r="I1638" s="44"/>
      <c r="J1638" s="44" t="str">
        <f>IFERROR(__xludf.DUMMYFUNCTION("""COMPUTED_VALUE"""),"")</f>
        <v/>
      </c>
      <c r="K1638" s="42" t="str">
        <f>IFERROR(__xludf.DUMMYFUNCTION("""COMPUTED_VALUE"""),"Campo de Golf Playa los Cocos")</f>
        <v>Campo de Golf Playa los Cocos</v>
      </c>
    </row>
    <row r="1639">
      <c r="A1639" s="44">
        <v>1638.0</v>
      </c>
      <c r="B1639" s="44" t="str">
        <f>IFERROR(__xludf.DUMMYFUNCTION("""COMPUTED_VALUE"""),"Hospital Dr. José Gregorio Hern")</f>
        <v>Hospital Dr. José Gregorio Hern</v>
      </c>
      <c r="C1639" s="45" t="str">
        <f>IFERROR(__xludf.DUMMYFUNCTION("""COMPUTED_VALUE"""),"DAREN ELIANYELIS")</f>
        <v>DAREN ELIANYELIS</v>
      </c>
      <c r="D1639" s="44">
        <f>IFERROR(__xludf.DUMMYFUNCTION("""COMPUTED_VALUE"""),15.0)</f>
        <v>15</v>
      </c>
      <c r="E1639" s="44" t="str">
        <f>IFERROR(__xludf.DUMMYFUNCTION("""COMPUTED_VALUE"""),"")</f>
        <v/>
      </c>
      <c r="F1639" s="44" t="str">
        <f>IFERROR(__xludf.DUMMYFUNCTION("""COMPUTED_VALUE"""),"")</f>
        <v/>
      </c>
      <c r="G1639" s="44" t="str">
        <f>IFERROR(__xludf.DUMMYFUNCTION("""COMPUTED_VALUE""")," ")</f>
        <v> </v>
      </c>
      <c r="H1639" s="44" t="str">
        <f>IFERROR(__xludf.DUMMYFUNCTION("""COMPUTED_VALUE"""),"Maiquetia")</f>
        <v>Maiquetia</v>
      </c>
      <c r="I1639" s="44" t="str">
        <f>IFERROR(__xludf.DUMMYFUNCTION("""COMPUTED_VALUE""")," ")</f>
        <v> </v>
      </c>
      <c r="J1639" s="44" t="str">
        <f>IFERROR(__xludf.DUMMYFUNCTION("""COMPUTED_VALUE"""),"")</f>
        <v/>
      </c>
      <c r="K1639" s="42" t="str">
        <f>IFERROR(__xludf.DUMMYFUNCTION("""COMPUTED_VALUE"""),"Hospital Dr. José Gregorio Hern")</f>
        <v>Hospital Dr. José Gregorio Hern</v>
      </c>
    </row>
    <row r="1640">
      <c r="A1640" s="44">
        <v>1639.0</v>
      </c>
      <c r="B1640" s="44" t="str">
        <f>IFERROR(__xludf.DUMMYFUNCTION("""COMPUTED_VALUE"""),"Periférico de Catia")</f>
        <v>Periférico de Catia</v>
      </c>
      <c r="C1640" s="45" t="str">
        <f>IFERROR(__xludf.DUMMYFUNCTION("""COMPUTED_VALUE"""),"DARIO RUBEN")</f>
        <v>DARIO RUBEN</v>
      </c>
      <c r="D1640" s="44">
        <f>IFERROR(__xludf.DUMMYFUNCTION("""COMPUTED_VALUE"""),64.0)</f>
        <v>64</v>
      </c>
      <c r="E1640" s="44" t="str">
        <f>IFERROR(__xludf.DUMMYFUNCTION("""COMPUTED_VALUE"""),"")</f>
        <v/>
      </c>
      <c r="F1640" s="44" t="str">
        <f>IFERROR(__xludf.DUMMYFUNCTION("""COMPUTED_VALUE"""),"")</f>
        <v/>
      </c>
      <c r="G1640" s="44" t="str">
        <f>IFERROR(__xludf.DUMMYFUNCTION("""COMPUTED_VALUE""")," ")</f>
        <v> </v>
      </c>
      <c r="H1640" s="44" t="str">
        <f>IFERROR(__xludf.DUMMYFUNCTION("""COMPUTED_VALUE"""),"Los Frailes")</f>
        <v>Los Frailes</v>
      </c>
      <c r="I1640" s="44" t="str">
        <f>IFERROR(__xludf.DUMMYFUNCTION("""COMPUTED_VALUE"""),"TRM")</f>
        <v>TRM</v>
      </c>
      <c r="J1640" s="44" t="str">
        <f>IFERROR(__xludf.DUMMYFUNCTION("""COMPUTED_VALUE"""),"")</f>
        <v/>
      </c>
      <c r="K1640" s="42" t="str">
        <f>IFERROR(__xludf.DUMMYFUNCTION("""COMPUTED_VALUE"""),"Periférico de Catia")</f>
        <v>Periférico de Catia</v>
      </c>
    </row>
    <row r="1641">
      <c r="A1641" s="44">
        <v>1640.0</v>
      </c>
      <c r="B1641" s="44" t="str">
        <f>IFERROR(__xludf.DUMMYFUNCTION("""COMPUTED_VALUE"""),"HOSPITAL VARGAS")</f>
        <v>HOSPITAL VARGAS</v>
      </c>
      <c r="C1641" s="45" t="str">
        <f>IFERROR(__xludf.DUMMYFUNCTION("""COMPUTED_VALUE"""),"Darwin Colmenarez")</f>
        <v>Darwin Colmenarez</v>
      </c>
      <c r="D1641" s="44"/>
      <c r="E1641" s="44" t="str">
        <f>IFERROR(__xludf.DUMMYFUNCTION("""COMPUTED_VALUE"""),"")</f>
        <v/>
      </c>
      <c r="F1641" s="44" t="str">
        <f>IFERROR(__xludf.DUMMYFUNCTION("""COMPUTED_VALUE"""),"")</f>
        <v/>
      </c>
      <c r="G1641" s="44" t="str">
        <f>IFERROR(__xludf.DUMMYFUNCTION("""COMPUTED_VALUE"""),"")</f>
        <v/>
      </c>
      <c r="H1641" s="44" t="str">
        <f>IFERROR(__xludf.DUMMYFUNCTION("""COMPUTED_VALUE"""),"")</f>
        <v/>
      </c>
      <c r="I1641" s="44" t="str">
        <f>IFERROR(__xludf.DUMMYFUNCTION("""COMPUTED_VALUE"""),"Herido / atendido")</f>
        <v>Herido / atendido</v>
      </c>
      <c r="J1641" s="44" t="str">
        <f>IFERROR(__xludf.DUMMYFUNCTION("""COMPUTED_VALUE"""),"24.06.2026 ")</f>
        <v>24.06.2026 </v>
      </c>
      <c r="K1641" s="42" t="str">
        <f>IFERROR(__xludf.DUMMYFUNCTION("""COMPUTED_VALUE"""),"HOSPITAL VARGAS")</f>
        <v>HOSPITAL VARGAS</v>
      </c>
    </row>
    <row r="1642">
      <c r="A1642" s="44">
        <v>1641.0</v>
      </c>
      <c r="B1642" s="44" t="str">
        <f>IFERROR(__xludf.DUMMYFUNCTION("""COMPUTED_VALUE"""),"Campo de Golf Playa los Cocos")</f>
        <v>Campo de Golf Playa los Cocos</v>
      </c>
      <c r="C1642" s="45" t="str">
        <f>IFERROR(__xludf.DUMMYFUNCTION("""COMPUTED_VALUE"""),"Darwin Manuel Medina O.")</f>
        <v>Darwin Manuel Medina O.</v>
      </c>
      <c r="D1642" s="44" t="str">
        <f>IFERROR(__xludf.DUMMYFUNCTION("""COMPUTED_VALUE"""),"")</f>
        <v/>
      </c>
      <c r="E1642" s="44" t="str">
        <f>IFERROR(__xludf.DUMMYFUNCTION("""COMPUTED_VALUE"""),"")</f>
        <v/>
      </c>
      <c r="F1642" s="44" t="str">
        <f>IFERROR(__xludf.DUMMYFUNCTION("""COMPUTED_VALUE"""),"")</f>
        <v/>
      </c>
      <c r="G1642" s="44" t="str">
        <f>IFERROR(__xludf.DUMMYFUNCTION("""COMPUTED_VALUE"""),"")</f>
        <v/>
      </c>
      <c r="H1642" s="44" t="str">
        <f>IFERROR(__xludf.DUMMYFUNCTION("""COMPUTED_VALUE"""),"")</f>
        <v/>
      </c>
      <c r="I1642" s="44"/>
      <c r="J1642" s="44" t="str">
        <f>IFERROR(__xludf.DUMMYFUNCTION("""COMPUTED_VALUE"""),"")</f>
        <v/>
      </c>
      <c r="K1642" s="42" t="str">
        <f>IFERROR(__xludf.DUMMYFUNCTION("""COMPUTED_VALUE"""),"Campo de Golf Playa los Cocos")</f>
        <v>Campo de Golf Playa los Cocos</v>
      </c>
    </row>
    <row r="1643">
      <c r="A1643" s="44">
        <v>1642.0</v>
      </c>
      <c r="B1643" s="44" t="str">
        <f>IFERROR(__xludf.DUMMYFUNCTION("""COMPUTED_VALUE"""),"Hospital Domingo Luciani")</f>
        <v>Hospital Domingo Luciani</v>
      </c>
      <c r="C1643" s="45" t="str">
        <f>IFERROR(__xludf.DUMMYFUNCTION("""COMPUTED_VALUE"""),"DASILVA ALEXANDRA")</f>
        <v>DASILVA ALEXANDRA</v>
      </c>
      <c r="D1643" s="44">
        <f>IFERROR(__xludf.DUMMYFUNCTION("""COMPUTED_VALUE"""),21.0)</f>
        <v>21</v>
      </c>
      <c r="E1643" s="44" t="str">
        <f>IFERROR(__xludf.DUMMYFUNCTION("""COMPUTED_VALUE"""),"")</f>
        <v/>
      </c>
      <c r="F1643" s="44" t="str">
        <f>IFERROR(__xludf.DUMMYFUNCTION("""COMPUTED_VALUE"""),"")</f>
        <v/>
      </c>
      <c r="G1643" s="44" t="str">
        <f>IFERROR(__xludf.DUMMYFUNCTION("""COMPUTED_VALUE""")," ")</f>
        <v> </v>
      </c>
      <c r="H1643" s="44" t="str">
        <f>IFERROR(__xludf.DUMMYFUNCTION("""COMPUTED_VALUE""")," ")</f>
        <v> </v>
      </c>
      <c r="I1643" s="44" t="str">
        <f>IFERROR(__xludf.DUMMYFUNCTION("""COMPUTED_VALUE"""),"Politrauma Emerg. Vieja")</f>
        <v>Politrauma Emerg. Vieja</v>
      </c>
      <c r="J1643" s="44" t="str">
        <f>IFERROR(__xludf.DUMMYFUNCTION("""COMPUTED_VALUE"""),"")</f>
        <v/>
      </c>
      <c r="K1643" s="42" t="str">
        <f>IFERROR(__xludf.DUMMYFUNCTION("""COMPUTED_VALUE"""),"🔍 BUSCAR PACIENTES")</f>
        <v>🔍 BUSCAR PACIENTES</v>
      </c>
    </row>
    <row r="1644">
      <c r="A1644" s="44">
        <v>1643.0</v>
      </c>
      <c r="B1644" s="44" t="str">
        <f>IFERROR(__xludf.DUMMYFUNCTION("""COMPUTED_VALUE"""),"Hospital Domingo Luciani")</f>
        <v>Hospital Domingo Luciani</v>
      </c>
      <c r="C1644" s="45" t="str">
        <f>IFERROR(__xludf.DUMMYFUNCTION("""COMPUTED_VALUE"""),"DASILVA ANTHONY")</f>
        <v>DASILVA ANTHONY</v>
      </c>
      <c r="D1644" s="44">
        <f>IFERROR(__xludf.DUMMYFUNCTION("""COMPUTED_VALUE"""),14.0)</f>
        <v>14</v>
      </c>
      <c r="E1644" s="44" t="str">
        <f>IFERROR(__xludf.DUMMYFUNCTION("""COMPUTED_VALUE"""),"")</f>
        <v/>
      </c>
      <c r="F1644" s="44" t="str">
        <f>IFERROR(__xludf.DUMMYFUNCTION("""COMPUTED_VALUE"""),"")</f>
        <v/>
      </c>
      <c r="G1644" s="44" t="str">
        <f>IFERROR(__xludf.DUMMYFUNCTION("""COMPUTED_VALUE""")," ")</f>
        <v> </v>
      </c>
      <c r="H1644" s="44" t="str">
        <f>IFERROR(__xludf.DUMMYFUNCTION("""COMPUTED_VALUE""")," ")</f>
        <v> </v>
      </c>
      <c r="I1644" s="44" t="str">
        <f>IFERROR(__xludf.DUMMYFUNCTION("""COMPUTED_VALUE"""),"Politrauma Emerg. Vieja")</f>
        <v>Politrauma Emerg. Vieja</v>
      </c>
      <c r="J1644" s="44" t="str">
        <f>IFERROR(__xludf.DUMMYFUNCTION("""COMPUTED_VALUE"""),"")</f>
        <v/>
      </c>
      <c r="K1644" s="42" t="str">
        <f>IFERROR(__xludf.DUMMYFUNCTION("""COMPUTED_VALUE"""),"🔍 BUSCAR PACIENTES")</f>
        <v>🔍 BUSCAR PACIENTES</v>
      </c>
    </row>
    <row r="1645">
      <c r="A1645" s="44">
        <v>1644.0</v>
      </c>
      <c r="B1645" s="44" t="str">
        <f>IFERROR(__xludf.DUMMYFUNCTION("""COMPUTED_VALUE"""),"Hospital Domingo Luciani")</f>
        <v>Hospital Domingo Luciani</v>
      </c>
      <c r="C1645" s="45" t="str">
        <f>IFERROR(__xludf.DUMMYFUNCTION("""COMPUTED_VALUE"""),"DASILVA ENGERBERTH")</f>
        <v>DASILVA ENGERBERTH</v>
      </c>
      <c r="D1645" s="44">
        <f>IFERROR(__xludf.DUMMYFUNCTION("""COMPUTED_VALUE"""),21.0)</f>
        <v>21</v>
      </c>
      <c r="E1645" s="44" t="str">
        <f>IFERROR(__xludf.DUMMYFUNCTION("""COMPUTED_VALUE"""),"")</f>
        <v/>
      </c>
      <c r="F1645" s="44" t="str">
        <f>IFERROR(__xludf.DUMMYFUNCTION("""COMPUTED_VALUE"""),"")</f>
        <v/>
      </c>
      <c r="G1645" s="44" t="str">
        <f>IFERROR(__xludf.DUMMYFUNCTION("""COMPUTED_VALUE""")," ")</f>
        <v> </v>
      </c>
      <c r="H1645" s="44" t="str">
        <f>IFERROR(__xludf.DUMMYFUNCTION("""COMPUTED_VALUE""")," ")</f>
        <v> </v>
      </c>
      <c r="I1645" s="44" t="str">
        <f>IFERROR(__xludf.DUMMYFUNCTION("""COMPUTED_VALUE"""),"Politrauma Emerg. Vieja")</f>
        <v>Politrauma Emerg. Vieja</v>
      </c>
      <c r="J1645" s="44" t="str">
        <f>IFERROR(__xludf.DUMMYFUNCTION("""COMPUTED_VALUE"""),"")</f>
        <v/>
      </c>
      <c r="K1645" s="42" t="str">
        <f>IFERROR(__xludf.DUMMYFUNCTION("""COMPUTED_VALUE"""),"🔍 BUSCAR PACIENTES")</f>
        <v>🔍 BUSCAR PACIENTES</v>
      </c>
    </row>
    <row r="1646">
      <c r="A1646" s="44">
        <v>1645.0</v>
      </c>
      <c r="B1646" s="44" t="str">
        <f>IFERROR(__xludf.DUMMYFUNCTION("""COMPUTED_VALUE"""),"Hospital Domingo Luciani")</f>
        <v>Hospital Domingo Luciani</v>
      </c>
      <c r="C1646" s="45" t="str">
        <f>IFERROR(__xludf.DUMMYFUNCTION("""COMPUTED_VALUE"""),"Datis Arrieta")</f>
        <v>Datis Arrieta</v>
      </c>
      <c r="D1646" s="44">
        <f>IFERROR(__xludf.DUMMYFUNCTION("""COMPUTED_VALUE"""),65.0)</f>
        <v>65</v>
      </c>
      <c r="E1646" s="44" t="str">
        <f>IFERROR(__xludf.DUMMYFUNCTION("""COMPUTED_VALUE"""),"")</f>
        <v/>
      </c>
      <c r="F1646" s="44" t="str">
        <f>IFERROR(__xludf.DUMMYFUNCTION("""COMPUTED_VALUE"""),"")</f>
        <v/>
      </c>
      <c r="G1646" s="44"/>
      <c r="H1646" s="44"/>
      <c r="I1646" s="44"/>
      <c r="J1646" s="44" t="str">
        <f>IFERROR(__xludf.DUMMYFUNCTION("""COMPUTED_VALUE"""),"")</f>
        <v/>
      </c>
      <c r="K1646" s="42" t="str">
        <f>IFERROR(__xludf.DUMMYFUNCTION("""COMPUTED_VALUE"""),"Hospital Domingo Luciani")</f>
        <v>Hospital Domingo Luciani</v>
      </c>
    </row>
    <row r="1647">
      <c r="A1647" s="44">
        <v>1646.0</v>
      </c>
      <c r="B1647" s="44" t="str">
        <f>IFERROR(__xludf.DUMMYFUNCTION("""COMPUTED_VALUE"""),"Periférico de Catia")</f>
        <v>Periférico de Catia</v>
      </c>
      <c r="C1647" s="45" t="str">
        <f>IFERROR(__xludf.DUMMYFUNCTION("""COMPUTED_VALUE"""),"David Pedron")</f>
        <v>David Pedron</v>
      </c>
      <c r="D1647" s="44"/>
      <c r="E1647" s="44" t="str">
        <f>IFERROR(__xludf.DUMMYFUNCTION("""COMPUTED_VALUE"""),"")</f>
        <v/>
      </c>
      <c r="F1647" s="44" t="str">
        <f>IFERROR(__xludf.DUMMYFUNCTION("""COMPUTED_VALUE"""),"")</f>
        <v/>
      </c>
      <c r="G1647" s="44"/>
      <c r="H1647" s="44"/>
      <c r="I1647" s="44" t="str">
        <f>IFERROR(__xludf.DUMMYFUNCTION("""COMPUTED_VALUE"""),"Nota adicional 8:30pm (mismo grupo Politrauma) (sin edad)")</f>
        <v>Nota adicional 8:30pm (mismo grupo Politrauma) (sin edad)</v>
      </c>
      <c r="J1647" s="44" t="str">
        <f>IFERROR(__xludf.DUMMYFUNCTION("""COMPUTED_VALUE"""),"")</f>
        <v/>
      </c>
      <c r="K1647" s="42" t="str">
        <f>IFERROR(__xludf.DUMMYFUNCTION("""COMPUTED_VALUE"""),"Periférico de Catia")</f>
        <v>Periférico de Catia</v>
      </c>
    </row>
    <row r="1648">
      <c r="A1648" s="44">
        <v>1647.0</v>
      </c>
      <c r="B1648" s="44" t="str">
        <f>IFERROR(__xludf.DUMMYFUNCTION("""COMPUTED_VALUE"""),"Centro de Acopio Caraballeda")</f>
        <v>Centro de Acopio Caraballeda</v>
      </c>
      <c r="C1648" s="45" t="str">
        <f>IFERROR(__xludf.DUMMYFUNCTION("""COMPUTED_VALUE"""),"DAVILA JOHAN")</f>
        <v>DAVILA JOHAN</v>
      </c>
      <c r="D1648" s="44" t="str">
        <f>IFERROR(__xludf.DUMMYFUNCTION("""COMPUTED_VALUE""")," ")</f>
        <v> </v>
      </c>
      <c r="E1648" s="44" t="str">
        <f>IFERROR(__xludf.DUMMYFUNCTION("""COMPUTED_VALUE"""),"")</f>
        <v/>
      </c>
      <c r="F1648" s="44" t="str">
        <f>IFERROR(__xludf.DUMMYFUNCTION("""COMPUTED_VALUE"""),"")</f>
        <v/>
      </c>
      <c r="G1648" s="44" t="str">
        <f>IFERROR(__xludf.DUMMYFUNCTION("""COMPUTED_VALUE""")," ")</f>
        <v> </v>
      </c>
      <c r="H1648" s="44" t="str">
        <f>IFERROR(__xludf.DUMMYFUNCTION("""COMPUTED_VALUE""")," ")</f>
        <v> </v>
      </c>
      <c r="I1648" s="44" t="str">
        <f>IFERROR(__xludf.DUMMYFUNCTION("""COMPUTED_VALUE"""),"Internado")</f>
        <v>Internado</v>
      </c>
      <c r="J1648" s="44" t="str">
        <f>IFERROR(__xludf.DUMMYFUNCTION("""COMPUTED_VALUE"""),"")</f>
        <v/>
      </c>
      <c r="K1648" s="42" t="str">
        <f>IFERROR(__xludf.DUMMYFUNCTION("""COMPUTED_VALUE"""),"🔍 BUSCAR PACIENTES")</f>
        <v>🔍 BUSCAR PACIENTES</v>
      </c>
    </row>
    <row r="1649">
      <c r="A1649" s="44">
        <v>1648.0</v>
      </c>
      <c r="B1649" s="44" t="str">
        <f>IFERROR(__xludf.DUMMYFUNCTION("""COMPUTED_VALUE"""),"Hospital Pérez Carreño")</f>
        <v>Hospital Pérez Carreño</v>
      </c>
      <c r="C1649" s="45" t="str">
        <f>IFERROR(__xludf.DUMMYFUNCTION("""COMPUTED_VALUE"""),"DAYANA CORDOBA")</f>
        <v>DAYANA CORDOBA</v>
      </c>
      <c r="D1649" s="44" t="str">
        <f>IFERROR(__xludf.DUMMYFUNCTION("""COMPUTED_VALUE""")," ")</f>
        <v> </v>
      </c>
      <c r="E1649" s="44" t="str">
        <f>IFERROR(__xludf.DUMMYFUNCTION("""COMPUTED_VALUE"""),"")</f>
        <v/>
      </c>
      <c r="F1649" s="44" t="str">
        <f>IFERROR(__xludf.DUMMYFUNCTION("""COMPUTED_VALUE"""),"")</f>
        <v/>
      </c>
      <c r="G1649" s="44" t="str">
        <f>IFERROR(__xludf.DUMMYFUNCTION("""COMPUTED_VALUE""")," ")</f>
        <v> </v>
      </c>
      <c r="H1649" s="44" t="str">
        <f>IFERROR(__xludf.DUMMYFUNCTION("""COMPUTED_VALUE""")," ")</f>
        <v> </v>
      </c>
      <c r="I1649" s="44" t="str">
        <f>IFERROR(__xludf.DUMMYFUNCTION("""COMPUTED_VALUE"""),"Traumachok – Traumatología; La Guaira")</f>
        <v>Traumachok – Traumatología; La Guaira</v>
      </c>
      <c r="J1649" s="44" t="str">
        <f>IFERROR(__xludf.DUMMYFUNCTION("""COMPUTED_VALUE"""),"25/06/2026")</f>
        <v>25/06/2026</v>
      </c>
      <c r="K1649" s="42" t="str">
        <f>IFERROR(__xludf.DUMMYFUNCTION("""COMPUTED_VALUE"""),"Hospital Pérez Carreño")</f>
        <v>Hospital Pérez Carreño</v>
      </c>
    </row>
    <row r="1650">
      <c r="A1650" s="44">
        <v>1649.0</v>
      </c>
      <c r="B1650" s="44" t="str">
        <f>IFERROR(__xludf.DUMMYFUNCTION("""COMPUTED_VALUE"""),"Campo de Golf Playa los Cocos")</f>
        <v>Campo de Golf Playa los Cocos</v>
      </c>
      <c r="C1650" s="45" t="str">
        <f>IFERROR(__xludf.DUMMYFUNCTION("""COMPUTED_VALUE"""),"Dayana Olivares")</f>
        <v>Dayana Olivares</v>
      </c>
      <c r="D1650" s="44" t="str">
        <f>IFERROR(__xludf.DUMMYFUNCTION("""COMPUTED_VALUE"""),"")</f>
        <v/>
      </c>
      <c r="E1650" s="44" t="str">
        <f>IFERROR(__xludf.DUMMYFUNCTION("""COMPUTED_VALUE"""),"")</f>
        <v/>
      </c>
      <c r="F1650" s="44" t="str">
        <f>IFERROR(__xludf.DUMMYFUNCTION("""COMPUTED_VALUE"""),"")</f>
        <v/>
      </c>
      <c r="G1650" s="44" t="str">
        <f>IFERROR(__xludf.DUMMYFUNCTION("""COMPUTED_VALUE"""),"")</f>
        <v/>
      </c>
      <c r="H1650" s="44" t="str">
        <f>IFERROR(__xludf.DUMMYFUNCTION("""COMPUTED_VALUE"""),"")</f>
        <v/>
      </c>
      <c r="I1650" s="44"/>
      <c r="J1650" s="44" t="str">
        <f>IFERROR(__xludf.DUMMYFUNCTION("""COMPUTED_VALUE"""),"")</f>
        <v/>
      </c>
      <c r="K1650" s="42" t="str">
        <f>IFERROR(__xludf.DUMMYFUNCTION("""COMPUTED_VALUE"""),"Campo de Golf Playa los Cocos")</f>
        <v>Campo de Golf Playa los Cocos</v>
      </c>
    </row>
    <row r="1651">
      <c r="A1651" s="44">
        <v>1650.0</v>
      </c>
      <c r="B1651" s="44" t="str">
        <f>IFERROR(__xludf.DUMMYFUNCTION("""COMPUTED_VALUE"""),"Hospital Pérez Carreño")</f>
        <v>Hospital Pérez Carreño</v>
      </c>
      <c r="C1651" s="45" t="str">
        <f>IFERROR(__xludf.DUMMYFUNCTION("""COMPUTED_VALUE"""),"Dayana Rondon")</f>
        <v>Dayana Rondon</v>
      </c>
      <c r="D1651" s="44" t="str">
        <f>IFERROR(__xludf.DUMMYFUNCTION("""COMPUTED_VALUE"""),"18 años (edad, no cédula)")</f>
        <v>18 años (edad, no cédula)</v>
      </c>
      <c r="E1651" s="44" t="str">
        <f>IFERROR(__xludf.DUMMYFUNCTION("""COMPUTED_VALUE"""),"")</f>
        <v/>
      </c>
      <c r="F1651" s="44" t="str">
        <f>IFERROR(__xludf.DUMMYFUNCTION("""COMPUTED_VALUE"""),"")</f>
        <v/>
      </c>
      <c r="G1651" s="44" t="str">
        <f>IFERROR(__xludf.DUMMYFUNCTION("""COMPUTED_VALUE"""),"Listado de nombres")</f>
        <v>Listado de nombres</v>
      </c>
      <c r="H1651" s="44" t="str">
        <f>IFERROR(__xludf.DUMMYFUNCTION("""COMPUTED_VALUE"""),"Hospital Miguel Perez Carreño")</f>
        <v>Hospital Miguel Perez Carreño</v>
      </c>
      <c r="I1651" s="44"/>
      <c r="J1651" s="44" t="str">
        <f>IFERROR(__xludf.DUMMYFUNCTION("""COMPUTED_VALUE"""),"26/6/26")</f>
        <v>26/6/26</v>
      </c>
      <c r="K1651" s="42" t="str">
        <f>IFERROR(__xludf.DUMMYFUNCTION("""COMPUTED_VALUE"""),"Hospital Pérez Carreño")</f>
        <v>Hospital Pérez Carreño</v>
      </c>
    </row>
    <row r="1652">
      <c r="A1652" s="44">
        <v>1651.0</v>
      </c>
      <c r="B1652" s="44" t="str">
        <f>IFERROR(__xludf.DUMMYFUNCTION("""COMPUTED_VALUE"""),"Campo de Golf Playa los Cocos")</f>
        <v>Campo de Golf Playa los Cocos</v>
      </c>
      <c r="C1652" s="45" t="str">
        <f>IFERROR(__xludf.DUMMYFUNCTION("""COMPUTED_VALUE"""),"Dayana Sanchez")</f>
        <v>Dayana Sanchez</v>
      </c>
      <c r="D1652" s="44" t="str">
        <f>IFERROR(__xludf.DUMMYFUNCTION("""COMPUTED_VALUE"""),"")</f>
        <v/>
      </c>
      <c r="E1652" s="44" t="str">
        <f>IFERROR(__xludf.DUMMYFUNCTION("""COMPUTED_VALUE"""),"")</f>
        <v/>
      </c>
      <c r="F1652" s="44" t="str">
        <f>IFERROR(__xludf.DUMMYFUNCTION("""COMPUTED_VALUE"""),"")</f>
        <v/>
      </c>
      <c r="G1652" s="44" t="str">
        <f>IFERROR(__xludf.DUMMYFUNCTION("""COMPUTED_VALUE"""),"")</f>
        <v/>
      </c>
      <c r="H1652" s="44" t="str">
        <f>IFERROR(__xludf.DUMMYFUNCTION("""COMPUTED_VALUE"""),"")</f>
        <v/>
      </c>
      <c r="I1652" s="44"/>
      <c r="J1652" s="44" t="str">
        <f>IFERROR(__xludf.DUMMYFUNCTION("""COMPUTED_VALUE"""),"")</f>
        <v/>
      </c>
      <c r="K1652" s="42" t="str">
        <f>IFERROR(__xludf.DUMMYFUNCTION("""COMPUTED_VALUE"""),"Campo de Golf Playa los Cocos")</f>
        <v>Campo de Golf Playa los Cocos</v>
      </c>
    </row>
    <row r="1653">
      <c r="A1653" s="44">
        <v>1652.0</v>
      </c>
      <c r="B1653" s="44" t="str">
        <f>IFERROR(__xludf.DUMMYFUNCTION("""COMPUTED_VALUE"""),"Hospital Vargas de Caracas")</f>
        <v>Hospital Vargas de Caracas</v>
      </c>
      <c r="C1653" s="45" t="str">
        <f>IFERROR(__xludf.DUMMYFUNCTION("""COMPUTED_VALUE"""),"Dayilbeth Uzcategui")</f>
        <v>Dayilbeth Uzcategui</v>
      </c>
      <c r="D1653" s="44"/>
      <c r="E1653" s="44" t="str">
        <f>IFERROR(__xludf.DUMMYFUNCTION("""COMPUTED_VALUE"""),"")</f>
        <v/>
      </c>
      <c r="F1653" s="44"/>
      <c r="G1653" s="44" t="str">
        <f>IFERROR(__xludf.DUMMYFUNCTION("""COMPUTED_VALUE"""),"")</f>
        <v/>
      </c>
      <c r="H1653" s="44"/>
      <c r="I1653" s="44" t="str">
        <f>IFERROR(__xludf.DUMMYFUNCTION("""COMPUTED_VALUE"""),"Nombre tomado de la pizarra de pacientes; no aparece en el formulario con C.I.")</f>
        <v>Nombre tomado de la pizarra de pacientes; no aparece en el formulario con C.I.</v>
      </c>
      <c r="J1653" s="44" t="str">
        <f>IFERROR(__xludf.DUMMYFUNCTION("""COMPUTED_VALUE"""),"")</f>
        <v/>
      </c>
      <c r="K1653" s="42" t="str">
        <f>IFERROR(__xludf.DUMMYFUNCTION("""COMPUTED_VALUE"""),"Hospital Vargas de Caracas")</f>
        <v>Hospital Vargas de Caracas</v>
      </c>
    </row>
    <row r="1654">
      <c r="A1654" s="44">
        <v>1653.0</v>
      </c>
      <c r="B1654" s="44" t="str">
        <f>IFERROR(__xludf.DUMMYFUNCTION("""COMPUTED_VALUE"""),"HOSPITAL VARGAS")</f>
        <v>HOSPITAL VARGAS</v>
      </c>
      <c r="C1654" s="45" t="str">
        <f>IFERROR(__xludf.DUMMYFUNCTION("""COMPUTED_VALUE"""),"Dayilbeth Uzcátegui")</f>
        <v>Dayilbeth Uzcátegui</v>
      </c>
      <c r="D1654" s="44"/>
      <c r="E1654" s="44" t="str">
        <f>IFERROR(__xludf.DUMMYFUNCTION("""COMPUTED_VALUE"""),"")</f>
        <v/>
      </c>
      <c r="F1654" s="44" t="str">
        <f>IFERROR(__xludf.DUMMYFUNCTION("""COMPUTED_VALUE"""),"")</f>
        <v/>
      </c>
      <c r="G1654" s="44" t="str">
        <f>IFERROR(__xludf.DUMMYFUNCTION("""COMPUTED_VALUE"""),"")</f>
        <v/>
      </c>
      <c r="H1654" s="44" t="str">
        <f>IFERROR(__xludf.DUMMYFUNCTION("""COMPUTED_VALUE"""),"")</f>
        <v/>
      </c>
      <c r="I1654" s="44" t="str">
        <f>IFERROR(__xludf.DUMMYFUNCTION("""COMPUTED_VALUE"""),"Herido / atendido")</f>
        <v>Herido / atendido</v>
      </c>
      <c r="J1654" s="44" t="str">
        <f>IFERROR(__xludf.DUMMYFUNCTION("""COMPUTED_VALUE"""),"24.06.2026 ")</f>
        <v>24.06.2026 </v>
      </c>
      <c r="K1654" s="42" t="str">
        <f>IFERROR(__xludf.DUMMYFUNCTION("""COMPUTED_VALUE"""),"HOSPITAL VARGAS")</f>
        <v>HOSPITAL VARGAS</v>
      </c>
    </row>
    <row r="1655">
      <c r="A1655" s="44">
        <v>1654.0</v>
      </c>
      <c r="B1655" s="44" t="str">
        <f>IFERROR(__xludf.DUMMYFUNCTION("""COMPUTED_VALUE"""),"Centro de Acopio Caraballeda")</f>
        <v>Centro de Acopio Caraballeda</v>
      </c>
      <c r="C1655" s="45" t="str">
        <f>IFERROR(__xludf.DUMMYFUNCTION("""COMPUTED_VALUE"""),"DE BARRIOS ROSI")</f>
        <v>DE BARRIOS ROSI</v>
      </c>
      <c r="D1655" s="44" t="str">
        <f>IFERROR(__xludf.DUMMYFUNCTION("""COMPUTED_VALUE""")," ")</f>
        <v> </v>
      </c>
      <c r="E1655" s="44" t="str">
        <f>IFERROR(__xludf.DUMMYFUNCTION("""COMPUTED_VALUE"""),"")</f>
        <v/>
      </c>
      <c r="F1655" s="44" t="str">
        <f>IFERROR(__xludf.DUMMYFUNCTION("""COMPUTED_VALUE"""),"")</f>
        <v/>
      </c>
      <c r="G1655" s="44" t="str">
        <f>IFERROR(__xludf.DUMMYFUNCTION("""COMPUTED_VALUE""")," ")</f>
        <v> </v>
      </c>
      <c r="H1655" s="44" t="str">
        <f>IFERROR(__xludf.DUMMYFUNCTION("""COMPUTED_VALUE""")," ")</f>
        <v> </v>
      </c>
      <c r="I1655" s="44" t="str">
        <f>IFERROR(__xludf.DUMMYFUNCTION("""COMPUTED_VALUE"""),"Internado")</f>
        <v>Internado</v>
      </c>
      <c r="J1655" s="44" t="str">
        <f>IFERROR(__xludf.DUMMYFUNCTION("""COMPUTED_VALUE"""),"")</f>
        <v/>
      </c>
      <c r="K1655" s="42" t="str">
        <f>IFERROR(__xludf.DUMMYFUNCTION("""COMPUTED_VALUE"""),"🔍 BUSCAR PACIENTES")</f>
        <v>🔍 BUSCAR PACIENTES</v>
      </c>
    </row>
    <row r="1656">
      <c r="A1656" s="44">
        <v>1655.0</v>
      </c>
      <c r="B1656" s="44" t="str">
        <f>IFERROR(__xludf.DUMMYFUNCTION("""COMPUTED_VALUE"""),"Hospital Domingo Luciani")</f>
        <v>Hospital Domingo Luciani</v>
      </c>
      <c r="C1656" s="45" t="str">
        <f>IFERROR(__xludf.DUMMYFUNCTION("""COMPUTED_VALUE"""),"DE CASTILLO LUCI")</f>
        <v>DE CASTILLO LUCI</v>
      </c>
      <c r="D1656" s="44">
        <f>IFERROR(__xludf.DUMMYFUNCTION("""COMPUTED_VALUE"""),48.0)</f>
        <v>48</v>
      </c>
      <c r="E1656" s="44" t="str">
        <f>IFERROR(__xludf.DUMMYFUNCTION("""COMPUTED_VALUE"""),"")</f>
        <v/>
      </c>
      <c r="F1656" s="44" t="str">
        <f>IFERROR(__xludf.DUMMYFUNCTION("""COMPUTED_VALUE"""),"")</f>
        <v/>
      </c>
      <c r="G1656" s="44" t="str">
        <f>IFERROR(__xludf.DUMMYFUNCTION("""COMPUTED_VALUE""")," ")</f>
        <v> </v>
      </c>
      <c r="H1656" s="44" t="str">
        <f>IFERROR(__xludf.DUMMYFUNCTION("""COMPUTED_VALUE""")," ")</f>
        <v> </v>
      </c>
      <c r="I1656" s="44" t="str">
        <f>IFERROR(__xludf.DUMMYFUNCTION("""COMPUTED_VALUE"""),"Politrauma Emerg. Nueva")</f>
        <v>Politrauma Emerg. Nueva</v>
      </c>
      <c r="J1656" s="44" t="str">
        <f>IFERROR(__xludf.DUMMYFUNCTION("""COMPUTED_VALUE"""),"")</f>
        <v/>
      </c>
      <c r="K1656" s="42" t="str">
        <f>IFERROR(__xludf.DUMMYFUNCTION("""COMPUTED_VALUE"""),"🔍 BUSCAR PACIENTES")</f>
        <v>🔍 BUSCAR PACIENTES</v>
      </c>
    </row>
    <row r="1657">
      <c r="A1657" s="44">
        <v>1656.0</v>
      </c>
      <c r="B1657" s="44" t="str">
        <f>IFERROR(__xludf.DUMMYFUNCTION("""COMPUTED_VALUE"""),"Periférico de Catia")</f>
        <v>Periférico de Catia</v>
      </c>
      <c r="C1657" s="45" t="str">
        <f>IFERROR(__xludf.DUMMYFUNCTION("""COMPUTED_VALUE"""),"De Cepe Yolande")</f>
        <v>De Cepe Yolande</v>
      </c>
      <c r="D1657" s="44">
        <f>IFERROR(__xludf.DUMMYFUNCTION("""COMPUTED_VALUE"""),88.0)</f>
        <v>88</v>
      </c>
      <c r="E1657" s="44" t="str">
        <f>IFERROR(__xludf.DUMMYFUNCTION("""COMPUTED_VALUE"""),"")</f>
        <v/>
      </c>
      <c r="F1657" s="44" t="str">
        <f>IFERROR(__xludf.DUMMYFUNCTION("""COMPUTED_VALUE"""),"")</f>
        <v/>
      </c>
      <c r="G1657" s="44"/>
      <c r="H1657" s="44"/>
      <c r="I1657" s="44" t="str">
        <f>IFERROR(__xludf.DUMMYFUNCTION("""COMPUTED_VALUE"""),"Poli Emerg. Nueva (hoja 'Sandoval Nelly')")</f>
        <v>Poli Emerg. Nueva (hoja 'Sandoval Nelly')</v>
      </c>
      <c r="J1657" s="44" t="str">
        <f>IFERROR(__xludf.DUMMYFUNCTION("""COMPUTED_VALUE"""),"")</f>
        <v/>
      </c>
      <c r="K1657" s="42" t="str">
        <f>IFERROR(__xludf.DUMMYFUNCTION("""COMPUTED_VALUE"""),"Periférico de Catia")</f>
        <v>Periférico de Catia</v>
      </c>
    </row>
    <row r="1658">
      <c r="A1658" s="44">
        <v>1657.0</v>
      </c>
      <c r="B1658" s="44" t="str">
        <f>IFERROR(__xludf.DUMMYFUNCTION("""COMPUTED_VALUE"""),"Hospital Domingo Luciani")</f>
        <v>Hospital Domingo Luciani</v>
      </c>
      <c r="C1658" s="45" t="str">
        <f>IFERROR(__xludf.DUMMYFUNCTION("""COMPUTED_VALUE"""),"DE COPE YOLANDA")</f>
        <v>DE COPE YOLANDA</v>
      </c>
      <c r="D1658" s="44" t="str">
        <f>IFERROR(__xludf.DUMMYFUNCTION("""COMPUTED_VALUE""")," ")</f>
        <v> </v>
      </c>
      <c r="E1658" s="44" t="str">
        <f>IFERROR(__xludf.DUMMYFUNCTION("""COMPUTED_VALUE"""),"")</f>
        <v/>
      </c>
      <c r="F1658" s="44" t="str">
        <f>IFERROR(__xludf.DUMMYFUNCTION("""COMPUTED_VALUE"""),"")</f>
        <v/>
      </c>
      <c r="G1658" s="44" t="str">
        <f>IFERROR(__xludf.DUMMYFUNCTION("""COMPUTED_VALUE""")," ")</f>
        <v> </v>
      </c>
      <c r="H1658" s="44" t="str">
        <f>IFERROR(__xludf.DUMMYFUNCTION("""COMPUTED_VALUE""")," ")</f>
        <v> </v>
      </c>
      <c r="I1658" s="44" t="str">
        <f>IFERROR(__xludf.DUMMYFUNCTION("""COMPUTED_VALUE"""),"Politrauma Emerg. Nueva")</f>
        <v>Politrauma Emerg. Nueva</v>
      </c>
      <c r="J1658" s="44" t="str">
        <f>IFERROR(__xludf.DUMMYFUNCTION("""COMPUTED_VALUE"""),"")</f>
        <v/>
      </c>
      <c r="K1658" s="42" t="str">
        <f>IFERROR(__xludf.DUMMYFUNCTION("""COMPUTED_VALUE"""),"🔍 BUSCAR PACIENTES")</f>
        <v>🔍 BUSCAR PACIENTES</v>
      </c>
    </row>
    <row r="1659">
      <c r="A1659" s="44">
        <v>1658.0</v>
      </c>
      <c r="B1659" s="44" t="str">
        <f>IFERROR(__xludf.DUMMYFUNCTION("""COMPUTED_VALUE"""),"Hospital Pérez Carreño")</f>
        <v>Hospital Pérez Carreño</v>
      </c>
      <c r="C1659" s="45" t="str">
        <f>IFERROR(__xludf.DUMMYFUNCTION("""COMPUTED_VALUE"""),"De Freita Nelly")</f>
        <v>De Freita Nelly</v>
      </c>
      <c r="D1659" s="44"/>
      <c r="E1659" s="44" t="str">
        <f>IFERROR(__xludf.DUMMYFUNCTION("""COMPUTED_VALUE"""),"")</f>
        <v/>
      </c>
      <c r="F1659" s="44" t="str">
        <f>IFERROR(__xludf.DUMMYFUNCTION("""COMPUTED_VALUE"""),"")</f>
        <v/>
      </c>
      <c r="G1659" s="44" t="str">
        <f>IFERROR(__xludf.DUMMYFUNCTION("""COMPUTED_VALUE"""),"Traslados")</f>
        <v>Traslados</v>
      </c>
      <c r="H1659" s="44" t="str">
        <f>IFERROR(__xludf.DUMMYFUNCTION("""COMPUTED_VALUE"""),"Hospital Miguel Perez Carreño")</f>
        <v>Hospital Miguel Perez Carreño</v>
      </c>
      <c r="I1659" s="44"/>
      <c r="J1659" s="44" t="str">
        <f>IFERROR(__xludf.DUMMYFUNCTION("""COMPUTED_VALUE"""),"26/6/26")</f>
        <v>26/6/26</v>
      </c>
      <c r="K1659" s="42" t="str">
        <f>IFERROR(__xludf.DUMMYFUNCTION("""COMPUTED_VALUE"""),"Hospital Pérez Carreño")</f>
        <v>Hospital Pérez Carreño</v>
      </c>
    </row>
    <row r="1660">
      <c r="A1660" s="44">
        <v>1659.0</v>
      </c>
      <c r="B1660" s="44" t="str">
        <f>IFERROR(__xludf.DUMMYFUNCTION("""COMPUTED_VALUE"""),"Hospital Pérez Carreño")</f>
        <v>Hospital Pérez Carreño</v>
      </c>
      <c r="C1660" s="45" t="str">
        <f>IFERROR(__xludf.DUMMYFUNCTION("""COMPUTED_VALUE"""),"DE FREITAS NELLY")</f>
        <v>DE FREITAS NELLY</v>
      </c>
      <c r="D1660" s="44">
        <f>IFERROR(__xludf.DUMMYFUNCTION("""COMPUTED_VALUE"""),63.0)</f>
        <v>63</v>
      </c>
      <c r="E1660" s="44" t="str">
        <f>IFERROR(__xludf.DUMMYFUNCTION("""COMPUTED_VALUE"""),"")</f>
        <v/>
      </c>
      <c r="F1660" s="44" t="str">
        <f>IFERROR(__xludf.DUMMYFUNCTION("""COMPUTED_VALUE"""),"")</f>
        <v/>
      </c>
      <c r="G1660" s="44" t="str">
        <f>IFERROR(__xludf.DUMMYFUNCTION("""COMPUTED_VALUE""")," ")</f>
        <v> </v>
      </c>
      <c r="H1660" s="44" t="str">
        <f>IFERROR(__xludf.DUMMYFUNCTION("""COMPUTED_VALUE""")," ")</f>
        <v> </v>
      </c>
      <c r="I1660" s="44" t="str">
        <f>IFERROR(__xludf.DUMMYFUNCTION("""COMPUTED_VALUE"""),"Internado; Trauma Shock / Neurocirugía")</f>
        <v>Internado; Trauma Shock / Neurocirugía</v>
      </c>
      <c r="J1660" s="44" t="str">
        <f>IFERROR(__xludf.DUMMYFUNCTION("""COMPUTED_VALUE"""),"25/06/2026")</f>
        <v>25/06/2026</v>
      </c>
      <c r="K1660" s="42" t="str">
        <f>IFERROR(__xludf.DUMMYFUNCTION("""COMPUTED_VALUE"""),"Hospital Pérez Carreño")</f>
        <v>Hospital Pérez Carreño</v>
      </c>
    </row>
    <row r="1661">
      <c r="A1661" s="44">
        <v>1660.0</v>
      </c>
      <c r="B1661" s="44" t="str">
        <f>IFERROR(__xludf.DUMMYFUNCTION("""COMPUTED_VALUE"""),"La Guaira Sin Hospital")</f>
        <v>La Guaira Sin Hospital</v>
      </c>
      <c r="C1661" s="45" t="str">
        <f>IFERROR(__xludf.DUMMYFUNCTION("""COMPUTED_VALUE"""),"De Martinez Carmen Zoraida")</f>
        <v>De Martinez Carmen Zoraida</v>
      </c>
      <c r="D1661" s="44" t="str">
        <f>IFERROR(__xludf.DUMMYFUNCTION("""COMPUTED_VALUE"""),"")</f>
        <v/>
      </c>
      <c r="E1661" s="44" t="str">
        <f>IFERROR(__xludf.DUMMYFUNCTION("""COMPUTED_VALUE"""),"")</f>
        <v/>
      </c>
      <c r="F1661" s="44" t="str">
        <f>IFERROR(__xludf.DUMMYFUNCTION("""COMPUTED_VALUE"""),"")</f>
        <v/>
      </c>
      <c r="G1661" s="44" t="str">
        <f>IFERROR(__xludf.DUMMYFUNCTION("""COMPUTED_VALUE"""),"")</f>
        <v/>
      </c>
      <c r="H1661" s="44" t="str">
        <f>IFERROR(__xludf.DUMMYFUNCTION("""COMPUTED_VALUE"""),"La Guaira Los Cocos")</f>
        <v>La Guaira Los Cocos</v>
      </c>
      <c r="I1661" s="44" t="str">
        <f>IFERROR(__xludf.DUMMYFUNCTION("""COMPUTED_VALUE"""),"Listas con ubicación")</f>
        <v>Listas con ubicación</v>
      </c>
      <c r="J1661" s="44" t="str">
        <f>IFERROR(__xludf.DUMMYFUNCTION("""COMPUTED_VALUE"""),"")</f>
        <v/>
      </c>
      <c r="K1661" s="42" t="str">
        <f>IFERROR(__xludf.DUMMYFUNCTION("""COMPUTED_VALUE"""),"La Guaira Sin Hospital")</f>
        <v>La Guaira Sin Hospital</v>
      </c>
    </row>
    <row r="1662">
      <c r="A1662" s="44">
        <v>1661.0</v>
      </c>
      <c r="B1662" s="44" t="str">
        <f>IFERROR(__xludf.DUMMYFUNCTION("""COMPUTED_VALUE"""),"Hospital Pérez Carreño")</f>
        <v>Hospital Pérez Carreño</v>
      </c>
      <c r="C1662" s="45" t="str">
        <f>IFERROR(__xludf.DUMMYFUNCTION("""COMPUTED_VALUE"""),"DE MARTINEZ LONGA CARMEN ZORAIDA")</f>
        <v>DE MARTINEZ LONGA CARMEN ZORAIDA</v>
      </c>
      <c r="D1662" s="44" t="str">
        <f>IFERROR(__xludf.DUMMYFUNCTION("""COMPUTED_VALUE""")," ")</f>
        <v> </v>
      </c>
      <c r="E1662" s="44" t="str">
        <f>IFERROR(__xludf.DUMMYFUNCTION("""COMPUTED_VALUE"""),"")</f>
        <v/>
      </c>
      <c r="F1662" s="44" t="str">
        <f>IFERROR(__xludf.DUMMYFUNCTION("""COMPUTED_VALUE"""),"")</f>
        <v/>
      </c>
      <c r="G1662" s="44" t="str">
        <f>IFERROR(__xludf.DUMMYFUNCTION("""COMPUTED_VALUE""")," ")</f>
        <v> </v>
      </c>
      <c r="H1662" s="44" t="str">
        <f>IFERROR(__xludf.DUMMYFUNCTION("""COMPUTED_VALUE""")," ")</f>
        <v> </v>
      </c>
      <c r="I1662" s="44" t="str">
        <f>IFERROR(__xludf.DUMMYFUNCTION("""COMPUTED_VALUE"""),"Internado")</f>
        <v>Internado</v>
      </c>
      <c r="J1662" s="44" t="str">
        <f>IFERROR(__xludf.DUMMYFUNCTION("""COMPUTED_VALUE"""),"25/06/2026")</f>
        <v>25/06/2026</v>
      </c>
      <c r="K1662" s="42" t="str">
        <f>IFERROR(__xludf.DUMMYFUNCTION("""COMPUTED_VALUE"""),"Hospital Pérez Carreño")</f>
        <v>Hospital Pérez Carreño</v>
      </c>
    </row>
    <row r="1663">
      <c r="A1663" s="44">
        <v>1662.0</v>
      </c>
      <c r="B1663" s="44" t="str">
        <f>IFERROR(__xludf.DUMMYFUNCTION("""COMPUTED_VALUE"""),"Hospital Pérez Carreño")</f>
        <v>Hospital Pérez Carreño</v>
      </c>
      <c r="C1663" s="45" t="str">
        <f>IFERROR(__xludf.DUMMYFUNCTION("""COMPUTED_VALUE"""),"De Mezcalas Larga Crixon Zenida")</f>
        <v>De Mezcalas Larga Crixon Zenida</v>
      </c>
      <c r="D1663" s="44"/>
      <c r="E1663" s="44" t="str">
        <f>IFERROR(__xludf.DUMMYFUNCTION("""COMPUTED_VALUE"""),"")</f>
        <v/>
      </c>
      <c r="F1663" s="44" t="str">
        <f>IFERROR(__xludf.DUMMYFUNCTION("""COMPUTED_VALUE"""),"")</f>
        <v/>
      </c>
      <c r="G1663" s="44" t="str">
        <f>IFERROR(__xludf.DUMMYFUNCTION("""COMPUTED_VALUE"""),"Traslados con destino asignado")</f>
        <v>Traslados con destino asignado</v>
      </c>
      <c r="H1663" s="44" t="str">
        <f>IFERROR(__xludf.DUMMYFUNCTION("""COMPUTED_VALUE"""),"Hospital Miguel Perez Carreño")</f>
        <v>Hospital Miguel Perez Carreño</v>
      </c>
      <c r="I1663" s="44"/>
      <c r="J1663" s="44" t="str">
        <f>IFERROR(__xludf.DUMMYFUNCTION("""COMPUTED_VALUE"""),"26/6/26")</f>
        <v>26/6/26</v>
      </c>
      <c r="K1663" s="42" t="str">
        <f>IFERROR(__xludf.DUMMYFUNCTION("""COMPUTED_VALUE"""),"Hospital Pérez Carreño")</f>
        <v>Hospital Pérez Carreño</v>
      </c>
    </row>
    <row r="1664">
      <c r="A1664" s="44">
        <v>1663.0</v>
      </c>
      <c r="B1664" s="44" t="str">
        <f>IFERROR(__xludf.DUMMYFUNCTION("""COMPUTED_VALUE"""),"Hospital Universitario de Carac")</f>
        <v>Hospital Universitario de Carac</v>
      </c>
      <c r="C1664" s="45" t="str">
        <f>IFERROR(__xludf.DUMMYFUNCTION("""COMPUTED_VALUE"""),"DE SOUSA ANGEL")</f>
        <v>DE SOUSA ANGEL</v>
      </c>
      <c r="D1664" s="44">
        <f>IFERROR(__xludf.DUMMYFUNCTION("""COMPUTED_VALUE"""),20.0)</f>
        <v>20</v>
      </c>
      <c r="E1664" s="44" t="str">
        <f>IFERROR(__xludf.DUMMYFUNCTION("""COMPUTED_VALUE"""),"")</f>
        <v/>
      </c>
      <c r="F1664" s="44" t="str">
        <f>IFERROR(__xludf.DUMMYFUNCTION("""COMPUTED_VALUE"""),"")</f>
        <v/>
      </c>
      <c r="G1664" s="44" t="str">
        <f>IFERROR(__xludf.DUMMYFUNCTION("""COMPUTED_VALUE""")," ")</f>
        <v> </v>
      </c>
      <c r="H1664" s="44" t="str">
        <f>IFERROR(__xludf.DUMMYFUNCTION("""COMPUTED_VALUE""")," ")</f>
        <v> </v>
      </c>
      <c r="I1664" s="44" t="str">
        <f>IFERROR(__xludf.DUMMYFUNCTION("""COMPUTED_VALUE"""),"Sala Cirugía 27-B – Esguince pie; Tx lumbar")</f>
        <v>Sala Cirugía 27-B – Esguince pie; Tx lumbar</v>
      </c>
      <c r="J1664" s="44" t="str">
        <f>IFERROR(__xludf.DUMMYFUNCTION("""COMPUTED_VALUE"""),"")</f>
        <v/>
      </c>
      <c r="K1664" s="42" t="str">
        <f>IFERROR(__xludf.DUMMYFUNCTION("""COMPUTED_VALUE"""),"Hospital Universitario de Carac")</f>
        <v>Hospital Universitario de Carac</v>
      </c>
    </row>
    <row r="1665">
      <c r="A1665" s="44">
        <v>1664.0</v>
      </c>
      <c r="B1665" s="44" t="str">
        <f>IFERROR(__xludf.DUMMYFUNCTION("""COMPUTED_VALUE"""),"Centro de Acopio Caraballeda")</f>
        <v>Centro de Acopio Caraballeda</v>
      </c>
      <c r="C1665" s="45" t="str">
        <f>IFERROR(__xludf.DUMMYFUNCTION("""COMPUTED_VALUE"""),"DE YEPEZ CAURIMAR")</f>
        <v>DE YEPEZ CAURIMAR</v>
      </c>
      <c r="D1665" s="44" t="str">
        <f>IFERROR(__xludf.DUMMYFUNCTION("""COMPUTED_VALUE""")," ")</f>
        <v> </v>
      </c>
      <c r="E1665" s="44" t="str">
        <f>IFERROR(__xludf.DUMMYFUNCTION("""COMPUTED_VALUE"""),"")</f>
        <v/>
      </c>
      <c r="F1665" s="44" t="str">
        <f>IFERROR(__xludf.DUMMYFUNCTION("""COMPUTED_VALUE"""),"")</f>
        <v/>
      </c>
      <c r="G1665" s="44" t="str">
        <f>IFERROR(__xludf.DUMMYFUNCTION("""COMPUTED_VALUE""")," ")</f>
        <v> </v>
      </c>
      <c r="H1665" s="44" t="str">
        <f>IFERROR(__xludf.DUMMYFUNCTION("""COMPUTED_VALUE""")," ")</f>
        <v> </v>
      </c>
      <c r="I1665" s="44" t="str">
        <f>IFERROR(__xludf.DUMMYFUNCTION("""COMPUTED_VALUE"""),"Internado")</f>
        <v>Internado</v>
      </c>
      <c r="J1665" s="44" t="str">
        <f>IFERROR(__xludf.DUMMYFUNCTION("""COMPUTED_VALUE"""),"")</f>
        <v/>
      </c>
      <c r="K1665" s="42" t="str">
        <f>IFERROR(__xludf.DUMMYFUNCTION("""COMPUTED_VALUE"""),"🔍 BUSCAR PACIENTES")</f>
        <v>🔍 BUSCAR PACIENTES</v>
      </c>
    </row>
    <row r="1666">
      <c r="A1666" s="44">
        <v>1665.0</v>
      </c>
      <c r="B1666" s="44" t="str">
        <f>IFERROR(__xludf.DUMMYFUNCTION("""COMPUTED_VALUE"""),"Hospital Pérez Carreño")</f>
        <v>Hospital Pérez Carreño</v>
      </c>
      <c r="C1666" s="45" t="str">
        <f>IFERROR(__xludf.DUMMYFUNCTION("""COMPUTED_VALUE"""),"DEFRESTA NELLY")</f>
        <v>DEFRESTA NELLY</v>
      </c>
      <c r="D1666" s="44">
        <f>IFERROR(__xludf.DUMMYFUNCTION("""COMPUTED_VALUE"""),63.0)</f>
        <v>63</v>
      </c>
      <c r="E1666" s="44" t="str">
        <f>IFERROR(__xludf.DUMMYFUNCTION("""COMPUTED_VALUE"""),"")</f>
        <v/>
      </c>
      <c r="F1666" s="44" t="str">
        <f>IFERROR(__xludf.DUMMYFUNCTION("""COMPUTED_VALUE"""),"")</f>
        <v/>
      </c>
      <c r="G1666" s="44" t="str">
        <f>IFERROR(__xludf.DUMMYFUNCTION("""COMPUTED_VALUE""")," ")</f>
        <v> </v>
      </c>
      <c r="H1666" s="44" t="str">
        <f>IFERROR(__xludf.DUMMYFUNCTION("""COMPUTED_VALUE""")," ")</f>
        <v> </v>
      </c>
      <c r="I1666" s="44" t="str">
        <f>IFERROR(__xludf.DUMMYFUNCTION("""COMPUTED_VALUE"""),"Piso 3 – Traumatología Neurocirugía; La Guaira")</f>
        <v>Piso 3 – Traumatología Neurocirugía; La Guaira</v>
      </c>
      <c r="J1666" s="44" t="str">
        <f>IFERROR(__xludf.DUMMYFUNCTION("""COMPUTED_VALUE"""),"25/06/2026")</f>
        <v>25/06/2026</v>
      </c>
      <c r="K1666" s="42" t="str">
        <f>IFERROR(__xludf.DUMMYFUNCTION("""COMPUTED_VALUE"""),"Hospital Pérez Carreño")</f>
        <v>Hospital Pérez Carreño</v>
      </c>
    </row>
    <row r="1667">
      <c r="A1667" s="44">
        <v>1666.0</v>
      </c>
      <c r="B1667" s="44" t="str">
        <f>IFERROR(__xludf.DUMMYFUNCTION("""COMPUTED_VALUE"""),"Campo de Golf Playa los Cocos")</f>
        <v>Campo de Golf Playa los Cocos</v>
      </c>
      <c r="C1667" s="45" t="str">
        <f>IFERROR(__xludf.DUMMYFUNCTION("""COMPUTED_VALUE"""),"Deibert Pantoja")</f>
        <v>Deibert Pantoja</v>
      </c>
      <c r="D1667" s="44" t="str">
        <f>IFERROR(__xludf.DUMMYFUNCTION("""COMPUTED_VALUE"""),"")</f>
        <v/>
      </c>
      <c r="E1667" s="44" t="str">
        <f>IFERROR(__xludf.DUMMYFUNCTION("""COMPUTED_VALUE"""),"")</f>
        <v/>
      </c>
      <c r="F1667" s="44" t="str">
        <f>IFERROR(__xludf.DUMMYFUNCTION("""COMPUTED_VALUE"""),"")</f>
        <v/>
      </c>
      <c r="G1667" s="44" t="str">
        <f>IFERROR(__xludf.DUMMYFUNCTION("""COMPUTED_VALUE"""),"")</f>
        <v/>
      </c>
      <c r="H1667" s="44" t="str">
        <f>IFERROR(__xludf.DUMMYFUNCTION("""COMPUTED_VALUE"""),"")</f>
        <v/>
      </c>
      <c r="I1667" s="44"/>
      <c r="J1667" s="44" t="str">
        <f>IFERROR(__xludf.DUMMYFUNCTION("""COMPUTED_VALUE"""),"")</f>
        <v/>
      </c>
      <c r="K1667" s="42" t="str">
        <f>IFERROR(__xludf.DUMMYFUNCTION("""COMPUTED_VALUE"""),"Campo de Golf Playa los Cocos")</f>
        <v>Campo de Golf Playa los Cocos</v>
      </c>
    </row>
    <row r="1668">
      <c r="A1668" s="44">
        <v>1667.0</v>
      </c>
      <c r="B1668" s="44" t="str">
        <f>IFERROR(__xludf.DUMMYFUNCTION("""COMPUTED_VALUE"""),"Hospital Domingo Luciani")</f>
        <v>Hospital Domingo Luciani</v>
      </c>
      <c r="C1668" s="45" t="str">
        <f>IFERROR(__xludf.DUMMYFUNCTION("""COMPUTED_VALUE"""),"Deily Hernandez")</f>
        <v>Deily Hernandez</v>
      </c>
      <c r="D1668" s="44">
        <f>IFERROR(__xludf.DUMMYFUNCTION("""COMPUTED_VALUE"""),40.0)</f>
        <v>40</v>
      </c>
      <c r="E1668" s="44" t="str">
        <f>IFERROR(__xludf.DUMMYFUNCTION("""COMPUTED_VALUE"""),"")</f>
        <v/>
      </c>
      <c r="F1668" s="44" t="str">
        <f>IFERROR(__xludf.DUMMYFUNCTION("""COMPUTED_VALUE"""),"")</f>
        <v/>
      </c>
      <c r="G1668" s="44"/>
      <c r="H1668" s="44"/>
      <c r="I1668" s="44"/>
      <c r="J1668" s="44" t="str">
        <f>IFERROR(__xludf.DUMMYFUNCTION("""COMPUTED_VALUE"""),"")</f>
        <v/>
      </c>
      <c r="K1668" s="42" t="str">
        <f>IFERROR(__xludf.DUMMYFUNCTION("""COMPUTED_VALUE"""),"Hospital Domingo Luciani")</f>
        <v>Hospital Domingo Luciani</v>
      </c>
    </row>
    <row r="1669">
      <c r="A1669" s="44">
        <v>1668.0</v>
      </c>
      <c r="B1669" s="44" t="str">
        <f>IFERROR(__xludf.DUMMYFUNCTION("""COMPUTED_VALUE"""),"Campo de Golf Playa los Cocos")</f>
        <v>Campo de Golf Playa los Cocos</v>
      </c>
      <c r="C1669" s="45" t="str">
        <f>IFERROR(__xludf.DUMMYFUNCTION("""COMPUTED_VALUE"""),"Deilysbeth Ferreira")</f>
        <v>Deilysbeth Ferreira</v>
      </c>
      <c r="D1669" s="44" t="str">
        <f>IFERROR(__xludf.DUMMYFUNCTION("""COMPUTED_VALUE"""),"")</f>
        <v/>
      </c>
      <c r="E1669" s="44" t="str">
        <f>IFERROR(__xludf.DUMMYFUNCTION("""COMPUTED_VALUE"""),"")</f>
        <v/>
      </c>
      <c r="F1669" s="44" t="str">
        <f>IFERROR(__xludf.DUMMYFUNCTION("""COMPUTED_VALUE"""),"")</f>
        <v/>
      </c>
      <c r="G1669" s="44" t="str">
        <f>IFERROR(__xludf.DUMMYFUNCTION("""COMPUTED_VALUE"""),"")</f>
        <v/>
      </c>
      <c r="H1669" s="44" t="str">
        <f>IFERROR(__xludf.DUMMYFUNCTION("""COMPUTED_VALUE"""),"")</f>
        <v/>
      </c>
      <c r="I1669" s="44"/>
      <c r="J1669" s="44" t="str">
        <f>IFERROR(__xludf.DUMMYFUNCTION("""COMPUTED_VALUE"""),"")</f>
        <v/>
      </c>
      <c r="K1669" s="42" t="str">
        <f>IFERROR(__xludf.DUMMYFUNCTION("""COMPUTED_VALUE"""),"Campo de Golf Playa los Cocos")</f>
        <v>Campo de Golf Playa los Cocos</v>
      </c>
    </row>
    <row r="1670">
      <c r="A1670" s="44">
        <v>1669.0</v>
      </c>
      <c r="B1670" s="44" t="str">
        <f>IFERROR(__xludf.DUMMYFUNCTION("""COMPUTED_VALUE"""),"Hospital Pérez Carreño")</f>
        <v>Hospital Pérez Carreño</v>
      </c>
      <c r="C1670" s="45" t="str">
        <f>IFERROR(__xludf.DUMMYFUNCTION("""COMPUTED_VALUE"""),"DEL MONTE ZAMARA VALENTINE")</f>
        <v>DEL MONTE ZAMARA VALENTINE</v>
      </c>
      <c r="D1670" s="44">
        <f>IFERROR(__xludf.DUMMYFUNCTION("""COMPUTED_VALUE"""),10.0)</f>
        <v>10</v>
      </c>
      <c r="E1670" s="44" t="str">
        <f>IFERROR(__xludf.DUMMYFUNCTION("""COMPUTED_VALUE"""),"")</f>
        <v/>
      </c>
      <c r="F1670" s="44" t="str">
        <f>IFERROR(__xludf.DUMMYFUNCTION("""COMPUTED_VALUE"""),"")</f>
        <v/>
      </c>
      <c r="G1670" s="44" t="str">
        <f>IFERROR(__xludf.DUMMYFUNCTION("""COMPUTED_VALUE""")," ")</f>
        <v> </v>
      </c>
      <c r="H1670" s="44" t="str">
        <f>IFERROR(__xludf.DUMMYFUNCTION("""COMPUTED_VALUE""")," ")</f>
        <v> </v>
      </c>
      <c r="I1670" s="44" t="str">
        <f>IFERROR(__xludf.DUMMYFUNCTION("""COMPUTED_VALUE"""),"Pediatría")</f>
        <v>Pediatría</v>
      </c>
      <c r="J1670" s="44" t="str">
        <f>IFERROR(__xludf.DUMMYFUNCTION("""COMPUTED_VALUE"""),"25/06/2026")</f>
        <v>25/06/2026</v>
      </c>
      <c r="K1670" s="42" t="str">
        <f>IFERROR(__xludf.DUMMYFUNCTION("""COMPUTED_VALUE"""),"Hospital Pérez Carreño")</f>
        <v>Hospital Pérez Carreño</v>
      </c>
    </row>
    <row r="1671">
      <c r="A1671" s="44">
        <v>1670.0</v>
      </c>
      <c r="B1671" s="44" t="str">
        <f>IFERROR(__xludf.DUMMYFUNCTION("""COMPUTED_VALUE"""),"Centro de Acopio Caraballeda")</f>
        <v>Centro de Acopio Caraballeda</v>
      </c>
      <c r="C1671" s="45" t="str">
        <f>IFERROR(__xludf.DUMMYFUNCTION("""COMPUTED_VALUE"""),"DELGADO ALBERT")</f>
        <v>DELGADO ALBERT</v>
      </c>
      <c r="D1671" s="44" t="str">
        <f>IFERROR(__xludf.DUMMYFUNCTION("""COMPUTED_VALUE""")," ")</f>
        <v> </v>
      </c>
      <c r="E1671" s="44" t="str">
        <f>IFERROR(__xludf.DUMMYFUNCTION("""COMPUTED_VALUE"""),"")</f>
        <v/>
      </c>
      <c r="F1671" s="44" t="str">
        <f>IFERROR(__xludf.DUMMYFUNCTION("""COMPUTED_VALUE"""),"")</f>
        <v/>
      </c>
      <c r="G1671" s="44" t="str">
        <f>IFERROR(__xludf.DUMMYFUNCTION("""COMPUTED_VALUE""")," ")</f>
        <v> </v>
      </c>
      <c r="H1671" s="44" t="str">
        <f>IFERROR(__xludf.DUMMYFUNCTION("""COMPUTED_VALUE""")," ")</f>
        <v> </v>
      </c>
      <c r="I1671" s="44" t="str">
        <f>IFERROR(__xludf.DUMMYFUNCTION("""COMPUTED_VALUE"""),"Internado")</f>
        <v>Internado</v>
      </c>
      <c r="J1671" s="44" t="str">
        <f>IFERROR(__xludf.DUMMYFUNCTION("""COMPUTED_VALUE"""),"")</f>
        <v/>
      </c>
      <c r="K1671" s="42" t="str">
        <f>IFERROR(__xludf.DUMMYFUNCTION("""COMPUTED_VALUE"""),"🔍 BUSCAR PACIENTES")</f>
        <v>🔍 BUSCAR PACIENTES</v>
      </c>
    </row>
    <row r="1672">
      <c r="A1672" s="44">
        <v>1671.0</v>
      </c>
      <c r="B1672" s="44" t="str">
        <f>IFERROR(__xludf.DUMMYFUNCTION("""COMPUTED_VALUE"""),"Centro de Acopio Caraballeda")</f>
        <v>Centro de Acopio Caraballeda</v>
      </c>
      <c r="C1672" s="45" t="str">
        <f>IFERROR(__xludf.DUMMYFUNCTION("""COMPUTED_VALUE"""),"DELGADO ALDO")</f>
        <v>DELGADO ALDO</v>
      </c>
      <c r="D1672" s="44" t="str">
        <f>IFERROR(__xludf.DUMMYFUNCTION("""COMPUTED_VALUE""")," ")</f>
        <v> </v>
      </c>
      <c r="E1672" s="44" t="str">
        <f>IFERROR(__xludf.DUMMYFUNCTION("""COMPUTED_VALUE"""),"")</f>
        <v/>
      </c>
      <c r="F1672" s="44" t="str">
        <f>IFERROR(__xludf.DUMMYFUNCTION("""COMPUTED_VALUE"""),"")</f>
        <v/>
      </c>
      <c r="G1672" s="44" t="str">
        <f>IFERROR(__xludf.DUMMYFUNCTION("""COMPUTED_VALUE""")," ")</f>
        <v> </v>
      </c>
      <c r="H1672" s="44" t="str">
        <f>IFERROR(__xludf.DUMMYFUNCTION("""COMPUTED_VALUE""")," ")</f>
        <v> </v>
      </c>
      <c r="I1672" s="44" t="str">
        <f>IFERROR(__xludf.DUMMYFUNCTION("""COMPUTED_VALUE"""),"Internado")</f>
        <v>Internado</v>
      </c>
      <c r="J1672" s="44" t="str">
        <f>IFERROR(__xludf.DUMMYFUNCTION("""COMPUTED_VALUE"""),"")</f>
        <v/>
      </c>
      <c r="K1672" s="42" t="str">
        <f>IFERROR(__xludf.DUMMYFUNCTION("""COMPUTED_VALUE"""),"🔍 BUSCAR PACIENTES")</f>
        <v>🔍 BUSCAR PACIENTES</v>
      </c>
    </row>
    <row r="1673">
      <c r="A1673" s="44">
        <v>1672.0</v>
      </c>
      <c r="B1673" s="44" t="str">
        <f>IFERROR(__xludf.DUMMYFUNCTION("""COMPUTED_VALUE"""),"Centro de Acopio Caraballeda")</f>
        <v>Centro de Acopio Caraballeda</v>
      </c>
      <c r="C1673" s="45" t="str">
        <f>IFERROR(__xludf.DUMMYFUNCTION("""COMPUTED_VALUE"""),"DELGADO AUREILYS")</f>
        <v>DELGADO AUREILYS</v>
      </c>
      <c r="D1673" s="44" t="str">
        <f>IFERROR(__xludf.DUMMYFUNCTION("""COMPUTED_VALUE""")," ")</f>
        <v> </v>
      </c>
      <c r="E1673" s="44" t="str">
        <f>IFERROR(__xludf.DUMMYFUNCTION("""COMPUTED_VALUE"""),"")</f>
        <v/>
      </c>
      <c r="F1673" s="44" t="str">
        <f>IFERROR(__xludf.DUMMYFUNCTION("""COMPUTED_VALUE"""),"")</f>
        <v/>
      </c>
      <c r="G1673" s="44" t="str">
        <f>IFERROR(__xludf.DUMMYFUNCTION("""COMPUTED_VALUE""")," ")</f>
        <v> </v>
      </c>
      <c r="H1673" s="44" t="str">
        <f>IFERROR(__xludf.DUMMYFUNCTION("""COMPUTED_VALUE""")," ")</f>
        <v> </v>
      </c>
      <c r="I1673" s="44" t="str">
        <f>IFERROR(__xludf.DUMMYFUNCTION("""COMPUTED_VALUE"""),"Internado")</f>
        <v>Internado</v>
      </c>
      <c r="J1673" s="44" t="str">
        <f>IFERROR(__xludf.DUMMYFUNCTION("""COMPUTED_VALUE"""),"")</f>
        <v/>
      </c>
      <c r="K1673" s="42" t="str">
        <f>IFERROR(__xludf.DUMMYFUNCTION("""COMPUTED_VALUE"""),"🔍 BUSCAR PACIENTES")</f>
        <v>🔍 BUSCAR PACIENTES</v>
      </c>
    </row>
    <row r="1674">
      <c r="A1674" s="44">
        <v>1673.0</v>
      </c>
      <c r="B1674" s="44" t="str">
        <f>IFERROR(__xludf.DUMMYFUNCTION("""COMPUTED_VALUE"""),"Hospital Domingo Luciani")</f>
        <v>Hospital Domingo Luciani</v>
      </c>
      <c r="C1674" s="45" t="str">
        <f>IFERROR(__xludf.DUMMYFUNCTION("""COMPUTED_VALUE"""),"DELGADO EDIMAR")</f>
        <v>DELGADO EDIMAR</v>
      </c>
      <c r="D1674" s="44">
        <f>IFERROR(__xludf.DUMMYFUNCTION("""COMPUTED_VALUE"""),23.0)</f>
        <v>23</v>
      </c>
      <c r="E1674" s="44" t="str">
        <f>IFERROR(__xludf.DUMMYFUNCTION("""COMPUTED_VALUE"""),"")</f>
        <v/>
      </c>
      <c r="F1674" s="44" t="str">
        <f>IFERROR(__xludf.DUMMYFUNCTION("""COMPUTED_VALUE"""),"")</f>
        <v/>
      </c>
      <c r="G1674" s="44" t="str">
        <f>IFERROR(__xludf.DUMMYFUNCTION("""COMPUTED_VALUE""")," ")</f>
        <v> </v>
      </c>
      <c r="H1674" s="44" t="str">
        <f>IFERROR(__xludf.DUMMYFUNCTION("""COMPUTED_VALUE""")," ")</f>
        <v> </v>
      </c>
      <c r="I1674" s="44" t="str">
        <f>IFERROR(__xludf.DUMMYFUNCTION("""COMPUTED_VALUE""")," ")</f>
        <v> </v>
      </c>
      <c r="J1674" s="44" t="str">
        <f>IFERROR(__xludf.DUMMYFUNCTION("""COMPUTED_VALUE"""),"")</f>
        <v/>
      </c>
      <c r="K1674" s="42" t="str">
        <f>IFERROR(__xludf.DUMMYFUNCTION("""COMPUTED_VALUE"""),"🔍 BUSCAR PACIENTES")</f>
        <v>🔍 BUSCAR PACIENTES</v>
      </c>
    </row>
    <row r="1675">
      <c r="A1675" s="44">
        <v>1674.0</v>
      </c>
      <c r="B1675" s="44" t="str">
        <f>IFERROR(__xludf.DUMMYFUNCTION("""COMPUTED_VALUE"""),"Periférico de Catia")</f>
        <v>Periférico de Catia</v>
      </c>
      <c r="C1675" s="45" t="str">
        <f>IFERROR(__xludf.DUMMYFUNCTION("""COMPUTED_VALUE"""),"Delgado Edimer")</f>
        <v>Delgado Edimer</v>
      </c>
      <c r="D1675" s="44">
        <f>IFERROR(__xludf.DUMMYFUNCTION("""COMPUTED_VALUE"""),23.0)</f>
        <v>23</v>
      </c>
      <c r="E1675" s="44" t="str">
        <f>IFERROR(__xludf.DUMMYFUNCTION("""COMPUTED_VALUE"""),"")</f>
        <v/>
      </c>
      <c r="F1675" s="44" t="str">
        <f>IFERROR(__xludf.DUMMYFUNCTION("""COMPUTED_VALUE"""),"")</f>
        <v/>
      </c>
      <c r="G1675" s="44"/>
      <c r="H1675" s="44"/>
      <c r="I1675" s="44" t="str">
        <f>IFERROR(__xludf.DUMMYFUNCTION("""COMPUTED_VALUE"""),"Lista adicional (pizarra extensa sin titulo de sala especifico)")</f>
        <v>Lista adicional (pizarra extensa sin titulo de sala especifico)</v>
      </c>
      <c r="J1675" s="44" t="str">
        <f>IFERROR(__xludf.DUMMYFUNCTION("""COMPUTED_VALUE"""),"")</f>
        <v/>
      </c>
      <c r="K1675" s="42" t="str">
        <f>IFERROR(__xludf.DUMMYFUNCTION("""COMPUTED_VALUE"""),"Periférico de Catia")</f>
        <v>Periférico de Catia</v>
      </c>
    </row>
    <row r="1676">
      <c r="A1676" s="44">
        <v>1675.0</v>
      </c>
      <c r="B1676" s="44" t="str">
        <f>IFERROR(__xludf.DUMMYFUNCTION("""COMPUTED_VALUE"""),"Centro de Acopio Caraballeda")</f>
        <v>Centro de Acopio Caraballeda</v>
      </c>
      <c r="C1676" s="45" t="str">
        <f>IFERROR(__xludf.DUMMYFUNCTION("""COMPUTED_VALUE"""),"DELGADO JORDE")</f>
        <v>DELGADO JORDE</v>
      </c>
      <c r="D1676" s="44" t="str">
        <f>IFERROR(__xludf.DUMMYFUNCTION("""COMPUTED_VALUE""")," ")</f>
        <v> </v>
      </c>
      <c r="E1676" s="44" t="str">
        <f>IFERROR(__xludf.DUMMYFUNCTION("""COMPUTED_VALUE"""),"")</f>
        <v/>
      </c>
      <c r="F1676" s="44" t="str">
        <f>IFERROR(__xludf.DUMMYFUNCTION("""COMPUTED_VALUE"""),"")</f>
        <v/>
      </c>
      <c r="G1676" s="44" t="str">
        <f>IFERROR(__xludf.DUMMYFUNCTION("""COMPUTED_VALUE""")," ")</f>
        <v> </v>
      </c>
      <c r="H1676" s="44" t="str">
        <f>IFERROR(__xludf.DUMMYFUNCTION("""COMPUTED_VALUE""")," ")</f>
        <v> </v>
      </c>
      <c r="I1676" s="44" t="str">
        <f>IFERROR(__xludf.DUMMYFUNCTION("""COMPUTED_VALUE"""),"Internado")</f>
        <v>Internado</v>
      </c>
      <c r="J1676" s="44" t="str">
        <f>IFERROR(__xludf.DUMMYFUNCTION("""COMPUTED_VALUE"""),"")</f>
        <v/>
      </c>
      <c r="K1676" s="42" t="str">
        <f>IFERROR(__xludf.DUMMYFUNCTION("""COMPUTED_VALUE"""),"🔍 BUSCAR PACIENTES")</f>
        <v>🔍 BUSCAR PACIENTES</v>
      </c>
    </row>
    <row r="1677">
      <c r="A1677" s="44">
        <v>1676.0</v>
      </c>
      <c r="B1677" s="44" t="str">
        <f>IFERROR(__xludf.DUMMYFUNCTION("""COMPUTED_VALUE"""),"Centro de Acopio Caraballeda")</f>
        <v>Centro de Acopio Caraballeda</v>
      </c>
      <c r="C1677" s="45" t="str">
        <f>IFERROR(__xludf.DUMMYFUNCTION("""COMPUTED_VALUE"""),"DELGADO JOSEFINA")</f>
        <v>DELGADO JOSEFINA</v>
      </c>
      <c r="D1677" s="44" t="str">
        <f>IFERROR(__xludf.DUMMYFUNCTION("""COMPUTED_VALUE""")," ")</f>
        <v> </v>
      </c>
      <c r="E1677" s="44" t="str">
        <f>IFERROR(__xludf.DUMMYFUNCTION("""COMPUTED_VALUE"""),"")</f>
        <v/>
      </c>
      <c r="F1677" s="44" t="str">
        <f>IFERROR(__xludf.DUMMYFUNCTION("""COMPUTED_VALUE"""),"")</f>
        <v/>
      </c>
      <c r="G1677" s="44" t="str">
        <f>IFERROR(__xludf.DUMMYFUNCTION("""COMPUTED_VALUE""")," ")</f>
        <v> </v>
      </c>
      <c r="H1677" s="44" t="str">
        <f>IFERROR(__xludf.DUMMYFUNCTION("""COMPUTED_VALUE""")," ")</f>
        <v> </v>
      </c>
      <c r="I1677" s="44" t="str">
        <f>IFERROR(__xludf.DUMMYFUNCTION("""COMPUTED_VALUE"""),"Internado")</f>
        <v>Internado</v>
      </c>
      <c r="J1677" s="44" t="str">
        <f>IFERROR(__xludf.DUMMYFUNCTION("""COMPUTED_VALUE"""),"")</f>
        <v/>
      </c>
      <c r="K1677" s="42" t="str">
        <f>IFERROR(__xludf.DUMMYFUNCTION("""COMPUTED_VALUE"""),"🔍 BUSCAR PACIENTES")</f>
        <v>🔍 BUSCAR PACIENTES</v>
      </c>
    </row>
    <row r="1678">
      <c r="A1678" s="44">
        <v>1677.0</v>
      </c>
      <c r="B1678" s="44" t="str">
        <f>IFERROR(__xludf.DUMMYFUNCTION("""COMPUTED_VALUE"""),"Hospital Pérez Carreño")</f>
        <v>Hospital Pérez Carreño</v>
      </c>
      <c r="C1678" s="45" t="str">
        <f>IFERROR(__xludf.DUMMYFUNCTION("""COMPUTED_VALUE"""),"DELGADO LISBETH")</f>
        <v>DELGADO LISBETH</v>
      </c>
      <c r="D1678" s="44" t="str">
        <f>IFERROR(__xludf.DUMMYFUNCTION("""COMPUTED_VALUE""")," ")</f>
        <v> </v>
      </c>
      <c r="E1678" s="44" t="str">
        <f>IFERROR(__xludf.DUMMYFUNCTION("""COMPUTED_VALUE"""),"")</f>
        <v/>
      </c>
      <c r="F1678" s="44" t="str">
        <f>IFERROR(__xludf.DUMMYFUNCTION("""COMPUTED_VALUE"""),"")</f>
        <v/>
      </c>
      <c r="G1678" s="44" t="str">
        <f>IFERROR(__xludf.DUMMYFUNCTION("""COMPUTED_VALUE""")," ")</f>
        <v> </v>
      </c>
      <c r="H1678" s="44" t="str">
        <f>IFERROR(__xludf.DUMMYFUNCTION("""COMPUTED_VALUE""")," ")</f>
        <v> </v>
      </c>
      <c r="I1678" s="44" t="str">
        <f>IFERROR(__xludf.DUMMYFUNCTION("""COMPUTED_VALUE"""),"Internado")</f>
        <v>Internado</v>
      </c>
      <c r="J1678" s="44" t="str">
        <f>IFERROR(__xludf.DUMMYFUNCTION("""COMPUTED_VALUE"""),"25/06/2026")</f>
        <v>25/06/2026</v>
      </c>
      <c r="K1678" s="42" t="str">
        <f>IFERROR(__xludf.DUMMYFUNCTION("""COMPUTED_VALUE"""),"Hospital Pérez Carreño")</f>
        <v>Hospital Pérez Carreño</v>
      </c>
    </row>
    <row r="1679">
      <c r="A1679" s="44">
        <v>1678.0</v>
      </c>
      <c r="B1679" s="44" t="str">
        <f>IFERROR(__xludf.DUMMYFUNCTION("""COMPUTED_VALUE"""),"Hospital Pérez Carreño")</f>
        <v>Hospital Pérez Carreño</v>
      </c>
      <c r="C1679" s="45" t="str">
        <f>IFERROR(__xludf.DUMMYFUNCTION("""COMPUTED_VALUE"""),"DELGADO MADY")</f>
        <v>DELGADO MADY</v>
      </c>
      <c r="D1679" s="44" t="str">
        <f>IFERROR(__xludf.DUMMYFUNCTION("""COMPUTED_VALUE""")," ")</f>
        <v> </v>
      </c>
      <c r="E1679" s="44" t="str">
        <f>IFERROR(__xludf.DUMMYFUNCTION("""COMPUTED_VALUE"""),"")</f>
        <v/>
      </c>
      <c r="F1679" s="44" t="str">
        <f>IFERROR(__xludf.DUMMYFUNCTION("""COMPUTED_VALUE"""),"")</f>
        <v/>
      </c>
      <c r="G1679" s="44" t="str">
        <f>IFERROR(__xludf.DUMMYFUNCTION("""COMPUTED_VALUE""")," ")</f>
        <v> </v>
      </c>
      <c r="H1679" s="44" t="str">
        <f>IFERROR(__xludf.DUMMYFUNCTION("""COMPUTED_VALUE""")," ")</f>
        <v> </v>
      </c>
      <c r="I1679" s="44" t="str">
        <f>IFERROR(__xludf.DUMMYFUNCTION("""COMPUTED_VALUE"""),"Traumashock")</f>
        <v>Traumashock</v>
      </c>
      <c r="J1679" s="44" t="str">
        <f>IFERROR(__xludf.DUMMYFUNCTION("""COMPUTED_VALUE"""),"25/06/2026")</f>
        <v>25/06/2026</v>
      </c>
      <c r="K1679" s="42" t="str">
        <f>IFERROR(__xludf.DUMMYFUNCTION("""COMPUTED_VALUE"""),"Hospital Pérez Carreño")</f>
        <v>Hospital Pérez Carreño</v>
      </c>
    </row>
    <row r="1680">
      <c r="A1680" s="44">
        <v>1679.0</v>
      </c>
      <c r="B1680" s="44" t="str">
        <f>IFERROR(__xludf.DUMMYFUNCTION("""COMPUTED_VALUE"""),"Hospital Pérez Carreño")</f>
        <v>Hospital Pérez Carreño</v>
      </c>
      <c r="C1680" s="45" t="str">
        <f>IFERROR(__xludf.DUMMYFUNCTION("""COMPUTED_VALUE"""),"Delgado Torres Maoly")</f>
        <v>Delgado Torres Maoly</v>
      </c>
      <c r="D1680" s="44"/>
      <c r="E1680" s="44" t="str">
        <f>IFERROR(__xludf.DUMMYFUNCTION("""COMPUTED_VALUE"""),"")</f>
        <v/>
      </c>
      <c r="F1680" s="44" t="str">
        <f>IFERROR(__xludf.DUMMYFUNCTION("""COMPUTED_VALUE"""),"")</f>
        <v/>
      </c>
      <c r="G1680" s="44" t="str">
        <f>IFERROR(__xludf.DUMMYFUNCTION("""COMPUTED_VALUE"""),"Traslados con destino asignado")</f>
        <v>Traslados con destino asignado</v>
      </c>
      <c r="H1680" s="44" t="str">
        <f>IFERROR(__xludf.DUMMYFUNCTION("""COMPUTED_VALUE"""),"Hospital Miguel Perez Carreño")</f>
        <v>Hospital Miguel Perez Carreño</v>
      </c>
      <c r="I1680" s="44"/>
      <c r="J1680" s="44" t="str">
        <f>IFERROR(__xludf.DUMMYFUNCTION("""COMPUTED_VALUE"""),"26/6/26")</f>
        <v>26/6/26</v>
      </c>
      <c r="K1680" s="42" t="str">
        <f>IFERROR(__xludf.DUMMYFUNCTION("""COMPUTED_VALUE"""),"Hospital Pérez Carreño")</f>
        <v>Hospital Pérez Carreño</v>
      </c>
    </row>
    <row r="1681">
      <c r="A1681" s="44">
        <v>1680.0</v>
      </c>
      <c r="B1681" s="44" t="str">
        <f>IFERROR(__xludf.DUMMYFUNCTION("""COMPUTED_VALUE"""),"Clínica El Ávila")</f>
        <v>Clínica El Ávila</v>
      </c>
      <c r="C1681" s="45" t="str">
        <f>IFERROR(__xludf.DUMMYFUNCTION("""COMPUTED_VALUE"""),"DELGADO VICTORIA")</f>
        <v>DELGADO VICTORIA</v>
      </c>
      <c r="D1681" s="44" t="str">
        <f>IFERROR(__xludf.DUMMYFUNCTION("""COMPUTED_VALUE""")," ")</f>
        <v> </v>
      </c>
      <c r="E1681" s="44" t="str">
        <f>IFERROR(__xludf.DUMMYFUNCTION("""COMPUTED_VALUE"""),"")</f>
        <v/>
      </c>
      <c r="F1681" s="44" t="str">
        <f>IFERROR(__xludf.DUMMYFUNCTION("""COMPUTED_VALUE"""),"")</f>
        <v/>
      </c>
      <c r="G1681" s="44" t="str">
        <f>IFERROR(__xludf.DUMMYFUNCTION("""COMPUTED_VALUE""")," ")</f>
        <v> </v>
      </c>
      <c r="H1681" s="44" t="str">
        <f>IFERROR(__xludf.DUMMYFUNCTION("""COMPUTED_VALUE""")," ")</f>
        <v> </v>
      </c>
      <c r="I1681" s="44" t="str">
        <f>IFERROR(__xludf.DUMMYFUNCTION("""COMPUTED_VALUE""")," ")</f>
        <v> </v>
      </c>
      <c r="J1681" s="44" t="str">
        <f>IFERROR(__xludf.DUMMYFUNCTION("""COMPUTED_VALUE"""),"")</f>
        <v/>
      </c>
      <c r="K1681" s="42" t="str">
        <f>IFERROR(__xludf.DUMMYFUNCTION("""COMPUTED_VALUE"""),"Clínica El Ávila")</f>
        <v>Clínica El Ávila</v>
      </c>
    </row>
    <row r="1682">
      <c r="A1682" s="44">
        <v>1681.0</v>
      </c>
      <c r="B1682" s="44" t="str">
        <f>IFERROR(__xludf.DUMMYFUNCTION("""COMPUTED_VALUE"""),"Campo de Golf Playa los Cocos")</f>
        <v>Campo de Golf Playa los Cocos</v>
      </c>
      <c r="C1682" s="45" t="str">
        <f>IFERROR(__xludf.DUMMYFUNCTION("""COMPUTED_VALUE"""),"Delmira Ojeda")</f>
        <v>Delmira Ojeda</v>
      </c>
      <c r="D1682" s="44" t="str">
        <f>IFERROR(__xludf.DUMMYFUNCTION("""COMPUTED_VALUE"""),"")</f>
        <v/>
      </c>
      <c r="E1682" s="44" t="str">
        <f>IFERROR(__xludf.DUMMYFUNCTION("""COMPUTED_VALUE"""),"")</f>
        <v/>
      </c>
      <c r="F1682" s="44" t="str">
        <f>IFERROR(__xludf.DUMMYFUNCTION("""COMPUTED_VALUE"""),"")</f>
        <v/>
      </c>
      <c r="G1682" s="44" t="str">
        <f>IFERROR(__xludf.DUMMYFUNCTION("""COMPUTED_VALUE"""),"")</f>
        <v/>
      </c>
      <c r="H1682" s="44" t="str">
        <f>IFERROR(__xludf.DUMMYFUNCTION("""COMPUTED_VALUE"""),"")</f>
        <v/>
      </c>
      <c r="I1682" s="44" t="str">
        <f>IFERROR(__xludf.DUMMYFUNCTION("""COMPUTED_VALUE"""),"Nombre cortado en el borde de la foto original")</f>
        <v>Nombre cortado en el borde de la foto original</v>
      </c>
      <c r="J1682" s="44" t="str">
        <f>IFERROR(__xludf.DUMMYFUNCTION("""COMPUTED_VALUE"""),"")</f>
        <v/>
      </c>
      <c r="K1682" s="42" t="str">
        <f>IFERROR(__xludf.DUMMYFUNCTION("""COMPUTED_VALUE"""),"Campo de Golf Playa los Cocos")</f>
        <v>Campo de Golf Playa los Cocos</v>
      </c>
    </row>
    <row r="1683">
      <c r="A1683" s="44">
        <v>1682.0</v>
      </c>
      <c r="B1683" s="44" t="str">
        <f>IFERROR(__xludf.DUMMYFUNCTION("""COMPUTED_VALUE"""),"Hospital Domingo Luciani")</f>
        <v>Hospital Domingo Luciani</v>
      </c>
      <c r="C1683" s="45" t="str">
        <f>IFERROR(__xludf.DUMMYFUNCTION("""COMPUTED_VALUE"""),"Demma Casteño")</f>
        <v>Demma Casteño</v>
      </c>
      <c r="D1683" s="44">
        <f>IFERROR(__xludf.DUMMYFUNCTION("""COMPUTED_VALUE"""),12.0)</f>
        <v>12</v>
      </c>
      <c r="E1683" s="44" t="str">
        <f>IFERROR(__xludf.DUMMYFUNCTION("""COMPUTED_VALUE"""),"")</f>
        <v/>
      </c>
      <c r="F1683" s="44" t="str">
        <f>IFERROR(__xludf.DUMMYFUNCTION("""COMPUTED_VALUE"""),"")</f>
        <v/>
      </c>
      <c r="G1683" s="44"/>
      <c r="H1683" s="44"/>
      <c r="I1683" s="44"/>
      <c r="J1683" s="44" t="str">
        <f>IFERROR(__xludf.DUMMYFUNCTION("""COMPUTED_VALUE"""),"")</f>
        <v/>
      </c>
      <c r="K1683" s="42" t="str">
        <f>IFERROR(__xludf.DUMMYFUNCTION("""COMPUTED_VALUE"""),"Hospital Domingo Luciani")</f>
        <v>Hospital Domingo Luciani</v>
      </c>
    </row>
    <row r="1684">
      <c r="A1684" s="44">
        <v>1683.0</v>
      </c>
      <c r="B1684" s="44" t="str">
        <f>IFERROR(__xludf.DUMMYFUNCTION("""COMPUTED_VALUE"""),"Hospital Pérez Carreño")</f>
        <v>Hospital Pérez Carreño</v>
      </c>
      <c r="C1684" s="45" t="str">
        <f>IFERROR(__xludf.DUMMYFUNCTION("""COMPUTED_VALUE"""),"DERECHO CARREÑO")</f>
        <v>DERECHO CARREÑO</v>
      </c>
      <c r="D1684" s="44">
        <f>IFERROR(__xludf.DUMMYFUNCTION("""COMPUTED_VALUE"""),4.0)</f>
        <v>4</v>
      </c>
      <c r="E1684" s="44" t="str">
        <f>IFERROR(__xludf.DUMMYFUNCTION("""COMPUTED_VALUE"""),"")</f>
        <v/>
      </c>
      <c r="F1684" s="44" t="str">
        <f>IFERROR(__xludf.DUMMYFUNCTION("""COMPUTED_VALUE"""),"")</f>
        <v/>
      </c>
      <c r="G1684" s="44" t="str">
        <f>IFERROR(__xludf.DUMMYFUNCTION("""COMPUTED_VALUE""")," ")</f>
        <v> </v>
      </c>
      <c r="H1684" s="44" t="str">
        <f>IFERROR(__xludf.DUMMYFUNCTION("""COMPUTED_VALUE""")," ")</f>
        <v> </v>
      </c>
      <c r="I1684" s="44" t="str">
        <f>IFERROR(__xludf.DUMMYFUNCTION("""COMPUTED_VALUE""")," ")</f>
        <v> </v>
      </c>
      <c r="J1684" s="44" t="str">
        <f>IFERROR(__xludf.DUMMYFUNCTION("""COMPUTED_VALUE"""),"25/06/2026")</f>
        <v>25/06/2026</v>
      </c>
      <c r="K1684" s="42" t="str">
        <f>IFERROR(__xludf.DUMMYFUNCTION("""COMPUTED_VALUE"""),"Hospital Pérez Carreño")</f>
        <v>Hospital Pérez Carreño</v>
      </c>
    </row>
    <row r="1685">
      <c r="A1685" s="44">
        <v>1684.0</v>
      </c>
      <c r="B1685" s="44" t="str">
        <f>IFERROR(__xludf.DUMMYFUNCTION("""COMPUTED_VALUE"""),"Hospital Pérez Carreño")</f>
        <v>Hospital Pérez Carreño</v>
      </c>
      <c r="C1685" s="45" t="str">
        <f>IFERROR(__xludf.DUMMYFUNCTION("""COMPUTED_VALUE"""),"Dereck Carreño")</f>
        <v>Dereck Carreño</v>
      </c>
      <c r="D1685" s="44" t="str">
        <f>IFERROR(__xludf.DUMMYFUNCTION("""COMPUTED_VALUE"""),"Caraballeda")</f>
        <v>Caraballeda</v>
      </c>
      <c r="E1685" s="44" t="str">
        <f>IFERROR(__xludf.DUMMYFUNCTION("""COMPUTED_VALUE"""),"")</f>
        <v/>
      </c>
      <c r="F1685" s="44" t="str">
        <f>IFERROR(__xludf.DUMMYFUNCTION("""COMPUTED_VALUE"""),"")</f>
        <v/>
      </c>
      <c r="G1685" s="44" t="str">
        <f>IFERROR(__xludf.DUMMYFUNCTION("""COMPUTED_VALUE"""),"ALTA")</f>
        <v>ALTA</v>
      </c>
      <c r="H1685" s="44"/>
      <c r="I1685" s="44"/>
      <c r="J1685" s="44"/>
      <c r="K1685" s="42" t="str">
        <f>IFERROR(__xludf.DUMMYFUNCTION("""COMPUTED_VALUE"""),"Hospital Pérez Carreño")</f>
        <v>Hospital Pérez Carreño</v>
      </c>
    </row>
    <row r="1686">
      <c r="A1686" s="44">
        <v>1685.0</v>
      </c>
      <c r="B1686" s="44" t="str">
        <f>IFERROR(__xludf.DUMMYFUNCTION("""COMPUTED_VALUE"""),"Periférico de Catia")</f>
        <v>Periférico de Catia</v>
      </c>
      <c r="C1686" s="45" t="str">
        <f>IFERROR(__xludf.DUMMYFUNCTION("""COMPUTED_VALUE"""),"DERECK TORJAZ / DERECK TORRES")</f>
        <v>DERECK TORJAZ / DERECK TORRES</v>
      </c>
      <c r="D1686" s="44">
        <f>IFERROR(__xludf.DUMMYFUNCTION("""COMPUTED_VALUE"""),17.0)</f>
        <v>17</v>
      </c>
      <c r="E1686" s="44" t="str">
        <f>IFERROR(__xludf.DUMMYFUNCTION("""COMPUTED_VALUE"""),"")</f>
        <v/>
      </c>
      <c r="F1686" s="44" t="str">
        <f>IFERROR(__xludf.DUMMYFUNCTION("""COMPUTED_VALUE"""),"")</f>
        <v/>
      </c>
      <c r="G1686" s="44" t="str">
        <f>IFERROR(__xludf.DUMMYFUNCTION("""COMPUTED_VALUE""")," ")</f>
        <v> </v>
      </c>
      <c r="H1686" s="44" t="str">
        <f>IFERROR(__xludf.DUMMYFUNCTION("""COMPUTED_VALUE""")," ")</f>
        <v> </v>
      </c>
      <c r="I1686" s="44" t="str">
        <f>IFERROR(__xludf.DUMMYFUNCTION("""COMPUTED_VALUE"""),"Solo")</f>
        <v>Solo</v>
      </c>
      <c r="J1686" s="44" t="str">
        <f>IFERROR(__xludf.DUMMYFUNCTION("""COMPUTED_VALUE"""),"")</f>
        <v/>
      </c>
      <c r="K1686" s="42" t="str">
        <f>IFERROR(__xludf.DUMMYFUNCTION("""COMPUTED_VALUE"""),"Periférico de Catia")</f>
        <v>Periférico de Catia</v>
      </c>
    </row>
    <row r="1687">
      <c r="A1687" s="44">
        <v>1686.0</v>
      </c>
      <c r="B1687" s="44" t="str">
        <f>IFERROR(__xludf.DUMMYFUNCTION("""COMPUTED_VALUE"""),"Periférico de Catia")</f>
        <v>Periférico de Catia</v>
      </c>
      <c r="C1687" s="45" t="str">
        <f>IFERROR(__xludf.DUMMYFUNCTION("""COMPUTED_VALUE"""),"DEREK FREQUEZ")</f>
        <v>DEREK FREQUEZ</v>
      </c>
      <c r="D1687" s="44">
        <f>IFERROR(__xludf.DUMMYFUNCTION("""COMPUTED_VALUE"""),51.0)</f>
        <v>51</v>
      </c>
      <c r="E1687" s="44" t="str">
        <f>IFERROR(__xludf.DUMMYFUNCTION("""COMPUTED_VALUE"""),"")</f>
        <v/>
      </c>
      <c r="F1687" s="44" t="str">
        <f>IFERROR(__xludf.DUMMYFUNCTION("""COMPUTED_VALUE"""),"")</f>
        <v/>
      </c>
      <c r="G1687" s="44" t="str">
        <f>IFERROR(__xludf.DUMMYFUNCTION("""COMPUTED_VALUE""")," ")</f>
        <v> </v>
      </c>
      <c r="H1687" s="44" t="str">
        <f>IFERROR(__xludf.DUMMYFUNCTION("""COMPUTED_VALUE""")," ")</f>
        <v> </v>
      </c>
      <c r="I1687" s="44" t="str">
        <f>IFERROR(__xludf.DUMMYFUNCTION("""COMPUTED_VALUE"""),"Solo")</f>
        <v>Solo</v>
      </c>
      <c r="J1687" s="44" t="str">
        <f>IFERROR(__xludf.DUMMYFUNCTION("""COMPUTED_VALUE"""),"")</f>
        <v/>
      </c>
      <c r="K1687" s="42" t="str">
        <f>IFERROR(__xludf.DUMMYFUNCTION("""COMPUTED_VALUE"""),"Periférico de Catia")</f>
        <v>Periférico de Catia</v>
      </c>
    </row>
    <row r="1688">
      <c r="A1688" s="44">
        <v>1687.0</v>
      </c>
      <c r="B1688" s="44" t="str">
        <f>IFERROR(__xludf.DUMMYFUNCTION("""COMPUTED_VALUE"""),"Campo de Golf Playa los Cocos")</f>
        <v>Campo de Golf Playa los Cocos</v>
      </c>
      <c r="C1688" s="45" t="str">
        <f>IFERROR(__xludf.DUMMYFUNCTION("""COMPUTED_VALUE"""),"Derwin Manuel Medina O.")</f>
        <v>Derwin Manuel Medina O.</v>
      </c>
      <c r="D1688" s="44" t="str">
        <f>IFERROR(__xludf.DUMMYFUNCTION("""COMPUTED_VALUE"""),"")</f>
        <v/>
      </c>
      <c r="E1688" s="44" t="str">
        <f>IFERROR(__xludf.DUMMYFUNCTION("""COMPUTED_VALUE"""),"")</f>
        <v/>
      </c>
      <c r="F1688" s="44" t="str">
        <f>IFERROR(__xludf.DUMMYFUNCTION("""COMPUTED_VALUE"""),"")</f>
        <v/>
      </c>
      <c r="G1688" s="44" t="str">
        <f>IFERROR(__xludf.DUMMYFUNCTION("""COMPUTED_VALUE"""),"")</f>
        <v/>
      </c>
      <c r="H1688" s="44" t="str">
        <f>IFERROR(__xludf.DUMMYFUNCTION("""COMPUTED_VALUE"""),"")</f>
        <v/>
      </c>
      <c r="I1688" s="44"/>
      <c r="J1688" s="44" t="str">
        <f>IFERROR(__xludf.DUMMYFUNCTION("""COMPUTED_VALUE"""),"")</f>
        <v/>
      </c>
      <c r="K1688" s="42" t="str">
        <f>IFERROR(__xludf.DUMMYFUNCTION("""COMPUTED_VALUE"""),"Campo de Golf Playa los Cocos")</f>
        <v>Campo de Golf Playa los Cocos</v>
      </c>
    </row>
    <row r="1689">
      <c r="A1689" s="44">
        <v>1688.0</v>
      </c>
      <c r="B1689" s="44" t="str">
        <f>IFERROR(__xludf.DUMMYFUNCTION("""COMPUTED_VALUE"""),"Periférico de Catia")</f>
        <v>Periférico de Catia</v>
      </c>
      <c r="C1689" s="45" t="str">
        <f>IFERROR(__xludf.DUMMYFUNCTION("""COMPUTED_VALUE"""),"Desilve Anthony")</f>
        <v>Desilve Anthony</v>
      </c>
      <c r="D1689" s="44">
        <f>IFERROR(__xludf.DUMMYFUNCTION("""COMPUTED_VALUE"""),14.0)</f>
        <v>14</v>
      </c>
      <c r="E1689" s="44" t="str">
        <f>IFERROR(__xludf.DUMMYFUNCTION("""COMPUTED_VALUE"""),"")</f>
        <v/>
      </c>
      <c r="F1689" s="44" t="str">
        <f>IFERROR(__xludf.DUMMYFUNCTION("""COMPUTED_VALUE"""),"")</f>
        <v/>
      </c>
      <c r="G1689" s="44"/>
      <c r="H1689" s="44"/>
      <c r="I1689" s="44" t="str">
        <f>IFERROR(__xludf.DUMMYFUNCTION("""COMPUTED_VALUE"""),"Politrauma (pizarra con anotaciones de ubicacion/estudio: Piso, Rx, Triaje, Trauma) — edad difiere de 'Da Silva Antony 19' en Politrauma Emergencia Vieja; verificar")</f>
        <v>Politrauma (pizarra con anotaciones de ubicacion/estudio: Piso, Rx, Triaje, Trauma) — edad difiere de 'Da Silva Antony 19' en Politrauma Emergencia Vieja; verificar</v>
      </c>
      <c r="J1689" s="44" t="str">
        <f>IFERROR(__xludf.DUMMYFUNCTION("""COMPUTED_VALUE"""),"")</f>
        <v/>
      </c>
      <c r="K1689" s="42" t="str">
        <f>IFERROR(__xludf.DUMMYFUNCTION("""COMPUTED_VALUE"""),"Periférico de Catia")</f>
        <v>Periférico de Catia</v>
      </c>
    </row>
    <row r="1690">
      <c r="A1690" s="44">
        <v>1689.0</v>
      </c>
      <c r="B1690" s="44" t="str">
        <f>IFERROR(__xludf.DUMMYFUNCTION("""COMPUTED_VALUE"""),"Periférico de Catia")</f>
        <v>Periférico de Catia</v>
      </c>
      <c r="C1690" s="45" t="str">
        <f>IFERROR(__xludf.DUMMYFUNCTION("""COMPUTED_VALUE"""),"Desilve Engerberth")</f>
        <v>Desilve Engerberth</v>
      </c>
      <c r="D1690" s="44">
        <f>IFERROR(__xludf.DUMMYFUNCTION("""COMPUTED_VALUE"""),21.0)</f>
        <v>21</v>
      </c>
      <c r="E1690" s="44" t="str">
        <f>IFERROR(__xludf.DUMMYFUNCTION("""COMPUTED_VALUE"""),"")</f>
        <v/>
      </c>
      <c r="F1690" s="44" t="str">
        <f>IFERROR(__xludf.DUMMYFUNCTION("""COMPUTED_VALUE"""),"")</f>
        <v/>
      </c>
      <c r="G1690" s="44"/>
      <c r="H1690" s="44"/>
      <c r="I1690" s="44" t="str">
        <f>IFERROR(__xludf.DUMMYFUNCTION("""COMPUTED_VALUE"""),"Politrauma (pizarra con anotaciones de ubicacion/estudio: Piso, Rx, Triaje, Trauma) — posible duplicado de 'Da Silva Engerberth 21' en Politrauma Emergencia Vieja")</f>
        <v>Politrauma (pizarra con anotaciones de ubicacion/estudio: Piso, Rx, Triaje, Trauma) — posible duplicado de 'Da Silva Engerberth 21' en Politrauma Emergencia Vieja</v>
      </c>
      <c r="J1690" s="44" t="str">
        <f>IFERROR(__xludf.DUMMYFUNCTION("""COMPUTED_VALUE"""),"")</f>
        <v/>
      </c>
      <c r="K1690" s="42" t="str">
        <f>IFERROR(__xludf.DUMMYFUNCTION("""COMPUTED_VALUE"""),"Periférico de Catia")</f>
        <v>Periférico de Catia</v>
      </c>
    </row>
    <row r="1691">
      <c r="A1691" s="44">
        <v>1690.0</v>
      </c>
      <c r="B1691" s="44" t="str">
        <f>IFERROR(__xludf.DUMMYFUNCTION("""COMPUTED_VALUE"""),"Hospital Domingo Luciani")</f>
        <v>Hospital Domingo Luciani</v>
      </c>
      <c r="C1691" s="45" t="str">
        <f>IFERROR(__xludf.DUMMYFUNCTION("""COMPUTED_VALUE"""),"DESMON LEWIN")</f>
        <v>DESMON LEWIN</v>
      </c>
      <c r="D1691" s="44">
        <f>IFERROR(__xludf.DUMMYFUNCTION("""COMPUTED_VALUE"""),10.0)</f>
        <v>10</v>
      </c>
      <c r="E1691" s="44" t="str">
        <f>IFERROR(__xludf.DUMMYFUNCTION("""COMPUTED_VALUE"""),"")</f>
        <v/>
      </c>
      <c r="F1691" s="44" t="str">
        <f>IFERROR(__xludf.DUMMYFUNCTION("""COMPUTED_VALUE"""),"")</f>
        <v/>
      </c>
      <c r="G1691" s="44" t="str">
        <f>IFERROR(__xludf.DUMMYFUNCTION("""COMPUTED_VALUE""")," ")</f>
        <v> </v>
      </c>
      <c r="H1691" s="44" t="str">
        <f>IFERROR(__xludf.DUMMYFUNCTION("""COMPUTED_VALUE""")," ")</f>
        <v> </v>
      </c>
      <c r="I1691" s="44" t="str">
        <f>IFERROR(__xludf.DUMMYFUNCTION("""COMPUTED_VALUE"""),"Pediatría")</f>
        <v>Pediatría</v>
      </c>
      <c r="J1691" s="44" t="str">
        <f>IFERROR(__xludf.DUMMYFUNCTION("""COMPUTED_VALUE"""),"")</f>
        <v/>
      </c>
      <c r="K1691" s="42" t="str">
        <f>IFERROR(__xludf.DUMMYFUNCTION("""COMPUTED_VALUE"""),"🔍 BUSCAR PACIENTES")</f>
        <v>🔍 BUSCAR PACIENTES</v>
      </c>
    </row>
    <row r="1692">
      <c r="A1692" s="44">
        <v>1691.0</v>
      </c>
      <c r="B1692" s="44" t="str">
        <f>IFERROR(__xludf.DUMMYFUNCTION("""COMPUTED_VALUE"""),"La Guaira Sin Hospital")</f>
        <v>La Guaira Sin Hospital</v>
      </c>
      <c r="C1692" s="45" t="str">
        <f>IFERROR(__xludf.DUMMYFUNCTION("""COMPUTED_VALUE"""),"Deti Joscar")</f>
        <v>Deti Joscar</v>
      </c>
      <c r="D1692" s="44" t="str">
        <f>IFERROR(__xludf.DUMMYFUNCTION("""COMPUTED_VALUE"""),"")</f>
        <v/>
      </c>
      <c r="E1692" s="44" t="str">
        <f>IFERROR(__xludf.DUMMYFUNCTION("""COMPUTED_VALUE"""),"")</f>
        <v/>
      </c>
      <c r="F1692" s="44" t="str">
        <f>IFERROR(__xludf.DUMMYFUNCTION("""COMPUTED_VALUE"""),"")</f>
        <v/>
      </c>
      <c r="G1692" s="44" t="str">
        <f>IFERROR(__xludf.DUMMYFUNCTION("""COMPUTED_VALUE"""),"")</f>
        <v/>
      </c>
      <c r="H1692" s="44" t="str">
        <f>IFERROR(__xludf.DUMMYFUNCTION("""COMPUTED_VALUE"""),"La Vega Camurichico")</f>
        <v>La Vega Camurichico</v>
      </c>
      <c r="I1692" s="44" t="str">
        <f>IFERROR(__xludf.DUMMYFUNCTION("""COMPUTED_VALUE"""),"Listas con ubicación")</f>
        <v>Listas con ubicación</v>
      </c>
      <c r="J1692" s="44" t="str">
        <f>IFERROR(__xludf.DUMMYFUNCTION("""COMPUTED_VALUE"""),"")</f>
        <v/>
      </c>
      <c r="K1692" s="42" t="str">
        <f>IFERROR(__xludf.DUMMYFUNCTION("""COMPUTED_VALUE"""),"La Guaira Sin Hospital")</f>
        <v>La Guaira Sin Hospital</v>
      </c>
    </row>
    <row r="1693">
      <c r="A1693" s="44">
        <v>1692.0</v>
      </c>
      <c r="B1693" s="44" t="str">
        <f>IFERROR(__xludf.DUMMYFUNCTION("""COMPUTED_VALUE"""),"HOSPITAL VARGAS")</f>
        <v>HOSPITAL VARGAS</v>
      </c>
      <c r="C1693" s="45" t="str">
        <f>IFERROR(__xludf.DUMMYFUNCTION("""COMPUTED_VALUE"""),"Deyorelis Marqués")</f>
        <v>Deyorelis Marqués</v>
      </c>
      <c r="D1693" s="44"/>
      <c r="E1693" s="44" t="str">
        <f>IFERROR(__xludf.DUMMYFUNCTION("""COMPUTED_VALUE"""),"")</f>
        <v/>
      </c>
      <c r="F1693" s="44" t="str">
        <f>IFERROR(__xludf.DUMMYFUNCTION("""COMPUTED_VALUE"""),"")</f>
        <v/>
      </c>
      <c r="G1693" s="44" t="str">
        <f>IFERROR(__xludf.DUMMYFUNCTION("""COMPUTED_VALUE"""),"")</f>
        <v/>
      </c>
      <c r="H1693" s="44" t="str">
        <f>IFERROR(__xludf.DUMMYFUNCTION("""COMPUTED_VALUE"""),"")</f>
        <v/>
      </c>
      <c r="I1693" s="44" t="str">
        <f>IFERROR(__xludf.DUMMYFUNCTION("""COMPUTED_VALUE"""),"Herido / atendido")</f>
        <v>Herido / atendido</v>
      </c>
      <c r="J1693" s="44" t="str">
        <f>IFERROR(__xludf.DUMMYFUNCTION("""COMPUTED_VALUE"""),"24.06.2026 ")</f>
        <v>24.06.2026 </v>
      </c>
      <c r="K1693" s="42" t="str">
        <f>IFERROR(__xludf.DUMMYFUNCTION("""COMPUTED_VALUE"""),"HOSPITAL VARGAS")</f>
        <v>HOSPITAL VARGAS</v>
      </c>
    </row>
    <row r="1694">
      <c r="A1694" s="44">
        <v>1693.0</v>
      </c>
      <c r="B1694" s="44" t="str">
        <f>IFERROR(__xludf.DUMMYFUNCTION("""COMPUTED_VALUE"""),"Hospital Pérez Carreño")</f>
        <v>Hospital Pérez Carreño</v>
      </c>
      <c r="C1694" s="45" t="str">
        <f>IFERROR(__xludf.DUMMYFUNCTION("""COMPUTED_VALUE"""),"DIACUA EDUAR")</f>
        <v>DIACUA EDUAR</v>
      </c>
      <c r="D1694" s="44" t="str">
        <f>IFERROR(__xludf.DUMMYFUNCTION("""COMPUTED_VALUE""")," ")</f>
        <v> </v>
      </c>
      <c r="E1694" s="44" t="str">
        <f>IFERROR(__xludf.DUMMYFUNCTION("""COMPUTED_VALUE"""),"")</f>
        <v/>
      </c>
      <c r="F1694" s="44" t="str">
        <f>IFERROR(__xludf.DUMMYFUNCTION("""COMPUTED_VALUE"""),"")</f>
        <v/>
      </c>
      <c r="G1694" s="44" t="str">
        <f>IFERROR(__xludf.DUMMYFUNCTION("""COMPUTED_VALUE""")," ")</f>
        <v> </v>
      </c>
      <c r="H1694" s="44" t="str">
        <f>IFERROR(__xludf.DUMMYFUNCTION("""COMPUTED_VALUE""")," ")</f>
        <v> </v>
      </c>
      <c r="I1694" s="44" t="str">
        <f>IFERROR(__xludf.DUMMYFUNCTION("""COMPUTED_VALUE"""),"Traumashock")</f>
        <v>Traumashock</v>
      </c>
      <c r="J1694" s="44" t="str">
        <f>IFERROR(__xludf.DUMMYFUNCTION("""COMPUTED_VALUE"""),"25/06/2026")</f>
        <v>25/06/2026</v>
      </c>
      <c r="K1694" s="42" t="str">
        <f>IFERROR(__xludf.DUMMYFUNCTION("""COMPUTED_VALUE"""),"Hospital Pérez Carreño")</f>
        <v>Hospital Pérez Carreño</v>
      </c>
    </row>
    <row r="1695">
      <c r="A1695" s="44">
        <v>1694.0</v>
      </c>
      <c r="B1695" s="44" t="str">
        <f>IFERROR(__xludf.DUMMYFUNCTION("""COMPUTED_VALUE"""),"Hospital Pérez Carreño")</f>
        <v>Hospital Pérez Carreño</v>
      </c>
      <c r="C1695" s="45" t="str">
        <f>IFERROR(__xludf.DUMMYFUNCTION("""COMPUTED_VALUE"""),"DIALECSY CORDERO")</f>
        <v>DIALECSY CORDERO</v>
      </c>
      <c r="D1695" s="44" t="str">
        <f>IFERROR(__xludf.DUMMYFUNCTION("""COMPUTED_VALUE""")," ")</f>
        <v> </v>
      </c>
      <c r="E1695" s="44" t="str">
        <f>IFERROR(__xludf.DUMMYFUNCTION("""COMPUTED_VALUE"""),"")</f>
        <v/>
      </c>
      <c r="F1695" s="44" t="str">
        <f>IFERROR(__xludf.DUMMYFUNCTION("""COMPUTED_VALUE"""),"")</f>
        <v/>
      </c>
      <c r="G1695" s="44" t="str">
        <f>IFERROR(__xludf.DUMMYFUNCTION("""COMPUTED_VALUE""")," ")</f>
        <v> </v>
      </c>
      <c r="H1695" s="44" t="str">
        <f>IFERROR(__xludf.DUMMYFUNCTION("""COMPUTED_VALUE""")," ")</f>
        <v> </v>
      </c>
      <c r="I1695" s="44" t="str">
        <f>IFERROR(__xludf.DUMMYFUNCTION("""COMPUTED_VALUE"""),"Traumashock")</f>
        <v>Traumashock</v>
      </c>
      <c r="J1695" s="44" t="str">
        <f>IFERROR(__xludf.DUMMYFUNCTION("""COMPUTED_VALUE"""),"25/06/2026")</f>
        <v>25/06/2026</v>
      </c>
      <c r="K1695" s="42" t="str">
        <f>IFERROR(__xludf.DUMMYFUNCTION("""COMPUTED_VALUE"""),"Hospital Pérez Carreño")</f>
        <v>Hospital Pérez Carreño</v>
      </c>
    </row>
    <row r="1696">
      <c r="A1696" s="44">
        <v>1695.0</v>
      </c>
      <c r="B1696" s="44" t="str">
        <f>IFERROR(__xludf.DUMMYFUNCTION("""COMPUTED_VALUE"""),"Campo de Golf Playa los Cocos")</f>
        <v>Campo de Golf Playa los Cocos</v>
      </c>
      <c r="C1696" s="45" t="str">
        <f>IFERROR(__xludf.DUMMYFUNCTION("""COMPUTED_VALUE"""),"Diana Conde")</f>
        <v>Diana Conde</v>
      </c>
      <c r="D1696" s="44" t="str">
        <f>IFERROR(__xludf.DUMMYFUNCTION("""COMPUTED_VALUE"""),"")</f>
        <v/>
      </c>
      <c r="E1696" s="44" t="str">
        <f>IFERROR(__xludf.DUMMYFUNCTION("""COMPUTED_VALUE"""),"")</f>
        <v/>
      </c>
      <c r="F1696" s="44" t="str">
        <f>IFERROR(__xludf.DUMMYFUNCTION("""COMPUTED_VALUE"""),"")</f>
        <v/>
      </c>
      <c r="G1696" s="44" t="str">
        <f>IFERROR(__xludf.DUMMYFUNCTION("""COMPUTED_VALUE"""),"")</f>
        <v/>
      </c>
      <c r="H1696" s="44" t="str">
        <f>IFERROR(__xludf.DUMMYFUNCTION("""COMPUTED_VALUE"""),"")</f>
        <v/>
      </c>
      <c r="I1696" s="44"/>
      <c r="J1696" s="44" t="str">
        <f>IFERROR(__xludf.DUMMYFUNCTION("""COMPUTED_VALUE"""),"")</f>
        <v/>
      </c>
      <c r="K1696" s="42" t="str">
        <f>IFERROR(__xludf.DUMMYFUNCTION("""COMPUTED_VALUE"""),"Campo de Golf Playa los Cocos")</f>
        <v>Campo de Golf Playa los Cocos</v>
      </c>
    </row>
    <row r="1697">
      <c r="A1697" s="44">
        <v>1696.0</v>
      </c>
      <c r="B1697" s="44" t="str">
        <f>IFERROR(__xludf.DUMMYFUNCTION("""COMPUTED_VALUE"""),"Hospital Pérez Carreño")</f>
        <v>Hospital Pérez Carreño</v>
      </c>
      <c r="C1697" s="45" t="str">
        <f>IFERROR(__xludf.DUMMYFUNCTION("""COMPUTED_VALUE"""),"DIAS GEEUROSY")</f>
        <v>DIAS GEEUROSY</v>
      </c>
      <c r="D1697" s="44" t="str">
        <f>IFERROR(__xludf.DUMMYFUNCTION("""COMPUTED_VALUE""")," ")</f>
        <v> </v>
      </c>
      <c r="E1697" s="44" t="str">
        <f>IFERROR(__xludf.DUMMYFUNCTION("""COMPUTED_VALUE"""),"")</f>
        <v/>
      </c>
      <c r="F1697" s="44" t="str">
        <f>IFERROR(__xludf.DUMMYFUNCTION("""COMPUTED_VALUE"""),"")</f>
        <v/>
      </c>
      <c r="G1697" s="44" t="str">
        <f>IFERROR(__xludf.DUMMYFUNCTION("""COMPUTED_VALUE""")," ")</f>
        <v> </v>
      </c>
      <c r="H1697" s="44" t="str">
        <f>IFERROR(__xludf.DUMMYFUNCTION("""COMPUTED_VALUE""")," ")</f>
        <v> </v>
      </c>
      <c r="I1697" s="44" t="str">
        <f>IFERROR(__xludf.DUMMYFUNCTION("""COMPUTED_VALUE"""),"Traumashock")</f>
        <v>Traumashock</v>
      </c>
      <c r="J1697" s="44" t="str">
        <f>IFERROR(__xludf.DUMMYFUNCTION("""COMPUTED_VALUE"""),"25/06/2026")</f>
        <v>25/06/2026</v>
      </c>
      <c r="K1697" s="42" t="str">
        <f>IFERROR(__xludf.DUMMYFUNCTION("""COMPUTED_VALUE"""),"Hospital Pérez Carreño")</f>
        <v>Hospital Pérez Carreño</v>
      </c>
    </row>
    <row r="1698">
      <c r="A1698" s="44">
        <v>1697.0</v>
      </c>
      <c r="B1698" s="44" t="str">
        <f>IFERROR(__xludf.DUMMYFUNCTION("""COMPUTED_VALUE"""),"H. Jose Maria Vargas LG")</f>
        <v>H. Jose Maria Vargas LG</v>
      </c>
      <c r="C1698" s="45" t="str">
        <f>IFERROR(__xludf.DUMMYFUNCTION("""COMPUTED_VALUE"""),"DIAZ ANYELI")</f>
        <v>DIAZ ANYELI</v>
      </c>
      <c r="D1698" s="44" t="str">
        <f>IFERROR(__xludf.DUMMYFUNCTION("""COMPUTED_VALUE""")," ")</f>
        <v> </v>
      </c>
      <c r="E1698" s="44" t="str">
        <f>IFERROR(__xludf.DUMMYFUNCTION("""COMPUTED_VALUE"""),"")</f>
        <v/>
      </c>
      <c r="F1698" s="44" t="str">
        <f>IFERROR(__xludf.DUMMYFUNCTION("""COMPUTED_VALUE"""),"")</f>
        <v/>
      </c>
      <c r="G1698" s="44" t="str">
        <f>IFERROR(__xludf.DUMMYFUNCTION("""COMPUTED_VALUE""")," ")</f>
        <v> </v>
      </c>
      <c r="H1698" s="44" t="str">
        <f>IFERROR(__xludf.DUMMYFUNCTION("""COMPUTED_VALUE""")," ")</f>
        <v> </v>
      </c>
      <c r="I1698" s="44" t="str">
        <f>IFERROR(__xludf.DUMMYFUNCTION("""COMPUTED_VALUE""")," ")</f>
        <v> </v>
      </c>
      <c r="J1698" s="44" t="str">
        <f>IFERROR(__xludf.DUMMYFUNCTION("""COMPUTED_VALUE"""),"")</f>
        <v/>
      </c>
      <c r="K1698" s="42" t="str">
        <f>IFERROR(__xludf.DUMMYFUNCTION("""COMPUTED_VALUE"""),"H. Jose Maria Vargas LG")</f>
        <v>H. Jose Maria Vargas LG</v>
      </c>
    </row>
    <row r="1699">
      <c r="A1699" s="44">
        <v>1698.0</v>
      </c>
      <c r="B1699" s="44" t="str">
        <f>IFERROR(__xludf.DUMMYFUNCTION("""COMPUTED_VALUE"""),"Hospital Pérez Carreño")</f>
        <v>Hospital Pérez Carreño</v>
      </c>
      <c r="C1699" s="45" t="str">
        <f>IFERROR(__xludf.DUMMYFUNCTION("""COMPUTED_VALUE"""),"Diaz Briggith")</f>
        <v>Diaz Briggith</v>
      </c>
      <c r="D1699" s="44"/>
      <c r="E1699" s="44" t="str">
        <f>IFERROR(__xludf.DUMMYFUNCTION("""COMPUTED_VALUE"""),"")</f>
        <v/>
      </c>
      <c r="F1699" s="44" t="str">
        <f>IFERROR(__xludf.DUMMYFUNCTION("""COMPUTED_VALUE"""),"")</f>
        <v/>
      </c>
      <c r="G1699" s="44" t="str">
        <f>IFERROR(__xludf.DUMMYFUNCTION("""COMPUTED_VALUE"""),"Traslados con destino asignado")</f>
        <v>Traslados con destino asignado</v>
      </c>
      <c r="H1699" s="44" t="str">
        <f>IFERROR(__xludf.DUMMYFUNCTION("""COMPUTED_VALUE"""),"Hospital Miguel Perez Carreño")</f>
        <v>Hospital Miguel Perez Carreño</v>
      </c>
      <c r="I1699" s="44"/>
      <c r="J1699" s="44" t="str">
        <f>IFERROR(__xludf.DUMMYFUNCTION("""COMPUTED_VALUE"""),"26/6/26")</f>
        <v>26/6/26</v>
      </c>
      <c r="K1699" s="42" t="str">
        <f>IFERROR(__xludf.DUMMYFUNCTION("""COMPUTED_VALUE"""),"Hospital Pérez Carreño")</f>
        <v>Hospital Pérez Carreño</v>
      </c>
    </row>
    <row r="1700">
      <c r="A1700" s="44">
        <v>1699.0</v>
      </c>
      <c r="B1700" s="44" t="str">
        <f>IFERROR(__xludf.DUMMYFUNCTION("""COMPUTED_VALUE"""),"H. Jose Maria Vargas LG")</f>
        <v>H. Jose Maria Vargas LG</v>
      </c>
      <c r="C1700" s="45" t="str">
        <f>IFERROR(__xludf.DUMMYFUNCTION("""COMPUTED_VALUE"""),"DIAZ DIEGO")</f>
        <v>DIAZ DIEGO</v>
      </c>
      <c r="D1700" s="44" t="str">
        <f>IFERROR(__xludf.DUMMYFUNCTION("""COMPUTED_VALUE""")," ")</f>
        <v> </v>
      </c>
      <c r="E1700" s="44" t="str">
        <f>IFERROR(__xludf.DUMMYFUNCTION("""COMPUTED_VALUE"""),"")</f>
        <v/>
      </c>
      <c r="F1700" s="44" t="str">
        <f>IFERROR(__xludf.DUMMYFUNCTION("""COMPUTED_VALUE"""),"")</f>
        <v/>
      </c>
      <c r="G1700" s="44" t="str">
        <f>IFERROR(__xludf.DUMMYFUNCTION("""COMPUTED_VALUE""")," ")</f>
        <v> </v>
      </c>
      <c r="H1700" s="44" t="str">
        <f>IFERROR(__xludf.DUMMYFUNCTION("""COMPUTED_VALUE"""),"Caraballeda")</f>
        <v>Caraballeda</v>
      </c>
      <c r="I1700" s="44" t="str">
        <f>IFERROR(__xludf.DUMMYFUNCTION("""COMPUTED_VALUE""")," ")</f>
        <v> </v>
      </c>
      <c r="J1700" s="44" t="str">
        <f>IFERROR(__xludf.DUMMYFUNCTION("""COMPUTED_VALUE"""),"")</f>
        <v/>
      </c>
      <c r="K1700" s="42" t="str">
        <f>IFERROR(__xludf.DUMMYFUNCTION("""COMPUTED_VALUE"""),"H. Jose Maria Vargas LG")</f>
        <v>H. Jose Maria Vargas LG</v>
      </c>
    </row>
    <row r="1701">
      <c r="A1701" s="44">
        <v>1700.0</v>
      </c>
      <c r="B1701" s="44" t="str">
        <f>IFERROR(__xludf.DUMMYFUNCTION("""COMPUTED_VALUE"""),"Hospital Pérez Carreño")</f>
        <v>Hospital Pérez Carreño</v>
      </c>
      <c r="C1701" s="45" t="str">
        <f>IFERROR(__xludf.DUMMYFUNCTION("""COMPUTED_VALUE"""),"DIAZ ENRIQUE")</f>
        <v>DIAZ ENRIQUE</v>
      </c>
      <c r="D1701" s="44" t="str">
        <f>IFERROR(__xludf.DUMMYFUNCTION("""COMPUTED_VALUE""")," ")</f>
        <v> </v>
      </c>
      <c r="E1701" s="44" t="str">
        <f>IFERROR(__xludf.DUMMYFUNCTION("""COMPUTED_VALUE"""),"")</f>
        <v/>
      </c>
      <c r="F1701" s="44" t="str">
        <f>IFERROR(__xludf.DUMMYFUNCTION("""COMPUTED_VALUE"""),"")</f>
        <v/>
      </c>
      <c r="G1701" s="44" t="str">
        <f>IFERROR(__xludf.DUMMYFUNCTION("""COMPUTED_VALUE""")," ")</f>
        <v> </v>
      </c>
      <c r="H1701" s="44" t="str">
        <f>IFERROR(__xludf.DUMMYFUNCTION("""COMPUTED_VALUE""")," ")</f>
        <v> </v>
      </c>
      <c r="I1701" s="44" t="str">
        <f>IFERROR(__xludf.DUMMYFUNCTION("""COMPUTED_VALUE"""),"Piso 3 – Traumachok – Traumatología; La Guaira")</f>
        <v>Piso 3 – Traumachok – Traumatología; La Guaira</v>
      </c>
      <c r="J1701" s="44" t="str">
        <f>IFERROR(__xludf.DUMMYFUNCTION("""COMPUTED_VALUE"""),"25/06/2026")</f>
        <v>25/06/2026</v>
      </c>
      <c r="K1701" s="42" t="str">
        <f>IFERROR(__xludf.DUMMYFUNCTION("""COMPUTED_VALUE"""),"Hospital Pérez Carreño")</f>
        <v>Hospital Pérez Carreño</v>
      </c>
    </row>
    <row r="1702">
      <c r="A1702" s="44">
        <v>1701.0</v>
      </c>
      <c r="B1702" s="44" t="str">
        <f>IFERROR(__xludf.DUMMYFUNCTION("""COMPUTED_VALUE"""),"Hospital Pérez Carreño")</f>
        <v>Hospital Pérez Carreño</v>
      </c>
      <c r="C1702" s="45" t="str">
        <f>IFERROR(__xludf.DUMMYFUNCTION("""COMPUTED_VALUE"""),"DIAZ GENNESY")</f>
        <v>DIAZ GENNESY</v>
      </c>
      <c r="D1702" s="44" t="str">
        <f>IFERROR(__xludf.DUMMYFUNCTION("""COMPUTED_VALUE""")," ")</f>
        <v> </v>
      </c>
      <c r="E1702" s="44" t="str">
        <f>IFERROR(__xludf.DUMMYFUNCTION("""COMPUTED_VALUE"""),"")</f>
        <v/>
      </c>
      <c r="F1702" s="44" t="str">
        <f>IFERROR(__xludf.DUMMYFUNCTION("""COMPUTED_VALUE"""),"")</f>
        <v/>
      </c>
      <c r="G1702" s="44" t="str">
        <f>IFERROR(__xludf.DUMMYFUNCTION("""COMPUTED_VALUE""")," ")</f>
        <v> </v>
      </c>
      <c r="H1702" s="44" t="str">
        <f>IFERROR(__xludf.DUMMYFUNCTION("""COMPUTED_VALUE""")," ")</f>
        <v> </v>
      </c>
      <c r="I1702" s="44" t="str">
        <f>IFERROR(__xludf.DUMMYFUNCTION("""COMPUTED_VALUE"""),"Internado; Trauma Shock")</f>
        <v>Internado; Trauma Shock</v>
      </c>
      <c r="J1702" s="44" t="str">
        <f>IFERROR(__xludf.DUMMYFUNCTION("""COMPUTED_VALUE"""),"25/06/2026")</f>
        <v>25/06/2026</v>
      </c>
      <c r="K1702" s="42" t="str">
        <f>IFERROR(__xludf.DUMMYFUNCTION("""COMPUTED_VALUE"""),"Hospital Pérez Carreño")</f>
        <v>Hospital Pérez Carreño</v>
      </c>
    </row>
    <row r="1703">
      <c r="A1703" s="44">
        <v>1702.0</v>
      </c>
      <c r="B1703" s="44" t="str">
        <f>IFERROR(__xludf.DUMMYFUNCTION("""COMPUTED_VALUE"""),"Hospital Pérez Carreño")</f>
        <v>Hospital Pérez Carreño</v>
      </c>
      <c r="C1703" s="45" t="str">
        <f>IFERROR(__xludf.DUMMYFUNCTION("""COMPUTED_VALUE"""),"Diaz Hirmenia")</f>
        <v>Diaz Hirmenia</v>
      </c>
      <c r="D1703" s="44"/>
      <c r="E1703" s="44" t="str">
        <f>IFERROR(__xludf.DUMMYFUNCTION("""COMPUTED_VALUE"""),"")</f>
        <v/>
      </c>
      <c r="F1703" s="44" t="str">
        <f>IFERROR(__xludf.DUMMYFUNCTION("""COMPUTED_VALUE"""),"")</f>
        <v/>
      </c>
      <c r="G1703" s="44" t="str">
        <f>IFERROR(__xludf.DUMMYFUNCTION("""COMPUTED_VALUE"""),"Traslados con destino asignado")</f>
        <v>Traslados con destino asignado</v>
      </c>
      <c r="H1703" s="44" t="str">
        <f>IFERROR(__xludf.DUMMYFUNCTION("""COMPUTED_VALUE"""),"Hospital Miguel Perez Carreño")</f>
        <v>Hospital Miguel Perez Carreño</v>
      </c>
      <c r="I1703" s="44"/>
      <c r="J1703" s="44" t="str">
        <f>IFERROR(__xludf.DUMMYFUNCTION("""COMPUTED_VALUE"""),"26/6/26")</f>
        <v>26/6/26</v>
      </c>
      <c r="K1703" s="42" t="str">
        <f>IFERROR(__xludf.DUMMYFUNCTION("""COMPUTED_VALUE"""),"Hospital Pérez Carreño")</f>
        <v>Hospital Pérez Carreño</v>
      </c>
    </row>
    <row r="1704">
      <c r="A1704" s="44">
        <v>1703.0</v>
      </c>
      <c r="B1704" s="44" t="str">
        <f>IFERROR(__xludf.DUMMYFUNCTION("""COMPUTED_VALUE"""),"Hospital Pérez Carreño")</f>
        <v>Hospital Pérez Carreño</v>
      </c>
      <c r="C1704" s="45" t="str">
        <f>IFERROR(__xludf.DUMMYFUNCTION("""COMPUTED_VALUE"""),"DIAZ IRMA")</f>
        <v>DIAZ IRMA</v>
      </c>
      <c r="D1704" s="44" t="str">
        <f>IFERROR(__xludf.DUMMYFUNCTION("""COMPUTED_VALUE""")," ")</f>
        <v> </v>
      </c>
      <c r="E1704" s="44" t="str">
        <f>IFERROR(__xludf.DUMMYFUNCTION("""COMPUTED_VALUE"""),"")</f>
        <v/>
      </c>
      <c r="F1704" s="44" t="str">
        <f>IFERROR(__xludf.DUMMYFUNCTION("""COMPUTED_VALUE"""),"")</f>
        <v/>
      </c>
      <c r="G1704" s="44" t="str">
        <f>IFERROR(__xludf.DUMMYFUNCTION("""COMPUTED_VALUE""")," ")</f>
        <v> </v>
      </c>
      <c r="H1704" s="44" t="str">
        <f>IFERROR(__xludf.DUMMYFUNCTION("""COMPUTED_VALUE""")," ")</f>
        <v> </v>
      </c>
      <c r="I1704" s="44" t="str">
        <f>IFERROR(__xludf.DUMMYFUNCTION("""COMPUTED_VALUE"""),"Traumashock")</f>
        <v>Traumashock</v>
      </c>
      <c r="J1704" s="44" t="str">
        <f>IFERROR(__xludf.DUMMYFUNCTION("""COMPUTED_VALUE"""),"25/06/2026")</f>
        <v>25/06/2026</v>
      </c>
      <c r="K1704" s="42" t="str">
        <f>IFERROR(__xludf.DUMMYFUNCTION("""COMPUTED_VALUE"""),"Hospital Pérez Carreño")</f>
        <v>Hospital Pérez Carreño</v>
      </c>
    </row>
    <row r="1705">
      <c r="A1705" s="44">
        <v>1704.0</v>
      </c>
      <c r="B1705" s="44" t="str">
        <f>IFERROR(__xludf.DUMMYFUNCTION("""COMPUTED_VALUE"""),"Centro de Acopio Caraballeda")</f>
        <v>Centro de Acopio Caraballeda</v>
      </c>
      <c r="C1705" s="45" t="str">
        <f>IFERROR(__xludf.DUMMYFUNCTION("""COMPUTED_VALUE"""),"DIAZ JUSTIN")</f>
        <v>DIAZ JUSTIN</v>
      </c>
      <c r="D1705" s="44" t="str">
        <f>IFERROR(__xludf.DUMMYFUNCTION("""COMPUTED_VALUE""")," ")</f>
        <v> </v>
      </c>
      <c r="E1705" s="44" t="str">
        <f>IFERROR(__xludf.DUMMYFUNCTION("""COMPUTED_VALUE"""),"")</f>
        <v/>
      </c>
      <c r="F1705" s="44" t="str">
        <f>IFERROR(__xludf.DUMMYFUNCTION("""COMPUTED_VALUE"""),"")</f>
        <v/>
      </c>
      <c r="G1705" s="44" t="str">
        <f>IFERROR(__xludf.DUMMYFUNCTION("""COMPUTED_VALUE""")," ")</f>
        <v> </v>
      </c>
      <c r="H1705" s="44" t="str">
        <f>IFERROR(__xludf.DUMMYFUNCTION("""COMPUTED_VALUE""")," ")</f>
        <v> </v>
      </c>
      <c r="I1705" s="44" t="str">
        <f>IFERROR(__xludf.DUMMYFUNCTION("""COMPUTED_VALUE"""),"Internado")</f>
        <v>Internado</v>
      </c>
      <c r="J1705" s="44" t="str">
        <f>IFERROR(__xludf.DUMMYFUNCTION("""COMPUTED_VALUE"""),"")</f>
        <v/>
      </c>
      <c r="K1705" s="42" t="str">
        <f>IFERROR(__xludf.DUMMYFUNCTION("""COMPUTED_VALUE"""),"🔍 BUSCAR PACIENTES")</f>
        <v>🔍 BUSCAR PACIENTES</v>
      </c>
    </row>
    <row r="1706">
      <c r="A1706" s="44">
        <v>1705.0</v>
      </c>
      <c r="B1706" s="44" t="str">
        <f>IFERROR(__xludf.DUMMYFUNCTION("""COMPUTED_VALUE"""),"Hospital Vargas de Caracas")</f>
        <v>Hospital Vargas de Caracas</v>
      </c>
      <c r="C1706" s="45" t="str">
        <f>IFERROR(__xludf.DUMMYFUNCTION("""COMPUTED_VALUE"""),"DIAZ MARYENIS")</f>
        <v>DIAZ MARYENIS</v>
      </c>
      <c r="D1706" s="44" t="str">
        <f>IFERROR(__xludf.DUMMYFUNCTION("""COMPUTED_VALUE""")," ")</f>
        <v> </v>
      </c>
      <c r="E1706" s="44" t="str">
        <f>IFERROR(__xludf.DUMMYFUNCTION("""COMPUTED_VALUE"""),"")</f>
        <v/>
      </c>
      <c r="F1706" s="44" t="str">
        <f>IFERROR(__xludf.DUMMYFUNCTION("""COMPUTED_VALUE""")," ")</f>
        <v> </v>
      </c>
      <c r="G1706" s="44" t="str">
        <f>IFERROR(__xludf.DUMMYFUNCTION("""COMPUTED_VALUE"""),"")</f>
        <v/>
      </c>
      <c r="H1706" s="44" t="str">
        <f>IFERROR(__xludf.DUMMYFUNCTION("""COMPUTED_VALUE""")," ")</f>
        <v> </v>
      </c>
      <c r="I1706" s="44" t="str">
        <f>IFERROR(__xludf.DUMMYFUNCTION("""COMPUTED_VALUE"""),"Internado")</f>
        <v>Internado</v>
      </c>
      <c r="J1706" s="44" t="str">
        <f>IFERROR(__xludf.DUMMYFUNCTION("""COMPUTED_VALUE"""),"")</f>
        <v/>
      </c>
      <c r="K1706" s="42" t="str">
        <f>IFERROR(__xludf.DUMMYFUNCTION("""COMPUTED_VALUE"""),"Hospital Vargas de Caracas")</f>
        <v>Hospital Vargas de Caracas</v>
      </c>
    </row>
    <row r="1707">
      <c r="A1707" s="44">
        <v>1706.0</v>
      </c>
      <c r="B1707" s="44" t="str">
        <f>IFERROR(__xludf.DUMMYFUNCTION("""COMPUTED_VALUE"""),"Hospital Domingo Luciani")</f>
        <v>Hospital Domingo Luciani</v>
      </c>
      <c r="C1707" s="45" t="str">
        <f>IFERROR(__xludf.DUMMYFUNCTION("""COMPUTED_VALUE"""),"DIAZ MAUBRI")</f>
        <v>DIAZ MAUBRI</v>
      </c>
      <c r="D1707" s="44" t="str">
        <f>IFERROR(__xludf.DUMMYFUNCTION("""COMPUTED_VALUE""")," ")</f>
        <v> </v>
      </c>
      <c r="E1707" s="44" t="str">
        <f>IFERROR(__xludf.DUMMYFUNCTION("""COMPUTED_VALUE"""),"")</f>
        <v/>
      </c>
      <c r="F1707" s="44" t="str">
        <f>IFERROR(__xludf.DUMMYFUNCTION("""COMPUTED_VALUE"""),"")</f>
        <v/>
      </c>
      <c r="G1707" s="44" t="str">
        <f>IFERROR(__xludf.DUMMYFUNCTION("""COMPUTED_VALUE""")," ")</f>
        <v> </v>
      </c>
      <c r="H1707" s="44" t="str">
        <f>IFERROR(__xludf.DUMMYFUNCTION("""COMPUTED_VALUE""")," ")</f>
        <v> </v>
      </c>
      <c r="I1707" s="44" t="str">
        <f>IFERROR(__xludf.DUMMYFUNCTION("""COMPUTED_VALUE"""),"Politrauma Emerg. Nueva")</f>
        <v>Politrauma Emerg. Nueva</v>
      </c>
      <c r="J1707" s="44" t="str">
        <f>IFERROR(__xludf.DUMMYFUNCTION("""COMPUTED_VALUE"""),"")</f>
        <v/>
      </c>
      <c r="K1707" s="42" t="str">
        <f>IFERROR(__xludf.DUMMYFUNCTION("""COMPUTED_VALUE"""),"🔍 BUSCAR PACIENTES")</f>
        <v>🔍 BUSCAR PACIENTES</v>
      </c>
    </row>
    <row r="1708">
      <c r="A1708" s="44">
        <v>1707.0</v>
      </c>
      <c r="B1708" s="44" t="str">
        <f>IFERROR(__xludf.DUMMYFUNCTION("""COMPUTED_VALUE"""),"Hospital Vargas de Caracas")</f>
        <v>Hospital Vargas de Caracas</v>
      </c>
      <c r="C1708" s="45" t="str">
        <f>IFERROR(__xludf.DUMMYFUNCTION("""COMPUTED_VALUE"""),"DIAZ MAYERLIN")</f>
        <v>DIAZ MAYERLIN</v>
      </c>
      <c r="D1708" s="44" t="str">
        <f>IFERROR(__xludf.DUMMYFUNCTION("""COMPUTED_VALUE""")," ")</f>
        <v> </v>
      </c>
      <c r="E1708" s="44" t="str">
        <f>IFERROR(__xludf.DUMMYFUNCTION("""COMPUTED_VALUE"""),"")</f>
        <v/>
      </c>
      <c r="F1708" s="44" t="str">
        <f>IFERROR(__xludf.DUMMYFUNCTION("""COMPUTED_VALUE""")," ")</f>
        <v> </v>
      </c>
      <c r="G1708" s="44" t="str">
        <f>IFERROR(__xludf.DUMMYFUNCTION("""COMPUTED_VALUE"""),"")</f>
        <v/>
      </c>
      <c r="H1708" s="44" t="str">
        <f>IFERROR(__xludf.DUMMYFUNCTION("""COMPUTED_VALUE""")," ")</f>
        <v> </v>
      </c>
      <c r="I1708" s="44" t="str">
        <f>IFERROR(__xludf.DUMMYFUNCTION("""COMPUTED_VALUE"""),"Internado")</f>
        <v>Internado</v>
      </c>
      <c r="J1708" s="44" t="str">
        <f>IFERROR(__xludf.DUMMYFUNCTION("""COMPUTED_VALUE"""),"")</f>
        <v/>
      </c>
      <c r="K1708" s="42" t="str">
        <f>IFERROR(__xludf.DUMMYFUNCTION("""COMPUTED_VALUE"""),"Hospital Vargas de Caracas")</f>
        <v>Hospital Vargas de Caracas</v>
      </c>
    </row>
    <row r="1709">
      <c r="A1709" s="44">
        <v>1708.0</v>
      </c>
      <c r="B1709" s="44" t="str">
        <f>IFERROR(__xludf.DUMMYFUNCTION("""COMPUTED_VALUE"""),"Centro de Acopio Caraballeda")</f>
        <v>Centro de Acopio Caraballeda</v>
      </c>
      <c r="C1709" s="45" t="str">
        <f>IFERROR(__xludf.DUMMYFUNCTION("""COMPUTED_VALUE"""),"DIAZ (MENOR) ADRIAN")</f>
        <v>DIAZ (MENOR) ADRIAN</v>
      </c>
      <c r="D1709" s="44" t="str">
        <f>IFERROR(__xludf.DUMMYFUNCTION("""COMPUTED_VALUE""")," ")</f>
        <v> </v>
      </c>
      <c r="E1709" s="44" t="str">
        <f>IFERROR(__xludf.DUMMYFUNCTION("""COMPUTED_VALUE"""),"")</f>
        <v/>
      </c>
      <c r="F1709" s="44" t="str">
        <f>IFERROR(__xludf.DUMMYFUNCTION("""COMPUTED_VALUE"""),"")</f>
        <v/>
      </c>
      <c r="G1709" s="44" t="str">
        <f>IFERROR(__xludf.DUMMYFUNCTION("""COMPUTED_VALUE""")," ")</f>
        <v> </v>
      </c>
      <c r="H1709" s="44" t="str">
        <f>IFERROR(__xludf.DUMMYFUNCTION("""COMPUTED_VALUE""")," ")</f>
        <v> </v>
      </c>
      <c r="I1709" s="44" t="str">
        <f>IFERROR(__xludf.DUMMYFUNCTION("""COMPUTED_VALUE"""),"Internado")</f>
        <v>Internado</v>
      </c>
      <c r="J1709" s="44" t="str">
        <f>IFERROR(__xludf.DUMMYFUNCTION("""COMPUTED_VALUE"""),"")</f>
        <v/>
      </c>
      <c r="K1709" s="42" t="str">
        <f>IFERROR(__xludf.DUMMYFUNCTION("""COMPUTED_VALUE"""),"🔍 BUSCAR PACIENTES")</f>
        <v>🔍 BUSCAR PACIENTES</v>
      </c>
    </row>
    <row r="1710">
      <c r="A1710" s="44">
        <v>1709.0</v>
      </c>
      <c r="B1710" s="44" t="str">
        <f>IFERROR(__xludf.DUMMYFUNCTION("""COMPUTED_VALUE"""),"Centro de Acopio Caraballeda")</f>
        <v>Centro de Acopio Caraballeda</v>
      </c>
      <c r="C1710" s="45" t="str">
        <f>IFERROR(__xludf.DUMMYFUNCTION("""COMPUTED_VALUE"""),"DIAZ (MENOR) ADRIANNYS")</f>
        <v>DIAZ (MENOR) ADRIANNYS</v>
      </c>
      <c r="D1710" s="44" t="str">
        <f>IFERROR(__xludf.DUMMYFUNCTION("""COMPUTED_VALUE""")," ")</f>
        <v> </v>
      </c>
      <c r="E1710" s="44" t="str">
        <f>IFERROR(__xludf.DUMMYFUNCTION("""COMPUTED_VALUE"""),"")</f>
        <v/>
      </c>
      <c r="F1710" s="44" t="str">
        <f>IFERROR(__xludf.DUMMYFUNCTION("""COMPUTED_VALUE"""),"")</f>
        <v/>
      </c>
      <c r="G1710" s="44" t="str">
        <f>IFERROR(__xludf.DUMMYFUNCTION("""COMPUTED_VALUE""")," ")</f>
        <v> </v>
      </c>
      <c r="H1710" s="44" t="str">
        <f>IFERROR(__xludf.DUMMYFUNCTION("""COMPUTED_VALUE""")," ")</f>
        <v> </v>
      </c>
      <c r="I1710" s="44" t="str">
        <f>IFERROR(__xludf.DUMMYFUNCTION("""COMPUTED_VALUE"""),"Internado")</f>
        <v>Internado</v>
      </c>
      <c r="J1710" s="44" t="str">
        <f>IFERROR(__xludf.DUMMYFUNCTION("""COMPUTED_VALUE"""),"")</f>
        <v/>
      </c>
      <c r="K1710" s="42" t="str">
        <f>IFERROR(__xludf.DUMMYFUNCTION("""COMPUTED_VALUE"""),"🔍 BUSCAR PACIENTES")</f>
        <v>🔍 BUSCAR PACIENTES</v>
      </c>
    </row>
    <row r="1711">
      <c r="A1711" s="44">
        <v>1710.0</v>
      </c>
      <c r="B1711" s="44" t="str">
        <f>IFERROR(__xludf.DUMMYFUNCTION("""COMPUTED_VALUE"""),"Hospital Vargas de Caracas")</f>
        <v>Hospital Vargas de Caracas</v>
      </c>
      <c r="C1711" s="45" t="str">
        <f>IFERROR(__xludf.DUMMYFUNCTION("""COMPUTED_VALUE"""),"DIAZ OZUNA ADONIS / DIAZ OZUNA ADONAIS")</f>
        <v>DIAZ OZUNA ADONIS / DIAZ OZUNA ADONAIS</v>
      </c>
      <c r="D1711" s="44" t="str">
        <f>IFERROR(__xludf.DUMMYFUNCTION("""COMPUTED_VALUE""")," ")</f>
        <v> </v>
      </c>
      <c r="E1711" s="44" t="str">
        <f>IFERROR(__xludf.DUMMYFUNCTION("""COMPUTED_VALUE"""),"")</f>
        <v/>
      </c>
      <c r="F1711" s="44" t="str">
        <f>IFERROR(__xludf.DUMMYFUNCTION("""COMPUTED_VALUE""")," ")</f>
        <v> </v>
      </c>
      <c r="G1711" s="44" t="str">
        <f>IFERROR(__xludf.DUMMYFUNCTION("""COMPUTED_VALUE"""),"")</f>
        <v/>
      </c>
      <c r="H1711" s="44" t="str">
        <f>IFERROR(__xludf.DUMMYFUNCTION("""COMPUTED_VALUE""")," ")</f>
        <v> </v>
      </c>
      <c r="I1711" s="44" t="str">
        <f>IFERROR(__xludf.DUMMYFUNCTION("""COMPUTED_VALUE""")," ")</f>
        <v> </v>
      </c>
      <c r="J1711" s="44" t="str">
        <f>IFERROR(__xludf.DUMMYFUNCTION("""COMPUTED_VALUE"""),"")</f>
        <v/>
      </c>
      <c r="K1711" s="42" t="str">
        <f>IFERROR(__xludf.DUMMYFUNCTION("""COMPUTED_VALUE"""),"Hospital Vargas de Caracas")</f>
        <v>Hospital Vargas de Caracas</v>
      </c>
    </row>
    <row r="1712">
      <c r="A1712" s="44">
        <v>1711.0</v>
      </c>
      <c r="B1712" s="44" t="str">
        <f>IFERROR(__xludf.DUMMYFUNCTION("""COMPUTED_VALUE"""),"La Guaira Sin Hospital")</f>
        <v>La Guaira Sin Hospital</v>
      </c>
      <c r="C1712" s="45" t="str">
        <f>IFERROR(__xludf.DUMMYFUNCTION("""COMPUTED_VALUE"""),"Diaz Romero Briangellys Nazareth")</f>
        <v>Diaz Romero Briangellys Nazareth</v>
      </c>
      <c r="D1712" s="44" t="str">
        <f>IFERROR(__xludf.DUMMYFUNCTION("""COMPUTED_VALUE"""),"")</f>
        <v/>
      </c>
      <c r="E1712" s="44" t="str">
        <f>IFERROR(__xludf.DUMMYFUNCTION("""COMPUTED_VALUE"""),"")</f>
        <v/>
      </c>
      <c r="F1712" s="44" t="str">
        <f>IFERROR(__xludf.DUMMYFUNCTION("""COMPUTED_VALUE"""),"")</f>
        <v/>
      </c>
      <c r="G1712" s="44" t="str">
        <f>IFERROR(__xludf.DUMMYFUNCTION("""COMPUTED_VALUE"""),"")</f>
        <v/>
      </c>
      <c r="H1712" s="44"/>
      <c r="I1712" s="44" t="str">
        <f>IFERROR(__xludf.DUMMYFUNCTION("""COMPUTED_VALUE"""),"Listas solo con nombre")</f>
        <v>Listas solo con nombre</v>
      </c>
      <c r="J1712" s="44" t="str">
        <f>IFERROR(__xludf.DUMMYFUNCTION("""COMPUTED_VALUE"""),"")</f>
        <v/>
      </c>
      <c r="K1712" s="42" t="str">
        <f>IFERROR(__xludf.DUMMYFUNCTION("""COMPUTED_VALUE"""),"La Guaira Sin Hospital")</f>
        <v>La Guaira Sin Hospital</v>
      </c>
    </row>
    <row r="1713">
      <c r="A1713" s="44">
        <v>1712.0</v>
      </c>
      <c r="B1713" s="44" t="str">
        <f>IFERROR(__xludf.DUMMYFUNCTION("""COMPUTED_VALUE"""),"Hospital Pérez Carreño")</f>
        <v>Hospital Pérez Carreño</v>
      </c>
      <c r="C1713" s="45" t="str">
        <f>IFERROR(__xludf.DUMMYFUNCTION("""COMPUTED_VALUE"""),"DIAZ ROMERO BRIANGELYS NAZARETH")</f>
        <v>DIAZ ROMERO BRIANGELYS NAZARETH</v>
      </c>
      <c r="D1713" s="44" t="str">
        <f>IFERROR(__xludf.DUMMYFUNCTION("""COMPUTED_VALUE""")," ")</f>
        <v> </v>
      </c>
      <c r="E1713" s="44" t="str">
        <f>IFERROR(__xludf.DUMMYFUNCTION("""COMPUTED_VALUE"""),"")</f>
        <v/>
      </c>
      <c r="F1713" s="44" t="str">
        <f>IFERROR(__xludf.DUMMYFUNCTION("""COMPUTED_VALUE"""),"")</f>
        <v/>
      </c>
      <c r="G1713" s="44" t="str">
        <f>IFERROR(__xludf.DUMMYFUNCTION("""COMPUTED_VALUE""")," ")</f>
        <v> </v>
      </c>
      <c r="H1713" s="44" t="str">
        <f>IFERROR(__xludf.DUMMYFUNCTION("""COMPUTED_VALUE""")," ")</f>
        <v> </v>
      </c>
      <c r="I1713" s="44" t="str">
        <f>IFERROR(__xludf.DUMMYFUNCTION("""COMPUTED_VALUE"""),"Internado")</f>
        <v>Internado</v>
      </c>
      <c r="J1713" s="44" t="str">
        <f>IFERROR(__xludf.DUMMYFUNCTION("""COMPUTED_VALUE"""),"25/06/2026")</f>
        <v>25/06/2026</v>
      </c>
      <c r="K1713" s="42" t="str">
        <f>IFERROR(__xludf.DUMMYFUNCTION("""COMPUTED_VALUE"""),"Hospital Pérez Carreño")</f>
        <v>Hospital Pérez Carreño</v>
      </c>
    </row>
    <row r="1714">
      <c r="A1714" s="44">
        <v>1713.0</v>
      </c>
      <c r="B1714" s="44" t="str">
        <f>IFERROR(__xludf.DUMMYFUNCTION("""COMPUTED_VALUE"""),"Hospital Pérez Carreño")</f>
        <v>Hospital Pérez Carreño</v>
      </c>
      <c r="C1714" s="45" t="str">
        <f>IFERROR(__xludf.DUMMYFUNCTION("""COMPUTED_VALUE"""),"Diaz Romero Brianyelys Wozerafil")</f>
        <v>Diaz Romero Brianyelys Wozerafil</v>
      </c>
      <c r="D1714" s="44"/>
      <c r="E1714" s="44" t="str">
        <f>IFERROR(__xludf.DUMMYFUNCTION("""COMPUTED_VALUE"""),"")</f>
        <v/>
      </c>
      <c r="F1714" s="44" t="str">
        <f>IFERROR(__xludf.DUMMYFUNCTION("""COMPUTED_VALUE"""),"")</f>
        <v/>
      </c>
      <c r="G1714" s="44" t="str">
        <f>IFERROR(__xludf.DUMMYFUNCTION("""COMPUTED_VALUE"""),"Traslados")</f>
        <v>Traslados</v>
      </c>
      <c r="H1714" s="44" t="str">
        <f>IFERROR(__xludf.DUMMYFUNCTION("""COMPUTED_VALUE"""),"Hospital Miguel Perez Carreño")</f>
        <v>Hospital Miguel Perez Carreño</v>
      </c>
      <c r="I1714" s="44"/>
      <c r="J1714" s="44" t="str">
        <f>IFERROR(__xludf.DUMMYFUNCTION("""COMPUTED_VALUE"""),"26/6/26")</f>
        <v>26/6/26</v>
      </c>
      <c r="K1714" s="42" t="str">
        <f>IFERROR(__xludf.DUMMYFUNCTION("""COMPUTED_VALUE"""),"Hospital Pérez Carreño")</f>
        <v>Hospital Pérez Carreño</v>
      </c>
    </row>
    <row r="1715">
      <c r="A1715" s="44">
        <v>1714.0</v>
      </c>
      <c r="B1715" s="44" t="str">
        <f>IFERROR(__xludf.DUMMYFUNCTION("""COMPUTED_VALUE"""),"Hospital Vargas de Caracas")</f>
        <v>Hospital Vargas de Caracas</v>
      </c>
      <c r="C1715" s="45" t="str">
        <f>IFERROR(__xludf.DUMMYFUNCTION("""COMPUTED_VALUE"""),"DIAZ ROMERO CAMILA")</f>
        <v>DIAZ ROMERO CAMILA</v>
      </c>
      <c r="D1715" s="44">
        <f>IFERROR(__xludf.DUMMYFUNCTION("""COMPUTED_VALUE"""),94.0)</f>
        <v>94</v>
      </c>
      <c r="E1715" s="44" t="str">
        <f>IFERROR(__xludf.DUMMYFUNCTION("""COMPUTED_VALUE"""),"")</f>
        <v/>
      </c>
      <c r="F1715" s="44" t="str">
        <f>IFERROR(__xludf.DUMMYFUNCTION("""COMPUTED_VALUE""")," ")</f>
        <v> </v>
      </c>
      <c r="G1715" s="44" t="str">
        <f>IFERROR(__xludf.DUMMYFUNCTION("""COMPUTED_VALUE"""),"")</f>
        <v/>
      </c>
      <c r="H1715" s="44" t="str">
        <f>IFERROR(__xludf.DUMMYFUNCTION("""COMPUTED_VALUE""")," ")</f>
        <v> </v>
      </c>
      <c r="I1715" s="44" t="str">
        <f>IFERROR(__xludf.DUMMYFUNCTION("""COMPUTED_VALUE"""),"Pacientes x Sismo Edo La Guaira")</f>
        <v>Pacientes x Sismo Edo La Guaira</v>
      </c>
      <c r="J1715" s="44" t="str">
        <f>IFERROR(__xludf.DUMMYFUNCTION("""COMPUTED_VALUE"""),"")</f>
        <v/>
      </c>
      <c r="K1715" s="42" t="str">
        <f>IFERROR(__xludf.DUMMYFUNCTION("""COMPUTED_VALUE"""),"Hospital Vargas de Caracas")</f>
        <v>Hospital Vargas de Caracas</v>
      </c>
    </row>
    <row r="1716">
      <c r="A1716" s="44">
        <v>1715.0</v>
      </c>
      <c r="B1716" s="44" t="str">
        <f>IFERROR(__xludf.DUMMYFUNCTION("""COMPUTED_VALUE"""),"La Guaira Sin Hospital")</f>
        <v>La Guaira Sin Hospital</v>
      </c>
      <c r="C1716" s="45" t="str">
        <f>IFERROR(__xludf.DUMMYFUNCTION("""COMPUTED_VALUE"""),"Diaz Soza Ana Alecia")</f>
        <v>Diaz Soza Ana Alecia</v>
      </c>
      <c r="D1716" s="44" t="str">
        <f>IFERROR(__xludf.DUMMYFUNCTION("""COMPUTED_VALUE"""),"")</f>
        <v/>
      </c>
      <c r="E1716" s="44" t="str">
        <f>IFERROR(__xludf.DUMMYFUNCTION("""COMPUTED_VALUE"""),"")</f>
        <v/>
      </c>
      <c r="F1716" s="44" t="str">
        <f>IFERROR(__xludf.DUMMYFUNCTION("""COMPUTED_VALUE"""),"")</f>
        <v/>
      </c>
      <c r="G1716" s="44" t="str">
        <f>IFERROR(__xludf.DUMMYFUNCTION("""COMPUTED_VALUE"""),"")</f>
        <v/>
      </c>
      <c r="H1716" s="44"/>
      <c r="I1716" s="44" t="str">
        <f>IFERROR(__xludf.DUMMYFUNCTION("""COMPUTED_VALUE"""),"Listas solo con nombre")</f>
        <v>Listas solo con nombre</v>
      </c>
      <c r="J1716" s="44" t="str">
        <f>IFERROR(__xludf.DUMMYFUNCTION("""COMPUTED_VALUE"""),"")</f>
        <v/>
      </c>
      <c r="K1716" s="42" t="str">
        <f>IFERROR(__xludf.DUMMYFUNCTION("""COMPUTED_VALUE"""),"La Guaira Sin Hospital")</f>
        <v>La Guaira Sin Hospital</v>
      </c>
    </row>
    <row r="1717">
      <c r="A1717" s="44">
        <v>1716.0</v>
      </c>
      <c r="B1717" s="44" t="str">
        <f>IFERROR(__xludf.DUMMYFUNCTION("""COMPUTED_VALUE"""),"H. Jose Maria Vargas LG")</f>
        <v>H. Jose Maria Vargas LG</v>
      </c>
      <c r="C1717" s="45" t="str">
        <f>IFERROR(__xludf.DUMMYFUNCTION("""COMPUTED_VALUE"""),"DIAZ TIBIZAI")</f>
        <v>DIAZ TIBIZAI</v>
      </c>
      <c r="D1717" s="44">
        <f>IFERROR(__xludf.DUMMYFUNCTION("""COMPUTED_VALUE"""),60.0)</f>
        <v>60</v>
      </c>
      <c r="E1717" s="44" t="str">
        <f>IFERROR(__xludf.DUMMYFUNCTION("""COMPUTED_VALUE"""),"")</f>
        <v/>
      </c>
      <c r="F1717" s="44" t="str">
        <f>IFERROR(__xludf.DUMMYFUNCTION("""COMPUTED_VALUE"""),"")</f>
        <v/>
      </c>
      <c r="G1717" s="44" t="str">
        <f>IFERROR(__xludf.DUMMYFUNCTION("""COMPUTED_VALUE""")," ")</f>
        <v> </v>
      </c>
      <c r="H1717" s="44" t="str">
        <f>IFERROR(__xludf.DUMMYFUNCTION("""COMPUTED_VALUE""")," ")</f>
        <v> </v>
      </c>
      <c r="I1717" s="44" t="str">
        <f>IFERROR(__xludf.DUMMYFUNCTION("""COMPUTED_VALUE""")," ")</f>
        <v> </v>
      </c>
      <c r="J1717" s="44" t="str">
        <f>IFERROR(__xludf.DUMMYFUNCTION("""COMPUTED_VALUE"""),"")</f>
        <v/>
      </c>
      <c r="K1717" s="42" t="str">
        <f>IFERROR(__xludf.DUMMYFUNCTION("""COMPUTED_VALUE"""),"H. Jose Maria Vargas LG")</f>
        <v>H. Jose Maria Vargas LG</v>
      </c>
    </row>
    <row r="1718">
      <c r="A1718" s="44">
        <v>1717.0</v>
      </c>
      <c r="B1718" s="44" t="str">
        <f>IFERROR(__xludf.DUMMYFUNCTION("""COMPUTED_VALUE"""),"Centro de Acopio Caraballeda")</f>
        <v>Centro de Acopio Caraballeda</v>
      </c>
      <c r="C1718" s="45" t="str">
        <f>IFERROR(__xludf.DUMMYFUNCTION("""COMPUTED_VALUE"""),"DIAZ YUNIELYS")</f>
        <v>DIAZ YUNIELYS</v>
      </c>
      <c r="D1718" s="44" t="str">
        <f>IFERROR(__xludf.DUMMYFUNCTION("""COMPUTED_VALUE""")," ")</f>
        <v> </v>
      </c>
      <c r="E1718" s="44" t="str">
        <f>IFERROR(__xludf.DUMMYFUNCTION("""COMPUTED_VALUE"""),"")</f>
        <v/>
      </c>
      <c r="F1718" s="44" t="str">
        <f>IFERROR(__xludf.DUMMYFUNCTION("""COMPUTED_VALUE"""),"")</f>
        <v/>
      </c>
      <c r="G1718" s="44" t="str">
        <f>IFERROR(__xludf.DUMMYFUNCTION("""COMPUTED_VALUE""")," ")</f>
        <v> </v>
      </c>
      <c r="H1718" s="44" t="str">
        <f>IFERROR(__xludf.DUMMYFUNCTION("""COMPUTED_VALUE""")," ")</f>
        <v> </v>
      </c>
      <c r="I1718" s="44" t="str">
        <f>IFERROR(__xludf.DUMMYFUNCTION("""COMPUTED_VALUE"""),"Internado")</f>
        <v>Internado</v>
      </c>
      <c r="J1718" s="44" t="str">
        <f>IFERROR(__xludf.DUMMYFUNCTION("""COMPUTED_VALUE"""),"")</f>
        <v/>
      </c>
      <c r="K1718" s="42" t="str">
        <f>IFERROR(__xludf.DUMMYFUNCTION("""COMPUTED_VALUE"""),"🔍 BUSCAR PACIENTES")</f>
        <v>🔍 BUSCAR PACIENTES</v>
      </c>
    </row>
    <row r="1719">
      <c r="A1719" s="44">
        <v>1718.0</v>
      </c>
      <c r="B1719" s="44" t="str">
        <f>IFERROR(__xludf.DUMMYFUNCTION("""COMPUTED_VALUE"""),"Hospital Pérez Carreño")</f>
        <v>Hospital Pérez Carreño</v>
      </c>
      <c r="C1719" s="45" t="str">
        <f>IFERROR(__xludf.DUMMYFUNCTION("""COMPUTED_VALUE"""),"Diaz Zorada Stris Adriana")</f>
        <v>Diaz Zorada Stris Adriana</v>
      </c>
      <c r="D1719" s="44"/>
      <c r="E1719" s="44" t="str">
        <f>IFERROR(__xludf.DUMMYFUNCTION("""COMPUTED_VALUE"""),"")</f>
        <v/>
      </c>
      <c r="F1719" s="44" t="str">
        <f>IFERROR(__xludf.DUMMYFUNCTION("""COMPUTED_VALUE"""),"")</f>
        <v/>
      </c>
      <c r="G1719" s="44" t="str">
        <f>IFERROR(__xludf.DUMMYFUNCTION("""COMPUTED_VALUE"""),"Traslados")</f>
        <v>Traslados</v>
      </c>
      <c r="H1719" s="44" t="str">
        <f>IFERROR(__xludf.DUMMYFUNCTION("""COMPUTED_VALUE"""),"Hospital Miguel Perez Carreño")</f>
        <v>Hospital Miguel Perez Carreño</v>
      </c>
      <c r="I1719" s="44"/>
      <c r="J1719" s="44" t="str">
        <f>IFERROR(__xludf.DUMMYFUNCTION("""COMPUTED_VALUE"""),"26/6/26")</f>
        <v>26/6/26</v>
      </c>
      <c r="K1719" s="42" t="str">
        <f>IFERROR(__xludf.DUMMYFUNCTION("""COMPUTED_VALUE"""),"Hospital Pérez Carreño")</f>
        <v>Hospital Pérez Carreño</v>
      </c>
    </row>
    <row r="1720">
      <c r="A1720" s="44">
        <v>1719.0</v>
      </c>
      <c r="B1720" s="44" t="str">
        <f>IFERROR(__xludf.DUMMYFUNCTION("""COMPUTED_VALUE"""),"Seguro Social La Guaira")</f>
        <v>Seguro Social La Guaira</v>
      </c>
      <c r="C1720" s="45" t="str">
        <f>IFERROR(__xludf.DUMMYFUNCTION("""COMPUTED_VALUE"""),"DIEGO DIAZ")</f>
        <v>DIEGO DIAZ</v>
      </c>
      <c r="D1720" s="44" t="str">
        <f>IFERROR(__xludf.DUMMYFUNCTION("""COMPUTED_VALUE""")," ")</f>
        <v> </v>
      </c>
      <c r="E1720" s="44" t="str">
        <f>IFERROR(__xludf.DUMMYFUNCTION("""COMPUTED_VALUE"""),"")</f>
        <v/>
      </c>
      <c r="F1720" s="44" t="str">
        <f>IFERROR(__xludf.DUMMYFUNCTION("""COMPUTED_VALUE"""),"")</f>
        <v/>
      </c>
      <c r="G1720" s="44" t="str">
        <f>IFERROR(__xludf.DUMMYFUNCTION("""COMPUTED_VALUE""")," ")</f>
        <v> </v>
      </c>
      <c r="H1720" s="44" t="str">
        <f>IFERROR(__xludf.DUMMYFUNCTION("""COMPUTED_VALUE"""),"Caraballeda")</f>
        <v>Caraballeda</v>
      </c>
      <c r="I1720" s="44" t="str">
        <f>IFERROR(__xludf.DUMMYFUNCTION("""COMPUTED_VALUE""")," ")</f>
        <v> </v>
      </c>
      <c r="J1720" s="44" t="str">
        <f>IFERROR(__xludf.DUMMYFUNCTION("""COMPUTED_VALUE"""),"")</f>
        <v/>
      </c>
      <c r="K1720" s="42" t="str">
        <f>IFERROR(__xludf.DUMMYFUNCTION("""COMPUTED_VALUE"""),"Seguro Social La Guaira")</f>
        <v>Seguro Social La Guaira</v>
      </c>
    </row>
    <row r="1721">
      <c r="A1721" s="44">
        <v>1720.0</v>
      </c>
      <c r="B1721" s="44" t="str">
        <f>IFERROR(__xludf.DUMMYFUNCTION("""COMPUTED_VALUE"""),"Hospital Pérez Carreño")</f>
        <v>Hospital Pérez Carreño</v>
      </c>
      <c r="C1721" s="45" t="str">
        <f>IFERROR(__xludf.DUMMYFUNCTION("""COMPUTED_VALUE"""),"Diego Medina")</f>
        <v>Diego Medina</v>
      </c>
      <c r="D1721" s="44"/>
      <c r="E1721" s="44" t="str">
        <f>IFERROR(__xludf.DUMMYFUNCTION("""COMPUTED_VALUE"""),"")</f>
        <v/>
      </c>
      <c r="F1721" s="44" t="str">
        <f>IFERROR(__xludf.DUMMYFUNCTION("""COMPUTED_VALUE"""),"")</f>
        <v/>
      </c>
      <c r="G1721" s="44" t="str">
        <f>IFERROR(__xludf.DUMMYFUNCTION("""COMPUTED_VALUE"""),"Traumashock ")</f>
        <v>Traumashock </v>
      </c>
      <c r="H1721" s="44" t="str">
        <f>IFERROR(__xludf.DUMMYFUNCTION("""COMPUTED_VALUE"""),"Hospital Miguel Perez Carreño")</f>
        <v>Hospital Miguel Perez Carreño</v>
      </c>
      <c r="I1721" s="44"/>
      <c r="J1721" s="44" t="str">
        <f>IFERROR(__xludf.DUMMYFUNCTION("""COMPUTED_VALUE"""),"26/6/26")</f>
        <v>26/6/26</v>
      </c>
      <c r="K1721" s="42" t="str">
        <f>IFERROR(__xludf.DUMMYFUNCTION("""COMPUTED_VALUE"""),"Hospital Pérez Carreño")</f>
        <v>Hospital Pérez Carreño</v>
      </c>
    </row>
    <row r="1722">
      <c r="A1722" s="44">
        <v>1721.0</v>
      </c>
      <c r="B1722" s="44" t="str">
        <f>IFERROR(__xludf.DUMMYFUNCTION("""COMPUTED_VALUE"""),"Seguro Social La Guaira")</f>
        <v>Seguro Social La Guaira</v>
      </c>
      <c r="C1722" s="45" t="str">
        <f>IFERROR(__xludf.DUMMYFUNCTION("""COMPUTED_VALUE"""),"DIEGO MORILLO")</f>
        <v>DIEGO MORILLO</v>
      </c>
      <c r="D1722" s="44" t="str">
        <f>IFERROR(__xludf.DUMMYFUNCTION("""COMPUTED_VALUE"""),"4 meses")</f>
        <v>4 meses</v>
      </c>
      <c r="E1722" s="44" t="str">
        <f>IFERROR(__xludf.DUMMYFUNCTION("""COMPUTED_VALUE"""),"")</f>
        <v/>
      </c>
      <c r="F1722" s="44" t="str">
        <f>IFERROR(__xludf.DUMMYFUNCTION("""COMPUTED_VALUE"""),"")</f>
        <v/>
      </c>
      <c r="G1722" s="44" t="str">
        <f>IFERROR(__xludf.DUMMYFUNCTION("""COMPUTED_VALUE""")," ")</f>
        <v> </v>
      </c>
      <c r="H1722" s="44" t="str">
        <f>IFERROR(__xludf.DUMMYFUNCTION("""COMPUTED_VALUE"""),"Caribe")</f>
        <v>Caribe</v>
      </c>
      <c r="I1722" s="44" t="str">
        <f>IFERROR(__xludf.DUMMYFUNCTION("""COMPUTED_VALUE""")," ")</f>
        <v> </v>
      </c>
      <c r="J1722" s="44" t="str">
        <f>IFERROR(__xludf.DUMMYFUNCTION("""COMPUTED_VALUE"""),"")</f>
        <v/>
      </c>
      <c r="K1722" s="42" t="str">
        <f>IFERROR(__xludf.DUMMYFUNCTION("""COMPUTED_VALUE"""),"Seguro Social La Guaira")</f>
        <v>Seguro Social La Guaira</v>
      </c>
    </row>
    <row r="1723">
      <c r="A1723" s="44">
        <v>1722.0</v>
      </c>
      <c r="B1723" s="44" t="str">
        <f>IFERROR(__xludf.DUMMYFUNCTION("""COMPUTED_VALUE"""),"Periférico de Catia")</f>
        <v>Periférico de Catia</v>
      </c>
      <c r="C1723" s="45" t="str">
        <f>IFERROR(__xludf.DUMMYFUNCTION("""COMPUTED_VALUE"""),"Diego Obregon")</f>
        <v>Diego Obregon</v>
      </c>
      <c r="D1723" s="44"/>
      <c r="E1723" s="44" t="str">
        <f>IFERROR(__xludf.DUMMYFUNCTION("""COMPUTED_VALUE"""),"")</f>
        <v/>
      </c>
      <c r="F1723" s="44" t="str">
        <f>IFERROR(__xludf.DUMMYFUNCTION("""COMPUTED_VALUE"""),"")</f>
        <v/>
      </c>
      <c r="G1723" s="44"/>
      <c r="H1723" s="44"/>
      <c r="I1723" s="44" t="str">
        <f>IFERROR(__xludf.DUMMYFUNCTION("""COMPUTED_VALUE"""),"Politrauma (pizarra con anotaciones de ubicacion/estudio: Piso, Rx, Triaje, Trauma) — Triaje de Cirugia, Alta, nota 'Bucomaxilo'")</f>
        <v>Politrauma (pizarra con anotaciones de ubicacion/estudio: Piso, Rx, Triaje, Trauma) — Triaje de Cirugia, Alta, nota 'Bucomaxilo'</v>
      </c>
      <c r="J1723" s="44" t="str">
        <f>IFERROR(__xludf.DUMMYFUNCTION("""COMPUTED_VALUE"""),"")</f>
        <v/>
      </c>
      <c r="K1723" s="42" t="str">
        <f>IFERROR(__xludf.DUMMYFUNCTION("""COMPUTED_VALUE"""),"Periférico de Catia")</f>
        <v>Periférico de Catia</v>
      </c>
    </row>
    <row r="1724">
      <c r="A1724" s="44">
        <v>1723.0</v>
      </c>
      <c r="B1724" s="44" t="str">
        <f>IFERROR(__xludf.DUMMYFUNCTION("""COMPUTED_VALUE"""),"Hospital Pérez Carreño")</f>
        <v>Hospital Pérez Carreño</v>
      </c>
      <c r="C1724" s="45" t="str">
        <f>IFERROR(__xludf.DUMMYFUNCTION("""COMPUTED_VALUE"""),"DIES GENNY")</f>
        <v>DIES GENNY</v>
      </c>
      <c r="D1724" s="44" t="str">
        <f>IFERROR(__xludf.DUMMYFUNCTION("""COMPUTED_VALUE""")," ")</f>
        <v> </v>
      </c>
      <c r="E1724" s="44" t="str">
        <f>IFERROR(__xludf.DUMMYFUNCTION("""COMPUTED_VALUE"""),"")</f>
        <v/>
      </c>
      <c r="F1724" s="44" t="str">
        <f>IFERROR(__xludf.DUMMYFUNCTION("""COMPUTED_VALUE"""),"")</f>
        <v/>
      </c>
      <c r="G1724" s="44" t="str">
        <f>IFERROR(__xludf.DUMMYFUNCTION("""COMPUTED_VALUE""")," ")</f>
        <v> </v>
      </c>
      <c r="H1724" s="44" t="str">
        <f>IFERROR(__xludf.DUMMYFUNCTION("""COMPUTED_VALUE""")," ")</f>
        <v> </v>
      </c>
      <c r="I1724" s="44" t="str">
        <f>IFERROR(__xludf.DUMMYFUNCTION("""COMPUTED_VALUE"""),"Traumachok; La Guaira")</f>
        <v>Traumachok; La Guaira</v>
      </c>
      <c r="J1724" s="44" t="str">
        <f>IFERROR(__xludf.DUMMYFUNCTION("""COMPUTED_VALUE"""),"25/06/2026")</f>
        <v>25/06/2026</v>
      </c>
      <c r="K1724" s="42" t="str">
        <f>IFERROR(__xludf.DUMMYFUNCTION("""COMPUTED_VALUE"""),"Hospital Pérez Carreño")</f>
        <v>Hospital Pérez Carreño</v>
      </c>
    </row>
    <row r="1725">
      <c r="A1725" s="44">
        <v>1724.0</v>
      </c>
      <c r="B1725" s="44" t="str">
        <f>IFERROR(__xludf.DUMMYFUNCTION("""COMPUTED_VALUE"""),"Hospital Universitario de Carac")</f>
        <v>Hospital Universitario de Carac</v>
      </c>
      <c r="C1725" s="45" t="str">
        <f>IFERROR(__xludf.DUMMYFUNCTION("""COMPUTED_VALUE"""),"DINGYL LU")</f>
        <v>DINGYL LU</v>
      </c>
      <c r="D1725" s="44" t="str">
        <f>IFERROR(__xludf.DUMMYFUNCTION("""COMPUTED_VALUE""")," ")</f>
        <v> </v>
      </c>
      <c r="E1725" s="44" t="str">
        <f>IFERROR(__xludf.DUMMYFUNCTION("""COMPUTED_VALUE"""),"")</f>
        <v/>
      </c>
      <c r="F1725" s="44" t="str">
        <f>IFERROR(__xludf.DUMMYFUNCTION("""COMPUTED_VALUE"""),"")</f>
        <v/>
      </c>
      <c r="G1725" s="44" t="str">
        <f>IFERROR(__xludf.DUMMYFUNCTION("""COMPUTED_VALUE""")," ")</f>
        <v> </v>
      </c>
      <c r="H1725" s="44" t="str">
        <f>IFERROR(__xludf.DUMMYFUNCTION("""COMPUTED_VALUE""")," ")</f>
        <v> </v>
      </c>
      <c r="I1725" s="44" t="str">
        <f>IFERROR(__xludf.DUMMYFUNCTION("""COMPUTED_VALUE"""),"Sala Cirugía – Fx clavícula derecha; Tx ocular izquierdo; Internado")</f>
        <v>Sala Cirugía – Fx clavícula derecha; Tx ocular izquierdo; Internado</v>
      </c>
      <c r="J1725" s="44" t="str">
        <f>IFERROR(__xludf.DUMMYFUNCTION("""COMPUTED_VALUE"""),"")</f>
        <v/>
      </c>
      <c r="K1725" s="42" t="str">
        <f>IFERROR(__xludf.DUMMYFUNCTION("""COMPUTED_VALUE"""),"Hospital Universitario de Carac")</f>
        <v>Hospital Universitario de Carac</v>
      </c>
    </row>
    <row r="1726">
      <c r="A1726" s="44">
        <v>1725.0</v>
      </c>
      <c r="B1726" s="44" t="str">
        <f>IFERROR(__xludf.DUMMYFUNCTION("""COMPUTED_VALUE"""),"Hospital Domingo Luciani")</f>
        <v>Hospital Domingo Luciani</v>
      </c>
      <c r="C1726" s="45" t="str">
        <f>IFERROR(__xludf.DUMMYFUNCTION("""COMPUTED_VALUE"""),"Dios Arriero oyola")</f>
        <v>Dios Arriero oyola</v>
      </c>
      <c r="D1726" s="44">
        <f>IFERROR(__xludf.DUMMYFUNCTION("""COMPUTED_VALUE"""),0.0)</f>
        <v>0</v>
      </c>
      <c r="E1726" s="44" t="str">
        <f>IFERROR(__xludf.DUMMYFUNCTION("""COMPUTED_VALUE"""),"")</f>
        <v/>
      </c>
      <c r="F1726" s="44" t="str">
        <f>IFERROR(__xludf.DUMMYFUNCTION("""COMPUTED_VALUE"""),"")</f>
        <v/>
      </c>
      <c r="G1726" s="44"/>
      <c r="H1726" s="44"/>
      <c r="I1726" s="44"/>
      <c r="J1726" s="44" t="str">
        <f>IFERROR(__xludf.DUMMYFUNCTION("""COMPUTED_VALUE"""),"")</f>
        <v/>
      </c>
      <c r="K1726" s="42" t="str">
        <f>IFERROR(__xludf.DUMMYFUNCTION("""COMPUTED_VALUE"""),"Hospital Domingo Luciani")</f>
        <v>Hospital Domingo Luciani</v>
      </c>
    </row>
    <row r="1727">
      <c r="A1727" s="44">
        <v>1726.0</v>
      </c>
      <c r="B1727" s="44" t="str">
        <f>IFERROR(__xludf.DUMMYFUNCTION("""COMPUTED_VALUE"""),"Periférico de Catia")</f>
        <v>Periférico de Catia</v>
      </c>
      <c r="C1727" s="45" t="str">
        <f>IFERROR(__xludf.DUMMYFUNCTION("""COMPUTED_VALUE"""),"Discamo Pedro")</f>
        <v>Discamo Pedro</v>
      </c>
      <c r="D1727" s="44">
        <f>IFERROR(__xludf.DUMMYFUNCTION("""COMPUTED_VALUE"""),46.0)</f>
        <v>46</v>
      </c>
      <c r="E1727" s="44" t="str">
        <f>IFERROR(__xludf.DUMMYFUNCTION("""COMPUTED_VALUE"""),"")</f>
        <v/>
      </c>
      <c r="F1727" s="44" t="str">
        <f>IFERROR(__xludf.DUMMYFUNCTION("""COMPUTED_VALUE"""),"")</f>
        <v/>
      </c>
      <c r="G1727" s="44"/>
      <c r="H1727" s="44"/>
      <c r="I1727" s="44" t="str">
        <f>IFERROR(__xludf.DUMMYFUNCTION("""COMPUTED_VALUE"""),"UCI")</f>
        <v>UCI</v>
      </c>
      <c r="J1727" s="44" t="str">
        <f>IFERROR(__xludf.DUMMYFUNCTION("""COMPUTED_VALUE"""),"")</f>
        <v/>
      </c>
      <c r="K1727" s="42" t="str">
        <f>IFERROR(__xludf.DUMMYFUNCTION("""COMPUTED_VALUE"""),"Periférico de Catia")</f>
        <v>Periférico de Catia</v>
      </c>
    </row>
    <row r="1728">
      <c r="A1728" s="44">
        <v>1727.0</v>
      </c>
      <c r="B1728" s="44" t="str">
        <f>IFERROR(__xludf.DUMMYFUNCTION("""COMPUTED_VALUE"""),"H. Jose Maria Vargas LG")</f>
        <v>H. Jose Maria Vargas LG</v>
      </c>
      <c r="C1728" s="45" t="str">
        <f>IFERROR(__xludf.DUMMYFUNCTION("""COMPUTED_VALUE"""),"DISNEMELIA")</f>
        <v>DISNEMELIA</v>
      </c>
      <c r="D1728" s="44" t="str">
        <f>IFERROR(__xludf.DUMMYFUNCTION("""COMPUTED_VALUE""")," ")</f>
        <v> </v>
      </c>
      <c r="E1728" s="44" t="str">
        <f>IFERROR(__xludf.DUMMYFUNCTION("""COMPUTED_VALUE"""),"")</f>
        <v/>
      </c>
      <c r="F1728" s="44" t="str">
        <f>IFERROR(__xludf.DUMMYFUNCTION("""COMPUTED_VALUE"""),"")</f>
        <v/>
      </c>
      <c r="G1728" s="44" t="str">
        <f>IFERROR(__xludf.DUMMYFUNCTION("""COMPUTED_VALUE""")," ")</f>
        <v> </v>
      </c>
      <c r="H1728" s="44" t="str">
        <f>IFERROR(__xludf.DUMMYFUNCTION("""COMPUTED_VALUE""")," ")</f>
        <v> </v>
      </c>
      <c r="I1728" s="44" t="str">
        <f>IFERROR(__xludf.DUMMYFUNCTION("""COMPUTED_VALUE""")," ")</f>
        <v> </v>
      </c>
      <c r="J1728" s="44" t="str">
        <f>IFERROR(__xludf.DUMMYFUNCTION("""COMPUTED_VALUE"""),"")</f>
        <v/>
      </c>
      <c r="K1728" s="42" t="str">
        <f>IFERROR(__xludf.DUMMYFUNCTION("""COMPUTED_VALUE"""),"H. Jose Maria Vargas LG")</f>
        <v>H. Jose Maria Vargas LG</v>
      </c>
    </row>
    <row r="1729">
      <c r="A1729" s="44">
        <v>1728.0</v>
      </c>
      <c r="B1729" s="44" t="str">
        <f>IFERROR(__xludf.DUMMYFUNCTION("""COMPUTED_VALUE"""),"Hospital Domingo Luciani")</f>
        <v>Hospital Domingo Luciani</v>
      </c>
      <c r="C1729" s="45" t="str">
        <f>IFERROR(__xludf.DUMMYFUNCTION("""COMPUTED_VALUE"""),"DIVITO ROSA")</f>
        <v>DIVITO ROSA</v>
      </c>
      <c r="D1729" s="44">
        <f>IFERROR(__xludf.DUMMYFUNCTION("""COMPUTED_VALUE"""),64.0)</f>
        <v>64</v>
      </c>
      <c r="E1729" s="44" t="str">
        <f>IFERROR(__xludf.DUMMYFUNCTION("""COMPUTED_VALUE"""),"")</f>
        <v/>
      </c>
      <c r="F1729" s="44" t="str">
        <f>IFERROR(__xludf.DUMMYFUNCTION("""COMPUTED_VALUE"""),"")</f>
        <v/>
      </c>
      <c r="G1729" s="44" t="str">
        <f>IFERROR(__xludf.DUMMYFUNCTION("""COMPUTED_VALUE""")," ")</f>
        <v> </v>
      </c>
      <c r="H1729" s="44" t="str">
        <f>IFERROR(__xludf.DUMMYFUNCTION("""COMPUTED_VALUE"""),"chacao")</f>
        <v>chacao</v>
      </c>
      <c r="I1729" s="44" t="str">
        <f>IFERROR(__xludf.DUMMYFUNCTION("""COMPUTED_VALUE""")," ")</f>
        <v> </v>
      </c>
      <c r="J1729" s="44" t="str">
        <f>IFERROR(__xludf.DUMMYFUNCTION("""COMPUTED_VALUE"""),"")</f>
        <v/>
      </c>
      <c r="K1729" s="42" t="str">
        <f>IFERROR(__xludf.DUMMYFUNCTION("""COMPUTED_VALUE"""),"🔍 BUSCAR PACIENTES")</f>
        <v>🔍 BUSCAR PACIENTES</v>
      </c>
    </row>
    <row r="1730">
      <c r="A1730" s="44">
        <v>1729.0</v>
      </c>
      <c r="B1730" s="44" t="str">
        <f>IFERROR(__xludf.DUMMYFUNCTION("""COMPUTED_VALUE"""),"Campo de Golf Playa los Cocos")</f>
        <v>Campo de Golf Playa los Cocos</v>
      </c>
      <c r="C1730" s="45" t="str">
        <f>IFERROR(__xludf.DUMMYFUNCTION("""COMPUTED_VALUE"""),"Domingo Blanco Verdugo")</f>
        <v>Domingo Blanco Verdugo</v>
      </c>
      <c r="D1730" s="44" t="str">
        <f>IFERROR(__xludf.DUMMYFUNCTION("""COMPUTED_VALUE"""),"")</f>
        <v/>
      </c>
      <c r="E1730" s="44" t="str">
        <f>IFERROR(__xludf.DUMMYFUNCTION("""COMPUTED_VALUE"""),"")</f>
        <v/>
      </c>
      <c r="F1730" s="44" t="str">
        <f>IFERROR(__xludf.DUMMYFUNCTION("""COMPUTED_VALUE"""),"")</f>
        <v/>
      </c>
      <c r="G1730" s="44" t="str">
        <f>IFERROR(__xludf.DUMMYFUNCTION("""COMPUTED_VALUE"""),"")</f>
        <v/>
      </c>
      <c r="H1730" s="44" t="str">
        <f>IFERROR(__xludf.DUMMYFUNCTION("""COMPUTED_VALUE"""),"")</f>
        <v/>
      </c>
      <c r="I1730" s="44" t="str">
        <f>IFERROR(__xludf.DUMMYFUNCTION("""COMPUTED_VALUE"""),"Nombre cortado en el borde de la foto original")</f>
        <v>Nombre cortado en el borde de la foto original</v>
      </c>
      <c r="J1730" s="44" t="str">
        <f>IFERROR(__xludf.DUMMYFUNCTION("""COMPUTED_VALUE"""),"")</f>
        <v/>
      </c>
      <c r="K1730" s="42" t="str">
        <f>IFERROR(__xludf.DUMMYFUNCTION("""COMPUTED_VALUE"""),"Campo de Golf Playa los Cocos")</f>
        <v>Campo de Golf Playa los Cocos</v>
      </c>
    </row>
    <row r="1731">
      <c r="A1731" s="44">
        <v>1730.0</v>
      </c>
      <c r="B1731" s="44" t="str">
        <f>IFERROR(__xludf.DUMMYFUNCTION("""COMPUTED_VALUE"""),"H. Jose Maria Vargas LG")</f>
        <v>H. Jose Maria Vargas LG</v>
      </c>
      <c r="C1731" s="45" t="str">
        <f>IFERROR(__xludf.DUMMYFUNCTION("""COMPUTED_VALUE"""),"DOMINGUEZ ANZUL")</f>
        <v>DOMINGUEZ ANZUL</v>
      </c>
      <c r="D1731" s="44" t="str">
        <f>IFERROR(__xludf.DUMMYFUNCTION("""COMPUTED_VALUE""")," ")</f>
        <v> </v>
      </c>
      <c r="E1731" s="44" t="str">
        <f>IFERROR(__xludf.DUMMYFUNCTION("""COMPUTED_VALUE"""),"")</f>
        <v/>
      </c>
      <c r="F1731" s="44" t="str">
        <f>IFERROR(__xludf.DUMMYFUNCTION("""COMPUTED_VALUE"""),"")</f>
        <v/>
      </c>
      <c r="G1731" s="44" t="str">
        <f>IFERROR(__xludf.DUMMYFUNCTION("""COMPUTED_VALUE""")," ")</f>
        <v> </v>
      </c>
      <c r="H1731" s="44" t="str">
        <f>IFERROR(__xludf.DUMMYFUNCTION("""COMPUTED_VALUE""")," ")</f>
        <v> </v>
      </c>
      <c r="I1731" s="44" t="str">
        <f>IFERROR(__xludf.DUMMYFUNCTION("""COMPUTED_VALUE""")," ")</f>
        <v> </v>
      </c>
      <c r="J1731" s="44" t="str">
        <f>IFERROR(__xludf.DUMMYFUNCTION("""COMPUTED_VALUE"""),"")</f>
        <v/>
      </c>
      <c r="K1731" s="42" t="str">
        <f>IFERROR(__xludf.DUMMYFUNCTION("""COMPUTED_VALUE"""),"H. Jose Maria Vargas LG")</f>
        <v>H. Jose Maria Vargas LG</v>
      </c>
    </row>
    <row r="1732">
      <c r="A1732" s="44">
        <v>1731.0</v>
      </c>
      <c r="B1732" s="44" t="str">
        <f>IFERROR(__xludf.DUMMYFUNCTION("""COMPUTED_VALUE"""),"Hospital Domingo Luciani")</f>
        <v>Hospital Domingo Luciani</v>
      </c>
      <c r="C1732" s="45" t="str">
        <f>IFERROR(__xludf.DUMMYFUNCTION("""COMPUTED_VALUE"""),"DONACIMIENTO SEBASTIAN")</f>
        <v>DONACIMIENTO SEBASTIAN</v>
      </c>
      <c r="D1732" s="44">
        <f>IFERROR(__xludf.DUMMYFUNCTION("""COMPUTED_VALUE"""),16.0)</f>
        <v>16</v>
      </c>
      <c r="E1732" s="44" t="str">
        <f>IFERROR(__xludf.DUMMYFUNCTION("""COMPUTED_VALUE"""),"")</f>
        <v/>
      </c>
      <c r="F1732" s="44" t="str">
        <f>IFERROR(__xludf.DUMMYFUNCTION("""COMPUTED_VALUE"""),"")</f>
        <v/>
      </c>
      <c r="G1732" s="44" t="str">
        <f>IFERROR(__xludf.DUMMYFUNCTION("""COMPUTED_VALUE""")," ")</f>
        <v> </v>
      </c>
      <c r="H1732" s="44" t="str">
        <f>IFERROR(__xludf.DUMMYFUNCTION("""COMPUTED_VALUE""")," ")</f>
        <v> </v>
      </c>
      <c r="I1732" s="44" t="str">
        <f>IFERROR(__xludf.DUMMYFUNCTION("""COMPUTED_VALUE""")," ")</f>
        <v> </v>
      </c>
      <c r="J1732" s="44" t="str">
        <f>IFERROR(__xludf.DUMMYFUNCTION("""COMPUTED_VALUE"""),"")</f>
        <v/>
      </c>
      <c r="K1732" s="42" t="str">
        <f>IFERROR(__xludf.DUMMYFUNCTION("""COMPUTED_VALUE"""),"🔍 BUSCAR PACIENTES")</f>
        <v>🔍 BUSCAR PACIENTES</v>
      </c>
    </row>
    <row r="1733">
      <c r="A1733" s="44">
        <v>1732.0</v>
      </c>
      <c r="B1733" s="44" t="str">
        <f>IFERROR(__xludf.DUMMYFUNCTION("""COMPUTED_VALUE"""),"Hospital Pérez Carreño")</f>
        <v>Hospital Pérez Carreño</v>
      </c>
      <c r="C1733" s="45" t="str">
        <f>IFERROR(__xludf.DUMMYFUNCTION("""COMPUTED_VALUE"""),"Donato Galas Marino Magdalena")</f>
        <v>Donato Galas Marino Magdalena</v>
      </c>
      <c r="D1733" s="44"/>
      <c r="E1733" s="44" t="str">
        <f>IFERROR(__xludf.DUMMYFUNCTION("""COMPUTED_VALUE"""),"")</f>
        <v/>
      </c>
      <c r="F1733" s="44" t="str">
        <f>IFERROR(__xludf.DUMMYFUNCTION("""COMPUTED_VALUE"""),"")</f>
        <v/>
      </c>
      <c r="G1733" s="44" t="str">
        <f>IFERROR(__xludf.DUMMYFUNCTION("""COMPUTED_VALUE"""),"Traslados con destino asignado")</f>
        <v>Traslados con destino asignado</v>
      </c>
      <c r="H1733" s="44" t="str">
        <f>IFERROR(__xludf.DUMMYFUNCTION("""COMPUTED_VALUE"""),"Hospital Miguel Perez Carreño")</f>
        <v>Hospital Miguel Perez Carreño</v>
      </c>
      <c r="I1733" s="44"/>
      <c r="J1733" s="44" t="str">
        <f>IFERROR(__xludf.DUMMYFUNCTION("""COMPUTED_VALUE"""),"26/6/26")</f>
        <v>26/6/26</v>
      </c>
      <c r="K1733" s="42" t="str">
        <f>IFERROR(__xludf.DUMMYFUNCTION("""COMPUTED_VALUE"""),"Hospital Pérez Carreño")</f>
        <v>Hospital Pérez Carreño</v>
      </c>
    </row>
    <row r="1734">
      <c r="A1734" s="44">
        <v>1733.0</v>
      </c>
      <c r="B1734" s="44" t="str">
        <f>IFERROR(__xludf.DUMMYFUNCTION("""COMPUTED_VALUE"""),"Hospital Pérez Carreño")</f>
        <v>Hospital Pérez Carreño</v>
      </c>
      <c r="C1734" s="45" t="str">
        <f>IFERROR(__xludf.DUMMYFUNCTION("""COMPUTED_VALUE"""),"DORANTE ERIC")</f>
        <v>DORANTE ERIC</v>
      </c>
      <c r="D1734" s="44">
        <f>IFERROR(__xludf.DUMMYFUNCTION("""COMPUTED_VALUE"""),15.0)</f>
        <v>15</v>
      </c>
      <c r="E1734" s="44" t="str">
        <f>IFERROR(__xludf.DUMMYFUNCTION("""COMPUTED_VALUE"""),"")</f>
        <v/>
      </c>
      <c r="F1734" s="44" t="str">
        <f>IFERROR(__xludf.DUMMYFUNCTION("""COMPUTED_VALUE"""),"")</f>
        <v/>
      </c>
      <c r="G1734" s="44" t="str">
        <f>IFERROR(__xludf.DUMMYFUNCTION("""COMPUTED_VALUE""")," ")</f>
        <v> </v>
      </c>
      <c r="H1734" s="44" t="str">
        <f>IFERROR(__xludf.DUMMYFUNCTION("""COMPUTED_VALUE""")," ")</f>
        <v> </v>
      </c>
      <c r="I1734" s="44" t="str">
        <f>IFERROR(__xludf.DUMMYFUNCTION("""COMPUTED_VALUE"""),"Traumachok – Triaje; La Guaira | Traumashock")</f>
        <v>Traumachok – Triaje; La Guaira | Traumashock</v>
      </c>
      <c r="J1734" s="44" t="str">
        <f>IFERROR(__xludf.DUMMYFUNCTION("""COMPUTED_VALUE"""),"25/06/2026")</f>
        <v>25/06/2026</v>
      </c>
      <c r="K1734" s="42" t="str">
        <f>IFERROR(__xludf.DUMMYFUNCTION("""COMPUTED_VALUE"""),"Hospital Pérez Carreño")</f>
        <v>Hospital Pérez Carreño</v>
      </c>
    </row>
    <row r="1735">
      <c r="A1735" s="44">
        <v>1734.0</v>
      </c>
      <c r="B1735" s="44" t="str">
        <f>IFERROR(__xludf.DUMMYFUNCTION("""COMPUTED_VALUE"""),"H. Jose Maria Vargas LG")</f>
        <v>H. Jose Maria Vargas LG</v>
      </c>
      <c r="C1735" s="45" t="str">
        <f>IFERROR(__xludf.DUMMYFUNCTION("""COMPUTED_VALUE"""),"DORANTE ERIC / DORANTE ERICK")</f>
        <v>DORANTE ERIC / DORANTE ERICK</v>
      </c>
      <c r="D1735" s="44">
        <f>IFERROR(__xludf.DUMMYFUNCTION("""COMPUTED_VALUE"""),13.0)</f>
        <v>13</v>
      </c>
      <c r="E1735" s="44" t="str">
        <f>IFERROR(__xludf.DUMMYFUNCTION("""COMPUTED_VALUE"""),"")</f>
        <v/>
      </c>
      <c r="F1735" s="44" t="str">
        <f>IFERROR(__xludf.DUMMYFUNCTION("""COMPUTED_VALUE"""),"")</f>
        <v/>
      </c>
      <c r="G1735" s="44" t="str">
        <f>IFERROR(__xludf.DUMMYFUNCTION("""COMPUTED_VALUE""")," ")</f>
        <v> </v>
      </c>
      <c r="H1735" s="44" t="str">
        <f>IFERROR(__xludf.DUMMYFUNCTION("""COMPUTED_VALUE"""),"Tanaguarena")</f>
        <v>Tanaguarena</v>
      </c>
      <c r="I1735" s="44" t="str">
        <f>IFERROR(__xludf.DUMMYFUNCTION("""COMPUTED_VALUE""")," ")</f>
        <v> </v>
      </c>
      <c r="J1735" s="44" t="str">
        <f>IFERROR(__xludf.DUMMYFUNCTION("""COMPUTED_VALUE"""),"")</f>
        <v/>
      </c>
      <c r="K1735" s="42" t="str">
        <f>IFERROR(__xludf.DUMMYFUNCTION("""COMPUTED_VALUE"""),"H. Jose Maria Vargas LG")</f>
        <v>H. Jose Maria Vargas LG</v>
      </c>
    </row>
    <row r="1736">
      <c r="A1736" s="44">
        <v>1735.0</v>
      </c>
      <c r="B1736" s="44" t="str">
        <f>IFERROR(__xludf.DUMMYFUNCTION("""COMPUTED_VALUE"""),"La Guaira Sin Hospital")</f>
        <v>La Guaira Sin Hospital</v>
      </c>
      <c r="C1736" s="45" t="str">
        <f>IFERROR(__xludf.DUMMYFUNCTION("""COMPUTED_VALUE"""),"Dorante Erick")</f>
        <v>Dorante Erick</v>
      </c>
      <c r="D1736" s="44" t="str">
        <f>IFERROR(__xludf.DUMMYFUNCTION("""COMPUTED_VALUE"""),"")</f>
        <v/>
      </c>
      <c r="E1736" s="44" t="str">
        <f>IFERROR(__xludf.DUMMYFUNCTION("""COMPUTED_VALUE"""),"")</f>
        <v/>
      </c>
      <c r="F1736" s="44" t="str">
        <f>IFERROR(__xludf.DUMMYFUNCTION("""COMPUTED_VALUE"""),"")</f>
        <v/>
      </c>
      <c r="G1736" s="44" t="str">
        <f>IFERROR(__xludf.DUMMYFUNCTION("""COMPUTED_VALUE"""),"")</f>
        <v/>
      </c>
      <c r="H1736" s="44" t="str">
        <f>IFERROR(__xludf.DUMMYFUNCTION("""COMPUTED_VALUE"""),"Tanaguarenas - La Guaira")</f>
        <v>Tanaguarenas - La Guaira</v>
      </c>
      <c r="I1736" s="44" t="str">
        <f>IFERROR(__xludf.DUMMYFUNCTION("""COMPUTED_VALUE"""),"Listas con ubicación")</f>
        <v>Listas con ubicación</v>
      </c>
      <c r="J1736" s="44" t="str">
        <f>IFERROR(__xludf.DUMMYFUNCTION("""COMPUTED_VALUE"""),"")</f>
        <v/>
      </c>
      <c r="K1736" s="42" t="str">
        <f>IFERROR(__xludf.DUMMYFUNCTION("""COMPUTED_VALUE"""),"La Guaira Sin Hospital")</f>
        <v>La Guaira Sin Hospital</v>
      </c>
    </row>
    <row r="1737">
      <c r="A1737" s="44">
        <v>1736.0</v>
      </c>
      <c r="B1737" s="44" t="str">
        <f>IFERROR(__xludf.DUMMYFUNCTION("""COMPUTED_VALUE"""),"Hospital Domingo Luciani")</f>
        <v>Hospital Domingo Luciani</v>
      </c>
      <c r="C1737" s="45" t="str">
        <f>IFERROR(__xludf.DUMMYFUNCTION("""COMPUTED_VALUE"""),"DORIA EKARLE")</f>
        <v>DORIA EKARLE</v>
      </c>
      <c r="D1737" s="44">
        <f>IFERROR(__xludf.DUMMYFUNCTION("""COMPUTED_VALUE"""),23.0)</f>
        <v>23</v>
      </c>
      <c r="E1737" s="44" t="str">
        <f>IFERROR(__xludf.DUMMYFUNCTION("""COMPUTED_VALUE"""),"")</f>
        <v/>
      </c>
      <c r="F1737" s="44" t="str">
        <f>IFERROR(__xludf.DUMMYFUNCTION("""COMPUTED_VALUE"""),"")</f>
        <v/>
      </c>
      <c r="G1737" s="44" t="str">
        <f>IFERROR(__xludf.DUMMYFUNCTION("""COMPUTED_VALUE""")," ")</f>
        <v> </v>
      </c>
      <c r="H1737" s="44" t="str">
        <f>IFERROR(__xludf.DUMMYFUNCTION("""COMPUTED_VALUE""")," ")</f>
        <v> </v>
      </c>
      <c r="I1737" s="44" t="str">
        <f>IFERROR(__xludf.DUMMYFUNCTION("""COMPUTED_VALUE"""),"Internado; Accidente en moto")</f>
        <v>Internado; Accidente en moto</v>
      </c>
      <c r="J1737" s="44" t="str">
        <f>IFERROR(__xludf.DUMMYFUNCTION("""COMPUTED_VALUE"""),"")</f>
        <v/>
      </c>
      <c r="K1737" s="42" t="str">
        <f>IFERROR(__xludf.DUMMYFUNCTION("""COMPUTED_VALUE"""),"🔍 BUSCAR PACIENTES")</f>
        <v>🔍 BUSCAR PACIENTES</v>
      </c>
    </row>
    <row r="1738">
      <c r="A1738" s="44">
        <v>1737.0</v>
      </c>
      <c r="B1738" s="44" t="str">
        <f>IFERROR(__xludf.DUMMYFUNCTION("""COMPUTED_VALUE"""),"Hospital Domingo Luciani")</f>
        <v>Hospital Domingo Luciani</v>
      </c>
      <c r="C1738" s="45" t="str">
        <f>IFERROR(__xludf.DUMMYFUNCTION("""COMPUTED_VALUE"""),"DORIA SCARLET / DORIA KARLE / DORIA BKARLET")</f>
        <v>DORIA SCARLET / DORIA KARLE / DORIA BKARLET</v>
      </c>
      <c r="D1738" s="44" t="str">
        <f>IFERROR(__xludf.DUMMYFUNCTION("""COMPUTED_VALUE""")," ")</f>
        <v> </v>
      </c>
      <c r="E1738" s="44" t="str">
        <f>IFERROR(__xludf.DUMMYFUNCTION("""COMPUTED_VALUE"""),"")</f>
        <v/>
      </c>
      <c r="F1738" s="44" t="str">
        <f>IFERROR(__xludf.DUMMYFUNCTION("""COMPUTED_VALUE"""),"")</f>
        <v/>
      </c>
      <c r="G1738" s="44" t="str">
        <f>IFERROR(__xludf.DUMMYFUNCTION("""COMPUTED_VALUE""")," ")</f>
        <v> </v>
      </c>
      <c r="H1738" s="44" t="str">
        <f>IFERROR(__xludf.DUMMYFUNCTION("""COMPUTED_VALUE""")," ")</f>
        <v> </v>
      </c>
      <c r="I1738" s="44" t="str">
        <f>IFERROR(__xludf.DUMMYFUNCTION("""COMPUTED_VALUE"""),"Politrauma Emerg. Nueva")</f>
        <v>Politrauma Emerg. Nueva</v>
      </c>
      <c r="J1738" s="44" t="str">
        <f>IFERROR(__xludf.DUMMYFUNCTION("""COMPUTED_VALUE"""),"")</f>
        <v/>
      </c>
      <c r="K1738" s="42" t="str">
        <f>IFERROR(__xludf.DUMMYFUNCTION("""COMPUTED_VALUE"""),"🔍 BUSCAR PACIENTES")</f>
        <v>🔍 BUSCAR PACIENTES</v>
      </c>
    </row>
    <row r="1739">
      <c r="A1739" s="44">
        <v>1738.0</v>
      </c>
      <c r="B1739" s="44" t="str">
        <f>IFERROR(__xludf.DUMMYFUNCTION("""COMPUTED_VALUE"""),"Hospital Domingo Luciani")</f>
        <v>Hospital Domingo Luciani</v>
      </c>
      <c r="C1739" s="45" t="str">
        <f>IFERROR(__xludf.DUMMYFUNCTION("""COMPUTED_VALUE"""),"Doris Arreta")</f>
        <v>Doris Arreta</v>
      </c>
      <c r="D1739" s="44">
        <f>IFERROR(__xludf.DUMMYFUNCTION("""COMPUTED_VALUE"""),65.0)</f>
        <v>65</v>
      </c>
      <c r="E1739" s="44" t="str">
        <f>IFERROR(__xludf.DUMMYFUNCTION("""COMPUTED_VALUE"""),"")</f>
        <v/>
      </c>
      <c r="F1739" s="44" t="str">
        <f>IFERROR(__xludf.DUMMYFUNCTION("""COMPUTED_VALUE"""),"")</f>
        <v/>
      </c>
      <c r="G1739" s="44"/>
      <c r="H1739" s="44"/>
      <c r="I1739" s="44"/>
      <c r="J1739" s="44" t="str">
        <f>IFERROR(__xludf.DUMMYFUNCTION("""COMPUTED_VALUE"""),"")</f>
        <v/>
      </c>
      <c r="K1739" s="42" t="str">
        <f>IFERROR(__xludf.DUMMYFUNCTION("""COMPUTED_VALUE"""),"Hospital Domingo Luciani")</f>
        <v>Hospital Domingo Luciani</v>
      </c>
    </row>
    <row r="1740">
      <c r="A1740" s="44">
        <v>1739.0</v>
      </c>
      <c r="B1740" s="44" t="str">
        <f>IFERROR(__xludf.DUMMYFUNCTION("""COMPUTED_VALUE"""),"Hospital Pérez Carreño")</f>
        <v>Hospital Pérez Carreño</v>
      </c>
      <c r="C1740" s="45" t="str">
        <f>IFERROR(__xludf.DUMMYFUNCTION("""COMPUTED_VALUE"""),"Dosbico Mateu")</f>
        <v>Dosbico Mateu</v>
      </c>
      <c r="D1740" s="44"/>
      <c r="E1740" s="44" t="str">
        <f>IFERROR(__xludf.DUMMYFUNCTION("""COMPUTED_VALUE"""),"")</f>
        <v/>
      </c>
      <c r="F1740" s="44" t="str">
        <f>IFERROR(__xludf.DUMMYFUNCTION("""COMPUTED_VALUE"""),"")</f>
        <v/>
      </c>
      <c r="G1740" s="44" t="str">
        <f>IFERROR(__xludf.DUMMYFUNCTION("""COMPUTED_VALUE"""),"Traslados con destino asignado")</f>
        <v>Traslados con destino asignado</v>
      </c>
      <c r="H1740" s="44" t="str">
        <f>IFERROR(__xludf.DUMMYFUNCTION("""COMPUTED_VALUE"""),"Hospital Miguel Perez Carreño")</f>
        <v>Hospital Miguel Perez Carreño</v>
      </c>
      <c r="I1740" s="44"/>
      <c r="J1740" s="44" t="str">
        <f>IFERROR(__xludf.DUMMYFUNCTION("""COMPUTED_VALUE"""),"26/6/26")</f>
        <v>26/6/26</v>
      </c>
      <c r="K1740" s="42" t="str">
        <f>IFERROR(__xludf.DUMMYFUNCTION("""COMPUTED_VALUE"""),"Hospital Pérez Carreño")</f>
        <v>Hospital Pérez Carreño</v>
      </c>
    </row>
    <row r="1741">
      <c r="A1741" s="44">
        <v>1740.0</v>
      </c>
      <c r="B1741" s="44" t="str">
        <f>IFERROR(__xludf.DUMMYFUNCTION("""COMPUTED_VALUE"""),"Campo de Golf Playa los Cocos")</f>
        <v>Campo de Golf Playa los Cocos</v>
      </c>
      <c r="C1741" s="45" t="str">
        <f>IFERROR(__xludf.DUMMYFUNCTION("""COMPUTED_VALUE"""),"Douglas Castillo")</f>
        <v>Douglas Castillo</v>
      </c>
      <c r="D1741" s="44" t="str">
        <f>IFERROR(__xludf.DUMMYFUNCTION("""COMPUTED_VALUE"""),"")</f>
        <v/>
      </c>
      <c r="E1741" s="44" t="str">
        <f>IFERROR(__xludf.DUMMYFUNCTION("""COMPUTED_VALUE"""),"")</f>
        <v/>
      </c>
      <c r="F1741" s="44" t="str">
        <f>IFERROR(__xludf.DUMMYFUNCTION("""COMPUTED_VALUE"""),"")</f>
        <v/>
      </c>
      <c r="G1741" s="44" t="str">
        <f>IFERROR(__xludf.DUMMYFUNCTION("""COMPUTED_VALUE"""),"")</f>
        <v/>
      </c>
      <c r="H1741" s="44" t="str">
        <f>IFERROR(__xludf.DUMMYFUNCTION("""COMPUTED_VALUE"""),"")</f>
        <v/>
      </c>
      <c r="I1741" s="44"/>
      <c r="J1741" s="44" t="str">
        <f>IFERROR(__xludf.DUMMYFUNCTION("""COMPUTED_VALUE"""),"")</f>
        <v/>
      </c>
      <c r="K1741" s="42" t="str">
        <f>IFERROR(__xludf.DUMMYFUNCTION("""COMPUTED_VALUE"""),"Campo de Golf Playa los Cocos")</f>
        <v>Campo de Golf Playa los Cocos</v>
      </c>
    </row>
    <row r="1742">
      <c r="A1742" s="44">
        <v>1741.0</v>
      </c>
      <c r="B1742" s="44" t="str">
        <f>IFERROR(__xludf.DUMMYFUNCTION("""COMPUTED_VALUE"""),"Hospital Pérez Carreño")</f>
        <v>Hospital Pérez Carreño</v>
      </c>
      <c r="C1742" s="45" t="str">
        <f>IFERROR(__xludf.DUMMYFUNCTION("""COMPUTED_VALUE"""),"DRANA EDUAR")</f>
        <v>DRANA EDUAR</v>
      </c>
      <c r="D1742" s="44" t="str">
        <f>IFERROR(__xludf.DUMMYFUNCTION("""COMPUTED_VALUE""")," ")</f>
        <v> </v>
      </c>
      <c r="E1742" s="44" t="str">
        <f>IFERROR(__xludf.DUMMYFUNCTION("""COMPUTED_VALUE"""),"")</f>
        <v/>
      </c>
      <c r="F1742" s="44" t="str">
        <f>IFERROR(__xludf.DUMMYFUNCTION("""COMPUTED_VALUE"""),"")</f>
        <v/>
      </c>
      <c r="G1742" s="44" t="str">
        <f>IFERROR(__xludf.DUMMYFUNCTION("""COMPUTED_VALUE""")," ")</f>
        <v> </v>
      </c>
      <c r="H1742" s="44" t="str">
        <f>IFERROR(__xludf.DUMMYFUNCTION("""COMPUTED_VALUE""")," ")</f>
        <v> </v>
      </c>
      <c r="I1742" s="44" t="str">
        <f>IFERROR(__xludf.DUMMYFUNCTION("""COMPUTED_VALUE"""),"Sin cédula")</f>
        <v>Sin cédula</v>
      </c>
      <c r="J1742" s="44" t="str">
        <f>IFERROR(__xludf.DUMMYFUNCTION("""COMPUTED_VALUE"""),"25/06/2026")</f>
        <v>25/06/2026</v>
      </c>
      <c r="K1742" s="42" t="str">
        <f>IFERROR(__xludf.DUMMYFUNCTION("""COMPUTED_VALUE"""),"Hospital Pérez Carreño")</f>
        <v>Hospital Pérez Carreño</v>
      </c>
    </row>
    <row r="1743">
      <c r="A1743" s="44">
        <v>1742.0</v>
      </c>
      <c r="B1743" s="44" t="str">
        <f>IFERROR(__xludf.DUMMYFUNCTION("""COMPUTED_VALUE"""),"Hospital Vargas de Caracas")</f>
        <v>Hospital Vargas de Caracas</v>
      </c>
      <c r="C1743" s="45" t="str">
        <f>IFERROR(__xludf.DUMMYFUNCTION("""COMPUTED_VALUE"""),"DUARTE ES TLENY")</f>
        <v>DUARTE ES TLENY</v>
      </c>
      <c r="D1743" s="44">
        <f>IFERROR(__xludf.DUMMYFUNCTION("""COMPUTED_VALUE"""),34.0)</f>
        <v>34</v>
      </c>
      <c r="E1743" s="44" t="str">
        <f>IFERROR(__xludf.DUMMYFUNCTION("""COMPUTED_VALUE"""),"")</f>
        <v/>
      </c>
      <c r="F1743" s="44" t="str">
        <f>IFERROR(__xludf.DUMMYFUNCTION("""COMPUTED_VALUE""")," ")</f>
        <v> </v>
      </c>
      <c r="G1743" s="44" t="str">
        <f>IFERROR(__xludf.DUMMYFUNCTION("""COMPUTED_VALUE"""),"")</f>
        <v/>
      </c>
      <c r="H1743" s="44" t="str">
        <f>IFERROR(__xludf.DUMMYFUNCTION("""COMPUTED_VALUE"""),"La Guaira")</f>
        <v>La Guaira</v>
      </c>
      <c r="I1743" s="44" t="str">
        <f>IFERROR(__xludf.DUMMYFUNCTION("""COMPUTED_VALUE"""),"UPT")</f>
        <v>UPT</v>
      </c>
      <c r="J1743" s="44" t="str">
        <f>IFERROR(__xludf.DUMMYFUNCTION("""COMPUTED_VALUE"""),"")</f>
        <v/>
      </c>
      <c r="K1743" s="42" t="str">
        <f>IFERROR(__xludf.DUMMYFUNCTION("""COMPUTED_VALUE"""),"Hospital Vargas de Caracas")</f>
        <v>Hospital Vargas de Caracas</v>
      </c>
    </row>
    <row r="1744">
      <c r="A1744" s="44">
        <v>1743.0</v>
      </c>
      <c r="B1744" s="44" t="str">
        <f>IFERROR(__xludf.DUMMYFUNCTION("""COMPUTED_VALUE"""),"HOSPITAL VARGAS")</f>
        <v>HOSPITAL VARGAS</v>
      </c>
      <c r="C1744" s="45" t="str">
        <f>IFERROR(__xludf.DUMMYFUNCTION("""COMPUTED_VALUE"""),"Dubraska González")</f>
        <v>Dubraska González</v>
      </c>
      <c r="D1744" s="44"/>
      <c r="E1744" s="44" t="str">
        <f>IFERROR(__xludf.DUMMYFUNCTION("""COMPUTED_VALUE"""),"")</f>
        <v/>
      </c>
      <c r="F1744" s="44" t="str">
        <f>IFERROR(__xludf.DUMMYFUNCTION("""COMPUTED_VALUE"""),"")</f>
        <v/>
      </c>
      <c r="G1744" s="44" t="str">
        <f>IFERROR(__xludf.DUMMYFUNCTION("""COMPUTED_VALUE"""),"")</f>
        <v/>
      </c>
      <c r="H1744" s="44" t="str">
        <f>IFERROR(__xludf.DUMMYFUNCTION("""COMPUTED_VALUE"""),"")</f>
        <v/>
      </c>
      <c r="I1744" s="44" t="str">
        <f>IFERROR(__xludf.DUMMYFUNCTION("""COMPUTED_VALUE"""),"Herido / atendido")</f>
        <v>Herido / atendido</v>
      </c>
      <c r="J1744" s="44" t="str">
        <f>IFERROR(__xludf.DUMMYFUNCTION("""COMPUTED_VALUE"""),"24.06.2026 ")</f>
        <v>24.06.2026 </v>
      </c>
      <c r="K1744" s="42" t="str">
        <f>IFERROR(__xludf.DUMMYFUNCTION("""COMPUTED_VALUE"""),"HOSPITAL VARGAS")</f>
        <v>HOSPITAL VARGAS</v>
      </c>
    </row>
    <row r="1745">
      <c r="A1745" s="44">
        <v>1744.0</v>
      </c>
      <c r="B1745" s="44" t="str">
        <f>IFERROR(__xludf.DUMMYFUNCTION("""COMPUTED_VALUE"""),"Hospital Domingo Luciani")</f>
        <v>Hospital Domingo Luciani</v>
      </c>
      <c r="C1745" s="45" t="str">
        <f>IFERROR(__xludf.DUMMYFUNCTION("""COMPUTED_VALUE"""),"DUCE SAMUEL")</f>
        <v>DUCE SAMUEL</v>
      </c>
      <c r="D1745" s="44">
        <f>IFERROR(__xludf.DUMMYFUNCTION("""COMPUTED_VALUE"""),25.0)</f>
        <v>25</v>
      </c>
      <c r="E1745" s="44" t="str">
        <f>IFERROR(__xludf.DUMMYFUNCTION("""COMPUTED_VALUE"""),"")</f>
        <v/>
      </c>
      <c r="F1745" s="44" t="str">
        <f>IFERROR(__xludf.DUMMYFUNCTION("""COMPUTED_VALUE"""),"")</f>
        <v/>
      </c>
      <c r="G1745" s="44" t="str">
        <f>IFERROR(__xludf.DUMMYFUNCTION("""COMPUTED_VALUE""")," ")</f>
        <v> </v>
      </c>
      <c r="H1745" s="44" t="str">
        <f>IFERROR(__xludf.DUMMYFUNCTION("""COMPUTED_VALUE"""),"La Guaira")</f>
        <v>La Guaira</v>
      </c>
      <c r="I1745" s="44" t="str">
        <f>IFERROR(__xludf.DUMMYFUNCTION("""COMPUTED_VALUE"""),"Ingresos 6am-9:20pm")</f>
        <v>Ingresos 6am-9:20pm</v>
      </c>
      <c r="J1745" s="44" t="str">
        <f>IFERROR(__xludf.DUMMYFUNCTION("""COMPUTED_VALUE"""),"")</f>
        <v/>
      </c>
      <c r="K1745" s="42" t="str">
        <f>IFERROR(__xludf.DUMMYFUNCTION("""COMPUTED_VALUE"""),"🔍 BUSCAR PACIENTES")</f>
        <v>🔍 BUSCAR PACIENTES</v>
      </c>
    </row>
    <row r="1746">
      <c r="A1746" s="44">
        <v>1745.0</v>
      </c>
      <c r="B1746" s="44" t="str">
        <f>IFERROR(__xludf.DUMMYFUNCTION("""COMPUTED_VALUE"""),"Hospital Domingo Luciani")</f>
        <v>Hospital Domingo Luciani</v>
      </c>
      <c r="C1746" s="45" t="str">
        <f>IFERROR(__xludf.DUMMYFUNCTION("""COMPUTED_VALUE"""),"DUGARTE ESTEFANY")</f>
        <v>DUGARTE ESTEFANY</v>
      </c>
      <c r="D1746" s="44">
        <f>IFERROR(__xludf.DUMMYFUNCTION("""COMPUTED_VALUE"""),34.0)</f>
        <v>34</v>
      </c>
      <c r="E1746" s="44" t="str">
        <f>IFERROR(__xludf.DUMMYFUNCTION("""COMPUTED_VALUE"""),"")</f>
        <v/>
      </c>
      <c r="F1746" s="44" t="str">
        <f>IFERROR(__xludf.DUMMYFUNCTION("""COMPUTED_VALUE"""),"")</f>
        <v/>
      </c>
      <c r="G1746" s="44" t="str">
        <f>IFERROR(__xludf.DUMMYFUNCTION("""COMPUTED_VALUE""")," ")</f>
        <v> </v>
      </c>
      <c r="H1746" s="44" t="str">
        <f>IFERROR(__xludf.DUMMYFUNCTION("""COMPUTED_VALUE""")," ")</f>
        <v> </v>
      </c>
      <c r="I1746" s="44" t="str">
        <f>IFERROR(__xludf.DUMMYFUNCTION("""COMPUTED_VALUE"""),"Internado")</f>
        <v>Internado</v>
      </c>
      <c r="J1746" s="44" t="str">
        <f>IFERROR(__xludf.DUMMYFUNCTION("""COMPUTED_VALUE"""),"")</f>
        <v/>
      </c>
      <c r="K1746" s="42" t="str">
        <f>IFERROR(__xludf.DUMMYFUNCTION("""COMPUTED_VALUE"""),"🔍 BUSCAR PACIENTES")</f>
        <v>🔍 BUSCAR PACIENTES</v>
      </c>
    </row>
    <row r="1747">
      <c r="A1747" s="44">
        <v>1746.0</v>
      </c>
      <c r="B1747" s="44" t="str">
        <f>IFERROR(__xludf.DUMMYFUNCTION("""COMPUTED_VALUE"""),"Hospital Pérez Carreño")</f>
        <v>Hospital Pérez Carreño</v>
      </c>
      <c r="C1747" s="45" t="str">
        <f>IFERROR(__xludf.DUMMYFUNCTION("""COMPUTED_VALUE"""),"Duglas Parra")</f>
        <v>Duglas Parra</v>
      </c>
      <c r="D1747" s="44" t="str">
        <f>IFERROR(__xludf.DUMMYFUNCTION("""COMPUTED_VALUE"""),"35 años")</f>
        <v>35 años</v>
      </c>
      <c r="E1747" s="44" t="str">
        <f>IFERROR(__xludf.DUMMYFUNCTION("""COMPUTED_VALUE"""),"")</f>
        <v/>
      </c>
      <c r="F1747" s="44" t="str">
        <f>IFERROR(__xludf.DUMMYFUNCTION("""COMPUTED_VALUE"""),"")</f>
        <v/>
      </c>
      <c r="G1747" s="44" t="str">
        <f>IFERROR(__xludf.DUMMYFUNCTION("""COMPUTED_VALUE"""),"Traumashock ")</f>
        <v>Traumashock </v>
      </c>
      <c r="H1747" s="44" t="str">
        <f>IFERROR(__xludf.DUMMYFUNCTION("""COMPUTED_VALUE"""),"Hospital Miguel Perez Carreño")</f>
        <v>Hospital Miguel Perez Carreño</v>
      </c>
      <c r="I1747" s="44"/>
      <c r="J1747" s="44" t="str">
        <f>IFERROR(__xludf.DUMMYFUNCTION("""COMPUTED_VALUE"""),"26/6/26")</f>
        <v>26/6/26</v>
      </c>
      <c r="K1747" s="42" t="str">
        <f>IFERROR(__xludf.DUMMYFUNCTION("""COMPUTED_VALUE"""),"Hospital Pérez Carreño")</f>
        <v>Hospital Pérez Carreño</v>
      </c>
    </row>
    <row r="1748">
      <c r="A1748" s="44">
        <v>1747.0</v>
      </c>
      <c r="B1748" s="44" t="str">
        <f>IFERROR(__xludf.DUMMYFUNCTION("""COMPUTED_VALUE"""),"La Guaira Sin Hospital")</f>
        <v>La Guaira Sin Hospital</v>
      </c>
      <c r="C1748" s="45" t="str">
        <f>IFERROR(__xludf.DUMMYFUNCTION("""COMPUTED_VALUE"""),"Duon Palencia Giannis Doheny")</f>
        <v>Duon Palencia Giannis Doheny</v>
      </c>
      <c r="D1748" s="44" t="str">
        <f>IFERROR(__xludf.DUMMYFUNCTION("""COMPUTED_VALUE"""),"")</f>
        <v/>
      </c>
      <c r="E1748" s="44" t="str">
        <f>IFERROR(__xludf.DUMMYFUNCTION("""COMPUTED_VALUE"""),"")</f>
        <v/>
      </c>
      <c r="F1748" s="44" t="str">
        <f>IFERROR(__xludf.DUMMYFUNCTION("""COMPUTED_VALUE"""),"")</f>
        <v/>
      </c>
      <c r="G1748" s="44" t="str">
        <f>IFERROR(__xludf.DUMMYFUNCTION("""COMPUTED_VALUE"""),"")</f>
        <v/>
      </c>
      <c r="H1748" s="44"/>
      <c r="I1748" s="44" t="str">
        <f>IFERROR(__xludf.DUMMYFUNCTION("""COMPUTED_VALUE"""),"Listas solo con nombre")</f>
        <v>Listas solo con nombre</v>
      </c>
      <c r="J1748" s="44" t="str">
        <f>IFERROR(__xludf.DUMMYFUNCTION("""COMPUTED_VALUE"""),"")</f>
        <v/>
      </c>
      <c r="K1748" s="42" t="str">
        <f>IFERROR(__xludf.DUMMYFUNCTION("""COMPUTED_VALUE"""),"La Guaira Sin Hospital")</f>
        <v>La Guaira Sin Hospital</v>
      </c>
    </row>
    <row r="1749">
      <c r="A1749" s="44">
        <v>1748.0</v>
      </c>
      <c r="B1749" s="44" t="str">
        <f>IFERROR(__xludf.DUMMYFUNCTION("""COMPUTED_VALUE"""),"Hospital Pérez Carreño")</f>
        <v>Hospital Pérez Carreño</v>
      </c>
      <c r="C1749" s="45" t="str">
        <f>IFERROR(__xludf.DUMMYFUNCTION("""COMPUTED_VALUE"""),"Duon Polencia Giannis Dohany")</f>
        <v>Duon Polencia Giannis Dohany</v>
      </c>
      <c r="D1749" s="44"/>
      <c r="E1749" s="44" t="str">
        <f>IFERROR(__xludf.DUMMYFUNCTION("""COMPUTED_VALUE"""),"")</f>
        <v/>
      </c>
      <c r="F1749" s="44" t="str">
        <f>IFERROR(__xludf.DUMMYFUNCTION("""COMPUTED_VALUE"""),"")</f>
        <v/>
      </c>
      <c r="G1749" s="44" t="str">
        <f>IFERROR(__xludf.DUMMYFUNCTION("""COMPUTED_VALUE"""),"Traslados")</f>
        <v>Traslados</v>
      </c>
      <c r="H1749" s="44" t="str">
        <f>IFERROR(__xludf.DUMMYFUNCTION("""COMPUTED_VALUE"""),"Hospital Miguel Perez Carreño")</f>
        <v>Hospital Miguel Perez Carreño</v>
      </c>
      <c r="I1749" s="44"/>
      <c r="J1749" s="44" t="str">
        <f>IFERROR(__xludf.DUMMYFUNCTION("""COMPUTED_VALUE"""),"26/6/26")</f>
        <v>26/6/26</v>
      </c>
      <c r="K1749" s="42" t="str">
        <f>IFERROR(__xludf.DUMMYFUNCTION("""COMPUTED_VALUE"""),"Hospital Pérez Carreño")</f>
        <v>Hospital Pérez Carreño</v>
      </c>
    </row>
    <row r="1750">
      <c r="A1750" s="44">
        <v>1749.0</v>
      </c>
      <c r="B1750" s="44" t="str">
        <f>IFERROR(__xludf.DUMMYFUNCTION("""COMPUTED_VALUE"""),"H. Jose Maria Vargas LG")</f>
        <v>H. Jose Maria Vargas LG</v>
      </c>
      <c r="C1750" s="45" t="str">
        <f>IFERROR(__xludf.DUMMYFUNCTION("""COMPUTED_VALUE"""),"DURAN DARWIN")</f>
        <v>DURAN DARWIN</v>
      </c>
      <c r="D1750" s="44" t="str">
        <f>IFERROR(__xludf.DUMMYFUNCTION("""COMPUTED_VALUE""")," ")</f>
        <v> </v>
      </c>
      <c r="E1750" s="44" t="str">
        <f>IFERROR(__xludf.DUMMYFUNCTION("""COMPUTED_VALUE"""),"")</f>
        <v/>
      </c>
      <c r="F1750" s="44" t="str">
        <f>IFERROR(__xludf.DUMMYFUNCTION("""COMPUTED_VALUE"""),"")</f>
        <v/>
      </c>
      <c r="G1750" s="44" t="str">
        <f>IFERROR(__xludf.DUMMYFUNCTION("""COMPUTED_VALUE""")," ")</f>
        <v> </v>
      </c>
      <c r="H1750" s="44" t="str">
        <f>IFERROR(__xludf.DUMMYFUNCTION("""COMPUTED_VALUE""")," ")</f>
        <v> </v>
      </c>
      <c r="I1750" s="44" t="str">
        <f>IFERROR(__xludf.DUMMYFUNCTION("""COMPUTED_VALUE""")," ")</f>
        <v> </v>
      </c>
      <c r="J1750" s="44" t="str">
        <f>IFERROR(__xludf.DUMMYFUNCTION("""COMPUTED_VALUE"""),"")</f>
        <v/>
      </c>
      <c r="K1750" s="42" t="str">
        <f>IFERROR(__xludf.DUMMYFUNCTION("""COMPUTED_VALUE"""),"H. Jose Maria Vargas LG")</f>
        <v>H. Jose Maria Vargas LG</v>
      </c>
    </row>
    <row r="1751">
      <c r="A1751" s="44">
        <v>1750.0</v>
      </c>
      <c r="B1751" s="44" t="str">
        <f>IFERROR(__xludf.DUMMYFUNCTION("""COMPUTED_VALUE"""),"Hospital Pérez Carreño")</f>
        <v>Hospital Pérez Carreño</v>
      </c>
      <c r="C1751" s="45" t="str">
        <f>IFERROR(__xludf.DUMMYFUNCTION("""COMPUTED_VALUE"""),"DURAN PALENCIA GIANNIS DOHANY")</f>
        <v>DURAN PALENCIA GIANNIS DOHANY</v>
      </c>
      <c r="D1751" s="44" t="str">
        <f>IFERROR(__xludf.DUMMYFUNCTION("""COMPUTED_VALUE""")," ")</f>
        <v> </v>
      </c>
      <c r="E1751" s="44" t="str">
        <f>IFERROR(__xludf.DUMMYFUNCTION("""COMPUTED_VALUE"""),"")</f>
        <v/>
      </c>
      <c r="F1751" s="44" t="str">
        <f>IFERROR(__xludf.DUMMYFUNCTION("""COMPUTED_VALUE"""),"")</f>
        <v/>
      </c>
      <c r="G1751" s="44" t="str">
        <f>IFERROR(__xludf.DUMMYFUNCTION("""COMPUTED_VALUE""")," ")</f>
        <v> </v>
      </c>
      <c r="H1751" s="44" t="str">
        <f>IFERROR(__xludf.DUMMYFUNCTION("""COMPUTED_VALUE""")," ")</f>
        <v> </v>
      </c>
      <c r="I1751" s="44" t="str">
        <f>IFERROR(__xludf.DUMMYFUNCTION("""COMPUTED_VALUE"""),"Internado")</f>
        <v>Internado</v>
      </c>
      <c r="J1751" s="44" t="str">
        <f>IFERROR(__xludf.DUMMYFUNCTION("""COMPUTED_VALUE"""),"25/06/2026")</f>
        <v>25/06/2026</v>
      </c>
      <c r="K1751" s="42" t="str">
        <f>IFERROR(__xludf.DUMMYFUNCTION("""COMPUTED_VALUE"""),"Hospital Pérez Carreño")</f>
        <v>Hospital Pérez Carreño</v>
      </c>
    </row>
    <row r="1752">
      <c r="A1752" s="44">
        <v>1751.0</v>
      </c>
      <c r="B1752" s="44" t="str">
        <f>IFERROR(__xludf.DUMMYFUNCTION("""COMPUTED_VALUE"""),"Campo de Golf Playa los Cocos")</f>
        <v>Campo de Golf Playa los Cocos</v>
      </c>
      <c r="C1752" s="45" t="str">
        <f>IFERROR(__xludf.DUMMYFUNCTION("""COMPUTED_VALUE"""),"Dylan Moreno")</f>
        <v>Dylan Moreno</v>
      </c>
      <c r="D1752" s="44" t="str">
        <f>IFERROR(__xludf.DUMMYFUNCTION("""COMPUTED_VALUE"""),"")</f>
        <v/>
      </c>
      <c r="E1752" s="44" t="str">
        <f>IFERROR(__xludf.DUMMYFUNCTION("""COMPUTED_VALUE"""),"")</f>
        <v/>
      </c>
      <c r="F1752" s="44" t="str">
        <f>IFERROR(__xludf.DUMMYFUNCTION("""COMPUTED_VALUE"""),"")</f>
        <v/>
      </c>
      <c r="G1752" s="44" t="str">
        <f>IFERROR(__xludf.DUMMYFUNCTION("""COMPUTED_VALUE"""),"")</f>
        <v/>
      </c>
      <c r="H1752" s="44" t="str">
        <f>IFERROR(__xludf.DUMMYFUNCTION("""COMPUTED_VALUE"""),"")</f>
        <v/>
      </c>
      <c r="I1752" s="44"/>
      <c r="J1752" s="44" t="str">
        <f>IFERROR(__xludf.DUMMYFUNCTION("""COMPUTED_VALUE"""),"")</f>
        <v/>
      </c>
      <c r="K1752" s="42" t="str">
        <f>IFERROR(__xludf.DUMMYFUNCTION("""COMPUTED_VALUE"""),"Campo de Golf Playa los Cocos")</f>
        <v>Campo de Golf Playa los Cocos</v>
      </c>
    </row>
    <row r="1753">
      <c r="A1753" s="44">
        <v>1752.0</v>
      </c>
      <c r="B1753" s="44" t="str">
        <f>IFERROR(__xludf.DUMMYFUNCTION("""COMPUTED_VALUE"""),"Campo de Golf Playa los Cocos")</f>
        <v>Campo de Golf Playa los Cocos</v>
      </c>
      <c r="C1753" s="45" t="str">
        <f>IFERROR(__xludf.DUMMYFUNCTION("""COMPUTED_VALUE"""),"Eberto Barrios")</f>
        <v>Eberto Barrios</v>
      </c>
      <c r="D1753" s="44" t="str">
        <f>IFERROR(__xludf.DUMMYFUNCTION("""COMPUTED_VALUE"""),"")</f>
        <v/>
      </c>
      <c r="E1753" s="44" t="str">
        <f>IFERROR(__xludf.DUMMYFUNCTION("""COMPUTED_VALUE"""),"")</f>
        <v/>
      </c>
      <c r="F1753" s="44" t="str">
        <f>IFERROR(__xludf.DUMMYFUNCTION("""COMPUTED_VALUE"""),"")</f>
        <v/>
      </c>
      <c r="G1753" s="44" t="str">
        <f>IFERROR(__xludf.DUMMYFUNCTION("""COMPUTED_VALUE"""),"")</f>
        <v/>
      </c>
      <c r="H1753" s="44" t="str">
        <f>IFERROR(__xludf.DUMMYFUNCTION("""COMPUTED_VALUE"""),"")</f>
        <v/>
      </c>
      <c r="I1753" s="44"/>
      <c r="J1753" s="44" t="str">
        <f>IFERROR(__xludf.DUMMYFUNCTION("""COMPUTED_VALUE"""),"")</f>
        <v/>
      </c>
      <c r="K1753" s="42" t="str">
        <f>IFERROR(__xludf.DUMMYFUNCTION("""COMPUTED_VALUE"""),"Campo de Golf Playa los Cocos")</f>
        <v>Campo de Golf Playa los Cocos</v>
      </c>
    </row>
    <row r="1754">
      <c r="A1754" s="44">
        <v>1753.0</v>
      </c>
      <c r="B1754" s="44" t="str">
        <f>IFERROR(__xludf.DUMMYFUNCTION("""COMPUTED_VALUE"""),"Hospital Domingo Luciani")</f>
        <v>Hospital Domingo Luciani</v>
      </c>
      <c r="C1754" s="45" t="str">
        <f>IFERROR(__xludf.DUMMYFUNCTION("""COMPUTED_VALUE"""),"ECONGUELA JESUS")</f>
        <v>ECONGUELA JESUS</v>
      </c>
      <c r="D1754" s="44">
        <f>IFERROR(__xludf.DUMMYFUNCTION("""COMPUTED_VALUE"""),60.0)</f>
        <v>60</v>
      </c>
      <c r="E1754" s="44" t="str">
        <f>IFERROR(__xludf.DUMMYFUNCTION("""COMPUTED_VALUE"""),"")</f>
        <v/>
      </c>
      <c r="F1754" s="44" t="str">
        <f>IFERROR(__xludf.DUMMYFUNCTION("""COMPUTED_VALUE"""),"")</f>
        <v/>
      </c>
      <c r="G1754" s="44" t="str">
        <f>IFERROR(__xludf.DUMMYFUNCTION("""COMPUTED_VALUE""")," ")</f>
        <v> </v>
      </c>
      <c r="H1754" s="44" t="str">
        <f>IFERROR(__xludf.DUMMYFUNCTION("""COMPUTED_VALUE""")," ")</f>
        <v> </v>
      </c>
      <c r="I1754" s="44" t="str">
        <f>IFERROR(__xludf.DUMMYFUNCTION("""COMPUTED_VALUE"""),"Internado; PISO 4")</f>
        <v>Internado; PISO 4</v>
      </c>
      <c r="J1754" s="44" t="str">
        <f>IFERROR(__xludf.DUMMYFUNCTION("""COMPUTED_VALUE"""),"")</f>
        <v/>
      </c>
      <c r="K1754" s="42" t="str">
        <f>IFERROR(__xludf.DUMMYFUNCTION("""COMPUTED_VALUE"""),"🔍 BUSCAR PACIENTES")</f>
        <v>🔍 BUSCAR PACIENTES</v>
      </c>
    </row>
    <row r="1755">
      <c r="A1755" s="44">
        <v>1754.0</v>
      </c>
      <c r="B1755" s="44" t="str">
        <f>IFERROR(__xludf.DUMMYFUNCTION("""COMPUTED_VALUE"""),"Hospital Pérez Carreño")</f>
        <v>Hospital Pérez Carreño</v>
      </c>
      <c r="C1755" s="45" t="str">
        <f>IFERROR(__xludf.DUMMYFUNCTION("""COMPUTED_VALUE"""),"Eddy Zalazar")</f>
        <v>Eddy Zalazar</v>
      </c>
      <c r="D1755" s="44"/>
      <c r="E1755" s="44" t="str">
        <f>IFERROR(__xludf.DUMMYFUNCTION("""COMPUTED_VALUE"""),"")</f>
        <v/>
      </c>
      <c r="F1755" s="44" t="str">
        <f>IFERROR(__xludf.DUMMYFUNCTION("""COMPUTED_VALUE"""),"")</f>
        <v/>
      </c>
      <c r="G1755" s="44" t="str">
        <f>IFERROR(__xludf.DUMMYFUNCTION("""COMPUTED_VALUE"""),"Traumashock ")</f>
        <v>Traumashock </v>
      </c>
      <c r="H1755" s="44" t="str">
        <f>IFERROR(__xludf.DUMMYFUNCTION("""COMPUTED_VALUE"""),"Hospital Miguel Perez Carreño")</f>
        <v>Hospital Miguel Perez Carreño</v>
      </c>
      <c r="I1755" s="44"/>
      <c r="J1755" s="44" t="str">
        <f>IFERROR(__xludf.DUMMYFUNCTION("""COMPUTED_VALUE"""),"26/6/26")</f>
        <v>26/6/26</v>
      </c>
      <c r="K1755" s="42" t="str">
        <f>IFERROR(__xludf.DUMMYFUNCTION("""COMPUTED_VALUE"""),"Hospital Pérez Carreño")</f>
        <v>Hospital Pérez Carreño</v>
      </c>
    </row>
    <row r="1756">
      <c r="A1756" s="44">
        <v>1755.0</v>
      </c>
      <c r="B1756" s="44" t="str">
        <f>IFERROR(__xludf.DUMMYFUNCTION("""COMPUTED_VALUE"""),"HOSPITAL VARGAS")</f>
        <v>HOSPITAL VARGAS</v>
      </c>
      <c r="C1756" s="45" t="str">
        <f>IFERROR(__xludf.DUMMYFUNCTION("""COMPUTED_VALUE"""),"Edebun Castro")</f>
        <v>Edebun Castro</v>
      </c>
      <c r="D1756" s="44"/>
      <c r="E1756" s="44" t="str">
        <f>IFERROR(__xludf.DUMMYFUNCTION("""COMPUTED_VALUE"""),"")</f>
        <v/>
      </c>
      <c r="F1756" s="44" t="str">
        <f>IFERROR(__xludf.DUMMYFUNCTION("""COMPUTED_VALUE"""),"")</f>
        <v/>
      </c>
      <c r="G1756" s="44" t="str">
        <f>IFERROR(__xludf.DUMMYFUNCTION("""COMPUTED_VALUE"""),"")</f>
        <v/>
      </c>
      <c r="H1756" s="44" t="str">
        <f>IFERROR(__xludf.DUMMYFUNCTION("""COMPUTED_VALUE"""),"")</f>
        <v/>
      </c>
      <c r="I1756" s="44" t="str">
        <f>IFERROR(__xludf.DUMMYFUNCTION("""COMPUTED_VALUE"""),"Herido / atendido")</f>
        <v>Herido / atendido</v>
      </c>
      <c r="J1756" s="44" t="str">
        <f>IFERROR(__xludf.DUMMYFUNCTION("""COMPUTED_VALUE"""),"24.06.2026 ")</f>
        <v>24.06.2026 </v>
      </c>
      <c r="K1756" s="42" t="str">
        <f>IFERROR(__xludf.DUMMYFUNCTION("""COMPUTED_VALUE"""),"HOSPITAL VARGAS")</f>
        <v>HOSPITAL VARGAS</v>
      </c>
    </row>
    <row r="1757">
      <c r="A1757" s="44">
        <v>1756.0</v>
      </c>
      <c r="B1757" s="44" t="str">
        <f>IFERROR(__xludf.DUMMYFUNCTION("""COMPUTED_VALUE"""),"Campo de Golf Playa los Cocos")</f>
        <v>Campo de Golf Playa los Cocos</v>
      </c>
      <c r="C1757" s="45" t="str">
        <f>IFERROR(__xludf.DUMMYFUNCTION("""COMPUTED_VALUE"""),"Edgar Armanza")</f>
        <v>Edgar Armanza</v>
      </c>
      <c r="D1757" s="44" t="str">
        <f>IFERROR(__xludf.DUMMYFUNCTION("""COMPUTED_VALUE"""),"")</f>
        <v/>
      </c>
      <c r="E1757" s="44" t="str">
        <f>IFERROR(__xludf.DUMMYFUNCTION("""COMPUTED_VALUE"""),"")</f>
        <v/>
      </c>
      <c r="F1757" s="44" t="str">
        <f>IFERROR(__xludf.DUMMYFUNCTION("""COMPUTED_VALUE"""),"")</f>
        <v/>
      </c>
      <c r="G1757" s="44" t="str">
        <f>IFERROR(__xludf.DUMMYFUNCTION("""COMPUTED_VALUE"""),"")</f>
        <v/>
      </c>
      <c r="H1757" s="44" t="str">
        <f>IFERROR(__xludf.DUMMYFUNCTION("""COMPUTED_VALUE"""),"")</f>
        <v/>
      </c>
      <c r="I1757" s="44"/>
      <c r="J1757" s="44" t="str">
        <f>IFERROR(__xludf.DUMMYFUNCTION("""COMPUTED_VALUE"""),"")</f>
        <v/>
      </c>
      <c r="K1757" s="42" t="str">
        <f>IFERROR(__xludf.DUMMYFUNCTION("""COMPUTED_VALUE"""),"Campo de Golf Playa los Cocos")</f>
        <v>Campo de Golf Playa los Cocos</v>
      </c>
    </row>
    <row r="1758">
      <c r="A1758" s="44">
        <v>1757.0</v>
      </c>
      <c r="B1758" s="44" t="str">
        <f>IFERROR(__xludf.DUMMYFUNCTION("""COMPUTED_VALUE"""),"Periférico de Catia")</f>
        <v>Periférico de Catia</v>
      </c>
      <c r="C1758" s="45" t="str">
        <f>IFERROR(__xludf.DUMMYFUNCTION("""COMPUTED_VALUE"""),"EDGAR GONZALEZ")</f>
        <v>EDGAR GONZALEZ</v>
      </c>
      <c r="D1758" s="44">
        <f>IFERROR(__xludf.DUMMYFUNCTION("""COMPUTED_VALUE"""),48.0)</f>
        <v>48</v>
      </c>
      <c r="E1758" s="44" t="str">
        <f>IFERROR(__xludf.DUMMYFUNCTION("""COMPUTED_VALUE"""),"")</f>
        <v/>
      </c>
      <c r="F1758" s="44" t="str">
        <f>IFERROR(__xludf.DUMMYFUNCTION("""COMPUTED_VALUE"""),"")</f>
        <v/>
      </c>
      <c r="G1758" s="44" t="str">
        <f>IFERROR(__xludf.DUMMYFUNCTION("""COMPUTED_VALUE""")," ")</f>
        <v> </v>
      </c>
      <c r="H1758" s="44" t="str">
        <f>IFERROR(__xludf.DUMMYFUNCTION("""COMPUTED_VALUE"""),"Carrizal Los Teques")</f>
        <v>Carrizal Los Teques</v>
      </c>
      <c r="I1758" s="44" t="str">
        <f>IFERROR(__xludf.DUMMYFUNCTION("""COMPUTED_VALUE""")," ")</f>
        <v> </v>
      </c>
      <c r="J1758" s="44" t="str">
        <f>IFERROR(__xludf.DUMMYFUNCTION("""COMPUTED_VALUE"""),"")</f>
        <v/>
      </c>
      <c r="K1758" s="42" t="str">
        <f>IFERROR(__xludf.DUMMYFUNCTION("""COMPUTED_VALUE"""),"Periférico de Catia")</f>
        <v>Periférico de Catia</v>
      </c>
    </row>
    <row r="1759">
      <c r="A1759" s="44">
        <v>1758.0</v>
      </c>
      <c r="B1759" s="44" t="str">
        <f>IFERROR(__xludf.DUMMYFUNCTION("""COMPUTED_VALUE"""),"Campo de Golf Playa los Cocos")</f>
        <v>Campo de Golf Playa los Cocos</v>
      </c>
      <c r="C1759" s="45" t="str">
        <f>IFERROR(__xludf.DUMMYFUNCTION("""COMPUTED_VALUE"""),"Edgar Rojas")</f>
        <v>Edgar Rojas</v>
      </c>
      <c r="D1759" s="44" t="str">
        <f>IFERROR(__xludf.DUMMYFUNCTION("""COMPUTED_VALUE"""),"")</f>
        <v/>
      </c>
      <c r="E1759" s="44" t="str">
        <f>IFERROR(__xludf.DUMMYFUNCTION("""COMPUTED_VALUE"""),"")</f>
        <v/>
      </c>
      <c r="F1759" s="44" t="str">
        <f>IFERROR(__xludf.DUMMYFUNCTION("""COMPUTED_VALUE"""),"")</f>
        <v/>
      </c>
      <c r="G1759" s="44" t="str">
        <f>IFERROR(__xludf.DUMMYFUNCTION("""COMPUTED_VALUE"""),"")</f>
        <v/>
      </c>
      <c r="H1759" s="44" t="str">
        <f>IFERROR(__xludf.DUMMYFUNCTION("""COMPUTED_VALUE"""),"")</f>
        <v/>
      </c>
      <c r="I1759" s="44" t="str">
        <f>IFERROR(__xludf.DUMMYFUNCTION("""COMPUTED_VALUE"""),"Nombre cortado al final de la hoja original (papel roto)")</f>
        <v>Nombre cortado al final de la hoja original (papel roto)</v>
      </c>
      <c r="J1759" s="44" t="str">
        <f>IFERROR(__xludf.DUMMYFUNCTION("""COMPUTED_VALUE"""),"")</f>
        <v/>
      </c>
      <c r="K1759" s="42" t="str">
        <f>IFERROR(__xludf.DUMMYFUNCTION("""COMPUTED_VALUE"""),"Campo de Golf Playa los Cocos")</f>
        <v>Campo de Golf Playa los Cocos</v>
      </c>
    </row>
    <row r="1760">
      <c r="A1760" s="44">
        <v>1759.0</v>
      </c>
      <c r="B1760" s="44" t="str">
        <f>IFERROR(__xludf.DUMMYFUNCTION("""COMPUTED_VALUE"""),"HOSPITAL VARGAS")</f>
        <v>HOSPITAL VARGAS</v>
      </c>
      <c r="C1760" s="45" t="str">
        <f>IFERROR(__xludf.DUMMYFUNCTION("""COMPUTED_VALUE"""),"Edgari González")</f>
        <v>Edgari González</v>
      </c>
      <c r="D1760" s="44"/>
      <c r="E1760" s="44" t="str">
        <f>IFERROR(__xludf.DUMMYFUNCTION("""COMPUTED_VALUE"""),"")</f>
        <v/>
      </c>
      <c r="F1760" s="44" t="str">
        <f>IFERROR(__xludf.DUMMYFUNCTION("""COMPUTED_VALUE"""),"")</f>
        <v/>
      </c>
      <c r="G1760" s="44" t="str">
        <f>IFERROR(__xludf.DUMMYFUNCTION("""COMPUTED_VALUE"""),"")</f>
        <v/>
      </c>
      <c r="H1760" s="44" t="str">
        <f>IFERROR(__xludf.DUMMYFUNCTION("""COMPUTED_VALUE"""),"")</f>
        <v/>
      </c>
      <c r="I1760" s="44" t="str">
        <f>IFERROR(__xludf.DUMMYFUNCTION("""COMPUTED_VALUE"""),"Herido / atendido")</f>
        <v>Herido / atendido</v>
      </c>
      <c r="J1760" s="44" t="str">
        <f>IFERROR(__xludf.DUMMYFUNCTION("""COMPUTED_VALUE"""),"24.06.2026 ")</f>
        <v>24.06.2026 </v>
      </c>
      <c r="K1760" s="42" t="str">
        <f>IFERROR(__xludf.DUMMYFUNCTION("""COMPUTED_VALUE"""),"HOSPITAL VARGAS")</f>
        <v>HOSPITAL VARGAS</v>
      </c>
    </row>
    <row r="1761">
      <c r="A1761" s="44">
        <v>1760.0</v>
      </c>
      <c r="B1761" s="44" t="str">
        <f>IFERROR(__xludf.DUMMYFUNCTION("""COMPUTED_VALUE"""),"Hospital Vargas de Caracas")</f>
        <v>Hospital Vargas de Caracas</v>
      </c>
      <c r="C1761" s="45" t="str">
        <f>IFERROR(__xludf.DUMMYFUNCTION("""COMPUTED_VALUE"""),"Edgary Gonzalez")</f>
        <v>Edgary Gonzalez</v>
      </c>
      <c r="D1761" s="44"/>
      <c r="E1761" s="44" t="str">
        <f>IFERROR(__xludf.DUMMYFUNCTION("""COMPUTED_VALUE"""),"")</f>
        <v/>
      </c>
      <c r="F1761" s="44"/>
      <c r="G1761" s="44" t="str">
        <f>IFERROR(__xludf.DUMMYFUNCTION("""COMPUTED_VALUE"""),"")</f>
        <v/>
      </c>
      <c r="H1761" s="44"/>
      <c r="I1761" s="44" t="str">
        <f>IFERROR(__xludf.DUMMYFUNCTION("""COMPUTED_VALUE"""),"Nombre tomado de la pizarra de pacientes; no aparece en el formulario con C.I.")</f>
        <v>Nombre tomado de la pizarra de pacientes; no aparece en el formulario con C.I.</v>
      </c>
      <c r="J1761" s="44" t="str">
        <f>IFERROR(__xludf.DUMMYFUNCTION("""COMPUTED_VALUE"""),"")</f>
        <v/>
      </c>
      <c r="K1761" s="42" t="str">
        <f>IFERROR(__xludf.DUMMYFUNCTION("""COMPUTED_VALUE"""),"Hospital Vargas de Caracas")</f>
        <v>Hospital Vargas de Caracas</v>
      </c>
    </row>
    <row r="1762">
      <c r="A1762" s="44">
        <v>1761.0</v>
      </c>
      <c r="B1762" s="44" t="str">
        <f>IFERROR(__xludf.DUMMYFUNCTION("""COMPUTED_VALUE"""),"HOSPITAL VARGAS")</f>
        <v>HOSPITAL VARGAS</v>
      </c>
      <c r="C1762" s="45" t="str">
        <f>IFERROR(__xludf.DUMMYFUNCTION("""COMPUTED_VALUE"""),"Edgary González")</f>
        <v>Edgary González</v>
      </c>
      <c r="D1762" s="44" t="str">
        <f>IFERROR(__xludf.DUMMYFUNCTION("""COMPUTED_VALUE"""),"13 años")</f>
        <v>13 años</v>
      </c>
      <c r="E1762" s="44" t="str">
        <f>IFERROR(__xludf.DUMMYFUNCTION("""COMPUTED_VALUE"""),"")</f>
        <v/>
      </c>
      <c r="F1762" s="44" t="str">
        <f>IFERROR(__xludf.DUMMYFUNCTION("""COMPUTED_VALUE"""),"")</f>
        <v/>
      </c>
      <c r="G1762" s="44" t="str">
        <f>IFERROR(__xludf.DUMMYFUNCTION("""COMPUTED_VALUE"""),"")</f>
        <v/>
      </c>
      <c r="H1762" s="44" t="str">
        <f>IFERROR(__xludf.DUMMYFUNCTION("""COMPUTED_VALUE"""),"")</f>
        <v/>
      </c>
      <c r="I1762" s="44" t="str">
        <f>IFERROR(__xludf.DUMMYFUNCTION("""COMPUTED_VALUE"""),"Herido / atendido")</f>
        <v>Herido / atendido</v>
      </c>
      <c r="J1762" s="44" t="str">
        <f>IFERROR(__xludf.DUMMYFUNCTION("""COMPUTED_VALUE"""),"24.06.2026 ")</f>
        <v>24.06.2026 </v>
      </c>
      <c r="K1762" s="42" t="str">
        <f>IFERROR(__xludf.DUMMYFUNCTION("""COMPUTED_VALUE"""),"HOSPITAL VARGAS")</f>
        <v>HOSPITAL VARGAS</v>
      </c>
    </row>
    <row r="1763">
      <c r="A1763" s="44">
        <v>1762.0</v>
      </c>
      <c r="B1763" s="44" t="str">
        <f>IFERROR(__xludf.DUMMYFUNCTION("""COMPUTED_VALUE"""),"Hospital Domingo Luciani")</f>
        <v>Hospital Domingo Luciani</v>
      </c>
      <c r="C1763" s="45" t="str">
        <f>IFERROR(__xludf.DUMMYFUNCTION("""COMPUTED_VALUE"""),"Edimar Delgado")</f>
        <v>Edimar Delgado</v>
      </c>
      <c r="D1763" s="44">
        <f>IFERROR(__xludf.DUMMYFUNCTION("""COMPUTED_VALUE"""),23.0)</f>
        <v>23</v>
      </c>
      <c r="E1763" s="44" t="str">
        <f>IFERROR(__xludf.DUMMYFUNCTION("""COMPUTED_VALUE"""),"")</f>
        <v/>
      </c>
      <c r="F1763" s="44" t="str">
        <f>IFERROR(__xludf.DUMMYFUNCTION("""COMPUTED_VALUE"""),"")</f>
        <v/>
      </c>
      <c r="G1763" s="44"/>
      <c r="H1763" s="44"/>
      <c r="I1763" s="44"/>
      <c r="J1763" s="44" t="str">
        <f>IFERROR(__xludf.DUMMYFUNCTION("""COMPUTED_VALUE"""),"")</f>
        <v/>
      </c>
      <c r="K1763" s="42" t="str">
        <f>IFERROR(__xludf.DUMMYFUNCTION("""COMPUTED_VALUE"""),"Hospital Domingo Luciani")</f>
        <v>Hospital Domingo Luciani</v>
      </c>
    </row>
    <row r="1764">
      <c r="A1764" s="44">
        <v>1763.0</v>
      </c>
      <c r="B1764" s="44" t="str">
        <f>IFERROR(__xludf.DUMMYFUNCTION("""COMPUTED_VALUE"""),"Hospital Domingo Luciani")</f>
        <v>Hospital Domingo Luciani</v>
      </c>
      <c r="C1764" s="45" t="str">
        <f>IFERROR(__xludf.DUMMYFUNCTION("""COMPUTED_VALUE"""),"EDIS TANIA")</f>
        <v>EDIS TANIA</v>
      </c>
      <c r="D1764" s="44">
        <f>IFERROR(__xludf.DUMMYFUNCTION("""COMPUTED_VALUE"""),62.0)</f>
        <v>62</v>
      </c>
      <c r="E1764" s="44" t="str">
        <f>IFERROR(__xludf.DUMMYFUNCTION("""COMPUTED_VALUE"""),"")</f>
        <v/>
      </c>
      <c r="F1764" s="44" t="str">
        <f>IFERROR(__xludf.DUMMYFUNCTION("""COMPUTED_VALUE"""),"")</f>
        <v/>
      </c>
      <c r="G1764" s="44" t="str">
        <f>IFERROR(__xludf.DUMMYFUNCTION("""COMPUTED_VALUE""")," ")</f>
        <v> </v>
      </c>
      <c r="H1764" s="44" t="str">
        <f>IFERROR(__xludf.DUMMYFUNCTION("""COMPUTED_VALUE""")," ")</f>
        <v> </v>
      </c>
      <c r="I1764" s="44" t="str">
        <f>IFERROR(__xludf.DUMMYFUNCTION("""COMPUTED_VALUE"""),"Internado; UCI")</f>
        <v>Internado; UCI</v>
      </c>
      <c r="J1764" s="44" t="str">
        <f>IFERROR(__xludf.DUMMYFUNCTION("""COMPUTED_VALUE"""),"")</f>
        <v/>
      </c>
      <c r="K1764" s="42" t="str">
        <f>IFERROR(__xludf.DUMMYFUNCTION("""COMPUTED_VALUE"""),"🔍 BUSCAR PACIENTES")</f>
        <v>🔍 BUSCAR PACIENTES</v>
      </c>
    </row>
    <row r="1765">
      <c r="A1765" s="44">
        <v>1764.0</v>
      </c>
      <c r="B1765" s="44" t="str">
        <f>IFERROR(__xludf.DUMMYFUNCTION("""COMPUTED_VALUE"""),"Hospital Pérez Carreño")</f>
        <v>Hospital Pérez Carreño</v>
      </c>
      <c r="C1765" s="45" t="str">
        <f>IFERROR(__xludf.DUMMYFUNCTION("""COMPUTED_VALUE"""),"EDUANYELIS PÉREZ")</f>
        <v>EDUANYELIS PÉREZ</v>
      </c>
      <c r="D1765" s="44">
        <f>IFERROR(__xludf.DUMMYFUNCTION("""COMPUTED_VALUE"""),3.0)</f>
        <v>3</v>
      </c>
      <c r="E1765" s="44" t="str">
        <f>IFERROR(__xludf.DUMMYFUNCTION("""COMPUTED_VALUE"""),"")</f>
        <v/>
      </c>
      <c r="F1765" s="44" t="str">
        <f>IFERROR(__xludf.DUMMYFUNCTION("""COMPUTED_VALUE"""),"")</f>
        <v/>
      </c>
      <c r="G1765" s="44" t="str">
        <f>IFERROR(__xludf.DUMMYFUNCTION("""COMPUTED_VALUE""")," ")</f>
        <v> </v>
      </c>
      <c r="H1765" s="44" t="str">
        <f>IFERROR(__xludf.DUMMYFUNCTION("""COMPUTED_VALUE""")," ")</f>
        <v> </v>
      </c>
      <c r="I1765" s="44" t="str">
        <f>IFERROR(__xludf.DUMMYFUNCTION("""COMPUTED_VALUE""")," ")</f>
        <v> </v>
      </c>
      <c r="J1765" s="44" t="str">
        <f>IFERROR(__xludf.DUMMYFUNCTION("""COMPUTED_VALUE"""),"25/06/2026")</f>
        <v>25/06/2026</v>
      </c>
      <c r="K1765" s="42" t="str">
        <f>IFERROR(__xludf.DUMMYFUNCTION("""COMPUTED_VALUE"""),"Hospital Pérez Carreño")</f>
        <v>Hospital Pérez Carreño</v>
      </c>
    </row>
    <row r="1766">
      <c r="A1766" s="44">
        <v>1765.0</v>
      </c>
      <c r="B1766" s="44" t="str">
        <f>IFERROR(__xludf.DUMMYFUNCTION("""COMPUTED_VALUE"""),"Hospital Pérez Carreño")</f>
        <v>Hospital Pérez Carreño</v>
      </c>
      <c r="C1766" s="45" t="str">
        <f>IFERROR(__xludf.DUMMYFUNCTION("""COMPUTED_VALUE"""),"Eduar Orama")</f>
        <v>Eduar Orama</v>
      </c>
      <c r="D1766" s="44"/>
      <c r="E1766" s="44" t="str">
        <f>IFERROR(__xludf.DUMMYFUNCTION("""COMPUTED_VALUE"""),"")</f>
        <v/>
      </c>
      <c r="F1766" s="44" t="str">
        <f>IFERROR(__xludf.DUMMYFUNCTION("""COMPUTED_VALUE"""),"")</f>
        <v/>
      </c>
      <c r="G1766" s="44" t="str">
        <f>IFERROR(__xludf.DUMMYFUNCTION("""COMPUTED_VALUE"""),"Traumashock ")</f>
        <v>Traumashock </v>
      </c>
      <c r="H1766" s="44" t="str">
        <f>IFERROR(__xludf.DUMMYFUNCTION("""COMPUTED_VALUE"""),"Hospital Miguel Perez Carreño")</f>
        <v>Hospital Miguel Perez Carreño</v>
      </c>
      <c r="I1766" s="44"/>
      <c r="J1766" s="44" t="str">
        <f>IFERROR(__xludf.DUMMYFUNCTION("""COMPUTED_VALUE"""),"26/6/26")</f>
        <v>26/6/26</v>
      </c>
      <c r="K1766" s="42" t="str">
        <f>IFERROR(__xludf.DUMMYFUNCTION("""COMPUTED_VALUE"""),"Hospital Pérez Carreño")</f>
        <v>Hospital Pérez Carreño</v>
      </c>
    </row>
    <row r="1767">
      <c r="A1767" s="44">
        <v>1766.0</v>
      </c>
      <c r="B1767" s="44" t="str">
        <f>IFERROR(__xludf.DUMMYFUNCTION("""COMPUTED_VALUE"""),"Hospital Pérez Carreño")</f>
        <v>Hospital Pérez Carreño</v>
      </c>
      <c r="C1767" s="45" t="str">
        <f>IFERROR(__xludf.DUMMYFUNCTION("""COMPUTED_VALUE"""),"EDUAR ORANA")</f>
        <v>EDUAR ORANA</v>
      </c>
      <c r="D1767" s="44" t="str">
        <f>IFERROR(__xludf.DUMMYFUNCTION("""COMPUTED_VALUE""")," ")</f>
        <v> </v>
      </c>
      <c r="E1767" s="44" t="str">
        <f>IFERROR(__xludf.DUMMYFUNCTION("""COMPUTED_VALUE"""),"")</f>
        <v/>
      </c>
      <c r="F1767" s="44" t="str">
        <f>IFERROR(__xludf.DUMMYFUNCTION("""COMPUTED_VALUE"""),"")</f>
        <v/>
      </c>
      <c r="G1767" s="44" t="str">
        <f>IFERROR(__xludf.DUMMYFUNCTION("""COMPUTED_VALUE""")," ")</f>
        <v> </v>
      </c>
      <c r="H1767" s="44" t="str">
        <f>IFERROR(__xludf.DUMMYFUNCTION("""COMPUTED_VALUE""")," ")</f>
        <v> </v>
      </c>
      <c r="I1767" s="44" t="str">
        <f>IFERROR(__xludf.DUMMYFUNCTION("""COMPUTED_VALUE""")," ")</f>
        <v> </v>
      </c>
      <c r="J1767" s="44" t="str">
        <f>IFERROR(__xludf.DUMMYFUNCTION("""COMPUTED_VALUE"""),"25/06/2026")</f>
        <v>25/06/2026</v>
      </c>
      <c r="K1767" s="42" t="str">
        <f>IFERROR(__xludf.DUMMYFUNCTION("""COMPUTED_VALUE"""),"Hospital Pérez Carreño")</f>
        <v>Hospital Pérez Carreño</v>
      </c>
    </row>
    <row r="1768">
      <c r="A1768" s="44">
        <v>1767.0</v>
      </c>
      <c r="B1768" s="44" t="str">
        <f>IFERROR(__xludf.DUMMYFUNCTION("""COMPUTED_VALUE"""),"Seguro Social La Guaira")</f>
        <v>Seguro Social La Guaira</v>
      </c>
      <c r="C1768" s="45" t="str">
        <f>IFERROR(__xludf.DUMMYFUNCTION("""COMPUTED_VALUE"""),"EDUARDO PEREZ")</f>
        <v>EDUARDO PEREZ</v>
      </c>
      <c r="D1768" s="44" t="str">
        <f>IFERROR(__xludf.DUMMYFUNCTION("""COMPUTED_VALUE""")," ")</f>
        <v> </v>
      </c>
      <c r="E1768" s="44" t="str">
        <f>IFERROR(__xludf.DUMMYFUNCTION("""COMPUTED_VALUE"""),"")</f>
        <v/>
      </c>
      <c r="F1768" s="44" t="str">
        <f>IFERROR(__xludf.DUMMYFUNCTION("""COMPUTED_VALUE"""),"")</f>
        <v/>
      </c>
      <c r="G1768" s="44" t="str">
        <f>IFERROR(__xludf.DUMMYFUNCTION("""COMPUTED_VALUE""")," ")</f>
        <v> </v>
      </c>
      <c r="H1768" s="44" t="str">
        <f>IFERROR(__xludf.DUMMYFUNCTION("""COMPUTED_VALUE"""),"Caribe")</f>
        <v>Caribe</v>
      </c>
      <c r="I1768" s="44" t="str">
        <f>IFERROR(__xludf.DUMMYFUNCTION("""COMPUTED_VALUE""")," ")</f>
        <v> </v>
      </c>
      <c r="J1768" s="44" t="str">
        <f>IFERROR(__xludf.DUMMYFUNCTION("""COMPUTED_VALUE"""),"")</f>
        <v/>
      </c>
      <c r="K1768" s="42" t="str">
        <f>IFERROR(__xludf.DUMMYFUNCTION("""COMPUTED_VALUE"""),"Seguro Social La Guaira")</f>
        <v>Seguro Social La Guaira</v>
      </c>
    </row>
    <row r="1769">
      <c r="A1769" s="44">
        <v>1768.0</v>
      </c>
      <c r="B1769" s="44" t="str">
        <f>IFERROR(__xludf.DUMMYFUNCTION("""COMPUTED_VALUE"""),"Seguro Social La Guaira")</f>
        <v>Seguro Social La Guaira</v>
      </c>
      <c r="C1769" s="45" t="str">
        <f>IFERROR(__xludf.DUMMYFUNCTION("""COMPUTED_VALUE"""),"EDVAN ORAMA")</f>
        <v>EDVAN ORAMA</v>
      </c>
      <c r="D1769" s="44" t="str">
        <f>IFERROR(__xludf.DUMMYFUNCTION("""COMPUTED_VALUE""")," ")</f>
        <v> </v>
      </c>
      <c r="E1769" s="44" t="str">
        <f>IFERROR(__xludf.DUMMYFUNCTION("""COMPUTED_VALUE"""),"")</f>
        <v/>
      </c>
      <c r="F1769" s="44" t="str">
        <f>IFERROR(__xludf.DUMMYFUNCTION("""COMPUTED_VALUE"""),"")</f>
        <v/>
      </c>
      <c r="G1769" s="44" t="str">
        <f>IFERROR(__xludf.DUMMYFUNCTION("""COMPUTED_VALUE""")," ")</f>
        <v> </v>
      </c>
      <c r="H1769" s="44" t="str">
        <f>IFERROR(__xludf.DUMMYFUNCTION("""COMPUTED_VALUE"""),"Tanaguarena")</f>
        <v>Tanaguarena</v>
      </c>
      <c r="I1769" s="44" t="str">
        <f>IFERROR(__xludf.DUMMYFUNCTION("""COMPUTED_VALUE""")," ")</f>
        <v> </v>
      </c>
      <c r="J1769" s="44" t="str">
        <f>IFERROR(__xludf.DUMMYFUNCTION("""COMPUTED_VALUE"""),"")</f>
        <v/>
      </c>
      <c r="K1769" s="42" t="str">
        <f>IFERROR(__xludf.DUMMYFUNCTION("""COMPUTED_VALUE"""),"Seguro Social La Guaira")</f>
        <v>Seguro Social La Guaira</v>
      </c>
    </row>
    <row r="1770">
      <c r="A1770" s="44">
        <v>1769.0</v>
      </c>
      <c r="B1770" s="44" t="str">
        <f>IFERROR(__xludf.DUMMYFUNCTION("""COMPUTED_VALUE"""),"Hospital Pérez Carreño")</f>
        <v>Hospital Pérez Carreño</v>
      </c>
      <c r="C1770" s="45" t="str">
        <f>IFERROR(__xludf.DUMMYFUNCTION("""COMPUTED_VALUE"""),"EDVAR CORNA")</f>
        <v>EDVAR CORNA</v>
      </c>
      <c r="D1770" s="44" t="str">
        <f>IFERROR(__xludf.DUMMYFUNCTION("""COMPUTED_VALUE"""),"Sin información")</f>
        <v>Sin información</v>
      </c>
      <c r="E1770" s="44" t="str">
        <f>IFERROR(__xludf.DUMMYFUNCTION("""COMPUTED_VALUE"""),"")</f>
        <v/>
      </c>
      <c r="F1770" s="44" t="str">
        <f>IFERROR(__xludf.DUMMYFUNCTION("""COMPUTED_VALUE"""),"")</f>
        <v/>
      </c>
      <c r="G1770" s="44" t="str">
        <f>IFERROR(__xludf.DUMMYFUNCTION("""COMPUTED_VALUE""")," ")</f>
        <v> </v>
      </c>
      <c r="H1770" s="44" t="str">
        <f>IFERROR(__xludf.DUMMYFUNCTION("""COMPUTED_VALUE"""),"Sin información")</f>
        <v>Sin información</v>
      </c>
      <c r="I1770" s="44" t="str">
        <f>IFERROR(__xludf.DUMMYFUNCTION("""COMPUTED_VALUE"""),"Sin información")</f>
        <v>Sin información</v>
      </c>
      <c r="J1770" s="44" t="str">
        <f>IFERROR(__xludf.DUMMYFUNCTION("""COMPUTED_VALUE"""),"25/06/2026")</f>
        <v>25/06/2026</v>
      </c>
      <c r="K1770" s="42" t="str">
        <f>IFERROR(__xludf.DUMMYFUNCTION("""COMPUTED_VALUE"""),"Hospital Pérez Carreño")</f>
        <v>Hospital Pérez Carreño</v>
      </c>
    </row>
    <row r="1771">
      <c r="A1771" s="44">
        <v>1770.0</v>
      </c>
      <c r="B1771" s="44" t="str">
        <f>IFERROR(__xludf.DUMMYFUNCTION("""COMPUTED_VALUE"""),"Hospital Pérez Carreño")</f>
        <v>Hospital Pérez Carreño</v>
      </c>
      <c r="C1771" s="45" t="str">
        <f>IFERROR(__xludf.DUMMYFUNCTION("""COMPUTED_VALUE"""),"Edvengely Perez")</f>
        <v>Edvengely Perez</v>
      </c>
      <c r="D1771" s="44" t="str">
        <f>IFERROR(__xludf.DUMMYFUNCTION("""COMPUTED_VALUE"""),"La Guaira")</f>
        <v>La Guaira</v>
      </c>
      <c r="E1771" s="44" t="str">
        <f>IFERROR(__xludf.DUMMYFUNCTION("""COMPUTED_VALUE"""),"")</f>
        <v/>
      </c>
      <c r="F1771" s="44" t="str">
        <f>IFERROR(__xludf.DUMMYFUNCTION("""COMPUTED_VALUE"""),"")</f>
        <v/>
      </c>
      <c r="G1771" s="44" t="str">
        <f>IFERROR(__xludf.DUMMYFUNCTION("""COMPUTED_VALUE"""),"ALTA")</f>
        <v>ALTA</v>
      </c>
      <c r="H1771" s="44"/>
      <c r="I1771" s="44"/>
      <c r="J1771" s="44"/>
      <c r="K1771" s="42" t="str">
        <f>IFERROR(__xludf.DUMMYFUNCTION("""COMPUTED_VALUE"""),"Hospital Pérez Carreño")</f>
        <v>Hospital Pérez Carreño</v>
      </c>
    </row>
    <row r="1772">
      <c r="A1772" s="44">
        <v>1771.0</v>
      </c>
      <c r="B1772" s="44" t="str">
        <f>IFERROR(__xludf.DUMMYFUNCTION("""COMPUTED_VALUE"""),"HOSPITAL VARGAS")</f>
        <v>HOSPITAL VARGAS</v>
      </c>
      <c r="C1772" s="45" t="str">
        <f>IFERROR(__xludf.DUMMYFUNCTION("""COMPUTED_VALUE"""),"Edward Napolitano")</f>
        <v>Edward Napolitano</v>
      </c>
      <c r="D1772" s="44"/>
      <c r="E1772" s="44" t="str">
        <f>IFERROR(__xludf.DUMMYFUNCTION("""COMPUTED_VALUE"""),"")</f>
        <v/>
      </c>
      <c r="F1772" s="44" t="str">
        <f>IFERROR(__xludf.DUMMYFUNCTION("""COMPUTED_VALUE"""),"")</f>
        <v/>
      </c>
      <c r="G1772" s="44" t="str">
        <f>IFERROR(__xludf.DUMMYFUNCTION("""COMPUTED_VALUE"""),"")</f>
        <v/>
      </c>
      <c r="H1772" s="44" t="str">
        <f>IFERROR(__xludf.DUMMYFUNCTION("""COMPUTED_VALUE"""),"")</f>
        <v/>
      </c>
      <c r="I1772" s="44" t="str">
        <f>IFERROR(__xludf.DUMMYFUNCTION("""COMPUTED_VALUE"""),"Herido / atendido")</f>
        <v>Herido / atendido</v>
      </c>
      <c r="J1772" s="44" t="str">
        <f>IFERROR(__xludf.DUMMYFUNCTION("""COMPUTED_VALUE"""),"24.06.2026 ")</f>
        <v>24.06.2026 </v>
      </c>
      <c r="K1772" s="42" t="str">
        <f>IFERROR(__xludf.DUMMYFUNCTION("""COMPUTED_VALUE"""),"HOSPITAL VARGAS")</f>
        <v>HOSPITAL VARGAS</v>
      </c>
    </row>
    <row r="1773">
      <c r="A1773" s="44">
        <v>1772.0</v>
      </c>
      <c r="B1773" s="44" t="str">
        <f>IFERROR(__xludf.DUMMYFUNCTION("""COMPUTED_VALUE"""),"Campo de Golf Playa los Cocos")</f>
        <v>Campo de Golf Playa los Cocos</v>
      </c>
      <c r="C1773" s="45" t="str">
        <f>IFERROR(__xludf.DUMMYFUNCTION("""COMPUTED_VALUE"""),"Edwin Efrain Garcia")</f>
        <v>Edwin Efrain Garcia</v>
      </c>
      <c r="D1773" s="44" t="str">
        <f>IFERROR(__xludf.DUMMYFUNCTION("""COMPUTED_VALUE"""),"")</f>
        <v/>
      </c>
      <c r="E1773" s="44" t="str">
        <f>IFERROR(__xludf.DUMMYFUNCTION("""COMPUTED_VALUE"""),"")</f>
        <v/>
      </c>
      <c r="F1773" s="44" t="str">
        <f>IFERROR(__xludf.DUMMYFUNCTION("""COMPUTED_VALUE"""),"")</f>
        <v/>
      </c>
      <c r="G1773" s="44" t="str">
        <f>IFERROR(__xludf.DUMMYFUNCTION("""COMPUTED_VALUE"""),"")</f>
        <v/>
      </c>
      <c r="H1773" s="44" t="str">
        <f>IFERROR(__xludf.DUMMYFUNCTION("""COMPUTED_VALUE"""),"")</f>
        <v/>
      </c>
      <c r="I1773" s="44"/>
      <c r="J1773" s="44" t="str">
        <f>IFERROR(__xludf.DUMMYFUNCTION("""COMPUTED_VALUE"""),"")</f>
        <v/>
      </c>
      <c r="K1773" s="42" t="str">
        <f>IFERROR(__xludf.DUMMYFUNCTION("""COMPUTED_VALUE"""),"Campo de Golf Playa los Cocos")</f>
        <v>Campo de Golf Playa los Cocos</v>
      </c>
    </row>
    <row r="1774">
      <c r="A1774" s="44">
        <v>1773.0</v>
      </c>
      <c r="B1774" s="44" t="str">
        <f>IFERROR(__xludf.DUMMYFUNCTION("""COMPUTED_VALUE"""),"Hospital Domingo Luciani")</f>
        <v>Hospital Domingo Luciani</v>
      </c>
      <c r="C1774" s="45" t="str">
        <f>IFERROR(__xludf.DUMMYFUNCTION("""COMPUTED_VALUE"""),"Efren Gualne Padron")</f>
        <v>Efren Gualne Padron</v>
      </c>
      <c r="D1774" s="44">
        <f>IFERROR(__xludf.DUMMYFUNCTION("""COMPUTED_VALUE"""),0.0)</f>
        <v>0</v>
      </c>
      <c r="E1774" s="44" t="str">
        <f>IFERROR(__xludf.DUMMYFUNCTION("""COMPUTED_VALUE"""),"")</f>
        <v/>
      </c>
      <c r="F1774" s="44" t="str">
        <f>IFERROR(__xludf.DUMMYFUNCTION("""COMPUTED_VALUE"""),"")</f>
        <v/>
      </c>
      <c r="G1774" s="44"/>
      <c r="H1774" s="44"/>
      <c r="I1774" s="44"/>
      <c r="J1774" s="44" t="str">
        <f>IFERROR(__xludf.DUMMYFUNCTION("""COMPUTED_VALUE"""),"")</f>
        <v/>
      </c>
      <c r="K1774" s="42" t="str">
        <f>IFERROR(__xludf.DUMMYFUNCTION("""COMPUTED_VALUE"""),"Hospital Domingo Luciani")</f>
        <v>Hospital Domingo Luciani</v>
      </c>
    </row>
    <row r="1775">
      <c r="A1775" s="44">
        <v>1774.0</v>
      </c>
      <c r="B1775" s="44" t="str">
        <f>IFERROR(__xludf.DUMMYFUNCTION("""COMPUTED_VALUE"""),"Hospital Domingo Luciani")</f>
        <v>Hospital Domingo Luciani</v>
      </c>
      <c r="C1775" s="45" t="str">
        <f>IFERROR(__xludf.DUMMYFUNCTION("""COMPUTED_VALUE"""),"Efren Guapni")</f>
        <v>Efren Guapni</v>
      </c>
      <c r="D1775" s="44">
        <f>IFERROR(__xludf.DUMMYFUNCTION("""COMPUTED_VALUE"""),30.0)</f>
        <v>30</v>
      </c>
      <c r="E1775" s="44" t="str">
        <f>IFERROR(__xludf.DUMMYFUNCTION("""COMPUTED_VALUE"""),"")</f>
        <v/>
      </c>
      <c r="F1775" s="44" t="str">
        <f>IFERROR(__xludf.DUMMYFUNCTION("""COMPUTED_VALUE"""),"")</f>
        <v/>
      </c>
      <c r="G1775" s="44"/>
      <c r="H1775" s="44"/>
      <c r="I1775" s="44"/>
      <c r="J1775" s="44" t="str">
        <f>IFERROR(__xludf.DUMMYFUNCTION("""COMPUTED_VALUE"""),"")</f>
        <v/>
      </c>
      <c r="K1775" s="42" t="str">
        <f>IFERROR(__xludf.DUMMYFUNCTION("""COMPUTED_VALUE"""),"Hospital Domingo Luciani")</f>
        <v>Hospital Domingo Luciani</v>
      </c>
    </row>
    <row r="1776">
      <c r="A1776" s="44">
        <v>1775.0</v>
      </c>
      <c r="B1776" s="44" t="str">
        <f>IFERROR(__xludf.DUMMYFUNCTION("""COMPUTED_VALUE"""),"Hospital Pérez Carreño")</f>
        <v>Hospital Pérez Carreño</v>
      </c>
      <c r="C1776" s="45" t="str">
        <f>IFERROR(__xludf.DUMMYFUNCTION("""COMPUTED_VALUE"""),"EGIBELTO AMILKAR")</f>
        <v>EGIBELTO AMILKAR</v>
      </c>
      <c r="D1776" s="44">
        <f>IFERROR(__xludf.DUMMYFUNCTION("""COMPUTED_VALUE"""),69.0)</f>
        <v>69</v>
      </c>
      <c r="E1776" s="44" t="str">
        <f>IFERROR(__xludf.DUMMYFUNCTION("""COMPUTED_VALUE"""),"")</f>
        <v/>
      </c>
      <c r="F1776" s="44" t="str">
        <f>IFERROR(__xludf.DUMMYFUNCTION("""COMPUTED_VALUE"""),"")</f>
        <v/>
      </c>
      <c r="G1776" s="44" t="str">
        <f>IFERROR(__xludf.DUMMYFUNCTION("""COMPUTED_VALUE""")," ")</f>
        <v> </v>
      </c>
      <c r="H1776" s="44" t="str">
        <f>IFERROR(__xludf.DUMMYFUNCTION("""COMPUTED_VALUE""")," ")</f>
        <v> </v>
      </c>
      <c r="I1776" s="44" t="str">
        <f>IFERROR(__xludf.DUMMYFUNCTION("""COMPUTED_VALUE"""),"Piso 3 – Traumachok; Cirugía ATJ Ortopedia; La Guaira")</f>
        <v>Piso 3 – Traumachok; Cirugía ATJ Ortopedia; La Guaira</v>
      </c>
      <c r="J1776" s="44" t="str">
        <f>IFERROR(__xludf.DUMMYFUNCTION("""COMPUTED_VALUE"""),"25/06/2026")</f>
        <v>25/06/2026</v>
      </c>
      <c r="K1776" s="42" t="str">
        <f>IFERROR(__xludf.DUMMYFUNCTION("""COMPUTED_VALUE"""),"Hospital Pérez Carreño")</f>
        <v>Hospital Pérez Carreño</v>
      </c>
    </row>
    <row r="1777">
      <c r="A1777" s="44">
        <v>1776.0</v>
      </c>
      <c r="B1777" s="44" t="str">
        <f>IFERROR(__xludf.DUMMYFUNCTION("""COMPUTED_VALUE"""),"Campo de Golf Playa los Cocos")</f>
        <v>Campo de Golf Playa los Cocos</v>
      </c>
      <c r="C1777" s="45" t="str">
        <f>IFERROR(__xludf.DUMMYFUNCTION("""COMPUTED_VALUE"""),"Eidert Yepez")</f>
        <v>Eidert Yepez</v>
      </c>
      <c r="D1777" s="44" t="str">
        <f>IFERROR(__xludf.DUMMYFUNCTION("""COMPUTED_VALUE"""),"")</f>
        <v/>
      </c>
      <c r="E1777" s="44" t="str">
        <f>IFERROR(__xludf.DUMMYFUNCTION("""COMPUTED_VALUE"""),"")</f>
        <v/>
      </c>
      <c r="F1777" s="44" t="str">
        <f>IFERROR(__xludf.DUMMYFUNCTION("""COMPUTED_VALUE"""),"")</f>
        <v/>
      </c>
      <c r="G1777" s="44" t="str">
        <f>IFERROR(__xludf.DUMMYFUNCTION("""COMPUTED_VALUE"""),"")</f>
        <v/>
      </c>
      <c r="H1777" s="44" t="str">
        <f>IFERROR(__xludf.DUMMYFUNCTION("""COMPUTED_VALUE"""),"")</f>
        <v/>
      </c>
      <c r="I1777" s="44"/>
      <c r="J1777" s="44" t="str">
        <f>IFERROR(__xludf.DUMMYFUNCTION("""COMPUTED_VALUE"""),"")</f>
        <v/>
      </c>
      <c r="K1777" s="42" t="str">
        <f>IFERROR(__xludf.DUMMYFUNCTION("""COMPUTED_VALUE"""),"Campo de Golf Playa los Cocos")</f>
        <v>Campo de Golf Playa los Cocos</v>
      </c>
    </row>
    <row r="1778">
      <c r="A1778" s="44">
        <v>1777.0</v>
      </c>
      <c r="B1778" s="44" t="str">
        <f>IFERROR(__xludf.DUMMYFUNCTION("""COMPUTED_VALUE"""),"Hospital Pérez Carreño")</f>
        <v>Hospital Pérez Carreño</v>
      </c>
      <c r="C1778" s="45" t="str">
        <f>IFERROR(__xludf.DUMMYFUNCTION("""COMPUTED_VALUE"""),"Eidimar Milano")</f>
        <v>Eidimar Milano</v>
      </c>
      <c r="D1778" s="44" t="str">
        <f>IFERROR(__xludf.DUMMYFUNCTION("""COMPUTED_VALUE"""),"13 años")</f>
        <v>13 años</v>
      </c>
      <c r="E1778" s="44" t="str">
        <f>IFERROR(__xludf.DUMMYFUNCTION("""COMPUTED_VALUE"""),"")</f>
        <v/>
      </c>
      <c r="F1778" s="44" t="str">
        <f>IFERROR(__xludf.DUMMYFUNCTION("""COMPUTED_VALUE"""),"")</f>
        <v/>
      </c>
      <c r="G1778" s="44" t="str">
        <f>IFERROR(__xludf.DUMMYFUNCTION("""COMPUTED_VALUE"""),"Traumashock ")</f>
        <v>Traumashock </v>
      </c>
      <c r="H1778" s="44" t="str">
        <f>IFERROR(__xludf.DUMMYFUNCTION("""COMPUTED_VALUE"""),"Hospital Miguel Perez Carreño")</f>
        <v>Hospital Miguel Perez Carreño</v>
      </c>
      <c r="I1778" s="44"/>
      <c r="J1778" s="44" t="str">
        <f>IFERROR(__xludf.DUMMYFUNCTION("""COMPUTED_VALUE"""),"26/6/26")</f>
        <v>26/6/26</v>
      </c>
      <c r="K1778" s="42" t="str">
        <f>IFERROR(__xludf.DUMMYFUNCTION("""COMPUTED_VALUE"""),"Hospital Pérez Carreño")</f>
        <v>Hospital Pérez Carreño</v>
      </c>
    </row>
    <row r="1779">
      <c r="A1779" s="44">
        <v>1778.0</v>
      </c>
      <c r="B1779" s="44" t="str">
        <f>IFERROR(__xludf.DUMMYFUNCTION("""COMPUTED_VALUE"""),"Campo de Golf Playa los Cocos")</f>
        <v>Campo de Golf Playa los Cocos</v>
      </c>
      <c r="C1779" s="45" t="str">
        <f>IFERROR(__xludf.DUMMYFUNCTION("""COMPUTED_VALUE"""),"Eiker Hermoso")</f>
        <v>Eiker Hermoso</v>
      </c>
      <c r="D1779" s="44" t="str">
        <f>IFERROR(__xludf.DUMMYFUNCTION("""COMPUTED_VALUE"""),"")</f>
        <v/>
      </c>
      <c r="E1779" s="44" t="str">
        <f>IFERROR(__xludf.DUMMYFUNCTION("""COMPUTED_VALUE"""),"")</f>
        <v/>
      </c>
      <c r="F1779" s="44" t="str">
        <f>IFERROR(__xludf.DUMMYFUNCTION("""COMPUTED_VALUE"""),"")</f>
        <v/>
      </c>
      <c r="G1779" s="44" t="str">
        <f>IFERROR(__xludf.DUMMYFUNCTION("""COMPUTED_VALUE"""),"")</f>
        <v/>
      </c>
      <c r="H1779" s="44" t="str">
        <f>IFERROR(__xludf.DUMMYFUNCTION("""COMPUTED_VALUE"""),"")</f>
        <v/>
      </c>
      <c r="I1779" s="44"/>
      <c r="J1779" s="44" t="str">
        <f>IFERROR(__xludf.DUMMYFUNCTION("""COMPUTED_VALUE"""),"")</f>
        <v/>
      </c>
      <c r="K1779" s="42" t="str">
        <f>IFERROR(__xludf.DUMMYFUNCTION("""COMPUTED_VALUE"""),"Campo de Golf Playa los Cocos")</f>
        <v>Campo de Golf Playa los Cocos</v>
      </c>
    </row>
    <row r="1780">
      <c r="A1780" s="44">
        <v>1779.0</v>
      </c>
      <c r="B1780" s="44" t="str">
        <f>IFERROR(__xludf.DUMMYFUNCTION("""COMPUTED_VALUE"""),"Hospital Domingo Luciani")</f>
        <v>Hospital Domingo Luciani</v>
      </c>
      <c r="C1780" s="45" t="str">
        <f>IFERROR(__xludf.DUMMYFUNCTION("""COMPUTED_VALUE"""),"EKARCE DORIA")</f>
        <v>EKARCE DORIA</v>
      </c>
      <c r="D1780" s="44">
        <f>IFERROR(__xludf.DUMMYFUNCTION("""COMPUTED_VALUE"""),23.0)</f>
        <v>23</v>
      </c>
      <c r="E1780" s="44" t="str">
        <f>IFERROR(__xludf.DUMMYFUNCTION("""COMPUTED_VALUE"""),"")</f>
        <v/>
      </c>
      <c r="F1780" s="44" t="str">
        <f>IFERROR(__xludf.DUMMYFUNCTION("""COMPUTED_VALUE"""),"")</f>
        <v/>
      </c>
      <c r="G1780" s="44" t="str">
        <f>IFERROR(__xludf.DUMMYFUNCTION("""COMPUTED_VALUE""")," ")</f>
        <v> </v>
      </c>
      <c r="H1780" s="44" t="str">
        <f>IFERROR(__xludf.DUMMYFUNCTION("""COMPUTED_VALUE""")," ")</f>
        <v> </v>
      </c>
      <c r="I1780" s="44" t="str">
        <f>IFERROR(__xludf.DUMMYFUNCTION("""COMPUTED_VALUE"""),"Politrauma Emerg. Nueva")</f>
        <v>Politrauma Emerg. Nueva</v>
      </c>
      <c r="J1780" s="44" t="str">
        <f>IFERROR(__xludf.DUMMYFUNCTION("""COMPUTED_VALUE"""),"")</f>
        <v/>
      </c>
      <c r="K1780" s="42" t="str">
        <f>IFERROR(__xludf.DUMMYFUNCTION("""COMPUTED_VALUE"""),"🔍 BUSCAR PACIENTES")</f>
        <v>🔍 BUSCAR PACIENTES</v>
      </c>
    </row>
    <row r="1781">
      <c r="A1781" s="44">
        <v>1780.0</v>
      </c>
      <c r="B1781" s="44" t="str">
        <f>IFERROR(__xludf.DUMMYFUNCTION("""COMPUTED_VALUE"""),"Hospital Domingo Luciani")</f>
        <v>Hospital Domingo Luciani</v>
      </c>
      <c r="C1781" s="45" t="str">
        <f>IFERROR(__xludf.DUMMYFUNCTION("""COMPUTED_VALUE"""),"EKARCE/SCARLET DORIA")</f>
        <v>EKARCE/SCARLET DORIA</v>
      </c>
      <c r="D1781" s="44">
        <f>IFERROR(__xludf.DUMMYFUNCTION("""COMPUTED_VALUE"""),23.0)</f>
        <v>23</v>
      </c>
      <c r="E1781" s="44" t="str">
        <f>IFERROR(__xludf.DUMMYFUNCTION("""COMPUTED_VALUE"""),"")</f>
        <v/>
      </c>
      <c r="F1781" s="44" t="str">
        <f>IFERROR(__xludf.DUMMYFUNCTION("""COMPUTED_VALUE"""),"")</f>
        <v/>
      </c>
      <c r="G1781" s="44" t="str">
        <f>IFERROR(__xludf.DUMMYFUNCTION("""COMPUTED_VALUE""")," ")</f>
        <v> </v>
      </c>
      <c r="H1781" s="44" t="str">
        <f>IFERROR(__xludf.DUMMYFUNCTION("""COMPUTED_VALUE""")," ")</f>
        <v> </v>
      </c>
      <c r="I1781" s="44" t="str">
        <f>IFERROR(__xludf.DUMMYFUNCTION("""COMPUTED_VALUE"""),"Internado; Politrauma Emerg. Nueva")</f>
        <v>Internado; Politrauma Emerg. Nueva</v>
      </c>
      <c r="J1781" s="44" t="str">
        <f>IFERROR(__xludf.DUMMYFUNCTION("""COMPUTED_VALUE"""),"")</f>
        <v/>
      </c>
      <c r="K1781" s="42" t="str">
        <f>IFERROR(__xludf.DUMMYFUNCTION("""COMPUTED_VALUE"""),"🔍 BUSCAR PACIENTES")</f>
        <v>🔍 BUSCAR PACIENTES</v>
      </c>
    </row>
    <row r="1782">
      <c r="A1782" s="44">
        <v>1781.0</v>
      </c>
      <c r="B1782" s="44" t="str">
        <f>IFERROR(__xludf.DUMMYFUNCTION("""COMPUTED_VALUE"""),"Seguro Social La Guaira")</f>
        <v>Seguro Social La Guaira</v>
      </c>
      <c r="C1782" s="45" t="str">
        <f>IFERROR(__xludf.DUMMYFUNCTION("""COMPUTED_VALUE"""),"ELCIO GIL")</f>
        <v>ELCIO GIL</v>
      </c>
      <c r="D1782" s="44" t="str">
        <f>IFERROR(__xludf.DUMMYFUNCTION("""COMPUTED_VALUE"""),"4 meses")</f>
        <v>4 meses</v>
      </c>
      <c r="E1782" s="44" t="str">
        <f>IFERROR(__xludf.DUMMYFUNCTION("""COMPUTED_VALUE"""),"")</f>
        <v/>
      </c>
      <c r="F1782" s="44" t="str">
        <f>IFERROR(__xludf.DUMMYFUNCTION("""COMPUTED_VALUE"""),"")</f>
        <v/>
      </c>
      <c r="G1782" s="44" t="str">
        <f>IFERROR(__xludf.DUMMYFUNCTION("""COMPUTED_VALUE""")," ")</f>
        <v> </v>
      </c>
      <c r="H1782" s="44" t="str">
        <f>IFERROR(__xludf.DUMMYFUNCTION("""COMPUTED_VALUE"""),"Caraballeda")</f>
        <v>Caraballeda</v>
      </c>
      <c r="I1782" s="44" t="str">
        <f>IFERROR(__xludf.DUMMYFUNCTION("""COMPUTED_VALUE""")," ")</f>
        <v> </v>
      </c>
      <c r="J1782" s="44" t="str">
        <f>IFERROR(__xludf.DUMMYFUNCTION("""COMPUTED_VALUE"""),"")</f>
        <v/>
      </c>
      <c r="K1782" s="42" t="str">
        <f>IFERROR(__xludf.DUMMYFUNCTION("""COMPUTED_VALUE"""),"Seguro Social La Guaira")</f>
        <v>Seguro Social La Guaira</v>
      </c>
    </row>
    <row r="1783">
      <c r="A1783" s="44">
        <v>1782.0</v>
      </c>
      <c r="B1783" s="44" t="str">
        <f>IFERROR(__xludf.DUMMYFUNCTION("""COMPUTED_VALUE"""),"Hospital Pérez Carreño")</f>
        <v>Hospital Pérez Carreño</v>
      </c>
      <c r="C1783" s="45" t="str">
        <f>IFERROR(__xludf.DUMMYFUNCTION("""COMPUTED_VALUE"""),"Eli Sanyeli")</f>
        <v>Eli Sanyeli</v>
      </c>
      <c r="D1783" s="44" t="str">
        <f>IFERROR(__xludf.DUMMYFUNCTION("""COMPUTED_VALUE"""),"80 años (o 8 años)")</f>
        <v>80 años (o 8 años)</v>
      </c>
      <c r="E1783" s="44" t="str">
        <f>IFERROR(__xludf.DUMMYFUNCTION("""COMPUTED_VALUE"""),"")</f>
        <v/>
      </c>
      <c r="F1783" s="44" t="str">
        <f>IFERROR(__xludf.DUMMYFUNCTION("""COMPUTED_VALUE"""),"")</f>
        <v/>
      </c>
      <c r="G1783" s="44" t="str">
        <f>IFERROR(__xludf.DUMMYFUNCTION("""COMPUTED_VALUE"""),"Traumashock ")</f>
        <v>Traumashock </v>
      </c>
      <c r="H1783" s="44" t="str">
        <f>IFERROR(__xludf.DUMMYFUNCTION("""COMPUTED_VALUE"""),"Hospital Miguel Perez Carreño")</f>
        <v>Hospital Miguel Perez Carreño</v>
      </c>
      <c r="I1783" s="44"/>
      <c r="J1783" s="44" t="str">
        <f>IFERROR(__xludf.DUMMYFUNCTION("""COMPUTED_VALUE"""),"26/6/26")</f>
        <v>26/6/26</v>
      </c>
      <c r="K1783" s="42" t="str">
        <f>IFERROR(__xludf.DUMMYFUNCTION("""COMPUTED_VALUE"""),"Hospital Pérez Carreño")</f>
        <v>Hospital Pérez Carreño</v>
      </c>
    </row>
    <row r="1784">
      <c r="A1784" s="44">
        <v>1783.0</v>
      </c>
      <c r="B1784" s="44" t="str">
        <f>IFERROR(__xludf.DUMMYFUNCTION("""COMPUTED_VALUE"""),"Hospital Domingo Luciani")</f>
        <v>Hospital Domingo Luciani</v>
      </c>
      <c r="C1784" s="45" t="str">
        <f>IFERROR(__xludf.DUMMYFUNCTION("""COMPUTED_VALUE"""),"Elian Trujillo")</f>
        <v>Elian Trujillo</v>
      </c>
      <c r="D1784" s="44">
        <f>IFERROR(__xludf.DUMMYFUNCTION("""COMPUTED_VALUE"""),19.0)</f>
        <v>19</v>
      </c>
      <c r="E1784" s="44" t="str">
        <f>IFERROR(__xludf.DUMMYFUNCTION("""COMPUTED_VALUE"""),"")</f>
        <v/>
      </c>
      <c r="F1784" s="44" t="str">
        <f>IFERROR(__xludf.DUMMYFUNCTION("""COMPUTED_VALUE"""),"")</f>
        <v/>
      </c>
      <c r="G1784" s="44"/>
      <c r="H1784" s="44"/>
      <c r="I1784" s="44"/>
      <c r="J1784" s="44" t="str">
        <f>IFERROR(__xludf.DUMMYFUNCTION("""COMPUTED_VALUE"""),"")</f>
        <v/>
      </c>
      <c r="K1784" s="42" t="str">
        <f>IFERROR(__xludf.DUMMYFUNCTION("""COMPUTED_VALUE"""),"Hospital Domingo Luciani")</f>
        <v>Hospital Domingo Luciani</v>
      </c>
    </row>
    <row r="1785">
      <c r="A1785" s="44">
        <v>1784.0</v>
      </c>
      <c r="B1785" s="44" t="str">
        <f>IFERROR(__xludf.DUMMYFUNCTION("""COMPUTED_VALUE"""),"Campo de Golf Playa los Cocos")</f>
        <v>Campo de Golf Playa los Cocos</v>
      </c>
      <c r="C1785" s="45" t="str">
        <f>IFERROR(__xludf.DUMMYFUNCTION("""COMPUTED_VALUE"""),"Elias Hermoso")</f>
        <v>Elias Hermoso</v>
      </c>
      <c r="D1785" s="44" t="str">
        <f>IFERROR(__xludf.DUMMYFUNCTION("""COMPUTED_VALUE"""),"")</f>
        <v/>
      </c>
      <c r="E1785" s="44" t="str">
        <f>IFERROR(__xludf.DUMMYFUNCTION("""COMPUTED_VALUE"""),"")</f>
        <v/>
      </c>
      <c r="F1785" s="44" t="str">
        <f>IFERROR(__xludf.DUMMYFUNCTION("""COMPUTED_VALUE"""),"")</f>
        <v/>
      </c>
      <c r="G1785" s="44" t="str">
        <f>IFERROR(__xludf.DUMMYFUNCTION("""COMPUTED_VALUE"""),"")</f>
        <v/>
      </c>
      <c r="H1785" s="44" t="str">
        <f>IFERROR(__xludf.DUMMYFUNCTION("""COMPUTED_VALUE"""),"")</f>
        <v/>
      </c>
      <c r="I1785" s="44"/>
      <c r="J1785" s="44" t="str">
        <f>IFERROR(__xludf.DUMMYFUNCTION("""COMPUTED_VALUE"""),"")</f>
        <v/>
      </c>
      <c r="K1785" s="42" t="str">
        <f>IFERROR(__xludf.DUMMYFUNCTION("""COMPUTED_VALUE"""),"Campo de Golf Playa los Cocos")</f>
        <v>Campo de Golf Playa los Cocos</v>
      </c>
    </row>
    <row r="1786">
      <c r="A1786" s="44">
        <v>1785.0</v>
      </c>
      <c r="B1786" s="44" t="str">
        <f>IFERROR(__xludf.DUMMYFUNCTION("""COMPUTED_VALUE"""),"Campo de Golf Playa los Cocos")</f>
        <v>Campo de Golf Playa los Cocos</v>
      </c>
      <c r="C1786" s="45" t="str">
        <f>IFERROR(__xludf.DUMMYFUNCTION("""COMPUTED_VALUE"""),"Elias Yanez")</f>
        <v>Elias Yanez</v>
      </c>
      <c r="D1786" s="44" t="str">
        <f>IFERROR(__xludf.DUMMYFUNCTION("""COMPUTED_VALUE"""),"")</f>
        <v/>
      </c>
      <c r="E1786" s="44" t="str">
        <f>IFERROR(__xludf.DUMMYFUNCTION("""COMPUTED_VALUE"""),"")</f>
        <v/>
      </c>
      <c r="F1786" s="44" t="str">
        <f>IFERROR(__xludf.DUMMYFUNCTION("""COMPUTED_VALUE"""),"")</f>
        <v/>
      </c>
      <c r="G1786" s="44" t="str">
        <f>IFERROR(__xludf.DUMMYFUNCTION("""COMPUTED_VALUE"""),"")</f>
        <v/>
      </c>
      <c r="H1786" s="44" t="str">
        <f>IFERROR(__xludf.DUMMYFUNCTION("""COMPUTED_VALUE"""),"")</f>
        <v/>
      </c>
      <c r="I1786" s="44" t="str">
        <f>IFERROR(__xludf.DUMMYFUNCTION("""COMPUTED_VALUE"""),"menor")</f>
        <v>menor</v>
      </c>
      <c r="J1786" s="44" t="str">
        <f>IFERROR(__xludf.DUMMYFUNCTION("""COMPUTED_VALUE"""),"")</f>
        <v/>
      </c>
      <c r="K1786" s="42" t="str">
        <f>IFERROR(__xludf.DUMMYFUNCTION("""COMPUTED_VALUE"""),"Campo de Golf Playa los Cocos")</f>
        <v>Campo de Golf Playa los Cocos</v>
      </c>
    </row>
    <row r="1787">
      <c r="A1787" s="44">
        <v>1786.0</v>
      </c>
      <c r="B1787" s="44" t="str">
        <f>IFERROR(__xludf.DUMMYFUNCTION("""COMPUTED_VALUE"""),"Campo de Golf Playa los Cocos")</f>
        <v>Campo de Golf Playa los Cocos</v>
      </c>
      <c r="C1787" s="45" t="str">
        <f>IFERROR(__xludf.DUMMYFUNCTION("""COMPUTED_VALUE"""),"Eliecer Martinez")</f>
        <v>Eliecer Martinez</v>
      </c>
      <c r="D1787" s="44" t="str">
        <f>IFERROR(__xludf.DUMMYFUNCTION("""COMPUTED_VALUE"""),"")</f>
        <v/>
      </c>
      <c r="E1787" s="44" t="str">
        <f>IFERROR(__xludf.DUMMYFUNCTION("""COMPUTED_VALUE"""),"")</f>
        <v/>
      </c>
      <c r="F1787" s="44" t="str">
        <f>IFERROR(__xludf.DUMMYFUNCTION("""COMPUTED_VALUE"""),"")</f>
        <v/>
      </c>
      <c r="G1787" s="44" t="str">
        <f>IFERROR(__xludf.DUMMYFUNCTION("""COMPUTED_VALUE"""),"")</f>
        <v/>
      </c>
      <c r="H1787" s="44" t="str">
        <f>IFERROR(__xludf.DUMMYFUNCTION("""COMPUTED_VALUE"""),"")</f>
        <v/>
      </c>
      <c r="I1787" s="44" t="str">
        <f>IFERROR(__xludf.DUMMYFUNCTION("""COMPUTED_VALUE"""),"menor; nombre con correccion en el original")</f>
        <v>menor; nombre con correccion en el original</v>
      </c>
      <c r="J1787" s="44" t="str">
        <f>IFERROR(__xludf.DUMMYFUNCTION("""COMPUTED_VALUE"""),"")</f>
        <v/>
      </c>
      <c r="K1787" s="42" t="str">
        <f>IFERROR(__xludf.DUMMYFUNCTION("""COMPUTED_VALUE"""),"Campo de Golf Playa los Cocos")</f>
        <v>Campo de Golf Playa los Cocos</v>
      </c>
    </row>
    <row r="1788">
      <c r="A1788" s="44">
        <v>1787.0</v>
      </c>
      <c r="B1788" s="44" t="str">
        <f>IFERROR(__xludf.DUMMYFUNCTION("""COMPUTED_VALUE"""),"Hospital Pérez Carreño")</f>
        <v>Hospital Pérez Carreño</v>
      </c>
      <c r="C1788" s="45" t="str">
        <f>IFERROR(__xludf.DUMMYFUNCTION("""COMPUTED_VALUE"""),"Elimar Lopez")</f>
        <v>Elimar Lopez</v>
      </c>
      <c r="D1788" s="44" t="str">
        <f>IFERROR(__xludf.DUMMYFUNCTION("""COMPUTED_VALUE"""),"42 años")</f>
        <v>42 años</v>
      </c>
      <c r="E1788" s="44" t="str">
        <f>IFERROR(__xludf.DUMMYFUNCTION("""COMPUTED_VALUE"""),"")</f>
        <v/>
      </c>
      <c r="F1788" s="44" t="str">
        <f>IFERROR(__xludf.DUMMYFUNCTION("""COMPUTED_VALUE"""),"")</f>
        <v/>
      </c>
      <c r="G1788" s="44" t="str">
        <f>IFERROR(__xludf.DUMMYFUNCTION("""COMPUTED_VALUE"""),"Traumashock ")</f>
        <v>Traumashock </v>
      </c>
      <c r="H1788" s="44" t="str">
        <f>IFERROR(__xludf.DUMMYFUNCTION("""COMPUTED_VALUE"""),"Hospital Miguel Perez Carreño")</f>
        <v>Hospital Miguel Perez Carreño</v>
      </c>
      <c r="I1788" s="44"/>
      <c r="J1788" s="44" t="str">
        <f>IFERROR(__xludf.DUMMYFUNCTION("""COMPUTED_VALUE"""),"26/6/26")</f>
        <v>26/6/26</v>
      </c>
      <c r="K1788" s="42" t="str">
        <f>IFERROR(__xludf.DUMMYFUNCTION("""COMPUTED_VALUE"""),"Hospital Pérez Carreño")</f>
        <v>Hospital Pérez Carreño</v>
      </c>
    </row>
    <row r="1789">
      <c r="A1789" s="44">
        <v>1788.0</v>
      </c>
      <c r="B1789" s="44" t="str">
        <f>IFERROR(__xludf.DUMMYFUNCTION("""COMPUTED_VALUE"""),"Hospital Domingo Luciani")</f>
        <v>Hospital Domingo Luciani</v>
      </c>
      <c r="C1789" s="45" t="str">
        <f>IFERROR(__xludf.DUMMYFUNCTION("""COMPUTED_VALUE"""),"Eliomar Reyes")</f>
        <v>Eliomar Reyes</v>
      </c>
      <c r="D1789" s="44">
        <f>IFERROR(__xludf.DUMMYFUNCTION("""COMPUTED_VALUE"""),23.0)</f>
        <v>23</v>
      </c>
      <c r="E1789" s="44" t="str">
        <f>IFERROR(__xludf.DUMMYFUNCTION("""COMPUTED_VALUE"""),"")</f>
        <v/>
      </c>
      <c r="F1789" s="44" t="str">
        <f>IFERROR(__xludf.DUMMYFUNCTION("""COMPUTED_VALUE"""),"")</f>
        <v/>
      </c>
      <c r="G1789" s="44"/>
      <c r="H1789" s="44"/>
      <c r="I1789" s="44"/>
      <c r="J1789" s="44" t="str">
        <f>IFERROR(__xludf.DUMMYFUNCTION("""COMPUTED_VALUE"""),"")</f>
        <v/>
      </c>
      <c r="K1789" s="42" t="str">
        <f>IFERROR(__xludf.DUMMYFUNCTION("""COMPUTED_VALUE"""),"Hospital Domingo Luciani")</f>
        <v>Hospital Domingo Luciani</v>
      </c>
    </row>
    <row r="1790">
      <c r="A1790" s="44">
        <v>1789.0</v>
      </c>
      <c r="B1790" s="44" t="str">
        <f>IFERROR(__xludf.DUMMYFUNCTION("""COMPUTED_VALUE"""),"HOSPITAL VARGAS")</f>
        <v>HOSPITAL VARGAS</v>
      </c>
      <c r="C1790" s="45" t="str">
        <f>IFERROR(__xludf.DUMMYFUNCTION("""COMPUTED_VALUE"""),"Elita Maryore")</f>
        <v>Elita Maryore</v>
      </c>
      <c r="D1790" s="44"/>
      <c r="E1790" s="44" t="str">
        <f>IFERROR(__xludf.DUMMYFUNCTION("""COMPUTED_VALUE"""),"")</f>
        <v/>
      </c>
      <c r="F1790" s="44" t="str">
        <f>IFERROR(__xludf.DUMMYFUNCTION("""COMPUTED_VALUE"""),"")</f>
        <v/>
      </c>
      <c r="G1790" s="44" t="str">
        <f>IFERROR(__xludf.DUMMYFUNCTION("""COMPUTED_VALUE"""),"")</f>
        <v/>
      </c>
      <c r="H1790" s="44" t="str">
        <f>IFERROR(__xludf.DUMMYFUNCTION("""COMPUTED_VALUE"""),"")</f>
        <v/>
      </c>
      <c r="I1790" s="44" t="str">
        <f>IFERROR(__xludf.DUMMYFUNCTION("""COMPUTED_VALUE"""),"Herido / atendido")</f>
        <v>Herido / atendido</v>
      </c>
      <c r="J1790" s="44" t="str">
        <f>IFERROR(__xludf.DUMMYFUNCTION("""COMPUTED_VALUE"""),"24.06.2026 ")</f>
        <v>24.06.2026 </v>
      </c>
      <c r="K1790" s="42" t="str">
        <f>IFERROR(__xludf.DUMMYFUNCTION("""COMPUTED_VALUE"""),"HOSPITAL VARGAS")</f>
        <v>HOSPITAL VARGAS</v>
      </c>
    </row>
    <row r="1791">
      <c r="A1791" s="44">
        <v>1790.0</v>
      </c>
      <c r="B1791" s="44" t="str">
        <f>IFERROR(__xludf.DUMMYFUNCTION("""COMPUTED_VALUE"""),"Hospital Pérez Carreño")</f>
        <v>Hospital Pérez Carreño</v>
      </c>
      <c r="C1791" s="45" t="str">
        <f>IFERROR(__xludf.DUMMYFUNCTION("""COMPUTED_VALUE"""),"Elizabeth Materano")</f>
        <v>Elizabeth Materano</v>
      </c>
      <c r="D1791" s="44"/>
      <c r="E1791" s="44" t="str">
        <f>IFERROR(__xludf.DUMMYFUNCTION("""COMPUTED_VALUE"""),"")</f>
        <v/>
      </c>
      <c r="F1791" s="44" t="str">
        <f>IFERROR(__xludf.DUMMYFUNCTION("""COMPUTED_VALUE"""),"")</f>
        <v/>
      </c>
      <c r="G1791" s="44"/>
      <c r="H1791" s="44"/>
      <c r="I1791" s="44"/>
      <c r="J1791" s="44"/>
      <c r="K1791" s="42" t="str">
        <f>IFERROR(__xludf.DUMMYFUNCTION("""COMPUTED_VALUE"""),"Hospital Pérez Carreño")</f>
        <v>Hospital Pérez Carreño</v>
      </c>
    </row>
    <row r="1792">
      <c r="A1792" s="44">
        <v>1791.0</v>
      </c>
      <c r="B1792" s="44" t="str">
        <f>IFERROR(__xludf.DUMMYFUNCTION("""COMPUTED_VALUE"""),"Hospital Domingo Luciani")</f>
        <v>Hospital Domingo Luciani</v>
      </c>
      <c r="C1792" s="45" t="str">
        <f>IFERROR(__xludf.DUMMYFUNCTION("""COMPUTED_VALUE"""),"Ema Cordova")</f>
        <v>Ema Cordova</v>
      </c>
      <c r="D1792" s="44">
        <f>IFERROR(__xludf.DUMMYFUNCTION("""COMPUTED_VALUE"""),0.0)</f>
        <v>0</v>
      </c>
      <c r="E1792" s="44" t="str">
        <f>IFERROR(__xludf.DUMMYFUNCTION("""COMPUTED_VALUE"""),"")</f>
        <v/>
      </c>
      <c r="F1792" s="44" t="str">
        <f>IFERROR(__xludf.DUMMYFUNCTION("""COMPUTED_VALUE"""),"")</f>
        <v/>
      </c>
      <c r="G1792" s="44"/>
      <c r="H1792" s="44"/>
      <c r="I1792" s="44"/>
      <c r="J1792" s="44" t="str">
        <f>IFERROR(__xludf.DUMMYFUNCTION("""COMPUTED_VALUE"""),"")</f>
        <v/>
      </c>
      <c r="K1792" s="42" t="str">
        <f>IFERROR(__xludf.DUMMYFUNCTION("""COMPUTED_VALUE"""),"Hospital Domingo Luciani")</f>
        <v>Hospital Domingo Luciani</v>
      </c>
    </row>
    <row r="1793">
      <c r="A1793" s="44">
        <v>1792.0</v>
      </c>
      <c r="B1793" s="44" t="str">
        <f>IFERROR(__xludf.DUMMYFUNCTION("""COMPUTED_VALUE"""),"Hospital Pérez Carreño")</f>
        <v>Hospital Pérez Carreño</v>
      </c>
      <c r="C1793" s="45" t="str">
        <f>IFERROR(__xludf.DUMMYFUNCTION("""COMPUTED_VALUE"""),"EMAN GLADYS")</f>
        <v>EMAN GLADYS</v>
      </c>
      <c r="D1793" s="44" t="str">
        <f>IFERROR(__xludf.DUMMYFUNCTION("""COMPUTED_VALUE""")," ")</f>
        <v> </v>
      </c>
      <c r="E1793" s="44" t="str">
        <f>IFERROR(__xludf.DUMMYFUNCTION("""COMPUTED_VALUE"""),"")</f>
        <v/>
      </c>
      <c r="F1793" s="44" t="str">
        <f>IFERROR(__xludf.DUMMYFUNCTION("""COMPUTED_VALUE"""),"")</f>
        <v/>
      </c>
      <c r="G1793" s="44" t="str">
        <f>IFERROR(__xludf.DUMMYFUNCTION("""COMPUTED_VALUE""")," ")</f>
        <v> </v>
      </c>
      <c r="H1793" s="44" t="str">
        <f>IFERROR(__xludf.DUMMYFUNCTION("""COMPUTED_VALUE""")," ")</f>
        <v> </v>
      </c>
      <c r="I1793" s="44" t="str">
        <f>IFERROR(__xludf.DUMMYFUNCTION("""COMPUTED_VALUE"""),"Traumashock")</f>
        <v>Traumashock</v>
      </c>
      <c r="J1793" s="44" t="str">
        <f>IFERROR(__xludf.DUMMYFUNCTION("""COMPUTED_VALUE"""),"25/06/2026")</f>
        <v>25/06/2026</v>
      </c>
      <c r="K1793" s="42" t="str">
        <f>IFERROR(__xludf.DUMMYFUNCTION("""COMPUTED_VALUE"""),"Hospital Pérez Carreño")</f>
        <v>Hospital Pérez Carreño</v>
      </c>
    </row>
    <row r="1794">
      <c r="A1794" s="44">
        <v>1793.0</v>
      </c>
      <c r="B1794" s="44" t="str">
        <f>IFERROR(__xludf.DUMMYFUNCTION("""COMPUTED_VALUE"""),"Periférico de Catia")</f>
        <v>Periférico de Catia</v>
      </c>
      <c r="C1794" s="45" t="str">
        <f>IFERROR(__xludf.DUMMYFUNCTION("""COMPUTED_VALUE"""),"Emeli Fernandez")</f>
        <v>Emeli Fernandez</v>
      </c>
      <c r="D1794" s="44">
        <f>IFERROR(__xludf.DUMMYFUNCTION("""COMPUTED_VALUE"""),27.0)</f>
        <v>27</v>
      </c>
      <c r="E1794" s="44" t="str">
        <f>IFERROR(__xludf.DUMMYFUNCTION("""COMPUTED_VALUE"""),"")</f>
        <v/>
      </c>
      <c r="F1794" s="44" t="str">
        <f>IFERROR(__xludf.DUMMYFUNCTION("""COMPUTED_VALUE"""),"")</f>
        <v/>
      </c>
      <c r="G1794" s="44"/>
      <c r="H1794" s="44"/>
      <c r="I1794" s="44" t="str">
        <f>IFERROR(__xludf.DUMMYFUNCTION("""COMPUTED_VALUE"""),"UCI (version anterior, lista UCI sin hora)")</f>
        <v>UCI (version anterior, lista UCI sin hora)</v>
      </c>
      <c r="J1794" s="44" t="str">
        <f>IFERROR(__xludf.DUMMYFUNCTION("""COMPUTED_VALUE"""),"")</f>
        <v/>
      </c>
      <c r="K1794" s="42" t="str">
        <f>IFERROR(__xludf.DUMMYFUNCTION("""COMPUTED_VALUE"""),"Periférico de Catia")</f>
        <v>Periférico de Catia</v>
      </c>
    </row>
    <row r="1795">
      <c r="A1795" s="44">
        <v>1794.0</v>
      </c>
      <c r="B1795" s="44" t="str">
        <f>IFERROR(__xludf.DUMMYFUNCTION("""COMPUTED_VALUE"""),"Hospital Vargas de Caracas")</f>
        <v>Hospital Vargas de Caracas</v>
      </c>
      <c r="C1795" s="45" t="str">
        <f>IFERROR(__xludf.DUMMYFUNCTION("""COMPUTED_VALUE"""),"Emerson Lopez")</f>
        <v>Emerson Lopez</v>
      </c>
      <c r="D1795" s="44"/>
      <c r="E1795" s="44" t="str">
        <f>IFERROR(__xludf.DUMMYFUNCTION("""COMPUTED_VALUE"""),"")</f>
        <v/>
      </c>
      <c r="F1795" s="44"/>
      <c r="G1795" s="44" t="str">
        <f>IFERROR(__xludf.DUMMYFUNCTION("""COMPUTED_VALUE"""),"")</f>
        <v/>
      </c>
      <c r="H1795" s="44"/>
      <c r="I1795" s="44"/>
      <c r="J1795" s="44" t="str">
        <f>IFERROR(__xludf.DUMMYFUNCTION("""COMPUTED_VALUE"""),"")</f>
        <v/>
      </c>
      <c r="K1795" s="42" t="str">
        <f>IFERROR(__xludf.DUMMYFUNCTION("""COMPUTED_VALUE"""),"Hospital Vargas de Caracas")</f>
        <v>Hospital Vargas de Caracas</v>
      </c>
    </row>
    <row r="1796">
      <c r="A1796" s="44">
        <v>1795.0</v>
      </c>
      <c r="B1796" s="44" t="str">
        <f>IFERROR(__xludf.DUMMYFUNCTION("""COMPUTED_VALUE"""),"HOSPITAL VARGAS")</f>
        <v>HOSPITAL VARGAS</v>
      </c>
      <c r="C1796" s="45" t="str">
        <f>IFERROR(__xludf.DUMMYFUNCTION("""COMPUTED_VALUE"""),"Emerson López")</f>
        <v>Emerson López</v>
      </c>
      <c r="D1796" s="44"/>
      <c r="E1796" s="44" t="str">
        <f>IFERROR(__xludf.DUMMYFUNCTION("""COMPUTED_VALUE"""),"")</f>
        <v/>
      </c>
      <c r="F1796" s="44" t="str">
        <f>IFERROR(__xludf.DUMMYFUNCTION("""COMPUTED_VALUE"""),"")</f>
        <v/>
      </c>
      <c r="G1796" s="44" t="str">
        <f>IFERROR(__xludf.DUMMYFUNCTION("""COMPUTED_VALUE"""),"")</f>
        <v/>
      </c>
      <c r="H1796" s="44" t="str">
        <f>IFERROR(__xludf.DUMMYFUNCTION("""COMPUTED_VALUE"""),"")</f>
        <v/>
      </c>
      <c r="I1796" s="44" t="str">
        <f>IFERROR(__xludf.DUMMYFUNCTION("""COMPUTED_VALUE"""),"Herido / atendido")</f>
        <v>Herido / atendido</v>
      </c>
      <c r="J1796" s="44" t="str">
        <f>IFERROR(__xludf.DUMMYFUNCTION("""COMPUTED_VALUE"""),"24.06.2026 ")</f>
        <v>24.06.2026 </v>
      </c>
      <c r="K1796" s="42" t="str">
        <f>IFERROR(__xludf.DUMMYFUNCTION("""COMPUTED_VALUE"""),"HOSPITAL VARGAS")</f>
        <v>HOSPITAL VARGAS</v>
      </c>
    </row>
    <row r="1797">
      <c r="A1797" s="44">
        <v>1796.0</v>
      </c>
      <c r="B1797" s="44" t="str">
        <f>IFERROR(__xludf.DUMMYFUNCTION("""COMPUTED_VALUE"""),"Hospital Pérez Carreño")</f>
        <v>Hospital Pérez Carreño</v>
      </c>
      <c r="C1797" s="45" t="str">
        <f>IFERROR(__xludf.DUMMYFUNCTION("""COMPUTED_VALUE"""),"Emil Ramos")</f>
        <v>Emil Ramos</v>
      </c>
      <c r="D1797" s="44" t="str">
        <f>IFERROR(__xludf.DUMMYFUNCTION("""COMPUTED_VALUE"""),"10 años")</f>
        <v>10 años</v>
      </c>
      <c r="E1797" s="44" t="str">
        <f>IFERROR(__xludf.DUMMYFUNCTION("""COMPUTED_VALUE"""),"")</f>
        <v/>
      </c>
      <c r="F1797" s="44" t="str">
        <f>IFERROR(__xludf.DUMMYFUNCTION("""COMPUTED_VALUE"""),"")</f>
        <v/>
      </c>
      <c r="G1797" s="44" t="str">
        <f>IFERROR(__xludf.DUMMYFUNCTION("""COMPUTED_VALUE"""),"Pediatria")</f>
        <v>Pediatria</v>
      </c>
      <c r="H1797" s="44" t="str">
        <f>IFERROR(__xludf.DUMMYFUNCTION("""COMPUTED_VALUE"""),"Hospital Miguel Perez Carreño")</f>
        <v>Hospital Miguel Perez Carreño</v>
      </c>
      <c r="I1797" s="44"/>
      <c r="J1797" s="44" t="str">
        <f>IFERROR(__xludf.DUMMYFUNCTION("""COMPUTED_VALUE"""),"26/6/26")</f>
        <v>26/6/26</v>
      </c>
      <c r="K1797" s="42" t="str">
        <f>IFERROR(__xludf.DUMMYFUNCTION("""COMPUTED_VALUE"""),"Hospital Pérez Carreño")</f>
        <v>Hospital Pérez Carreño</v>
      </c>
    </row>
    <row r="1798">
      <c r="A1798" s="44">
        <v>1797.0</v>
      </c>
      <c r="B1798" s="44" t="str">
        <f>IFERROR(__xludf.DUMMYFUNCTION("""COMPUTED_VALUE"""),"Hospital Domingo Luciani")</f>
        <v>Hospital Domingo Luciani</v>
      </c>
      <c r="C1798" s="45" t="str">
        <f>IFERROR(__xludf.DUMMYFUNCTION("""COMPUTED_VALUE"""),"Emili Fernandez")</f>
        <v>Emili Fernandez</v>
      </c>
      <c r="D1798" s="44">
        <f>IFERROR(__xludf.DUMMYFUNCTION("""COMPUTED_VALUE"""),26.0)</f>
        <v>26</v>
      </c>
      <c r="E1798" s="44" t="str">
        <f>IFERROR(__xludf.DUMMYFUNCTION("""COMPUTED_VALUE"""),"")</f>
        <v/>
      </c>
      <c r="F1798" s="44" t="str">
        <f>IFERROR(__xludf.DUMMYFUNCTION("""COMPUTED_VALUE"""),"")</f>
        <v/>
      </c>
      <c r="G1798" s="44"/>
      <c r="H1798" s="44"/>
      <c r="I1798" s="44"/>
      <c r="J1798" s="44" t="str">
        <f>IFERROR(__xludf.DUMMYFUNCTION("""COMPUTED_VALUE"""),"")</f>
        <v/>
      </c>
      <c r="K1798" s="42" t="str">
        <f>IFERROR(__xludf.DUMMYFUNCTION("""COMPUTED_VALUE"""),"Hospital Domingo Luciani")</f>
        <v>Hospital Domingo Luciani</v>
      </c>
    </row>
    <row r="1799">
      <c r="A1799" s="44">
        <v>1798.0</v>
      </c>
      <c r="B1799" s="44" t="str">
        <f>IFERROR(__xludf.DUMMYFUNCTION("""COMPUTED_VALUE"""),"Hospital Pérez Carreño")</f>
        <v>Hospital Pérez Carreño</v>
      </c>
      <c r="C1799" s="45" t="str">
        <f>IFERROR(__xludf.DUMMYFUNCTION("""COMPUTED_VALUE"""),"EMILI RAMOS")</f>
        <v>EMILI RAMOS</v>
      </c>
      <c r="D1799" s="44">
        <f>IFERROR(__xludf.DUMMYFUNCTION("""COMPUTED_VALUE"""),10.0)</f>
        <v>10</v>
      </c>
      <c r="E1799" s="44" t="str">
        <f>IFERROR(__xludf.DUMMYFUNCTION("""COMPUTED_VALUE"""),"")</f>
        <v/>
      </c>
      <c r="F1799" s="44" t="str">
        <f>IFERROR(__xludf.DUMMYFUNCTION("""COMPUTED_VALUE"""),"")</f>
        <v/>
      </c>
      <c r="G1799" s="44" t="str">
        <f>IFERROR(__xludf.DUMMYFUNCTION("""COMPUTED_VALUE""")," ")</f>
        <v> </v>
      </c>
      <c r="H1799" s="44" t="str">
        <f>IFERROR(__xludf.DUMMYFUNCTION("""COMPUTED_VALUE""")," ")</f>
        <v> </v>
      </c>
      <c r="I1799" s="44" t="str">
        <f>IFERROR(__xludf.DUMMYFUNCTION("""COMPUTED_VALUE"""),"Pediatría")</f>
        <v>Pediatría</v>
      </c>
      <c r="J1799" s="44" t="str">
        <f>IFERROR(__xludf.DUMMYFUNCTION("""COMPUTED_VALUE"""),"25/06/2026")</f>
        <v>25/06/2026</v>
      </c>
      <c r="K1799" s="42" t="str">
        <f>IFERROR(__xludf.DUMMYFUNCTION("""COMPUTED_VALUE"""),"Hospital Pérez Carreño")</f>
        <v>Hospital Pérez Carreño</v>
      </c>
    </row>
    <row r="1800">
      <c r="A1800" s="44">
        <v>1799.0</v>
      </c>
      <c r="B1800" s="44" t="str">
        <f>IFERROR(__xludf.DUMMYFUNCTION("""COMPUTED_VALUE"""),"Hospital Pérez Carreño")</f>
        <v>Hospital Pérez Carreño</v>
      </c>
      <c r="C1800" s="45" t="str">
        <f>IFERROR(__xludf.DUMMYFUNCTION("""COMPUTED_VALUE"""),"Emily Ramos")</f>
        <v>Emily Ramos</v>
      </c>
      <c r="D1800" s="44" t="str">
        <f>IFERROR(__xludf.DUMMYFUNCTION("""COMPUTED_VALUE"""),"Catia La Mar")</f>
        <v>Catia La Mar</v>
      </c>
      <c r="E1800" s="44" t="str">
        <f>IFERROR(__xludf.DUMMYFUNCTION("""COMPUTED_VALUE"""),"")</f>
        <v/>
      </c>
      <c r="F1800" s="44" t="str">
        <f>IFERROR(__xludf.DUMMYFUNCTION("""COMPUTED_VALUE"""),"")</f>
        <v/>
      </c>
      <c r="G1800" s="44"/>
      <c r="H1800" s="44"/>
      <c r="I1800" s="44"/>
      <c r="J1800" s="44"/>
      <c r="K1800" s="42" t="str">
        <f>IFERROR(__xludf.DUMMYFUNCTION("""COMPUTED_VALUE"""),"Hospital Pérez Carreño")</f>
        <v>Hospital Pérez Carreño</v>
      </c>
    </row>
    <row r="1801">
      <c r="A1801" s="44">
        <v>1800.0</v>
      </c>
      <c r="B1801" s="44" t="str">
        <f>IFERROR(__xludf.DUMMYFUNCTION("""COMPUTED_VALUE"""),"Campo de Golf Playa los Cocos")</f>
        <v>Campo de Golf Playa los Cocos</v>
      </c>
      <c r="C1801" s="45" t="str">
        <f>IFERROR(__xludf.DUMMYFUNCTION("""COMPUTED_VALUE"""),"Enais Orias")</f>
        <v>Enais Orias</v>
      </c>
      <c r="D1801" s="44" t="str">
        <f>IFERROR(__xludf.DUMMYFUNCTION("""COMPUTED_VALUE"""),"")</f>
        <v/>
      </c>
      <c r="E1801" s="44" t="str">
        <f>IFERROR(__xludf.DUMMYFUNCTION("""COMPUTED_VALUE"""),"")</f>
        <v/>
      </c>
      <c r="F1801" s="44" t="str">
        <f>IFERROR(__xludf.DUMMYFUNCTION("""COMPUTED_VALUE"""),"")</f>
        <v/>
      </c>
      <c r="G1801" s="44" t="str">
        <f>IFERROR(__xludf.DUMMYFUNCTION("""COMPUTED_VALUE"""),"")</f>
        <v/>
      </c>
      <c r="H1801" s="44" t="str">
        <f>IFERROR(__xludf.DUMMYFUNCTION("""COMPUTED_VALUE"""),"")</f>
        <v/>
      </c>
      <c r="I1801" s="44"/>
      <c r="J1801" s="44" t="str">
        <f>IFERROR(__xludf.DUMMYFUNCTION("""COMPUTED_VALUE"""),"")</f>
        <v/>
      </c>
      <c r="K1801" s="42" t="str">
        <f>IFERROR(__xludf.DUMMYFUNCTION("""COMPUTED_VALUE"""),"Campo de Golf Playa los Cocos")</f>
        <v>Campo de Golf Playa los Cocos</v>
      </c>
    </row>
    <row r="1802">
      <c r="A1802" s="44">
        <v>1801.0</v>
      </c>
      <c r="B1802" s="44" t="str">
        <f>IFERROR(__xludf.DUMMYFUNCTION("""COMPUTED_VALUE"""),"Periférico de Catia")</f>
        <v>Periférico de Catia</v>
      </c>
      <c r="C1802" s="45" t="str">
        <f>IFERROR(__xludf.DUMMYFUNCTION("""COMPUTED_VALUE"""),"ENDER RANGEL")</f>
        <v>ENDER RANGEL</v>
      </c>
      <c r="D1802" s="44">
        <f>IFERROR(__xludf.DUMMYFUNCTION("""COMPUTED_VALUE"""),150.0)</f>
        <v>150</v>
      </c>
      <c r="E1802" s="44" t="str">
        <f>IFERROR(__xludf.DUMMYFUNCTION("""COMPUTED_VALUE"""),"")</f>
        <v/>
      </c>
      <c r="F1802" s="44" t="str">
        <f>IFERROR(__xludf.DUMMYFUNCTION("""COMPUTED_VALUE"""),"")</f>
        <v/>
      </c>
      <c r="G1802" s="44" t="str">
        <f>IFERROR(__xludf.DUMMYFUNCTION("""COMPUTED_VALUE""")," ")</f>
        <v> </v>
      </c>
      <c r="H1802" s="44" t="str">
        <f>IFERROR(__xludf.DUMMYFUNCTION("""COMPUTED_VALUE"""),"por Suere")</f>
        <v>por Suere</v>
      </c>
      <c r="I1802" s="44" t="str">
        <f>IFERROR(__xludf.DUMMYFUNCTION("""COMPUTED_VALUE"""),"Hermanos / Caída")</f>
        <v>Hermanos / Caída</v>
      </c>
      <c r="J1802" s="44" t="str">
        <f>IFERROR(__xludf.DUMMYFUNCTION("""COMPUTED_VALUE"""),"")</f>
        <v/>
      </c>
      <c r="K1802" s="42" t="str">
        <f>IFERROR(__xludf.DUMMYFUNCTION("""COMPUTED_VALUE"""),"Periférico de Catia")</f>
        <v>Periférico de Catia</v>
      </c>
    </row>
    <row r="1803">
      <c r="A1803" s="44">
        <v>1802.0</v>
      </c>
      <c r="B1803" s="44" t="str">
        <f>IFERROR(__xludf.DUMMYFUNCTION("""COMPUTED_VALUE"""),"Campo de Golf Playa los Cocos")</f>
        <v>Campo de Golf Playa los Cocos</v>
      </c>
      <c r="C1803" s="45" t="str">
        <f>IFERROR(__xludf.DUMMYFUNCTION("""COMPUTED_VALUE"""),"Ender Rodriguez")</f>
        <v>Ender Rodriguez</v>
      </c>
      <c r="D1803" s="44" t="str">
        <f>IFERROR(__xludf.DUMMYFUNCTION("""COMPUTED_VALUE"""),"")</f>
        <v/>
      </c>
      <c r="E1803" s="44" t="str">
        <f>IFERROR(__xludf.DUMMYFUNCTION("""COMPUTED_VALUE"""),"")</f>
        <v/>
      </c>
      <c r="F1803" s="44" t="str">
        <f>IFERROR(__xludf.DUMMYFUNCTION("""COMPUTED_VALUE"""),"")</f>
        <v/>
      </c>
      <c r="G1803" s="44" t="str">
        <f>IFERROR(__xludf.DUMMYFUNCTION("""COMPUTED_VALUE"""),"")</f>
        <v/>
      </c>
      <c r="H1803" s="44" t="str">
        <f>IFERROR(__xludf.DUMMYFUNCTION("""COMPUTED_VALUE"""),"")</f>
        <v/>
      </c>
      <c r="I1803" s="44"/>
      <c r="J1803" s="44" t="str">
        <f>IFERROR(__xludf.DUMMYFUNCTION("""COMPUTED_VALUE"""),"")</f>
        <v/>
      </c>
      <c r="K1803" s="42" t="str">
        <f>IFERROR(__xludf.DUMMYFUNCTION("""COMPUTED_VALUE"""),"Campo de Golf Playa los Cocos")</f>
        <v>Campo de Golf Playa los Cocos</v>
      </c>
    </row>
    <row r="1804">
      <c r="A1804" s="44">
        <v>1803.0</v>
      </c>
      <c r="B1804" s="44" t="str">
        <f>IFERROR(__xludf.DUMMYFUNCTION("""COMPUTED_VALUE"""),"Campo de Golf Playa los Cocos")</f>
        <v>Campo de Golf Playa los Cocos</v>
      </c>
      <c r="C1804" s="45" t="str">
        <f>IFERROR(__xludf.DUMMYFUNCTION("""COMPUTED_VALUE"""),"Eneida Sanchez")</f>
        <v>Eneida Sanchez</v>
      </c>
      <c r="D1804" s="44" t="str">
        <f>IFERROR(__xludf.DUMMYFUNCTION("""COMPUTED_VALUE"""),"")</f>
        <v/>
      </c>
      <c r="E1804" s="44" t="str">
        <f>IFERROR(__xludf.DUMMYFUNCTION("""COMPUTED_VALUE"""),"")</f>
        <v/>
      </c>
      <c r="F1804" s="44" t="str">
        <f>IFERROR(__xludf.DUMMYFUNCTION("""COMPUTED_VALUE"""),"")</f>
        <v/>
      </c>
      <c r="G1804" s="44" t="str">
        <f>IFERROR(__xludf.DUMMYFUNCTION("""COMPUTED_VALUE"""),"")</f>
        <v/>
      </c>
      <c r="H1804" s="44" t="str">
        <f>IFERROR(__xludf.DUMMYFUNCTION("""COMPUTED_VALUE"""),"")</f>
        <v/>
      </c>
      <c r="I1804" s="44"/>
      <c r="J1804" s="44" t="str">
        <f>IFERROR(__xludf.DUMMYFUNCTION("""COMPUTED_VALUE"""),"")</f>
        <v/>
      </c>
      <c r="K1804" s="42" t="str">
        <f>IFERROR(__xludf.DUMMYFUNCTION("""COMPUTED_VALUE"""),"Campo de Golf Playa los Cocos")</f>
        <v>Campo de Golf Playa los Cocos</v>
      </c>
    </row>
    <row r="1805">
      <c r="A1805" s="44">
        <v>1804.0</v>
      </c>
      <c r="B1805" s="44" t="str">
        <f>IFERROR(__xludf.DUMMYFUNCTION("""COMPUTED_VALUE"""),"Campo de Golf Playa los Cocos")</f>
        <v>Campo de Golf Playa los Cocos</v>
      </c>
      <c r="C1805" s="45" t="str">
        <f>IFERROR(__xludf.DUMMYFUNCTION("""COMPUTED_VALUE"""),"Engeri Leon")</f>
        <v>Engeri Leon</v>
      </c>
      <c r="D1805" s="44" t="str">
        <f>IFERROR(__xludf.DUMMYFUNCTION("""COMPUTED_VALUE"""),"")</f>
        <v/>
      </c>
      <c r="E1805" s="44" t="str">
        <f>IFERROR(__xludf.DUMMYFUNCTION("""COMPUTED_VALUE"""),"")</f>
        <v/>
      </c>
      <c r="F1805" s="44" t="str">
        <f>IFERROR(__xludf.DUMMYFUNCTION("""COMPUTED_VALUE"""),"")</f>
        <v/>
      </c>
      <c r="G1805" s="44" t="str">
        <f>IFERROR(__xludf.DUMMYFUNCTION("""COMPUTED_VALUE"""),"")</f>
        <v/>
      </c>
      <c r="H1805" s="44" t="str">
        <f>IFERROR(__xludf.DUMMYFUNCTION("""COMPUTED_VALUE"""),"")</f>
        <v/>
      </c>
      <c r="I1805" s="44"/>
      <c r="J1805" s="44" t="str">
        <f>IFERROR(__xludf.DUMMYFUNCTION("""COMPUTED_VALUE"""),"")</f>
        <v/>
      </c>
      <c r="K1805" s="42" t="str">
        <f>IFERROR(__xludf.DUMMYFUNCTION("""COMPUTED_VALUE"""),"Campo de Golf Playa los Cocos")</f>
        <v>Campo de Golf Playa los Cocos</v>
      </c>
    </row>
    <row r="1806">
      <c r="A1806" s="44">
        <v>1805.0</v>
      </c>
      <c r="B1806" s="44" t="str">
        <f>IFERROR(__xludf.DUMMYFUNCTION("""COMPUTED_VALUE"""),"Hospital Pérez Carreño")</f>
        <v>Hospital Pérez Carreño</v>
      </c>
      <c r="C1806" s="45" t="str">
        <f>IFERROR(__xludf.DUMMYFUNCTION("""COMPUTED_VALUE"""),"Enrique Diaz")</f>
        <v>Enrique Diaz</v>
      </c>
      <c r="D1806" s="44"/>
      <c r="E1806" s="44" t="str">
        <f>IFERROR(__xludf.DUMMYFUNCTION("""COMPUTED_VALUE"""),"")</f>
        <v/>
      </c>
      <c r="F1806" s="44" t="str">
        <f>IFERROR(__xludf.DUMMYFUNCTION("""COMPUTED_VALUE"""),"")</f>
        <v/>
      </c>
      <c r="G1806" s="44" t="str">
        <f>IFERROR(__xludf.DUMMYFUNCTION("""COMPUTED_VALUE"""),"Traumashock ")</f>
        <v>Traumashock </v>
      </c>
      <c r="H1806" s="44" t="str">
        <f>IFERROR(__xludf.DUMMYFUNCTION("""COMPUTED_VALUE"""),"Hospital Miguel Perez Carreño")</f>
        <v>Hospital Miguel Perez Carreño</v>
      </c>
      <c r="I1806" s="44"/>
      <c r="J1806" s="44" t="str">
        <f>IFERROR(__xludf.DUMMYFUNCTION("""COMPUTED_VALUE"""),"26/6/26")</f>
        <v>26/6/26</v>
      </c>
      <c r="K1806" s="42" t="str">
        <f>IFERROR(__xludf.DUMMYFUNCTION("""COMPUTED_VALUE"""),"Hospital Pérez Carreño")</f>
        <v>Hospital Pérez Carreño</v>
      </c>
    </row>
    <row r="1807">
      <c r="A1807" s="44">
        <v>1806.0</v>
      </c>
      <c r="B1807" s="44" t="str">
        <f>IFERROR(__xludf.DUMMYFUNCTION("""COMPUTED_VALUE"""),"Seguro Social La Guaira")</f>
        <v>Seguro Social La Guaira</v>
      </c>
      <c r="C1807" s="45" t="str">
        <f>IFERROR(__xludf.DUMMYFUNCTION("""COMPUTED_VALUE"""),"ENRIQUE GISELA")</f>
        <v>ENRIQUE GISELA</v>
      </c>
      <c r="D1807" s="44">
        <f>IFERROR(__xludf.DUMMYFUNCTION("""COMPUTED_VALUE"""),48.0)</f>
        <v>48</v>
      </c>
      <c r="E1807" s="44" t="str">
        <f>IFERROR(__xludf.DUMMYFUNCTION("""COMPUTED_VALUE"""),"")</f>
        <v/>
      </c>
      <c r="F1807" s="44" t="str">
        <f>IFERROR(__xludf.DUMMYFUNCTION("""COMPUTED_VALUE"""),"")</f>
        <v/>
      </c>
      <c r="G1807" s="44" t="str">
        <f>IFERROR(__xludf.DUMMYFUNCTION("""COMPUTED_VALUE""")," ")</f>
        <v> </v>
      </c>
      <c r="H1807" s="44" t="str">
        <f>IFERROR(__xludf.DUMMYFUNCTION("""COMPUTED_VALUE"""),"Tanaguarena")</f>
        <v>Tanaguarena</v>
      </c>
      <c r="I1807" s="44" t="str">
        <f>IFERROR(__xludf.DUMMYFUNCTION("""COMPUTED_VALUE""")," ")</f>
        <v> </v>
      </c>
      <c r="J1807" s="44" t="str">
        <f>IFERROR(__xludf.DUMMYFUNCTION("""COMPUTED_VALUE"""),"")</f>
        <v/>
      </c>
      <c r="K1807" s="42" t="str">
        <f>IFERROR(__xludf.DUMMYFUNCTION("""COMPUTED_VALUE"""),"Seguro Social La Guaira")</f>
        <v>Seguro Social La Guaira</v>
      </c>
    </row>
    <row r="1808">
      <c r="A1808" s="44">
        <v>1807.0</v>
      </c>
      <c r="B1808" s="44" t="str">
        <f>IFERROR(__xludf.DUMMYFUNCTION("""COMPUTED_VALUE"""),"Campo de Golf Playa los Cocos")</f>
        <v>Campo de Golf Playa los Cocos</v>
      </c>
      <c r="C1808" s="45" t="str">
        <f>IFERROR(__xludf.DUMMYFUNCTION("""COMPUTED_VALUE"""),"Enrique Leon")</f>
        <v>Enrique Leon</v>
      </c>
      <c r="D1808" s="44" t="str">
        <f>IFERROR(__xludf.DUMMYFUNCTION("""COMPUTED_VALUE"""),"")</f>
        <v/>
      </c>
      <c r="E1808" s="44" t="str">
        <f>IFERROR(__xludf.DUMMYFUNCTION("""COMPUTED_VALUE"""),"")</f>
        <v/>
      </c>
      <c r="F1808" s="44" t="str">
        <f>IFERROR(__xludf.DUMMYFUNCTION("""COMPUTED_VALUE"""),"")</f>
        <v/>
      </c>
      <c r="G1808" s="44" t="str">
        <f>IFERROR(__xludf.DUMMYFUNCTION("""COMPUTED_VALUE"""),"")</f>
        <v/>
      </c>
      <c r="H1808" s="44" t="str">
        <f>IFERROR(__xludf.DUMMYFUNCTION("""COMPUTED_VALUE"""),"")</f>
        <v/>
      </c>
      <c r="I1808" s="44"/>
      <c r="J1808" s="44" t="str">
        <f>IFERROR(__xludf.DUMMYFUNCTION("""COMPUTED_VALUE"""),"")</f>
        <v/>
      </c>
      <c r="K1808" s="42" t="str">
        <f>IFERROR(__xludf.DUMMYFUNCTION("""COMPUTED_VALUE"""),"Campo de Golf Playa los Cocos")</f>
        <v>Campo de Golf Playa los Cocos</v>
      </c>
    </row>
    <row r="1809">
      <c r="A1809" s="44">
        <v>1808.0</v>
      </c>
      <c r="B1809" s="44" t="str">
        <f>IFERROR(__xludf.DUMMYFUNCTION("""COMPUTED_VALUE"""),"Hospital Vargas de Caracas")</f>
        <v>Hospital Vargas de Caracas</v>
      </c>
      <c r="C1809" s="45" t="str">
        <f>IFERROR(__xludf.DUMMYFUNCTION("""COMPUTED_VALUE"""),"Enrique Perez")</f>
        <v>Enrique Perez</v>
      </c>
      <c r="D1809" s="44"/>
      <c r="E1809" s="44" t="str">
        <f>IFERROR(__xludf.DUMMYFUNCTION("""COMPUTED_VALUE"""),"")</f>
        <v/>
      </c>
      <c r="F1809" s="44"/>
      <c r="G1809" s="44" t="str">
        <f>IFERROR(__xludf.DUMMYFUNCTION("""COMPUTED_VALUE"""),"")</f>
        <v/>
      </c>
      <c r="H1809" s="44"/>
      <c r="I1809" s="44"/>
      <c r="J1809" s="44" t="str">
        <f>IFERROR(__xludf.DUMMYFUNCTION("""COMPUTED_VALUE"""),"")</f>
        <v/>
      </c>
      <c r="K1809" s="42" t="str">
        <f>IFERROR(__xludf.DUMMYFUNCTION("""COMPUTED_VALUE"""),"Hospital Vargas de Caracas")</f>
        <v>Hospital Vargas de Caracas</v>
      </c>
    </row>
    <row r="1810">
      <c r="A1810" s="44">
        <v>1809.0</v>
      </c>
      <c r="B1810" s="44" t="str">
        <f>IFERROR(__xludf.DUMMYFUNCTION("""COMPUTED_VALUE"""),"HOSPITAL VARGAS")</f>
        <v>HOSPITAL VARGAS</v>
      </c>
      <c r="C1810" s="45" t="str">
        <f>IFERROR(__xludf.DUMMYFUNCTION("""COMPUTED_VALUE"""),"Enrique Pérez")</f>
        <v>Enrique Pérez</v>
      </c>
      <c r="D1810" s="44"/>
      <c r="E1810" s="44" t="str">
        <f>IFERROR(__xludf.DUMMYFUNCTION("""COMPUTED_VALUE"""),"")</f>
        <v/>
      </c>
      <c r="F1810" s="44" t="str">
        <f>IFERROR(__xludf.DUMMYFUNCTION("""COMPUTED_VALUE"""),"")</f>
        <v/>
      </c>
      <c r="G1810" s="44" t="str">
        <f>IFERROR(__xludf.DUMMYFUNCTION("""COMPUTED_VALUE"""),"")</f>
        <v/>
      </c>
      <c r="H1810" s="44" t="str">
        <f>IFERROR(__xludf.DUMMYFUNCTION("""COMPUTED_VALUE"""),"")</f>
        <v/>
      </c>
      <c r="I1810" s="44" t="str">
        <f>IFERROR(__xludf.DUMMYFUNCTION("""COMPUTED_VALUE"""),"Herido / atendido")</f>
        <v>Herido / atendido</v>
      </c>
      <c r="J1810" s="44" t="str">
        <f>IFERROR(__xludf.DUMMYFUNCTION("""COMPUTED_VALUE"""),"24.06.2026 ")</f>
        <v>24.06.2026 </v>
      </c>
      <c r="K1810" s="42" t="str">
        <f>IFERROR(__xludf.DUMMYFUNCTION("""COMPUTED_VALUE"""),"HOSPITAL VARGAS")</f>
        <v>HOSPITAL VARGAS</v>
      </c>
    </row>
    <row r="1811">
      <c r="A1811" s="44">
        <v>1810.0</v>
      </c>
      <c r="B1811" s="44" t="str">
        <f>IFERROR(__xludf.DUMMYFUNCTION("""COMPUTED_VALUE"""),"Campo de Golf Playa los Cocos")</f>
        <v>Campo de Golf Playa los Cocos</v>
      </c>
      <c r="C1811" s="45" t="str">
        <f>IFERROR(__xludf.DUMMYFUNCTION("""COMPUTED_VALUE"""),"Enyer Navarro")</f>
        <v>Enyer Navarro</v>
      </c>
      <c r="D1811" s="44" t="str">
        <f>IFERROR(__xludf.DUMMYFUNCTION("""COMPUTED_VALUE"""),"")</f>
        <v/>
      </c>
      <c r="E1811" s="44" t="str">
        <f>IFERROR(__xludf.DUMMYFUNCTION("""COMPUTED_VALUE"""),"")</f>
        <v/>
      </c>
      <c r="F1811" s="44" t="str">
        <f>IFERROR(__xludf.DUMMYFUNCTION("""COMPUTED_VALUE"""),"")</f>
        <v/>
      </c>
      <c r="G1811" s="44" t="str">
        <f>IFERROR(__xludf.DUMMYFUNCTION("""COMPUTED_VALUE"""),"")</f>
        <v/>
      </c>
      <c r="H1811" s="44" t="str">
        <f>IFERROR(__xludf.DUMMYFUNCTION("""COMPUTED_VALUE"""),"")</f>
        <v/>
      </c>
      <c r="I1811" s="44"/>
      <c r="J1811" s="44" t="str">
        <f>IFERROR(__xludf.DUMMYFUNCTION("""COMPUTED_VALUE"""),"")</f>
        <v/>
      </c>
      <c r="K1811" s="42" t="str">
        <f>IFERROR(__xludf.DUMMYFUNCTION("""COMPUTED_VALUE"""),"Campo de Golf Playa los Cocos")</f>
        <v>Campo de Golf Playa los Cocos</v>
      </c>
    </row>
    <row r="1812">
      <c r="A1812" s="44">
        <v>1811.0</v>
      </c>
      <c r="B1812" s="44" t="str">
        <f>IFERROR(__xludf.DUMMYFUNCTION("""COMPUTED_VALUE"""),"Hospital Pérez Carreño")</f>
        <v>Hospital Pérez Carreño</v>
      </c>
      <c r="C1812" s="45" t="str">
        <f>IFERROR(__xludf.DUMMYFUNCTION("""COMPUTED_VALUE"""),"Erick Dorante")</f>
        <v>Erick Dorante</v>
      </c>
      <c r="D1812" s="44" t="str">
        <f>IFERROR(__xludf.DUMMYFUNCTION("""COMPUTED_VALUE"""),"15 años")</f>
        <v>15 años</v>
      </c>
      <c r="E1812" s="44" t="str">
        <f>IFERROR(__xludf.DUMMYFUNCTION("""COMPUTED_VALUE"""),"")</f>
        <v/>
      </c>
      <c r="F1812" s="44" t="str">
        <f>IFERROR(__xludf.DUMMYFUNCTION("""COMPUTED_VALUE"""),"")</f>
        <v/>
      </c>
      <c r="G1812" s="44" t="str">
        <f>IFERROR(__xludf.DUMMYFUNCTION("""COMPUTED_VALUE"""),"Traumashock ")</f>
        <v>Traumashock </v>
      </c>
      <c r="H1812" s="44" t="str">
        <f>IFERROR(__xludf.DUMMYFUNCTION("""COMPUTED_VALUE"""),"Hospital Miguel Perez Carreño")</f>
        <v>Hospital Miguel Perez Carreño</v>
      </c>
      <c r="I1812" s="44"/>
      <c r="J1812" s="44" t="str">
        <f>IFERROR(__xludf.DUMMYFUNCTION("""COMPUTED_VALUE"""),"26/6/26")</f>
        <v>26/6/26</v>
      </c>
      <c r="K1812" s="42" t="str">
        <f>IFERROR(__xludf.DUMMYFUNCTION("""COMPUTED_VALUE"""),"Hospital Pérez Carreño")</f>
        <v>Hospital Pérez Carreño</v>
      </c>
    </row>
    <row r="1813">
      <c r="A1813" s="44">
        <v>1812.0</v>
      </c>
      <c r="B1813" s="44" t="str">
        <f>IFERROR(__xludf.DUMMYFUNCTION("""COMPUTED_VALUE"""),"Hospital Pérez Carreño")</f>
        <v>Hospital Pérez Carreño</v>
      </c>
      <c r="C1813" s="45" t="str">
        <f>IFERROR(__xludf.DUMMYFUNCTION("""COMPUTED_VALUE"""),"Erick Gustavo Valdivel")</f>
        <v>Erick Gustavo Valdivel</v>
      </c>
      <c r="D1813" s="44"/>
      <c r="E1813" s="44" t="str">
        <f>IFERROR(__xludf.DUMMYFUNCTION("""COMPUTED_VALUE"""),"")</f>
        <v/>
      </c>
      <c r="F1813" s="44" t="str">
        <f>IFERROR(__xludf.DUMMYFUNCTION("""COMPUTED_VALUE"""),"")</f>
        <v/>
      </c>
      <c r="G1813" s="44" t="str">
        <f>IFERROR(__xludf.DUMMYFUNCTION("""COMPUTED_VALUE"""),"Traumashock ")</f>
        <v>Traumashock </v>
      </c>
      <c r="H1813" s="44" t="str">
        <f>IFERROR(__xludf.DUMMYFUNCTION("""COMPUTED_VALUE"""),"Hospital Miguel Perez Carreño")</f>
        <v>Hospital Miguel Perez Carreño</v>
      </c>
      <c r="I1813" s="44"/>
      <c r="J1813" s="44" t="str">
        <f>IFERROR(__xludf.DUMMYFUNCTION("""COMPUTED_VALUE"""),"26/6/26")</f>
        <v>26/6/26</v>
      </c>
      <c r="K1813" s="42" t="str">
        <f>IFERROR(__xludf.DUMMYFUNCTION("""COMPUTED_VALUE"""),"Hospital Pérez Carreño")</f>
        <v>Hospital Pérez Carreño</v>
      </c>
    </row>
    <row r="1814">
      <c r="A1814" s="44">
        <v>1813.0</v>
      </c>
      <c r="B1814" s="44" t="str">
        <f>IFERROR(__xludf.DUMMYFUNCTION("""COMPUTED_VALUE"""),"HOSPITAL VARGAS")</f>
        <v>HOSPITAL VARGAS</v>
      </c>
      <c r="C1814" s="45" t="str">
        <f>IFERROR(__xludf.DUMMYFUNCTION("""COMPUTED_VALUE"""),"Erick Luque")</f>
        <v>Erick Luque</v>
      </c>
      <c r="D1814" s="44"/>
      <c r="E1814" s="44" t="str">
        <f>IFERROR(__xludf.DUMMYFUNCTION("""COMPUTED_VALUE"""),"")</f>
        <v/>
      </c>
      <c r="F1814" s="44" t="str">
        <f>IFERROR(__xludf.DUMMYFUNCTION("""COMPUTED_VALUE"""),"")</f>
        <v/>
      </c>
      <c r="G1814" s="44" t="str">
        <f>IFERROR(__xludf.DUMMYFUNCTION("""COMPUTED_VALUE"""),"")</f>
        <v/>
      </c>
      <c r="H1814" s="44" t="str">
        <f>IFERROR(__xludf.DUMMYFUNCTION("""COMPUTED_VALUE"""),"")</f>
        <v/>
      </c>
      <c r="I1814" s="44" t="str">
        <f>IFERROR(__xludf.DUMMYFUNCTION("""COMPUTED_VALUE"""),"Herido / atendido")</f>
        <v>Herido / atendido</v>
      </c>
      <c r="J1814" s="44" t="str">
        <f>IFERROR(__xludf.DUMMYFUNCTION("""COMPUTED_VALUE"""),"24.06.2026 ")</f>
        <v>24.06.2026 </v>
      </c>
      <c r="K1814" s="42" t="str">
        <f>IFERROR(__xludf.DUMMYFUNCTION("""COMPUTED_VALUE"""),"HOSPITAL VARGAS")</f>
        <v>HOSPITAL VARGAS</v>
      </c>
    </row>
    <row r="1815">
      <c r="A1815" s="44">
        <v>1814.0</v>
      </c>
      <c r="B1815" s="44" t="str">
        <f>IFERROR(__xludf.DUMMYFUNCTION("""COMPUTED_VALUE"""),"Campo de Golf Playa los Cocos")</f>
        <v>Campo de Golf Playa los Cocos</v>
      </c>
      <c r="C1815" s="45" t="str">
        <f>IFERROR(__xludf.DUMMYFUNCTION("""COMPUTED_VALUE"""),"Ericka Suarez")</f>
        <v>Ericka Suarez</v>
      </c>
      <c r="D1815" s="44" t="str">
        <f>IFERROR(__xludf.DUMMYFUNCTION("""COMPUTED_VALUE"""),"")</f>
        <v/>
      </c>
      <c r="E1815" s="44" t="str">
        <f>IFERROR(__xludf.DUMMYFUNCTION("""COMPUTED_VALUE"""),"")</f>
        <v/>
      </c>
      <c r="F1815" s="44" t="str">
        <f>IFERROR(__xludf.DUMMYFUNCTION("""COMPUTED_VALUE"""),"")</f>
        <v/>
      </c>
      <c r="G1815" s="44" t="str">
        <f>IFERROR(__xludf.DUMMYFUNCTION("""COMPUTED_VALUE"""),"")</f>
        <v/>
      </c>
      <c r="H1815" s="44" t="str">
        <f>IFERROR(__xludf.DUMMYFUNCTION("""COMPUTED_VALUE"""),"")</f>
        <v/>
      </c>
      <c r="I1815" s="44"/>
      <c r="J1815" s="44" t="str">
        <f>IFERROR(__xludf.DUMMYFUNCTION("""COMPUTED_VALUE"""),"")</f>
        <v/>
      </c>
      <c r="K1815" s="42" t="str">
        <f>IFERROR(__xludf.DUMMYFUNCTION("""COMPUTED_VALUE"""),"Campo de Golf Playa los Cocos")</f>
        <v>Campo de Golf Playa los Cocos</v>
      </c>
    </row>
    <row r="1816">
      <c r="A1816" s="44">
        <v>1815.0</v>
      </c>
      <c r="B1816" s="44" t="str">
        <f>IFERROR(__xludf.DUMMYFUNCTION("""COMPUTED_VALUE"""),"Seguro Social La Guaira")</f>
        <v>Seguro Social La Guaira</v>
      </c>
      <c r="C1816" s="45" t="str">
        <f>IFERROR(__xludf.DUMMYFUNCTION("""COMPUTED_VALUE"""),"ERIK SALAZAR")</f>
        <v>ERIK SALAZAR</v>
      </c>
      <c r="D1816" s="44">
        <f>IFERROR(__xludf.DUMMYFUNCTION("""COMPUTED_VALUE"""),45.0)</f>
        <v>45</v>
      </c>
      <c r="E1816" s="44" t="str">
        <f>IFERROR(__xludf.DUMMYFUNCTION("""COMPUTED_VALUE"""),"")</f>
        <v/>
      </c>
      <c r="F1816" s="44" t="str">
        <f>IFERROR(__xludf.DUMMYFUNCTION("""COMPUTED_VALUE"""),"")</f>
        <v/>
      </c>
      <c r="G1816" s="44" t="str">
        <f>IFERROR(__xludf.DUMMYFUNCTION("""COMPUTED_VALUE""")," ")</f>
        <v> </v>
      </c>
      <c r="H1816" s="44" t="str">
        <f>IFERROR(__xludf.DUMMYFUNCTION("""COMPUTED_VALUE"""),"Caribe")</f>
        <v>Caribe</v>
      </c>
      <c r="I1816" s="44" t="str">
        <f>IFERROR(__xludf.DUMMYFUNCTION("""COMPUTED_VALUE""")," ")</f>
        <v> </v>
      </c>
      <c r="J1816" s="44" t="str">
        <f>IFERROR(__xludf.DUMMYFUNCTION("""COMPUTED_VALUE"""),"")</f>
        <v/>
      </c>
      <c r="K1816" s="42" t="str">
        <f>IFERROR(__xludf.DUMMYFUNCTION("""COMPUTED_VALUE"""),"Seguro Social La Guaira")</f>
        <v>Seguro Social La Guaira</v>
      </c>
    </row>
    <row r="1817">
      <c r="A1817" s="44">
        <v>1816.0</v>
      </c>
      <c r="B1817" s="44" t="str">
        <f>IFERROR(__xludf.DUMMYFUNCTION("""COMPUTED_VALUE"""),"HOSPITAL VARGAS")</f>
        <v>HOSPITAL VARGAS</v>
      </c>
      <c r="C1817" s="45" t="str">
        <f>IFERROR(__xludf.DUMMYFUNCTION("""COMPUTED_VALUE"""),"Erinber Quintero")</f>
        <v>Erinber Quintero</v>
      </c>
      <c r="D1817" s="44"/>
      <c r="E1817" s="44" t="str">
        <f>IFERROR(__xludf.DUMMYFUNCTION("""COMPUTED_VALUE"""),"")</f>
        <v/>
      </c>
      <c r="F1817" s="44" t="str">
        <f>IFERROR(__xludf.DUMMYFUNCTION("""COMPUTED_VALUE"""),"")</f>
        <v/>
      </c>
      <c r="G1817" s="44" t="str">
        <f>IFERROR(__xludf.DUMMYFUNCTION("""COMPUTED_VALUE"""),"")</f>
        <v/>
      </c>
      <c r="H1817" s="44" t="str">
        <f>IFERROR(__xludf.DUMMYFUNCTION("""COMPUTED_VALUE"""),"")</f>
        <v/>
      </c>
      <c r="I1817" s="44" t="str">
        <f>IFERROR(__xludf.DUMMYFUNCTION("""COMPUTED_VALUE"""),"Herido / atendido")</f>
        <v>Herido / atendido</v>
      </c>
      <c r="J1817" s="44" t="str">
        <f>IFERROR(__xludf.DUMMYFUNCTION("""COMPUTED_VALUE"""),"24.06.2026 ")</f>
        <v>24.06.2026 </v>
      </c>
      <c r="K1817" s="42" t="str">
        <f>IFERROR(__xludf.DUMMYFUNCTION("""COMPUTED_VALUE"""),"HOSPITAL VARGAS")</f>
        <v>HOSPITAL VARGAS</v>
      </c>
    </row>
    <row r="1818">
      <c r="A1818" s="44">
        <v>1817.0</v>
      </c>
      <c r="B1818" s="44" t="str">
        <f>IFERROR(__xludf.DUMMYFUNCTION("""COMPUTED_VALUE"""),"Hospital Domingo Luciani")</f>
        <v>Hospital Domingo Luciani</v>
      </c>
      <c r="C1818" s="45" t="str">
        <f>IFERROR(__xludf.DUMMYFUNCTION("""COMPUTED_VALUE"""),"Erino Podern Erris")</f>
        <v>Erino Podern Erris</v>
      </c>
      <c r="D1818" s="44">
        <f>IFERROR(__xludf.DUMMYFUNCTION("""COMPUTED_VALUE"""),0.0)</f>
        <v>0</v>
      </c>
      <c r="E1818" s="44" t="str">
        <f>IFERROR(__xludf.DUMMYFUNCTION("""COMPUTED_VALUE"""),"")</f>
        <v/>
      </c>
      <c r="F1818" s="44" t="str">
        <f>IFERROR(__xludf.DUMMYFUNCTION("""COMPUTED_VALUE"""),"")</f>
        <v/>
      </c>
      <c r="G1818" s="44"/>
      <c r="H1818" s="44"/>
      <c r="I1818" s="44"/>
      <c r="J1818" s="44" t="str">
        <f>IFERROR(__xludf.DUMMYFUNCTION("""COMPUTED_VALUE"""),"")</f>
        <v/>
      </c>
      <c r="K1818" s="42" t="str">
        <f>IFERROR(__xludf.DUMMYFUNCTION("""COMPUTED_VALUE"""),"Hospital Domingo Luciani")</f>
        <v>Hospital Domingo Luciani</v>
      </c>
    </row>
    <row r="1819">
      <c r="A1819" s="44">
        <v>1818.0</v>
      </c>
      <c r="B1819" s="44" t="str">
        <f>IFERROR(__xludf.DUMMYFUNCTION("""COMPUTED_VALUE"""),"Hospital Vargas de Caracas")</f>
        <v>Hospital Vargas de Caracas</v>
      </c>
      <c r="C1819" s="45" t="str">
        <f>IFERROR(__xludf.DUMMYFUNCTION("""COMPUTED_VALUE"""),"Eriober Quintero")</f>
        <v>Eriober Quintero</v>
      </c>
      <c r="D1819" s="44"/>
      <c r="E1819" s="44" t="str">
        <f>IFERROR(__xludf.DUMMYFUNCTION("""COMPUTED_VALUE"""),"")</f>
        <v/>
      </c>
      <c r="F1819" s="44"/>
      <c r="G1819" s="44" t="str">
        <f>IFERROR(__xludf.DUMMYFUNCTION("""COMPUTED_VALUE"""),"")</f>
        <v/>
      </c>
      <c r="H1819" s="44"/>
      <c r="I1819" s="44" t="str">
        <f>IFERROR(__xludf.DUMMYFUNCTION("""COMPUTED_VALUE"""),"Nombre tomado de la pizarra de pacientes; no aparece en el formulario con C.I.")</f>
        <v>Nombre tomado de la pizarra de pacientes; no aparece en el formulario con C.I.</v>
      </c>
      <c r="J1819" s="44" t="str">
        <f>IFERROR(__xludf.DUMMYFUNCTION("""COMPUTED_VALUE"""),"")</f>
        <v/>
      </c>
      <c r="K1819" s="42" t="str">
        <f>IFERROR(__xludf.DUMMYFUNCTION("""COMPUTED_VALUE"""),"Hospital Vargas de Caracas")</f>
        <v>Hospital Vargas de Caracas</v>
      </c>
    </row>
    <row r="1820">
      <c r="A1820" s="44">
        <v>1819.0</v>
      </c>
      <c r="B1820" s="44" t="str">
        <f>IFERROR(__xludf.DUMMYFUNCTION("""COMPUTED_VALUE"""),"Hospital Pérez Carreño")</f>
        <v>Hospital Pérez Carreño</v>
      </c>
      <c r="C1820" s="45" t="str">
        <f>IFERROR(__xludf.DUMMYFUNCTION("""COMPUTED_VALUE"""),"ERNAN GLADYS")</f>
        <v>ERNAN GLADYS</v>
      </c>
      <c r="D1820" s="44" t="str">
        <f>IFERROR(__xludf.DUMMYFUNCTION("""COMPUTED_VALUE""")," ")</f>
        <v> </v>
      </c>
      <c r="E1820" s="44" t="str">
        <f>IFERROR(__xludf.DUMMYFUNCTION("""COMPUTED_VALUE"""),"")</f>
        <v/>
      </c>
      <c r="F1820" s="44" t="str">
        <f>IFERROR(__xludf.DUMMYFUNCTION("""COMPUTED_VALUE"""),"")</f>
        <v/>
      </c>
      <c r="G1820" s="44" t="str">
        <f>IFERROR(__xludf.DUMMYFUNCTION("""COMPUTED_VALUE""")," ")</f>
        <v> </v>
      </c>
      <c r="H1820" s="44" t="str">
        <f>IFERROR(__xludf.DUMMYFUNCTION("""COMPUTED_VALUE""")," ")</f>
        <v> </v>
      </c>
      <c r="I1820" s="44" t="str">
        <f>IFERROR(__xludf.DUMMYFUNCTION("""COMPUTED_VALUE"""),"Internado; Trauma Shock / Traumatologia")</f>
        <v>Internado; Trauma Shock / Traumatologia</v>
      </c>
      <c r="J1820" s="44" t="str">
        <f>IFERROR(__xludf.DUMMYFUNCTION("""COMPUTED_VALUE"""),"25/06/2026")</f>
        <v>25/06/2026</v>
      </c>
      <c r="K1820" s="42" t="str">
        <f>IFERROR(__xludf.DUMMYFUNCTION("""COMPUTED_VALUE"""),"Hospital Pérez Carreño")</f>
        <v>Hospital Pérez Carreño</v>
      </c>
    </row>
    <row r="1821">
      <c r="A1821" s="44">
        <v>1820.0</v>
      </c>
      <c r="B1821" s="44" t="str">
        <f>IFERROR(__xludf.DUMMYFUNCTION("""COMPUTED_VALUE"""),"La Guaira Sin Hospital")</f>
        <v>La Guaira Sin Hospital</v>
      </c>
      <c r="C1821" s="45" t="str">
        <f>IFERROR(__xludf.DUMMYFUNCTION("""COMPUTED_VALUE"""),"Escala Yoiber")</f>
        <v>Escala Yoiber</v>
      </c>
      <c r="D1821" s="44" t="str">
        <f>IFERROR(__xludf.DUMMYFUNCTION("""COMPUTED_VALUE"""),"")</f>
        <v/>
      </c>
      <c r="E1821" s="44" t="str">
        <f>IFERROR(__xludf.DUMMYFUNCTION("""COMPUTED_VALUE"""),"")</f>
        <v/>
      </c>
      <c r="F1821" s="44" t="str">
        <f>IFERROR(__xludf.DUMMYFUNCTION("""COMPUTED_VALUE"""),"")</f>
        <v/>
      </c>
      <c r="G1821" s="44" t="str">
        <f>IFERROR(__xludf.DUMMYFUNCTION("""COMPUTED_VALUE"""),"")</f>
        <v/>
      </c>
      <c r="H1821" s="44" t="str">
        <f>IFERROR(__xludf.DUMMYFUNCTION("""COMPUTED_VALUE"""),"La Guaira - Tanaguarenas")</f>
        <v>La Guaira - Tanaguarenas</v>
      </c>
      <c r="I1821" s="44" t="str">
        <f>IFERROR(__xludf.DUMMYFUNCTION("""COMPUTED_VALUE"""),"Listas con ubicación")</f>
        <v>Listas con ubicación</v>
      </c>
      <c r="J1821" s="44" t="str">
        <f>IFERROR(__xludf.DUMMYFUNCTION("""COMPUTED_VALUE"""),"")</f>
        <v/>
      </c>
      <c r="K1821" s="42" t="str">
        <f>IFERROR(__xludf.DUMMYFUNCTION("""COMPUTED_VALUE"""),"La Guaira Sin Hospital")</f>
        <v>La Guaira Sin Hospital</v>
      </c>
    </row>
    <row r="1822">
      <c r="A1822" s="44">
        <v>1821.0</v>
      </c>
      <c r="B1822" s="44" t="str">
        <f>IFERROR(__xludf.DUMMYFUNCTION("""COMPUTED_VALUE"""),"Hospital Pérez Carreño")</f>
        <v>Hospital Pérez Carreño</v>
      </c>
      <c r="C1822" s="45" t="str">
        <f>IFERROR(__xludf.DUMMYFUNCTION("""COMPUTED_VALUE"""),"ESCALA YOISLER")</f>
        <v>ESCALA YOISLER</v>
      </c>
      <c r="D1822" s="44" t="str">
        <f>IFERROR(__xludf.DUMMYFUNCTION("""COMPUTED_VALUE""")," ")</f>
        <v> </v>
      </c>
      <c r="E1822" s="44" t="str">
        <f>IFERROR(__xludf.DUMMYFUNCTION("""COMPUTED_VALUE"""),"")</f>
        <v/>
      </c>
      <c r="F1822" s="44" t="str">
        <f>IFERROR(__xludf.DUMMYFUNCTION("""COMPUTED_VALUE"""),"")</f>
        <v/>
      </c>
      <c r="G1822" s="44" t="str">
        <f>IFERROR(__xludf.DUMMYFUNCTION("""COMPUTED_VALUE""")," ")</f>
        <v> </v>
      </c>
      <c r="H1822" s="44" t="str">
        <f>IFERROR(__xludf.DUMMYFUNCTION("""COMPUTED_VALUE""")," ")</f>
        <v> </v>
      </c>
      <c r="I1822" s="44" t="str">
        <f>IFERROR(__xludf.DUMMYFUNCTION("""COMPUTED_VALUE"""),"Internado")</f>
        <v>Internado</v>
      </c>
      <c r="J1822" s="44" t="str">
        <f>IFERROR(__xludf.DUMMYFUNCTION("""COMPUTED_VALUE"""),"25/06/2026")</f>
        <v>25/06/2026</v>
      </c>
      <c r="K1822" s="42" t="str">
        <f>IFERROR(__xludf.DUMMYFUNCTION("""COMPUTED_VALUE"""),"Hospital Pérez Carreño")</f>
        <v>Hospital Pérez Carreño</v>
      </c>
    </row>
    <row r="1823">
      <c r="A1823" s="44">
        <v>1822.0</v>
      </c>
      <c r="B1823" s="44" t="str">
        <f>IFERROR(__xludf.DUMMYFUNCTION("""COMPUTED_VALUE"""),"Hospital Domingo Luciani")</f>
        <v>Hospital Domingo Luciani</v>
      </c>
      <c r="C1823" s="45" t="str">
        <f>IFERROR(__xludf.DUMMYFUNCTION("""COMPUTED_VALUE"""),"ESCALONA IVIS")</f>
        <v>ESCALONA IVIS</v>
      </c>
      <c r="D1823" s="44">
        <f>IFERROR(__xludf.DUMMYFUNCTION("""COMPUTED_VALUE"""),55.0)</f>
        <v>55</v>
      </c>
      <c r="E1823" s="44" t="str">
        <f>IFERROR(__xludf.DUMMYFUNCTION("""COMPUTED_VALUE"""),"")</f>
        <v/>
      </c>
      <c r="F1823" s="44" t="str">
        <f>IFERROR(__xludf.DUMMYFUNCTION("""COMPUTED_VALUE"""),"")</f>
        <v/>
      </c>
      <c r="G1823" s="44" t="str">
        <f>IFERROR(__xludf.DUMMYFUNCTION("""COMPUTED_VALUE""")," ")</f>
        <v> </v>
      </c>
      <c r="H1823" s="44" t="str">
        <f>IFERROR(__xludf.DUMMYFUNCTION("""COMPUTED_VALUE""")," ")</f>
        <v> </v>
      </c>
      <c r="I1823" s="44" t="str">
        <f>IFERROR(__xludf.DUMMYFUNCTION("""COMPUTED_VALUE""")," ")</f>
        <v> </v>
      </c>
      <c r="J1823" s="44" t="str">
        <f>IFERROR(__xludf.DUMMYFUNCTION("""COMPUTED_VALUE"""),"")</f>
        <v/>
      </c>
      <c r="K1823" s="42" t="str">
        <f>IFERROR(__xludf.DUMMYFUNCTION("""COMPUTED_VALUE"""),"🔍 BUSCAR PACIENTES")</f>
        <v>🔍 BUSCAR PACIENTES</v>
      </c>
    </row>
    <row r="1824">
      <c r="A1824" s="44">
        <v>1823.0</v>
      </c>
      <c r="B1824" s="44" t="str">
        <f>IFERROR(__xludf.DUMMYFUNCTION("""COMPUTED_VALUE"""),"Hospital Pérez Carreño")</f>
        <v>Hospital Pérez Carreño</v>
      </c>
      <c r="C1824" s="45" t="str">
        <f>IFERROR(__xludf.DUMMYFUNCTION("""COMPUTED_VALUE"""),"Escobar Chrismo Yoiler")</f>
        <v>Escobar Chrismo Yoiler</v>
      </c>
      <c r="D1824" s="44"/>
      <c r="E1824" s="44" t="str">
        <f>IFERROR(__xludf.DUMMYFUNCTION("""COMPUTED_VALUE"""),"")</f>
        <v/>
      </c>
      <c r="F1824" s="44" t="str">
        <f>IFERROR(__xludf.DUMMYFUNCTION("""COMPUTED_VALUE"""),"")</f>
        <v/>
      </c>
      <c r="G1824" s="44" t="str">
        <f>IFERROR(__xludf.DUMMYFUNCTION("""COMPUTED_VALUE"""),"Traslados con destino asignado")</f>
        <v>Traslados con destino asignado</v>
      </c>
      <c r="H1824" s="44" t="str">
        <f>IFERROR(__xludf.DUMMYFUNCTION("""COMPUTED_VALUE"""),"Hospital Miguel Perez Carreño")</f>
        <v>Hospital Miguel Perez Carreño</v>
      </c>
      <c r="I1824" s="44"/>
      <c r="J1824" s="44" t="str">
        <f>IFERROR(__xludf.DUMMYFUNCTION("""COMPUTED_VALUE"""),"26/6/26")</f>
        <v>26/6/26</v>
      </c>
      <c r="K1824" s="42" t="str">
        <f>IFERROR(__xludf.DUMMYFUNCTION("""COMPUTED_VALUE"""),"Hospital Pérez Carreño")</f>
        <v>Hospital Pérez Carreño</v>
      </c>
    </row>
    <row r="1825">
      <c r="A1825" s="44">
        <v>1824.0</v>
      </c>
      <c r="B1825" s="44" t="str">
        <f>IFERROR(__xludf.DUMMYFUNCTION("""COMPUTED_VALUE"""),"Centro de Acopio Caraballeda")</f>
        <v>Centro de Acopio Caraballeda</v>
      </c>
      <c r="C1825" s="45" t="str">
        <f>IFERROR(__xludf.DUMMYFUNCTION("""COMPUTED_VALUE"""),"ESCOBAR JOSE")</f>
        <v>ESCOBAR JOSE</v>
      </c>
      <c r="D1825" s="44" t="str">
        <f>IFERROR(__xludf.DUMMYFUNCTION("""COMPUTED_VALUE""")," ")</f>
        <v> </v>
      </c>
      <c r="E1825" s="44" t="str">
        <f>IFERROR(__xludf.DUMMYFUNCTION("""COMPUTED_VALUE"""),"")</f>
        <v/>
      </c>
      <c r="F1825" s="44" t="str">
        <f>IFERROR(__xludf.DUMMYFUNCTION("""COMPUTED_VALUE"""),"")</f>
        <v/>
      </c>
      <c r="G1825" s="44" t="str">
        <f>IFERROR(__xludf.DUMMYFUNCTION("""COMPUTED_VALUE""")," ")</f>
        <v> </v>
      </c>
      <c r="H1825" s="44" t="str">
        <f>IFERROR(__xludf.DUMMYFUNCTION("""COMPUTED_VALUE""")," ")</f>
        <v> </v>
      </c>
      <c r="I1825" s="44" t="str">
        <f>IFERROR(__xludf.DUMMYFUNCTION("""COMPUTED_VALUE"""),"Internado")</f>
        <v>Internado</v>
      </c>
      <c r="J1825" s="44" t="str">
        <f>IFERROR(__xludf.DUMMYFUNCTION("""COMPUTED_VALUE"""),"")</f>
        <v/>
      </c>
      <c r="K1825" s="42" t="str">
        <f>IFERROR(__xludf.DUMMYFUNCTION("""COMPUTED_VALUE"""),"🔍 BUSCAR PACIENTES")</f>
        <v>🔍 BUSCAR PACIENTES</v>
      </c>
    </row>
    <row r="1826">
      <c r="A1826" s="44">
        <v>1825.0</v>
      </c>
      <c r="B1826" s="44" t="str">
        <f>IFERROR(__xludf.DUMMYFUNCTION("""COMPUTED_VALUE"""),"Hospital Pérez Carreño")</f>
        <v>Hospital Pérez Carreño</v>
      </c>
      <c r="C1826" s="45" t="str">
        <f>IFERROR(__xludf.DUMMYFUNCTION("""COMPUTED_VALUE"""),"ESCOBAR JOYLER")</f>
        <v>ESCOBAR JOYLER</v>
      </c>
      <c r="D1826" s="44">
        <f>IFERROR(__xludf.DUMMYFUNCTION("""COMPUTED_VALUE"""),9.0)</f>
        <v>9</v>
      </c>
      <c r="E1826" s="44" t="str">
        <f>IFERROR(__xludf.DUMMYFUNCTION("""COMPUTED_VALUE"""),"")</f>
        <v/>
      </c>
      <c r="F1826" s="44" t="str">
        <f>IFERROR(__xludf.DUMMYFUNCTION("""COMPUTED_VALUE"""),"")</f>
        <v/>
      </c>
      <c r="G1826" s="44" t="str">
        <f>IFERROR(__xludf.DUMMYFUNCTION("""COMPUTED_VALUE""")," ")</f>
        <v> </v>
      </c>
      <c r="H1826" s="44" t="str">
        <f>IFERROR(__xludf.DUMMYFUNCTION("""COMPUTED_VALUE""")," ")</f>
        <v> </v>
      </c>
      <c r="I1826" s="44" t="str">
        <f>IFERROR(__xludf.DUMMYFUNCTION("""COMPUTED_VALUE"""),"Emerg. Pediátrica – La Guaira")</f>
        <v>Emerg. Pediátrica – La Guaira</v>
      </c>
      <c r="J1826" s="44" t="str">
        <f>IFERROR(__xludf.DUMMYFUNCTION("""COMPUTED_VALUE"""),"25/06/2026")</f>
        <v>25/06/2026</v>
      </c>
      <c r="K1826" s="42" t="str">
        <f>IFERROR(__xludf.DUMMYFUNCTION("""COMPUTED_VALUE"""),"Hospital Pérez Carreño")</f>
        <v>Hospital Pérez Carreño</v>
      </c>
    </row>
    <row r="1827">
      <c r="A1827" s="44">
        <v>1826.0</v>
      </c>
      <c r="B1827" s="44" t="str">
        <f>IFERROR(__xludf.DUMMYFUNCTION("""COMPUTED_VALUE"""),"H. Jose Maria Vargas LG")</f>
        <v>H. Jose Maria Vargas LG</v>
      </c>
      <c r="C1827" s="45" t="str">
        <f>IFERROR(__xludf.DUMMYFUNCTION("""COMPUTED_VALUE"""),"ESCOBAR MARIO")</f>
        <v>ESCOBAR MARIO</v>
      </c>
      <c r="D1827" s="44" t="str">
        <f>IFERROR(__xludf.DUMMYFUNCTION("""COMPUTED_VALUE""")," ")</f>
        <v> </v>
      </c>
      <c r="E1827" s="44" t="str">
        <f>IFERROR(__xludf.DUMMYFUNCTION("""COMPUTED_VALUE"""),"")</f>
        <v/>
      </c>
      <c r="F1827" s="44" t="str">
        <f>IFERROR(__xludf.DUMMYFUNCTION("""COMPUTED_VALUE"""),"")</f>
        <v/>
      </c>
      <c r="G1827" s="44" t="str">
        <f>IFERROR(__xludf.DUMMYFUNCTION("""COMPUTED_VALUE""")," ")</f>
        <v> </v>
      </c>
      <c r="H1827" s="44" t="str">
        <f>IFERROR(__xludf.DUMMYFUNCTION("""COMPUTED_VALUE""")," ")</f>
        <v> </v>
      </c>
      <c r="I1827" s="44" t="str">
        <f>IFERROR(__xludf.DUMMYFUNCTION("""COMPUTED_VALUE""")," ")</f>
        <v> </v>
      </c>
      <c r="J1827" s="44" t="str">
        <f>IFERROR(__xludf.DUMMYFUNCTION("""COMPUTED_VALUE"""),"")</f>
        <v/>
      </c>
      <c r="K1827" s="42" t="str">
        <f>IFERROR(__xludf.DUMMYFUNCTION("""COMPUTED_VALUE"""),"H. Jose Maria Vargas LG")</f>
        <v>H. Jose Maria Vargas LG</v>
      </c>
    </row>
    <row r="1828">
      <c r="A1828" s="44">
        <v>1827.0</v>
      </c>
      <c r="B1828" s="44" t="str">
        <f>IFERROR(__xludf.DUMMYFUNCTION("""COMPUTED_VALUE"""),"H. Jose Maria Vargas LG")</f>
        <v>H. Jose Maria Vargas LG</v>
      </c>
      <c r="C1828" s="45" t="str">
        <f>IFERROR(__xludf.DUMMYFUNCTION("""COMPUTED_VALUE"""),"ESCOBAR ROSA")</f>
        <v>ESCOBAR ROSA</v>
      </c>
      <c r="D1828" s="44" t="str">
        <f>IFERROR(__xludf.DUMMYFUNCTION("""COMPUTED_VALUE""")," ")</f>
        <v> </v>
      </c>
      <c r="E1828" s="44" t="str">
        <f>IFERROR(__xludf.DUMMYFUNCTION("""COMPUTED_VALUE"""),"")</f>
        <v/>
      </c>
      <c r="F1828" s="44" t="str">
        <f>IFERROR(__xludf.DUMMYFUNCTION("""COMPUTED_VALUE"""),"")</f>
        <v/>
      </c>
      <c r="G1828" s="44" t="str">
        <f>IFERROR(__xludf.DUMMYFUNCTION("""COMPUTED_VALUE""")," ")</f>
        <v> </v>
      </c>
      <c r="H1828" s="44" t="str">
        <f>IFERROR(__xludf.DUMMYFUNCTION("""COMPUTED_VALUE"""),"Los Corales")</f>
        <v>Los Corales</v>
      </c>
      <c r="I1828" s="44" t="str">
        <f>IFERROR(__xludf.DUMMYFUNCTION("""COMPUTED_VALUE""")," ")</f>
        <v> </v>
      </c>
      <c r="J1828" s="44" t="str">
        <f>IFERROR(__xludf.DUMMYFUNCTION("""COMPUTED_VALUE"""),"")</f>
        <v/>
      </c>
      <c r="K1828" s="42" t="str">
        <f>IFERROR(__xludf.DUMMYFUNCTION("""COMPUTED_VALUE"""),"H. Jose Maria Vargas LG")</f>
        <v>H. Jose Maria Vargas LG</v>
      </c>
    </row>
    <row r="1829">
      <c r="A1829" s="44">
        <v>1828.0</v>
      </c>
      <c r="B1829" s="44" t="str">
        <f>IFERROR(__xludf.DUMMYFUNCTION("""COMPUTED_VALUE"""),"Hospital Pérez Carreño")</f>
        <v>Hospital Pérez Carreño</v>
      </c>
      <c r="C1829" s="45" t="str">
        <f>IFERROR(__xludf.DUMMYFUNCTION("""COMPUTED_VALUE"""),"ESCOBAR YOINER")</f>
        <v>ESCOBAR YOINER</v>
      </c>
      <c r="D1829" s="44">
        <f>IFERROR(__xludf.DUMMYFUNCTION("""COMPUTED_VALUE"""),9.0)</f>
        <v>9</v>
      </c>
      <c r="E1829" s="44" t="str">
        <f>IFERROR(__xludf.DUMMYFUNCTION("""COMPUTED_VALUE"""),"")</f>
        <v/>
      </c>
      <c r="F1829" s="44" t="str">
        <f>IFERROR(__xludf.DUMMYFUNCTION("""COMPUTED_VALUE"""),"")</f>
        <v/>
      </c>
      <c r="G1829" s="44" t="str">
        <f>IFERROR(__xludf.DUMMYFUNCTION("""COMPUTED_VALUE""")," ")</f>
        <v> </v>
      </c>
      <c r="H1829" s="44" t="str">
        <f>IFERROR(__xludf.DUMMYFUNCTION("""COMPUTED_VALUE""")," ")</f>
        <v> </v>
      </c>
      <c r="I1829" s="44" t="str">
        <f>IFERROR(__xludf.DUMMYFUNCTION("""COMPUTED_VALUE"""),"Pediatría – Lista alta; Papá")</f>
        <v>Pediatría – Lista alta; Papá</v>
      </c>
      <c r="J1829" s="44" t="str">
        <f>IFERROR(__xludf.DUMMYFUNCTION("""COMPUTED_VALUE"""),"25/06/2026")</f>
        <v>25/06/2026</v>
      </c>
      <c r="K1829" s="42" t="str">
        <f>IFERROR(__xludf.DUMMYFUNCTION("""COMPUTED_VALUE"""),"Hospital Pérez Carreño")</f>
        <v>Hospital Pérez Carreño</v>
      </c>
    </row>
    <row r="1830">
      <c r="A1830" s="44">
        <v>1829.0</v>
      </c>
      <c r="B1830" s="44" t="str">
        <f>IFERROR(__xludf.DUMMYFUNCTION("""COMPUTED_VALUE"""),"Hospital Pérez Carreño")</f>
        <v>Hospital Pérez Carreño</v>
      </c>
      <c r="C1830" s="45" t="str">
        <f>IFERROR(__xludf.DUMMYFUNCTION("""COMPUTED_VALUE"""),"ESLUBILITO AMILKA")</f>
        <v>ESLUBILITO AMILKA</v>
      </c>
      <c r="D1830" s="44">
        <f>IFERROR(__xludf.DUMMYFUNCTION("""COMPUTED_VALUE"""),61.0)</f>
        <v>61</v>
      </c>
      <c r="E1830" s="44" t="str">
        <f>IFERROR(__xludf.DUMMYFUNCTION("""COMPUTED_VALUE"""),"")</f>
        <v/>
      </c>
      <c r="F1830" s="44" t="str">
        <f>IFERROR(__xludf.DUMMYFUNCTION("""COMPUTED_VALUE"""),"")</f>
        <v/>
      </c>
      <c r="G1830" s="44" t="str">
        <f>IFERROR(__xludf.DUMMYFUNCTION("""COMPUTED_VALUE""")," ")</f>
        <v> </v>
      </c>
      <c r="H1830" s="44" t="str">
        <f>IFERROR(__xludf.DUMMYFUNCTION("""COMPUTED_VALUE""")," ")</f>
        <v> </v>
      </c>
      <c r="I1830" s="44" t="str">
        <f>IFERROR(__xludf.DUMMYFUNCTION("""COMPUTED_VALUE"""),"Internado; Trauma Shock / Cirugía General
PISO 3")</f>
        <v>Internado; Trauma Shock / Cirugía General
PISO 3</v>
      </c>
      <c r="J1830" s="44" t="str">
        <f>IFERROR(__xludf.DUMMYFUNCTION("""COMPUTED_VALUE"""),"25/06/2026")</f>
        <v>25/06/2026</v>
      </c>
      <c r="K1830" s="42" t="str">
        <f>IFERROR(__xludf.DUMMYFUNCTION("""COMPUTED_VALUE"""),"Hospital Pérez Carreño")</f>
        <v>Hospital Pérez Carreño</v>
      </c>
    </row>
    <row r="1831">
      <c r="A1831" s="44">
        <v>1830.0</v>
      </c>
      <c r="B1831" s="44" t="str">
        <f>IFERROR(__xludf.DUMMYFUNCTION("""COMPUTED_VALUE"""),"Periférico de Catia")</f>
        <v>Periférico de Catia</v>
      </c>
      <c r="C1831" s="45" t="str">
        <f>IFERROR(__xludf.DUMMYFUNCTION("""COMPUTED_VALUE"""),"ESPINOSA FERMÍNE / ESPINOSA FERMINE / ESPINOSA FERMINA")</f>
        <v>ESPINOSA FERMÍNE / ESPINOSA FERMINE / ESPINOSA FERMINA</v>
      </c>
      <c r="D1831" s="44">
        <f>IFERROR(__xludf.DUMMYFUNCTION("""COMPUTED_VALUE"""),70.0)</f>
        <v>70</v>
      </c>
      <c r="E1831" s="44" t="str">
        <f>IFERROR(__xludf.DUMMYFUNCTION("""COMPUTED_VALUE"""),"")</f>
        <v/>
      </c>
      <c r="F1831" s="44" t="str">
        <f>IFERROR(__xludf.DUMMYFUNCTION("""COMPUTED_VALUE"""),"")</f>
        <v/>
      </c>
      <c r="G1831" s="44" t="str">
        <f>IFERROR(__xludf.DUMMYFUNCTION("""COMPUTED_VALUE""")," ")</f>
        <v> </v>
      </c>
      <c r="H1831" s="44" t="str">
        <f>IFERROR(__xludf.DUMMYFUNCTION("""COMPUTED_VALUE""")," ")</f>
        <v> </v>
      </c>
      <c r="I1831" s="44" t="str">
        <f>IFERROR(__xludf.DUMMYFUNCTION("""COMPUTED_VALUE""")," ")</f>
        <v> </v>
      </c>
      <c r="J1831" s="44" t="str">
        <f>IFERROR(__xludf.DUMMYFUNCTION("""COMPUTED_VALUE"""),"")</f>
        <v/>
      </c>
      <c r="K1831" s="42" t="str">
        <f>IFERROR(__xludf.DUMMYFUNCTION("""COMPUTED_VALUE"""),"Periférico de Catia")</f>
        <v>Periférico de Catia</v>
      </c>
    </row>
    <row r="1832">
      <c r="A1832" s="44">
        <v>1831.0</v>
      </c>
      <c r="B1832" s="44" t="str">
        <f>IFERROR(__xludf.DUMMYFUNCTION("""COMPUTED_VALUE"""),"Hospital Domingo Luciani")</f>
        <v>Hospital Domingo Luciani</v>
      </c>
      <c r="C1832" s="45" t="str">
        <f>IFERROR(__xludf.DUMMYFUNCTION("""COMPUTED_VALUE"""),"Espinosa Gonatulio")</f>
        <v>Espinosa Gonatulio</v>
      </c>
      <c r="D1832" s="44">
        <f>IFERROR(__xludf.DUMMYFUNCTION("""COMPUTED_VALUE"""),0.0)</f>
        <v>0</v>
      </c>
      <c r="E1832" s="44" t="str">
        <f>IFERROR(__xludf.DUMMYFUNCTION("""COMPUTED_VALUE"""),"")</f>
        <v/>
      </c>
      <c r="F1832" s="44" t="str">
        <f>IFERROR(__xludf.DUMMYFUNCTION("""COMPUTED_VALUE"""),"")</f>
        <v/>
      </c>
      <c r="G1832" s="44"/>
      <c r="H1832" s="44"/>
      <c r="I1832" s="44"/>
      <c r="J1832" s="44" t="str">
        <f>IFERROR(__xludf.DUMMYFUNCTION("""COMPUTED_VALUE"""),"")</f>
        <v/>
      </c>
      <c r="K1832" s="42" t="str">
        <f>IFERROR(__xludf.DUMMYFUNCTION("""COMPUTED_VALUE"""),"Hospital Domingo Luciani")</f>
        <v>Hospital Domingo Luciani</v>
      </c>
    </row>
    <row r="1833">
      <c r="A1833" s="44">
        <v>1832.0</v>
      </c>
      <c r="B1833" s="44" t="str">
        <f>IFERROR(__xludf.DUMMYFUNCTION("""COMPUTED_VALUE"""),"Hospital Pérez Carreño")</f>
        <v>Hospital Pérez Carreño</v>
      </c>
      <c r="C1833" s="45" t="str">
        <f>IFERROR(__xludf.DUMMYFUNCTION("""COMPUTED_VALUE"""),"ESPINOSA IVON")</f>
        <v>ESPINOSA IVON</v>
      </c>
      <c r="D1833" s="44">
        <f>IFERROR(__xludf.DUMMYFUNCTION("""COMPUTED_VALUE"""),43.0)</f>
        <v>43</v>
      </c>
      <c r="E1833" s="44" t="str">
        <f>IFERROR(__xludf.DUMMYFUNCTION("""COMPUTED_VALUE"""),"")</f>
        <v/>
      </c>
      <c r="F1833" s="44" t="str">
        <f>IFERROR(__xludf.DUMMYFUNCTION("""COMPUTED_VALUE"""),"")</f>
        <v/>
      </c>
      <c r="G1833" s="44" t="str">
        <f>IFERROR(__xludf.DUMMYFUNCTION("""COMPUTED_VALUE""")," ")</f>
        <v> </v>
      </c>
      <c r="H1833" s="44" t="str">
        <f>IFERROR(__xludf.DUMMYFUNCTION("""COMPUTED_VALUE""")," ")</f>
        <v> </v>
      </c>
      <c r="I1833" s="44" t="str">
        <f>IFERROR(__xludf.DUMMYFUNCTION("""COMPUTED_VALUE"""),"Piso 3; La Guaira")</f>
        <v>Piso 3; La Guaira</v>
      </c>
      <c r="J1833" s="44" t="str">
        <f>IFERROR(__xludf.DUMMYFUNCTION("""COMPUTED_VALUE"""),"25/06/2026")</f>
        <v>25/06/2026</v>
      </c>
      <c r="K1833" s="42" t="str">
        <f>IFERROR(__xludf.DUMMYFUNCTION("""COMPUTED_VALUE"""),"Hospital Pérez Carreño")</f>
        <v>Hospital Pérez Carreño</v>
      </c>
    </row>
    <row r="1834">
      <c r="A1834" s="44">
        <v>1833.0</v>
      </c>
      <c r="B1834" s="44" t="str">
        <f>IFERROR(__xludf.DUMMYFUNCTION("""COMPUTED_VALUE"""),"H. Jose Maria Vargas LG")</f>
        <v>H. Jose Maria Vargas LG</v>
      </c>
      <c r="C1834" s="45" t="str">
        <f>IFERROR(__xludf.DUMMYFUNCTION("""COMPUTED_VALUE"""),"ESPINOZA ALFONZO")</f>
        <v>ESPINOZA ALFONZO</v>
      </c>
      <c r="D1834" s="44" t="str">
        <f>IFERROR(__xludf.DUMMYFUNCTION("""COMPUTED_VALUE""")," ")</f>
        <v> </v>
      </c>
      <c r="E1834" s="44" t="str">
        <f>IFERROR(__xludf.DUMMYFUNCTION("""COMPUTED_VALUE"""),"")</f>
        <v/>
      </c>
      <c r="F1834" s="44" t="str">
        <f>IFERROR(__xludf.DUMMYFUNCTION("""COMPUTED_VALUE"""),"")</f>
        <v/>
      </c>
      <c r="G1834" s="44" t="str">
        <f>IFERROR(__xludf.DUMMYFUNCTION("""COMPUTED_VALUE""")," ")</f>
        <v> </v>
      </c>
      <c r="H1834" s="44" t="str">
        <f>IFERROR(__xludf.DUMMYFUNCTION("""COMPUTED_VALUE""")," ")</f>
        <v> </v>
      </c>
      <c r="I1834" s="44" t="str">
        <f>IFERROR(__xludf.DUMMYFUNCTION("""COMPUTED_VALUE""")," ")</f>
        <v> </v>
      </c>
      <c r="J1834" s="44" t="str">
        <f>IFERROR(__xludf.DUMMYFUNCTION("""COMPUTED_VALUE"""),"")</f>
        <v/>
      </c>
      <c r="K1834" s="42" t="str">
        <f>IFERROR(__xludf.DUMMYFUNCTION("""COMPUTED_VALUE"""),"H. Jose Maria Vargas LG")</f>
        <v>H. Jose Maria Vargas LG</v>
      </c>
    </row>
    <row r="1835">
      <c r="A1835" s="44">
        <v>1834.0</v>
      </c>
      <c r="B1835" s="44" t="str">
        <f>IFERROR(__xludf.DUMMYFUNCTION("""COMPUTED_VALUE"""),"Hospital Pérez Carreño")</f>
        <v>Hospital Pérez Carreño</v>
      </c>
      <c r="C1835" s="45" t="str">
        <f>IFERROR(__xludf.DUMMYFUNCTION("""COMPUTED_VALUE"""),"ESPINOZA BELLO KAREN DANIELA")</f>
        <v>ESPINOZA BELLO KAREN DANIELA</v>
      </c>
      <c r="D1835" s="44" t="str">
        <f>IFERROR(__xludf.DUMMYFUNCTION("""COMPUTED_VALUE""")," ")</f>
        <v> </v>
      </c>
      <c r="E1835" s="44" t="str">
        <f>IFERROR(__xludf.DUMMYFUNCTION("""COMPUTED_VALUE"""),"")</f>
        <v/>
      </c>
      <c r="F1835" s="44" t="str">
        <f>IFERROR(__xludf.DUMMYFUNCTION("""COMPUTED_VALUE"""),"")</f>
        <v/>
      </c>
      <c r="G1835" s="44" t="str">
        <f>IFERROR(__xludf.DUMMYFUNCTION("""COMPUTED_VALUE""")," ")</f>
        <v> </v>
      </c>
      <c r="H1835" s="44" t="str">
        <f>IFERROR(__xludf.DUMMYFUNCTION("""COMPUTED_VALUE""")," ")</f>
        <v> </v>
      </c>
      <c r="I1835" s="44" t="str">
        <f>IFERROR(__xludf.DUMMYFUNCTION("""COMPUTED_VALUE"""),"Internado")</f>
        <v>Internado</v>
      </c>
      <c r="J1835" s="44" t="str">
        <f>IFERROR(__xludf.DUMMYFUNCTION("""COMPUTED_VALUE"""),"25/06/2026")</f>
        <v>25/06/2026</v>
      </c>
      <c r="K1835" s="42" t="str">
        <f>IFERROR(__xludf.DUMMYFUNCTION("""COMPUTED_VALUE"""),"Hospital Pérez Carreño")</f>
        <v>Hospital Pérez Carreño</v>
      </c>
    </row>
    <row r="1836">
      <c r="A1836" s="44">
        <v>1835.0</v>
      </c>
      <c r="B1836" s="44" t="str">
        <f>IFERROR(__xludf.DUMMYFUNCTION("""COMPUTED_VALUE"""),"La Guaira Sin Hospital")</f>
        <v>La Guaira Sin Hospital</v>
      </c>
      <c r="C1836" s="45" t="str">
        <f>IFERROR(__xludf.DUMMYFUNCTION("""COMPUTED_VALUE"""),"Espinoza Milagro Adrian")</f>
        <v>Espinoza Milagro Adrian</v>
      </c>
      <c r="D1836" s="44" t="str">
        <f>IFERROR(__xludf.DUMMYFUNCTION("""COMPUTED_VALUE"""),"")</f>
        <v/>
      </c>
      <c r="E1836" s="44" t="str">
        <f>IFERROR(__xludf.DUMMYFUNCTION("""COMPUTED_VALUE"""),"")</f>
        <v/>
      </c>
      <c r="F1836" s="44" t="str">
        <f>IFERROR(__xludf.DUMMYFUNCTION("""COMPUTED_VALUE"""),"")</f>
        <v/>
      </c>
      <c r="G1836" s="44" t="str">
        <f>IFERROR(__xludf.DUMMYFUNCTION("""COMPUTED_VALUE"""),"")</f>
        <v/>
      </c>
      <c r="H1836" s="44" t="str">
        <f>IFERROR(__xludf.DUMMYFUNCTION("""COMPUTED_VALUE"""),"La Guaira Caribe")</f>
        <v>La Guaira Caribe</v>
      </c>
      <c r="I1836" s="44" t="str">
        <f>IFERROR(__xludf.DUMMYFUNCTION("""COMPUTED_VALUE"""),"Listas con ubicación")</f>
        <v>Listas con ubicación</v>
      </c>
      <c r="J1836" s="44" t="str">
        <f>IFERROR(__xludf.DUMMYFUNCTION("""COMPUTED_VALUE"""),"")</f>
        <v/>
      </c>
      <c r="K1836" s="42" t="str">
        <f>IFERROR(__xludf.DUMMYFUNCTION("""COMPUTED_VALUE"""),"La Guaira Sin Hospital")</f>
        <v>La Guaira Sin Hospital</v>
      </c>
    </row>
    <row r="1837">
      <c r="A1837" s="44">
        <v>1836.0</v>
      </c>
      <c r="B1837" s="44" t="str">
        <f>IFERROR(__xludf.DUMMYFUNCTION("""COMPUTED_VALUE"""),"Hospital Domingo Luciani")</f>
        <v>Hospital Domingo Luciani</v>
      </c>
      <c r="C1837" s="45" t="str">
        <f>IFERROR(__xludf.DUMMYFUNCTION("""COMPUTED_VALUE"""),"ESPITIA YOHANY GARABUTO")</f>
        <v>ESPITIA YOHANY GARABUTO</v>
      </c>
      <c r="D1837" s="44" t="str">
        <f>IFERROR(__xludf.DUMMYFUNCTION("""COMPUTED_VALUE""")," ")</f>
        <v> </v>
      </c>
      <c r="E1837" s="44" t="str">
        <f>IFERROR(__xludf.DUMMYFUNCTION("""COMPUTED_VALUE"""),"")</f>
        <v/>
      </c>
      <c r="F1837" s="44" t="str">
        <f>IFERROR(__xludf.DUMMYFUNCTION("""COMPUTED_VALUE"""),"")</f>
        <v/>
      </c>
      <c r="G1837" s="44" t="str">
        <f>IFERROR(__xludf.DUMMYFUNCTION("""COMPUTED_VALUE""")," ")</f>
        <v> </v>
      </c>
      <c r="H1837" s="44" t="str">
        <f>IFERROR(__xludf.DUMMYFUNCTION("""COMPUTED_VALUE""")," ")</f>
        <v> </v>
      </c>
      <c r="I1837" s="44" t="str">
        <f>IFERROR(__xludf.DUMMYFUNCTION("""COMPUTED_VALUE"""),"Politrauma")</f>
        <v>Politrauma</v>
      </c>
      <c r="J1837" s="44" t="str">
        <f>IFERROR(__xludf.DUMMYFUNCTION("""COMPUTED_VALUE"""),"")</f>
        <v/>
      </c>
      <c r="K1837" s="42" t="str">
        <f>IFERROR(__xludf.DUMMYFUNCTION("""COMPUTED_VALUE"""),"🔍 BUSCAR PACIENTES")</f>
        <v>🔍 BUSCAR PACIENTES</v>
      </c>
    </row>
    <row r="1838">
      <c r="A1838" s="44">
        <v>1837.0</v>
      </c>
      <c r="B1838" s="44" t="str">
        <f>IFERROR(__xludf.DUMMYFUNCTION("""COMPUTED_VALUE"""),"HOSPITAL VARGAS")</f>
        <v>HOSPITAL VARGAS</v>
      </c>
      <c r="C1838" s="45" t="str">
        <f>IFERROR(__xludf.DUMMYFUNCTION("""COMPUTED_VALUE"""),"Esteban Castro")</f>
        <v>Esteban Castro</v>
      </c>
      <c r="D1838" s="44"/>
      <c r="E1838" s="44" t="str">
        <f>IFERROR(__xludf.DUMMYFUNCTION("""COMPUTED_VALUE"""),"")</f>
        <v/>
      </c>
      <c r="F1838" s="44" t="str">
        <f>IFERROR(__xludf.DUMMYFUNCTION("""COMPUTED_VALUE"""),"")</f>
        <v/>
      </c>
      <c r="G1838" s="44" t="str">
        <f>IFERROR(__xludf.DUMMYFUNCTION("""COMPUTED_VALUE"""),"")</f>
        <v/>
      </c>
      <c r="H1838" s="44" t="str">
        <f>IFERROR(__xludf.DUMMYFUNCTION("""COMPUTED_VALUE"""),"")</f>
        <v/>
      </c>
      <c r="I1838" s="44" t="str">
        <f>IFERROR(__xludf.DUMMYFUNCTION("""COMPUTED_VALUE"""),"Herido / atendido")</f>
        <v>Herido / atendido</v>
      </c>
      <c r="J1838" s="44" t="str">
        <f>IFERROR(__xludf.DUMMYFUNCTION("""COMPUTED_VALUE"""),"24.06.2026 ")</f>
        <v>24.06.2026 </v>
      </c>
      <c r="K1838" s="42" t="str">
        <f>IFERROR(__xludf.DUMMYFUNCTION("""COMPUTED_VALUE"""),"HOSPITAL VARGAS")</f>
        <v>HOSPITAL VARGAS</v>
      </c>
    </row>
    <row r="1839">
      <c r="A1839" s="44">
        <v>1838.0</v>
      </c>
      <c r="B1839" s="44" t="str">
        <f>IFERROR(__xludf.DUMMYFUNCTION("""COMPUTED_VALUE"""),"Periférico de Catia")</f>
        <v>Periférico de Catia</v>
      </c>
      <c r="C1839" s="45" t="str">
        <f>IFERROR(__xludf.DUMMYFUNCTION("""COMPUTED_VALUE"""),"Estefani Acevedo (2)")</f>
        <v>Estefani Acevedo (2)</v>
      </c>
      <c r="D1839" s="44">
        <f>IFERROR(__xludf.DUMMYFUNCTION("""COMPUTED_VALUE"""),37.0)</f>
        <v>37</v>
      </c>
      <c r="E1839" s="44" t="str">
        <f>IFERROR(__xludf.DUMMYFUNCTION("""COMPUTED_VALUE"""),"")</f>
        <v/>
      </c>
      <c r="F1839" s="44" t="str">
        <f>IFERROR(__xludf.DUMMYFUNCTION("""COMPUTED_VALUE"""),"")</f>
        <v/>
      </c>
      <c r="G1839" s="44"/>
      <c r="H1839" s="44"/>
      <c r="I1839" s="44" t="str">
        <f>IFERROR(__xludf.DUMMYFUNCTION("""COMPUTED_VALUE"""),"Poli Emergencia Nueva (nota suelta separada); posible duplicado de 'Estefani Acevedo 37'")</f>
        <v>Poli Emergencia Nueva (nota suelta separada); posible duplicado de 'Estefani Acevedo 37'</v>
      </c>
      <c r="J1839" s="44" t="str">
        <f>IFERROR(__xludf.DUMMYFUNCTION("""COMPUTED_VALUE"""),"")</f>
        <v/>
      </c>
      <c r="K1839" s="42" t="str">
        <f>IFERROR(__xludf.DUMMYFUNCTION("""COMPUTED_VALUE"""),"Periférico de Catia")</f>
        <v>Periférico de Catia</v>
      </c>
    </row>
    <row r="1840">
      <c r="A1840" s="44">
        <v>1839.0</v>
      </c>
      <c r="B1840" s="44" t="str">
        <f>IFERROR(__xludf.DUMMYFUNCTION("""COMPUTED_VALUE"""),"HOSPITAL VARGAS")</f>
        <v>HOSPITAL VARGAS</v>
      </c>
      <c r="C1840" s="45" t="str">
        <f>IFERROR(__xludf.DUMMYFUNCTION("""COMPUTED_VALUE"""),"Estefany Gesu")</f>
        <v>Estefany Gesu</v>
      </c>
      <c r="D1840" s="44"/>
      <c r="E1840" s="44" t="str">
        <f>IFERROR(__xludf.DUMMYFUNCTION("""COMPUTED_VALUE"""),"")</f>
        <v/>
      </c>
      <c r="F1840" s="44" t="str">
        <f>IFERROR(__xludf.DUMMYFUNCTION("""COMPUTED_VALUE"""),"")</f>
        <v/>
      </c>
      <c r="G1840" s="44" t="str">
        <f>IFERROR(__xludf.DUMMYFUNCTION("""COMPUTED_VALUE"""),"")</f>
        <v/>
      </c>
      <c r="H1840" s="44" t="str">
        <f>IFERROR(__xludf.DUMMYFUNCTION("""COMPUTED_VALUE"""),"")</f>
        <v/>
      </c>
      <c r="I1840" s="44" t="str">
        <f>IFERROR(__xludf.DUMMYFUNCTION("""COMPUTED_VALUE"""),"Herido / atendido")</f>
        <v>Herido / atendido</v>
      </c>
      <c r="J1840" s="44" t="str">
        <f>IFERROR(__xludf.DUMMYFUNCTION("""COMPUTED_VALUE"""),"24.06.2026 ")</f>
        <v>24.06.2026 </v>
      </c>
      <c r="K1840" s="42" t="str">
        <f>IFERROR(__xludf.DUMMYFUNCTION("""COMPUTED_VALUE"""),"HOSPITAL VARGAS")</f>
        <v>HOSPITAL VARGAS</v>
      </c>
    </row>
    <row r="1841">
      <c r="A1841" s="44">
        <v>1840.0</v>
      </c>
      <c r="B1841" s="44" t="str">
        <f>IFERROR(__xludf.DUMMYFUNCTION("""COMPUTED_VALUE"""),"Hospital Pérez Carreño")</f>
        <v>Hospital Pérez Carreño</v>
      </c>
      <c r="C1841" s="45" t="str">
        <f>IFERROR(__xludf.DUMMYFUNCTION("""COMPUTED_VALUE"""),"Esteves Carreño Yolinnys Alberto")</f>
        <v>Esteves Carreño Yolinnys Alberto</v>
      </c>
      <c r="D1841" s="44"/>
      <c r="E1841" s="44" t="str">
        <f>IFERROR(__xludf.DUMMYFUNCTION("""COMPUTED_VALUE"""),"")</f>
        <v/>
      </c>
      <c r="F1841" s="44" t="str">
        <f>IFERROR(__xludf.DUMMYFUNCTION("""COMPUTED_VALUE"""),"")</f>
        <v/>
      </c>
      <c r="G1841" s="44" t="str">
        <f>IFERROR(__xludf.DUMMYFUNCTION("""COMPUTED_VALUE"""),"Traslados con destino asignado")</f>
        <v>Traslados con destino asignado</v>
      </c>
      <c r="H1841" s="44" t="str">
        <f>IFERROR(__xludf.DUMMYFUNCTION("""COMPUTED_VALUE"""),"Hospital Miguel Perez Carreño")</f>
        <v>Hospital Miguel Perez Carreño</v>
      </c>
      <c r="I1841" s="44"/>
      <c r="J1841" s="44" t="str">
        <f>IFERROR(__xludf.DUMMYFUNCTION("""COMPUTED_VALUE"""),"26/6/26")</f>
        <v>26/6/26</v>
      </c>
      <c r="K1841" s="42" t="str">
        <f>IFERROR(__xludf.DUMMYFUNCTION("""COMPUTED_VALUE"""),"Hospital Pérez Carreño")</f>
        <v>Hospital Pérez Carreño</v>
      </c>
    </row>
    <row r="1842">
      <c r="A1842" s="44">
        <v>1841.0</v>
      </c>
      <c r="B1842" s="44" t="str">
        <f>IFERROR(__xludf.DUMMYFUNCTION("""COMPUTED_VALUE"""),"Hospital Pérez Carreño")</f>
        <v>Hospital Pérez Carreño</v>
      </c>
      <c r="C1842" s="45" t="str">
        <f>IFERROR(__xludf.DUMMYFUNCTION("""COMPUTED_VALUE"""),"ESTEVES YOLNNYS")</f>
        <v>ESTEVES YOLNNYS</v>
      </c>
      <c r="D1842" s="44" t="str">
        <f>IFERROR(__xludf.DUMMYFUNCTION("""COMPUTED_VALUE""")," ")</f>
        <v> </v>
      </c>
      <c r="E1842" s="44" t="str">
        <f>IFERROR(__xludf.DUMMYFUNCTION("""COMPUTED_VALUE"""),"")</f>
        <v/>
      </c>
      <c r="F1842" s="44" t="str">
        <f>IFERROR(__xludf.DUMMYFUNCTION("""COMPUTED_VALUE"""),"")</f>
        <v/>
      </c>
      <c r="G1842" s="44" t="str">
        <f>IFERROR(__xludf.DUMMYFUNCTION("""COMPUTED_VALUE""")," ")</f>
        <v> </v>
      </c>
      <c r="H1842" s="44" t="str">
        <f>IFERROR(__xludf.DUMMYFUNCTION("""COMPUTED_VALUE""")," ")</f>
        <v> </v>
      </c>
      <c r="I1842" s="44" t="str">
        <f>IFERROR(__xludf.DUMMYFUNCTION("""COMPUTED_VALUE"""),"Traumachok – Traumatología; La Guaira")</f>
        <v>Traumachok – Traumatología; La Guaira</v>
      </c>
      <c r="J1842" s="44" t="str">
        <f>IFERROR(__xludf.DUMMYFUNCTION("""COMPUTED_VALUE"""),"25/06/2026")</f>
        <v>25/06/2026</v>
      </c>
      <c r="K1842" s="42" t="str">
        <f>IFERROR(__xludf.DUMMYFUNCTION("""COMPUTED_VALUE"""),"Hospital Pérez Carreño")</f>
        <v>Hospital Pérez Carreño</v>
      </c>
    </row>
    <row r="1843">
      <c r="A1843" s="44">
        <v>1842.0</v>
      </c>
      <c r="B1843" s="44" t="str">
        <f>IFERROR(__xludf.DUMMYFUNCTION("""COMPUTED_VALUE"""),"Campo de Golf Playa los Cocos")</f>
        <v>Campo de Golf Playa los Cocos</v>
      </c>
      <c r="C1843" s="45" t="str">
        <f>IFERROR(__xludf.DUMMYFUNCTION("""COMPUTED_VALUE"""),"Eulogio Rodriguez")</f>
        <v>Eulogio Rodriguez</v>
      </c>
      <c r="D1843" s="44" t="str">
        <f>IFERROR(__xludf.DUMMYFUNCTION("""COMPUTED_VALUE"""),"")</f>
        <v/>
      </c>
      <c r="E1843" s="44" t="str">
        <f>IFERROR(__xludf.DUMMYFUNCTION("""COMPUTED_VALUE"""),"")</f>
        <v/>
      </c>
      <c r="F1843" s="44" t="str">
        <f>IFERROR(__xludf.DUMMYFUNCTION("""COMPUTED_VALUE"""),"")</f>
        <v/>
      </c>
      <c r="G1843" s="44" t="str">
        <f>IFERROR(__xludf.DUMMYFUNCTION("""COMPUTED_VALUE"""),"")</f>
        <v/>
      </c>
      <c r="H1843" s="44" t="str">
        <f>IFERROR(__xludf.DUMMYFUNCTION("""COMPUTED_VALUE"""),"")</f>
        <v/>
      </c>
      <c r="I1843" s="44"/>
      <c r="J1843" s="44" t="str">
        <f>IFERROR(__xludf.DUMMYFUNCTION("""COMPUTED_VALUE"""),"")</f>
        <v/>
      </c>
      <c r="K1843" s="42" t="str">
        <f>IFERROR(__xludf.DUMMYFUNCTION("""COMPUTED_VALUE"""),"Campo de Golf Playa los Cocos")</f>
        <v>Campo de Golf Playa los Cocos</v>
      </c>
    </row>
    <row r="1844">
      <c r="A1844" s="44">
        <v>1843.0</v>
      </c>
      <c r="B1844" s="44" t="str">
        <f>IFERROR(__xludf.DUMMYFUNCTION("""COMPUTED_VALUE"""),"Seguro Social La Guaira")</f>
        <v>Seguro Social La Guaira</v>
      </c>
      <c r="C1844" s="45" t="str">
        <f>IFERROR(__xludf.DUMMYFUNCTION("""COMPUTED_VALUE"""),"EVANGELINA GONZALES")</f>
        <v>EVANGELINA GONZALES</v>
      </c>
      <c r="D1844" s="44" t="str">
        <f>IFERROR(__xludf.DUMMYFUNCTION("""COMPUTED_VALUE""")," ")</f>
        <v> </v>
      </c>
      <c r="E1844" s="44" t="str">
        <f>IFERROR(__xludf.DUMMYFUNCTION("""COMPUTED_VALUE"""),"")</f>
        <v/>
      </c>
      <c r="F1844" s="44" t="str">
        <f>IFERROR(__xludf.DUMMYFUNCTION("""COMPUTED_VALUE"""),"")</f>
        <v/>
      </c>
      <c r="G1844" s="44" t="str">
        <f>IFERROR(__xludf.DUMMYFUNCTION("""COMPUTED_VALUE""")," ")</f>
        <v> </v>
      </c>
      <c r="H1844" s="44" t="str">
        <f>IFERROR(__xludf.DUMMYFUNCTION("""COMPUTED_VALUE"""),"Caribe")</f>
        <v>Caribe</v>
      </c>
      <c r="I1844" s="44" t="str">
        <f>IFERROR(__xludf.DUMMYFUNCTION("""COMPUTED_VALUE""")," ")</f>
        <v> </v>
      </c>
      <c r="J1844" s="44" t="str">
        <f>IFERROR(__xludf.DUMMYFUNCTION("""COMPUTED_VALUE"""),"")</f>
        <v/>
      </c>
      <c r="K1844" s="42" t="str">
        <f>IFERROR(__xludf.DUMMYFUNCTION("""COMPUTED_VALUE"""),"Seguro Social La Guaira")</f>
        <v>Seguro Social La Guaira</v>
      </c>
    </row>
    <row r="1845">
      <c r="A1845" s="44">
        <v>1844.0</v>
      </c>
      <c r="B1845" s="44" t="str">
        <f>IFERROR(__xludf.DUMMYFUNCTION("""COMPUTED_VALUE"""),"Hospital Vargas de Caracas")</f>
        <v>Hospital Vargas de Caracas</v>
      </c>
      <c r="C1845" s="45" t="str">
        <f>IFERROR(__xludf.DUMMYFUNCTION("""COMPUTED_VALUE"""),"Evangelina Gonzalez")</f>
        <v>Evangelina Gonzalez</v>
      </c>
      <c r="D1845" s="44"/>
      <c r="E1845" s="44" t="str">
        <f>IFERROR(__xludf.DUMMYFUNCTION("""COMPUTED_VALUE"""),"")</f>
        <v/>
      </c>
      <c r="F1845" s="44"/>
      <c r="G1845" s="44" t="str">
        <f>IFERROR(__xludf.DUMMYFUNCTION("""COMPUTED_VALUE"""),"")</f>
        <v/>
      </c>
      <c r="H1845" s="44"/>
      <c r="I1845" s="44" t="str">
        <f>IFERROR(__xludf.DUMMYFUNCTION("""COMPUTED_VALUE"""),"Nombre tomado de la pizarra de pacientes; no aparece en el formulario con C.I.")</f>
        <v>Nombre tomado de la pizarra de pacientes; no aparece en el formulario con C.I.</v>
      </c>
      <c r="J1845" s="44" t="str">
        <f>IFERROR(__xludf.DUMMYFUNCTION("""COMPUTED_VALUE"""),"")</f>
        <v/>
      </c>
      <c r="K1845" s="42" t="str">
        <f>IFERROR(__xludf.DUMMYFUNCTION("""COMPUTED_VALUE"""),"Hospital Vargas de Caracas")</f>
        <v>Hospital Vargas de Caracas</v>
      </c>
    </row>
    <row r="1846">
      <c r="A1846" s="44">
        <v>1845.0</v>
      </c>
      <c r="B1846" s="44" t="str">
        <f>IFERROR(__xludf.DUMMYFUNCTION("""COMPUTED_VALUE"""),"HOSPITAL VARGAS")</f>
        <v>HOSPITAL VARGAS</v>
      </c>
      <c r="C1846" s="45" t="str">
        <f>IFERROR(__xludf.DUMMYFUNCTION("""COMPUTED_VALUE"""),"Evangelina González")</f>
        <v>Evangelina González</v>
      </c>
      <c r="D1846" s="44"/>
      <c r="E1846" s="44" t="str">
        <f>IFERROR(__xludf.DUMMYFUNCTION("""COMPUTED_VALUE"""),"")</f>
        <v/>
      </c>
      <c r="F1846" s="44" t="str">
        <f>IFERROR(__xludf.DUMMYFUNCTION("""COMPUTED_VALUE"""),"")</f>
        <v/>
      </c>
      <c r="G1846" s="44" t="str">
        <f>IFERROR(__xludf.DUMMYFUNCTION("""COMPUTED_VALUE"""),"")</f>
        <v/>
      </c>
      <c r="H1846" s="44" t="str">
        <f>IFERROR(__xludf.DUMMYFUNCTION("""COMPUTED_VALUE"""),"")</f>
        <v/>
      </c>
      <c r="I1846" s="44" t="str">
        <f>IFERROR(__xludf.DUMMYFUNCTION("""COMPUTED_VALUE"""),"Herido / atendido")</f>
        <v>Herido / atendido</v>
      </c>
      <c r="J1846" s="44" t="str">
        <f>IFERROR(__xludf.DUMMYFUNCTION("""COMPUTED_VALUE"""),"24.06.2026 ")</f>
        <v>24.06.2026 </v>
      </c>
      <c r="K1846" s="42" t="str">
        <f>IFERROR(__xludf.DUMMYFUNCTION("""COMPUTED_VALUE"""),"HOSPITAL VARGAS")</f>
        <v>HOSPITAL VARGAS</v>
      </c>
    </row>
    <row r="1847">
      <c r="A1847" s="44">
        <v>1846.0</v>
      </c>
      <c r="B1847" s="44" t="str">
        <f>IFERROR(__xludf.DUMMYFUNCTION("""COMPUTED_VALUE"""),"Seguro Social La Guaira")</f>
        <v>Seguro Social La Guaira</v>
      </c>
      <c r="C1847" s="45" t="str">
        <f>IFERROR(__xludf.DUMMYFUNCTION("""COMPUTED_VALUE"""),"EVELIN GUERRA")</f>
        <v>EVELIN GUERRA</v>
      </c>
      <c r="D1847" s="44">
        <f>IFERROR(__xludf.DUMMYFUNCTION("""COMPUTED_VALUE"""),39.0)</f>
        <v>39</v>
      </c>
      <c r="E1847" s="44" t="str">
        <f>IFERROR(__xludf.DUMMYFUNCTION("""COMPUTED_VALUE"""),"")</f>
        <v/>
      </c>
      <c r="F1847" s="44" t="str">
        <f>IFERROR(__xludf.DUMMYFUNCTION("""COMPUTED_VALUE"""),"")</f>
        <v/>
      </c>
      <c r="G1847" s="44" t="str">
        <f>IFERROR(__xludf.DUMMYFUNCTION("""COMPUTED_VALUE""")," ")</f>
        <v> </v>
      </c>
      <c r="H1847" s="44" t="str">
        <f>IFERROR(__xludf.DUMMYFUNCTION("""COMPUTED_VALUE"""),"Negra Hipolita")</f>
        <v>Negra Hipolita</v>
      </c>
      <c r="I1847" s="44" t="str">
        <f>IFERROR(__xludf.DUMMYFUNCTION("""COMPUTED_VALUE""")," ")</f>
        <v> </v>
      </c>
      <c r="J1847" s="44" t="str">
        <f>IFERROR(__xludf.DUMMYFUNCTION("""COMPUTED_VALUE"""),"")</f>
        <v/>
      </c>
      <c r="K1847" s="42" t="str">
        <f>IFERROR(__xludf.DUMMYFUNCTION("""COMPUTED_VALUE"""),"Seguro Social La Guaira")</f>
        <v>Seguro Social La Guaira</v>
      </c>
    </row>
    <row r="1848">
      <c r="A1848" s="44">
        <v>1847.0</v>
      </c>
      <c r="B1848" s="44" t="str">
        <f>IFERROR(__xludf.DUMMYFUNCTION("""COMPUTED_VALUE"""),"Hospital Domingo Luciani")</f>
        <v>Hospital Domingo Luciani</v>
      </c>
      <c r="C1848" s="45" t="str">
        <f>IFERROR(__xludf.DUMMYFUNCTION("""COMPUTED_VALUE"""),"Evelyn Broda")</f>
        <v>Evelyn Broda</v>
      </c>
      <c r="D1848" s="44">
        <f>IFERROR(__xludf.DUMMYFUNCTION("""COMPUTED_VALUE"""),54.0)</f>
        <v>54</v>
      </c>
      <c r="E1848" s="44" t="str">
        <f>IFERROR(__xludf.DUMMYFUNCTION("""COMPUTED_VALUE"""),"")</f>
        <v/>
      </c>
      <c r="F1848" s="44" t="str">
        <f>IFERROR(__xludf.DUMMYFUNCTION("""COMPUTED_VALUE"""),"")</f>
        <v/>
      </c>
      <c r="G1848" s="44"/>
      <c r="H1848" s="44"/>
      <c r="I1848" s="44"/>
      <c r="J1848" s="44" t="str">
        <f>IFERROR(__xludf.DUMMYFUNCTION("""COMPUTED_VALUE"""),"")</f>
        <v/>
      </c>
      <c r="K1848" s="42" t="str">
        <f>IFERROR(__xludf.DUMMYFUNCTION("""COMPUTED_VALUE"""),"Hospital Domingo Luciani")</f>
        <v>Hospital Domingo Luciani</v>
      </c>
    </row>
    <row r="1849">
      <c r="A1849" s="44">
        <v>1848.0</v>
      </c>
      <c r="B1849" s="44" t="str">
        <f>IFERROR(__xludf.DUMMYFUNCTION("""COMPUTED_VALUE"""),"Campo de Golf Playa los Cocos")</f>
        <v>Campo de Golf Playa los Cocos</v>
      </c>
      <c r="C1849" s="45" t="str">
        <f>IFERROR(__xludf.DUMMYFUNCTION("""COMPUTED_VALUE"""),"Fabiana Jaimes")</f>
        <v>Fabiana Jaimes</v>
      </c>
      <c r="D1849" s="44" t="str">
        <f>IFERROR(__xludf.DUMMYFUNCTION("""COMPUTED_VALUE"""),"")</f>
        <v/>
      </c>
      <c r="E1849" s="44" t="str">
        <f>IFERROR(__xludf.DUMMYFUNCTION("""COMPUTED_VALUE"""),"")</f>
        <v/>
      </c>
      <c r="F1849" s="44" t="str">
        <f>IFERROR(__xludf.DUMMYFUNCTION("""COMPUTED_VALUE"""),"")</f>
        <v/>
      </c>
      <c r="G1849" s="44" t="str">
        <f>IFERROR(__xludf.DUMMYFUNCTION("""COMPUTED_VALUE"""),"")</f>
        <v/>
      </c>
      <c r="H1849" s="44" t="str">
        <f>IFERROR(__xludf.DUMMYFUNCTION("""COMPUTED_VALUE"""),"")</f>
        <v/>
      </c>
      <c r="I1849" s="44"/>
      <c r="J1849" s="44" t="str">
        <f>IFERROR(__xludf.DUMMYFUNCTION("""COMPUTED_VALUE"""),"")</f>
        <v/>
      </c>
      <c r="K1849" s="42" t="str">
        <f>IFERROR(__xludf.DUMMYFUNCTION("""COMPUTED_VALUE"""),"Campo de Golf Playa los Cocos")</f>
        <v>Campo de Golf Playa los Cocos</v>
      </c>
    </row>
    <row r="1850">
      <c r="A1850" s="44">
        <v>1849.0</v>
      </c>
      <c r="B1850" s="44" t="str">
        <f>IFERROR(__xludf.DUMMYFUNCTION("""COMPUTED_VALUE"""),"Hospital Domingo Luciani")</f>
        <v>Hospital Domingo Luciani</v>
      </c>
      <c r="C1850" s="45" t="str">
        <f>IFERROR(__xludf.DUMMYFUNCTION("""COMPUTED_VALUE"""),"FABINA RIBAS")</f>
        <v>FABINA RIBAS</v>
      </c>
      <c r="D1850" s="44" t="str">
        <f>IFERROR(__xludf.DUMMYFUNCTION("""COMPUTED_VALUE""")," ")</f>
        <v> </v>
      </c>
      <c r="E1850" s="44" t="str">
        <f>IFERROR(__xludf.DUMMYFUNCTION("""COMPUTED_VALUE"""),"")</f>
        <v/>
      </c>
      <c r="F1850" s="44" t="str">
        <f>IFERROR(__xludf.DUMMYFUNCTION("""COMPUTED_VALUE"""),"")</f>
        <v/>
      </c>
      <c r="G1850" s="44" t="str">
        <f>IFERROR(__xludf.DUMMYFUNCTION("""COMPUTED_VALUE""")," ")</f>
        <v> </v>
      </c>
      <c r="H1850" s="44" t="str">
        <f>IFERROR(__xludf.DUMMYFUNCTION("""COMPUTED_VALUE""")," ")</f>
        <v> </v>
      </c>
      <c r="I1850" s="44" t="str">
        <f>IFERROR(__xludf.DUMMYFUNCTION("""COMPUTED_VALUE""")," ")</f>
        <v> </v>
      </c>
      <c r="J1850" s="44" t="str">
        <f>IFERROR(__xludf.DUMMYFUNCTION("""COMPUTED_VALUE"""),"")</f>
        <v/>
      </c>
      <c r="K1850" s="42" t="str">
        <f>IFERROR(__xludf.DUMMYFUNCTION("""COMPUTED_VALUE"""),"🔍 BUSCAR PACIENTES")</f>
        <v>🔍 BUSCAR PACIENTES</v>
      </c>
    </row>
    <row r="1851">
      <c r="A1851" s="44">
        <v>1850.0</v>
      </c>
      <c r="B1851" s="44" t="str">
        <f>IFERROR(__xludf.DUMMYFUNCTION("""COMPUTED_VALUE"""),"Campo de Golf Playa los Cocos")</f>
        <v>Campo de Golf Playa los Cocos</v>
      </c>
      <c r="C1851" s="45" t="str">
        <f>IFERROR(__xludf.DUMMYFUNCTION("""COMPUTED_VALUE"""),"Fabiola Avilan")</f>
        <v>Fabiola Avilan</v>
      </c>
      <c r="D1851" s="44" t="str">
        <f>IFERROR(__xludf.DUMMYFUNCTION("""COMPUTED_VALUE"""),"")</f>
        <v/>
      </c>
      <c r="E1851" s="44" t="str">
        <f>IFERROR(__xludf.DUMMYFUNCTION("""COMPUTED_VALUE"""),"")</f>
        <v/>
      </c>
      <c r="F1851" s="44" t="str">
        <f>IFERROR(__xludf.DUMMYFUNCTION("""COMPUTED_VALUE"""),"")</f>
        <v/>
      </c>
      <c r="G1851" s="44" t="str">
        <f>IFERROR(__xludf.DUMMYFUNCTION("""COMPUTED_VALUE"""),"")</f>
        <v/>
      </c>
      <c r="H1851" s="44" t="str">
        <f>IFERROR(__xludf.DUMMYFUNCTION("""COMPUTED_VALUE"""),"")</f>
        <v/>
      </c>
      <c r="I1851" s="44"/>
      <c r="J1851" s="44" t="str">
        <f>IFERROR(__xludf.DUMMYFUNCTION("""COMPUTED_VALUE"""),"")</f>
        <v/>
      </c>
      <c r="K1851" s="42" t="str">
        <f>IFERROR(__xludf.DUMMYFUNCTION("""COMPUTED_VALUE"""),"Campo de Golf Playa los Cocos")</f>
        <v>Campo de Golf Playa los Cocos</v>
      </c>
    </row>
    <row r="1852">
      <c r="A1852" s="44">
        <v>1851.0</v>
      </c>
      <c r="B1852" s="44" t="str">
        <f>IFERROR(__xludf.DUMMYFUNCTION("""COMPUTED_VALUE"""),"Hospital Pérez Carreño")</f>
        <v>Hospital Pérez Carreño</v>
      </c>
      <c r="C1852" s="45" t="str">
        <f>IFERROR(__xludf.DUMMYFUNCTION("""COMPUTED_VALUE"""),"Fabricio Gutierrez")</f>
        <v>Fabricio Gutierrez</v>
      </c>
      <c r="D1852" s="44" t="str">
        <f>IFERROR(__xludf.DUMMYFUNCTION("""COMPUTED_VALUE"""),"18 años")</f>
        <v>18 años</v>
      </c>
      <c r="E1852" s="44" t="str">
        <f>IFERROR(__xludf.DUMMYFUNCTION("""COMPUTED_VALUE"""),"")</f>
        <v/>
      </c>
      <c r="F1852" s="44" t="str">
        <f>IFERROR(__xludf.DUMMYFUNCTION("""COMPUTED_VALUE"""),"")</f>
        <v/>
      </c>
      <c r="G1852" s="44" t="str">
        <f>IFERROR(__xludf.DUMMYFUNCTION("""COMPUTED_VALUE"""),"Traumashock")</f>
        <v>Traumashock</v>
      </c>
      <c r="H1852" s="44" t="str">
        <f>IFERROR(__xludf.DUMMYFUNCTION("""COMPUTED_VALUE"""),"Hospital Miguel Perez Carreño")</f>
        <v>Hospital Miguel Perez Carreño</v>
      </c>
      <c r="I1852" s="44"/>
      <c r="J1852" s="44" t="str">
        <f>IFERROR(__xludf.DUMMYFUNCTION("""COMPUTED_VALUE"""),"26/6/26")</f>
        <v>26/6/26</v>
      </c>
      <c r="K1852" s="42" t="str">
        <f>IFERROR(__xludf.DUMMYFUNCTION("""COMPUTED_VALUE"""),"Hospital Pérez Carreño")</f>
        <v>Hospital Pérez Carreño</v>
      </c>
    </row>
    <row r="1853">
      <c r="A1853" s="44">
        <v>1852.0</v>
      </c>
      <c r="B1853" s="44" t="str">
        <f>IFERROR(__xludf.DUMMYFUNCTION("""COMPUTED_VALUE"""),"Hospital Pérez Carreño")</f>
        <v>Hospital Pérez Carreño</v>
      </c>
      <c r="C1853" s="45" t="str">
        <f>IFERROR(__xludf.DUMMYFUNCTION("""COMPUTED_VALUE"""),"FAJARDO ROMIEL")</f>
        <v>FAJARDO ROMIEL</v>
      </c>
      <c r="D1853" s="44">
        <f>IFERROR(__xludf.DUMMYFUNCTION("""COMPUTED_VALUE"""),33.0)</f>
        <v>33</v>
      </c>
      <c r="E1853" s="44" t="str">
        <f>IFERROR(__xludf.DUMMYFUNCTION("""COMPUTED_VALUE"""),"")</f>
        <v/>
      </c>
      <c r="F1853" s="44" t="str">
        <f>IFERROR(__xludf.DUMMYFUNCTION("""COMPUTED_VALUE"""),"")</f>
        <v/>
      </c>
      <c r="G1853" s="44" t="str">
        <f>IFERROR(__xludf.DUMMYFUNCTION("""COMPUTED_VALUE""")," ")</f>
        <v> </v>
      </c>
      <c r="H1853" s="44" t="str">
        <f>IFERROR(__xludf.DUMMYFUNCTION("""COMPUTED_VALUE""")," ")</f>
        <v> </v>
      </c>
      <c r="I1853" s="44" t="str">
        <f>IFERROR(__xludf.DUMMYFUNCTION("""COMPUTED_VALUE"""),"Traumashock")</f>
        <v>Traumashock</v>
      </c>
      <c r="J1853" s="44" t="str">
        <f>IFERROR(__xludf.DUMMYFUNCTION("""COMPUTED_VALUE"""),"25/06/2026")</f>
        <v>25/06/2026</v>
      </c>
      <c r="K1853" s="42" t="str">
        <f>IFERROR(__xludf.DUMMYFUNCTION("""COMPUTED_VALUE"""),"Hospital Pérez Carreño")</f>
        <v>Hospital Pérez Carreño</v>
      </c>
    </row>
    <row r="1854">
      <c r="A1854" s="44">
        <v>1853.0</v>
      </c>
      <c r="B1854" s="44" t="str">
        <f>IFERROR(__xludf.DUMMYFUNCTION("""COMPUTED_VALUE"""),"Hospital Pérez Carreño")</f>
        <v>Hospital Pérez Carreño</v>
      </c>
      <c r="C1854" s="45" t="str">
        <f>IFERROR(__xludf.DUMMYFUNCTION("""COMPUTED_VALUE"""),"Fajardo Roniel")</f>
        <v>Fajardo Roniel</v>
      </c>
      <c r="D1854" s="44"/>
      <c r="E1854" s="44" t="str">
        <f>IFERROR(__xludf.DUMMYFUNCTION("""COMPUTED_VALUE"""),"")</f>
        <v/>
      </c>
      <c r="F1854" s="44" t="str">
        <f>IFERROR(__xludf.DUMMYFUNCTION("""COMPUTED_VALUE"""),"")</f>
        <v/>
      </c>
      <c r="G1854" s="44" t="str">
        <f>IFERROR(__xludf.DUMMYFUNCTION("""COMPUTED_VALUE"""),"Traslados con destino asignado")</f>
        <v>Traslados con destino asignado</v>
      </c>
      <c r="H1854" s="44" t="str">
        <f>IFERROR(__xludf.DUMMYFUNCTION("""COMPUTED_VALUE"""),"Hospital Miguel Perez Carreño")</f>
        <v>Hospital Miguel Perez Carreño</v>
      </c>
      <c r="I1854" s="44"/>
      <c r="J1854" s="44" t="str">
        <f>IFERROR(__xludf.DUMMYFUNCTION("""COMPUTED_VALUE"""),"26/6/26")</f>
        <v>26/6/26</v>
      </c>
      <c r="K1854" s="42" t="str">
        <f>IFERROR(__xludf.DUMMYFUNCTION("""COMPUTED_VALUE"""),"Hospital Pérez Carreño")</f>
        <v>Hospital Pérez Carreño</v>
      </c>
    </row>
    <row r="1855">
      <c r="A1855" s="44">
        <v>1854.0</v>
      </c>
      <c r="B1855" s="44" t="str">
        <f>IFERROR(__xludf.DUMMYFUNCTION("""COMPUTED_VALUE"""),"H. Jose Maria Vargas LG")</f>
        <v>H. Jose Maria Vargas LG</v>
      </c>
      <c r="C1855" s="45" t="str">
        <f>IFERROR(__xludf.DUMMYFUNCTION("""COMPUTED_VALUE"""),"FALCON MARIA")</f>
        <v>FALCON MARIA</v>
      </c>
      <c r="D1855" s="44">
        <f>IFERROR(__xludf.DUMMYFUNCTION("""COMPUTED_VALUE"""),20.0)</f>
        <v>20</v>
      </c>
      <c r="E1855" s="44" t="str">
        <f>IFERROR(__xludf.DUMMYFUNCTION("""COMPUTED_VALUE"""),"")</f>
        <v/>
      </c>
      <c r="F1855" s="44" t="str">
        <f>IFERROR(__xludf.DUMMYFUNCTION("""COMPUTED_VALUE"""),"")</f>
        <v/>
      </c>
      <c r="G1855" s="44" t="str">
        <f>IFERROR(__xludf.DUMMYFUNCTION("""COMPUTED_VALUE""")," ")</f>
        <v> </v>
      </c>
      <c r="H1855" s="44" t="str">
        <f>IFERROR(__xludf.DUMMYFUNCTION("""COMPUTED_VALUE"""),"Caribe")</f>
        <v>Caribe</v>
      </c>
      <c r="I1855" s="44" t="str">
        <f>IFERROR(__xludf.DUMMYFUNCTION("""COMPUTED_VALUE""")," ")</f>
        <v> </v>
      </c>
      <c r="J1855" s="44" t="str">
        <f>IFERROR(__xludf.DUMMYFUNCTION("""COMPUTED_VALUE"""),"")</f>
        <v/>
      </c>
      <c r="K1855" s="42" t="str">
        <f>IFERROR(__xludf.DUMMYFUNCTION("""COMPUTED_VALUE"""),"H. Jose Maria Vargas LG")</f>
        <v>H. Jose Maria Vargas LG</v>
      </c>
    </row>
    <row r="1856">
      <c r="A1856" s="44">
        <v>1855.0</v>
      </c>
      <c r="B1856" s="44" t="str">
        <f>IFERROR(__xludf.DUMMYFUNCTION("""COMPUTED_VALUE"""),"Hospital Domingo Luciani")</f>
        <v>Hospital Domingo Luciani</v>
      </c>
      <c r="C1856" s="45" t="str">
        <f>IFERROR(__xludf.DUMMYFUNCTION("""COMPUTED_VALUE"""),"Fania Parra Este")</f>
        <v>Fania Parra Este</v>
      </c>
      <c r="D1856" s="44">
        <f>IFERROR(__xludf.DUMMYFUNCTION("""COMPUTED_VALUE"""),15.0)</f>
        <v>15</v>
      </c>
      <c r="E1856" s="44" t="str">
        <f>IFERROR(__xludf.DUMMYFUNCTION("""COMPUTED_VALUE"""),"")</f>
        <v/>
      </c>
      <c r="F1856" s="44" t="str">
        <f>IFERROR(__xludf.DUMMYFUNCTION("""COMPUTED_VALUE"""),"")</f>
        <v/>
      </c>
      <c r="G1856" s="44"/>
      <c r="H1856" s="44"/>
      <c r="I1856" s="44"/>
      <c r="J1856" s="44" t="str">
        <f>IFERROR(__xludf.DUMMYFUNCTION("""COMPUTED_VALUE"""),"")</f>
        <v/>
      </c>
      <c r="K1856" s="42" t="str">
        <f>IFERROR(__xludf.DUMMYFUNCTION("""COMPUTED_VALUE"""),"Hospital Domingo Luciani")</f>
        <v>Hospital Domingo Luciani</v>
      </c>
    </row>
    <row r="1857">
      <c r="A1857" s="44">
        <v>1856.0</v>
      </c>
      <c r="B1857" s="44" t="str">
        <f>IFERROR(__xludf.DUMMYFUNCTION("""COMPUTED_VALUE"""),"Centro de Acopio Caraballeda")</f>
        <v>Centro de Acopio Caraballeda</v>
      </c>
      <c r="C1857" s="45" t="str">
        <f>IFERROR(__xludf.DUMMYFUNCTION("""COMPUTED_VALUE"""),"FARFAN YEISON")</f>
        <v>FARFAN YEISON</v>
      </c>
      <c r="D1857" s="44" t="str">
        <f>IFERROR(__xludf.DUMMYFUNCTION("""COMPUTED_VALUE""")," ")</f>
        <v> </v>
      </c>
      <c r="E1857" s="44" t="str">
        <f>IFERROR(__xludf.DUMMYFUNCTION("""COMPUTED_VALUE"""),"")</f>
        <v/>
      </c>
      <c r="F1857" s="44" t="str">
        <f>IFERROR(__xludf.DUMMYFUNCTION("""COMPUTED_VALUE"""),"")</f>
        <v/>
      </c>
      <c r="G1857" s="44" t="str">
        <f>IFERROR(__xludf.DUMMYFUNCTION("""COMPUTED_VALUE""")," ")</f>
        <v> </v>
      </c>
      <c r="H1857" s="44" t="str">
        <f>IFERROR(__xludf.DUMMYFUNCTION("""COMPUTED_VALUE""")," ")</f>
        <v> </v>
      </c>
      <c r="I1857" s="44" t="str">
        <f>IFERROR(__xludf.DUMMYFUNCTION("""COMPUTED_VALUE"""),"Internado")</f>
        <v>Internado</v>
      </c>
      <c r="J1857" s="44" t="str">
        <f>IFERROR(__xludf.DUMMYFUNCTION("""COMPUTED_VALUE"""),"")</f>
        <v/>
      </c>
      <c r="K1857" s="42" t="str">
        <f>IFERROR(__xludf.DUMMYFUNCTION("""COMPUTED_VALUE"""),"🔍 BUSCAR PACIENTES")</f>
        <v>🔍 BUSCAR PACIENTES</v>
      </c>
    </row>
    <row r="1858">
      <c r="A1858" s="44">
        <v>1857.0</v>
      </c>
      <c r="B1858" s="44" t="str">
        <f>IFERROR(__xludf.DUMMYFUNCTION("""COMPUTED_VALUE"""),"Periférico de Catia")</f>
        <v>Periférico de Catia</v>
      </c>
      <c r="C1858" s="45" t="str">
        <f>IFERROR(__xludf.DUMMYFUNCTION("""COMPUTED_VALUE"""),"FARGEL SENDER")</f>
        <v>FARGEL SENDER</v>
      </c>
      <c r="D1858" s="44" t="str">
        <f>IFERROR(__xludf.DUMMYFUNCTION("""COMPUTED_VALUE""")," ")</f>
        <v> </v>
      </c>
      <c r="E1858" s="44" t="str">
        <f>IFERROR(__xludf.DUMMYFUNCTION("""COMPUTED_VALUE"""),"")</f>
        <v/>
      </c>
      <c r="F1858" s="44" t="str">
        <f>IFERROR(__xludf.DUMMYFUNCTION("""COMPUTED_VALUE"""),"")</f>
        <v/>
      </c>
      <c r="G1858" s="44" t="str">
        <f>IFERROR(__xludf.DUMMYFUNCTION("""COMPUTED_VALUE""")," ")</f>
        <v> </v>
      </c>
      <c r="H1858" s="44" t="str">
        <f>IFERROR(__xludf.DUMMYFUNCTION("""COMPUTED_VALUE"""),"Av. Sucre")</f>
        <v>Av. Sucre</v>
      </c>
      <c r="I1858" s="44" t="str">
        <f>IFERROR(__xludf.DUMMYFUNCTION("""COMPUTED_VALUE""")," ")</f>
        <v> </v>
      </c>
      <c r="J1858" s="44" t="str">
        <f>IFERROR(__xludf.DUMMYFUNCTION("""COMPUTED_VALUE"""),"")</f>
        <v/>
      </c>
      <c r="K1858" s="42" t="str">
        <f>IFERROR(__xludf.DUMMYFUNCTION("""COMPUTED_VALUE"""),"Periférico de Catia")</f>
        <v>Periférico de Catia</v>
      </c>
    </row>
    <row r="1859">
      <c r="A1859" s="44">
        <v>1858.0</v>
      </c>
      <c r="B1859" s="44" t="str">
        <f>IFERROR(__xludf.DUMMYFUNCTION("""COMPUTED_VALUE"""),"H. Jose Maria Vargas LG")</f>
        <v>H. Jose Maria Vargas LG</v>
      </c>
      <c r="C1859" s="45" t="str">
        <f>IFERROR(__xludf.DUMMYFUNCTION("""COMPUTED_VALUE"""),"FARIAS AURIMAR")</f>
        <v>FARIAS AURIMAR</v>
      </c>
      <c r="D1859" s="44" t="str">
        <f>IFERROR(__xludf.DUMMYFUNCTION("""COMPUTED_VALUE""")," ")</f>
        <v> </v>
      </c>
      <c r="E1859" s="44" t="str">
        <f>IFERROR(__xludf.DUMMYFUNCTION("""COMPUTED_VALUE"""),"")</f>
        <v/>
      </c>
      <c r="F1859" s="44" t="str">
        <f>IFERROR(__xludf.DUMMYFUNCTION("""COMPUTED_VALUE"""),"")</f>
        <v/>
      </c>
      <c r="G1859" s="44" t="str">
        <f>IFERROR(__xludf.DUMMYFUNCTION("""COMPUTED_VALUE""")," ")</f>
        <v> </v>
      </c>
      <c r="H1859" s="44" t="str">
        <f>IFERROR(__xludf.DUMMYFUNCTION("""COMPUTED_VALUE""")," ")</f>
        <v> </v>
      </c>
      <c r="I1859" s="44" t="str">
        <f>IFERROR(__xludf.DUMMYFUNCTION("""COMPUTED_VALUE""")," ")</f>
        <v> </v>
      </c>
      <c r="J1859" s="44" t="str">
        <f>IFERROR(__xludf.DUMMYFUNCTION("""COMPUTED_VALUE"""),"")</f>
        <v/>
      </c>
      <c r="K1859" s="42" t="str">
        <f>IFERROR(__xludf.DUMMYFUNCTION("""COMPUTED_VALUE"""),"H. Jose Maria Vargas LG")</f>
        <v>H. Jose Maria Vargas LG</v>
      </c>
    </row>
    <row r="1860">
      <c r="A1860" s="44">
        <v>1859.0</v>
      </c>
      <c r="B1860" s="44" t="str">
        <f>IFERROR(__xludf.DUMMYFUNCTION("""COMPUTED_VALUE"""),"Centro de Acopio Caraballeda")</f>
        <v>Centro de Acopio Caraballeda</v>
      </c>
      <c r="C1860" s="45" t="str">
        <f>IFERROR(__xludf.DUMMYFUNCTION("""COMPUTED_VALUE"""),"FARIAS JEAN FRANCO")</f>
        <v>FARIAS JEAN FRANCO</v>
      </c>
      <c r="D1860" s="44" t="str">
        <f>IFERROR(__xludf.DUMMYFUNCTION("""COMPUTED_VALUE""")," ")</f>
        <v> </v>
      </c>
      <c r="E1860" s="44" t="str">
        <f>IFERROR(__xludf.DUMMYFUNCTION("""COMPUTED_VALUE"""),"")</f>
        <v/>
      </c>
      <c r="F1860" s="44" t="str">
        <f>IFERROR(__xludf.DUMMYFUNCTION("""COMPUTED_VALUE"""),"")</f>
        <v/>
      </c>
      <c r="G1860" s="44" t="str">
        <f>IFERROR(__xludf.DUMMYFUNCTION("""COMPUTED_VALUE""")," ")</f>
        <v> </v>
      </c>
      <c r="H1860" s="44" t="str">
        <f>IFERROR(__xludf.DUMMYFUNCTION("""COMPUTED_VALUE""")," ")</f>
        <v> </v>
      </c>
      <c r="I1860" s="44" t="str">
        <f>IFERROR(__xludf.DUMMYFUNCTION("""COMPUTED_VALUE"""),"Internado")</f>
        <v>Internado</v>
      </c>
      <c r="J1860" s="44" t="str">
        <f>IFERROR(__xludf.DUMMYFUNCTION("""COMPUTED_VALUE"""),"")</f>
        <v/>
      </c>
      <c r="K1860" s="42" t="str">
        <f>IFERROR(__xludf.DUMMYFUNCTION("""COMPUTED_VALUE"""),"🔍 BUSCAR PACIENTES")</f>
        <v>🔍 BUSCAR PACIENTES</v>
      </c>
    </row>
    <row r="1861">
      <c r="A1861" s="44">
        <v>1860.0</v>
      </c>
      <c r="B1861" s="44" t="str">
        <f>IFERROR(__xludf.DUMMYFUNCTION("""COMPUTED_VALUE"""),"Centro de Acopio Caraballeda")</f>
        <v>Centro de Acopio Caraballeda</v>
      </c>
      <c r="C1861" s="45" t="str">
        <f>IFERROR(__xludf.DUMMYFUNCTION("""COMPUTED_VALUE"""),"FARIAS KARLIS")</f>
        <v>FARIAS KARLIS</v>
      </c>
      <c r="D1861" s="44" t="str">
        <f>IFERROR(__xludf.DUMMYFUNCTION("""COMPUTED_VALUE""")," ")</f>
        <v> </v>
      </c>
      <c r="E1861" s="44" t="str">
        <f>IFERROR(__xludf.DUMMYFUNCTION("""COMPUTED_VALUE"""),"")</f>
        <v/>
      </c>
      <c r="F1861" s="44" t="str">
        <f>IFERROR(__xludf.DUMMYFUNCTION("""COMPUTED_VALUE"""),"")</f>
        <v/>
      </c>
      <c r="G1861" s="44" t="str">
        <f>IFERROR(__xludf.DUMMYFUNCTION("""COMPUTED_VALUE""")," ")</f>
        <v> </v>
      </c>
      <c r="H1861" s="44" t="str">
        <f>IFERROR(__xludf.DUMMYFUNCTION("""COMPUTED_VALUE""")," ")</f>
        <v> </v>
      </c>
      <c r="I1861" s="44" t="str">
        <f>IFERROR(__xludf.DUMMYFUNCTION("""COMPUTED_VALUE"""),"Internado")</f>
        <v>Internado</v>
      </c>
      <c r="J1861" s="44" t="str">
        <f>IFERROR(__xludf.DUMMYFUNCTION("""COMPUTED_VALUE"""),"")</f>
        <v/>
      </c>
      <c r="K1861" s="42" t="str">
        <f>IFERROR(__xludf.DUMMYFUNCTION("""COMPUTED_VALUE"""),"🔍 BUSCAR PACIENTES")</f>
        <v>🔍 BUSCAR PACIENTES</v>
      </c>
    </row>
    <row r="1862">
      <c r="A1862" s="44">
        <v>1861.0</v>
      </c>
      <c r="B1862" s="44" t="str">
        <f>IFERROR(__xludf.DUMMYFUNCTION("""COMPUTED_VALUE"""),"Centro de Acopio Caraballeda")</f>
        <v>Centro de Acopio Caraballeda</v>
      </c>
      <c r="C1862" s="45" t="str">
        <f>IFERROR(__xludf.DUMMYFUNCTION("""COMPUTED_VALUE"""),"FARIAS (MENOR) JEAN")</f>
        <v>FARIAS (MENOR) JEAN</v>
      </c>
      <c r="D1862" s="44" t="str">
        <f>IFERROR(__xludf.DUMMYFUNCTION("""COMPUTED_VALUE""")," ")</f>
        <v> </v>
      </c>
      <c r="E1862" s="44" t="str">
        <f>IFERROR(__xludf.DUMMYFUNCTION("""COMPUTED_VALUE"""),"")</f>
        <v/>
      </c>
      <c r="F1862" s="44" t="str">
        <f>IFERROR(__xludf.DUMMYFUNCTION("""COMPUTED_VALUE"""),"")</f>
        <v/>
      </c>
      <c r="G1862" s="44" t="str">
        <f>IFERROR(__xludf.DUMMYFUNCTION("""COMPUTED_VALUE""")," ")</f>
        <v> </v>
      </c>
      <c r="H1862" s="44" t="str">
        <f>IFERROR(__xludf.DUMMYFUNCTION("""COMPUTED_VALUE""")," ")</f>
        <v> </v>
      </c>
      <c r="I1862" s="44" t="str">
        <f>IFERROR(__xludf.DUMMYFUNCTION("""COMPUTED_VALUE"""),"Internado")</f>
        <v>Internado</v>
      </c>
      <c r="J1862" s="44" t="str">
        <f>IFERROR(__xludf.DUMMYFUNCTION("""COMPUTED_VALUE"""),"")</f>
        <v/>
      </c>
      <c r="K1862" s="42" t="str">
        <f>IFERROR(__xludf.DUMMYFUNCTION("""COMPUTED_VALUE"""),"🔍 BUSCAR PACIENTES")</f>
        <v>🔍 BUSCAR PACIENTES</v>
      </c>
    </row>
    <row r="1863">
      <c r="A1863" s="44">
        <v>1862.0</v>
      </c>
      <c r="B1863" s="44" t="str">
        <f>IFERROR(__xludf.DUMMYFUNCTION("""COMPUTED_VALUE"""),"Hospital Domingo Luciani")</f>
        <v>Hospital Domingo Luciani</v>
      </c>
      <c r="C1863" s="45" t="str">
        <f>IFERROR(__xludf.DUMMYFUNCTION("""COMPUTED_VALUE"""),"FARINEZ ARELIS")</f>
        <v>FARINEZ ARELIS</v>
      </c>
      <c r="D1863" s="44">
        <f>IFERROR(__xludf.DUMMYFUNCTION("""COMPUTED_VALUE"""),53.0)</f>
        <v>53</v>
      </c>
      <c r="E1863" s="44" t="str">
        <f>IFERROR(__xludf.DUMMYFUNCTION("""COMPUTED_VALUE"""),"")</f>
        <v/>
      </c>
      <c r="F1863" s="44" t="str">
        <f>IFERROR(__xludf.DUMMYFUNCTION("""COMPUTED_VALUE"""),"")</f>
        <v/>
      </c>
      <c r="G1863" s="44" t="str">
        <f>IFERROR(__xludf.DUMMYFUNCTION("""COMPUTED_VALUE""")," ")</f>
        <v> </v>
      </c>
      <c r="H1863" s="44" t="str">
        <f>IFERROR(__xludf.DUMMYFUNCTION("""COMPUTED_VALUE""")," ")</f>
        <v> </v>
      </c>
      <c r="I1863" s="44" t="str">
        <f>IFERROR(__xludf.DUMMYFUNCTION("""COMPUTED_VALUE"""),"Pol I – F")</f>
        <v>Pol I – F</v>
      </c>
      <c r="J1863" s="44" t="str">
        <f>IFERROR(__xludf.DUMMYFUNCTION("""COMPUTED_VALUE"""),"")</f>
        <v/>
      </c>
      <c r="K1863" s="42" t="str">
        <f>IFERROR(__xludf.DUMMYFUNCTION("""COMPUTED_VALUE"""),"🔍 BUSCAR PACIENTES")</f>
        <v>🔍 BUSCAR PACIENTES</v>
      </c>
    </row>
    <row r="1864">
      <c r="A1864" s="44">
        <v>1863.0</v>
      </c>
      <c r="B1864" s="44" t="str">
        <f>IFERROR(__xludf.DUMMYFUNCTION("""COMPUTED_VALUE"""),"Hospital Pérez Carreño")</f>
        <v>Hospital Pérez Carreño</v>
      </c>
      <c r="C1864" s="45" t="str">
        <f>IFERROR(__xludf.DUMMYFUNCTION("""COMPUTED_VALUE"""),"Feliciano Gianpiero")</f>
        <v>Feliciano Gianpiero</v>
      </c>
      <c r="D1864" s="44"/>
      <c r="E1864" s="44" t="str">
        <f>IFERROR(__xludf.DUMMYFUNCTION("""COMPUTED_VALUE"""),"")</f>
        <v/>
      </c>
      <c r="F1864" s="44" t="str">
        <f>IFERROR(__xludf.DUMMYFUNCTION("""COMPUTED_VALUE"""),"")</f>
        <v/>
      </c>
      <c r="G1864" s="44" t="str">
        <f>IFERROR(__xludf.DUMMYFUNCTION("""COMPUTED_VALUE"""),"Traumashock ")</f>
        <v>Traumashock </v>
      </c>
      <c r="H1864" s="44" t="str">
        <f>IFERROR(__xludf.DUMMYFUNCTION("""COMPUTED_VALUE"""),"Hospital Miguel Perez Carreño")</f>
        <v>Hospital Miguel Perez Carreño</v>
      </c>
      <c r="I1864" s="44"/>
      <c r="J1864" s="44" t="str">
        <f>IFERROR(__xludf.DUMMYFUNCTION("""COMPUTED_VALUE"""),"26/6/26")</f>
        <v>26/6/26</v>
      </c>
      <c r="K1864" s="42" t="str">
        <f>IFERROR(__xludf.DUMMYFUNCTION("""COMPUTED_VALUE"""),"Hospital Pérez Carreño")</f>
        <v>Hospital Pérez Carreño</v>
      </c>
    </row>
    <row r="1865">
      <c r="A1865" s="44">
        <v>1864.0</v>
      </c>
      <c r="B1865" s="44" t="str">
        <f>IFERROR(__xludf.DUMMYFUNCTION("""COMPUTED_VALUE"""),"Campo de Golf Playa los Cocos")</f>
        <v>Campo de Golf Playa los Cocos</v>
      </c>
      <c r="C1865" s="45" t="str">
        <f>IFERROR(__xludf.DUMMYFUNCTION("""COMPUTED_VALUE"""),"Felipe Gomes")</f>
        <v>Felipe Gomes</v>
      </c>
      <c r="D1865" s="44" t="str">
        <f>IFERROR(__xludf.DUMMYFUNCTION("""COMPUTED_VALUE"""),"")</f>
        <v/>
      </c>
      <c r="E1865" s="44" t="str">
        <f>IFERROR(__xludf.DUMMYFUNCTION("""COMPUTED_VALUE"""),"")</f>
        <v/>
      </c>
      <c r="F1865" s="44" t="str">
        <f>IFERROR(__xludf.DUMMYFUNCTION("""COMPUTED_VALUE"""),"")</f>
        <v/>
      </c>
      <c r="G1865" s="44" t="str">
        <f>IFERROR(__xludf.DUMMYFUNCTION("""COMPUTED_VALUE"""),"")</f>
        <v/>
      </c>
      <c r="H1865" s="44" t="str">
        <f>IFERROR(__xludf.DUMMYFUNCTION("""COMPUTED_VALUE"""),"")</f>
        <v/>
      </c>
      <c r="I1865" s="44"/>
      <c r="J1865" s="44" t="str">
        <f>IFERROR(__xludf.DUMMYFUNCTION("""COMPUTED_VALUE"""),"")</f>
        <v/>
      </c>
      <c r="K1865" s="42" t="str">
        <f>IFERROR(__xludf.DUMMYFUNCTION("""COMPUTED_VALUE"""),"Campo de Golf Playa los Cocos")</f>
        <v>Campo de Golf Playa los Cocos</v>
      </c>
    </row>
    <row r="1866">
      <c r="A1866" s="44">
        <v>1865.0</v>
      </c>
      <c r="B1866" s="44" t="str">
        <f>IFERROR(__xludf.DUMMYFUNCTION("""COMPUTED_VALUE"""),"Hospital Vargas de Caracas")</f>
        <v>Hospital Vargas de Caracas</v>
      </c>
      <c r="C1866" s="45" t="str">
        <f>IFERROR(__xludf.DUMMYFUNCTION("""COMPUTED_VALUE"""),"FEMENINO SIN IDENTIFICAR")</f>
        <v>FEMENINO SIN IDENTIFICAR</v>
      </c>
      <c r="D1866" s="44">
        <f>IFERROR(__xludf.DUMMYFUNCTION("""COMPUTED_VALUE"""),70.0)</f>
        <v>70</v>
      </c>
      <c r="E1866" s="44" t="str">
        <f>IFERROR(__xludf.DUMMYFUNCTION("""COMPUTED_VALUE"""),"")</f>
        <v/>
      </c>
      <c r="F1866" s="44" t="str">
        <f>IFERROR(__xludf.DUMMYFUNCTION("""COMPUTED_VALUE""")," ")</f>
        <v> </v>
      </c>
      <c r="G1866" s="44" t="str">
        <f>IFERROR(__xludf.DUMMYFUNCTION("""COMPUTED_VALUE"""),"")</f>
        <v/>
      </c>
      <c r="H1866" s="44" t="str">
        <f>IFERROR(__xludf.DUMMYFUNCTION("""COMPUTED_VALUE""")," ")</f>
        <v> </v>
      </c>
      <c r="I1866" s="44" t="str">
        <f>IFERROR(__xludf.DUMMYFUNCTION("""COMPUTED_VALUE"""),"⚠ FALLECIDA – Sin identificar")</f>
        <v>⚠ FALLECIDA – Sin identificar</v>
      </c>
      <c r="J1866" s="44" t="str">
        <f>IFERROR(__xludf.DUMMYFUNCTION("""COMPUTED_VALUE"""),"")</f>
        <v/>
      </c>
      <c r="K1866" s="42" t="str">
        <f>IFERROR(__xludf.DUMMYFUNCTION("""COMPUTED_VALUE"""),"Hospital Vargas de Caracas")</f>
        <v>Hospital Vargas de Caracas</v>
      </c>
    </row>
    <row r="1867">
      <c r="A1867" s="44">
        <v>1866.0</v>
      </c>
      <c r="B1867" s="44" t="str">
        <f>IFERROR(__xludf.DUMMYFUNCTION("""COMPUTED_VALUE"""),"Clínica El Ávila")</f>
        <v>Clínica El Ávila</v>
      </c>
      <c r="C1867" s="45" t="str">
        <f>IFERROR(__xludf.DUMMYFUNCTION("""COMPUTED_VALUE"""),"FENG JUCHI")</f>
        <v>FENG JUCHI</v>
      </c>
      <c r="D1867" s="44" t="str">
        <f>IFERROR(__xludf.DUMMYFUNCTION("""COMPUTED_VALUE""")," ")</f>
        <v> </v>
      </c>
      <c r="E1867" s="44" t="str">
        <f>IFERROR(__xludf.DUMMYFUNCTION("""COMPUTED_VALUE"""),"")</f>
        <v/>
      </c>
      <c r="F1867" s="44" t="str">
        <f>IFERROR(__xludf.DUMMYFUNCTION("""COMPUTED_VALUE"""),"")</f>
        <v/>
      </c>
      <c r="G1867" s="44" t="str">
        <f>IFERROR(__xludf.DUMMYFUNCTION("""COMPUTED_VALUE""")," ")</f>
        <v> </v>
      </c>
      <c r="H1867" s="44" t="str">
        <f>IFERROR(__xludf.DUMMYFUNCTION("""COMPUTED_VALUE""")," ")</f>
        <v> </v>
      </c>
      <c r="I1867" s="44" t="str">
        <f>IFERROR(__xludf.DUMMYFUNCTION("""COMPUTED_VALUE""")," ")</f>
        <v> </v>
      </c>
      <c r="J1867" s="44" t="str">
        <f>IFERROR(__xludf.DUMMYFUNCTION("""COMPUTED_VALUE"""),"")</f>
        <v/>
      </c>
      <c r="K1867" s="42" t="str">
        <f>IFERROR(__xludf.DUMMYFUNCTION("""COMPUTED_VALUE"""),"Clínica El Ávila")</f>
        <v>Clínica El Ávila</v>
      </c>
    </row>
    <row r="1868">
      <c r="A1868" s="44">
        <v>1867.0</v>
      </c>
      <c r="B1868" s="44" t="str">
        <f>IFERROR(__xludf.DUMMYFUNCTION("""COMPUTED_VALUE"""),"Clínica El Ávila")</f>
        <v>Clínica El Ávila</v>
      </c>
      <c r="C1868" s="45" t="str">
        <f>IFERROR(__xludf.DUMMYFUNCTION("""COMPUTED_VALUE"""),"FENG SONIA")</f>
        <v>FENG SONIA</v>
      </c>
      <c r="D1868" s="44" t="str">
        <f>IFERROR(__xludf.DUMMYFUNCTION("""COMPUTED_VALUE""")," ")</f>
        <v> </v>
      </c>
      <c r="E1868" s="44" t="str">
        <f>IFERROR(__xludf.DUMMYFUNCTION("""COMPUTED_VALUE"""),"")</f>
        <v/>
      </c>
      <c r="F1868" s="44" t="str">
        <f>IFERROR(__xludf.DUMMYFUNCTION("""COMPUTED_VALUE"""),"")</f>
        <v/>
      </c>
      <c r="G1868" s="44" t="str">
        <f>IFERROR(__xludf.DUMMYFUNCTION("""COMPUTED_VALUE""")," ")</f>
        <v> </v>
      </c>
      <c r="H1868" s="44" t="str">
        <f>IFERROR(__xludf.DUMMYFUNCTION("""COMPUTED_VALUE""")," ")</f>
        <v> </v>
      </c>
      <c r="I1868" s="44" t="str">
        <f>IFERROR(__xludf.DUMMYFUNCTION("""COMPUTED_VALUE""")," ")</f>
        <v> </v>
      </c>
      <c r="J1868" s="44" t="str">
        <f>IFERROR(__xludf.DUMMYFUNCTION("""COMPUTED_VALUE"""),"")</f>
        <v/>
      </c>
      <c r="K1868" s="42" t="str">
        <f>IFERROR(__xludf.DUMMYFUNCTION("""COMPUTED_VALUE"""),"Clínica El Ávila")</f>
        <v>Clínica El Ávila</v>
      </c>
    </row>
    <row r="1869">
      <c r="A1869" s="44">
        <v>1868.0</v>
      </c>
      <c r="B1869" s="44" t="str">
        <f>IFERROR(__xludf.DUMMYFUNCTION("""COMPUTED_VALUE"""),"Periférico de Catia")</f>
        <v>Periférico de Catia</v>
      </c>
      <c r="C1869" s="45" t="str">
        <f>IFERROR(__xludf.DUMMYFUNCTION("""COMPUTED_VALUE"""),"FERMINE ESPINOSA")</f>
        <v>FERMINE ESPINOSA</v>
      </c>
      <c r="D1869" s="44">
        <f>IFERROR(__xludf.DUMMYFUNCTION("""COMPUTED_VALUE"""),33.0)</f>
        <v>33</v>
      </c>
      <c r="E1869" s="44" t="str">
        <f>IFERROR(__xludf.DUMMYFUNCTION("""COMPUTED_VALUE"""),"")</f>
        <v/>
      </c>
      <c r="F1869" s="44" t="str">
        <f>IFERROR(__xludf.DUMMYFUNCTION("""COMPUTED_VALUE"""),"")</f>
        <v/>
      </c>
      <c r="G1869" s="44" t="str">
        <f>IFERROR(__xludf.DUMMYFUNCTION("""COMPUTED_VALUE""")," ")</f>
        <v> </v>
      </c>
      <c r="H1869" s="44" t="str">
        <f>IFERROR(__xludf.DUMMYFUNCTION("""COMPUTED_VALUE""")," ")</f>
        <v> </v>
      </c>
      <c r="I1869" s="44" t="str">
        <f>IFERROR(__xludf.DUMMYFUNCTION("""COMPUTED_VALUE"""),"Solo |  ")</f>
        <v>Solo |  </v>
      </c>
      <c r="J1869" s="44" t="str">
        <f>IFERROR(__xludf.DUMMYFUNCTION("""COMPUTED_VALUE"""),"")</f>
        <v/>
      </c>
      <c r="K1869" s="42" t="str">
        <f>IFERROR(__xludf.DUMMYFUNCTION("""COMPUTED_VALUE"""),"Periférico de Catia")</f>
        <v>Periférico de Catia</v>
      </c>
    </row>
    <row r="1870">
      <c r="A1870" s="44">
        <v>1869.0</v>
      </c>
      <c r="B1870" s="44" t="str">
        <f>IFERROR(__xludf.DUMMYFUNCTION("""COMPUTED_VALUE"""),"Hospital Pérez Carreño")</f>
        <v>Hospital Pérez Carreño</v>
      </c>
      <c r="C1870" s="45" t="str">
        <f>IFERROR(__xludf.DUMMYFUNCTION("""COMPUTED_VALUE"""),"FERNADEZ FREITES RODRIGO FELIPE")</f>
        <v>FERNADEZ FREITES RODRIGO FELIPE</v>
      </c>
      <c r="D1870" s="44" t="str">
        <f>IFERROR(__xludf.DUMMYFUNCTION("""COMPUTED_VALUE""")," ")</f>
        <v> </v>
      </c>
      <c r="E1870" s="44" t="str">
        <f>IFERROR(__xludf.DUMMYFUNCTION("""COMPUTED_VALUE"""),"")</f>
        <v/>
      </c>
      <c r="F1870" s="44" t="str">
        <f>IFERROR(__xludf.DUMMYFUNCTION("""COMPUTED_VALUE"""),"")</f>
        <v/>
      </c>
      <c r="G1870" s="44" t="str">
        <f>IFERROR(__xludf.DUMMYFUNCTION("""COMPUTED_VALUE""")," ")</f>
        <v> </v>
      </c>
      <c r="H1870" s="44" t="str">
        <f>IFERROR(__xludf.DUMMYFUNCTION("""COMPUTED_VALUE""")," ")</f>
        <v> </v>
      </c>
      <c r="I1870" s="44" t="str">
        <f>IFERROR(__xludf.DUMMYFUNCTION("""COMPUTED_VALUE"""),"Internado")</f>
        <v>Internado</v>
      </c>
      <c r="J1870" s="44" t="str">
        <f>IFERROR(__xludf.DUMMYFUNCTION("""COMPUTED_VALUE"""),"25/06/2026")</f>
        <v>25/06/2026</v>
      </c>
      <c r="K1870" s="42" t="str">
        <f>IFERROR(__xludf.DUMMYFUNCTION("""COMPUTED_VALUE"""),"Hospital Pérez Carreño")</f>
        <v>Hospital Pérez Carreño</v>
      </c>
    </row>
    <row r="1871">
      <c r="A1871" s="44">
        <v>1870.0</v>
      </c>
      <c r="B1871" s="44" t="str">
        <f>IFERROR(__xludf.DUMMYFUNCTION("""COMPUTED_VALUE"""),"Hospital Pérez Carreño")</f>
        <v>Hospital Pérez Carreño</v>
      </c>
      <c r="C1871" s="45" t="str">
        <f>IFERROR(__xludf.DUMMYFUNCTION("""COMPUTED_VALUE"""),"Fernanda Daniliza")</f>
        <v>Fernanda Daniliza</v>
      </c>
      <c r="D1871" s="44"/>
      <c r="E1871" s="44" t="str">
        <f>IFERROR(__xludf.DUMMYFUNCTION("""COMPUTED_VALUE"""),"")</f>
        <v/>
      </c>
      <c r="F1871" s="44" t="str">
        <f>IFERROR(__xludf.DUMMYFUNCTION("""COMPUTED_VALUE"""),"")</f>
        <v/>
      </c>
      <c r="G1871" s="44" t="str">
        <f>IFERROR(__xludf.DUMMYFUNCTION("""COMPUTED_VALUE"""),"Traslados con destino asignado")</f>
        <v>Traslados con destino asignado</v>
      </c>
      <c r="H1871" s="44" t="str">
        <f>IFERROR(__xludf.DUMMYFUNCTION("""COMPUTED_VALUE"""),"Hospital Miguel Perez Carreño")</f>
        <v>Hospital Miguel Perez Carreño</v>
      </c>
      <c r="I1871" s="44"/>
      <c r="J1871" s="44" t="str">
        <f>IFERROR(__xludf.DUMMYFUNCTION("""COMPUTED_VALUE"""),"26/6/26")</f>
        <v>26/6/26</v>
      </c>
      <c r="K1871" s="42" t="str">
        <f>IFERROR(__xludf.DUMMYFUNCTION("""COMPUTED_VALUE"""),"Hospital Pérez Carreño")</f>
        <v>Hospital Pérez Carreño</v>
      </c>
    </row>
    <row r="1872">
      <c r="A1872" s="44">
        <v>1871.0</v>
      </c>
      <c r="B1872" s="44" t="str">
        <f>IFERROR(__xludf.DUMMYFUNCTION("""COMPUTED_VALUE"""),"Hospital Pérez Carreño")</f>
        <v>Hospital Pérez Carreño</v>
      </c>
      <c r="C1872" s="45" t="str">
        <f>IFERROR(__xludf.DUMMYFUNCTION("""COMPUTED_VALUE"""),"FERNANDES MARIA GONZALO")</f>
        <v>FERNANDES MARIA GONZALO</v>
      </c>
      <c r="D1872" s="44" t="str">
        <f>IFERROR(__xludf.DUMMYFUNCTION("""COMPUTED_VALUE""")," ")</f>
        <v> </v>
      </c>
      <c r="E1872" s="44" t="str">
        <f>IFERROR(__xludf.DUMMYFUNCTION("""COMPUTED_VALUE"""),"")</f>
        <v/>
      </c>
      <c r="F1872" s="44" t="str">
        <f>IFERROR(__xludf.DUMMYFUNCTION("""COMPUTED_VALUE"""),"")</f>
        <v/>
      </c>
      <c r="G1872" s="44" t="str">
        <f>IFERROR(__xludf.DUMMYFUNCTION("""COMPUTED_VALUE""")," ")</f>
        <v> </v>
      </c>
      <c r="H1872" s="44" t="str">
        <f>IFERROR(__xludf.DUMMYFUNCTION("""COMPUTED_VALUE""")," ")</f>
        <v> </v>
      </c>
      <c r="I1872" s="44" t="str">
        <f>IFERROR(__xludf.DUMMYFUNCTION("""COMPUTED_VALUE"""),"Traumachok; La Guaira")</f>
        <v>Traumachok; La Guaira</v>
      </c>
      <c r="J1872" s="44" t="str">
        <f>IFERROR(__xludf.DUMMYFUNCTION("""COMPUTED_VALUE"""),"25/06/2026")</f>
        <v>25/06/2026</v>
      </c>
      <c r="K1872" s="42" t="str">
        <f>IFERROR(__xludf.DUMMYFUNCTION("""COMPUTED_VALUE"""),"Hospital Pérez Carreño")</f>
        <v>Hospital Pérez Carreño</v>
      </c>
    </row>
    <row r="1873">
      <c r="A1873" s="44">
        <v>1872.0</v>
      </c>
      <c r="B1873" s="44" t="str">
        <f>IFERROR(__xludf.DUMMYFUNCTION("""COMPUTED_VALUE"""),"La Guaira Sin Hospital")</f>
        <v>La Guaira Sin Hospital</v>
      </c>
      <c r="C1873" s="45" t="str">
        <f>IFERROR(__xludf.DUMMYFUNCTION("""COMPUTED_VALUE"""),"Fernandez Alberto Nando")</f>
        <v>Fernandez Alberto Nando</v>
      </c>
      <c r="D1873" s="44" t="str">
        <f>IFERROR(__xludf.DUMMYFUNCTION("""COMPUTED_VALUE"""),"")</f>
        <v/>
      </c>
      <c r="E1873" s="44" t="str">
        <f>IFERROR(__xludf.DUMMYFUNCTION("""COMPUTED_VALUE"""),"")</f>
        <v/>
      </c>
      <c r="F1873" s="44" t="str">
        <f>IFERROR(__xludf.DUMMYFUNCTION("""COMPUTED_VALUE"""),"")</f>
        <v/>
      </c>
      <c r="G1873" s="44" t="str">
        <f>IFERROR(__xludf.DUMMYFUNCTION("""COMPUTED_VALUE"""),"")</f>
        <v/>
      </c>
      <c r="H1873" s="44" t="str">
        <f>IFERROR(__xludf.DUMMYFUNCTION("""COMPUTED_VALUE"""),"Los Corales")</f>
        <v>Los Corales</v>
      </c>
      <c r="I1873" s="44" t="str">
        <f>IFERROR(__xludf.DUMMYFUNCTION("""COMPUTED_VALUE"""),"Listas con ubicación")</f>
        <v>Listas con ubicación</v>
      </c>
      <c r="J1873" s="44" t="str">
        <f>IFERROR(__xludf.DUMMYFUNCTION("""COMPUTED_VALUE"""),"")</f>
        <v/>
      </c>
      <c r="K1873" s="42" t="str">
        <f>IFERROR(__xludf.DUMMYFUNCTION("""COMPUTED_VALUE"""),"La Guaira Sin Hospital")</f>
        <v>La Guaira Sin Hospital</v>
      </c>
    </row>
    <row r="1874">
      <c r="A1874" s="44">
        <v>1873.0</v>
      </c>
      <c r="B1874" s="44" t="str">
        <f>IFERROR(__xludf.DUMMYFUNCTION("""COMPUTED_VALUE"""),"La Guaira Sin Hospital")</f>
        <v>La Guaira Sin Hospital</v>
      </c>
      <c r="C1874" s="45" t="str">
        <f>IFERROR(__xludf.DUMMYFUNCTION("""COMPUTED_VALUE"""),"Fernandez Ana Pineda")</f>
        <v>Fernandez Ana Pineda</v>
      </c>
      <c r="D1874" s="44" t="str">
        <f>IFERROR(__xludf.DUMMYFUNCTION("""COMPUTED_VALUE"""),"")</f>
        <v/>
      </c>
      <c r="E1874" s="44" t="str">
        <f>IFERROR(__xludf.DUMMYFUNCTION("""COMPUTED_VALUE"""),"")</f>
        <v/>
      </c>
      <c r="F1874" s="44" t="str">
        <f>IFERROR(__xludf.DUMMYFUNCTION("""COMPUTED_VALUE"""),"")</f>
        <v/>
      </c>
      <c r="G1874" s="44" t="str">
        <f>IFERROR(__xludf.DUMMYFUNCTION("""COMPUTED_VALUE"""),"")</f>
        <v/>
      </c>
      <c r="H1874" s="44" t="str">
        <f>IFERROR(__xludf.DUMMYFUNCTION("""COMPUTED_VALUE"""),"San Martin")</f>
        <v>San Martin</v>
      </c>
      <c r="I1874" s="44" t="str">
        <f>IFERROR(__xludf.DUMMYFUNCTION("""COMPUTED_VALUE"""),"Listas con ubicación")</f>
        <v>Listas con ubicación</v>
      </c>
      <c r="J1874" s="44" t="str">
        <f>IFERROR(__xludf.DUMMYFUNCTION("""COMPUTED_VALUE"""),"")</f>
        <v/>
      </c>
      <c r="K1874" s="42" t="str">
        <f>IFERROR(__xludf.DUMMYFUNCTION("""COMPUTED_VALUE"""),"La Guaira Sin Hospital")</f>
        <v>La Guaira Sin Hospital</v>
      </c>
    </row>
    <row r="1875">
      <c r="A1875" s="44">
        <v>1874.0</v>
      </c>
      <c r="B1875" s="44" t="str">
        <f>IFERROR(__xludf.DUMMYFUNCTION("""COMPUTED_VALUE"""),"Hospital Pérez Carreño")</f>
        <v>Hospital Pérez Carreño</v>
      </c>
      <c r="C1875" s="45" t="str">
        <f>IFERROR(__xludf.DUMMYFUNCTION("""COMPUTED_VALUE"""),"Fernandez Andrea Naimar")</f>
        <v>Fernandez Andrea Naimar</v>
      </c>
      <c r="D1875" s="44"/>
      <c r="E1875" s="44" t="str">
        <f>IFERROR(__xludf.DUMMYFUNCTION("""COMPUTED_VALUE"""),"")</f>
        <v/>
      </c>
      <c r="F1875" s="44" t="str">
        <f>IFERROR(__xludf.DUMMYFUNCTION("""COMPUTED_VALUE"""),"")</f>
        <v/>
      </c>
      <c r="G1875" s="44" t="str">
        <f>IFERROR(__xludf.DUMMYFUNCTION("""COMPUTED_VALUE"""),"Traslados con destino asignado")</f>
        <v>Traslados con destino asignado</v>
      </c>
      <c r="H1875" s="44" t="str">
        <f>IFERROR(__xludf.DUMMYFUNCTION("""COMPUTED_VALUE"""),"Hospital Miguel Perez Carreño")</f>
        <v>Hospital Miguel Perez Carreño</v>
      </c>
      <c r="I1875" s="44"/>
      <c r="J1875" s="44" t="str">
        <f>IFERROR(__xludf.DUMMYFUNCTION("""COMPUTED_VALUE"""),"26/6/26")</f>
        <v>26/6/26</v>
      </c>
      <c r="K1875" s="42" t="str">
        <f>IFERROR(__xludf.DUMMYFUNCTION("""COMPUTED_VALUE"""),"Hospital Pérez Carreño")</f>
        <v>Hospital Pérez Carreño</v>
      </c>
    </row>
    <row r="1876">
      <c r="A1876" s="44">
        <v>1875.0</v>
      </c>
      <c r="B1876" s="44" t="str">
        <f>IFERROR(__xludf.DUMMYFUNCTION("""COMPUTED_VALUE"""),"Hospital Domingo Luciani")</f>
        <v>Hospital Domingo Luciani</v>
      </c>
      <c r="C1876" s="45" t="str">
        <f>IFERROR(__xludf.DUMMYFUNCTION("""COMPUTED_VALUE"""),"FERNANDEZ EFRAIN")</f>
        <v>FERNANDEZ EFRAIN</v>
      </c>
      <c r="D1876" s="44">
        <f>IFERROR(__xludf.DUMMYFUNCTION("""COMPUTED_VALUE"""),31.0)</f>
        <v>31</v>
      </c>
      <c r="E1876" s="44" t="str">
        <f>IFERROR(__xludf.DUMMYFUNCTION("""COMPUTED_VALUE"""),"")</f>
        <v/>
      </c>
      <c r="F1876" s="44" t="str">
        <f>IFERROR(__xludf.DUMMYFUNCTION("""COMPUTED_VALUE"""),"")</f>
        <v/>
      </c>
      <c r="G1876" s="44" t="str">
        <f>IFERROR(__xludf.DUMMYFUNCTION("""COMPUTED_VALUE""")," ")</f>
        <v> </v>
      </c>
      <c r="H1876" s="44" t="str">
        <f>IFERROR(__xludf.DUMMYFUNCTION("""COMPUTED_VALUE""")," ")</f>
        <v> </v>
      </c>
      <c r="I1876" s="44" t="str">
        <f>IFERROR(__xludf.DUMMYFUNCTION("""COMPUTED_VALUE""")," ")</f>
        <v> </v>
      </c>
      <c r="J1876" s="44" t="str">
        <f>IFERROR(__xludf.DUMMYFUNCTION("""COMPUTED_VALUE"""),"")</f>
        <v/>
      </c>
      <c r="K1876" s="42" t="str">
        <f>IFERROR(__xludf.DUMMYFUNCTION("""COMPUTED_VALUE"""),"🔍 BUSCAR PACIENTES")</f>
        <v>🔍 BUSCAR PACIENTES</v>
      </c>
    </row>
    <row r="1877">
      <c r="A1877" s="44">
        <v>1876.0</v>
      </c>
      <c r="B1877" s="44" t="str">
        <f>IFERROR(__xludf.DUMMYFUNCTION("""COMPUTED_VALUE"""),"H. Jose Maria Vargas LG")</f>
        <v>H. Jose Maria Vargas LG</v>
      </c>
      <c r="C1877" s="45" t="str">
        <f>IFERROR(__xludf.DUMMYFUNCTION("""COMPUTED_VALUE"""),"FERNANDEZ EIFER")</f>
        <v>FERNANDEZ EIFER</v>
      </c>
      <c r="D1877" s="44" t="str">
        <f>IFERROR(__xludf.DUMMYFUNCTION("""COMPUTED_VALUE""")," ")</f>
        <v> </v>
      </c>
      <c r="E1877" s="44" t="str">
        <f>IFERROR(__xludf.DUMMYFUNCTION("""COMPUTED_VALUE"""),"")</f>
        <v/>
      </c>
      <c r="F1877" s="44" t="str">
        <f>IFERROR(__xludf.DUMMYFUNCTION("""COMPUTED_VALUE"""),"")</f>
        <v/>
      </c>
      <c r="G1877" s="44" t="str">
        <f>IFERROR(__xludf.DUMMYFUNCTION("""COMPUTED_VALUE""")," ")</f>
        <v> </v>
      </c>
      <c r="H1877" s="44" t="str">
        <f>IFERROR(__xludf.DUMMYFUNCTION("""COMPUTED_VALUE""")," ")</f>
        <v> </v>
      </c>
      <c r="I1877" s="44" t="str">
        <f>IFERROR(__xludf.DUMMYFUNCTION("""COMPUTED_VALUE""")," ")</f>
        <v> </v>
      </c>
      <c r="J1877" s="44" t="str">
        <f>IFERROR(__xludf.DUMMYFUNCTION("""COMPUTED_VALUE"""),"")</f>
        <v/>
      </c>
      <c r="K1877" s="42" t="str">
        <f>IFERROR(__xludf.DUMMYFUNCTION("""COMPUTED_VALUE"""),"H. Jose Maria Vargas LG")</f>
        <v>H. Jose Maria Vargas LG</v>
      </c>
    </row>
    <row r="1878">
      <c r="A1878" s="44">
        <v>1877.0</v>
      </c>
      <c r="B1878" s="44" t="str">
        <f>IFERROR(__xludf.DUMMYFUNCTION("""COMPUTED_VALUE"""),"Hospital Domingo Luciani")</f>
        <v>Hospital Domingo Luciani</v>
      </c>
      <c r="C1878" s="45" t="str">
        <f>IFERROR(__xludf.DUMMYFUNCTION("""COMPUTED_VALUE"""),"FERNANDEZ EMILI")</f>
        <v>FERNANDEZ EMILI</v>
      </c>
      <c r="D1878" s="44">
        <f>IFERROR(__xludf.DUMMYFUNCTION("""COMPUTED_VALUE"""),31.0)</f>
        <v>31</v>
      </c>
      <c r="E1878" s="44" t="str">
        <f>IFERROR(__xludf.DUMMYFUNCTION("""COMPUTED_VALUE"""),"")</f>
        <v/>
      </c>
      <c r="F1878" s="44" t="str">
        <f>IFERROR(__xludf.DUMMYFUNCTION("""COMPUTED_VALUE"""),"")</f>
        <v/>
      </c>
      <c r="G1878" s="44" t="str">
        <f>IFERROR(__xludf.DUMMYFUNCTION("""COMPUTED_VALUE""")," ")</f>
        <v> </v>
      </c>
      <c r="H1878" s="44" t="str">
        <f>IFERROR(__xludf.DUMMYFUNCTION("""COMPUTED_VALUE""")," ")</f>
        <v> </v>
      </c>
      <c r="I1878" s="44" t="str">
        <f>IFERROR(__xludf.DUMMYFUNCTION("""COMPUTED_VALUE"""),"Internado; UPT, llegó la familia")</f>
        <v>Internado; UPT, llegó la familia</v>
      </c>
      <c r="J1878" s="44" t="str">
        <f>IFERROR(__xludf.DUMMYFUNCTION("""COMPUTED_VALUE"""),"")</f>
        <v/>
      </c>
      <c r="K1878" s="42" t="str">
        <f>IFERROR(__xludf.DUMMYFUNCTION("""COMPUTED_VALUE"""),"🔍 BUSCAR PACIENTES")</f>
        <v>🔍 BUSCAR PACIENTES</v>
      </c>
    </row>
    <row r="1879">
      <c r="A1879" s="44">
        <v>1878.0</v>
      </c>
      <c r="B1879" s="44" t="str">
        <f>IFERROR(__xludf.DUMMYFUNCTION("""COMPUTED_VALUE"""),"Hospital Pérez Carreño")</f>
        <v>Hospital Pérez Carreño</v>
      </c>
      <c r="C1879" s="45" t="str">
        <f>IFERROR(__xludf.DUMMYFUNCTION("""COMPUTED_VALUE"""),"FERNANDEZ MORILLO ALBERTO")</f>
        <v>FERNANDEZ MORILLO ALBERTO</v>
      </c>
      <c r="D1879" s="44" t="str">
        <f>IFERROR(__xludf.DUMMYFUNCTION("""COMPUTED_VALUE""")," ")</f>
        <v> </v>
      </c>
      <c r="E1879" s="44" t="str">
        <f>IFERROR(__xludf.DUMMYFUNCTION("""COMPUTED_VALUE"""),"")</f>
        <v/>
      </c>
      <c r="F1879" s="44" t="str">
        <f>IFERROR(__xludf.DUMMYFUNCTION("""COMPUTED_VALUE"""),"")</f>
        <v/>
      </c>
      <c r="G1879" s="44" t="str">
        <f>IFERROR(__xludf.DUMMYFUNCTION("""COMPUTED_VALUE""")," ")</f>
        <v> </v>
      </c>
      <c r="H1879" s="44" t="str">
        <f>IFERROR(__xludf.DUMMYFUNCTION("""COMPUTED_VALUE""")," ")</f>
        <v> </v>
      </c>
      <c r="I1879" s="44" t="str">
        <f>IFERROR(__xludf.DUMMYFUNCTION("""COMPUTED_VALUE"""),"Internado")</f>
        <v>Internado</v>
      </c>
      <c r="J1879" s="44" t="str">
        <f>IFERROR(__xludf.DUMMYFUNCTION("""COMPUTED_VALUE"""),"25/06/2026")</f>
        <v>25/06/2026</v>
      </c>
      <c r="K1879" s="42" t="str">
        <f>IFERROR(__xludf.DUMMYFUNCTION("""COMPUTED_VALUE"""),"Hospital Pérez Carreño")</f>
        <v>Hospital Pérez Carreño</v>
      </c>
    </row>
    <row r="1880">
      <c r="A1880" s="44">
        <v>1879.0</v>
      </c>
      <c r="B1880" s="44" t="str">
        <f>IFERROR(__xludf.DUMMYFUNCTION("""COMPUTED_VALUE"""),"Periférico de Catia")</f>
        <v>Periférico de Catia</v>
      </c>
      <c r="C1880" s="45" t="str">
        <f>IFERROR(__xludf.DUMMYFUNCTION("""COMPUTED_VALUE"""),"Fernandez Neisy")</f>
        <v>Fernandez Neisy</v>
      </c>
      <c r="D1880" s="44">
        <f>IFERROR(__xludf.DUMMYFUNCTION("""COMPUTED_VALUE"""),38.0)</f>
        <v>38</v>
      </c>
      <c r="E1880" s="44" t="str">
        <f>IFERROR(__xludf.DUMMYFUNCTION("""COMPUTED_VALUE"""),"")</f>
        <v/>
      </c>
      <c r="F1880" s="44" t="str">
        <f>IFERROR(__xludf.DUMMYFUNCTION("""COMPUTED_VALUE"""),"")</f>
        <v/>
      </c>
      <c r="G1880" s="44"/>
      <c r="H1880" s="44"/>
      <c r="I1880" s="44" t="str">
        <f>IFERROR(__xludf.DUMMYFUNCTION("""COMPUTED_VALUE"""),"Quirofano")</f>
        <v>Quirofano</v>
      </c>
      <c r="J1880" s="44" t="str">
        <f>IFERROR(__xludf.DUMMYFUNCTION("""COMPUTED_VALUE"""),"")</f>
        <v/>
      </c>
      <c r="K1880" s="42" t="str">
        <f>IFERROR(__xludf.DUMMYFUNCTION("""COMPUTED_VALUE"""),"Periférico de Catia")</f>
        <v>Periférico de Catia</v>
      </c>
    </row>
    <row r="1881">
      <c r="A1881" s="44">
        <v>1880.0</v>
      </c>
      <c r="B1881" s="44" t="str">
        <f>IFERROR(__xludf.DUMMYFUNCTION("""COMPUTED_VALUE"""),"Hospital Domingo Luciani")</f>
        <v>Hospital Domingo Luciani</v>
      </c>
      <c r="C1881" s="45" t="str">
        <f>IFERROR(__xludf.DUMMYFUNCTION("""COMPUTED_VALUE"""),"FERNANDEZ NELSY")</f>
        <v>FERNANDEZ NELSY</v>
      </c>
      <c r="D1881" s="44">
        <f>IFERROR(__xludf.DUMMYFUNCTION("""COMPUTED_VALUE"""),57.0)</f>
        <v>57</v>
      </c>
      <c r="E1881" s="44" t="str">
        <f>IFERROR(__xludf.DUMMYFUNCTION("""COMPUTED_VALUE"""),"")</f>
        <v/>
      </c>
      <c r="F1881" s="44" t="str">
        <f>IFERROR(__xludf.DUMMYFUNCTION("""COMPUTED_VALUE"""),"")</f>
        <v/>
      </c>
      <c r="G1881" s="44" t="str">
        <f>IFERROR(__xludf.DUMMYFUNCTION("""COMPUTED_VALUE""")," ")</f>
        <v> </v>
      </c>
      <c r="H1881" s="44" t="str">
        <f>IFERROR(__xludf.DUMMYFUNCTION("""COMPUTED_VALUE""")," ")</f>
        <v> </v>
      </c>
      <c r="I1881" s="44" t="str">
        <f>IFERROR(__xludf.DUMMYFUNCTION("""COMPUTED_VALUE""")," ")</f>
        <v> </v>
      </c>
      <c r="J1881" s="44" t="str">
        <f>IFERROR(__xludf.DUMMYFUNCTION("""COMPUTED_VALUE"""),"")</f>
        <v/>
      </c>
      <c r="K1881" s="42" t="str">
        <f>IFERROR(__xludf.DUMMYFUNCTION("""COMPUTED_VALUE"""),"🔍 BUSCAR PACIENTES")</f>
        <v>🔍 BUSCAR PACIENTES</v>
      </c>
    </row>
    <row r="1882">
      <c r="A1882" s="44">
        <v>1881.0</v>
      </c>
      <c r="B1882" s="44" t="str">
        <f>IFERROR(__xludf.DUMMYFUNCTION("""COMPUTED_VALUE"""),"Hospital Pérez Carreño")</f>
        <v>Hospital Pérez Carreño</v>
      </c>
      <c r="C1882" s="45" t="str">
        <f>IFERROR(__xludf.DUMMYFUNCTION("""COMPUTED_VALUE"""),"Fernandez Pineda Ana")</f>
        <v>Fernandez Pineda Ana</v>
      </c>
      <c r="D1882" s="44"/>
      <c r="E1882" s="44" t="str">
        <f>IFERROR(__xludf.DUMMYFUNCTION("""COMPUTED_VALUE"""),"")</f>
        <v/>
      </c>
      <c r="F1882" s="44" t="str">
        <f>IFERROR(__xludf.DUMMYFUNCTION("""COMPUTED_VALUE"""),"")</f>
        <v/>
      </c>
      <c r="G1882" s="44" t="str">
        <f>IFERROR(__xludf.DUMMYFUNCTION("""COMPUTED_VALUE"""),"Traslados con destino asignado")</f>
        <v>Traslados con destino asignado</v>
      </c>
      <c r="H1882" s="44" t="str">
        <f>IFERROR(__xludf.DUMMYFUNCTION("""COMPUTED_VALUE"""),"Hospital Miguel Perez Carreño")</f>
        <v>Hospital Miguel Perez Carreño</v>
      </c>
      <c r="I1882" s="44"/>
      <c r="J1882" s="44" t="str">
        <f>IFERROR(__xludf.DUMMYFUNCTION("""COMPUTED_VALUE"""),"26/6/26")</f>
        <v>26/6/26</v>
      </c>
      <c r="K1882" s="42" t="str">
        <f>IFERROR(__xludf.DUMMYFUNCTION("""COMPUTED_VALUE"""),"Hospital Pérez Carreño")</f>
        <v>Hospital Pérez Carreño</v>
      </c>
    </row>
    <row r="1883">
      <c r="A1883" s="44">
        <v>1882.0</v>
      </c>
      <c r="B1883" s="44" t="str">
        <f>IFERROR(__xludf.DUMMYFUNCTION("""COMPUTED_VALUE"""),"Hospital Pérez Carreño")</f>
        <v>Hospital Pérez Carreño</v>
      </c>
      <c r="C1883" s="45" t="str">
        <f>IFERROR(__xludf.DUMMYFUNCTION("""COMPUTED_VALUE"""),"FERNANDEZ RODRIGO")</f>
        <v>FERNANDEZ RODRIGO</v>
      </c>
      <c r="D1883" s="44" t="str">
        <f>IFERROR(__xludf.DUMMYFUNCTION("""COMPUTED_VALUE""")," ")</f>
        <v> </v>
      </c>
      <c r="E1883" s="44" t="str">
        <f>IFERROR(__xludf.DUMMYFUNCTION("""COMPUTED_VALUE"""),"")</f>
        <v/>
      </c>
      <c r="F1883" s="44" t="str">
        <f>IFERROR(__xludf.DUMMYFUNCTION("""COMPUTED_VALUE"""),"")</f>
        <v/>
      </c>
      <c r="G1883" s="44" t="str">
        <f>IFERROR(__xludf.DUMMYFUNCTION("""COMPUTED_VALUE""")," ")</f>
        <v> </v>
      </c>
      <c r="H1883" s="44" t="str">
        <f>IFERROR(__xludf.DUMMYFUNCTION("""COMPUTED_VALUE""")," ")</f>
        <v> </v>
      </c>
      <c r="I1883" s="44" t="str">
        <f>IFERROR(__xludf.DUMMYFUNCTION("""COMPUTED_VALUE"""),"Sin cédula")</f>
        <v>Sin cédula</v>
      </c>
      <c r="J1883" s="44" t="str">
        <f>IFERROR(__xludf.DUMMYFUNCTION("""COMPUTED_VALUE"""),"25/06/2026")</f>
        <v>25/06/2026</v>
      </c>
      <c r="K1883" s="42" t="str">
        <f>IFERROR(__xludf.DUMMYFUNCTION("""COMPUTED_VALUE"""),"Hospital Pérez Carreño")</f>
        <v>Hospital Pérez Carreño</v>
      </c>
    </row>
    <row r="1884">
      <c r="A1884" s="44">
        <v>1883.0</v>
      </c>
      <c r="B1884" s="44" t="str">
        <f>IFERROR(__xludf.DUMMYFUNCTION("""COMPUTED_VALUE"""),"La Guaira Sin Hospital")</f>
        <v>La Guaira Sin Hospital</v>
      </c>
      <c r="C1884" s="45" t="str">
        <f>IFERROR(__xludf.DUMMYFUNCTION("""COMPUTED_VALUE"""),"Fernandez Rodrigo Felipe")</f>
        <v>Fernandez Rodrigo Felipe</v>
      </c>
      <c r="D1884" s="44" t="str">
        <f>IFERROR(__xludf.DUMMYFUNCTION("""COMPUTED_VALUE"""),"")</f>
        <v/>
      </c>
      <c r="E1884" s="44" t="str">
        <f>IFERROR(__xludf.DUMMYFUNCTION("""COMPUTED_VALUE"""),"")</f>
        <v/>
      </c>
      <c r="F1884" s="44" t="str">
        <f>IFERROR(__xludf.DUMMYFUNCTION("""COMPUTED_VALUE"""),"")</f>
        <v/>
      </c>
      <c r="G1884" s="44" t="str">
        <f>IFERROR(__xludf.DUMMYFUNCTION("""COMPUTED_VALUE"""),"")</f>
        <v/>
      </c>
      <c r="H1884" s="44" t="str">
        <f>IFERROR(__xludf.DUMMYFUNCTION("""COMPUTED_VALUE"""),"Los Corales")</f>
        <v>Los Corales</v>
      </c>
      <c r="I1884" s="44" t="str">
        <f>IFERROR(__xludf.DUMMYFUNCTION("""COMPUTED_VALUE"""),"Listas con ubicación")</f>
        <v>Listas con ubicación</v>
      </c>
      <c r="J1884" s="44" t="str">
        <f>IFERROR(__xludf.DUMMYFUNCTION("""COMPUTED_VALUE"""),"")</f>
        <v/>
      </c>
      <c r="K1884" s="42" t="str">
        <f>IFERROR(__xludf.DUMMYFUNCTION("""COMPUTED_VALUE"""),"La Guaira Sin Hospital")</f>
        <v>La Guaira Sin Hospital</v>
      </c>
    </row>
    <row r="1885">
      <c r="A1885" s="44">
        <v>1884.0</v>
      </c>
      <c r="B1885" s="44" t="str">
        <f>IFERROR(__xludf.DUMMYFUNCTION("""COMPUTED_VALUE"""),"Clínica El Ávila")</f>
        <v>Clínica El Ávila</v>
      </c>
      <c r="C1885" s="45" t="str">
        <f>IFERROR(__xludf.DUMMYFUNCTION("""COMPUTED_VALUE"""),"FERNANDEZ ROSALIDA")</f>
        <v>FERNANDEZ ROSALIDA</v>
      </c>
      <c r="D1885" s="44" t="str">
        <f>IFERROR(__xludf.DUMMYFUNCTION("""COMPUTED_VALUE""")," ")</f>
        <v> </v>
      </c>
      <c r="E1885" s="44" t="str">
        <f>IFERROR(__xludf.DUMMYFUNCTION("""COMPUTED_VALUE"""),"")</f>
        <v/>
      </c>
      <c r="F1885" s="44" t="str">
        <f>IFERROR(__xludf.DUMMYFUNCTION("""COMPUTED_VALUE"""),"")</f>
        <v/>
      </c>
      <c r="G1885" s="44" t="str">
        <f>IFERROR(__xludf.DUMMYFUNCTION("""COMPUTED_VALUE""")," ")</f>
        <v> </v>
      </c>
      <c r="H1885" s="44" t="str">
        <f>IFERROR(__xludf.DUMMYFUNCTION("""COMPUTED_VALUE""")," ")</f>
        <v> </v>
      </c>
      <c r="I1885" s="44" t="str">
        <f>IFERROR(__xludf.DUMMYFUNCTION("""COMPUTED_VALUE""")," ")</f>
        <v> </v>
      </c>
      <c r="J1885" s="44" t="str">
        <f>IFERROR(__xludf.DUMMYFUNCTION("""COMPUTED_VALUE"""),"")</f>
        <v/>
      </c>
      <c r="K1885" s="42" t="str">
        <f>IFERROR(__xludf.DUMMYFUNCTION("""COMPUTED_VALUE"""),"Clínica El Ávila")</f>
        <v>Clínica El Ávila</v>
      </c>
    </row>
    <row r="1886">
      <c r="A1886" s="44">
        <v>1885.0</v>
      </c>
      <c r="B1886" s="44" t="str">
        <f>IFERROR(__xludf.DUMMYFUNCTION("""COMPUTED_VALUE"""),"Hospital Pérez Carreño")</f>
        <v>Hospital Pérez Carreño</v>
      </c>
      <c r="C1886" s="45" t="str">
        <f>IFERROR(__xludf.DUMMYFUNCTION("""COMPUTED_VALUE"""),"FERNANDEZ SANTIAGO")</f>
        <v>FERNANDEZ SANTIAGO</v>
      </c>
      <c r="D1886" s="44" t="str">
        <f>IFERROR(__xludf.DUMMYFUNCTION("""COMPUTED_VALUE""")," ")</f>
        <v> </v>
      </c>
      <c r="E1886" s="44" t="str">
        <f>IFERROR(__xludf.DUMMYFUNCTION("""COMPUTED_VALUE"""),"")</f>
        <v/>
      </c>
      <c r="F1886" s="44" t="str">
        <f>IFERROR(__xludf.DUMMYFUNCTION("""COMPUTED_VALUE"""),"")</f>
        <v/>
      </c>
      <c r="G1886" s="44" t="str">
        <f>IFERROR(__xludf.DUMMYFUNCTION("""COMPUTED_VALUE""")," ")</f>
        <v> </v>
      </c>
      <c r="H1886" s="44" t="str">
        <f>IFERROR(__xludf.DUMMYFUNCTION("""COMPUTED_VALUE""")," ")</f>
        <v> </v>
      </c>
      <c r="I1886" s="44" t="str">
        <f>IFERROR(__xludf.DUMMYFUNCTION("""COMPUTED_VALUE"""),"Internado")</f>
        <v>Internado</v>
      </c>
      <c r="J1886" s="44" t="str">
        <f>IFERROR(__xludf.DUMMYFUNCTION("""COMPUTED_VALUE"""),"25/06/2026")</f>
        <v>25/06/2026</v>
      </c>
      <c r="K1886" s="42" t="str">
        <f>IFERROR(__xludf.DUMMYFUNCTION("""COMPUTED_VALUE"""),"Hospital Pérez Carreño")</f>
        <v>Hospital Pérez Carreño</v>
      </c>
    </row>
    <row r="1887">
      <c r="A1887" s="44">
        <v>1886.0</v>
      </c>
      <c r="B1887" s="44" t="str">
        <f>IFERROR(__xludf.DUMMYFUNCTION("""COMPUTED_VALUE"""),"Hospital Domingo Luciani")</f>
        <v>Hospital Domingo Luciani</v>
      </c>
      <c r="C1887" s="45" t="str">
        <f>IFERROR(__xludf.DUMMYFUNCTION("""COMPUTED_VALUE"""),"FERNANDEZ SNELO")</f>
        <v>FERNANDEZ SNELO</v>
      </c>
      <c r="D1887" s="44">
        <f>IFERROR(__xludf.DUMMYFUNCTION("""COMPUTED_VALUE"""),31.0)</f>
        <v>31</v>
      </c>
      <c r="E1887" s="44" t="str">
        <f>IFERROR(__xludf.DUMMYFUNCTION("""COMPUTED_VALUE"""),"")</f>
        <v/>
      </c>
      <c r="F1887" s="44" t="str">
        <f>IFERROR(__xludf.DUMMYFUNCTION("""COMPUTED_VALUE"""),"")</f>
        <v/>
      </c>
      <c r="G1887" s="44" t="str">
        <f>IFERROR(__xludf.DUMMYFUNCTION("""COMPUTED_VALUE""")," ")</f>
        <v> </v>
      </c>
      <c r="H1887" s="44" t="str">
        <f>IFERROR(__xludf.DUMMYFUNCTION("""COMPUTED_VALUE""")," ")</f>
        <v> </v>
      </c>
      <c r="I1887" s="44" t="str">
        <f>IFERROR(__xludf.DUMMYFUNCTION("""COMPUTED_VALUE"""),"Medicina Interna – F")</f>
        <v>Medicina Interna – F</v>
      </c>
      <c r="J1887" s="44" t="str">
        <f>IFERROR(__xludf.DUMMYFUNCTION("""COMPUTED_VALUE"""),"")</f>
        <v/>
      </c>
      <c r="K1887" s="42" t="str">
        <f>IFERROR(__xludf.DUMMYFUNCTION("""COMPUTED_VALUE"""),"🔍 BUSCAR PACIENTES")</f>
        <v>🔍 BUSCAR PACIENTES</v>
      </c>
    </row>
    <row r="1888">
      <c r="A1888" s="44">
        <v>1887.0</v>
      </c>
      <c r="B1888" s="44" t="str">
        <f>IFERROR(__xludf.DUMMYFUNCTION("""COMPUTED_VALUE"""),"Hospital Domingo Luciani")</f>
        <v>Hospital Domingo Luciani</v>
      </c>
      <c r="C1888" s="45" t="str">
        <f>IFERROR(__xludf.DUMMYFUNCTION("""COMPUTED_VALUE"""),"FERNANDEZ YASPINDY")</f>
        <v>FERNANDEZ YASPINDY</v>
      </c>
      <c r="D1888" s="44">
        <f>IFERROR(__xludf.DUMMYFUNCTION("""COMPUTED_VALUE"""),33.0)</f>
        <v>33</v>
      </c>
      <c r="E1888" s="44" t="str">
        <f>IFERROR(__xludf.DUMMYFUNCTION("""COMPUTED_VALUE"""),"")</f>
        <v/>
      </c>
      <c r="F1888" s="44" t="str">
        <f>IFERROR(__xludf.DUMMYFUNCTION("""COMPUTED_VALUE"""),"")</f>
        <v/>
      </c>
      <c r="G1888" s="44" t="str">
        <f>IFERROR(__xludf.DUMMYFUNCTION("""COMPUTED_VALUE""")," ")</f>
        <v> </v>
      </c>
      <c r="H1888" s="44" t="str">
        <f>IFERROR(__xludf.DUMMYFUNCTION("""COMPUTED_VALUE""")," ")</f>
        <v> </v>
      </c>
      <c r="I1888" s="44" t="str">
        <f>IFERROR(__xludf.DUMMYFUNCTION("""COMPUTED_VALUE""")," ")</f>
        <v> </v>
      </c>
      <c r="J1888" s="44" t="str">
        <f>IFERROR(__xludf.DUMMYFUNCTION("""COMPUTED_VALUE"""),"")</f>
        <v/>
      </c>
      <c r="K1888" s="42" t="str">
        <f>IFERROR(__xludf.DUMMYFUNCTION("""COMPUTED_VALUE"""),"🔍 BUSCAR PACIENTES")</f>
        <v>🔍 BUSCAR PACIENTES</v>
      </c>
    </row>
    <row r="1889">
      <c r="A1889" s="44">
        <v>1888.0</v>
      </c>
      <c r="B1889" s="44" t="str">
        <f>IFERROR(__xludf.DUMMYFUNCTION("""COMPUTED_VALUE"""),"H. Jose Maria Vargas LG")</f>
        <v>H. Jose Maria Vargas LG</v>
      </c>
      <c r="C1889" s="45" t="str">
        <f>IFERROR(__xludf.DUMMYFUNCTION("""COMPUTED_VALUE"""),"FERNANDEZ YERALDIN")</f>
        <v>FERNANDEZ YERALDIN</v>
      </c>
      <c r="D1889" s="44" t="str">
        <f>IFERROR(__xludf.DUMMYFUNCTION("""COMPUTED_VALUE""")," ")</f>
        <v> </v>
      </c>
      <c r="E1889" s="44" t="str">
        <f>IFERROR(__xludf.DUMMYFUNCTION("""COMPUTED_VALUE"""),"")</f>
        <v/>
      </c>
      <c r="F1889" s="44" t="str">
        <f>IFERROR(__xludf.DUMMYFUNCTION("""COMPUTED_VALUE"""),"")</f>
        <v/>
      </c>
      <c r="G1889" s="44" t="str">
        <f>IFERROR(__xludf.DUMMYFUNCTION("""COMPUTED_VALUE""")," ")</f>
        <v> </v>
      </c>
      <c r="H1889" s="44" t="str">
        <f>IFERROR(__xludf.DUMMYFUNCTION("""COMPUTED_VALUE""")," ")</f>
        <v> </v>
      </c>
      <c r="I1889" s="44" t="str">
        <f>IFERROR(__xludf.DUMMYFUNCTION("""COMPUTED_VALUE""")," ")</f>
        <v> </v>
      </c>
      <c r="J1889" s="44" t="str">
        <f>IFERROR(__xludf.DUMMYFUNCTION("""COMPUTED_VALUE"""),"")</f>
        <v/>
      </c>
      <c r="K1889" s="42" t="str">
        <f>IFERROR(__xludf.DUMMYFUNCTION("""COMPUTED_VALUE"""),"H. Jose Maria Vargas LG")</f>
        <v>H. Jose Maria Vargas LG</v>
      </c>
    </row>
    <row r="1890">
      <c r="A1890" s="44">
        <v>1889.0</v>
      </c>
      <c r="B1890" s="44" t="str">
        <f>IFERROR(__xludf.DUMMYFUNCTION("""COMPUTED_VALUE"""),"Hospital Domingo Luciani")</f>
        <v>Hospital Domingo Luciani</v>
      </c>
      <c r="C1890" s="45" t="str">
        <f>IFERROR(__xludf.DUMMYFUNCTION("""COMPUTED_VALUE"""),"FERNANDEZ YOSKEIDY")</f>
        <v>FERNANDEZ YOSKEIDY</v>
      </c>
      <c r="D1890" s="44">
        <f>IFERROR(__xludf.DUMMYFUNCTION("""COMPUTED_VALUE"""),35.0)</f>
        <v>35</v>
      </c>
      <c r="E1890" s="44" t="str">
        <f>IFERROR(__xludf.DUMMYFUNCTION("""COMPUTED_VALUE"""),"")</f>
        <v/>
      </c>
      <c r="F1890" s="44" t="str">
        <f>IFERROR(__xludf.DUMMYFUNCTION("""COMPUTED_VALUE"""),"")</f>
        <v/>
      </c>
      <c r="G1890" s="44" t="str">
        <f>IFERROR(__xludf.DUMMYFUNCTION("""COMPUTED_VALUE""")," ")</f>
        <v> </v>
      </c>
      <c r="H1890" s="44" t="str">
        <f>IFERROR(__xludf.DUMMYFUNCTION("""COMPUTED_VALUE""")," ")</f>
        <v> </v>
      </c>
      <c r="I1890" s="44" t="str">
        <f>IFERROR(__xludf.DUMMYFUNCTION("""COMPUTED_VALUE"""),"Internado; POLITRAUMA EMERG NUEVA")</f>
        <v>Internado; POLITRAUMA EMERG NUEVA</v>
      </c>
      <c r="J1890" s="44" t="str">
        <f>IFERROR(__xludf.DUMMYFUNCTION("""COMPUTED_VALUE"""),"")</f>
        <v/>
      </c>
      <c r="K1890" s="42" t="str">
        <f>IFERROR(__xludf.DUMMYFUNCTION("""COMPUTED_VALUE"""),"🔍 BUSCAR PACIENTES")</f>
        <v>🔍 BUSCAR PACIENTES</v>
      </c>
    </row>
    <row r="1891">
      <c r="A1891" s="44">
        <v>1890.0</v>
      </c>
      <c r="B1891" s="44" t="str">
        <f>IFERROR(__xludf.DUMMYFUNCTION("""COMPUTED_VALUE"""),"Hospital Domingo Luciani")</f>
        <v>Hospital Domingo Luciani</v>
      </c>
      <c r="C1891" s="45" t="str">
        <f>IFERROR(__xludf.DUMMYFUNCTION("""COMPUTED_VALUE"""),"FERNANDEZ YUSQUEIDY")</f>
        <v>FERNANDEZ YUSQUEIDY</v>
      </c>
      <c r="D1891" s="44">
        <f>IFERROR(__xludf.DUMMYFUNCTION("""COMPUTED_VALUE"""),37.0)</f>
        <v>37</v>
      </c>
      <c r="E1891" s="44" t="str">
        <f>IFERROR(__xludf.DUMMYFUNCTION("""COMPUTED_VALUE"""),"")</f>
        <v/>
      </c>
      <c r="F1891" s="44" t="str">
        <f>IFERROR(__xludf.DUMMYFUNCTION("""COMPUTED_VALUE"""),"")</f>
        <v/>
      </c>
      <c r="G1891" s="44" t="str">
        <f>IFERROR(__xludf.DUMMYFUNCTION("""COMPUTED_VALUE""")," ")</f>
        <v> </v>
      </c>
      <c r="H1891" s="44" t="str">
        <f>IFERROR(__xludf.DUMMYFUNCTION("""COMPUTED_VALUE""")," ")</f>
        <v> </v>
      </c>
      <c r="I1891" s="44" t="str">
        <f>IFERROR(__xludf.DUMMYFUNCTION("""COMPUTED_VALUE""")," ")</f>
        <v> </v>
      </c>
      <c r="J1891" s="44" t="str">
        <f>IFERROR(__xludf.DUMMYFUNCTION("""COMPUTED_VALUE"""),"")</f>
        <v/>
      </c>
      <c r="K1891" s="42" t="str">
        <f>IFERROR(__xludf.DUMMYFUNCTION("""COMPUTED_VALUE"""),"🔍 BUSCAR PACIENTES")</f>
        <v>🔍 BUSCAR PACIENTES</v>
      </c>
    </row>
    <row r="1892">
      <c r="A1892" s="44">
        <v>1891.0</v>
      </c>
      <c r="B1892" s="44" t="str">
        <f>IFERROR(__xludf.DUMMYFUNCTION("""COMPUTED_VALUE"""),"Hospital Domingo Luciani")</f>
        <v>Hospital Domingo Luciani</v>
      </c>
      <c r="C1892" s="45" t="str">
        <f>IFERROR(__xludf.DUMMYFUNCTION("""COMPUTED_VALUE"""),"FERNANDY NEISY")</f>
        <v>FERNANDY NEISY</v>
      </c>
      <c r="D1892" s="44">
        <f>IFERROR(__xludf.DUMMYFUNCTION("""COMPUTED_VALUE"""),37.0)</f>
        <v>37</v>
      </c>
      <c r="E1892" s="44" t="str">
        <f>IFERROR(__xludf.DUMMYFUNCTION("""COMPUTED_VALUE"""),"")</f>
        <v/>
      </c>
      <c r="F1892" s="44" t="str">
        <f>IFERROR(__xludf.DUMMYFUNCTION("""COMPUTED_VALUE"""),"")</f>
        <v/>
      </c>
      <c r="G1892" s="44" t="str">
        <f>IFERROR(__xludf.DUMMYFUNCTION("""COMPUTED_VALUE""")," ")</f>
        <v> </v>
      </c>
      <c r="H1892" s="44" t="str">
        <f>IFERROR(__xludf.DUMMYFUNCTION("""COMPUTED_VALUE"""),"GUARENAS")</f>
        <v>GUARENAS</v>
      </c>
      <c r="I1892" s="44" t="str">
        <f>IFERROR(__xludf.DUMMYFUNCTION("""COMPUTED_VALUE""")," ")</f>
        <v> </v>
      </c>
      <c r="J1892" s="44" t="str">
        <f>IFERROR(__xludf.DUMMYFUNCTION("""COMPUTED_VALUE"""),"")</f>
        <v/>
      </c>
      <c r="K1892" s="42" t="str">
        <f>IFERROR(__xludf.DUMMYFUNCTION("""COMPUTED_VALUE"""),"🔍 BUSCAR PACIENTES")</f>
        <v>🔍 BUSCAR PACIENTES</v>
      </c>
    </row>
    <row r="1893">
      <c r="A1893" s="44">
        <v>1892.0</v>
      </c>
      <c r="B1893" s="44" t="str">
        <f>IFERROR(__xludf.DUMMYFUNCTION("""COMPUTED_VALUE"""),"Centro de Acopio Caraballeda")</f>
        <v>Centro de Acopio Caraballeda</v>
      </c>
      <c r="C1893" s="45" t="str">
        <f>IFERROR(__xludf.DUMMYFUNCTION("""COMPUTED_VALUE"""),"FERREIRA DESLYBETH")</f>
        <v>FERREIRA DESLYBETH</v>
      </c>
      <c r="D1893" s="44" t="str">
        <f>IFERROR(__xludf.DUMMYFUNCTION("""COMPUTED_VALUE""")," ")</f>
        <v> </v>
      </c>
      <c r="E1893" s="44" t="str">
        <f>IFERROR(__xludf.DUMMYFUNCTION("""COMPUTED_VALUE"""),"")</f>
        <v/>
      </c>
      <c r="F1893" s="44" t="str">
        <f>IFERROR(__xludf.DUMMYFUNCTION("""COMPUTED_VALUE"""),"")</f>
        <v/>
      </c>
      <c r="G1893" s="44" t="str">
        <f>IFERROR(__xludf.DUMMYFUNCTION("""COMPUTED_VALUE""")," ")</f>
        <v> </v>
      </c>
      <c r="H1893" s="44" t="str">
        <f>IFERROR(__xludf.DUMMYFUNCTION("""COMPUTED_VALUE""")," ")</f>
        <v> </v>
      </c>
      <c r="I1893" s="44" t="str">
        <f>IFERROR(__xludf.DUMMYFUNCTION("""COMPUTED_VALUE"""),"Internado")</f>
        <v>Internado</v>
      </c>
      <c r="J1893" s="44" t="str">
        <f>IFERROR(__xludf.DUMMYFUNCTION("""COMPUTED_VALUE"""),"")</f>
        <v/>
      </c>
      <c r="K1893" s="42" t="str">
        <f>IFERROR(__xludf.DUMMYFUNCTION("""COMPUTED_VALUE"""),"🔍 BUSCAR PACIENTES")</f>
        <v>🔍 BUSCAR PACIENTES</v>
      </c>
    </row>
    <row r="1894">
      <c r="A1894" s="44">
        <v>1893.0</v>
      </c>
      <c r="B1894" s="44" t="str">
        <f>IFERROR(__xludf.DUMMYFUNCTION("""COMPUTED_VALUE"""),"Hospital Pérez Carreño")</f>
        <v>Hospital Pérez Carreño</v>
      </c>
      <c r="C1894" s="45" t="str">
        <f>IFERROR(__xludf.DUMMYFUNCTION("""COMPUTED_VALUE"""),"Figeroa Mortin Luis")</f>
        <v>Figeroa Mortin Luis</v>
      </c>
      <c r="D1894" s="44"/>
      <c r="E1894" s="44" t="str">
        <f>IFERROR(__xludf.DUMMYFUNCTION("""COMPUTED_VALUE"""),"")</f>
        <v/>
      </c>
      <c r="F1894" s="44" t="str">
        <f>IFERROR(__xludf.DUMMYFUNCTION("""COMPUTED_VALUE"""),"")</f>
        <v/>
      </c>
      <c r="G1894" s="44" t="str">
        <f>IFERROR(__xludf.DUMMYFUNCTION("""COMPUTED_VALUE"""),"Traslados con destino asignado")</f>
        <v>Traslados con destino asignado</v>
      </c>
      <c r="H1894" s="44" t="str">
        <f>IFERROR(__xludf.DUMMYFUNCTION("""COMPUTED_VALUE"""),"Hospital Miguel Perez Carreño")</f>
        <v>Hospital Miguel Perez Carreño</v>
      </c>
      <c r="I1894" s="44"/>
      <c r="J1894" s="44" t="str">
        <f>IFERROR(__xludf.DUMMYFUNCTION("""COMPUTED_VALUE"""),"26/6/26")</f>
        <v>26/6/26</v>
      </c>
      <c r="K1894" s="42" t="str">
        <f>IFERROR(__xludf.DUMMYFUNCTION("""COMPUTED_VALUE"""),"Hospital Pérez Carreño")</f>
        <v>Hospital Pérez Carreño</v>
      </c>
    </row>
    <row r="1895">
      <c r="A1895" s="44">
        <v>1894.0</v>
      </c>
      <c r="B1895" s="44" t="str">
        <f>IFERROR(__xludf.DUMMYFUNCTION("""COMPUTED_VALUE"""),"Hospital Domingo Luciani")</f>
        <v>Hospital Domingo Luciani</v>
      </c>
      <c r="C1895" s="45" t="str">
        <f>IFERROR(__xludf.DUMMYFUNCTION("""COMPUTED_VALUE"""),"FIGUERA ALAN")</f>
        <v>FIGUERA ALAN</v>
      </c>
      <c r="D1895" s="44">
        <f>IFERROR(__xludf.DUMMYFUNCTION("""COMPUTED_VALUE"""),14.0)</f>
        <v>14</v>
      </c>
      <c r="E1895" s="44" t="str">
        <f>IFERROR(__xludf.DUMMYFUNCTION("""COMPUTED_VALUE"""),"")</f>
        <v/>
      </c>
      <c r="F1895" s="44" t="str">
        <f>IFERROR(__xludf.DUMMYFUNCTION("""COMPUTED_VALUE"""),"")</f>
        <v/>
      </c>
      <c r="G1895" s="44" t="str">
        <f>IFERROR(__xludf.DUMMYFUNCTION("""COMPUTED_VALUE""")," ")</f>
        <v> </v>
      </c>
      <c r="H1895" s="44" t="str">
        <f>IFERROR(__xludf.DUMMYFUNCTION("""COMPUTED_VALUE""")," ")</f>
        <v> </v>
      </c>
      <c r="I1895" s="44" t="str">
        <f>IFERROR(__xludf.DUMMYFUNCTION("""COMPUTED_VALUE"""),"Internado; Espera familiar | Ingresos 6am-9:20pm")</f>
        <v>Internado; Espera familiar | Ingresos 6am-9:20pm</v>
      </c>
      <c r="J1895" s="44" t="str">
        <f>IFERROR(__xludf.DUMMYFUNCTION("""COMPUTED_VALUE"""),"")</f>
        <v/>
      </c>
      <c r="K1895" s="42" t="str">
        <f>IFERROR(__xludf.DUMMYFUNCTION("""COMPUTED_VALUE"""),"🔍 BUSCAR PACIENTES")</f>
        <v>🔍 BUSCAR PACIENTES</v>
      </c>
    </row>
    <row r="1896">
      <c r="A1896" s="44">
        <v>1895.0</v>
      </c>
      <c r="B1896" s="44" t="str">
        <f>IFERROR(__xludf.DUMMYFUNCTION("""COMPUTED_VALUE"""),"Hospital Pérez Carreño")</f>
        <v>Hospital Pérez Carreño</v>
      </c>
      <c r="C1896" s="45" t="str">
        <f>IFERROR(__xludf.DUMMYFUNCTION("""COMPUTED_VALUE"""),"FIGUERA CARMELO")</f>
        <v>FIGUERA CARMELO</v>
      </c>
      <c r="D1896" s="44" t="str">
        <f>IFERROR(__xludf.DUMMYFUNCTION("""COMPUTED_VALUE""")," ")</f>
        <v> </v>
      </c>
      <c r="E1896" s="44" t="str">
        <f>IFERROR(__xludf.DUMMYFUNCTION("""COMPUTED_VALUE"""),"")</f>
        <v/>
      </c>
      <c r="F1896" s="44" t="str">
        <f>IFERROR(__xludf.DUMMYFUNCTION("""COMPUTED_VALUE"""),"")</f>
        <v/>
      </c>
      <c r="G1896" s="44" t="str">
        <f>IFERROR(__xludf.DUMMYFUNCTION("""COMPUTED_VALUE""")," ")</f>
        <v> </v>
      </c>
      <c r="H1896" s="44" t="str">
        <f>IFERROR(__xludf.DUMMYFUNCTION("""COMPUTED_VALUE""")," ")</f>
        <v> </v>
      </c>
      <c r="I1896" s="44" t="str">
        <f>IFERROR(__xludf.DUMMYFUNCTION("""COMPUTED_VALUE"""),"Internado")</f>
        <v>Internado</v>
      </c>
      <c r="J1896" s="44" t="str">
        <f>IFERROR(__xludf.DUMMYFUNCTION("""COMPUTED_VALUE"""),"25/06/2026")</f>
        <v>25/06/2026</v>
      </c>
      <c r="K1896" s="42" t="str">
        <f>IFERROR(__xludf.DUMMYFUNCTION("""COMPUTED_VALUE"""),"Hospital Pérez Carreño")</f>
        <v>Hospital Pérez Carreño</v>
      </c>
    </row>
    <row r="1897">
      <c r="A1897" s="44">
        <v>1896.0</v>
      </c>
      <c r="B1897" s="44" t="str">
        <f>IFERROR(__xludf.DUMMYFUNCTION("""COMPUTED_VALUE"""),"La Guaira Sin Hospital")</f>
        <v>La Guaira Sin Hospital</v>
      </c>
      <c r="C1897" s="45" t="str">
        <f>IFERROR(__xludf.DUMMYFUNCTION("""COMPUTED_VALUE"""),"Figuera Flormilda")</f>
        <v>Figuera Flormilda</v>
      </c>
      <c r="D1897" s="44" t="str">
        <f>IFERROR(__xludf.DUMMYFUNCTION("""COMPUTED_VALUE"""),"")</f>
        <v/>
      </c>
      <c r="E1897" s="44" t="str">
        <f>IFERROR(__xludf.DUMMYFUNCTION("""COMPUTED_VALUE"""),"")</f>
        <v/>
      </c>
      <c r="F1897" s="44" t="str">
        <f>IFERROR(__xludf.DUMMYFUNCTION("""COMPUTED_VALUE"""),"")</f>
        <v/>
      </c>
      <c r="G1897" s="44" t="str">
        <f>IFERROR(__xludf.DUMMYFUNCTION("""COMPUTED_VALUE"""),"")</f>
        <v/>
      </c>
      <c r="H1897" s="44" t="str">
        <f>IFERROR(__xludf.DUMMYFUNCTION("""COMPUTED_VALUE"""),"La Guaira")</f>
        <v>La Guaira</v>
      </c>
      <c r="I1897" s="44" t="str">
        <f>IFERROR(__xludf.DUMMYFUNCTION("""COMPUTED_VALUE"""),"Listas con ubicación")</f>
        <v>Listas con ubicación</v>
      </c>
      <c r="J1897" s="44" t="str">
        <f>IFERROR(__xludf.DUMMYFUNCTION("""COMPUTED_VALUE"""),"")</f>
        <v/>
      </c>
      <c r="K1897" s="42" t="str">
        <f>IFERROR(__xludf.DUMMYFUNCTION("""COMPUTED_VALUE"""),"La Guaira Sin Hospital")</f>
        <v>La Guaira Sin Hospital</v>
      </c>
    </row>
    <row r="1898">
      <c r="A1898" s="44">
        <v>1897.0</v>
      </c>
      <c r="B1898" s="44" t="str">
        <f>IFERROR(__xludf.DUMMYFUNCTION("""COMPUTED_VALUE"""),"Centro de Acopio Caraballeda")</f>
        <v>Centro de Acopio Caraballeda</v>
      </c>
      <c r="C1898" s="45" t="str">
        <f>IFERROR(__xludf.DUMMYFUNCTION("""COMPUTED_VALUE"""),"FIGUERA MARIELBY")</f>
        <v>FIGUERA MARIELBY</v>
      </c>
      <c r="D1898" s="44" t="str">
        <f>IFERROR(__xludf.DUMMYFUNCTION("""COMPUTED_VALUE""")," ")</f>
        <v> </v>
      </c>
      <c r="E1898" s="44" t="str">
        <f>IFERROR(__xludf.DUMMYFUNCTION("""COMPUTED_VALUE"""),"")</f>
        <v/>
      </c>
      <c r="F1898" s="44" t="str">
        <f>IFERROR(__xludf.DUMMYFUNCTION("""COMPUTED_VALUE"""),"")</f>
        <v/>
      </c>
      <c r="G1898" s="44" t="str">
        <f>IFERROR(__xludf.DUMMYFUNCTION("""COMPUTED_VALUE""")," ")</f>
        <v> </v>
      </c>
      <c r="H1898" s="44" t="str">
        <f>IFERROR(__xludf.DUMMYFUNCTION("""COMPUTED_VALUE""")," ")</f>
        <v> </v>
      </c>
      <c r="I1898" s="44" t="str">
        <f>IFERROR(__xludf.DUMMYFUNCTION("""COMPUTED_VALUE"""),"Internado")</f>
        <v>Internado</v>
      </c>
      <c r="J1898" s="44" t="str">
        <f>IFERROR(__xludf.DUMMYFUNCTION("""COMPUTED_VALUE"""),"")</f>
        <v/>
      </c>
      <c r="K1898" s="42" t="str">
        <f>IFERROR(__xludf.DUMMYFUNCTION("""COMPUTED_VALUE"""),"🔍 BUSCAR PACIENTES")</f>
        <v>🔍 BUSCAR PACIENTES</v>
      </c>
    </row>
    <row r="1899">
      <c r="A1899" s="44">
        <v>1898.0</v>
      </c>
      <c r="B1899" s="44" t="str">
        <f>IFERROR(__xludf.DUMMYFUNCTION("""COMPUTED_VALUE"""),"Hospital Pérez Carreño")</f>
        <v>Hospital Pérez Carreño</v>
      </c>
      <c r="C1899" s="45" t="str">
        <f>IFERROR(__xludf.DUMMYFUNCTION("""COMPUTED_VALUE"""),"FIGUEROA IRMA CELESTE")</f>
        <v>FIGUEROA IRMA CELESTE</v>
      </c>
      <c r="D1899" s="44" t="str">
        <f>IFERROR(__xludf.DUMMYFUNCTION("""COMPUTED_VALUE""")," ")</f>
        <v> </v>
      </c>
      <c r="E1899" s="44" t="str">
        <f>IFERROR(__xludf.DUMMYFUNCTION("""COMPUTED_VALUE"""),"")</f>
        <v/>
      </c>
      <c r="F1899" s="44" t="str">
        <f>IFERROR(__xludf.DUMMYFUNCTION("""COMPUTED_VALUE"""),"")</f>
        <v/>
      </c>
      <c r="G1899" s="44" t="str">
        <f>IFERROR(__xludf.DUMMYFUNCTION("""COMPUTED_VALUE""")," ")</f>
        <v> </v>
      </c>
      <c r="H1899" s="44" t="str">
        <f>IFERROR(__xludf.DUMMYFUNCTION("""COMPUTED_VALUE""")," ")</f>
        <v> </v>
      </c>
      <c r="I1899" s="44" t="str">
        <f>IFERROR(__xludf.DUMMYFUNCTION("""COMPUTED_VALUE"""),"Internado")</f>
        <v>Internado</v>
      </c>
      <c r="J1899" s="44" t="str">
        <f>IFERROR(__xludf.DUMMYFUNCTION("""COMPUTED_VALUE"""),"25/06/2026")</f>
        <v>25/06/2026</v>
      </c>
      <c r="K1899" s="42" t="str">
        <f>IFERROR(__xludf.DUMMYFUNCTION("""COMPUTED_VALUE"""),"Hospital Pérez Carreño")</f>
        <v>Hospital Pérez Carreño</v>
      </c>
    </row>
    <row r="1900">
      <c r="A1900" s="44">
        <v>1899.0</v>
      </c>
      <c r="B1900" s="44" t="str">
        <f>IFERROR(__xludf.DUMMYFUNCTION("""COMPUTED_VALUE"""),"Hospital Vargas de Caracas")</f>
        <v>Hospital Vargas de Caracas</v>
      </c>
      <c r="C1900" s="45" t="str">
        <f>IFERROR(__xludf.DUMMYFUNCTION("""COMPUTED_VALUE"""),"FIGUEROA MARYON")</f>
        <v>FIGUEROA MARYON</v>
      </c>
      <c r="D1900" s="44" t="str">
        <f>IFERROR(__xludf.DUMMYFUNCTION("""COMPUTED_VALUE""")," ")</f>
        <v> </v>
      </c>
      <c r="E1900" s="44" t="str">
        <f>IFERROR(__xludf.DUMMYFUNCTION("""COMPUTED_VALUE"""),"")</f>
        <v/>
      </c>
      <c r="F1900" s="44" t="str">
        <f>IFERROR(__xludf.DUMMYFUNCTION("""COMPUTED_VALUE""")," ")</f>
        <v> </v>
      </c>
      <c r="G1900" s="44" t="str">
        <f>IFERROR(__xludf.DUMMYFUNCTION("""COMPUTED_VALUE"""),"")</f>
        <v/>
      </c>
      <c r="H1900" s="44" t="str">
        <f>IFERROR(__xludf.DUMMYFUNCTION("""COMPUTED_VALUE""")," ")</f>
        <v> </v>
      </c>
      <c r="I1900" s="44" t="str">
        <f>IFERROR(__xludf.DUMMYFUNCTION("""COMPUTED_VALUE"""),"Pacientes x Sismo Edo La Guaira")</f>
        <v>Pacientes x Sismo Edo La Guaira</v>
      </c>
      <c r="J1900" s="44" t="str">
        <f>IFERROR(__xludf.DUMMYFUNCTION("""COMPUTED_VALUE"""),"")</f>
        <v/>
      </c>
      <c r="K1900" s="42" t="str">
        <f>IFERROR(__xludf.DUMMYFUNCTION("""COMPUTED_VALUE"""),"Hospital Vargas de Caracas")</f>
        <v>Hospital Vargas de Caracas</v>
      </c>
    </row>
    <row r="1901">
      <c r="A1901" s="44">
        <v>1900.0</v>
      </c>
      <c r="B1901" s="44" t="str">
        <f>IFERROR(__xludf.DUMMYFUNCTION("""COMPUTED_VALUE"""),"H. Jose Maria Vargas LG")</f>
        <v>H. Jose Maria Vargas LG</v>
      </c>
      <c r="C1901" s="45" t="str">
        <f>IFERROR(__xludf.DUMMYFUNCTION("""COMPUTED_VALUE"""),"FIGUEROA PAOLA")</f>
        <v>FIGUEROA PAOLA</v>
      </c>
      <c r="D1901" s="44" t="str">
        <f>IFERROR(__xludf.DUMMYFUNCTION("""COMPUTED_VALUE""")," ")</f>
        <v> </v>
      </c>
      <c r="E1901" s="44" t="str">
        <f>IFERROR(__xludf.DUMMYFUNCTION("""COMPUTED_VALUE"""),"")</f>
        <v/>
      </c>
      <c r="F1901" s="44" t="str">
        <f>IFERROR(__xludf.DUMMYFUNCTION("""COMPUTED_VALUE"""),"")</f>
        <v/>
      </c>
      <c r="G1901" s="44" t="str">
        <f>IFERROR(__xludf.DUMMYFUNCTION("""COMPUTED_VALUE""")," ")</f>
        <v> </v>
      </c>
      <c r="H1901" s="44" t="str">
        <f>IFERROR(__xludf.DUMMYFUNCTION("""COMPUTED_VALUE""")," ")</f>
        <v> </v>
      </c>
      <c r="I1901" s="44" t="str">
        <f>IFERROR(__xludf.DUMMYFUNCTION("""COMPUTED_VALUE""")," ")</f>
        <v> </v>
      </c>
      <c r="J1901" s="44" t="str">
        <f>IFERROR(__xludf.DUMMYFUNCTION("""COMPUTED_VALUE"""),"")</f>
        <v/>
      </c>
      <c r="K1901" s="42" t="str">
        <f>IFERROR(__xludf.DUMMYFUNCTION("""COMPUTED_VALUE"""),"H. Jose Maria Vargas LG")</f>
        <v>H. Jose Maria Vargas LG</v>
      </c>
    </row>
    <row r="1902">
      <c r="A1902" s="44">
        <v>1901.0</v>
      </c>
      <c r="B1902" s="44" t="str">
        <f>IFERROR(__xludf.DUMMYFUNCTION("""COMPUTED_VALUE"""),"Hospital Pérez Carreño")</f>
        <v>Hospital Pérez Carreño</v>
      </c>
      <c r="C1902" s="45" t="str">
        <f>IFERROR(__xludf.DUMMYFUNCTION("""COMPUTED_VALUE"""),"Figueroa Tina Celeste")</f>
        <v>Figueroa Tina Celeste</v>
      </c>
      <c r="D1902" s="44"/>
      <c r="E1902" s="44" t="str">
        <f>IFERROR(__xludf.DUMMYFUNCTION("""COMPUTED_VALUE"""),"")</f>
        <v/>
      </c>
      <c r="F1902" s="44" t="str">
        <f>IFERROR(__xludf.DUMMYFUNCTION("""COMPUTED_VALUE"""),"")</f>
        <v/>
      </c>
      <c r="G1902" s="44" t="str">
        <f>IFERROR(__xludf.DUMMYFUNCTION("""COMPUTED_VALUE"""),"Traslados")</f>
        <v>Traslados</v>
      </c>
      <c r="H1902" s="44" t="str">
        <f>IFERROR(__xludf.DUMMYFUNCTION("""COMPUTED_VALUE"""),"Hospital Miguel Perez Carreño")</f>
        <v>Hospital Miguel Perez Carreño</v>
      </c>
      <c r="I1902" s="44"/>
      <c r="J1902" s="44" t="str">
        <f>IFERROR(__xludf.DUMMYFUNCTION("""COMPUTED_VALUE"""),"26/6/26")</f>
        <v>26/6/26</v>
      </c>
      <c r="K1902" s="42" t="str">
        <f>IFERROR(__xludf.DUMMYFUNCTION("""COMPUTED_VALUE"""),"Hospital Pérez Carreño")</f>
        <v>Hospital Pérez Carreño</v>
      </c>
    </row>
    <row r="1903">
      <c r="A1903" s="44">
        <v>1902.0</v>
      </c>
      <c r="B1903" s="44" t="str">
        <f>IFERROR(__xludf.DUMMYFUNCTION("""COMPUTED_VALUE"""),"La Guaira Sin Hospital")</f>
        <v>La Guaira Sin Hospital</v>
      </c>
      <c r="C1903" s="45" t="str">
        <f>IFERROR(__xludf.DUMMYFUNCTION("""COMPUTED_VALUE"""),"Figueroa Yeangel")</f>
        <v>Figueroa Yeangel</v>
      </c>
      <c r="D1903" s="44" t="str">
        <f>IFERROR(__xludf.DUMMYFUNCTION("""COMPUTED_VALUE"""),"")</f>
        <v/>
      </c>
      <c r="E1903" s="44" t="str">
        <f>IFERROR(__xludf.DUMMYFUNCTION("""COMPUTED_VALUE"""),"")</f>
        <v/>
      </c>
      <c r="F1903" s="44" t="str">
        <f>IFERROR(__xludf.DUMMYFUNCTION("""COMPUTED_VALUE"""),"")</f>
        <v/>
      </c>
      <c r="G1903" s="44" t="str">
        <f>IFERROR(__xludf.DUMMYFUNCTION("""COMPUTED_VALUE"""),"")</f>
        <v/>
      </c>
      <c r="H1903" s="44" t="str">
        <f>IFERROR(__xludf.DUMMYFUNCTION("""COMPUTED_VALUE"""),"La Guaira Tanaguarenas")</f>
        <v>La Guaira Tanaguarenas</v>
      </c>
      <c r="I1903" s="44" t="str">
        <f>IFERROR(__xludf.DUMMYFUNCTION("""COMPUTED_VALUE"""),"Listas con ubicación")</f>
        <v>Listas con ubicación</v>
      </c>
      <c r="J1903" s="44" t="str">
        <f>IFERROR(__xludf.DUMMYFUNCTION("""COMPUTED_VALUE"""),"")</f>
        <v/>
      </c>
      <c r="K1903" s="42" t="str">
        <f>IFERROR(__xludf.DUMMYFUNCTION("""COMPUTED_VALUE"""),"La Guaira Sin Hospital")</f>
        <v>La Guaira Sin Hospital</v>
      </c>
    </row>
    <row r="1904">
      <c r="A1904" s="44">
        <v>1903.0</v>
      </c>
      <c r="B1904" s="44" t="str">
        <f>IFERROR(__xludf.DUMMYFUNCTION("""COMPUTED_VALUE"""),"Hospital Pérez Carreño")</f>
        <v>Hospital Pérez Carreño</v>
      </c>
      <c r="C1904" s="45" t="str">
        <f>IFERROR(__xludf.DUMMYFUNCTION("""COMPUTED_VALUE"""),"Finoris Yimmy")</f>
        <v>Finoris Yimmy</v>
      </c>
      <c r="D1904" s="44"/>
      <c r="E1904" s="44" t="str">
        <f>IFERROR(__xludf.DUMMYFUNCTION("""COMPUTED_VALUE"""),"")</f>
        <v/>
      </c>
      <c r="F1904" s="44" t="str">
        <f>IFERROR(__xludf.DUMMYFUNCTION("""COMPUTED_VALUE"""),"")</f>
        <v/>
      </c>
      <c r="G1904" s="44" t="str">
        <f>IFERROR(__xludf.DUMMYFUNCTION("""COMPUTED_VALUE"""),"Traslados con destino asignado")</f>
        <v>Traslados con destino asignado</v>
      </c>
      <c r="H1904" s="44" t="str">
        <f>IFERROR(__xludf.DUMMYFUNCTION("""COMPUTED_VALUE"""),"Hospital Miguel Perez Carreño")</f>
        <v>Hospital Miguel Perez Carreño</v>
      </c>
      <c r="I1904" s="44"/>
      <c r="J1904" s="44" t="str">
        <f>IFERROR(__xludf.DUMMYFUNCTION("""COMPUTED_VALUE"""),"26/6/26")</f>
        <v>26/6/26</v>
      </c>
      <c r="K1904" s="42" t="str">
        <f>IFERROR(__xludf.DUMMYFUNCTION("""COMPUTED_VALUE"""),"Hospital Pérez Carreño")</f>
        <v>Hospital Pérez Carreño</v>
      </c>
    </row>
    <row r="1905">
      <c r="A1905" s="44">
        <v>1904.0</v>
      </c>
      <c r="B1905" s="44" t="str">
        <f>IFERROR(__xludf.DUMMYFUNCTION("""COMPUTED_VALUE"""),"Centro de Acopio Caraballeda")</f>
        <v>Centro de Acopio Caraballeda</v>
      </c>
      <c r="C1905" s="45" t="str">
        <f>IFERROR(__xludf.DUMMYFUNCTION("""COMPUTED_VALUE"""),"FLORES NAIROBI")</f>
        <v>FLORES NAIROBI</v>
      </c>
      <c r="D1905" s="44" t="str">
        <f>IFERROR(__xludf.DUMMYFUNCTION("""COMPUTED_VALUE""")," ")</f>
        <v> </v>
      </c>
      <c r="E1905" s="44" t="str">
        <f>IFERROR(__xludf.DUMMYFUNCTION("""COMPUTED_VALUE"""),"")</f>
        <v/>
      </c>
      <c r="F1905" s="44" t="str">
        <f>IFERROR(__xludf.DUMMYFUNCTION("""COMPUTED_VALUE"""),"")</f>
        <v/>
      </c>
      <c r="G1905" s="44" t="str">
        <f>IFERROR(__xludf.DUMMYFUNCTION("""COMPUTED_VALUE""")," ")</f>
        <v> </v>
      </c>
      <c r="H1905" s="44" t="str">
        <f>IFERROR(__xludf.DUMMYFUNCTION("""COMPUTED_VALUE""")," ")</f>
        <v> </v>
      </c>
      <c r="I1905" s="44" t="str">
        <f>IFERROR(__xludf.DUMMYFUNCTION("""COMPUTED_VALUE"""),"Internado")</f>
        <v>Internado</v>
      </c>
      <c r="J1905" s="44" t="str">
        <f>IFERROR(__xludf.DUMMYFUNCTION("""COMPUTED_VALUE"""),"")</f>
        <v/>
      </c>
      <c r="K1905" s="42" t="str">
        <f>IFERROR(__xludf.DUMMYFUNCTION("""COMPUTED_VALUE"""),"🔍 BUSCAR PACIENTES")</f>
        <v>🔍 BUSCAR PACIENTES</v>
      </c>
    </row>
    <row r="1906">
      <c r="A1906" s="44">
        <v>1905.0</v>
      </c>
      <c r="B1906" s="44" t="str">
        <f>IFERROR(__xludf.DUMMYFUNCTION("""COMPUTED_VALUE"""),"Hospital Pérez Carreño")</f>
        <v>Hospital Pérez Carreño</v>
      </c>
      <c r="C1906" s="45" t="str">
        <f>IFERROR(__xludf.DUMMYFUNCTION("""COMPUTED_VALUE"""),"Flores Yarclano")</f>
        <v>Flores Yarclano</v>
      </c>
      <c r="D1906" s="44" t="str">
        <f>IFERROR(__xludf.DUMMYFUNCTION("""COMPUTED_VALUE"""),"10 años")</f>
        <v>10 años</v>
      </c>
      <c r="E1906" s="44" t="str">
        <f>IFERROR(__xludf.DUMMYFUNCTION("""COMPUTED_VALUE"""),"")</f>
        <v/>
      </c>
      <c r="F1906" s="44" t="str">
        <f>IFERROR(__xludf.DUMMYFUNCTION("""COMPUTED_VALUE"""),"")</f>
        <v/>
      </c>
      <c r="G1906" s="44" t="str">
        <f>IFERROR(__xludf.DUMMYFUNCTION("""COMPUTED_VALUE"""),"Pediatria")</f>
        <v>Pediatria</v>
      </c>
      <c r="H1906" s="44" t="str">
        <f>IFERROR(__xludf.DUMMYFUNCTION("""COMPUTED_VALUE"""),"Hospital Miguel Perez Carreño")</f>
        <v>Hospital Miguel Perez Carreño</v>
      </c>
      <c r="I1906" s="44"/>
      <c r="J1906" s="44" t="str">
        <f>IFERROR(__xludf.DUMMYFUNCTION("""COMPUTED_VALUE"""),"26/6/26")</f>
        <v>26/6/26</v>
      </c>
      <c r="K1906" s="42" t="str">
        <f>IFERROR(__xludf.DUMMYFUNCTION("""COMPUTED_VALUE"""),"Hospital Pérez Carreño")</f>
        <v>Hospital Pérez Carreño</v>
      </c>
    </row>
    <row r="1907">
      <c r="A1907" s="44">
        <v>1906.0</v>
      </c>
      <c r="B1907" s="44" t="str">
        <f>IFERROR(__xludf.DUMMYFUNCTION("""COMPUTED_VALUE"""),"Hospital Pérez Carreño")</f>
        <v>Hospital Pérez Carreño</v>
      </c>
      <c r="C1907" s="45" t="str">
        <f>IFERROR(__xludf.DUMMYFUNCTION("""COMPUTED_VALUE"""),"FLORES YORDANO")</f>
        <v>FLORES YORDANO</v>
      </c>
      <c r="D1907" s="44">
        <f>IFERROR(__xludf.DUMMYFUNCTION("""COMPUTED_VALUE"""),10.0)</f>
        <v>10</v>
      </c>
      <c r="E1907" s="44" t="str">
        <f>IFERROR(__xludf.DUMMYFUNCTION("""COMPUTED_VALUE"""),"")</f>
        <v/>
      </c>
      <c r="F1907" s="44" t="str">
        <f>IFERROR(__xludf.DUMMYFUNCTION("""COMPUTED_VALUE"""),"")</f>
        <v/>
      </c>
      <c r="G1907" s="44" t="str">
        <f>IFERROR(__xludf.DUMMYFUNCTION("""COMPUTED_VALUE""")," ")</f>
        <v> </v>
      </c>
      <c r="H1907" s="44" t="str">
        <f>IFERROR(__xludf.DUMMYFUNCTION("""COMPUTED_VALUE""")," ")</f>
        <v> </v>
      </c>
      <c r="I1907" s="44" t="str">
        <f>IFERROR(__xludf.DUMMYFUNCTION("""COMPUTED_VALUE"""),"Emerg. Pediátrica – La Guaira")</f>
        <v>Emerg. Pediátrica – La Guaira</v>
      </c>
      <c r="J1907" s="44" t="str">
        <f>IFERROR(__xludf.DUMMYFUNCTION("""COMPUTED_VALUE"""),"25/06/2026")</f>
        <v>25/06/2026</v>
      </c>
      <c r="K1907" s="42" t="str">
        <f>IFERROR(__xludf.DUMMYFUNCTION("""COMPUTED_VALUE"""),"Hospital Pérez Carreño")</f>
        <v>Hospital Pérez Carreño</v>
      </c>
    </row>
    <row r="1908">
      <c r="A1908" s="44">
        <v>1907.0</v>
      </c>
      <c r="B1908" s="44" t="str">
        <f>IFERROR(__xludf.DUMMYFUNCTION("""COMPUTED_VALUE"""),"Seguro Social La Guaira")</f>
        <v>Seguro Social La Guaira</v>
      </c>
      <c r="C1908" s="45" t="str">
        <f>IFERROR(__xludf.DUMMYFUNCTION("""COMPUTED_VALUE"""),"FLORREDE OSCATA")</f>
        <v>FLORREDE OSCATA</v>
      </c>
      <c r="D1908" s="44">
        <f>IFERROR(__xludf.DUMMYFUNCTION("""COMPUTED_VALUE"""),61.0)</f>
        <v>61</v>
      </c>
      <c r="E1908" s="44" t="str">
        <f>IFERROR(__xludf.DUMMYFUNCTION("""COMPUTED_VALUE"""),"")</f>
        <v/>
      </c>
      <c r="F1908" s="44" t="str">
        <f>IFERROR(__xludf.DUMMYFUNCTION("""COMPUTED_VALUE"""),"")</f>
        <v/>
      </c>
      <c r="G1908" s="44" t="str">
        <f>IFERROR(__xludf.DUMMYFUNCTION("""COMPUTED_VALUE""")," ")</f>
        <v> </v>
      </c>
      <c r="H1908" s="44" t="str">
        <f>IFERROR(__xludf.DUMMYFUNCTION("""COMPUTED_VALUE"""),"Corales")</f>
        <v>Corales</v>
      </c>
      <c r="I1908" s="44" t="str">
        <f>IFERROR(__xludf.DUMMYFUNCTION("""COMPUTED_VALUE""")," ")</f>
        <v> </v>
      </c>
      <c r="J1908" s="44" t="str">
        <f>IFERROR(__xludf.DUMMYFUNCTION("""COMPUTED_VALUE"""),"")</f>
        <v/>
      </c>
      <c r="K1908" s="42" t="str">
        <f>IFERROR(__xludf.DUMMYFUNCTION("""COMPUTED_VALUE"""),"Seguro Social La Guaira")</f>
        <v>Seguro Social La Guaira</v>
      </c>
    </row>
    <row r="1909">
      <c r="A1909" s="44">
        <v>1908.0</v>
      </c>
      <c r="B1909" s="44" t="str">
        <f>IFERROR(__xludf.DUMMYFUNCTION("""COMPUTED_VALUE"""),"Hospital Domingo Luciani")</f>
        <v>Hospital Domingo Luciani</v>
      </c>
      <c r="C1909" s="45" t="str">
        <f>IFERROR(__xludf.DUMMYFUNCTION("""COMPUTED_VALUE"""),"Fraim Riuos Loper")</f>
        <v>Fraim Riuos Loper</v>
      </c>
      <c r="D1909" s="44">
        <f>IFERROR(__xludf.DUMMYFUNCTION("""COMPUTED_VALUE"""),0.0)</f>
        <v>0</v>
      </c>
      <c r="E1909" s="44" t="str">
        <f>IFERROR(__xludf.DUMMYFUNCTION("""COMPUTED_VALUE"""),"")</f>
        <v/>
      </c>
      <c r="F1909" s="44" t="str">
        <f>IFERROR(__xludf.DUMMYFUNCTION("""COMPUTED_VALUE"""),"")</f>
        <v/>
      </c>
      <c r="G1909" s="44"/>
      <c r="H1909" s="44"/>
      <c r="I1909" s="44"/>
      <c r="J1909" s="44" t="str">
        <f>IFERROR(__xludf.DUMMYFUNCTION("""COMPUTED_VALUE"""),"")</f>
        <v/>
      </c>
      <c r="K1909" s="42" t="str">
        <f>IFERROR(__xludf.DUMMYFUNCTION("""COMPUTED_VALUE"""),"Hospital Domingo Luciani")</f>
        <v>Hospital Domingo Luciani</v>
      </c>
    </row>
    <row r="1910">
      <c r="A1910" s="44">
        <v>1909.0</v>
      </c>
      <c r="B1910" s="44" t="str">
        <f>IFERROR(__xludf.DUMMYFUNCTION("""COMPUTED_VALUE"""),"Hospital Domingo Luciani")</f>
        <v>Hospital Domingo Luciani</v>
      </c>
      <c r="C1910" s="45" t="str">
        <f>IFERROR(__xludf.DUMMYFUNCTION("""COMPUTED_VALUE"""),"FRAK ARIAS")</f>
        <v>FRAK ARIAS</v>
      </c>
      <c r="D1910" s="44">
        <f>IFERROR(__xludf.DUMMYFUNCTION("""COMPUTED_VALUE"""),18.0)</f>
        <v>18</v>
      </c>
      <c r="E1910" s="44" t="str">
        <f>IFERROR(__xludf.DUMMYFUNCTION("""COMPUTED_VALUE"""),"")</f>
        <v/>
      </c>
      <c r="F1910" s="44" t="str">
        <f>IFERROR(__xludf.DUMMYFUNCTION("""COMPUTED_VALUE"""),"")</f>
        <v/>
      </c>
      <c r="G1910" s="44" t="str">
        <f>IFERROR(__xludf.DUMMYFUNCTION("""COMPUTED_VALUE""")," ")</f>
        <v> </v>
      </c>
      <c r="H1910" s="44" t="str">
        <f>IFERROR(__xludf.DUMMYFUNCTION("""COMPUTED_VALUE""")," ")</f>
        <v> </v>
      </c>
      <c r="I1910" s="44" t="str">
        <f>IFERROR(__xludf.DUMMYFUNCTION("""COMPUTED_VALUE"""),"Politrauma Emerg. Vieja")</f>
        <v>Politrauma Emerg. Vieja</v>
      </c>
      <c r="J1910" s="44" t="str">
        <f>IFERROR(__xludf.DUMMYFUNCTION("""COMPUTED_VALUE"""),"")</f>
        <v/>
      </c>
      <c r="K1910" s="42" t="str">
        <f>IFERROR(__xludf.DUMMYFUNCTION("""COMPUTED_VALUE"""),"🔍 BUSCAR PACIENTES")</f>
        <v>🔍 BUSCAR PACIENTES</v>
      </c>
    </row>
    <row r="1911">
      <c r="A1911" s="44">
        <v>1910.0</v>
      </c>
      <c r="B1911" s="44" t="str">
        <f>IFERROR(__xludf.DUMMYFUNCTION("""COMPUTED_VALUE"""),"Campo de Golf Playa los Cocos")</f>
        <v>Campo de Golf Playa los Cocos</v>
      </c>
      <c r="C1911" s="45" t="str">
        <f>IFERROR(__xludf.DUMMYFUNCTION("""COMPUTED_VALUE"""),"Francisco Avilan")</f>
        <v>Francisco Avilan</v>
      </c>
      <c r="D1911" s="44" t="str">
        <f>IFERROR(__xludf.DUMMYFUNCTION("""COMPUTED_VALUE"""),"")</f>
        <v/>
      </c>
      <c r="E1911" s="44" t="str">
        <f>IFERROR(__xludf.DUMMYFUNCTION("""COMPUTED_VALUE"""),"")</f>
        <v/>
      </c>
      <c r="F1911" s="44" t="str">
        <f>IFERROR(__xludf.DUMMYFUNCTION("""COMPUTED_VALUE"""),"")</f>
        <v/>
      </c>
      <c r="G1911" s="44" t="str">
        <f>IFERROR(__xludf.DUMMYFUNCTION("""COMPUTED_VALUE"""),"")</f>
        <v/>
      </c>
      <c r="H1911" s="44" t="str">
        <f>IFERROR(__xludf.DUMMYFUNCTION("""COMPUTED_VALUE"""),"")</f>
        <v/>
      </c>
      <c r="I1911" s="44"/>
      <c r="J1911" s="44" t="str">
        <f>IFERROR(__xludf.DUMMYFUNCTION("""COMPUTED_VALUE"""),"")</f>
        <v/>
      </c>
      <c r="K1911" s="42" t="str">
        <f>IFERROR(__xludf.DUMMYFUNCTION("""COMPUTED_VALUE"""),"Campo de Golf Playa los Cocos")</f>
        <v>Campo de Golf Playa los Cocos</v>
      </c>
    </row>
    <row r="1912">
      <c r="A1912" s="44">
        <v>1911.0</v>
      </c>
      <c r="B1912" s="44" t="str">
        <f>IFERROR(__xludf.DUMMYFUNCTION("""COMPUTED_VALUE"""),"Hospital Vargas de Caracas")</f>
        <v>Hospital Vargas de Caracas</v>
      </c>
      <c r="C1912" s="45" t="str">
        <f>IFERROR(__xludf.DUMMYFUNCTION("""COMPUTED_VALUE"""),"FRANCISCO CORONEL")</f>
        <v>FRANCISCO CORONEL</v>
      </c>
      <c r="D1912" s="44" t="str">
        <f>IFERROR(__xludf.DUMMYFUNCTION("""COMPUTED_VALUE""")," ")</f>
        <v> </v>
      </c>
      <c r="E1912" s="44" t="str">
        <f>IFERROR(__xludf.DUMMYFUNCTION("""COMPUTED_VALUE"""),"")</f>
        <v/>
      </c>
      <c r="F1912" s="44" t="str">
        <f>IFERROR(__xludf.DUMMYFUNCTION("""COMPUTED_VALUE""")," ")</f>
        <v> </v>
      </c>
      <c r="G1912" s="44" t="str">
        <f>IFERROR(__xludf.DUMMYFUNCTION("""COMPUTED_VALUE"""),"")</f>
        <v/>
      </c>
      <c r="H1912" s="44" t="str">
        <f>IFERROR(__xludf.DUMMYFUNCTION("""COMPUTED_VALUE"""),"Sala M 30")</f>
        <v>Sala M 30</v>
      </c>
      <c r="I1912" s="44" t="str">
        <f>IFERROR(__xludf.DUMMYFUNCTION("""COMPUTED_VALUE""")," ")</f>
        <v> </v>
      </c>
      <c r="J1912" s="44" t="str">
        <f>IFERROR(__xludf.DUMMYFUNCTION("""COMPUTED_VALUE"""),"")</f>
        <v/>
      </c>
      <c r="K1912" s="42" t="str">
        <f>IFERROR(__xludf.DUMMYFUNCTION("""COMPUTED_VALUE"""),"Hospital Vargas de Caracas")</f>
        <v>Hospital Vargas de Caracas</v>
      </c>
    </row>
    <row r="1913">
      <c r="A1913" s="44">
        <v>1912.0</v>
      </c>
      <c r="B1913" s="44" t="str">
        <f>IFERROR(__xludf.DUMMYFUNCTION("""COMPUTED_VALUE"""),"La Guaira Sin Hospital")</f>
        <v>La Guaira Sin Hospital</v>
      </c>
      <c r="C1913" s="45" t="str">
        <f>IFERROR(__xludf.DUMMYFUNCTION("""COMPUTED_VALUE"""),"Francisco Jose Orozco Torres")</f>
        <v>Francisco Jose Orozco Torres</v>
      </c>
      <c r="D1913" s="44" t="str">
        <f>IFERROR(__xludf.DUMMYFUNCTION("""COMPUTED_VALUE"""),"")</f>
        <v/>
      </c>
      <c r="E1913" s="44" t="str">
        <f>IFERROR(__xludf.DUMMYFUNCTION("""COMPUTED_VALUE"""),"")</f>
        <v/>
      </c>
      <c r="F1913" s="44" t="str">
        <f>IFERROR(__xludf.DUMMYFUNCTION("""COMPUTED_VALUE"""),"")</f>
        <v/>
      </c>
      <c r="G1913" s="44" t="str">
        <f>IFERROR(__xludf.DUMMYFUNCTION("""COMPUTED_VALUE"""),"")</f>
        <v/>
      </c>
      <c r="H1913" s="44" t="str">
        <f>IFERROR(__xludf.DUMMYFUNCTION("""COMPUTED_VALUE"""),"La Guaira")</f>
        <v>La Guaira</v>
      </c>
      <c r="I1913" s="44" t="str">
        <f>IFERROR(__xludf.DUMMYFUNCTION("""COMPUTED_VALUE"""),"Listas con ubicación")</f>
        <v>Listas con ubicación</v>
      </c>
      <c r="J1913" s="44" t="str">
        <f>IFERROR(__xludf.DUMMYFUNCTION("""COMPUTED_VALUE"""),"")</f>
        <v/>
      </c>
      <c r="K1913" s="42" t="str">
        <f>IFERROR(__xludf.DUMMYFUNCTION("""COMPUTED_VALUE"""),"La Guaira Sin Hospital")</f>
        <v>La Guaira Sin Hospital</v>
      </c>
    </row>
    <row r="1914">
      <c r="A1914" s="44">
        <v>1913.0</v>
      </c>
      <c r="B1914" s="44" t="str">
        <f>IFERROR(__xludf.DUMMYFUNCTION("""COMPUTED_VALUE"""),"Campo de Golf Playa los Cocos")</f>
        <v>Campo de Golf Playa los Cocos</v>
      </c>
      <c r="C1914" s="45" t="str">
        <f>IFERROR(__xludf.DUMMYFUNCTION("""COMPUTED_VALUE"""),"Francisco Salinas")</f>
        <v>Francisco Salinas</v>
      </c>
      <c r="D1914" s="44" t="str">
        <f>IFERROR(__xludf.DUMMYFUNCTION("""COMPUTED_VALUE"""),"")</f>
        <v/>
      </c>
      <c r="E1914" s="44" t="str">
        <f>IFERROR(__xludf.DUMMYFUNCTION("""COMPUTED_VALUE"""),"")</f>
        <v/>
      </c>
      <c r="F1914" s="44" t="str">
        <f>IFERROR(__xludf.DUMMYFUNCTION("""COMPUTED_VALUE"""),"")</f>
        <v/>
      </c>
      <c r="G1914" s="44" t="str">
        <f>IFERROR(__xludf.DUMMYFUNCTION("""COMPUTED_VALUE"""),"")</f>
        <v/>
      </c>
      <c r="H1914" s="44" t="str">
        <f>IFERROR(__xludf.DUMMYFUNCTION("""COMPUTED_VALUE"""),"")</f>
        <v/>
      </c>
      <c r="I1914" s="44"/>
      <c r="J1914" s="44" t="str">
        <f>IFERROR(__xludf.DUMMYFUNCTION("""COMPUTED_VALUE"""),"")</f>
        <v/>
      </c>
      <c r="K1914" s="42" t="str">
        <f>IFERROR(__xludf.DUMMYFUNCTION("""COMPUTED_VALUE"""),"Campo de Golf Playa los Cocos")</f>
        <v>Campo de Golf Playa los Cocos</v>
      </c>
    </row>
    <row r="1915">
      <c r="A1915" s="44">
        <v>1914.0</v>
      </c>
      <c r="B1915" s="44" t="str">
        <f>IFERROR(__xludf.DUMMYFUNCTION("""COMPUTED_VALUE"""),"Cruz Roja")</f>
        <v>Cruz Roja</v>
      </c>
      <c r="C1915" s="45" t="str">
        <f>IFERROR(__xludf.DUMMYFUNCTION("""COMPUTED_VALUE"""),"FRANCO ANTONIO")</f>
        <v>FRANCO ANTONIO</v>
      </c>
      <c r="D1915" s="44">
        <f>IFERROR(__xludf.DUMMYFUNCTION("""COMPUTED_VALUE"""),63.0)</f>
        <v>63</v>
      </c>
      <c r="E1915" s="44" t="str">
        <f>IFERROR(__xludf.DUMMYFUNCTION("""COMPUTED_VALUE"""),"")</f>
        <v/>
      </c>
      <c r="F1915" s="44" t="str">
        <f>IFERROR(__xludf.DUMMYFUNCTION("""COMPUTED_VALUE"""),"")</f>
        <v/>
      </c>
      <c r="G1915" s="44" t="str">
        <f>IFERROR(__xludf.DUMMYFUNCTION("""COMPUTED_VALUE""")," ")</f>
        <v> </v>
      </c>
      <c r="H1915" s="44" t="str">
        <f>IFERROR(__xludf.DUMMYFUNCTION("""COMPUTED_VALUE"""),"Av Fuerzas Armadas")</f>
        <v>Av Fuerzas Armadas</v>
      </c>
      <c r="I1915" s="44" t="str">
        <f>IFERROR(__xludf.DUMMYFUNCTION("""COMPUTED_VALUE""")," ")</f>
        <v> </v>
      </c>
      <c r="J1915" s="44" t="str">
        <f>IFERROR(__xludf.DUMMYFUNCTION("""COMPUTED_VALUE"""),"")</f>
        <v/>
      </c>
      <c r="K1915" s="42" t="str">
        <f>IFERROR(__xludf.DUMMYFUNCTION("""COMPUTED_VALUE"""),"Cruz Roja")</f>
        <v>Cruz Roja</v>
      </c>
    </row>
    <row r="1916">
      <c r="A1916" s="44">
        <v>1915.0</v>
      </c>
      <c r="B1916" s="44" t="str">
        <f>IFERROR(__xludf.DUMMYFUNCTION("""COMPUTED_VALUE"""),"Periférico de Catia")</f>
        <v>Periférico de Catia</v>
      </c>
      <c r="C1916" s="45" t="str">
        <f>IFERROR(__xludf.DUMMYFUNCTION("""COMPUTED_VALUE"""),"Frank Anias")</f>
        <v>Frank Anias</v>
      </c>
      <c r="D1916" s="44"/>
      <c r="E1916" s="44" t="str">
        <f>IFERROR(__xludf.DUMMYFUNCTION("""COMPUTED_VALUE"""),"")</f>
        <v/>
      </c>
      <c r="F1916" s="44" t="str">
        <f>IFERROR(__xludf.DUMMYFUNCTION("""COMPUTED_VALUE"""),"")</f>
        <v/>
      </c>
      <c r="G1916" s="44"/>
      <c r="H1916" s="44"/>
      <c r="I1916" s="44" t="str">
        <f>IFERROR(__xludf.DUMMYFUNCTION("""COMPUTED_VALUE"""),"Nota adicional 8:30pm (mismo grupo Politrauma) — anotado como 'CG#' (sin edad)")</f>
        <v>Nota adicional 8:30pm (mismo grupo Politrauma) — anotado como 'CG#' (sin edad)</v>
      </c>
      <c r="J1916" s="44" t="str">
        <f>IFERROR(__xludf.DUMMYFUNCTION("""COMPUTED_VALUE"""),"")</f>
        <v/>
      </c>
      <c r="K1916" s="42" t="str">
        <f>IFERROR(__xludf.DUMMYFUNCTION("""COMPUTED_VALUE"""),"Periférico de Catia")</f>
        <v>Periférico de Catia</v>
      </c>
    </row>
    <row r="1917">
      <c r="A1917" s="44">
        <v>1916.0</v>
      </c>
      <c r="B1917" s="44" t="str">
        <f>IFERROR(__xludf.DUMMYFUNCTION("""COMPUTED_VALUE"""),"Hospital Domingo Luciani")</f>
        <v>Hospital Domingo Luciani</v>
      </c>
      <c r="C1917" s="45" t="str">
        <f>IFERROR(__xludf.DUMMYFUNCTION("""COMPUTED_VALUE"""),"Frankenl Reyes")</f>
        <v>Frankenl Reyes</v>
      </c>
      <c r="D1917" s="44">
        <f>IFERROR(__xludf.DUMMYFUNCTION("""COMPUTED_VALUE"""),53.0)</f>
        <v>53</v>
      </c>
      <c r="E1917" s="44" t="str">
        <f>IFERROR(__xludf.DUMMYFUNCTION("""COMPUTED_VALUE"""),"")</f>
        <v/>
      </c>
      <c r="F1917" s="44" t="str">
        <f>IFERROR(__xludf.DUMMYFUNCTION("""COMPUTED_VALUE"""),"")</f>
        <v/>
      </c>
      <c r="G1917" s="44"/>
      <c r="H1917" s="44"/>
      <c r="I1917" s="44"/>
      <c r="J1917" s="44" t="str">
        <f>IFERROR(__xludf.DUMMYFUNCTION("""COMPUTED_VALUE"""),"")</f>
        <v/>
      </c>
      <c r="K1917" s="42" t="str">
        <f>IFERROR(__xludf.DUMMYFUNCTION("""COMPUTED_VALUE"""),"Hospital Domingo Luciani")</f>
        <v>Hospital Domingo Luciani</v>
      </c>
    </row>
    <row r="1918">
      <c r="A1918" s="44">
        <v>1917.0</v>
      </c>
      <c r="B1918" s="44" t="str">
        <f>IFERROR(__xludf.DUMMYFUNCTION("""COMPUTED_VALUE"""),"Hospital Domingo Luciani")</f>
        <v>Hospital Domingo Luciani</v>
      </c>
      <c r="C1918" s="45" t="str">
        <f>IFERROR(__xludf.DUMMYFUNCTION("""COMPUTED_VALUE"""),"FRANKERIL RIVAS")</f>
        <v>FRANKERIL RIVAS</v>
      </c>
      <c r="D1918" s="44" t="str">
        <f>IFERROR(__xludf.DUMMYFUNCTION("""COMPUTED_VALUE""")," ")</f>
        <v> </v>
      </c>
      <c r="E1918" s="44" t="str">
        <f>IFERROR(__xludf.DUMMYFUNCTION("""COMPUTED_VALUE"""),"")</f>
        <v/>
      </c>
      <c r="F1918" s="44" t="str">
        <f>IFERROR(__xludf.DUMMYFUNCTION("""COMPUTED_VALUE"""),"")</f>
        <v/>
      </c>
      <c r="G1918" s="44" t="str">
        <f>IFERROR(__xludf.DUMMYFUNCTION("""COMPUTED_VALUE""")," ")</f>
        <v> </v>
      </c>
      <c r="H1918" s="44" t="str">
        <f>IFERROR(__xludf.DUMMYFUNCTION("""COMPUTED_VALUE""")," ")</f>
        <v> </v>
      </c>
      <c r="I1918" s="44" t="str">
        <f>IFERROR(__xludf.DUMMYFUNCTION("""COMPUTED_VALUE""")," ")</f>
        <v> </v>
      </c>
      <c r="J1918" s="44" t="str">
        <f>IFERROR(__xludf.DUMMYFUNCTION("""COMPUTED_VALUE"""),"")</f>
        <v/>
      </c>
      <c r="K1918" s="42" t="str">
        <f>IFERROR(__xludf.DUMMYFUNCTION("""COMPUTED_VALUE"""),"🔍 BUSCAR PACIENTES")</f>
        <v>🔍 BUSCAR PACIENTES</v>
      </c>
    </row>
    <row r="1919">
      <c r="A1919" s="44">
        <v>1918.0</v>
      </c>
      <c r="B1919" s="44" t="str">
        <f>IFERROR(__xludf.DUMMYFUNCTION("""COMPUTED_VALUE"""),"Campo de Golf Playa los Cocos")</f>
        <v>Campo de Golf Playa los Cocos</v>
      </c>
      <c r="C1919" s="45" t="str">
        <f>IFERROR(__xludf.DUMMYFUNCTION("""COMPUTED_VALUE"""),"Frankie Milano")</f>
        <v>Frankie Milano</v>
      </c>
      <c r="D1919" s="44" t="str">
        <f>IFERROR(__xludf.DUMMYFUNCTION("""COMPUTED_VALUE"""),"")</f>
        <v/>
      </c>
      <c r="E1919" s="44" t="str">
        <f>IFERROR(__xludf.DUMMYFUNCTION("""COMPUTED_VALUE"""),"")</f>
        <v/>
      </c>
      <c r="F1919" s="44" t="str">
        <f>IFERROR(__xludf.DUMMYFUNCTION("""COMPUTED_VALUE"""),"")</f>
        <v/>
      </c>
      <c r="G1919" s="44" t="str">
        <f>IFERROR(__xludf.DUMMYFUNCTION("""COMPUTED_VALUE"""),"")</f>
        <v/>
      </c>
      <c r="H1919" s="44" t="str">
        <f>IFERROR(__xludf.DUMMYFUNCTION("""COMPUTED_VALUE"""),"")</f>
        <v/>
      </c>
      <c r="I1919" s="44"/>
      <c r="J1919" s="44" t="str">
        <f>IFERROR(__xludf.DUMMYFUNCTION("""COMPUTED_VALUE"""),"")</f>
        <v/>
      </c>
      <c r="K1919" s="42" t="str">
        <f>IFERROR(__xludf.DUMMYFUNCTION("""COMPUTED_VALUE"""),"Campo de Golf Playa los Cocos")</f>
        <v>Campo de Golf Playa los Cocos</v>
      </c>
    </row>
    <row r="1920">
      <c r="A1920" s="44">
        <v>1919.0</v>
      </c>
      <c r="B1920" s="44" t="str">
        <f>IFERROR(__xludf.DUMMYFUNCTION("""COMPUTED_VALUE"""),"Periférico de Catia")</f>
        <v>Periférico de Catia</v>
      </c>
      <c r="C1920" s="45" t="str">
        <f>IFERROR(__xludf.DUMMYFUNCTION("""COMPUTED_VALUE"""),"FRANKLIN AFFONOS")</f>
        <v>FRANKLIN AFFONOS</v>
      </c>
      <c r="D1920" s="44">
        <f>IFERROR(__xludf.DUMMYFUNCTION("""COMPUTED_VALUE"""),6.0)</f>
        <v>6</v>
      </c>
      <c r="E1920" s="44" t="str">
        <f>IFERROR(__xludf.DUMMYFUNCTION("""COMPUTED_VALUE"""),"")</f>
        <v/>
      </c>
      <c r="F1920" s="44" t="str">
        <f>IFERROR(__xludf.DUMMYFUNCTION("""COMPUTED_VALUE"""),"")</f>
        <v/>
      </c>
      <c r="G1920" s="44" t="str">
        <f>IFERROR(__xludf.DUMMYFUNCTION("""COMPUTED_VALUE""")," ")</f>
        <v> </v>
      </c>
      <c r="H1920" s="44" t="str">
        <f>IFERROR(__xludf.DUMMYFUNCTION("""COMPUTED_VALUE""")," ")</f>
        <v> </v>
      </c>
      <c r="I1920" s="44" t="str">
        <f>IFERROR(__xludf.DUMMYFUNCTION("""COMPUTED_VALUE"""),"Sola")</f>
        <v>Sola</v>
      </c>
      <c r="J1920" s="44" t="str">
        <f>IFERROR(__xludf.DUMMYFUNCTION("""COMPUTED_VALUE"""),"")</f>
        <v/>
      </c>
      <c r="K1920" s="42" t="str">
        <f>IFERROR(__xludf.DUMMYFUNCTION("""COMPUTED_VALUE"""),"Periférico de Catia")</f>
        <v>Periférico de Catia</v>
      </c>
    </row>
    <row r="1921">
      <c r="A1921" s="44">
        <v>1920.0</v>
      </c>
      <c r="B1921" s="44" t="str">
        <f>IFERROR(__xludf.DUMMYFUNCTION("""COMPUTED_VALUE"""),"Periférico de Catia")</f>
        <v>Periférico de Catia</v>
      </c>
      <c r="C1921" s="45" t="str">
        <f>IFERROR(__xludf.DUMMYFUNCTION("""COMPUTED_VALUE"""),"FRANKLIN ALFONSO")</f>
        <v>FRANKLIN ALFONSO</v>
      </c>
      <c r="D1921" s="44">
        <f>IFERROR(__xludf.DUMMYFUNCTION("""COMPUTED_VALUE"""),30.0)</f>
        <v>30</v>
      </c>
      <c r="E1921" s="44" t="str">
        <f>IFERROR(__xludf.DUMMYFUNCTION("""COMPUTED_VALUE"""),"")</f>
        <v/>
      </c>
      <c r="F1921" s="44" t="str">
        <f>IFERROR(__xludf.DUMMYFUNCTION("""COMPUTED_VALUE"""),"")</f>
        <v/>
      </c>
      <c r="G1921" s="44" t="str">
        <f>IFERROR(__xludf.DUMMYFUNCTION("""COMPUTED_VALUE""")," ")</f>
        <v> </v>
      </c>
      <c r="H1921" s="44" t="str">
        <f>IFERROR(__xludf.DUMMYFUNCTION("""COMPUTED_VALUE""")," ")</f>
        <v> </v>
      </c>
      <c r="I1921" s="44" t="str">
        <f>IFERROR(__xludf.DUMMYFUNCTION("""COMPUTED_VALUE"""),"Amiga")</f>
        <v>Amiga</v>
      </c>
      <c r="J1921" s="44" t="str">
        <f>IFERROR(__xludf.DUMMYFUNCTION("""COMPUTED_VALUE"""),"")</f>
        <v/>
      </c>
      <c r="K1921" s="42" t="str">
        <f>IFERROR(__xludf.DUMMYFUNCTION("""COMPUTED_VALUE"""),"Periférico de Catia")</f>
        <v>Periférico de Catia</v>
      </c>
    </row>
    <row r="1922">
      <c r="A1922" s="44">
        <v>1921.0</v>
      </c>
      <c r="B1922" s="44" t="str">
        <f>IFERROR(__xludf.DUMMYFUNCTION("""COMPUTED_VALUE"""),"Periférico de Catia")</f>
        <v>Periférico de Catia</v>
      </c>
      <c r="C1922" s="45" t="str">
        <f>IFERROR(__xludf.DUMMYFUNCTION("""COMPUTED_VALUE"""),"FRANKLIN ALFONSO / FRANKLIN AFFONOS")</f>
        <v>FRANKLIN ALFONSO / FRANKLIN AFFONOS</v>
      </c>
      <c r="D1922" s="44">
        <f>IFERROR(__xludf.DUMMYFUNCTION("""COMPUTED_VALUE"""),65.0)</f>
        <v>65</v>
      </c>
      <c r="E1922" s="44" t="str">
        <f>IFERROR(__xludf.DUMMYFUNCTION("""COMPUTED_VALUE"""),"")</f>
        <v/>
      </c>
      <c r="F1922" s="44" t="str">
        <f>IFERROR(__xludf.DUMMYFUNCTION("""COMPUTED_VALUE"""),"")</f>
        <v/>
      </c>
      <c r="G1922" s="44" t="str">
        <f>IFERROR(__xludf.DUMMYFUNCTION("""COMPUTED_VALUE""")," ")</f>
        <v> </v>
      </c>
      <c r="H1922" s="44" t="str">
        <f>IFERROR(__xludf.DUMMYFUNCTION("""COMPUTED_VALUE"""),"Mosquito de Morolina")</f>
        <v>Mosquito de Morolina</v>
      </c>
      <c r="I1922" s="44" t="str">
        <f>IFERROR(__xludf.DUMMYFUNCTION("""COMPUTED_VALUE""")," ")</f>
        <v> </v>
      </c>
      <c r="J1922" s="44" t="str">
        <f>IFERROR(__xludf.DUMMYFUNCTION("""COMPUTED_VALUE"""),"")</f>
        <v/>
      </c>
      <c r="K1922" s="42" t="str">
        <f>IFERROR(__xludf.DUMMYFUNCTION("""COMPUTED_VALUE"""),"Periférico de Catia")</f>
        <v>Periférico de Catia</v>
      </c>
    </row>
    <row r="1923">
      <c r="A1923" s="44">
        <v>1922.0</v>
      </c>
      <c r="B1923" s="44" t="str">
        <f>IFERROR(__xludf.DUMMYFUNCTION("""COMPUTED_VALUE"""),"Hospital Pérez Carreño")</f>
        <v>Hospital Pérez Carreño</v>
      </c>
      <c r="C1923" s="45" t="str">
        <f>IFERROR(__xludf.DUMMYFUNCTION("""COMPUTED_VALUE"""),"Franleydi Lopez")</f>
        <v>Franleydi Lopez</v>
      </c>
      <c r="D1923" s="44"/>
      <c r="E1923" s="44" t="str">
        <f>IFERROR(__xludf.DUMMYFUNCTION("""COMPUTED_VALUE"""),"")</f>
        <v/>
      </c>
      <c r="F1923" s="44" t="str">
        <f>IFERROR(__xludf.DUMMYFUNCTION("""COMPUTED_VALUE"""),"")</f>
        <v/>
      </c>
      <c r="G1923" s="44" t="str">
        <f>IFERROR(__xludf.DUMMYFUNCTION("""COMPUTED_VALUE"""),"Listado de nombres")</f>
        <v>Listado de nombres</v>
      </c>
      <c r="H1923" s="44" t="str">
        <f>IFERROR(__xludf.DUMMYFUNCTION("""COMPUTED_VALUE"""),"Hospital Miguel Perez Carreño")</f>
        <v>Hospital Miguel Perez Carreño</v>
      </c>
      <c r="I1923" s="44"/>
      <c r="J1923" s="44" t="str">
        <f>IFERROR(__xludf.DUMMYFUNCTION("""COMPUTED_VALUE"""),"26/6/26")</f>
        <v>26/6/26</v>
      </c>
      <c r="K1923" s="42" t="str">
        <f>IFERROR(__xludf.DUMMYFUNCTION("""COMPUTED_VALUE"""),"Hospital Pérez Carreño")</f>
        <v>Hospital Pérez Carreño</v>
      </c>
    </row>
    <row r="1924">
      <c r="A1924" s="44">
        <v>1923.0</v>
      </c>
      <c r="B1924" s="44" t="str">
        <f>IFERROR(__xludf.DUMMYFUNCTION("""COMPUTED_VALUE"""),"Campo de Golf Playa los Cocos")</f>
        <v>Campo de Golf Playa los Cocos</v>
      </c>
      <c r="C1924" s="45" t="str">
        <f>IFERROR(__xludf.DUMMYFUNCTION("""COMPUTED_VALUE"""),"Franyerli Moreno")</f>
        <v>Franyerli Moreno</v>
      </c>
      <c r="D1924" s="44" t="str">
        <f>IFERROR(__xludf.DUMMYFUNCTION("""COMPUTED_VALUE"""),"")</f>
        <v/>
      </c>
      <c r="E1924" s="44" t="str">
        <f>IFERROR(__xludf.DUMMYFUNCTION("""COMPUTED_VALUE"""),"")</f>
        <v/>
      </c>
      <c r="F1924" s="44" t="str">
        <f>IFERROR(__xludf.DUMMYFUNCTION("""COMPUTED_VALUE"""),"")</f>
        <v/>
      </c>
      <c r="G1924" s="44" t="str">
        <f>IFERROR(__xludf.DUMMYFUNCTION("""COMPUTED_VALUE"""),"")</f>
        <v/>
      </c>
      <c r="H1924" s="44" t="str">
        <f>IFERROR(__xludf.DUMMYFUNCTION("""COMPUTED_VALUE"""),"")</f>
        <v/>
      </c>
      <c r="I1924" s="44"/>
      <c r="J1924" s="44" t="str">
        <f>IFERROR(__xludf.DUMMYFUNCTION("""COMPUTED_VALUE"""),"")</f>
        <v/>
      </c>
      <c r="K1924" s="42" t="str">
        <f>IFERROR(__xludf.DUMMYFUNCTION("""COMPUTED_VALUE"""),"Campo de Golf Playa los Cocos")</f>
        <v>Campo de Golf Playa los Cocos</v>
      </c>
    </row>
    <row r="1925">
      <c r="A1925" s="44">
        <v>1924.0</v>
      </c>
      <c r="B1925" s="44" t="str">
        <f>IFERROR(__xludf.DUMMYFUNCTION("""COMPUTED_VALUE"""),"Hospital Pérez Carreño")</f>
        <v>Hospital Pérez Carreño</v>
      </c>
      <c r="C1925" s="45" t="str">
        <f>IFERROR(__xludf.DUMMYFUNCTION("""COMPUTED_VALUE"""),"Freddy Benitez")</f>
        <v>Freddy Benitez</v>
      </c>
      <c r="D1925" s="44"/>
      <c r="E1925" s="44" t="str">
        <f>IFERROR(__xludf.DUMMYFUNCTION("""COMPUTED_VALUE"""),"")</f>
        <v/>
      </c>
      <c r="F1925" s="44" t="str">
        <f>IFERROR(__xludf.DUMMYFUNCTION("""COMPUTED_VALUE"""),"")</f>
        <v/>
      </c>
      <c r="G1925" s="44" t="str">
        <f>IFERROR(__xludf.DUMMYFUNCTION("""COMPUTED_VALUE"""),"Traumashock ")</f>
        <v>Traumashock </v>
      </c>
      <c r="H1925" s="44" t="str">
        <f>IFERROR(__xludf.DUMMYFUNCTION("""COMPUTED_VALUE"""),"Hospital Miguel Perez Carreño")</f>
        <v>Hospital Miguel Perez Carreño</v>
      </c>
      <c r="I1925" s="44"/>
      <c r="J1925" s="44" t="str">
        <f>IFERROR(__xludf.DUMMYFUNCTION("""COMPUTED_VALUE"""),"26/6/26")</f>
        <v>26/6/26</v>
      </c>
      <c r="K1925" s="42" t="str">
        <f>IFERROR(__xludf.DUMMYFUNCTION("""COMPUTED_VALUE"""),"Hospital Pérez Carreño")</f>
        <v>Hospital Pérez Carreño</v>
      </c>
    </row>
    <row r="1926">
      <c r="A1926" s="44">
        <v>1925.0</v>
      </c>
      <c r="B1926" s="44" t="str">
        <f>IFERROR(__xludf.DUMMYFUNCTION("""COMPUTED_VALUE"""),"HOSPITAL VARGAS")</f>
        <v>HOSPITAL VARGAS</v>
      </c>
      <c r="C1926" s="45" t="str">
        <f>IFERROR(__xludf.DUMMYFUNCTION("""COMPUTED_VALUE"""),"Freddy Chacón")</f>
        <v>Freddy Chacón</v>
      </c>
      <c r="D1926" s="44"/>
      <c r="E1926" s="44" t="str">
        <f>IFERROR(__xludf.DUMMYFUNCTION("""COMPUTED_VALUE"""),"")</f>
        <v/>
      </c>
      <c r="F1926" s="44" t="str">
        <f>IFERROR(__xludf.DUMMYFUNCTION("""COMPUTED_VALUE"""),"")</f>
        <v/>
      </c>
      <c r="G1926" s="44" t="str">
        <f>IFERROR(__xludf.DUMMYFUNCTION("""COMPUTED_VALUE"""),"")</f>
        <v/>
      </c>
      <c r="H1926" s="44" t="str">
        <f>IFERROR(__xludf.DUMMYFUNCTION("""COMPUTED_VALUE"""),"")</f>
        <v/>
      </c>
      <c r="I1926" s="44" t="str">
        <f>IFERROR(__xludf.DUMMYFUNCTION("""COMPUTED_VALUE"""),"Herido / atendido")</f>
        <v>Herido / atendido</v>
      </c>
      <c r="J1926" s="44" t="str">
        <f>IFERROR(__xludf.DUMMYFUNCTION("""COMPUTED_VALUE"""),"24.06.2026 ")</f>
        <v>24.06.2026 </v>
      </c>
      <c r="K1926" s="42" t="str">
        <f>IFERROR(__xludf.DUMMYFUNCTION("""COMPUTED_VALUE"""),"HOSPITAL VARGAS")</f>
        <v>HOSPITAL VARGAS</v>
      </c>
    </row>
    <row r="1927">
      <c r="A1927" s="44">
        <v>1926.0</v>
      </c>
      <c r="B1927" s="44" t="str">
        <f>IFERROR(__xludf.DUMMYFUNCTION("""COMPUTED_VALUE"""),"Campo de Golf Playa los Cocos")</f>
        <v>Campo de Golf Playa los Cocos</v>
      </c>
      <c r="C1927" s="45" t="str">
        <f>IFERROR(__xludf.DUMMYFUNCTION("""COMPUTED_VALUE"""),"Freddy Rodriguez")</f>
        <v>Freddy Rodriguez</v>
      </c>
      <c r="D1927" s="44" t="str">
        <f>IFERROR(__xludf.DUMMYFUNCTION("""COMPUTED_VALUE"""),"")</f>
        <v/>
      </c>
      <c r="E1927" s="44" t="str">
        <f>IFERROR(__xludf.DUMMYFUNCTION("""COMPUTED_VALUE"""),"")</f>
        <v/>
      </c>
      <c r="F1927" s="44" t="str">
        <f>IFERROR(__xludf.DUMMYFUNCTION("""COMPUTED_VALUE"""),"")</f>
        <v/>
      </c>
      <c r="G1927" s="44" t="str">
        <f>IFERROR(__xludf.DUMMYFUNCTION("""COMPUTED_VALUE"""),"")</f>
        <v/>
      </c>
      <c r="H1927" s="44" t="str">
        <f>IFERROR(__xludf.DUMMYFUNCTION("""COMPUTED_VALUE"""),"")</f>
        <v/>
      </c>
      <c r="I1927" s="44"/>
      <c r="J1927" s="44" t="str">
        <f>IFERROR(__xludf.DUMMYFUNCTION("""COMPUTED_VALUE"""),"")</f>
        <v/>
      </c>
      <c r="K1927" s="42" t="str">
        <f>IFERROR(__xludf.DUMMYFUNCTION("""COMPUTED_VALUE"""),"Campo de Golf Playa los Cocos")</f>
        <v>Campo de Golf Playa los Cocos</v>
      </c>
    </row>
    <row r="1928">
      <c r="A1928" s="44">
        <v>1927.0</v>
      </c>
      <c r="B1928" s="44" t="str">
        <f>IFERROR(__xludf.DUMMYFUNCTION("""COMPUTED_VALUE"""),"Campo de Golf Playa los Cocos")</f>
        <v>Campo de Golf Playa los Cocos</v>
      </c>
      <c r="C1928" s="45" t="str">
        <f>IFERROR(__xludf.DUMMYFUNCTION("""COMPUTED_VALUE"""),"Freymary Izagoirre")</f>
        <v>Freymary Izagoirre</v>
      </c>
      <c r="D1928" s="44" t="str">
        <f>IFERROR(__xludf.DUMMYFUNCTION("""COMPUTED_VALUE"""),"")</f>
        <v/>
      </c>
      <c r="E1928" s="44" t="str">
        <f>IFERROR(__xludf.DUMMYFUNCTION("""COMPUTED_VALUE"""),"")</f>
        <v/>
      </c>
      <c r="F1928" s="44" t="str">
        <f>IFERROR(__xludf.DUMMYFUNCTION("""COMPUTED_VALUE"""),"")</f>
        <v/>
      </c>
      <c r="G1928" s="44" t="str">
        <f>IFERROR(__xludf.DUMMYFUNCTION("""COMPUTED_VALUE"""),"")</f>
        <v/>
      </c>
      <c r="H1928" s="44" t="str">
        <f>IFERROR(__xludf.DUMMYFUNCTION("""COMPUTED_VALUE"""),"")</f>
        <v/>
      </c>
      <c r="I1928" s="44"/>
      <c r="J1928" s="44" t="str">
        <f>IFERROR(__xludf.DUMMYFUNCTION("""COMPUTED_VALUE"""),"")</f>
        <v/>
      </c>
      <c r="K1928" s="42" t="str">
        <f>IFERROR(__xludf.DUMMYFUNCTION("""COMPUTED_VALUE"""),"Campo de Golf Playa los Cocos")</f>
        <v>Campo de Golf Playa los Cocos</v>
      </c>
    </row>
    <row r="1929">
      <c r="A1929" s="44">
        <v>1928.0</v>
      </c>
      <c r="B1929" s="44" t="str">
        <f>IFERROR(__xludf.DUMMYFUNCTION("""COMPUTED_VALUE"""),"Hospital Domingo Luciani")</f>
        <v>Hospital Domingo Luciani</v>
      </c>
      <c r="C1929" s="45" t="str">
        <f>IFERROR(__xludf.DUMMYFUNCTION("""COMPUTED_VALUE"""),"FRONTADO MIEL")</f>
        <v>FRONTADO MIEL</v>
      </c>
      <c r="D1929" s="44">
        <f>IFERROR(__xludf.DUMMYFUNCTION("""COMPUTED_VALUE"""),7.0)</f>
        <v>7</v>
      </c>
      <c r="E1929" s="44" t="str">
        <f>IFERROR(__xludf.DUMMYFUNCTION("""COMPUTED_VALUE"""),"")</f>
        <v/>
      </c>
      <c r="F1929" s="44" t="str">
        <f>IFERROR(__xludf.DUMMYFUNCTION("""COMPUTED_VALUE"""),"")</f>
        <v/>
      </c>
      <c r="G1929" s="44" t="str">
        <f>IFERROR(__xludf.DUMMYFUNCTION("""COMPUTED_VALUE""")," ")</f>
        <v> </v>
      </c>
      <c r="H1929" s="44" t="str">
        <f>IFERROR(__xludf.DUMMYFUNCTION("""COMPUTED_VALUE""")," ")</f>
        <v> </v>
      </c>
      <c r="I1929" s="44" t="str">
        <f>IFERROR(__xludf.DUMMYFUNCTION("""COMPUTED_VALUE""")," ")</f>
        <v> </v>
      </c>
      <c r="J1929" s="44" t="str">
        <f>IFERROR(__xludf.DUMMYFUNCTION("""COMPUTED_VALUE"""),"")</f>
        <v/>
      </c>
      <c r="K1929" s="42" t="str">
        <f>IFERROR(__xludf.DUMMYFUNCTION("""COMPUTED_VALUE"""),"🔍 BUSCAR PACIENTES")</f>
        <v>🔍 BUSCAR PACIENTES</v>
      </c>
    </row>
    <row r="1930">
      <c r="A1930" s="44">
        <v>1929.0</v>
      </c>
      <c r="B1930" s="44" t="str">
        <f>IFERROR(__xludf.DUMMYFUNCTION("""COMPUTED_VALUE"""),"H. Jose Maria Vargas LG")</f>
        <v>H. Jose Maria Vargas LG</v>
      </c>
      <c r="C1930" s="45" t="str">
        <f>IFERROR(__xludf.DUMMYFUNCTION("""COMPUTED_VALUE"""),"FRONTEDOS MIELRAINE")</f>
        <v>FRONTEDOS MIELRAINE</v>
      </c>
      <c r="D1930" s="44" t="str">
        <f>IFERROR(__xludf.DUMMYFUNCTION("""COMPUTED_VALUE""")," ")</f>
        <v> </v>
      </c>
      <c r="E1930" s="44" t="str">
        <f>IFERROR(__xludf.DUMMYFUNCTION("""COMPUTED_VALUE"""),"")</f>
        <v/>
      </c>
      <c r="F1930" s="44" t="str">
        <f>IFERROR(__xludf.DUMMYFUNCTION("""COMPUTED_VALUE"""),"")</f>
        <v/>
      </c>
      <c r="G1930" s="44" t="str">
        <f>IFERROR(__xludf.DUMMYFUNCTION("""COMPUTED_VALUE""")," ")</f>
        <v> </v>
      </c>
      <c r="H1930" s="44" t="str">
        <f>IFERROR(__xludf.DUMMYFUNCTION("""COMPUTED_VALUE"""),"Playa Grande")</f>
        <v>Playa Grande</v>
      </c>
      <c r="I1930" s="44" t="str">
        <f>IFERROR(__xludf.DUMMYFUNCTION("""COMPUTED_VALUE""")," ")</f>
        <v> </v>
      </c>
      <c r="J1930" s="44" t="str">
        <f>IFERROR(__xludf.DUMMYFUNCTION("""COMPUTED_VALUE"""),"")</f>
        <v/>
      </c>
      <c r="K1930" s="42" t="str">
        <f>IFERROR(__xludf.DUMMYFUNCTION("""COMPUTED_VALUE"""),"H. Jose Maria Vargas LG")</f>
        <v>H. Jose Maria Vargas LG</v>
      </c>
    </row>
    <row r="1931">
      <c r="A1931" s="44">
        <v>1930.0</v>
      </c>
      <c r="B1931" s="44" t="str">
        <f>IFERROR(__xludf.DUMMYFUNCTION("""COMPUTED_VALUE"""),"Hospital Domingo Luciani")</f>
        <v>Hospital Domingo Luciani</v>
      </c>
      <c r="C1931" s="45" t="str">
        <f>IFERROR(__xludf.DUMMYFUNCTION("""COMPUTED_VALUE"""),"FRONTO LITEL")</f>
        <v>FRONTO LITEL</v>
      </c>
      <c r="D1931" s="44" t="str">
        <f>IFERROR(__xludf.DUMMYFUNCTION("""COMPUTED_VALUE""")," ")</f>
        <v> </v>
      </c>
      <c r="E1931" s="44" t="str">
        <f>IFERROR(__xludf.DUMMYFUNCTION("""COMPUTED_VALUE"""),"")</f>
        <v/>
      </c>
      <c r="F1931" s="44" t="str">
        <f>IFERROR(__xludf.DUMMYFUNCTION("""COMPUTED_VALUE"""),"")</f>
        <v/>
      </c>
      <c r="G1931" s="44" t="str">
        <f>IFERROR(__xludf.DUMMYFUNCTION("""COMPUTED_VALUE""")," ")</f>
        <v> </v>
      </c>
      <c r="H1931" s="44" t="str">
        <f>IFERROR(__xludf.DUMMYFUNCTION("""COMPUTED_VALUE""")," ")</f>
        <v> </v>
      </c>
      <c r="I1931" s="44" t="str">
        <f>IFERROR(__xludf.DUMMYFUNCTION("""COMPUTED_VALUE"""),"CI: 10582260")</f>
        <v>CI: 10582260</v>
      </c>
      <c r="J1931" s="44" t="str">
        <f>IFERROR(__xludf.DUMMYFUNCTION("""COMPUTED_VALUE"""),"")</f>
        <v/>
      </c>
      <c r="K1931" s="42" t="str">
        <f>IFERROR(__xludf.DUMMYFUNCTION("""COMPUTED_VALUE"""),"🔍 BUSCAR PACIENTES")</f>
        <v>🔍 BUSCAR PACIENTES</v>
      </c>
    </row>
    <row r="1932">
      <c r="A1932" s="44">
        <v>1931.0</v>
      </c>
      <c r="B1932" s="44" t="str">
        <f>IFERROR(__xludf.DUMMYFUNCTION("""COMPUTED_VALUE"""),"Hospital Domingo Luciani")</f>
        <v>Hospital Domingo Luciani</v>
      </c>
      <c r="C1932" s="45" t="str">
        <f>IFERROR(__xludf.DUMMYFUNCTION("""COMPUTED_VALUE"""),"FUENTES ALBERTO")</f>
        <v>FUENTES ALBERTO</v>
      </c>
      <c r="D1932" s="44">
        <f>IFERROR(__xludf.DUMMYFUNCTION("""COMPUTED_VALUE"""),52.0)</f>
        <v>52</v>
      </c>
      <c r="E1932" s="44" t="str">
        <f>IFERROR(__xludf.DUMMYFUNCTION("""COMPUTED_VALUE"""),"")</f>
        <v/>
      </c>
      <c r="F1932" s="44" t="str">
        <f>IFERROR(__xludf.DUMMYFUNCTION("""COMPUTED_VALUE"""),"")</f>
        <v/>
      </c>
      <c r="G1932" s="44" t="str">
        <f>IFERROR(__xludf.DUMMYFUNCTION("""COMPUTED_VALUE""")," ")</f>
        <v> </v>
      </c>
      <c r="H1932" s="44" t="str">
        <f>IFERROR(__xludf.DUMMYFUNCTION("""COMPUTED_VALUE""")," ")</f>
        <v> </v>
      </c>
      <c r="I1932" s="44" t="str">
        <f>IFERROR(__xludf.DUMMYFUNCTION("""COMPUTED_VALUE""")," ")</f>
        <v> </v>
      </c>
      <c r="J1932" s="44" t="str">
        <f>IFERROR(__xludf.DUMMYFUNCTION("""COMPUTED_VALUE"""),"")</f>
        <v/>
      </c>
      <c r="K1932" s="42" t="str">
        <f>IFERROR(__xludf.DUMMYFUNCTION("""COMPUTED_VALUE"""),"🔍 BUSCAR PACIENTES")</f>
        <v>🔍 BUSCAR PACIENTES</v>
      </c>
    </row>
    <row r="1933">
      <c r="A1933" s="44">
        <v>1932.0</v>
      </c>
      <c r="B1933" s="44" t="str">
        <f>IFERROR(__xludf.DUMMYFUNCTION("""COMPUTED_VALUE"""),"Hospital Domingo Luciani")</f>
        <v>Hospital Domingo Luciani</v>
      </c>
      <c r="C1933" s="45" t="str">
        <f>IFERROR(__xludf.DUMMYFUNCTION("""COMPUTED_VALUE"""),"FUENTES CARLOS")</f>
        <v>FUENTES CARLOS</v>
      </c>
      <c r="D1933" s="44" t="str">
        <f>IFERROR(__xludf.DUMMYFUNCTION("""COMPUTED_VALUE""")," ")</f>
        <v> </v>
      </c>
      <c r="E1933" s="44" t="str">
        <f>IFERROR(__xludf.DUMMYFUNCTION("""COMPUTED_VALUE"""),"")</f>
        <v/>
      </c>
      <c r="F1933" s="44" t="str">
        <f>IFERROR(__xludf.DUMMYFUNCTION("""COMPUTED_VALUE"""),"")</f>
        <v/>
      </c>
      <c r="G1933" s="44" t="str">
        <f>IFERROR(__xludf.DUMMYFUNCTION("""COMPUTED_VALUE""")," ")</f>
        <v> </v>
      </c>
      <c r="H1933" s="44" t="str">
        <f>IFERROR(__xludf.DUMMYFUNCTION("""COMPUTED_VALUE""")," ")</f>
        <v> </v>
      </c>
      <c r="I1933" s="44" t="str">
        <f>IFERROR(__xludf.DUMMYFUNCTION("""COMPUTED_VALUE"""),"Internado; Fecha: 25/6/26 pm")</f>
        <v>Internado; Fecha: 25/6/26 pm</v>
      </c>
      <c r="J1933" s="44" t="str">
        <f>IFERROR(__xludf.DUMMYFUNCTION("""COMPUTED_VALUE"""),"")</f>
        <v/>
      </c>
      <c r="K1933" s="42" t="str">
        <f>IFERROR(__xludf.DUMMYFUNCTION("""COMPUTED_VALUE"""),"🔍 BUSCAR PACIENTES")</f>
        <v>🔍 BUSCAR PACIENTES</v>
      </c>
    </row>
    <row r="1934">
      <c r="A1934" s="44">
        <v>1933.0</v>
      </c>
      <c r="B1934" s="44" t="str">
        <f>IFERROR(__xludf.DUMMYFUNCTION("""COMPUTED_VALUE"""),"Hospital Domingo Luciani")</f>
        <v>Hospital Domingo Luciani</v>
      </c>
      <c r="C1934" s="45" t="str">
        <f>IFERROR(__xludf.DUMMYFUNCTION("""COMPUTED_VALUE"""),"FUENTES GALVIS ALBERTO")</f>
        <v>FUENTES GALVIS ALBERTO</v>
      </c>
      <c r="D1934" s="44" t="str">
        <f>IFERROR(__xludf.DUMMYFUNCTION("""COMPUTED_VALUE""")," ")</f>
        <v> </v>
      </c>
      <c r="E1934" s="44" t="str">
        <f>IFERROR(__xludf.DUMMYFUNCTION("""COMPUTED_VALUE"""),"")</f>
        <v/>
      </c>
      <c r="F1934" s="44" t="str">
        <f>IFERROR(__xludf.DUMMYFUNCTION("""COMPUTED_VALUE"""),"")</f>
        <v/>
      </c>
      <c r="G1934" s="44" t="str">
        <f>IFERROR(__xludf.DUMMYFUNCTION("""COMPUTED_VALUE""")," ")</f>
        <v> </v>
      </c>
      <c r="H1934" s="44" t="str">
        <f>IFERROR(__xludf.DUMMYFUNCTION("""COMPUTED_VALUE""")," ")</f>
        <v> </v>
      </c>
      <c r="I1934" s="44" t="str">
        <f>IFERROR(__xludf.DUMMYFUNCTION("""COMPUTED_VALUE""")," ")</f>
        <v> </v>
      </c>
      <c r="J1934" s="44" t="str">
        <f>IFERROR(__xludf.DUMMYFUNCTION("""COMPUTED_VALUE"""),"")</f>
        <v/>
      </c>
      <c r="K1934" s="42" t="str">
        <f>IFERROR(__xludf.DUMMYFUNCTION("""COMPUTED_VALUE"""),"🔍 BUSCAR PACIENTES")</f>
        <v>🔍 BUSCAR PACIENTES</v>
      </c>
    </row>
    <row r="1935">
      <c r="A1935" s="44">
        <v>1934.0</v>
      </c>
      <c r="B1935" s="44" t="str">
        <f>IFERROR(__xludf.DUMMYFUNCTION("""COMPUTED_VALUE"""),"Hospital Pérez Carreño")</f>
        <v>Hospital Pérez Carreño</v>
      </c>
      <c r="C1935" s="45" t="str">
        <f>IFERROR(__xludf.DUMMYFUNCTION("""COMPUTED_VALUE"""),"Gabriel Garcia")</f>
        <v>Gabriel Garcia</v>
      </c>
      <c r="D1935" s="44" t="str">
        <f>IFERROR(__xludf.DUMMYFUNCTION("""COMPUTED_VALUE"""),"La Guaira")</f>
        <v>La Guaira</v>
      </c>
      <c r="E1935" s="44" t="str">
        <f>IFERROR(__xludf.DUMMYFUNCTION("""COMPUTED_VALUE"""),"")</f>
        <v/>
      </c>
      <c r="F1935" s="44" t="str">
        <f>IFERROR(__xludf.DUMMYFUNCTION("""COMPUTED_VALUE"""),"")</f>
        <v/>
      </c>
      <c r="G1935" s="44"/>
      <c r="H1935" s="44"/>
      <c r="I1935" s="44"/>
      <c r="J1935" s="44"/>
      <c r="K1935" s="42" t="str">
        <f>IFERROR(__xludf.DUMMYFUNCTION("""COMPUTED_VALUE"""),"Hospital Pérez Carreño")</f>
        <v>Hospital Pérez Carreño</v>
      </c>
    </row>
    <row r="1936">
      <c r="A1936" s="44">
        <v>1935.0</v>
      </c>
      <c r="B1936" s="44" t="str">
        <f>IFERROR(__xludf.DUMMYFUNCTION("""COMPUTED_VALUE"""),"Hospital Pérez Carreño")</f>
        <v>Hospital Pérez Carreño</v>
      </c>
      <c r="C1936" s="45" t="str">
        <f>IFERROR(__xludf.DUMMYFUNCTION("""COMPUTED_VALUE"""),"Gabriel Goncalve")</f>
        <v>Gabriel Goncalve</v>
      </c>
      <c r="D1936" s="44"/>
      <c r="E1936" s="44" t="str">
        <f>IFERROR(__xludf.DUMMYFUNCTION("""COMPUTED_VALUE"""),"")</f>
        <v/>
      </c>
      <c r="F1936" s="44" t="str">
        <f>IFERROR(__xludf.DUMMYFUNCTION("""COMPUTED_VALUE"""),"")</f>
        <v/>
      </c>
      <c r="G1936" s="44" t="str">
        <f>IFERROR(__xludf.DUMMYFUNCTION("""COMPUTED_VALUE"""),"Traumashock ")</f>
        <v>Traumashock </v>
      </c>
      <c r="H1936" s="44" t="str">
        <f>IFERROR(__xludf.DUMMYFUNCTION("""COMPUTED_VALUE"""),"Hospital Miguel Perez Carreño")</f>
        <v>Hospital Miguel Perez Carreño</v>
      </c>
      <c r="I1936" s="44"/>
      <c r="J1936" s="44" t="str">
        <f>IFERROR(__xludf.DUMMYFUNCTION("""COMPUTED_VALUE"""),"26/6/26")</f>
        <v>26/6/26</v>
      </c>
      <c r="K1936" s="42" t="str">
        <f>IFERROR(__xludf.DUMMYFUNCTION("""COMPUTED_VALUE"""),"Hospital Pérez Carreño")</f>
        <v>Hospital Pérez Carreño</v>
      </c>
    </row>
    <row r="1937">
      <c r="A1937" s="44">
        <v>1936.0</v>
      </c>
      <c r="B1937" s="44" t="str">
        <f>IFERROR(__xludf.DUMMYFUNCTION("""COMPUTED_VALUE"""),"Hospital Domingo Luciani")</f>
        <v>Hospital Domingo Luciani</v>
      </c>
      <c r="C1937" s="45" t="str">
        <f>IFERROR(__xludf.DUMMYFUNCTION("""COMPUTED_VALUE"""),"Gabriela Para")</f>
        <v>Gabriela Para</v>
      </c>
      <c r="D1937" s="44">
        <f>IFERROR(__xludf.DUMMYFUNCTION("""COMPUTED_VALUE"""),15.0)</f>
        <v>15</v>
      </c>
      <c r="E1937" s="44" t="str">
        <f>IFERROR(__xludf.DUMMYFUNCTION("""COMPUTED_VALUE"""),"")</f>
        <v/>
      </c>
      <c r="F1937" s="44" t="str">
        <f>IFERROR(__xludf.DUMMYFUNCTION("""COMPUTED_VALUE"""),"")</f>
        <v/>
      </c>
      <c r="G1937" s="44"/>
      <c r="H1937" s="44"/>
      <c r="I1937" s="44"/>
      <c r="J1937" s="44" t="str">
        <f>IFERROR(__xludf.DUMMYFUNCTION("""COMPUTED_VALUE"""),"")</f>
        <v/>
      </c>
      <c r="K1937" s="42" t="str">
        <f>IFERROR(__xludf.DUMMYFUNCTION("""COMPUTED_VALUE"""),"Hospital Domingo Luciani")</f>
        <v>Hospital Domingo Luciani</v>
      </c>
    </row>
    <row r="1938">
      <c r="A1938" s="44">
        <v>1937.0</v>
      </c>
      <c r="B1938" s="44" t="str">
        <f>IFERROR(__xludf.DUMMYFUNCTION("""COMPUTED_VALUE"""),"Hospital Domingo Luciani")</f>
        <v>Hospital Domingo Luciani</v>
      </c>
      <c r="C1938" s="45" t="str">
        <f>IFERROR(__xludf.DUMMYFUNCTION("""COMPUTED_VALUE"""),"Gabriela Para Misol")</f>
        <v>Gabriela Para Misol</v>
      </c>
      <c r="D1938" s="44">
        <f>IFERROR(__xludf.DUMMYFUNCTION("""COMPUTED_VALUE"""),0.0)</f>
        <v>0</v>
      </c>
      <c r="E1938" s="44" t="str">
        <f>IFERROR(__xludf.DUMMYFUNCTION("""COMPUTED_VALUE"""),"")</f>
        <v/>
      </c>
      <c r="F1938" s="44" t="str">
        <f>IFERROR(__xludf.DUMMYFUNCTION("""COMPUTED_VALUE"""),"")</f>
        <v/>
      </c>
      <c r="G1938" s="44"/>
      <c r="H1938" s="44"/>
      <c r="I1938" s="44"/>
      <c r="J1938" s="44" t="str">
        <f>IFERROR(__xludf.DUMMYFUNCTION("""COMPUTED_VALUE"""),"")</f>
        <v/>
      </c>
      <c r="K1938" s="42" t="str">
        <f>IFERROR(__xludf.DUMMYFUNCTION("""COMPUTED_VALUE"""),"Hospital Domingo Luciani")</f>
        <v>Hospital Domingo Luciani</v>
      </c>
    </row>
    <row r="1939">
      <c r="A1939" s="44">
        <v>1938.0</v>
      </c>
      <c r="B1939" s="44" t="str">
        <f>IFERROR(__xludf.DUMMYFUNCTION("""COMPUTED_VALUE"""),"Hospital Domingo Luciani")</f>
        <v>Hospital Domingo Luciani</v>
      </c>
      <c r="C1939" s="45" t="str">
        <f>IFERROR(__xludf.DUMMYFUNCTION("""COMPUTED_VALUE"""),"Gabriela Parra")</f>
        <v>Gabriela Parra</v>
      </c>
      <c r="D1939" s="44">
        <f>IFERROR(__xludf.DUMMYFUNCTION("""COMPUTED_VALUE"""),15.0)</f>
        <v>15</v>
      </c>
      <c r="E1939" s="44" t="str">
        <f>IFERROR(__xludf.DUMMYFUNCTION("""COMPUTED_VALUE"""),"")</f>
        <v/>
      </c>
      <c r="F1939" s="44" t="str">
        <f>IFERROR(__xludf.DUMMYFUNCTION("""COMPUTED_VALUE"""),"")</f>
        <v/>
      </c>
      <c r="G1939" s="44"/>
      <c r="H1939" s="44"/>
      <c r="I1939" s="44"/>
      <c r="J1939" s="44" t="str">
        <f>IFERROR(__xludf.DUMMYFUNCTION("""COMPUTED_VALUE"""),"")</f>
        <v/>
      </c>
      <c r="K1939" s="42" t="str">
        <f>IFERROR(__xludf.DUMMYFUNCTION("""COMPUTED_VALUE"""),"Hospital Domingo Luciani")</f>
        <v>Hospital Domingo Luciani</v>
      </c>
    </row>
    <row r="1940">
      <c r="A1940" s="44">
        <v>1939.0</v>
      </c>
      <c r="B1940" s="44" t="str">
        <f>IFERROR(__xludf.DUMMYFUNCTION("""COMPUTED_VALUE"""),"Hospital Domingo Luciani")</f>
        <v>Hospital Domingo Luciani</v>
      </c>
      <c r="C1940" s="45" t="str">
        <f>IFERROR(__xludf.DUMMYFUNCTION("""COMPUTED_VALUE"""),"Gabriela Ramirez")</f>
        <v>Gabriela Ramirez</v>
      </c>
      <c r="D1940" s="44">
        <f>IFERROR(__xludf.DUMMYFUNCTION("""COMPUTED_VALUE"""),37.0)</f>
        <v>37</v>
      </c>
      <c r="E1940" s="44" t="str">
        <f>IFERROR(__xludf.DUMMYFUNCTION("""COMPUTED_VALUE"""),"")</f>
        <v/>
      </c>
      <c r="F1940" s="44" t="str">
        <f>IFERROR(__xludf.DUMMYFUNCTION("""COMPUTED_VALUE"""),"")</f>
        <v/>
      </c>
      <c r="G1940" s="44"/>
      <c r="H1940" s="44"/>
      <c r="I1940" s="44"/>
      <c r="J1940" s="44" t="str">
        <f>IFERROR(__xludf.DUMMYFUNCTION("""COMPUTED_VALUE"""),"")</f>
        <v/>
      </c>
      <c r="K1940" s="42" t="str">
        <f>IFERROR(__xludf.DUMMYFUNCTION("""COMPUTED_VALUE"""),"Hospital Domingo Luciani")</f>
        <v>Hospital Domingo Luciani</v>
      </c>
    </row>
    <row r="1941">
      <c r="A1941" s="44">
        <v>1940.0</v>
      </c>
      <c r="B1941" s="44" t="str">
        <f>IFERROR(__xludf.DUMMYFUNCTION("""COMPUTED_VALUE"""),"Hospital Vargas de Caracas")</f>
        <v>Hospital Vargas de Caracas</v>
      </c>
      <c r="C1941" s="45" t="str">
        <f>IFERROR(__xludf.DUMMYFUNCTION("""COMPUTED_VALUE"""),"GALAIN TULIA")</f>
        <v>GALAIN TULIA</v>
      </c>
      <c r="D1941" s="44" t="str">
        <f>IFERROR(__xludf.DUMMYFUNCTION("""COMPUTED_VALUE""")," ")</f>
        <v> </v>
      </c>
      <c r="E1941" s="44" t="str">
        <f>IFERROR(__xludf.DUMMYFUNCTION("""COMPUTED_VALUE"""),"")</f>
        <v/>
      </c>
      <c r="F1941" s="44" t="str">
        <f>IFERROR(__xludf.DUMMYFUNCTION("""COMPUTED_VALUE""")," ")</f>
        <v> </v>
      </c>
      <c r="G1941" s="44" t="str">
        <f>IFERROR(__xludf.DUMMYFUNCTION("""COMPUTED_VALUE"""),"")</f>
        <v/>
      </c>
      <c r="H1941" s="44" t="str">
        <f>IFERROR(__xludf.DUMMYFUNCTION("""COMPUTED_VALUE""")," ")</f>
        <v> </v>
      </c>
      <c r="I1941" s="44" t="str">
        <f>IFERROR(__xludf.DUMMYFUNCTION("""COMPUTED_VALUE""")," ")</f>
        <v> </v>
      </c>
      <c r="J1941" s="44" t="str">
        <f>IFERROR(__xludf.DUMMYFUNCTION("""COMPUTED_VALUE"""),"")</f>
        <v/>
      </c>
      <c r="K1941" s="42" t="str">
        <f>IFERROR(__xludf.DUMMYFUNCTION("""COMPUTED_VALUE"""),"Hospital Vargas de Caracas")</f>
        <v>Hospital Vargas de Caracas</v>
      </c>
    </row>
    <row r="1942">
      <c r="A1942" s="44">
        <v>1941.0</v>
      </c>
      <c r="B1942" s="44" t="str">
        <f>IFERROR(__xludf.DUMMYFUNCTION("""COMPUTED_VALUE"""),"Hospital Domingo Luciani")</f>
        <v>Hospital Domingo Luciani</v>
      </c>
      <c r="C1942" s="45" t="str">
        <f>IFERROR(__xludf.DUMMYFUNCTION("""COMPUTED_VALUE"""),"GALCIA RODAS")</f>
        <v>GALCIA RODAS</v>
      </c>
      <c r="D1942" s="44">
        <f>IFERROR(__xludf.DUMMYFUNCTION("""COMPUTED_VALUE"""),71.0)</f>
        <v>71</v>
      </c>
      <c r="E1942" s="44" t="str">
        <f>IFERROR(__xludf.DUMMYFUNCTION("""COMPUTED_VALUE"""),"")</f>
        <v/>
      </c>
      <c r="F1942" s="44" t="str">
        <f>IFERROR(__xludf.DUMMYFUNCTION("""COMPUTED_VALUE"""),"")</f>
        <v/>
      </c>
      <c r="G1942" s="44" t="str">
        <f>IFERROR(__xludf.DUMMYFUNCTION("""COMPUTED_VALUE""")," ")</f>
        <v> </v>
      </c>
      <c r="H1942" s="44" t="str">
        <f>IFERROR(__xludf.DUMMYFUNCTION("""COMPUTED_VALUE""")," ")</f>
        <v> </v>
      </c>
      <c r="I1942" s="44" t="str">
        <f>IFERROR(__xludf.DUMMYFUNCTION("""COMPUTED_VALUE"""),"Politrauma Emerg. Vieja")</f>
        <v>Politrauma Emerg. Vieja</v>
      </c>
      <c r="J1942" s="44" t="str">
        <f>IFERROR(__xludf.DUMMYFUNCTION("""COMPUTED_VALUE"""),"")</f>
        <v/>
      </c>
      <c r="K1942" s="42" t="str">
        <f>IFERROR(__xludf.DUMMYFUNCTION("""COMPUTED_VALUE"""),"🔍 BUSCAR PACIENTES")</f>
        <v>🔍 BUSCAR PACIENTES</v>
      </c>
    </row>
    <row r="1943">
      <c r="A1943" s="44">
        <v>1942.0</v>
      </c>
      <c r="B1943" s="44" t="str">
        <f>IFERROR(__xludf.DUMMYFUNCTION("""COMPUTED_VALUE"""),"Centro de Acopio Caraballeda")</f>
        <v>Centro de Acopio Caraballeda</v>
      </c>
      <c r="C1943" s="45" t="str">
        <f>IFERROR(__xludf.DUMMYFUNCTION("""COMPUTED_VALUE"""),"GALINDEZ ARIANGELY")</f>
        <v>GALINDEZ ARIANGELY</v>
      </c>
      <c r="D1943" s="44" t="str">
        <f>IFERROR(__xludf.DUMMYFUNCTION("""COMPUTED_VALUE""")," ")</f>
        <v> </v>
      </c>
      <c r="E1943" s="44" t="str">
        <f>IFERROR(__xludf.DUMMYFUNCTION("""COMPUTED_VALUE"""),"")</f>
        <v/>
      </c>
      <c r="F1943" s="44" t="str">
        <f>IFERROR(__xludf.DUMMYFUNCTION("""COMPUTED_VALUE"""),"")</f>
        <v/>
      </c>
      <c r="G1943" s="44" t="str">
        <f>IFERROR(__xludf.DUMMYFUNCTION("""COMPUTED_VALUE""")," ")</f>
        <v> </v>
      </c>
      <c r="H1943" s="44" t="str">
        <f>IFERROR(__xludf.DUMMYFUNCTION("""COMPUTED_VALUE""")," ")</f>
        <v> </v>
      </c>
      <c r="I1943" s="44" t="str">
        <f>IFERROR(__xludf.DUMMYFUNCTION("""COMPUTED_VALUE"""),"Internado")</f>
        <v>Internado</v>
      </c>
      <c r="J1943" s="44" t="str">
        <f>IFERROR(__xludf.DUMMYFUNCTION("""COMPUTED_VALUE"""),"")</f>
        <v/>
      </c>
      <c r="K1943" s="42" t="str">
        <f>IFERROR(__xludf.DUMMYFUNCTION("""COMPUTED_VALUE"""),"🔍 BUSCAR PACIENTES")</f>
        <v>🔍 BUSCAR PACIENTES</v>
      </c>
    </row>
    <row r="1944">
      <c r="A1944" s="44">
        <v>1943.0</v>
      </c>
      <c r="B1944" s="44" t="str">
        <f>IFERROR(__xludf.DUMMYFUNCTION("""COMPUTED_VALUE"""),"Centro de Acopio Caraballeda")</f>
        <v>Centro de Acopio Caraballeda</v>
      </c>
      <c r="C1944" s="45" t="str">
        <f>IFERROR(__xludf.DUMMYFUNCTION("""COMPUTED_VALUE"""),"GALINDEZ LOREANGEL")</f>
        <v>GALINDEZ LOREANGEL</v>
      </c>
      <c r="D1944" s="44" t="str">
        <f>IFERROR(__xludf.DUMMYFUNCTION("""COMPUTED_VALUE""")," ")</f>
        <v> </v>
      </c>
      <c r="E1944" s="44" t="str">
        <f>IFERROR(__xludf.DUMMYFUNCTION("""COMPUTED_VALUE"""),"")</f>
        <v/>
      </c>
      <c r="F1944" s="44" t="str">
        <f>IFERROR(__xludf.DUMMYFUNCTION("""COMPUTED_VALUE"""),"")</f>
        <v/>
      </c>
      <c r="G1944" s="44" t="str">
        <f>IFERROR(__xludf.DUMMYFUNCTION("""COMPUTED_VALUE""")," ")</f>
        <v> </v>
      </c>
      <c r="H1944" s="44" t="str">
        <f>IFERROR(__xludf.DUMMYFUNCTION("""COMPUTED_VALUE""")," ")</f>
        <v> </v>
      </c>
      <c r="I1944" s="44" t="str">
        <f>IFERROR(__xludf.DUMMYFUNCTION("""COMPUTED_VALUE"""),"Internado")</f>
        <v>Internado</v>
      </c>
      <c r="J1944" s="44" t="str">
        <f>IFERROR(__xludf.DUMMYFUNCTION("""COMPUTED_VALUE"""),"")</f>
        <v/>
      </c>
      <c r="K1944" s="42" t="str">
        <f>IFERROR(__xludf.DUMMYFUNCTION("""COMPUTED_VALUE"""),"🔍 BUSCAR PACIENTES")</f>
        <v>🔍 BUSCAR PACIENTES</v>
      </c>
    </row>
    <row r="1945">
      <c r="A1945" s="44">
        <v>1944.0</v>
      </c>
      <c r="B1945" s="44" t="str">
        <f>IFERROR(__xludf.DUMMYFUNCTION("""COMPUTED_VALUE"""),"Centro de Acopio Caraballeda")</f>
        <v>Centro de Acopio Caraballeda</v>
      </c>
      <c r="C1945" s="45" t="str">
        <f>IFERROR(__xludf.DUMMYFUNCTION("""COMPUTED_VALUE"""),"GALINDEZ LOREANY")</f>
        <v>GALINDEZ LOREANY</v>
      </c>
      <c r="D1945" s="44" t="str">
        <f>IFERROR(__xludf.DUMMYFUNCTION("""COMPUTED_VALUE""")," ")</f>
        <v> </v>
      </c>
      <c r="E1945" s="44" t="str">
        <f>IFERROR(__xludf.DUMMYFUNCTION("""COMPUTED_VALUE"""),"")</f>
        <v/>
      </c>
      <c r="F1945" s="44" t="str">
        <f>IFERROR(__xludf.DUMMYFUNCTION("""COMPUTED_VALUE"""),"")</f>
        <v/>
      </c>
      <c r="G1945" s="44" t="str">
        <f>IFERROR(__xludf.DUMMYFUNCTION("""COMPUTED_VALUE""")," ")</f>
        <v> </v>
      </c>
      <c r="H1945" s="44" t="str">
        <f>IFERROR(__xludf.DUMMYFUNCTION("""COMPUTED_VALUE""")," ")</f>
        <v> </v>
      </c>
      <c r="I1945" s="44" t="str">
        <f>IFERROR(__xludf.DUMMYFUNCTION("""COMPUTED_VALUE"""),"Internado")</f>
        <v>Internado</v>
      </c>
      <c r="J1945" s="44" t="str">
        <f>IFERROR(__xludf.DUMMYFUNCTION("""COMPUTED_VALUE"""),"")</f>
        <v/>
      </c>
      <c r="K1945" s="42" t="str">
        <f>IFERROR(__xludf.DUMMYFUNCTION("""COMPUTED_VALUE"""),"🔍 BUSCAR PACIENTES")</f>
        <v>🔍 BUSCAR PACIENTES</v>
      </c>
    </row>
    <row r="1946">
      <c r="A1946" s="44">
        <v>1945.0</v>
      </c>
      <c r="B1946" s="44" t="str">
        <f>IFERROR(__xludf.DUMMYFUNCTION("""COMPUTED_VALUE"""),"Centro de Acopio Caraballeda")</f>
        <v>Centro de Acopio Caraballeda</v>
      </c>
      <c r="C1946" s="45" t="str">
        <f>IFERROR(__xludf.DUMMYFUNCTION("""COMPUTED_VALUE"""),"GALINDEZ MISYENY")</f>
        <v>GALINDEZ MISYENY</v>
      </c>
      <c r="D1946" s="44" t="str">
        <f>IFERROR(__xludf.DUMMYFUNCTION("""COMPUTED_VALUE""")," ")</f>
        <v> </v>
      </c>
      <c r="E1946" s="44" t="str">
        <f>IFERROR(__xludf.DUMMYFUNCTION("""COMPUTED_VALUE"""),"")</f>
        <v/>
      </c>
      <c r="F1946" s="44" t="str">
        <f>IFERROR(__xludf.DUMMYFUNCTION("""COMPUTED_VALUE"""),"")</f>
        <v/>
      </c>
      <c r="G1946" s="44" t="str">
        <f>IFERROR(__xludf.DUMMYFUNCTION("""COMPUTED_VALUE""")," ")</f>
        <v> </v>
      </c>
      <c r="H1946" s="44" t="str">
        <f>IFERROR(__xludf.DUMMYFUNCTION("""COMPUTED_VALUE""")," ")</f>
        <v> </v>
      </c>
      <c r="I1946" s="44" t="str">
        <f>IFERROR(__xludf.DUMMYFUNCTION("""COMPUTED_VALUE"""),"Internado")</f>
        <v>Internado</v>
      </c>
      <c r="J1946" s="44" t="str">
        <f>IFERROR(__xludf.DUMMYFUNCTION("""COMPUTED_VALUE"""),"")</f>
        <v/>
      </c>
      <c r="K1946" s="42" t="str">
        <f>IFERROR(__xludf.DUMMYFUNCTION("""COMPUTED_VALUE"""),"🔍 BUSCAR PACIENTES")</f>
        <v>🔍 BUSCAR PACIENTES</v>
      </c>
    </row>
    <row r="1947">
      <c r="A1947" s="44">
        <v>1946.0</v>
      </c>
      <c r="B1947" s="44" t="str">
        <f>IFERROR(__xludf.DUMMYFUNCTION("""COMPUTED_VALUE"""),"Centro de Acopio Caraballeda")</f>
        <v>Centro de Acopio Caraballeda</v>
      </c>
      <c r="C1947" s="45" t="str">
        <f>IFERROR(__xludf.DUMMYFUNCTION("""COMPUTED_VALUE"""),"GALINDEZ VIRGILIO")</f>
        <v>GALINDEZ VIRGILIO</v>
      </c>
      <c r="D1947" s="44" t="str">
        <f>IFERROR(__xludf.DUMMYFUNCTION("""COMPUTED_VALUE""")," ")</f>
        <v> </v>
      </c>
      <c r="E1947" s="44" t="str">
        <f>IFERROR(__xludf.DUMMYFUNCTION("""COMPUTED_VALUE"""),"")</f>
        <v/>
      </c>
      <c r="F1947" s="44" t="str">
        <f>IFERROR(__xludf.DUMMYFUNCTION("""COMPUTED_VALUE"""),"")</f>
        <v/>
      </c>
      <c r="G1947" s="44" t="str">
        <f>IFERROR(__xludf.DUMMYFUNCTION("""COMPUTED_VALUE""")," ")</f>
        <v> </v>
      </c>
      <c r="H1947" s="44" t="str">
        <f>IFERROR(__xludf.DUMMYFUNCTION("""COMPUTED_VALUE""")," ")</f>
        <v> </v>
      </c>
      <c r="I1947" s="44" t="str">
        <f>IFERROR(__xludf.DUMMYFUNCTION("""COMPUTED_VALUE"""),"Internado")</f>
        <v>Internado</v>
      </c>
      <c r="J1947" s="44" t="str">
        <f>IFERROR(__xludf.DUMMYFUNCTION("""COMPUTED_VALUE"""),"")</f>
        <v/>
      </c>
      <c r="K1947" s="42" t="str">
        <f>IFERROR(__xludf.DUMMYFUNCTION("""COMPUTED_VALUE"""),"🔍 BUSCAR PACIENTES")</f>
        <v>🔍 BUSCAR PACIENTES</v>
      </c>
    </row>
    <row r="1948">
      <c r="A1948" s="44">
        <v>1947.0</v>
      </c>
      <c r="B1948" s="44" t="str">
        <f>IFERROR(__xludf.DUMMYFUNCTION("""COMPUTED_VALUE"""),"Hospital Domingo Luciani")</f>
        <v>Hospital Domingo Luciani</v>
      </c>
      <c r="C1948" s="45" t="str">
        <f>IFERROR(__xludf.DUMMYFUNCTION("""COMPUTED_VALUE"""),"GALIS YALESKA")</f>
        <v>GALIS YALESKA</v>
      </c>
      <c r="D1948" s="44">
        <f>IFERROR(__xludf.DUMMYFUNCTION("""COMPUTED_VALUE"""),23.0)</f>
        <v>23</v>
      </c>
      <c r="E1948" s="44" t="str">
        <f>IFERROR(__xludf.DUMMYFUNCTION("""COMPUTED_VALUE"""),"")</f>
        <v/>
      </c>
      <c r="F1948" s="44" t="str">
        <f>IFERROR(__xludf.DUMMYFUNCTION("""COMPUTED_VALUE"""),"")</f>
        <v/>
      </c>
      <c r="G1948" s="44" t="str">
        <f>IFERROR(__xludf.DUMMYFUNCTION("""COMPUTED_VALUE""")," ")</f>
        <v> </v>
      </c>
      <c r="H1948" s="44" t="str">
        <f>IFERROR(__xludf.DUMMYFUNCTION("""COMPUTED_VALUE""")," ")</f>
        <v> </v>
      </c>
      <c r="I1948" s="44" t="str">
        <f>IFERROR(__xludf.DUMMYFUNCTION("""COMPUTED_VALUE"""),"Politrauma Emerg. Nueva")</f>
        <v>Politrauma Emerg. Nueva</v>
      </c>
      <c r="J1948" s="44" t="str">
        <f>IFERROR(__xludf.DUMMYFUNCTION("""COMPUTED_VALUE"""),"")</f>
        <v/>
      </c>
      <c r="K1948" s="42" t="str">
        <f>IFERROR(__xludf.DUMMYFUNCTION("""COMPUTED_VALUE"""),"🔍 BUSCAR PACIENTES")</f>
        <v>🔍 BUSCAR PACIENTES</v>
      </c>
    </row>
    <row r="1949">
      <c r="A1949" s="44">
        <v>1948.0</v>
      </c>
      <c r="B1949" s="44" t="str">
        <f>IFERROR(__xludf.DUMMYFUNCTION("""COMPUTED_VALUE"""),"Centro de Acopio Caraballeda")</f>
        <v>Centro de Acopio Caraballeda</v>
      </c>
      <c r="C1949" s="45" t="str">
        <f>IFERROR(__xludf.DUMMYFUNCTION("""COMPUTED_VALUE"""),"GALLARDO YEILI")</f>
        <v>GALLARDO YEILI</v>
      </c>
      <c r="D1949" s="44" t="str">
        <f>IFERROR(__xludf.DUMMYFUNCTION("""COMPUTED_VALUE""")," ")</f>
        <v> </v>
      </c>
      <c r="E1949" s="44" t="str">
        <f>IFERROR(__xludf.DUMMYFUNCTION("""COMPUTED_VALUE"""),"")</f>
        <v/>
      </c>
      <c r="F1949" s="44" t="str">
        <f>IFERROR(__xludf.DUMMYFUNCTION("""COMPUTED_VALUE"""),"")</f>
        <v/>
      </c>
      <c r="G1949" s="44" t="str">
        <f>IFERROR(__xludf.DUMMYFUNCTION("""COMPUTED_VALUE""")," ")</f>
        <v> </v>
      </c>
      <c r="H1949" s="44" t="str">
        <f>IFERROR(__xludf.DUMMYFUNCTION("""COMPUTED_VALUE""")," ")</f>
        <v> </v>
      </c>
      <c r="I1949" s="44" t="str">
        <f>IFERROR(__xludf.DUMMYFUNCTION("""COMPUTED_VALUE"""),"Internado")</f>
        <v>Internado</v>
      </c>
      <c r="J1949" s="44" t="str">
        <f>IFERROR(__xludf.DUMMYFUNCTION("""COMPUTED_VALUE"""),"")</f>
        <v/>
      </c>
      <c r="K1949" s="42" t="str">
        <f>IFERROR(__xludf.DUMMYFUNCTION("""COMPUTED_VALUE"""),"🔍 BUSCAR PACIENTES")</f>
        <v>🔍 BUSCAR PACIENTES</v>
      </c>
    </row>
    <row r="1950">
      <c r="A1950" s="44">
        <v>1949.0</v>
      </c>
      <c r="B1950" s="44" t="str">
        <f>IFERROR(__xludf.DUMMYFUNCTION("""COMPUTED_VALUE"""),"Hospital Pérez Carreño")</f>
        <v>Hospital Pérez Carreño</v>
      </c>
      <c r="C1950" s="45" t="str">
        <f>IFERROR(__xludf.DUMMYFUNCTION("""COMPUTED_VALUE"""),"Galuez Alfonso Sanchez Valentina")</f>
        <v>Galuez Alfonso Sanchez Valentina</v>
      </c>
      <c r="D1950" s="44"/>
      <c r="E1950" s="44" t="str">
        <f>IFERROR(__xludf.DUMMYFUNCTION("""COMPUTED_VALUE"""),"")</f>
        <v/>
      </c>
      <c r="F1950" s="44" t="str">
        <f>IFERROR(__xludf.DUMMYFUNCTION("""COMPUTED_VALUE"""),"")</f>
        <v/>
      </c>
      <c r="G1950" s="44" t="str">
        <f>IFERROR(__xludf.DUMMYFUNCTION("""COMPUTED_VALUE"""),"Traslados con destino asignado")</f>
        <v>Traslados con destino asignado</v>
      </c>
      <c r="H1950" s="44" t="str">
        <f>IFERROR(__xludf.DUMMYFUNCTION("""COMPUTED_VALUE"""),"Hospital Miguel Perez Carreño")</f>
        <v>Hospital Miguel Perez Carreño</v>
      </c>
      <c r="I1950" s="44"/>
      <c r="J1950" s="44" t="str">
        <f>IFERROR(__xludf.DUMMYFUNCTION("""COMPUTED_VALUE"""),"26/6/26")</f>
        <v>26/6/26</v>
      </c>
      <c r="K1950" s="42" t="str">
        <f>IFERROR(__xludf.DUMMYFUNCTION("""COMPUTED_VALUE"""),"Hospital Pérez Carreño")</f>
        <v>Hospital Pérez Carreño</v>
      </c>
    </row>
    <row r="1951">
      <c r="A1951" s="44">
        <v>1950.0</v>
      </c>
      <c r="B1951" s="44" t="str">
        <f>IFERROR(__xludf.DUMMYFUNCTION("""COMPUTED_VALUE"""),"Hospital Domingo Luciani")</f>
        <v>Hospital Domingo Luciani</v>
      </c>
      <c r="C1951" s="45" t="str">
        <f>IFERROR(__xludf.DUMMYFUNCTION("""COMPUTED_VALUE"""),"GALUS ALBERTO FUENTE")</f>
        <v>GALUS ALBERTO FUENTE</v>
      </c>
      <c r="D1951" s="44" t="str">
        <f>IFERROR(__xludf.DUMMYFUNCTION("""COMPUTED_VALUE""")," ")</f>
        <v> </v>
      </c>
      <c r="E1951" s="44" t="str">
        <f>IFERROR(__xludf.DUMMYFUNCTION("""COMPUTED_VALUE"""),"")</f>
        <v/>
      </c>
      <c r="F1951" s="44" t="str">
        <f>IFERROR(__xludf.DUMMYFUNCTION("""COMPUTED_VALUE"""),"")</f>
        <v/>
      </c>
      <c r="G1951" s="44" t="str">
        <f>IFERROR(__xludf.DUMMYFUNCTION("""COMPUTED_VALUE""")," ")</f>
        <v> </v>
      </c>
      <c r="H1951" s="44" t="str">
        <f>IFERROR(__xludf.DUMMYFUNCTION("""COMPUTED_VALUE""")," ")</f>
        <v> </v>
      </c>
      <c r="I1951" s="44" t="str">
        <f>IFERROR(__xludf.DUMMYFUNCTION("""COMPUTED_VALUE"""),"Politrauma")</f>
        <v>Politrauma</v>
      </c>
      <c r="J1951" s="44" t="str">
        <f>IFERROR(__xludf.DUMMYFUNCTION("""COMPUTED_VALUE"""),"")</f>
        <v/>
      </c>
      <c r="K1951" s="42" t="str">
        <f>IFERROR(__xludf.DUMMYFUNCTION("""COMPUTED_VALUE"""),"🔍 BUSCAR PACIENTES")</f>
        <v>🔍 BUSCAR PACIENTES</v>
      </c>
    </row>
    <row r="1952">
      <c r="A1952" s="44">
        <v>1951.0</v>
      </c>
      <c r="B1952" s="44" t="str">
        <f>IFERROR(__xludf.DUMMYFUNCTION("""COMPUTED_VALUE"""),"Periférico de Catia")</f>
        <v>Periférico de Catia</v>
      </c>
      <c r="C1952" s="45" t="str">
        <f>IFERROR(__xludf.DUMMYFUNCTION("""COMPUTED_VALUE"""),"Galvi Yanieska")</f>
        <v>Galvi Yanieska</v>
      </c>
      <c r="D1952" s="44">
        <f>IFERROR(__xludf.DUMMYFUNCTION("""COMPUTED_VALUE"""),33.0)</f>
        <v>33</v>
      </c>
      <c r="E1952" s="44" t="str">
        <f>IFERROR(__xludf.DUMMYFUNCTION("""COMPUTED_VALUE"""),"")</f>
        <v/>
      </c>
      <c r="F1952" s="44" t="str">
        <f>IFERROR(__xludf.DUMMYFUNCTION("""COMPUTED_VALUE"""),"")</f>
        <v/>
      </c>
      <c r="G1952" s="44"/>
      <c r="H1952" s="44"/>
      <c r="I1952" s="44" t="str">
        <f>IFERROR(__xludf.DUMMYFUNCTION("""COMPUTED_VALUE"""),"Politrauma Emergencia Vieja — dada de alta segun nota de 8:30pm")</f>
        <v>Politrauma Emergencia Vieja — dada de alta segun nota de 8:30pm</v>
      </c>
      <c r="J1952" s="44" t="str">
        <f>IFERROR(__xludf.DUMMYFUNCTION("""COMPUTED_VALUE"""),"")</f>
        <v/>
      </c>
      <c r="K1952" s="42" t="str">
        <f>IFERROR(__xludf.DUMMYFUNCTION("""COMPUTED_VALUE"""),"Periférico de Catia")</f>
        <v>Periférico de Catia</v>
      </c>
    </row>
    <row r="1953">
      <c r="A1953" s="44">
        <v>1952.0</v>
      </c>
      <c r="B1953" s="44" t="str">
        <f>IFERROR(__xludf.DUMMYFUNCTION("""COMPUTED_VALUE"""),"H. Jose Maria Vargas LG")</f>
        <v>H. Jose Maria Vargas LG</v>
      </c>
      <c r="C1953" s="45" t="str">
        <f>IFERROR(__xludf.DUMMYFUNCTION("""COMPUTED_VALUE"""),"GALVIN NELSON")</f>
        <v>GALVIN NELSON</v>
      </c>
      <c r="D1953" s="44" t="str">
        <f>IFERROR(__xludf.DUMMYFUNCTION("""COMPUTED_VALUE""")," ")</f>
        <v> </v>
      </c>
      <c r="E1953" s="44" t="str">
        <f>IFERROR(__xludf.DUMMYFUNCTION("""COMPUTED_VALUE"""),"")</f>
        <v/>
      </c>
      <c r="F1953" s="44" t="str">
        <f>IFERROR(__xludf.DUMMYFUNCTION("""COMPUTED_VALUE"""),"")</f>
        <v/>
      </c>
      <c r="G1953" s="44" t="str">
        <f>IFERROR(__xludf.DUMMYFUNCTION("""COMPUTED_VALUE""")," ")</f>
        <v> </v>
      </c>
      <c r="H1953" s="44" t="str">
        <f>IFERROR(__xludf.DUMMYFUNCTION("""COMPUTED_VALUE""")," ")</f>
        <v> </v>
      </c>
      <c r="I1953" s="44" t="str">
        <f>IFERROR(__xludf.DUMMYFUNCTION("""COMPUTED_VALUE""")," ")</f>
        <v> </v>
      </c>
      <c r="J1953" s="44" t="str">
        <f>IFERROR(__xludf.DUMMYFUNCTION("""COMPUTED_VALUE"""),"")</f>
        <v/>
      </c>
      <c r="K1953" s="42" t="str">
        <f>IFERROR(__xludf.DUMMYFUNCTION("""COMPUTED_VALUE"""),"H. Jose Maria Vargas LG")</f>
        <v>H. Jose Maria Vargas LG</v>
      </c>
    </row>
    <row r="1954">
      <c r="A1954" s="44">
        <v>1953.0</v>
      </c>
      <c r="B1954" s="44" t="str">
        <f>IFERROR(__xludf.DUMMYFUNCTION("""COMPUTED_VALUE"""),"Hospital Domingo Luciani")</f>
        <v>Hospital Domingo Luciani</v>
      </c>
      <c r="C1954" s="45" t="str">
        <f>IFERROR(__xludf.DUMMYFUNCTION("""COMPUTED_VALUE"""),"GALVIS FUENTES ALBERTO")</f>
        <v>GALVIS FUENTES ALBERTO</v>
      </c>
      <c r="D1954" s="44" t="str">
        <f>IFERROR(__xludf.DUMMYFUNCTION("""COMPUTED_VALUE""")," ")</f>
        <v> </v>
      </c>
      <c r="E1954" s="44" t="str">
        <f>IFERROR(__xludf.DUMMYFUNCTION("""COMPUTED_VALUE"""),"")</f>
        <v/>
      </c>
      <c r="F1954" s="44" t="str">
        <f>IFERROR(__xludf.DUMMYFUNCTION("""COMPUTED_VALUE"""),"")</f>
        <v/>
      </c>
      <c r="G1954" s="44" t="str">
        <f>IFERROR(__xludf.DUMMYFUNCTION("""COMPUTED_VALUE""")," ")</f>
        <v> </v>
      </c>
      <c r="H1954" s="44" t="str">
        <f>IFERROR(__xludf.DUMMYFUNCTION("""COMPUTED_VALUE""")," ")</f>
        <v> </v>
      </c>
      <c r="I1954" s="44" t="str">
        <f>IFERROR(__xludf.DUMMYFUNCTION("""COMPUTED_VALUE"""),"Politrauma")</f>
        <v>Politrauma</v>
      </c>
      <c r="J1954" s="44" t="str">
        <f>IFERROR(__xludf.DUMMYFUNCTION("""COMPUTED_VALUE"""),"")</f>
        <v/>
      </c>
      <c r="K1954" s="42" t="str">
        <f>IFERROR(__xludf.DUMMYFUNCTION("""COMPUTED_VALUE"""),"🔍 BUSCAR PACIENTES")</f>
        <v>🔍 BUSCAR PACIENTES</v>
      </c>
    </row>
    <row r="1955">
      <c r="A1955" s="44">
        <v>1954.0</v>
      </c>
      <c r="B1955" s="44" t="str">
        <f>IFERROR(__xludf.DUMMYFUNCTION("""COMPUTED_VALUE"""),"H. Jose Maria Vargas LG")</f>
        <v>H. Jose Maria Vargas LG</v>
      </c>
      <c r="C1955" s="45" t="str">
        <f>IFERROR(__xludf.DUMMYFUNCTION("""COMPUTED_VALUE"""),"GALVIS MARIA")</f>
        <v>GALVIS MARIA</v>
      </c>
      <c r="D1955" s="44" t="str">
        <f>IFERROR(__xludf.DUMMYFUNCTION("""COMPUTED_VALUE""")," ")</f>
        <v> </v>
      </c>
      <c r="E1955" s="44" t="str">
        <f>IFERROR(__xludf.DUMMYFUNCTION("""COMPUTED_VALUE"""),"")</f>
        <v/>
      </c>
      <c r="F1955" s="44" t="str">
        <f>IFERROR(__xludf.DUMMYFUNCTION("""COMPUTED_VALUE"""),"")</f>
        <v/>
      </c>
      <c r="G1955" s="44" t="str">
        <f>IFERROR(__xludf.DUMMYFUNCTION("""COMPUTED_VALUE""")," ")</f>
        <v> </v>
      </c>
      <c r="H1955" s="44" t="str">
        <f>IFERROR(__xludf.DUMMYFUNCTION("""COMPUTED_VALUE""")," ")</f>
        <v> </v>
      </c>
      <c r="I1955" s="44" t="str">
        <f>IFERROR(__xludf.DUMMYFUNCTION("""COMPUTED_VALUE""")," ")</f>
        <v> </v>
      </c>
      <c r="J1955" s="44" t="str">
        <f>IFERROR(__xludf.DUMMYFUNCTION("""COMPUTED_VALUE"""),"")</f>
        <v/>
      </c>
      <c r="K1955" s="42" t="str">
        <f>IFERROR(__xludf.DUMMYFUNCTION("""COMPUTED_VALUE"""),"H. Jose Maria Vargas LG")</f>
        <v>H. Jose Maria Vargas LG</v>
      </c>
    </row>
    <row r="1956">
      <c r="A1956" s="44">
        <v>1955.0</v>
      </c>
      <c r="B1956" s="44" t="str">
        <f>IFERROR(__xludf.DUMMYFUNCTION("""COMPUTED_VALUE"""),"Hospital Domingo Luciani")</f>
        <v>Hospital Domingo Luciani</v>
      </c>
      <c r="C1956" s="45" t="str">
        <f>IFERROR(__xludf.DUMMYFUNCTION("""COMPUTED_VALUE"""),"GARABITO YOSEANI")</f>
        <v>GARABITO YOSEANI</v>
      </c>
      <c r="D1956" s="44">
        <f>IFERROR(__xludf.DUMMYFUNCTION("""COMPUTED_VALUE"""),30.0)</f>
        <v>30</v>
      </c>
      <c r="E1956" s="44" t="str">
        <f>IFERROR(__xludf.DUMMYFUNCTION("""COMPUTED_VALUE"""),"")</f>
        <v/>
      </c>
      <c r="F1956" s="44" t="str">
        <f>IFERROR(__xludf.DUMMYFUNCTION("""COMPUTED_VALUE"""),"")</f>
        <v/>
      </c>
      <c r="G1956" s="44" t="str">
        <f>IFERROR(__xludf.DUMMYFUNCTION("""COMPUTED_VALUE""")," ")</f>
        <v> </v>
      </c>
      <c r="H1956" s="44" t="str">
        <f>IFERROR(__xludf.DUMMYFUNCTION("""COMPUTED_VALUE""")," ")</f>
        <v> </v>
      </c>
      <c r="I1956" s="44" t="str">
        <f>IFERROR(__xludf.DUMMYFUNCTION("""COMPUTED_VALUE"""),"Politrauma Emerg. Vieja")</f>
        <v>Politrauma Emerg. Vieja</v>
      </c>
      <c r="J1956" s="44" t="str">
        <f>IFERROR(__xludf.DUMMYFUNCTION("""COMPUTED_VALUE"""),"")</f>
        <v/>
      </c>
      <c r="K1956" s="42" t="str">
        <f>IFERROR(__xludf.DUMMYFUNCTION("""COMPUTED_VALUE"""),"🔍 BUSCAR PACIENTES")</f>
        <v>🔍 BUSCAR PACIENTES</v>
      </c>
    </row>
    <row r="1957">
      <c r="A1957" s="44">
        <v>1956.0</v>
      </c>
      <c r="B1957" s="44" t="str">
        <f>IFERROR(__xludf.DUMMYFUNCTION("""COMPUTED_VALUE"""),"Periférico de Catia")</f>
        <v>Periférico de Catia</v>
      </c>
      <c r="C1957" s="45" t="str">
        <f>IFERROR(__xludf.DUMMYFUNCTION("""COMPUTED_VALUE"""),"Garabito Yoseanny")</f>
        <v>Garabito Yoseanny</v>
      </c>
      <c r="D1957" s="44">
        <f>IFERROR(__xludf.DUMMYFUNCTION("""COMPUTED_VALUE"""),30.0)</f>
        <v>30</v>
      </c>
      <c r="E1957" s="44" t="str">
        <f>IFERROR(__xludf.DUMMYFUNCTION("""COMPUTED_VALUE"""),"")</f>
        <v/>
      </c>
      <c r="F1957" s="44" t="str">
        <f>IFERROR(__xludf.DUMMYFUNCTION("""COMPUTED_VALUE"""),"")</f>
        <v/>
      </c>
      <c r="G1957" s="44"/>
      <c r="H1957" s="44"/>
      <c r="I1957" s="44" t="str">
        <f>IFERROR(__xludf.DUMMYFUNCTION("""COMPUTED_VALUE"""),"Quirofano")</f>
        <v>Quirofano</v>
      </c>
      <c r="J1957" s="44" t="str">
        <f>IFERROR(__xludf.DUMMYFUNCTION("""COMPUTED_VALUE"""),"")</f>
        <v/>
      </c>
      <c r="K1957" s="42" t="str">
        <f>IFERROR(__xludf.DUMMYFUNCTION("""COMPUTED_VALUE"""),"Periférico de Catia")</f>
        <v>Periférico de Catia</v>
      </c>
    </row>
    <row r="1958">
      <c r="A1958" s="44">
        <v>1957.0</v>
      </c>
      <c r="B1958" s="44" t="str">
        <f>IFERROR(__xludf.DUMMYFUNCTION("""COMPUTED_VALUE"""),"Hospital Domingo Luciani")</f>
        <v>Hospital Domingo Luciani</v>
      </c>
      <c r="C1958" s="45" t="str">
        <f>IFERROR(__xludf.DUMMYFUNCTION("""COMPUTED_VALUE"""),"GARAVITO ESPITIA YOHANY")</f>
        <v>GARAVITO ESPITIA YOHANY</v>
      </c>
      <c r="D1958" s="44" t="str">
        <f>IFERROR(__xludf.DUMMYFUNCTION("""COMPUTED_VALUE""")," ")</f>
        <v> </v>
      </c>
      <c r="E1958" s="44" t="str">
        <f>IFERROR(__xludf.DUMMYFUNCTION("""COMPUTED_VALUE"""),"")</f>
        <v/>
      </c>
      <c r="F1958" s="44" t="str">
        <f>IFERROR(__xludf.DUMMYFUNCTION("""COMPUTED_VALUE"""),"")</f>
        <v/>
      </c>
      <c r="G1958" s="44" t="str">
        <f>IFERROR(__xludf.DUMMYFUNCTION("""COMPUTED_VALUE""")," ")</f>
        <v> </v>
      </c>
      <c r="H1958" s="44" t="str">
        <f>IFERROR(__xludf.DUMMYFUNCTION("""COMPUTED_VALUE""")," ")</f>
        <v> </v>
      </c>
      <c r="I1958" s="44" t="str">
        <f>IFERROR(__xludf.DUMMYFUNCTION("""COMPUTED_VALUE""")," ")</f>
        <v> </v>
      </c>
      <c r="J1958" s="44" t="str">
        <f>IFERROR(__xludf.DUMMYFUNCTION("""COMPUTED_VALUE"""),"")</f>
        <v/>
      </c>
      <c r="K1958" s="42" t="str">
        <f>IFERROR(__xludf.DUMMYFUNCTION("""COMPUTED_VALUE"""),"🔍 BUSCAR PACIENTES")</f>
        <v>🔍 BUSCAR PACIENTES</v>
      </c>
    </row>
    <row r="1959">
      <c r="A1959" s="44">
        <v>1958.0</v>
      </c>
      <c r="B1959" s="44" t="str">
        <f>IFERROR(__xludf.DUMMYFUNCTION("""COMPUTED_VALUE"""),"Periférico de Catia")</f>
        <v>Periférico de Catia</v>
      </c>
      <c r="C1959" s="45" t="str">
        <f>IFERROR(__xludf.DUMMYFUNCTION("""COMPUTED_VALUE"""),"Garavito Espitia Yoriany")</f>
        <v>Garavito Espitia Yoriany</v>
      </c>
      <c r="D1959" s="44"/>
      <c r="E1959" s="44" t="str">
        <f>IFERROR(__xludf.DUMMYFUNCTION("""COMPUTED_VALUE"""),"")</f>
        <v/>
      </c>
      <c r="F1959" s="44" t="str">
        <f>IFERROR(__xludf.DUMMYFUNCTION("""COMPUTED_VALUE"""),"")</f>
        <v/>
      </c>
      <c r="G1959" s="44"/>
      <c r="H1959" s="44"/>
      <c r="I1959" s="44" t="str">
        <f>IFERROR(__xludf.DUMMYFUNCTION("""COMPUTED_VALUE"""),"Politrauma (continuacion, hoja sin edades)")</f>
        <v>Politrauma (continuacion, hoja sin edades)</v>
      </c>
      <c r="J1959" s="44" t="str">
        <f>IFERROR(__xludf.DUMMYFUNCTION("""COMPUTED_VALUE"""),"")</f>
        <v/>
      </c>
      <c r="K1959" s="42" t="str">
        <f>IFERROR(__xludf.DUMMYFUNCTION("""COMPUTED_VALUE"""),"Periférico de Catia")</f>
        <v>Periférico de Catia</v>
      </c>
    </row>
    <row r="1960">
      <c r="A1960" s="44">
        <v>1959.0</v>
      </c>
      <c r="B1960" s="44" t="str">
        <f>IFERROR(__xludf.DUMMYFUNCTION("""COMPUTED_VALUE"""),"Hospital Vargas de Caracas")</f>
        <v>Hospital Vargas de Caracas</v>
      </c>
      <c r="C1960" s="45" t="str">
        <f>IFERROR(__xludf.DUMMYFUNCTION("""COMPUTED_VALUE"""),"GARCIA ALBANY")</f>
        <v>GARCIA ALBANY</v>
      </c>
      <c r="D1960" s="44" t="str">
        <f>IFERROR(__xludf.DUMMYFUNCTION("""COMPUTED_VALUE""")," ")</f>
        <v> </v>
      </c>
      <c r="E1960" s="44" t="str">
        <f>IFERROR(__xludf.DUMMYFUNCTION("""COMPUTED_VALUE"""),"")</f>
        <v/>
      </c>
      <c r="F1960" s="44" t="str">
        <f>IFERROR(__xludf.DUMMYFUNCTION("""COMPUTED_VALUE""")," ")</f>
        <v> </v>
      </c>
      <c r="G1960" s="44" t="str">
        <f>IFERROR(__xludf.DUMMYFUNCTION("""COMPUTED_VALUE"""),"")</f>
        <v/>
      </c>
      <c r="H1960" s="44" t="str">
        <f>IFERROR(__xludf.DUMMYFUNCTION("""COMPUTED_VALUE""")," ")</f>
        <v> </v>
      </c>
      <c r="I1960" s="44" t="str">
        <f>IFERROR(__xludf.DUMMYFUNCTION("""COMPUTED_VALUE""")," ")</f>
        <v> </v>
      </c>
      <c r="J1960" s="44" t="str">
        <f>IFERROR(__xludf.DUMMYFUNCTION("""COMPUTED_VALUE"""),"")</f>
        <v/>
      </c>
      <c r="K1960" s="42" t="str">
        <f>IFERROR(__xludf.DUMMYFUNCTION("""COMPUTED_VALUE"""),"Hospital Vargas de Caracas")</f>
        <v>Hospital Vargas de Caracas</v>
      </c>
    </row>
    <row r="1961">
      <c r="A1961" s="44">
        <v>1960.0</v>
      </c>
      <c r="B1961" s="44" t="str">
        <f>IFERROR(__xludf.DUMMYFUNCTION("""COMPUTED_VALUE"""),"H. Jose Maria Vargas LG")</f>
        <v>H. Jose Maria Vargas LG</v>
      </c>
      <c r="C1961" s="45" t="str">
        <f>IFERROR(__xludf.DUMMYFUNCTION("""COMPUTED_VALUE"""),"GARCIA ANA")</f>
        <v>GARCIA ANA</v>
      </c>
      <c r="D1961" s="44" t="str">
        <f>IFERROR(__xludf.DUMMYFUNCTION("""COMPUTED_VALUE""")," ")</f>
        <v> </v>
      </c>
      <c r="E1961" s="44" t="str">
        <f>IFERROR(__xludf.DUMMYFUNCTION("""COMPUTED_VALUE"""),"")</f>
        <v/>
      </c>
      <c r="F1961" s="44" t="str">
        <f>IFERROR(__xludf.DUMMYFUNCTION("""COMPUTED_VALUE"""),"")</f>
        <v/>
      </c>
      <c r="G1961" s="44" t="str">
        <f>IFERROR(__xludf.DUMMYFUNCTION("""COMPUTED_VALUE""")," ")</f>
        <v> </v>
      </c>
      <c r="H1961" s="44" t="str">
        <f>IFERROR(__xludf.DUMMYFUNCTION("""COMPUTED_VALUE""")," ")</f>
        <v> </v>
      </c>
      <c r="I1961" s="44" t="str">
        <f>IFERROR(__xludf.DUMMYFUNCTION("""COMPUTED_VALUE""")," ")</f>
        <v> </v>
      </c>
      <c r="J1961" s="44" t="str">
        <f>IFERROR(__xludf.DUMMYFUNCTION("""COMPUTED_VALUE"""),"")</f>
        <v/>
      </c>
      <c r="K1961" s="42" t="str">
        <f>IFERROR(__xludf.DUMMYFUNCTION("""COMPUTED_VALUE"""),"H. Jose Maria Vargas LG")</f>
        <v>H. Jose Maria Vargas LG</v>
      </c>
    </row>
    <row r="1962">
      <c r="A1962" s="44">
        <v>1961.0</v>
      </c>
      <c r="B1962" s="44" t="str">
        <f>IFERROR(__xludf.DUMMYFUNCTION("""COMPUTED_VALUE"""),"Hospital Pérez Carreño")</f>
        <v>Hospital Pérez Carreño</v>
      </c>
      <c r="C1962" s="45" t="str">
        <f>IFERROR(__xludf.DUMMYFUNCTION("""COMPUTED_VALUE"""),"GARCIA ANDREA")</f>
        <v>GARCIA ANDREA</v>
      </c>
      <c r="D1962" s="44" t="str">
        <f>IFERROR(__xludf.DUMMYFUNCTION("""COMPUTED_VALUE""")," ")</f>
        <v> </v>
      </c>
      <c r="E1962" s="44" t="str">
        <f>IFERROR(__xludf.DUMMYFUNCTION("""COMPUTED_VALUE"""),"")</f>
        <v/>
      </c>
      <c r="F1962" s="44" t="str">
        <f>IFERROR(__xludf.DUMMYFUNCTION("""COMPUTED_VALUE"""),"")</f>
        <v/>
      </c>
      <c r="G1962" s="44" t="str">
        <f>IFERROR(__xludf.DUMMYFUNCTION("""COMPUTED_VALUE""")," ")</f>
        <v> </v>
      </c>
      <c r="H1962" s="44" t="str">
        <f>IFERROR(__xludf.DUMMYFUNCTION("""COMPUTED_VALUE""")," ")</f>
        <v> </v>
      </c>
      <c r="I1962" s="44" t="str">
        <f>IFERROR(__xludf.DUMMYFUNCTION("""COMPUTED_VALUE"""),"Internado")</f>
        <v>Internado</v>
      </c>
      <c r="J1962" s="44" t="str">
        <f>IFERROR(__xludf.DUMMYFUNCTION("""COMPUTED_VALUE"""),"25/06/2026")</f>
        <v>25/06/2026</v>
      </c>
      <c r="K1962" s="42" t="str">
        <f>IFERROR(__xludf.DUMMYFUNCTION("""COMPUTED_VALUE"""),"Hospital Pérez Carreño")</f>
        <v>Hospital Pérez Carreño</v>
      </c>
    </row>
    <row r="1963">
      <c r="A1963" s="44">
        <v>1962.0</v>
      </c>
      <c r="B1963" s="44" t="str">
        <f>IFERROR(__xludf.DUMMYFUNCTION("""COMPUTED_VALUE"""),"Cruz Roja")</f>
        <v>Cruz Roja</v>
      </c>
      <c r="C1963" s="45" t="str">
        <f>IFERROR(__xludf.DUMMYFUNCTION("""COMPUTED_VALUE"""),"GARCIA ANTONIO")</f>
        <v>GARCIA ANTONIO</v>
      </c>
      <c r="D1963" s="44">
        <f>IFERROR(__xludf.DUMMYFUNCTION("""COMPUTED_VALUE"""),36.0)</f>
        <v>36</v>
      </c>
      <c r="E1963" s="44" t="str">
        <f>IFERROR(__xludf.DUMMYFUNCTION("""COMPUTED_VALUE"""),"")</f>
        <v/>
      </c>
      <c r="F1963" s="44" t="str">
        <f>IFERROR(__xludf.DUMMYFUNCTION("""COMPUTED_VALUE"""),"")</f>
        <v/>
      </c>
      <c r="G1963" s="44">
        <f>IFERROR(__xludf.DUMMYFUNCTION("""COMPUTED_VALUE"""),2.010141E7)</f>
        <v>20101410</v>
      </c>
      <c r="H1963" s="44" t="str">
        <f>IFERROR(__xludf.DUMMYFUNCTION("""COMPUTED_VALUE"""),"Barinas")</f>
        <v>Barinas</v>
      </c>
      <c r="I1963" s="44" t="str">
        <f>IFERROR(__xludf.DUMMYFUNCTION("""COMPUTED_VALUE""")," ")</f>
        <v> </v>
      </c>
      <c r="J1963" s="44" t="str">
        <f>IFERROR(__xludf.DUMMYFUNCTION("""COMPUTED_VALUE"""),"")</f>
        <v/>
      </c>
      <c r="K1963" s="42" t="str">
        <f>IFERROR(__xludf.DUMMYFUNCTION("""COMPUTED_VALUE"""),"Cruz Roja")</f>
        <v>Cruz Roja</v>
      </c>
    </row>
    <row r="1964">
      <c r="A1964" s="44">
        <v>1963.0</v>
      </c>
      <c r="B1964" s="44" t="str">
        <f>IFERROR(__xludf.DUMMYFUNCTION("""COMPUTED_VALUE"""),"Hospital Domingo Luciani")</f>
        <v>Hospital Domingo Luciani</v>
      </c>
      <c r="C1964" s="45" t="str">
        <f>IFERROR(__xludf.DUMMYFUNCTION("""COMPUTED_VALUE"""),"GARCIA BRADIAN")</f>
        <v>GARCIA BRADIAN</v>
      </c>
      <c r="D1964" s="44">
        <f>IFERROR(__xludf.DUMMYFUNCTION("""COMPUTED_VALUE"""),8.0)</f>
        <v>8</v>
      </c>
      <c r="E1964" s="44" t="str">
        <f>IFERROR(__xludf.DUMMYFUNCTION("""COMPUTED_VALUE"""),"")</f>
        <v/>
      </c>
      <c r="F1964" s="44" t="str">
        <f>IFERROR(__xludf.DUMMYFUNCTION("""COMPUTED_VALUE"""),"")</f>
        <v/>
      </c>
      <c r="G1964" s="44" t="str">
        <f>IFERROR(__xludf.DUMMYFUNCTION("""COMPUTED_VALUE""")," ")</f>
        <v> </v>
      </c>
      <c r="H1964" s="44" t="str">
        <f>IFERROR(__xludf.DUMMYFUNCTION("""COMPUTED_VALUE""")," ")</f>
        <v> </v>
      </c>
      <c r="I1964" s="44" t="str">
        <f>IFERROR(__xludf.DUMMYFUNCTION("""COMPUTED_VALUE"""),"Pediatría – La Guaira")</f>
        <v>Pediatría – La Guaira</v>
      </c>
      <c r="J1964" s="44" t="str">
        <f>IFERROR(__xludf.DUMMYFUNCTION("""COMPUTED_VALUE"""),"")</f>
        <v/>
      </c>
      <c r="K1964" s="42" t="str">
        <f>IFERROR(__xludf.DUMMYFUNCTION("""COMPUTED_VALUE"""),"🔍 BUSCAR PACIENTES")</f>
        <v>🔍 BUSCAR PACIENTES</v>
      </c>
    </row>
    <row r="1965">
      <c r="A1965" s="44">
        <v>1964.0</v>
      </c>
      <c r="B1965" s="44" t="str">
        <f>IFERROR(__xludf.DUMMYFUNCTION("""COMPUTED_VALUE"""),"La Guaira Sin Hospital")</f>
        <v>La Guaira Sin Hospital</v>
      </c>
      <c r="C1965" s="45" t="str">
        <f>IFERROR(__xludf.DUMMYFUNCTION("""COMPUTED_VALUE"""),"Garcia Diego Mendoza")</f>
        <v>Garcia Diego Mendoza</v>
      </c>
      <c r="D1965" s="44" t="str">
        <f>IFERROR(__xludf.DUMMYFUNCTION("""COMPUTED_VALUE"""),"")</f>
        <v/>
      </c>
      <c r="E1965" s="44" t="str">
        <f>IFERROR(__xludf.DUMMYFUNCTION("""COMPUTED_VALUE"""),"")</f>
        <v/>
      </c>
      <c r="F1965" s="44" t="str">
        <f>IFERROR(__xludf.DUMMYFUNCTION("""COMPUTED_VALUE"""),"")</f>
        <v/>
      </c>
      <c r="G1965" s="44" t="str">
        <f>IFERROR(__xludf.DUMMYFUNCTION("""COMPUTED_VALUE"""),"")</f>
        <v/>
      </c>
      <c r="H1965" s="44" t="str">
        <f>IFERROR(__xludf.DUMMYFUNCTION("""COMPUTED_VALUE"""),"Caraballeda")</f>
        <v>Caraballeda</v>
      </c>
      <c r="I1965" s="44" t="str">
        <f>IFERROR(__xludf.DUMMYFUNCTION("""COMPUTED_VALUE"""),"Listas con ubicación")</f>
        <v>Listas con ubicación</v>
      </c>
      <c r="J1965" s="44" t="str">
        <f>IFERROR(__xludf.DUMMYFUNCTION("""COMPUTED_VALUE"""),"")</f>
        <v/>
      </c>
      <c r="K1965" s="42" t="str">
        <f>IFERROR(__xludf.DUMMYFUNCTION("""COMPUTED_VALUE"""),"La Guaira Sin Hospital")</f>
        <v>La Guaira Sin Hospital</v>
      </c>
    </row>
    <row r="1966">
      <c r="A1966" s="44">
        <v>1965.0</v>
      </c>
      <c r="B1966" s="44" t="str">
        <f>IFERROR(__xludf.DUMMYFUNCTION("""COMPUTED_VALUE"""),"Centro de Acopio Caraballeda")</f>
        <v>Centro de Acopio Caraballeda</v>
      </c>
      <c r="C1966" s="45" t="str">
        <f>IFERROR(__xludf.DUMMYFUNCTION("""COMPUTED_VALUE"""),"GARCIA EDWIN EFRAIN")</f>
        <v>GARCIA EDWIN EFRAIN</v>
      </c>
      <c r="D1966" s="44" t="str">
        <f>IFERROR(__xludf.DUMMYFUNCTION("""COMPUTED_VALUE""")," ")</f>
        <v> </v>
      </c>
      <c r="E1966" s="44" t="str">
        <f>IFERROR(__xludf.DUMMYFUNCTION("""COMPUTED_VALUE"""),"")</f>
        <v/>
      </c>
      <c r="F1966" s="44" t="str">
        <f>IFERROR(__xludf.DUMMYFUNCTION("""COMPUTED_VALUE"""),"")</f>
        <v/>
      </c>
      <c r="G1966" s="44" t="str">
        <f>IFERROR(__xludf.DUMMYFUNCTION("""COMPUTED_VALUE""")," ")</f>
        <v> </v>
      </c>
      <c r="H1966" s="44" t="str">
        <f>IFERROR(__xludf.DUMMYFUNCTION("""COMPUTED_VALUE""")," ")</f>
        <v> </v>
      </c>
      <c r="I1966" s="44" t="str">
        <f>IFERROR(__xludf.DUMMYFUNCTION("""COMPUTED_VALUE"""),"Internado")</f>
        <v>Internado</v>
      </c>
      <c r="J1966" s="44" t="str">
        <f>IFERROR(__xludf.DUMMYFUNCTION("""COMPUTED_VALUE"""),"")</f>
        <v/>
      </c>
      <c r="K1966" s="42" t="str">
        <f>IFERROR(__xludf.DUMMYFUNCTION("""COMPUTED_VALUE"""),"🔍 BUSCAR PACIENTES")</f>
        <v>🔍 BUSCAR PACIENTES</v>
      </c>
    </row>
    <row r="1967">
      <c r="A1967" s="44">
        <v>1966.0</v>
      </c>
      <c r="B1967" s="44" t="str">
        <f>IFERROR(__xludf.DUMMYFUNCTION("""COMPUTED_VALUE"""),"Hospital Domingo Luciani")</f>
        <v>Hospital Domingo Luciani</v>
      </c>
      <c r="C1967" s="45" t="str">
        <f>IFERROR(__xludf.DUMMYFUNCTION("""COMPUTED_VALUE"""),"GARCIA FERNANDA")</f>
        <v>GARCIA FERNANDA</v>
      </c>
      <c r="D1967" s="44">
        <f>IFERROR(__xludf.DUMMYFUNCTION("""COMPUTED_VALUE"""),34.0)</f>
        <v>34</v>
      </c>
      <c r="E1967" s="44" t="str">
        <f>IFERROR(__xludf.DUMMYFUNCTION("""COMPUTED_VALUE"""),"")</f>
        <v/>
      </c>
      <c r="F1967" s="44" t="str">
        <f>IFERROR(__xludf.DUMMYFUNCTION("""COMPUTED_VALUE"""),"")</f>
        <v/>
      </c>
      <c r="G1967" s="44" t="str">
        <f>IFERROR(__xludf.DUMMYFUNCTION("""COMPUTED_VALUE""")," ")</f>
        <v> </v>
      </c>
      <c r="H1967" s="44" t="str">
        <f>IFERROR(__xludf.DUMMYFUNCTION("""COMPUTED_VALUE""")," ")</f>
        <v> </v>
      </c>
      <c r="I1967" s="44" t="str">
        <f>IFERROR(__xludf.DUMMYFUNCTION("""COMPUTED_VALUE""")," ")</f>
        <v> </v>
      </c>
      <c r="J1967" s="44" t="str">
        <f>IFERROR(__xludf.DUMMYFUNCTION("""COMPUTED_VALUE"""),"")</f>
        <v/>
      </c>
      <c r="K1967" s="42" t="str">
        <f>IFERROR(__xludf.DUMMYFUNCTION("""COMPUTED_VALUE"""),"🔍 BUSCAR PACIENTES")</f>
        <v>🔍 BUSCAR PACIENTES</v>
      </c>
    </row>
    <row r="1968">
      <c r="A1968" s="44">
        <v>1967.0</v>
      </c>
      <c r="B1968" s="44" t="str">
        <f>IFERROR(__xludf.DUMMYFUNCTION("""COMPUTED_VALUE"""),"Hospital Pérez Carreño")</f>
        <v>Hospital Pérez Carreño</v>
      </c>
      <c r="C1968" s="45" t="str">
        <f>IFERROR(__xludf.DUMMYFUNCTION("""COMPUTED_VALUE"""),"Garcia Gabriel")</f>
        <v>Garcia Gabriel</v>
      </c>
      <c r="D1968" s="44" t="str">
        <f>IFERROR(__xludf.DUMMYFUNCTION("""COMPUTED_VALUE"""),"9 años")</f>
        <v>9 años</v>
      </c>
      <c r="E1968" s="44" t="str">
        <f>IFERROR(__xludf.DUMMYFUNCTION("""COMPUTED_VALUE"""),"")</f>
        <v/>
      </c>
      <c r="F1968" s="44" t="str">
        <f>IFERROR(__xludf.DUMMYFUNCTION("""COMPUTED_VALUE"""),"")</f>
        <v/>
      </c>
      <c r="G1968" s="44" t="str">
        <f>IFERROR(__xludf.DUMMYFUNCTION("""COMPUTED_VALUE"""),"Pediatria")</f>
        <v>Pediatria</v>
      </c>
      <c r="H1968" s="44" t="str">
        <f>IFERROR(__xludf.DUMMYFUNCTION("""COMPUTED_VALUE"""),"Hospital Miguel Perez Carreño")</f>
        <v>Hospital Miguel Perez Carreño</v>
      </c>
      <c r="I1968" s="44"/>
      <c r="J1968" s="44" t="str">
        <f>IFERROR(__xludf.DUMMYFUNCTION("""COMPUTED_VALUE"""),"26/6/26")</f>
        <v>26/6/26</v>
      </c>
      <c r="K1968" s="42" t="str">
        <f>IFERROR(__xludf.DUMMYFUNCTION("""COMPUTED_VALUE"""),"Hospital Pérez Carreño")</f>
        <v>Hospital Pérez Carreño</v>
      </c>
    </row>
    <row r="1969">
      <c r="A1969" s="44">
        <v>1968.0</v>
      </c>
      <c r="B1969" s="44" t="str">
        <f>IFERROR(__xludf.DUMMYFUNCTION("""COMPUTED_VALUE"""),"Hospital Vargas de Caracas")</f>
        <v>Hospital Vargas de Caracas</v>
      </c>
      <c r="C1969" s="45" t="str">
        <f>IFERROR(__xludf.DUMMYFUNCTION("""COMPUTED_VALUE"""),"GARCIA GN")</f>
        <v>GARCIA GN</v>
      </c>
      <c r="D1969" s="44" t="str">
        <f>IFERROR(__xludf.DUMMYFUNCTION("""COMPUTED_VALUE""")," ")</f>
        <v> </v>
      </c>
      <c r="E1969" s="44" t="str">
        <f>IFERROR(__xludf.DUMMYFUNCTION("""COMPUTED_VALUE"""),"")</f>
        <v/>
      </c>
      <c r="F1969" s="44" t="str">
        <f>IFERROR(__xludf.DUMMYFUNCTION("""COMPUTED_VALUE""")," ")</f>
        <v> </v>
      </c>
      <c r="G1969" s="44" t="str">
        <f>IFERROR(__xludf.DUMMYFUNCTION("""COMPUTED_VALUE"""),"")</f>
        <v/>
      </c>
      <c r="H1969" s="44" t="str">
        <f>IFERROR(__xludf.DUMMYFUNCTION("""COMPUTED_VALUE"""),"Guaira")</f>
        <v>Guaira</v>
      </c>
      <c r="I1969" s="44" t="str">
        <f>IFERROR(__xludf.DUMMYFUNCTION("""COMPUTED_VALUE""")," ")</f>
        <v> </v>
      </c>
      <c r="J1969" s="44" t="str">
        <f>IFERROR(__xludf.DUMMYFUNCTION("""COMPUTED_VALUE"""),"")</f>
        <v/>
      </c>
      <c r="K1969" s="42" t="str">
        <f>IFERROR(__xludf.DUMMYFUNCTION("""COMPUTED_VALUE"""),"Hospital Vargas de Caracas")</f>
        <v>Hospital Vargas de Caracas</v>
      </c>
    </row>
    <row r="1970">
      <c r="A1970" s="44">
        <v>1969.0</v>
      </c>
      <c r="B1970" s="44" t="str">
        <f>IFERROR(__xludf.DUMMYFUNCTION("""COMPUTED_VALUE"""),"Centro de Acopio Caraballeda")</f>
        <v>Centro de Acopio Caraballeda</v>
      </c>
      <c r="C1970" s="45" t="str">
        <f>IFERROR(__xludf.DUMMYFUNCTION("""COMPUTED_VALUE"""),"GARCIA JOEL ALBERTO")</f>
        <v>GARCIA JOEL ALBERTO</v>
      </c>
      <c r="D1970" s="44" t="str">
        <f>IFERROR(__xludf.DUMMYFUNCTION("""COMPUTED_VALUE""")," ")</f>
        <v> </v>
      </c>
      <c r="E1970" s="44" t="str">
        <f>IFERROR(__xludf.DUMMYFUNCTION("""COMPUTED_VALUE"""),"")</f>
        <v/>
      </c>
      <c r="F1970" s="44" t="str">
        <f>IFERROR(__xludf.DUMMYFUNCTION("""COMPUTED_VALUE"""),"")</f>
        <v/>
      </c>
      <c r="G1970" s="44" t="str">
        <f>IFERROR(__xludf.DUMMYFUNCTION("""COMPUTED_VALUE""")," ")</f>
        <v> </v>
      </c>
      <c r="H1970" s="44" t="str">
        <f>IFERROR(__xludf.DUMMYFUNCTION("""COMPUTED_VALUE""")," ")</f>
        <v> </v>
      </c>
      <c r="I1970" s="44" t="str">
        <f>IFERROR(__xludf.DUMMYFUNCTION("""COMPUTED_VALUE"""),"Internado")</f>
        <v>Internado</v>
      </c>
      <c r="J1970" s="44" t="str">
        <f>IFERROR(__xludf.DUMMYFUNCTION("""COMPUTED_VALUE"""),"")</f>
        <v/>
      </c>
      <c r="K1970" s="42" t="str">
        <f>IFERROR(__xludf.DUMMYFUNCTION("""COMPUTED_VALUE"""),"🔍 BUSCAR PACIENTES")</f>
        <v>🔍 BUSCAR PACIENTES</v>
      </c>
    </row>
    <row r="1971">
      <c r="A1971" s="44">
        <v>1970.0</v>
      </c>
      <c r="B1971" s="44" t="str">
        <f>IFERROR(__xludf.DUMMYFUNCTION("""COMPUTED_VALUE"""),"Hospital Vargas de Caracas")</f>
        <v>Hospital Vargas de Caracas</v>
      </c>
      <c r="C1971" s="45" t="str">
        <f>IFERROR(__xludf.DUMMYFUNCTION("""COMPUTED_VALUE"""),"GARCIA JOLISHE")</f>
        <v>GARCIA JOLISHE</v>
      </c>
      <c r="D1971" s="44" t="str">
        <f>IFERROR(__xludf.DUMMYFUNCTION("""COMPUTED_VALUE""")," ")</f>
        <v> </v>
      </c>
      <c r="E1971" s="44" t="str">
        <f>IFERROR(__xludf.DUMMYFUNCTION("""COMPUTED_VALUE"""),"")</f>
        <v/>
      </c>
      <c r="F1971" s="44" t="str">
        <f>IFERROR(__xludf.DUMMYFUNCTION("""COMPUTED_VALUE""")," ")</f>
        <v> </v>
      </c>
      <c r="G1971" s="44" t="str">
        <f>IFERROR(__xludf.DUMMYFUNCTION("""COMPUTED_VALUE"""),"")</f>
        <v/>
      </c>
      <c r="H1971" s="44" t="str">
        <f>IFERROR(__xludf.DUMMYFUNCTION("""COMPUTED_VALUE"""),"Guaira")</f>
        <v>Guaira</v>
      </c>
      <c r="I1971" s="44" t="str">
        <f>IFERROR(__xludf.DUMMYFUNCTION("""COMPUTED_VALUE""")," ")</f>
        <v> </v>
      </c>
      <c r="J1971" s="44" t="str">
        <f>IFERROR(__xludf.DUMMYFUNCTION("""COMPUTED_VALUE"""),"")</f>
        <v/>
      </c>
      <c r="K1971" s="42" t="str">
        <f>IFERROR(__xludf.DUMMYFUNCTION("""COMPUTED_VALUE"""),"Hospital Vargas de Caracas")</f>
        <v>Hospital Vargas de Caracas</v>
      </c>
    </row>
    <row r="1972">
      <c r="A1972" s="44">
        <v>1971.0</v>
      </c>
      <c r="B1972" s="44" t="str">
        <f>IFERROR(__xludf.DUMMYFUNCTION("""COMPUTED_VALUE"""),"Hospital Domingo Luciani")</f>
        <v>Hospital Domingo Luciani</v>
      </c>
      <c r="C1972" s="45" t="str">
        <f>IFERROR(__xludf.DUMMYFUNCTION("""COMPUTED_VALUE"""),"GARCIA JOSE")</f>
        <v>GARCIA JOSE</v>
      </c>
      <c r="D1972" s="44">
        <f>IFERROR(__xludf.DUMMYFUNCTION("""COMPUTED_VALUE"""),54.0)</f>
        <v>54</v>
      </c>
      <c r="E1972" s="44" t="str">
        <f>IFERROR(__xludf.DUMMYFUNCTION("""COMPUTED_VALUE"""),"")</f>
        <v/>
      </c>
      <c r="F1972" s="44" t="str">
        <f>IFERROR(__xludf.DUMMYFUNCTION("""COMPUTED_VALUE"""),"")</f>
        <v/>
      </c>
      <c r="G1972" s="44" t="str">
        <f>IFERROR(__xludf.DUMMYFUNCTION("""COMPUTED_VALUE""")," ")</f>
        <v> </v>
      </c>
      <c r="H1972" s="44" t="str">
        <f>IFERROR(__xludf.DUMMYFUNCTION("""COMPUTED_VALUE""")," ")</f>
        <v> </v>
      </c>
      <c r="I1972" s="44" t="str">
        <f>IFERROR(__xludf.DUMMYFUNCTION("""COMPUTED_VALUE"""),"Trauma")</f>
        <v>Trauma</v>
      </c>
      <c r="J1972" s="44" t="str">
        <f>IFERROR(__xludf.DUMMYFUNCTION("""COMPUTED_VALUE"""),"")</f>
        <v/>
      </c>
      <c r="K1972" s="42" t="str">
        <f>IFERROR(__xludf.DUMMYFUNCTION("""COMPUTED_VALUE"""),"🔍 BUSCAR PACIENTES")</f>
        <v>🔍 BUSCAR PACIENTES</v>
      </c>
    </row>
    <row r="1973">
      <c r="A1973" s="44">
        <v>1972.0</v>
      </c>
      <c r="B1973" s="44" t="str">
        <f>IFERROR(__xludf.DUMMYFUNCTION("""COMPUTED_VALUE"""),"Hospital Pérez Carreño")</f>
        <v>Hospital Pérez Carreño</v>
      </c>
      <c r="C1973" s="45" t="str">
        <f>IFERROR(__xludf.DUMMYFUNCTION("""COMPUTED_VALUE"""),"Garcia Julieth")</f>
        <v>Garcia Julieth</v>
      </c>
      <c r="D1973" s="44" t="str">
        <f>IFERROR(__xludf.DUMMYFUNCTION("""COMPUTED_VALUE"""),"8 años")</f>
        <v>8 años</v>
      </c>
      <c r="E1973" s="44" t="str">
        <f>IFERROR(__xludf.DUMMYFUNCTION("""COMPUTED_VALUE"""),"")</f>
        <v/>
      </c>
      <c r="F1973" s="44" t="str">
        <f>IFERROR(__xludf.DUMMYFUNCTION("""COMPUTED_VALUE"""),"")</f>
        <v/>
      </c>
      <c r="G1973" s="44" t="str">
        <f>IFERROR(__xludf.DUMMYFUNCTION("""COMPUTED_VALUE"""),"Pediatria")</f>
        <v>Pediatria</v>
      </c>
      <c r="H1973" s="44" t="str">
        <f>IFERROR(__xludf.DUMMYFUNCTION("""COMPUTED_VALUE"""),"Hospital Miguel Perez Carreño")</f>
        <v>Hospital Miguel Perez Carreño</v>
      </c>
      <c r="I1973" s="44"/>
      <c r="J1973" s="44" t="str">
        <f>IFERROR(__xludf.DUMMYFUNCTION("""COMPUTED_VALUE"""),"26/6/26")</f>
        <v>26/6/26</v>
      </c>
      <c r="K1973" s="42" t="str">
        <f>IFERROR(__xludf.DUMMYFUNCTION("""COMPUTED_VALUE"""),"Hospital Pérez Carreño")</f>
        <v>Hospital Pérez Carreño</v>
      </c>
    </row>
    <row r="1974">
      <c r="A1974" s="44">
        <v>1973.0</v>
      </c>
      <c r="B1974" s="44" t="str">
        <f>IFERROR(__xludf.DUMMYFUNCTION("""COMPUTED_VALUE"""),"La Guaira Sin Hospital")</f>
        <v>La Guaira Sin Hospital</v>
      </c>
      <c r="C1974" s="45" t="str">
        <f>IFERROR(__xludf.DUMMYFUNCTION("""COMPUTED_VALUE"""),"Garcia Kofrman Bayanus Martinez")</f>
        <v>Garcia Kofrman Bayanus Martinez</v>
      </c>
      <c r="D1974" s="44" t="str">
        <f>IFERROR(__xludf.DUMMYFUNCTION("""COMPUTED_VALUE"""),"")</f>
        <v/>
      </c>
      <c r="E1974" s="44" t="str">
        <f>IFERROR(__xludf.DUMMYFUNCTION("""COMPUTED_VALUE"""),"")</f>
        <v/>
      </c>
      <c r="F1974" s="44" t="str">
        <f>IFERROR(__xludf.DUMMYFUNCTION("""COMPUTED_VALUE"""),"")</f>
        <v/>
      </c>
      <c r="G1974" s="44" t="str">
        <f>IFERROR(__xludf.DUMMYFUNCTION("""COMPUTED_VALUE"""),"")</f>
        <v/>
      </c>
      <c r="H1974" s="44" t="str">
        <f>IFERROR(__xludf.DUMMYFUNCTION("""COMPUTED_VALUE"""),"Marquetia")</f>
        <v>Marquetia</v>
      </c>
      <c r="I1974" s="44" t="str">
        <f>IFERROR(__xludf.DUMMYFUNCTION("""COMPUTED_VALUE"""),"Listas con ubicación")</f>
        <v>Listas con ubicación</v>
      </c>
      <c r="J1974" s="44" t="str">
        <f>IFERROR(__xludf.DUMMYFUNCTION("""COMPUTED_VALUE"""),"")</f>
        <v/>
      </c>
      <c r="K1974" s="42" t="str">
        <f>IFERROR(__xludf.DUMMYFUNCTION("""COMPUTED_VALUE"""),"La Guaira Sin Hospital")</f>
        <v>La Guaira Sin Hospital</v>
      </c>
    </row>
    <row r="1975">
      <c r="A1975" s="44">
        <v>1974.0</v>
      </c>
      <c r="B1975" s="44" t="str">
        <f>IFERROR(__xludf.DUMMYFUNCTION("""COMPUTED_VALUE"""),"Centro de Acopio Caraballeda")</f>
        <v>Centro de Acopio Caraballeda</v>
      </c>
      <c r="C1975" s="45" t="str">
        <f>IFERROR(__xludf.DUMMYFUNCTION("""COMPUTED_VALUE"""),"GARCIA LIRALDYS")</f>
        <v>GARCIA LIRALDYS</v>
      </c>
      <c r="D1975" s="44" t="str">
        <f>IFERROR(__xludf.DUMMYFUNCTION("""COMPUTED_VALUE""")," ")</f>
        <v> </v>
      </c>
      <c r="E1975" s="44" t="str">
        <f>IFERROR(__xludf.DUMMYFUNCTION("""COMPUTED_VALUE"""),"")</f>
        <v/>
      </c>
      <c r="F1975" s="44" t="str">
        <f>IFERROR(__xludf.DUMMYFUNCTION("""COMPUTED_VALUE"""),"")</f>
        <v/>
      </c>
      <c r="G1975" s="44" t="str">
        <f>IFERROR(__xludf.DUMMYFUNCTION("""COMPUTED_VALUE""")," ")</f>
        <v> </v>
      </c>
      <c r="H1975" s="44" t="str">
        <f>IFERROR(__xludf.DUMMYFUNCTION("""COMPUTED_VALUE""")," ")</f>
        <v> </v>
      </c>
      <c r="I1975" s="44" t="str">
        <f>IFERROR(__xludf.DUMMYFUNCTION("""COMPUTED_VALUE"""),"Internado")</f>
        <v>Internado</v>
      </c>
      <c r="J1975" s="44" t="str">
        <f>IFERROR(__xludf.DUMMYFUNCTION("""COMPUTED_VALUE"""),"")</f>
        <v/>
      </c>
      <c r="K1975" s="42" t="str">
        <f>IFERROR(__xludf.DUMMYFUNCTION("""COMPUTED_VALUE"""),"🔍 BUSCAR PACIENTES")</f>
        <v>🔍 BUSCAR PACIENTES</v>
      </c>
    </row>
    <row r="1976">
      <c r="A1976" s="44">
        <v>1975.0</v>
      </c>
      <c r="B1976" s="44" t="str">
        <f>IFERROR(__xludf.DUMMYFUNCTION("""COMPUTED_VALUE"""),"Hospital Pérez Carreño")</f>
        <v>Hospital Pérez Carreño</v>
      </c>
      <c r="C1976" s="45" t="str">
        <f>IFERROR(__xludf.DUMMYFUNCTION("""COMPUTED_VALUE"""),"GARCIA MARTINEZ KEILIMAR DAYANA")</f>
        <v>GARCIA MARTINEZ KEILIMAR DAYANA</v>
      </c>
      <c r="D1976" s="44" t="str">
        <f>IFERROR(__xludf.DUMMYFUNCTION("""COMPUTED_VALUE""")," ")</f>
        <v> </v>
      </c>
      <c r="E1976" s="44" t="str">
        <f>IFERROR(__xludf.DUMMYFUNCTION("""COMPUTED_VALUE"""),"")</f>
        <v/>
      </c>
      <c r="F1976" s="44" t="str">
        <f>IFERROR(__xludf.DUMMYFUNCTION("""COMPUTED_VALUE"""),"")</f>
        <v/>
      </c>
      <c r="G1976" s="44" t="str">
        <f>IFERROR(__xludf.DUMMYFUNCTION("""COMPUTED_VALUE""")," ")</f>
        <v> </v>
      </c>
      <c r="H1976" s="44" t="str">
        <f>IFERROR(__xludf.DUMMYFUNCTION("""COMPUTED_VALUE""")," ")</f>
        <v> </v>
      </c>
      <c r="I1976" s="44" t="str">
        <f>IFERROR(__xludf.DUMMYFUNCTION("""COMPUTED_VALUE"""),"Internado")</f>
        <v>Internado</v>
      </c>
      <c r="J1976" s="44" t="str">
        <f>IFERROR(__xludf.DUMMYFUNCTION("""COMPUTED_VALUE"""),"25/06/2026")</f>
        <v>25/06/2026</v>
      </c>
      <c r="K1976" s="42" t="str">
        <f>IFERROR(__xludf.DUMMYFUNCTION("""COMPUTED_VALUE"""),"Hospital Pérez Carreño")</f>
        <v>Hospital Pérez Carreño</v>
      </c>
    </row>
    <row r="1977">
      <c r="A1977" s="44">
        <v>1976.0</v>
      </c>
      <c r="B1977" s="44" t="str">
        <f>IFERROR(__xludf.DUMMYFUNCTION("""COMPUTED_VALUE"""),"Hospital Pérez Carreño")</f>
        <v>Hospital Pérez Carreño</v>
      </c>
      <c r="C1977" s="45" t="str">
        <f>IFERROR(__xludf.DUMMYFUNCTION("""COMPUTED_VALUE"""),"Garcia Martins Kelman Bergana")</f>
        <v>Garcia Martins Kelman Bergana</v>
      </c>
      <c r="D1977" s="44"/>
      <c r="E1977" s="44" t="str">
        <f>IFERROR(__xludf.DUMMYFUNCTION("""COMPUTED_VALUE"""),"")</f>
        <v/>
      </c>
      <c r="F1977" s="44" t="str">
        <f>IFERROR(__xludf.DUMMYFUNCTION("""COMPUTED_VALUE"""),"")</f>
        <v/>
      </c>
      <c r="G1977" s="44" t="str">
        <f>IFERROR(__xludf.DUMMYFUNCTION("""COMPUTED_VALUE"""),"Traslados con destino asignado")</f>
        <v>Traslados con destino asignado</v>
      </c>
      <c r="H1977" s="44" t="str">
        <f>IFERROR(__xludf.DUMMYFUNCTION("""COMPUTED_VALUE"""),"Hospital Miguel Perez Carreño")</f>
        <v>Hospital Miguel Perez Carreño</v>
      </c>
      <c r="I1977" s="44"/>
      <c r="J1977" s="44" t="str">
        <f>IFERROR(__xludf.DUMMYFUNCTION("""COMPUTED_VALUE"""),"26/6/26")</f>
        <v>26/6/26</v>
      </c>
      <c r="K1977" s="42" t="str">
        <f>IFERROR(__xludf.DUMMYFUNCTION("""COMPUTED_VALUE"""),"Hospital Pérez Carreño")</f>
        <v>Hospital Pérez Carreño</v>
      </c>
    </row>
    <row r="1978">
      <c r="A1978" s="44">
        <v>1977.0</v>
      </c>
      <c r="B1978" s="44" t="str">
        <f>IFERROR(__xludf.DUMMYFUNCTION("""COMPUTED_VALUE"""),"Hospital Pérez Carreño")</f>
        <v>Hospital Pérez Carreño</v>
      </c>
      <c r="C1978" s="45" t="str">
        <f>IFERROR(__xludf.DUMMYFUNCTION("""COMPUTED_VALUE"""),"GARCIA MELENDEZ OLEINIS VALENTINA")</f>
        <v>GARCIA MELENDEZ OLEINIS VALENTINA</v>
      </c>
      <c r="D1978" s="44" t="str">
        <f>IFERROR(__xludf.DUMMYFUNCTION("""COMPUTED_VALUE""")," ")</f>
        <v> </v>
      </c>
      <c r="E1978" s="44" t="str">
        <f>IFERROR(__xludf.DUMMYFUNCTION("""COMPUTED_VALUE"""),"")</f>
        <v/>
      </c>
      <c r="F1978" s="44" t="str">
        <f>IFERROR(__xludf.DUMMYFUNCTION("""COMPUTED_VALUE"""),"")</f>
        <v/>
      </c>
      <c r="G1978" s="44" t="str">
        <f>IFERROR(__xludf.DUMMYFUNCTION("""COMPUTED_VALUE""")," ")</f>
        <v> </v>
      </c>
      <c r="H1978" s="44" t="str">
        <f>IFERROR(__xludf.DUMMYFUNCTION("""COMPUTED_VALUE""")," ")</f>
        <v> </v>
      </c>
      <c r="I1978" s="44" t="str">
        <f>IFERROR(__xludf.DUMMYFUNCTION("""COMPUTED_VALUE"""),"Internado")</f>
        <v>Internado</v>
      </c>
      <c r="J1978" s="44" t="str">
        <f>IFERROR(__xludf.DUMMYFUNCTION("""COMPUTED_VALUE"""),"25/06/2026")</f>
        <v>25/06/2026</v>
      </c>
      <c r="K1978" s="42" t="str">
        <f>IFERROR(__xludf.DUMMYFUNCTION("""COMPUTED_VALUE"""),"Hospital Pérez Carreño")</f>
        <v>Hospital Pérez Carreño</v>
      </c>
    </row>
    <row r="1979">
      <c r="A1979" s="44">
        <v>1978.0</v>
      </c>
      <c r="B1979" s="44" t="str">
        <f>IFERROR(__xludf.DUMMYFUNCTION("""COMPUTED_VALUE"""),"Hospital Pérez Carreño")</f>
        <v>Hospital Pérez Carreño</v>
      </c>
      <c r="C1979" s="45" t="str">
        <f>IFERROR(__xludf.DUMMYFUNCTION("""COMPUTED_VALUE"""),"Garcia Melendez Oleins Valentina")</f>
        <v>Garcia Melendez Oleins Valentina</v>
      </c>
      <c r="D1979" s="44"/>
      <c r="E1979" s="44" t="str">
        <f>IFERROR(__xludf.DUMMYFUNCTION("""COMPUTED_VALUE"""),"")</f>
        <v/>
      </c>
      <c r="F1979" s="44" t="str">
        <f>IFERROR(__xludf.DUMMYFUNCTION("""COMPUTED_VALUE"""),"")</f>
        <v/>
      </c>
      <c r="G1979" s="44" t="str">
        <f>IFERROR(__xludf.DUMMYFUNCTION("""COMPUTED_VALUE"""),"Traslados con destino asignado")</f>
        <v>Traslados con destino asignado</v>
      </c>
      <c r="H1979" s="44" t="str">
        <f>IFERROR(__xludf.DUMMYFUNCTION("""COMPUTED_VALUE"""),"Hospital Miguel Perez Carreño")</f>
        <v>Hospital Miguel Perez Carreño</v>
      </c>
      <c r="I1979" s="44"/>
      <c r="J1979" s="44" t="str">
        <f>IFERROR(__xludf.DUMMYFUNCTION("""COMPUTED_VALUE"""),"26/6/26")</f>
        <v>26/6/26</v>
      </c>
      <c r="K1979" s="42" t="str">
        <f>IFERROR(__xludf.DUMMYFUNCTION("""COMPUTED_VALUE"""),"Hospital Pérez Carreño")</f>
        <v>Hospital Pérez Carreño</v>
      </c>
    </row>
    <row r="1980">
      <c r="A1980" s="44">
        <v>1979.0</v>
      </c>
      <c r="B1980" s="44" t="str">
        <f>IFERROR(__xludf.DUMMYFUNCTION("""COMPUTED_VALUE"""),"H. Jose Maria Vargas LG")</f>
        <v>H. Jose Maria Vargas LG</v>
      </c>
      <c r="C1980" s="45" t="str">
        <f>IFERROR(__xludf.DUMMYFUNCTION("""COMPUTED_VALUE"""),"GARCIA ODALIS")</f>
        <v>GARCIA ODALIS</v>
      </c>
      <c r="D1980" s="44" t="str">
        <f>IFERROR(__xludf.DUMMYFUNCTION("""COMPUTED_VALUE""")," ")</f>
        <v> </v>
      </c>
      <c r="E1980" s="44" t="str">
        <f>IFERROR(__xludf.DUMMYFUNCTION("""COMPUTED_VALUE"""),"")</f>
        <v/>
      </c>
      <c r="F1980" s="44" t="str">
        <f>IFERROR(__xludf.DUMMYFUNCTION("""COMPUTED_VALUE"""),"")</f>
        <v/>
      </c>
      <c r="G1980" s="44" t="str">
        <f>IFERROR(__xludf.DUMMYFUNCTION("""COMPUTED_VALUE""")," ")</f>
        <v> </v>
      </c>
      <c r="H1980" s="44" t="str">
        <f>IFERROR(__xludf.DUMMYFUNCTION("""COMPUTED_VALUE""")," ")</f>
        <v> </v>
      </c>
      <c r="I1980" s="44" t="str">
        <f>IFERROR(__xludf.DUMMYFUNCTION("""COMPUTED_VALUE""")," ")</f>
        <v> </v>
      </c>
      <c r="J1980" s="44" t="str">
        <f>IFERROR(__xludf.DUMMYFUNCTION("""COMPUTED_VALUE"""),"")</f>
        <v/>
      </c>
      <c r="K1980" s="42" t="str">
        <f>IFERROR(__xludf.DUMMYFUNCTION("""COMPUTED_VALUE"""),"H. Jose Maria Vargas LG")</f>
        <v>H. Jose Maria Vargas LG</v>
      </c>
    </row>
    <row r="1981">
      <c r="A1981" s="44">
        <v>1980.0</v>
      </c>
      <c r="B1981" s="44" t="str">
        <f>IFERROR(__xludf.DUMMYFUNCTION("""COMPUTED_VALUE"""),"H. Jose Maria Vargas LG")</f>
        <v>H. Jose Maria Vargas LG</v>
      </c>
      <c r="C1981" s="45" t="str">
        <f>IFERROR(__xludf.DUMMYFUNCTION("""COMPUTED_VALUE"""),"GARCIA OLIANYELY")</f>
        <v>GARCIA OLIANYELY</v>
      </c>
      <c r="D1981" s="44" t="str">
        <f>IFERROR(__xludf.DUMMYFUNCTION("""COMPUTED_VALUE""")," ")</f>
        <v> </v>
      </c>
      <c r="E1981" s="44" t="str">
        <f>IFERROR(__xludf.DUMMYFUNCTION("""COMPUTED_VALUE"""),"")</f>
        <v/>
      </c>
      <c r="F1981" s="44" t="str">
        <f>IFERROR(__xludf.DUMMYFUNCTION("""COMPUTED_VALUE"""),"")</f>
        <v/>
      </c>
      <c r="G1981" s="44" t="str">
        <f>IFERROR(__xludf.DUMMYFUNCTION("""COMPUTED_VALUE""")," ")</f>
        <v> </v>
      </c>
      <c r="H1981" s="44" t="str">
        <f>IFERROR(__xludf.DUMMYFUNCTION("""COMPUTED_VALUE""")," ")</f>
        <v> </v>
      </c>
      <c r="I1981" s="44" t="str">
        <f>IFERROR(__xludf.DUMMYFUNCTION("""COMPUTED_VALUE""")," ")</f>
        <v> </v>
      </c>
      <c r="J1981" s="44" t="str">
        <f>IFERROR(__xludf.DUMMYFUNCTION("""COMPUTED_VALUE"""),"")</f>
        <v/>
      </c>
      <c r="K1981" s="42" t="str">
        <f>IFERROR(__xludf.DUMMYFUNCTION("""COMPUTED_VALUE"""),"H. Jose Maria Vargas LG")</f>
        <v>H. Jose Maria Vargas LG</v>
      </c>
    </row>
    <row r="1982">
      <c r="A1982" s="44">
        <v>1981.0</v>
      </c>
      <c r="B1982" s="44" t="str">
        <f>IFERROR(__xludf.DUMMYFUNCTION("""COMPUTED_VALUE"""),"Periférico de Catia")</f>
        <v>Periférico de Catia</v>
      </c>
      <c r="C1982" s="45" t="str">
        <f>IFERROR(__xludf.DUMMYFUNCTION("""COMPUTED_VALUE"""),"Garcia Rodas")</f>
        <v>Garcia Rodas</v>
      </c>
      <c r="D1982" s="44"/>
      <c r="E1982" s="44" t="str">
        <f>IFERROR(__xludf.DUMMYFUNCTION("""COMPUTED_VALUE"""),"")</f>
        <v/>
      </c>
      <c r="F1982" s="44" t="str">
        <f>IFERROR(__xludf.DUMMYFUNCTION("""COMPUTED_VALUE"""),"")</f>
        <v/>
      </c>
      <c r="G1982" s="44"/>
      <c r="H1982" s="44"/>
      <c r="I1982" s="44" t="str">
        <f>IFERROR(__xludf.DUMMYFUNCTION("""COMPUTED_VALUE"""),"Nota adicional 8:30pm (mismo grupo Politrauma) — dado de alta (sin edad)")</f>
        <v>Nota adicional 8:30pm (mismo grupo Politrauma) — dado de alta (sin edad)</v>
      </c>
      <c r="J1982" s="44" t="str">
        <f>IFERROR(__xludf.DUMMYFUNCTION("""COMPUTED_VALUE"""),"")</f>
        <v/>
      </c>
      <c r="K1982" s="42" t="str">
        <f>IFERROR(__xludf.DUMMYFUNCTION("""COMPUTED_VALUE"""),"Periférico de Catia")</f>
        <v>Periférico de Catia</v>
      </c>
    </row>
    <row r="1983">
      <c r="A1983" s="44">
        <v>1982.0</v>
      </c>
      <c r="B1983" s="44" t="str">
        <f>IFERROR(__xludf.DUMMYFUNCTION("""COMPUTED_VALUE"""),"Hospital Domingo Luciani")</f>
        <v>Hospital Domingo Luciani</v>
      </c>
      <c r="C1983" s="45" t="str">
        <f>IFERROR(__xludf.DUMMYFUNCTION("""COMPUTED_VALUE"""),"GARCIA VEGA")</f>
        <v>GARCIA VEGA</v>
      </c>
      <c r="D1983" s="44">
        <f>IFERROR(__xludf.DUMMYFUNCTION("""COMPUTED_VALUE"""),1.0)</f>
        <v>1</v>
      </c>
      <c r="E1983" s="44" t="str">
        <f>IFERROR(__xludf.DUMMYFUNCTION("""COMPUTED_VALUE"""),"")</f>
        <v/>
      </c>
      <c r="F1983" s="44" t="str">
        <f>IFERROR(__xludf.DUMMYFUNCTION("""COMPUTED_VALUE"""),"")</f>
        <v/>
      </c>
      <c r="G1983" s="44" t="str">
        <f>IFERROR(__xludf.DUMMYFUNCTION("""COMPUTED_VALUE""")," ")</f>
        <v> </v>
      </c>
      <c r="H1983" s="44" t="str">
        <f>IFERROR(__xludf.DUMMYFUNCTION("""COMPUTED_VALUE""")," ")</f>
        <v> </v>
      </c>
      <c r="I1983" s="44" t="str">
        <f>IFERROR(__xludf.DUMMYFUNCTION("""COMPUTED_VALUE"""),"Internado; PEDIATRIA")</f>
        <v>Internado; PEDIATRIA</v>
      </c>
      <c r="J1983" s="44" t="str">
        <f>IFERROR(__xludf.DUMMYFUNCTION("""COMPUTED_VALUE"""),"")</f>
        <v/>
      </c>
      <c r="K1983" s="42" t="str">
        <f>IFERROR(__xludf.DUMMYFUNCTION("""COMPUTED_VALUE"""),"🔍 BUSCAR PACIENTES")</f>
        <v>🔍 BUSCAR PACIENTES</v>
      </c>
    </row>
    <row r="1984">
      <c r="A1984" s="44">
        <v>1983.0</v>
      </c>
      <c r="B1984" s="44" t="str">
        <f>IFERROR(__xludf.DUMMYFUNCTION("""COMPUTED_VALUE"""),"La Guaira Sin Hospital")</f>
        <v>La Guaira Sin Hospital</v>
      </c>
      <c r="C1984" s="45" t="str">
        <f>IFERROR(__xludf.DUMMYFUNCTION("""COMPUTED_VALUE"""),"Garcia Velasquez Yarbert Armando")</f>
        <v>Garcia Velasquez Yarbert Armando</v>
      </c>
      <c r="D1984" s="44" t="str">
        <f>IFERROR(__xludf.DUMMYFUNCTION("""COMPUTED_VALUE"""),"")</f>
        <v/>
      </c>
      <c r="E1984" s="44" t="str">
        <f>IFERROR(__xludf.DUMMYFUNCTION("""COMPUTED_VALUE"""),"")</f>
        <v/>
      </c>
      <c r="F1984" s="44" t="str">
        <f>IFERROR(__xludf.DUMMYFUNCTION("""COMPUTED_VALUE"""),"")</f>
        <v/>
      </c>
      <c r="G1984" s="44" t="str">
        <f>IFERROR(__xludf.DUMMYFUNCTION("""COMPUTED_VALUE"""),"")</f>
        <v/>
      </c>
      <c r="H1984" s="44"/>
      <c r="I1984" s="44" t="str">
        <f>IFERROR(__xludf.DUMMYFUNCTION("""COMPUTED_VALUE"""),"Listas solo con nombre")</f>
        <v>Listas solo con nombre</v>
      </c>
      <c r="J1984" s="44" t="str">
        <f>IFERROR(__xludf.DUMMYFUNCTION("""COMPUTED_VALUE"""),"")</f>
        <v/>
      </c>
      <c r="K1984" s="42" t="str">
        <f>IFERROR(__xludf.DUMMYFUNCTION("""COMPUTED_VALUE"""),"La Guaira Sin Hospital")</f>
        <v>La Guaira Sin Hospital</v>
      </c>
    </row>
    <row r="1985">
      <c r="A1985" s="44">
        <v>1984.0</v>
      </c>
      <c r="B1985" s="44" t="str">
        <f>IFERROR(__xludf.DUMMYFUNCTION("""COMPUTED_VALUE"""),"Hospital Pérez Carreño")</f>
        <v>Hospital Pérez Carreño</v>
      </c>
      <c r="C1985" s="45" t="str">
        <f>IFERROR(__xludf.DUMMYFUNCTION("""COMPUTED_VALUE"""),"GARCIA VELASQUEZ YARBET ARMANDO")</f>
        <v>GARCIA VELASQUEZ YARBET ARMANDO</v>
      </c>
      <c r="D1985" s="44" t="str">
        <f>IFERROR(__xludf.DUMMYFUNCTION("""COMPUTED_VALUE""")," ")</f>
        <v> </v>
      </c>
      <c r="E1985" s="44" t="str">
        <f>IFERROR(__xludf.DUMMYFUNCTION("""COMPUTED_VALUE"""),"")</f>
        <v/>
      </c>
      <c r="F1985" s="44" t="str">
        <f>IFERROR(__xludf.DUMMYFUNCTION("""COMPUTED_VALUE"""),"")</f>
        <v/>
      </c>
      <c r="G1985" s="44" t="str">
        <f>IFERROR(__xludf.DUMMYFUNCTION("""COMPUTED_VALUE""")," ")</f>
        <v> </v>
      </c>
      <c r="H1985" s="44" t="str">
        <f>IFERROR(__xludf.DUMMYFUNCTION("""COMPUTED_VALUE""")," ")</f>
        <v> </v>
      </c>
      <c r="I1985" s="44" t="str">
        <f>IFERROR(__xludf.DUMMYFUNCTION("""COMPUTED_VALUE"""),"Internado")</f>
        <v>Internado</v>
      </c>
      <c r="J1985" s="44" t="str">
        <f>IFERROR(__xludf.DUMMYFUNCTION("""COMPUTED_VALUE"""),"25/06/2026")</f>
        <v>25/06/2026</v>
      </c>
      <c r="K1985" s="42" t="str">
        <f>IFERROR(__xludf.DUMMYFUNCTION("""COMPUTED_VALUE"""),"Hospital Pérez Carreño")</f>
        <v>Hospital Pérez Carreño</v>
      </c>
    </row>
    <row r="1986">
      <c r="A1986" s="44">
        <v>1985.0</v>
      </c>
      <c r="B1986" s="44" t="str">
        <f>IFERROR(__xludf.DUMMYFUNCTION("""COMPUTED_VALUE"""),"Hospital Pérez Carreño")</f>
        <v>Hospital Pérez Carreño</v>
      </c>
      <c r="C1986" s="45" t="str">
        <f>IFERROR(__xludf.DUMMYFUNCTION("""COMPUTED_VALUE"""),"Garcia Velasquez Yaubert Armando")</f>
        <v>Garcia Velasquez Yaubert Armando</v>
      </c>
      <c r="D1986" s="44"/>
      <c r="E1986" s="44" t="str">
        <f>IFERROR(__xludf.DUMMYFUNCTION("""COMPUTED_VALUE"""),"")</f>
        <v/>
      </c>
      <c r="F1986" s="44" t="str">
        <f>IFERROR(__xludf.DUMMYFUNCTION("""COMPUTED_VALUE"""),"")</f>
        <v/>
      </c>
      <c r="G1986" s="44" t="str">
        <f>IFERROR(__xludf.DUMMYFUNCTION("""COMPUTED_VALUE"""),"Traslados")</f>
        <v>Traslados</v>
      </c>
      <c r="H1986" s="44" t="str">
        <f>IFERROR(__xludf.DUMMYFUNCTION("""COMPUTED_VALUE"""),"Hospital Miguel Perez Carreño")</f>
        <v>Hospital Miguel Perez Carreño</v>
      </c>
      <c r="I1986" s="44"/>
      <c r="J1986" s="44" t="str">
        <f>IFERROR(__xludf.DUMMYFUNCTION("""COMPUTED_VALUE"""),"26/6/26")</f>
        <v>26/6/26</v>
      </c>
      <c r="K1986" s="42" t="str">
        <f>IFERROR(__xludf.DUMMYFUNCTION("""COMPUTED_VALUE"""),"Hospital Pérez Carreño")</f>
        <v>Hospital Pérez Carreño</v>
      </c>
    </row>
    <row r="1987">
      <c r="A1987" s="44">
        <v>1986.0</v>
      </c>
      <c r="B1987" s="44" t="str">
        <f>IFERROR(__xludf.DUMMYFUNCTION("""COMPUTED_VALUE"""),"Hospital Pérez Carreño")</f>
        <v>Hospital Pérez Carreño</v>
      </c>
      <c r="C1987" s="45" t="str">
        <f>IFERROR(__xludf.DUMMYFUNCTION("""COMPUTED_VALUE"""),"GARCIA VERDE GABRIEL EZEQUIEL")</f>
        <v>GARCIA VERDE GABRIEL EZEQUIEL</v>
      </c>
      <c r="D1987" s="44">
        <f>IFERROR(__xludf.DUMMYFUNCTION("""COMPUTED_VALUE"""),9.0)</f>
        <v>9</v>
      </c>
      <c r="E1987" s="44" t="str">
        <f>IFERROR(__xludf.DUMMYFUNCTION("""COMPUTED_VALUE"""),"")</f>
        <v/>
      </c>
      <c r="F1987" s="44" t="str">
        <f>IFERROR(__xludf.DUMMYFUNCTION("""COMPUTED_VALUE"""),"")</f>
        <v/>
      </c>
      <c r="G1987" s="44" t="str">
        <f>IFERROR(__xludf.DUMMYFUNCTION("""COMPUTED_VALUE""")," ")</f>
        <v> </v>
      </c>
      <c r="H1987" s="44" t="str">
        <f>IFERROR(__xludf.DUMMYFUNCTION("""COMPUTED_VALUE""")," ")</f>
        <v> </v>
      </c>
      <c r="I1987" s="44" t="str">
        <f>IFERROR(__xludf.DUMMYFUNCTION("""COMPUTED_VALUE"""),"Emerg. Pediátrica – La Guaira")</f>
        <v>Emerg. Pediátrica – La Guaira</v>
      </c>
      <c r="J1987" s="44" t="str">
        <f>IFERROR(__xludf.DUMMYFUNCTION("""COMPUTED_VALUE"""),"25/06/2026")</f>
        <v>25/06/2026</v>
      </c>
      <c r="K1987" s="42" t="str">
        <f>IFERROR(__xludf.DUMMYFUNCTION("""COMPUTED_VALUE"""),"Hospital Pérez Carreño")</f>
        <v>Hospital Pérez Carreño</v>
      </c>
    </row>
    <row r="1988">
      <c r="A1988" s="44">
        <v>1987.0</v>
      </c>
      <c r="B1988" s="44" t="str">
        <f>IFERROR(__xludf.DUMMYFUNCTION("""COMPUTED_VALUE"""),"Hospital Pérez Carreño")</f>
        <v>Hospital Pérez Carreño</v>
      </c>
      <c r="C1988" s="45" t="str">
        <f>IFERROR(__xludf.DUMMYFUNCTION("""COMPUTED_VALUE"""),"Garcia Verde Gabriel Ezequil")</f>
        <v>Garcia Verde Gabriel Ezequil</v>
      </c>
      <c r="D1988" s="44"/>
      <c r="E1988" s="44" t="str">
        <f>IFERROR(__xludf.DUMMYFUNCTION("""COMPUTED_VALUE"""),"")</f>
        <v/>
      </c>
      <c r="F1988" s="44" t="str">
        <f>IFERROR(__xludf.DUMMYFUNCTION("""COMPUTED_VALUE"""),"")</f>
        <v/>
      </c>
      <c r="G1988" s="44" t="str">
        <f>IFERROR(__xludf.DUMMYFUNCTION("""COMPUTED_VALUE"""),"Traslados con destino asignado")</f>
        <v>Traslados con destino asignado</v>
      </c>
      <c r="H1988" s="44" t="str">
        <f>IFERROR(__xludf.DUMMYFUNCTION("""COMPUTED_VALUE"""),"Hospital Miguel Perez Carreño")</f>
        <v>Hospital Miguel Perez Carreño</v>
      </c>
      <c r="I1988" s="44"/>
      <c r="J1988" s="44" t="str">
        <f>IFERROR(__xludf.DUMMYFUNCTION("""COMPUTED_VALUE"""),"26/6/26")</f>
        <v>26/6/26</v>
      </c>
      <c r="K1988" s="42" t="str">
        <f>IFERROR(__xludf.DUMMYFUNCTION("""COMPUTED_VALUE"""),"Hospital Pérez Carreño")</f>
        <v>Hospital Pérez Carreño</v>
      </c>
    </row>
    <row r="1989">
      <c r="A1989" s="44">
        <v>1988.0</v>
      </c>
      <c r="B1989" s="44" t="str">
        <f>IFERROR(__xludf.DUMMYFUNCTION("""COMPUTED_VALUE"""),"Hospital Pérez Carreño")</f>
        <v>Hospital Pérez Carreño</v>
      </c>
      <c r="C1989" s="45" t="str">
        <f>IFERROR(__xludf.DUMMYFUNCTION("""COMPUTED_VALUE"""),"GARCIA VOLEIBOR")</f>
        <v>GARCIA VOLEIBOR</v>
      </c>
      <c r="D1989" s="44" t="str">
        <f>IFERROR(__xludf.DUMMYFUNCTION("""COMPUTED_VALUE""")," ")</f>
        <v> </v>
      </c>
      <c r="E1989" s="44" t="str">
        <f>IFERROR(__xludf.DUMMYFUNCTION("""COMPUTED_VALUE"""),"")</f>
        <v/>
      </c>
      <c r="F1989" s="44" t="str">
        <f>IFERROR(__xludf.DUMMYFUNCTION("""COMPUTED_VALUE"""),"")</f>
        <v/>
      </c>
      <c r="G1989" s="44" t="str">
        <f>IFERROR(__xludf.DUMMYFUNCTION("""COMPUTED_VALUE""")," ")</f>
        <v> </v>
      </c>
      <c r="H1989" s="44" t="str">
        <f>IFERROR(__xludf.DUMMYFUNCTION("""COMPUTED_VALUE""")," ")</f>
        <v> </v>
      </c>
      <c r="I1989" s="44" t="str">
        <f>IFERROR(__xludf.DUMMYFUNCTION("""COMPUTED_VALUE"""),"Traumachok – Neurocirugía; Tomografía; La Guaira")</f>
        <v>Traumachok – Neurocirugía; Tomografía; La Guaira</v>
      </c>
      <c r="J1989" s="44" t="str">
        <f>IFERROR(__xludf.DUMMYFUNCTION("""COMPUTED_VALUE"""),"25/06/2026")</f>
        <v>25/06/2026</v>
      </c>
      <c r="K1989" s="42" t="str">
        <f>IFERROR(__xludf.DUMMYFUNCTION("""COMPUTED_VALUE"""),"Hospital Pérez Carreño")</f>
        <v>Hospital Pérez Carreño</v>
      </c>
    </row>
    <row r="1990">
      <c r="A1990" s="44">
        <v>1989.0</v>
      </c>
      <c r="B1990" s="44" t="str">
        <f>IFERROR(__xludf.DUMMYFUNCTION("""COMPUTED_VALUE"""),"H. Jose Maria Vargas LG")</f>
        <v>H. Jose Maria Vargas LG</v>
      </c>
      <c r="C1990" s="45" t="str">
        <f>IFERROR(__xludf.DUMMYFUNCTION("""COMPUTED_VALUE"""),"GARCIA YAMILET")</f>
        <v>GARCIA YAMILET</v>
      </c>
      <c r="D1990" s="44" t="str">
        <f>IFERROR(__xludf.DUMMYFUNCTION("""COMPUTED_VALUE""")," ")</f>
        <v> </v>
      </c>
      <c r="E1990" s="44" t="str">
        <f>IFERROR(__xludf.DUMMYFUNCTION("""COMPUTED_VALUE"""),"")</f>
        <v/>
      </c>
      <c r="F1990" s="44" t="str">
        <f>IFERROR(__xludf.DUMMYFUNCTION("""COMPUTED_VALUE"""),"")</f>
        <v/>
      </c>
      <c r="G1990" s="44" t="str">
        <f>IFERROR(__xludf.DUMMYFUNCTION("""COMPUTED_VALUE""")," ")</f>
        <v> </v>
      </c>
      <c r="H1990" s="44" t="str">
        <f>IFERROR(__xludf.DUMMYFUNCTION("""COMPUTED_VALUE""")," ")</f>
        <v> </v>
      </c>
      <c r="I1990" s="44" t="str">
        <f>IFERROR(__xludf.DUMMYFUNCTION("""COMPUTED_VALUE""")," ")</f>
        <v> </v>
      </c>
      <c r="J1990" s="44" t="str">
        <f>IFERROR(__xludf.DUMMYFUNCTION("""COMPUTED_VALUE"""),"")</f>
        <v/>
      </c>
      <c r="K1990" s="42" t="str">
        <f>IFERROR(__xludf.DUMMYFUNCTION("""COMPUTED_VALUE"""),"H. Jose Maria Vargas LG")</f>
        <v>H. Jose Maria Vargas LG</v>
      </c>
    </row>
    <row r="1991">
      <c r="A1991" s="44">
        <v>1990.0</v>
      </c>
      <c r="B1991" s="44" t="str">
        <f>IFERROR(__xludf.DUMMYFUNCTION("""COMPUTED_VALUE"""),"Centro de Acopio Caraballeda")</f>
        <v>Centro de Acopio Caraballeda</v>
      </c>
      <c r="C1991" s="45" t="str">
        <f>IFERROR(__xludf.DUMMYFUNCTION("""COMPUTED_VALUE"""),"GARCIA YEIKELIS")</f>
        <v>GARCIA YEIKELIS</v>
      </c>
      <c r="D1991" s="44" t="str">
        <f>IFERROR(__xludf.DUMMYFUNCTION("""COMPUTED_VALUE""")," ")</f>
        <v> </v>
      </c>
      <c r="E1991" s="44" t="str">
        <f>IFERROR(__xludf.DUMMYFUNCTION("""COMPUTED_VALUE"""),"")</f>
        <v/>
      </c>
      <c r="F1991" s="44" t="str">
        <f>IFERROR(__xludf.DUMMYFUNCTION("""COMPUTED_VALUE"""),"")</f>
        <v/>
      </c>
      <c r="G1991" s="44" t="str">
        <f>IFERROR(__xludf.DUMMYFUNCTION("""COMPUTED_VALUE""")," ")</f>
        <v> </v>
      </c>
      <c r="H1991" s="44" t="str">
        <f>IFERROR(__xludf.DUMMYFUNCTION("""COMPUTED_VALUE""")," ")</f>
        <v> </v>
      </c>
      <c r="I1991" s="44" t="str">
        <f>IFERROR(__xludf.DUMMYFUNCTION("""COMPUTED_VALUE"""),"Internado")</f>
        <v>Internado</v>
      </c>
      <c r="J1991" s="44" t="str">
        <f>IFERROR(__xludf.DUMMYFUNCTION("""COMPUTED_VALUE"""),"")</f>
        <v/>
      </c>
      <c r="K1991" s="42" t="str">
        <f>IFERROR(__xludf.DUMMYFUNCTION("""COMPUTED_VALUE"""),"🔍 BUSCAR PACIENTES")</f>
        <v>🔍 BUSCAR PACIENTES</v>
      </c>
    </row>
    <row r="1992">
      <c r="A1992" s="44">
        <v>1991.0</v>
      </c>
      <c r="B1992" s="44" t="str">
        <f>IFERROR(__xludf.DUMMYFUNCTION("""COMPUTED_VALUE"""),"Centro de Acopio Caraballeda")</f>
        <v>Centro de Acopio Caraballeda</v>
      </c>
      <c r="C1992" s="45" t="str">
        <f>IFERROR(__xludf.DUMMYFUNCTION("""COMPUTED_VALUE"""),"GARCIA YEIKER")</f>
        <v>GARCIA YEIKER</v>
      </c>
      <c r="D1992" s="44" t="str">
        <f>IFERROR(__xludf.DUMMYFUNCTION("""COMPUTED_VALUE""")," ")</f>
        <v> </v>
      </c>
      <c r="E1992" s="44" t="str">
        <f>IFERROR(__xludf.DUMMYFUNCTION("""COMPUTED_VALUE"""),"")</f>
        <v/>
      </c>
      <c r="F1992" s="44" t="str">
        <f>IFERROR(__xludf.DUMMYFUNCTION("""COMPUTED_VALUE"""),"")</f>
        <v/>
      </c>
      <c r="G1992" s="44" t="str">
        <f>IFERROR(__xludf.DUMMYFUNCTION("""COMPUTED_VALUE""")," ")</f>
        <v> </v>
      </c>
      <c r="H1992" s="44" t="str">
        <f>IFERROR(__xludf.DUMMYFUNCTION("""COMPUTED_VALUE""")," ")</f>
        <v> </v>
      </c>
      <c r="I1992" s="44" t="str">
        <f>IFERROR(__xludf.DUMMYFUNCTION("""COMPUTED_VALUE"""),"Internado")</f>
        <v>Internado</v>
      </c>
      <c r="J1992" s="44" t="str">
        <f>IFERROR(__xludf.DUMMYFUNCTION("""COMPUTED_VALUE"""),"")</f>
        <v/>
      </c>
      <c r="K1992" s="42" t="str">
        <f>IFERROR(__xludf.DUMMYFUNCTION("""COMPUTED_VALUE"""),"🔍 BUSCAR PACIENTES")</f>
        <v>🔍 BUSCAR PACIENTES</v>
      </c>
    </row>
    <row r="1993">
      <c r="A1993" s="44">
        <v>1992.0</v>
      </c>
      <c r="B1993" s="44" t="str">
        <f>IFERROR(__xludf.DUMMYFUNCTION("""COMPUTED_VALUE"""),"Periférico de Catia")</f>
        <v>Periférico de Catia</v>
      </c>
      <c r="C1993" s="45" t="str">
        <f>IFERROR(__xludf.DUMMYFUNCTION("""COMPUTED_VALUE"""),"GARCIA YENNY")</f>
        <v>GARCIA YENNY</v>
      </c>
      <c r="D1993" s="44" t="str">
        <f>IFERROR(__xludf.DUMMYFUNCTION("""COMPUTED_VALUE""")," ")</f>
        <v> </v>
      </c>
      <c r="E1993" s="44" t="str">
        <f>IFERROR(__xludf.DUMMYFUNCTION("""COMPUTED_VALUE"""),"")</f>
        <v/>
      </c>
      <c r="F1993" s="44" t="str">
        <f>IFERROR(__xludf.DUMMYFUNCTION("""COMPUTED_VALUE"""),"")</f>
        <v/>
      </c>
      <c r="G1993" s="44" t="str">
        <f>IFERROR(__xludf.DUMMYFUNCTION("""COMPUTED_VALUE""")," ")</f>
        <v> </v>
      </c>
      <c r="H1993" s="44" t="str">
        <f>IFERROR(__xludf.DUMMYFUNCTION("""COMPUTED_VALUE""")," ")</f>
        <v> </v>
      </c>
      <c r="I1993" s="44" t="str">
        <f>IFERROR(__xludf.DUMMYFUNCTION("""COMPUTED_VALUE"""),"Internado")</f>
        <v>Internado</v>
      </c>
      <c r="J1993" s="44" t="str">
        <f>IFERROR(__xludf.DUMMYFUNCTION("""COMPUTED_VALUE"""),"")</f>
        <v/>
      </c>
      <c r="K1993" s="42" t="str">
        <f>IFERROR(__xludf.DUMMYFUNCTION("""COMPUTED_VALUE"""),"Periférico de Catia")</f>
        <v>Periférico de Catia</v>
      </c>
    </row>
    <row r="1994">
      <c r="A1994" s="44">
        <v>1993.0</v>
      </c>
      <c r="B1994" s="44" t="str">
        <f>IFERROR(__xludf.DUMMYFUNCTION("""COMPUTED_VALUE"""),"Hospital Vargas de Caracas")</f>
        <v>Hospital Vargas de Caracas</v>
      </c>
      <c r="C1994" s="45" t="str">
        <f>IFERROR(__xludf.DUMMYFUNCTION("""COMPUTED_VALUE"""),"GARCIA YOLIBER")</f>
        <v>GARCIA YOLIBER</v>
      </c>
      <c r="D1994" s="44">
        <f>IFERROR(__xludf.DUMMYFUNCTION("""COMPUTED_VALUE"""),22.0)</f>
        <v>22</v>
      </c>
      <c r="E1994" s="44" t="str">
        <f>IFERROR(__xludf.DUMMYFUNCTION("""COMPUTED_VALUE"""),"")</f>
        <v/>
      </c>
      <c r="F1994" s="44" t="str">
        <f>IFERROR(__xludf.DUMMYFUNCTION("""COMPUTED_VALUE""")," ")</f>
        <v> </v>
      </c>
      <c r="G1994" s="44" t="str">
        <f>IFERROR(__xludf.DUMMYFUNCTION("""COMPUTED_VALUE"""),"")</f>
        <v/>
      </c>
      <c r="H1994" s="44" t="str">
        <f>IFERROR(__xludf.DUMMYFUNCTION("""COMPUTED_VALUE""")," ")</f>
        <v> </v>
      </c>
      <c r="I1994" s="44" t="str">
        <f>IFERROR(__xludf.DUMMYFUNCTION("""COMPUTED_VALUE"""),"⚠ FALLECIDO")</f>
        <v>⚠ FALLECIDO</v>
      </c>
      <c r="J1994" s="44" t="str">
        <f>IFERROR(__xludf.DUMMYFUNCTION("""COMPUTED_VALUE"""),"")</f>
        <v/>
      </c>
      <c r="K1994" s="42" t="str">
        <f>IFERROR(__xludf.DUMMYFUNCTION("""COMPUTED_VALUE"""),"Hospital Vargas de Caracas")</f>
        <v>Hospital Vargas de Caracas</v>
      </c>
    </row>
    <row r="1995">
      <c r="A1995" s="44">
        <v>1994.0</v>
      </c>
      <c r="B1995" s="44" t="str">
        <f>IFERROR(__xludf.DUMMYFUNCTION("""COMPUTED_VALUE"""),"Centro de Acopio Caraballeda")</f>
        <v>Centro de Acopio Caraballeda</v>
      </c>
      <c r="C1995" s="45" t="str">
        <f>IFERROR(__xludf.DUMMYFUNCTION("""COMPUTED_VALUE"""),"GARCIA YUBELKIS")</f>
        <v>GARCIA YUBELKIS</v>
      </c>
      <c r="D1995" s="44" t="str">
        <f>IFERROR(__xludf.DUMMYFUNCTION("""COMPUTED_VALUE""")," ")</f>
        <v> </v>
      </c>
      <c r="E1995" s="44" t="str">
        <f>IFERROR(__xludf.DUMMYFUNCTION("""COMPUTED_VALUE"""),"")</f>
        <v/>
      </c>
      <c r="F1995" s="44" t="str">
        <f>IFERROR(__xludf.DUMMYFUNCTION("""COMPUTED_VALUE"""),"")</f>
        <v/>
      </c>
      <c r="G1995" s="44" t="str">
        <f>IFERROR(__xludf.DUMMYFUNCTION("""COMPUTED_VALUE""")," ")</f>
        <v> </v>
      </c>
      <c r="H1995" s="44" t="str">
        <f>IFERROR(__xludf.DUMMYFUNCTION("""COMPUTED_VALUE""")," ")</f>
        <v> </v>
      </c>
      <c r="I1995" s="44" t="str">
        <f>IFERROR(__xludf.DUMMYFUNCTION("""COMPUTED_VALUE"""),"Internado")</f>
        <v>Internado</v>
      </c>
      <c r="J1995" s="44" t="str">
        <f>IFERROR(__xludf.DUMMYFUNCTION("""COMPUTED_VALUE"""),"")</f>
        <v/>
      </c>
      <c r="K1995" s="42" t="str">
        <f>IFERROR(__xludf.DUMMYFUNCTION("""COMPUTED_VALUE"""),"🔍 BUSCAR PACIENTES")</f>
        <v>🔍 BUSCAR PACIENTES</v>
      </c>
    </row>
    <row r="1996">
      <c r="A1996" s="44">
        <v>1995.0</v>
      </c>
      <c r="B1996" s="44" t="str">
        <f>IFERROR(__xludf.DUMMYFUNCTION("""COMPUTED_VALUE"""),"Hospital Domingo Luciani")</f>
        <v>Hospital Domingo Luciani</v>
      </c>
      <c r="C1996" s="45" t="str">
        <f>IFERROR(__xludf.DUMMYFUNCTION("""COMPUTED_VALUE"""),"GARCIAS ODALYS")</f>
        <v>GARCIAS ODALYS</v>
      </c>
      <c r="D1996" s="44">
        <f>IFERROR(__xludf.DUMMYFUNCTION("""COMPUTED_VALUE"""),43.0)</f>
        <v>43</v>
      </c>
      <c r="E1996" s="44" t="str">
        <f>IFERROR(__xludf.DUMMYFUNCTION("""COMPUTED_VALUE"""),"")</f>
        <v/>
      </c>
      <c r="F1996" s="44" t="str">
        <f>IFERROR(__xludf.DUMMYFUNCTION("""COMPUTED_VALUE"""),"")</f>
        <v/>
      </c>
      <c r="G1996" s="44" t="str">
        <f>IFERROR(__xludf.DUMMYFUNCTION("""COMPUTED_VALUE""")," ")</f>
        <v> </v>
      </c>
      <c r="H1996" s="44" t="str">
        <f>IFERROR(__xludf.DUMMYFUNCTION("""COMPUTED_VALUE""")," ")</f>
        <v> </v>
      </c>
      <c r="I1996" s="44" t="str">
        <f>IFERROR(__xludf.DUMMYFUNCTION("""COMPUTED_VALUE"""),"Medicina Interna – F")</f>
        <v>Medicina Interna – F</v>
      </c>
      <c r="J1996" s="44" t="str">
        <f>IFERROR(__xludf.DUMMYFUNCTION("""COMPUTED_VALUE"""),"")</f>
        <v/>
      </c>
      <c r="K1996" s="42" t="str">
        <f>IFERROR(__xludf.DUMMYFUNCTION("""COMPUTED_VALUE"""),"🔍 BUSCAR PACIENTES")</f>
        <v>🔍 BUSCAR PACIENTES</v>
      </c>
    </row>
    <row r="1997">
      <c r="A1997" s="44">
        <v>1996.0</v>
      </c>
      <c r="B1997" s="44" t="str">
        <f>IFERROR(__xludf.DUMMYFUNCTION("""COMPUTED_VALUE"""),"Hospital Domingo Luciani")</f>
        <v>Hospital Domingo Luciani</v>
      </c>
      <c r="C1997" s="45" t="str">
        <f>IFERROR(__xludf.DUMMYFUNCTION("""COMPUTED_VALUE"""),"GARETT JUAN")</f>
        <v>GARETT JUAN</v>
      </c>
      <c r="D1997" s="44">
        <f>IFERROR(__xludf.DUMMYFUNCTION("""COMPUTED_VALUE"""),41.0)</f>
        <v>41</v>
      </c>
      <c r="E1997" s="44" t="str">
        <f>IFERROR(__xludf.DUMMYFUNCTION("""COMPUTED_VALUE"""),"")</f>
        <v/>
      </c>
      <c r="F1997" s="44" t="str">
        <f>IFERROR(__xludf.DUMMYFUNCTION("""COMPUTED_VALUE"""),"")</f>
        <v/>
      </c>
      <c r="G1997" s="44" t="str">
        <f>IFERROR(__xludf.DUMMYFUNCTION("""COMPUTED_VALUE""")," ")</f>
        <v> </v>
      </c>
      <c r="H1997" s="44" t="str">
        <f>IFERROR(__xludf.DUMMYFUNCTION("""COMPUTED_VALUE"""),"La Guaira")</f>
        <v>La Guaira</v>
      </c>
      <c r="I1997" s="44" t="str">
        <f>IFERROR(__xludf.DUMMYFUNCTION("""COMPUTED_VALUE"""),"Ingresos 6am-9:20pm")</f>
        <v>Ingresos 6am-9:20pm</v>
      </c>
      <c r="J1997" s="44" t="str">
        <f>IFERROR(__xludf.DUMMYFUNCTION("""COMPUTED_VALUE"""),"")</f>
        <v/>
      </c>
      <c r="K1997" s="42" t="str">
        <f>IFERROR(__xludf.DUMMYFUNCTION("""COMPUTED_VALUE"""),"🔍 BUSCAR PACIENTES")</f>
        <v>🔍 BUSCAR PACIENTES</v>
      </c>
    </row>
    <row r="1998">
      <c r="A1998" s="44">
        <v>1997.0</v>
      </c>
      <c r="B1998" s="44" t="str">
        <f>IFERROR(__xludf.DUMMYFUNCTION("""COMPUTED_VALUE"""),"Hospital Pérez Carreño")</f>
        <v>Hospital Pérez Carreño</v>
      </c>
      <c r="C1998" s="45" t="str">
        <f>IFERROR(__xludf.DUMMYFUNCTION("""COMPUTED_VALUE"""),"Gargallote Emmanuela Mileth Yaneth")</f>
        <v>Gargallote Emmanuela Mileth Yaneth</v>
      </c>
      <c r="D1998" s="44"/>
      <c r="E1998" s="44" t="str">
        <f>IFERROR(__xludf.DUMMYFUNCTION("""COMPUTED_VALUE"""),"")</f>
        <v/>
      </c>
      <c r="F1998" s="44" t="str">
        <f>IFERROR(__xludf.DUMMYFUNCTION("""COMPUTED_VALUE"""),"")</f>
        <v/>
      </c>
      <c r="G1998" s="44" t="str">
        <f>IFERROR(__xludf.DUMMYFUNCTION("""COMPUTED_VALUE"""),"Traslados con destino asignado")</f>
        <v>Traslados con destino asignado</v>
      </c>
      <c r="H1998" s="44" t="str">
        <f>IFERROR(__xludf.DUMMYFUNCTION("""COMPUTED_VALUE"""),"Hospital Miguel Perez Carreño")</f>
        <v>Hospital Miguel Perez Carreño</v>
      </c>
      <c r="I1998" s="44"/>
      <c r="J1998" s="44" t="str">
        <f>IFERROR(__xludf.DUMMYFUNCTION("""COMPUTED_VALUE"""),"26/6/26")</f>
        <v>26/6/26</v>
      </c>
      <c r="K1998" s="42" t="str">
        <f>IFERROR(__xludf.DUMMYFUNCTION("""COMPUTED_VALUE"""),"Hospital Pérez Carreño")</f>
        <v>Hospital Pérez Carreño</v>
      </c>
    </row>
    <row r="1999">
      <c r="A1999" s="44">
        <v>1998.0</v>
      </c>
      <c r="B1999" s="44" t="str">
        <f>IFERROR(__xludf.DUMMYFUNCTION("""COMPUTED_VALUE"""),"Campo de Golf Playa los Cocos")</f>
        <v>Campo de Golf Playa los Cocos</v>
      </c>
      <c r="C1999" s="45" t="str">
        <f>IFERROR(__xludf.DUMMYFUNCTION("""COMPUTED_VALUE"""),"Gari Graterol")</f>
        <v>Gari Graterol</v>
      </c>
      <c r="D1999" s="44" t="str">
        <f>IFERROR(__xludf.DUMMYFUNCTION("""COMPUTED_VALUE"""),"")</f>
        <v/>
      </c>
      <c r="E1999" s="44" t="str">
        <f>IFERROR(__xludf.DUMMYFUNCTION("""COMPUTED_VALUE"""),"")</f>
        <v/>
      </c>
      <c r="F1999" s="44" t="str">
        <f>IFERROR(__xludf.DUMMYFUNCTION("""COMPUTED_VALUE"""),"")</f>
        <v/>
      </c>
      <c r="G1999" s="44" t="str">
        <f>IFERROR(__xludf.DUMMYFUNCTION("""COMPUTED_VALUE"""),"")</f>
        <v/>
      </c>
      <c r="H1999" s="44" t="str">
        <f>IFERROR(__xludf.DUMMYFUNCTION("""COMPUTED_VALUE"""),"")</f>
        <v/>
      </c>
      <c r="I1999" s="44" t="str">
        <f>IFERROR(__xludf.DUMMYFUNCTION("""COMPUTED_VALUE"""),"menor")</f>
        <v>menor</v>
      </c>
      <c r="J1999" s="44" t="str">
        <f>IFERROR(__xludf.DUMMYFUNCTION("""COMPUTED_VALUE"""),"")</f>
        <v/>
      </c>
      <c r="K1999" s="42" t="str">
        <f>IFERROR(__xludf.DUMMYFUNCTION("""COMPUTED_VALUE"""),"Campo de Golf Playa los Cocos")</f>
        <v>Campo de Golf Playa los Cocos</v>
      </c>
    </row>
    <row r="2000">
      <c r="A2000" s="44">
        <v>1999.0</v>
      </c>
      <c r="B2000" s="44" t="str">
        <f>IFERROR(__xludf.DUMMYFUNCTION("""COMPUTED_VALUE"""),"Hospital Vargas de Caracas")</f>
        <v>Hospital Vargas de Caracas</v>
      </c>
      <c r="C2000" s="45" t="str">
        <f>IFERROR(__xludf.DUMMYFUNCTION("""COMPUTED_VALUE"""),"GAZZAN YUSSEF")</f>
        <v>GAZZAN YUSSEF</v>
      </c>
      <c r="D2000" s="44" t="str">
        <f>IFERROR(__xludf.DUMMYFUNCTION("""COMPUTED_VALUE""")," ")</f>
        <v> </v>
      </c>
      <c r="E2000" s="44" t="str">
        <f>IFERROR(__xludf.DUMMYFUNCTION("""COMPUTED_VALUE"""),"")</f>
        <v/>
      </c>
      <c r="F2000" s="44" t="str">
        <f>IFERROR(__xludf.DUMMYFUNCTION("""COMPUTED_VALUE""")," ")</f>
        <v> </v>
      </c>
      <c r="G2000" s="44" t="str">
        <f>IFERROR(__xludf.DUMMYFUNCTION("""COMPUTED_VALUE"""),"")</f>
        <v/>
      </c>
      <c r="H2000" s="44" t="str">
        <f>IFERROR(__xludf.DUMMYFUNCTION("""COMPUTED_VALUE"""),"Guaira")</f>
        <v>Guaira</v>
      </c>
      <c r="I2000" s="44" t="str">
        <f>IFERROR(__xludf.DUMMYFUNCTION("""COMPUTED_VALUE""")," ")</f>
        <v> </v>
      </c>
      <c r="J2000" s="44" t="str">
        <f>IFERROR(__xludf.DUMMYFUNCTION("""COMPUTED_VALUE"""),"")</f>
        <v/>
      </c>
      <c r="K2000" s="42" t="str">
        <f>IFERROR(__xludf.DUMMYFUNCTION("""COMPUTED_VALUE"""),"Hospital Vargas de Caracas")</f>
        <v>Hospital Vargas de Caracas</v>
      </c>
    </row>
    <row r="2001">
      <c r="A2001" s="44">
        <v>2000.0</v>
      </c>
      <c r="B2001" s="44" t="str">
        <f>IFERROR(__xludf.DUMMYFUNCTION("""COMPUTED_VALUE"""),"Campo de Golf Playa los Cocos")</f>
        <v>Campo de Golf Playa los Cocos</v>
      </c>
      <c r="C2001" s="45" t="str">
        <f>IFERROR(__xludf.DUMMYFUNCTION("""COMPUTED_VALUE"""),"Genderson Jhoan Garcia")</f>
        <v>Genderson Jhoan Garcia</v>
      </c>
      <c r="D2001" s="44" t="str">
        <f>IFERROR(__xludf.DUMMYFUNCTION("""COMPUTED_VALUE"""),"")</f>
        <v/>
      </c>
      <c r="E2001" s="44" t="str">
        <f>IFERROR(__xludf.DUMMYFUNCTION("""COMPUTED_VALUE"""),"")</f>
        <v/>
      </c>
      <c r="F2001" s="44" t="str">
        <f>IFERROR(__xludf.DUMMYFUNCTION("""COMPUTED_VALUE"""),"")</f>
        <v/>
      </c>
      <c r="G2001" s="44" t="str">
        <f>IFERROR(__xludf.DUMMYFUNCTION("""COMPUTED_VALUE"""),"")</f>
        <v/>
      </c>
      <c r="H2001" s="44" t="str">
        <f>IFERROR(__xludf.DUMMYFUNCTION("""COMPUTED_VALUE"""),"")</f>
        <v/>
      </c>
      <c r="I2001" s="44"/>
      <c r="J2001" s="44" t="str">
        <f>IFERROR(__xludf.DUMMYFUNCTION("""COMPUTED_VALUE"""),"")</f>
        <v/>
      </c>
      <c r="K2001" s="42" t="str">
        <f>IFERROR(__xludf.DUMMYFUNCTION("""COMPUTED_VALUE"""),"Campo de Golf Playa los Cocos")</f>
        <v>Campo de Golf Playa los Cocos</v>
      </c>
    </row>
    <row r="2002">
      <c r="A2002" s="44">
        <v>2001.0</v>
      </c>
      <c r="B2002" s="44" t="str">
        <f>IFERROR(__xludf.DUMMYFUNCTION("""COMPUTED_VALUE"""),"Hospital Pérez Carreño")</f>
        <v>Hospital Pérez Carreño</v>
      </c>
      <c r="C2002" s="45" t="str">
        <f>IFERROR(__xludf.DUMMYFUNCTION("""COMPUTED_VALUE"""),"Generosy Dias")</f>
        <v>Generosy Dias</v>
      </c>
      <c r="D2002" s="44"/>
      <c r="E2002" s="44" t="str">
        <f>IFERROR(__xludf.DUMMYFUNCTION("""COMPUTED_VALUE"""),"")</f>
        <v/>
      </c>
      <c r="F2002" s="44" t="str">
        <f>IFERROR(__xludf.DUMMYFUNCTION("""COMPUTED_VALUE"""),"")</f>
        <v/>
      </c>
      <c r="G2002" s="44" t="str">
        <f>IFERROR(__xludf.DUMMYFUNCTION("""COMPUTED_VALUE"""),"Traumashock ")</f>
        <v>Traumashock </v>
      </c>
      <c r="H2002" s="44" t="str">
        <f>IFERROR(__xludf.DUMMYFUNCTION("""COMPUTED_VALUE"""),"Hospital Miguel Perez Carreño")</f>
        <v>Hospital Miguel Perez Carreño</v>
      </c>
      <c r="I2002" s="44"/>
      <c r="J2002" s="44" t="str">
        <f>IFERROR(__xludf.DUMMYFUNCTION("""COMPUTED_VALUE"""),"26/6/26")</f>
        <v>26/6/26</v>
      </c>
      <c r="K2002" s="42" t="str">
        <f>IFERROR(__xludf.DUMMYFUNCTION("""COMPUTED_VALUE"""),"Hospital Pérez Carreño")</f>
        <v>Hospital Pérez Carreño</v>
      </c>
    </row>
    <row r="2003">
      <c r="A2003" s="44">
        <v>2002.0</v>
      </c>
      <c r="B2003" s="44" t="str">
        <f>IFERROR(__xludf.DUMMYFUNCTION("""COMPUTED_VALUE"""),"Campo de Golf Playa los Cocos")</f>
        <v>Campo de Golf Playa los Cocos</v>
      </c>
      <c r="C2003" s="45" t="str">
        <f>IFERROR(__xludf.DUMMYFUNCTION("""COMPUTED_VALUE"""),"Genesis Rodriguez")</f>
        <v>Genesis Rodriguez</v>
      </c>
      <c r="D2003" s="44" t="str">
        <f>IFERROR(__xludf.DUMMYFUNCTION("""COMPUTED_VALUE"""),"")</f>
        <v/>
      </c>
      <c r="E2003" s="44" t="str">
        <f>IFERROR(__xludf.DUMMYFUNCTION("""COMPUTED_VALUE"""),"")</f>
        <v/>
      </c>
      <c r="F2003" s="44" t="str">
        <f>IFERROR(__xludf.DUMMYFUNCTION("""COMPUTED_VALUE"""),"")</f>
        <v/>
      </c>
      <c r="G2003" s="44" t="str">
        <f>IFERROR(__xludf.DUMMYFUNCTION("""COMPUTED_VALUE"""),"")</f>
        <v/>
      </c>
      <c r="H2003" s="44" t="str">
        <f>IFERROR(__xludf.DUMMYFUNCTION("""COMPUTED_VALUE"""),"")</f>
        <v/>
      </c>
      <c r="I2003" s="44"/>
      <c r="J2003" s="44" t="str">
        <f>IFERROR(__xludf.DUMMYFUNCTION("""COMPUTED_VALUE"""),"")</f>
        <v/>
      </c>
      <c r="K2003" s="42" t="str">
        <f>IFERROR(__xludf.DUMMYFUNCTION("""COMPUTED_VALUE"""),"Campo de Golf Playa los Cocos")</f>
        <v>Campo de Golf Playa los Cocos</v>
      </c>
    </row>
    <row r="2004">
      <c r="A2004" s="44">
        <v>2003.0</v>
      </c>
      <c r="B2004" s="44" t="str">
        <f>IFERROR(__xludf.DUMMYFUNCTION("""COMPUTED_VALUE"""),"H. Jose Maria Vargas LG")</f>
        <v>H. Jose Maria Vargas LG</v>
      </c>
      <c r="C2004" s="45" t="str">
        <f>IFERROR(__xludf.DUMMYFUNCTION("""COMPUTED_VALUE"""),"GENYELIS ARENA")</f>
        <v>GENYELIS ARENA</v>
      </c>
      <c r="D2004" s="44">
        <f>IFERROR(__xludf.DUMMYFUNCTION("""COMPUTED_VALUE"""),15.0)</f>
        <v>15</v>
      </c>
      <c r="E2004" s="44" t="str">
        <f>IFERROR(__xludf.DUMMYFUNCTION("""COMPUTED_VALUE"""),"")</f>
        <v/>
      </c>
      <c r="F2004" s="44" t="str">
        <f>IFERROR(__xludf.DUMMYFUNCTION("""COMPUTED_VALUE"""),"")</f>
        <v/>
      </c>
      <c r="G2004" s="44" t="str">
        <f>IFERROR(__xludf.DUMMYFUNCTION("""COMPUTED_VALUE""")," ")</f>
        <v> </v>
      </c>
      <c r="H2004" s="44" t="str">
        <f>IFERROR(__xludf.DUMMYFUNCTION("""COMPUTED_VALUE""")," ")</f>
        <v> </v>
      </c>
      <c r="I2004" s="44" t="str">
        <f>IFERROR(__xludf.DUMMYFUNCTION("""COMPUTED_VALUE"""),"Internado")</f>
        <v>Internado</v>
      </c>
      <c r="J2004" s="44" t="str">
        <f>IFERROR(__xludf.DUMMYFUNCTION("""COMPUTED_VALUE"""),"")</f>
        <v/>
      </c>
      <c r="K2004" s="42" t="str">
        <f>IFERROR(__xludf.DUMMYFUNCTION("""COMPUTED_VALUE"""),"H. Jose Maria Vargas LG")</f>
        <v>H. Jose Maria Vargas LG</v>
      </c>
    </row>
    <row r="2005">
      <c r="A2005" s="44">
        <v>2004.0</v>
      </c>
      <c r="B2005" s="44" t="str">
        <f>IFERROR(__xludf.DUMMYFUNCTION("""COMPUTED_VALUE"""),"Campo de Golf Playa los Cocos")</f>
        <v>Campo de Golf Playa los Cocos</v>
      </c>
      <c r="C2005" s="45" t="str">
        <f>IFERROR(__xludf.DUMMYFUNCTION("""COMPUTED_VALUE"""),"Georgelys Galindez")</f>
        <v>Georgelys Galindez</v>
      </c>
      <c r="D2005" s="44" t="str">
        <f>IFERROR(__xludf.DUMMYFUNCTION("""COMPUTED_VALUE"""),"")</f>
        <v/>
      </c>
      <c r="E2005" s="44" t="str">
        <f>IFERROR(__xludf.DUMMYFUNCTION("""COMPUTED_VALUE"""),"")</f>
        <v/>
      </c>
      <c r="F2005" s="44" t="str">
        <f>IFERROR(__xludf.DUMMYFUNCTION("""COMPUTED_VALUE"""),"")</f>
        <v/>
      </c>
      <c r="G2005" s="44" t="str">
        <f>IFERROR(__xludf.DUMMYFUNCTION("""COMPUTED_VALUE"""),"")</f>
        <v/>
      </c>
      <c r="H2005" s="44" t="str">
        <f>IFERROR(__xludf.DUMMYFUNCTION("""COMPUTED_VALUE"""),"")</f>
        <v/>
      </c>
      <c r="I2005" s="44"/>
      <c r="J2005" s="44" t="str">
        <f>IFERROR(__xludf.DUMMYFUNCTION("""COMPUTED_VALUE"""),"")</f>
        <v/>
      </c>
      <c r="K2005" s="42" t="str">
        <f>IFERROR(__xludf.DUMMYFUNCTION("""COMPUTED_VALUE"""),"Campo de Golf Playa los Cocos")</f>
        <v>Campo de Golf Playa los Cocos</v>
      </c>
    </row>
    <row r="2006">
      <c r="A2006" s="44">
        <v>2005.0</v>
      </c>
      <c r="B2006" s="44" t="str">
        <f>IFERROR(__xludf.DUMMYFUNCTION("""COMPUTED_VALUE"""),"Campo de Golf Playa los Cocos")</f>
        <v>Campo de Golf Playa los Cocos</v>
      </c>
      <c r="C2006" s="45" t="str">
        <f>IFERROR(__xludf.DUMMYFUNCTION("""COMPUTED_VALUE"""),"Geraldine Castillo")</f>
        <v>Geraldine Castillo</v>
      </c>
      <c r="D2006" s="44" t="str">
        <f>IFERROR(__xludf.DUMMYFUNCTION("""COMPUTED_VALUE"""),"")</f>
        <v/>
      </c>
      <c r="E2006" s="44" t="str">
        <f>IFERROR(__xludf.DUMMYFUNCTION("""COMPUTED_VALUE"""),"")</f>
        <v/>
      </c>
      <c r="F2006" s="44" t="str">
        <f>IFERROR(__xludf.DUMMYFUNCTION("""COMPUTED_VALUE"""),"")</f>
        <v/>
      </c>
      <c r="G2006" s="44" t="str">
        <f>IFERROR(__xludf.DUMMYFUNCTION("""COMPUTED_VALUE"""),"")</f>
        <v/>
      </c>
      <c r="H2006" s="44" t="str">
        <f>IFERROR(__xludf.DUMMYFUNCTION("""COMPUTED_VALUE"""),"")</f>
        <v/>
      </c>
      <c r="I2006" s="44"/>
      <c r="J2006" s="44" t="str">
        <f>IFERROR(__xludf.DUMMYFUNCTION("""COMPUTED_VALUE"""),"")</f>
        <v/>
      </c>
      <c r="K2006" s="42" t="str">
        <f>IFERROR(__xludf.DUMMYFUNCTION("""COMPUTED_VALUE"""),"Campo de Golf Playa los Cocos")</f>
        <v>Campo de Golf Playa los Cocos</v>
      </c>
    </row>
    <row r="2007">
      <c r="A2007" s="44">
        <v>2006.0</v>
      </c>
      <c r="B2007" s="44" t="str">
        <f>IFERROR(__xludf.DUMMYFUNCTION("""COMPUTED_VALUE"""),"Campo de Golf Playa los Cocos")</f>
        <v>Campo de Golf Playa los Cocos</v>
      </c>
      <c r="C2007" s="45" t="str">
        <f>IFERROR(__xludf.DUMMYFUNCTION("""COMPUTED_VALUE"""),"Gerdis Cejas")</f>
        <v>Gerdis Cejas</v>
      </c>
      <c r="D2007" s="44" t="str">
        <f>IFERROR(__xludf.DUMMYFUNCTION("""COMPUTED_VALUE"""),"")</f>
        <v/>
      </c>
      <c r="E2007" s="44" t="str">
        <f>IFERROR(__xludf.DUMMYFUNCTION("""COMPUTED_VALUE"""),"")</f>
        <v/>
      </c>
      <c r="F2007" s="44" t="str">
        <f>IFERROR(__xludf.DUMMYFUNCTION("""COMPUTED_VALUE"""),"")</f>
        <v/>
      </c>
      <c r="G2007" s="44" t="str">
        <f>IFERROR(__xludf.DUMMYFUNCTION("""COMPUTED_VALUE"""),"")</f>
        <v/>
      </c>
      <c r="H2007" s="44" t="str">
        <f>IFERROR(__xludf.DUMMYFUNCTION("""COMPUTED_VALUE"""),"")</f>
        <v/>
      </c>
      <c r="I2007" s="44"/>
      <c r="J2007" s="44" t="str">
        <f>IFERROR(__xludf.DUMMYFUNCTION("""COMPUTED_VALUE"""),"")</f>
        <v/>
      </c>
      <c r="K2007" s="42" t="str">
        <f>IFERROR(__xludf.DUMMYFUNCTION("""COMPUTED_VALUE"""),"Campo de Golf Playa los Cocos")</f>
        <v>Campo de Golf Playa los Cocos</v>
      </c>
    </row>
    <row r="2008">
      <c r="A2008" s="44">
        <v>2007.0</v>
      </c>
      <c r="B2008" s="44" t="str">
        <f>IFERROR(__xludf.DUMMYFUNCTION("""COMPUTED_VALUE"""),"Hospital Vargas de Caracas")</f>
        <v>Hospital Vargas de Caracas</v>
      </c>
      <c r="C2008" s="45" t="str">
        <f>IFERROR(__xludf.DUMMYFUNCTION("""COMPUTED_VALUE"""),"GESU ESTEFANY / GIESU ESTEFANY")</f>
        <v>GESU ESTEFANY / GIESU ESTEFANY</v>
      </c>
      <c r="D2008" s="44" t="str">
        <f>IFERROR(__xludf.DUMMYFUNCTION("""COMPUTED_VALUE""")," ")</f>
        <v> </v>
      </c>
      <c r="E2008" s="44" t="str">
        <f>IFERROR(__xludf.DUMMYFUNCTION("""COMPUTED_VALUE"""),"")</f>
        <v/>
      </c>
      <c r="F2008" s="44" t="str">
        <f>IFERROR(__xludf.DUMMYFUNCTION("""COMPUTED_VALUE""")," ")</f>
        <v> </v>
      </c>
      <c r="G2008" s="44" t="str">
        <f>IFERROR(__xludf.DUMMYFUNCTION("""COMPUTED_VALUE"""),"")</f>
        <v/>
      </c>
      <c r="H2008" s="44" t="str">
        <f>IFERROR(__xludf.DUMMYFUNCTION("""COMPUTED_VALUE""")," ")</f>
        <v> </v>
      </c>
      <c r="I2008" s="44" t="str">
        <f>IFERROR(__xludf.DUMMYFUNCTION("""COMPUTED_VALUE""")," ")</f>
        <v> </v>
      </c>
      <c r="J2008" s="44" t="str">
        <f>IFERROR(__xludf.DUMMYFUNCTION("""COMPUTED_VALUE"""),"")</f>
        <v/>
      </c>
      <c r="K2008" s="42" t="str">
        <f>IFERROR(__xludf.DUMMYFUNCTION("""COMPUTED_VALUE"""),"Hospital Vargas de Caracas")</f>
        <v>Hospital Vargas de Caracas</v>
      </c>
    </row>
    <row r="2009">
      <c r="A2009" s="44">
        <v>2008.0</v>
      </c>
      <c r="B2009" s="44" t="str">
        <f>IFERROR(__xludf.DUMMYFUNCTION("""COMPUTED_VALUE"""),"Hospital Vargas de Caracas")</f>
        <v>Hospital Vargas de Caracas</v>
      </c>
      <c r="C2009" s="45" t="str">
        <f>IFERROR(__xludf.DUMMYFUNCTION("""COMPUTED_VALUE"""),"GEZZEN JESTEFANY")</f>
        <v>GEZZEN JESTEFANY</v>
      </c>
      <c r="D2009" s="44" t="str">
        <f>IFERROR(__xludf.DUMMYFUNCTION("""COMPUTED_VALUE""")," ")</f>
        <v> </v>
      </c>
      <c r="E2009" s="44" t="str">
        <f>IFERROR(__xludf.DUMMYFUNCTION("""COMPUTED_VALUE"""),"")</f>
        <v/>
      </c>
      <c r="F2009" s="44" t="str">
        <f>IFERROR(__xludf.DUMMYFUNCTION("""COMPUTED_VALUE""")," ")</f>
        <v> </v>
      </c>
      <c r="G2009" s="44" t="str">
        <f>IFERROR(__xludf.DUMMYFUNCTION("""COMPUTED_VALUE"""),"")</f>
        <v/>
      </c>
      <c r="H2009" s="44" t="str">
        <f>IFERROR(__xludf.DUMMYFUNCTION("""COMPUTED_VALUE""")," ")</f>
        <v> </v>
      </c>
      <c r="I2009" s="44" t="str">
        <f>IFERROR(__xludf.DUMMYFUNCTION("""COMPUTED_VALUE"""),"Internado")</f>
        <v>Internado</v>
      </c>
      <c r="J2009" s="44" t="str">
        <f>IFERROR(__xludf.DUMMYFUNCTION("""COMPUTED_VALUE"""),"")</f>
        <v/>
      </c>
      <c r="K2009" s="42" t="str">
        <f>IFERROR(__xludf.DUMMYFUNCTION("""COMPUTED_VALUE"""),"Hospital Vargas de Caracas")</f>
        <v>Hospital Vargas de Caracas</v>
      </c>
    </row>
    <row r="2010">
      <c r="A2010" s="44">
        <v>2009.0</v>
      </c>
      <c r="B2010" s="44" t="str">
        <f>IFERROR(__xludf.DUMMYFUNCTION("""COMPUTED_VALUE"""),"Hospital Pérez Carreño")</f>
        <v>Hospital Pérez Carreño</v>
      </c>
      <c r="C2010" s="45" t="str">
        <f>IFERROR(__xludf.DUMMYFUNCTION("""COMPUTED_VALUE"""),"GIAMPIEDO FELICIANO")</f>
        <v>GIAMPIEDO FELICIANO</v>
      </c>
      <c r="D2010" s="44" t="str">
        <f>IFERROR(__xludf.DUMMYFUNCTION("""COMPUTED_VALUE""")," ")</f>
        <v> </v>
      </c>
      <c r="E2010" s="44" t="str">
        <f>IFERROR(__xludf.DUMMYFUNCTION("""COMPUTED_VALUE"""),"")</f>
        <v/>
      </c>
      <c r="F2010" s="44" t="str">
        <f>IFERROR(__xludf.DUMMYFUNCTION("""COMPUTED_VALUE"""),"")</f>
        <v/>
      </c>
      <c r="G2010" s="44" t="str">
        <f>IFERROR(__xludf.DUMMYFUNCTION("""COMPUTED_VALUE""")," ")</f>
        <v> </v>
      </c>
      <c r="H2010" s="44" t="str">
        <f>IFERROR(__xludf.DUMMYFUNCTION("""COMPUTED_VALUE""")," ")</f>
        <v> </v>
      </c>
      <c r="I2010" s="44" t="str">
        <f>IFERROR(__xludf.DUMMYFUNCTION("""COMPUTED_VALUE"""),"Traumachok – Triaje Cirugía; La Guaira")</f>
        <v>Traumachok – Triaje Cirugía; La Guaira</v>
      </c>
      <c r="J2010" s="44" t="str">
        <f>IFERROR(__xludf.DUMMYFUNCTION("""COMPUTED_VALUE"""),"25/06/2026")</f>
        <v>25/06/2026</v>
      </c>
      <c r="K2010" s="42" t="str">
        <f>IFERROR(__xludf.DUMMYFUNCTION("""COMPUTED_VALUE"""),"Hospital Pérez Carreño")</f>
        <v>Hospital Pérez Carreño</v>
      </c>
    </row>
    <row r="2011">
      <c r="A2011" s="44">
        <v>2010.0</v>
      </c>
      <c r="B2011" s="44" t="str">
        <f>IFERROR(__xludf.DUMMYFUNCTION("""COMPUTED_VALUE"""),"Hospital Pérez Carreño")</f>
        <v>Hospital Pérez Carreño</v>
      </c>
      <c r="C2011" s="45" t="str">
        <f>IFERROR(__xludf.DUMMYFUNCTION("""COMPUTED_VALUE"""),"GIANPIERO FELICIANO")</f>
        <v>GIANPIERO FELICIANO</v>
      </c>
      <c r="D2011" s="44" t="str">
        <f>IFERROR(__xludf.DUMMYFUNCTION("""COMPUTED_VALUE""")," ")</f>
        <v> </v>
      </c>
      <c r="E2011" s="44" t="str">
        <f>IFERROR(__xludf.DUMMYFUNCTION("""COMPUTED_VALUE"""),"")</f>
        <v/>
      </c>
      <c r="F2011" s="44" t="str">
        <f>IFERROR(__xludf.DUMMYFUNCTION("""COMPUTED_VALUE"""),"")</f>
        <v/>
      </c>
      <c r="G2011" s="44" t="str">
        <f>IFERROR(__xludf.DUMMYFUNCTION("""COMPUTED_VALUE""")," ")</f>
        <v> </v>
      </c>
      <c r="H2011" s="44" t="str">
        <f>IFERROR(__xludf.DUMMYFUNCTION("""COMPUTED_VALUE""")," ")</f>
        <v> </v>
      </c>
      <c r="I2011" s="44" t="str">
        <f>IFERROR(__xludf.DUMMYFUNCTION("""COMPUTED_VALUE"""),"Traumashock")</f>
        <v>Traumashock</v>
      </c>
      <c r="J2011" s="44" t="str">
        <f>IFERROR(__xludf.DUMMYFUNCTION("""COMPUTED_VALUE"""),"25/06/2026")</f>
        <v>25/06/2026</v>
      </c>
      <c r="K2011" s="42" t="str">
        <f>IFERROR(__xludf.DUMMYFUNCTION("""COMPUTED_VALUE"""),"Hospital Pérez Carreño")</f>
        <v>Hospital Pérez Carreño</v>
      </c>
    </row>
    <row r="2012">
      <c r="A2012" s="44">
        <v>2011.0</v>
      </c>
      <c r="B2012" s="44" t="str">
        <f>IFERROR(__xludf.DUMMYFUNCTION("""COMPUTED_VALUE"""),"Hospital Pérez Carreño")</f>
        <v>Hospital Pérez Carreño</v>
      </c>
      <c r="C2012" s="45" t="str">
        <f>IFERROR(__xludf.DUMMYFUNCTION("""COMPUTED_VALUE"""),"GIFEROA CELESTE")</f>
        <v>GIFEROA CELESTE</v>
      </c>
      <c r="D2012" s="44" t="str">
        <f>IFERROR(__xludf.DUMMYFUNCTION("""COMPUTED_VALUE""")," ")</f>
        <v> </v>
      </c>
      <c r="E2012" s="44" t="str">
        <f>IFERROR(__xludf.DUMMYFUNCTION("""COMPUTED_VALUE"""),"")</f>
        <v/>
      </c>
      <c r="F2012" s="44" t="str">
        <f>IFERROR(__xludf.DUMMYFUNCTION("""COMPUTED_VALUE"""),"")</f>
        <v/>
      </c>
      <c r="G2012" s="44" t="str">
        <f>IFERROR(__xludf.DUMMYFUNCTION("""COMPUTED_VALUE""")," ")</f>
        <v> </v>
      </c>
      <c r="H2012" s="44" t="str">
        <f>IFERROR(__xludf.DUMMYFUNCTION("""COMPUTED_VALUE""")," ")</f>
        <v> </v>
      </c>
      <c r="I2012" s="44" t="str">
        <f>IFERROR(__xludf.DUMMYFUNCTION("""COMPUTED_VALUE"""),"Traumashock")</f>
        <v>Traumashock</v>
      </c>
      <c r="J2012" s="44" t="str">
        <f>IFERROR(__xludf.DUMMYFUNCTION("""COMPUTED_VALUE"""),"25/06/2026")</f>
        <v>25/06/2026</v>
      </c>
      <c r="K2012" s="42" t="str">
        <f>IFERROR(__xludf.DUMMYFUNCTION("""COMPUTED_VALUE"""),"Hospital Pérez Carreño")</f>
        <v>Hospital Pérez Carreño</v>
      </c>
    </row>
    <row r="2013">
      <c r="A2013" s="44">
        <v>2012.0</v>
      </c>
      <c r="B2013" s="44" t="str">
        <f>IFERROR(__xludf.DUMMYFUNCTION("""COMPUTED_VALUE"""),"H. Jose Maria Vargas LG")</f>
        <v>H. Jose Maria Vargas LG</v>
      </c>
      <c r="C2013" s="45" t="str">
        <f>IFERROR(__xludf.DUMMYFUNCTION("""COMPUTED_VALUE"""),"GIL ANAIS")</f>
        <v>GIL ANAIS</v>
      </c>
      <c r="D2013" s="44" t="str">
        <f>IFERROR(__xludf.DUMMYFUNCTION("""COMPUTED_VALUE""")," ")</f>
        <v> </v>
      </c>
      <c r="E2013" s="44" t="str">
        <f>IFERROR(__xludf.DUMMYFUNCTION("""COMPUTED_VALUE"""),"")</f>
        <v/>
      </c>
      <c r="F2013" s="44" t="str">
        <f>IFERROR(__xludf.DUMMYFUNCTION("""COMPUTED_VALUE"""),"")</f>
        <v/>
      </c>
      <c r="G2013" s="44" t="str">
        <f>IFERROR(__xludf.DUMMYFUNCTION("""COMPUTED_VALUE""")," ")</f>
        <v> </v>
      </c>
      <c r="H2013" s="44" t="str">
        <f>IFERROR(__xludf.DUMMYFUNCTION("""COMPUTED_VALUE""")," ")</f>
        <v> </v>
      </c>
      <c r="I2013" s="44" t="str">
        <f>IFERROR(__xludf.DUMMYFUNCTION("""COMPUTED_VALUE""")," ")</f>
        <v> </v>
      </c>
      <c r="J2013" s="44" t="str">
        <f>IFERROR(__xludf.DUMMYFUNCTION("""COMPUTED_VALUE"""),"")</f>
        <v/>
      </c>
      <c r="K2013" s="42" t="str">
        <f>IFERROR(__xludf.DUMMYFUNCTION("""COMPUTED_VALUE"""),"H. Jose Maria Vargas LG")</f>
        <v>H. Jose Maria Vargas LG</v>
      </c>
    </row>
    <row r="2014">
      <c r="A2014" s="44">
        <v>2013.0</v>
      </c>
      <c r="B2014" s="44" t="str">
        <f>IFERROR(__xludf.DUMMYFUNCTION("""COMPUTED_VALUE"""),"Hospital Pérez Carreño")</f>
        <v>Hospital Pérez Carreño</v>
      </c>
      <c r="C2014" s="45" t="str">
        <f>IFERROR(__xludf.DUMMYFUNCTION("""COMPUTED_VALUE"""),"Gil Briñata Honny Estefania")</f>
        <v>Gil Briñata Honny Estefania</v>
      </c>
      <c r="D2014" s="44"/>
      <c r="E2014" s="44" t="str">
        <f>IFERROR(__xludf.DUMMYFUNCTION("""COMPUTED_VALUE"""),"")</f>
        <v/>
      </c>
      <c r="F2014" s="44" t="str">
        <f>IFERROR(__xludf.DUMMYFUNCTION("""COMPUTED_VALUE"""),"")</f>
        <v/>
      </c>
      <c r="G2014" s="44" t="str">
        <f>IFERROR(__xludf.DUMMYFUNCTION("""COMPUTED_VALUE"""),"Traslados")</f>
        <v>Traslados</v>
      </c>
      <c r="H2014" s="44" t="str">
        <f>IFERROR(__xludf.DUMMYFUNCTION("""COMPUTED_VALUE"""),"Hospital Miguel Perez Carreño")</f>
        <v>Hospital Miguel Perez Carreño</v>
      </c>
      <c r="I2014" s="44"/>
      <c r="J2014" s="44" t="str">
        <f>IFERROR(__xludf.DUMMYFUNCTION("""COMPUTED_VALUE"""),"26/6/26")</f>
        <v>26/6/26</v>
      </c>
      <c r="K2014" s="42" t="str">
        <f>IFERROR(__xludf.DUMMYFUNCTION("""COMPUTED_VALUE"""),"Hospital Pérez Carreño")</f>
        <v>Hospital Pérez Carreño</v>
      </c>
    </row>
    <row r="2015">
      <c r="A2015" s="44">
        <v>2014.0</v>
      </c>
      <c r="B2015" s="44" t="str">
        <f>IFERROR(__xludf.DUMMYFUNCTION("""COMPUTED_VALUE"""),"Hospital Vargas de Caracas")</f>
        <v>Hospital Vargas de Caracas</v>
      </c>
      <c r="C2015" s="45" t="str">
        <f>IFERROR(__xludf.DUMMYFUNCTION("""COMPUTED_VALUE"""),"GIL CRISTOPER")</f>
        <v>GIL CRISTOPER</v>
      </c>
      <c r="D2015" s="44" t="str">
        <f>IFERROR(__xludf.DUMMYFUNCTION("""COMPUTED_VALUE""")," ")</f>
        <v> </v>
      </c>
      <c r="E2015" s="44" t="str">
        <f>IFERROR(__xludf.DUMMYFUNCTION("""COMPUTED_VALUE"""),"")</f>
        <v/>
      </c>
      <c r="F2015" s="44" t="str">
        <f>IFERROR(__xludf.DUMMYFUNCTION("""COMPUTED_VALUE""")," ")</f>
        <v> </v>
      </c>
      <c r="G2015" s="44" t="str">
        <f>IFERROR(__xludf.DUMMYFUNCTION("""COMPUTED_VALUE"""),"")</f>
        <v/>
      </c>
      <c r="H2015" s="44" t="str">
        <f>IFERROR(__xludf.DUMMYFUNCTION("""COMPUTED_VALUE""")," ")</f>
        <v> </v>
      </c>
      <c r="I2015" s="44" t="str">
        <f>IFERROR(__xludf.DUMMYFUNCTION("""COMPUTED_VALUE""")," ")</f>
        <v> </v>
      </c>
      <c r="J2015" s="44" t="str">
        <f>IFERROR(__xludf.DUMMYFUNCTION("""COMPUTED_VALUE"""),"")</f>
        <v/>
      </c>
      <c r="K2015" s="42" t="str">
        <f>IFERROR(__xludf.DUMMYFUNCTION("""COMPUTED_VALUE"""),"Hospital Vargas de Caracas")</f>
        <v>Hospital Vargas de Caracas</v>
      </c>
    </row>
    <row r="2016">
      <c r="A2016" s="44">
        <v>2015.0</v>
      </c>
      <c r="B2016" s="44" t="str">
        <f>IFERROR(__xludf.DUMMYFUNCTION("""COMPUTED_VALUE"""),"H. Jose Maria Vargas LG")</f>
        <v>H. Jose Maria Vargas LG</v>
      </c>
      <c r="C2016" s="45" t="str">
        <f>IFERROR(__xludf.DUMMYFUNCTION("""COMPUTED_VALUE"""),"GIL ELCIO")</f>
        <v>GIL ELCIO</v>
      </c>
      <c r="D2016" s="44">
        <f>IFERROR(__xludf.DUMMYFUNCTION("""COMPUTED_VALUE"""),4.0)</f>
        <v>4</v>
      </c>
      <c r="E2016" s="44" t="str">
        <f>IFERROR(__xludf.DUMMYFUNCTION("""COMPUTED_VALUE"""),"")</f>
        <v/>
      </c>
      <c r="F2016" s="44" t="str">
        <f>IFERROR(__xludf.DUMMYFUNCTION("""COMPUTED_VALUE"""),"")</f>
        <v/>
      </c>
      <c r="G2016" s="44" t="str">
        <f>IFERROR(__xludf.DUMMYFUNCTION("""COMPUTED_VALUE""")," ")</f>
        <v> </v>
      </c>
      <c r="H2016" s="44" t="str">
        <f>IFERROR(__xludf.DUMMYFUNCTION("""COMPUTED_VALUE"""),"Caraballeda")</f>
        <v>Caraballeda</v>
      </c>
      <c r="I2016" s="44" t="str">
        <f>IFERROR(__xludf.DUMMYFUNCTION("""COMPUTED_VALUE""")," ")</f>
        <v> </v>
      </c>
      <c r="J2016" s="44" t="str">
        <f>IFERROR(__xludf.DUMMYFUNCTION("""COMPUTED_VALUE"""),"")</f>
        <v/>
      </c>
      <c r="K2016" s="42" t="str">
        <f>IFERROR(__xludf.DUMMYFUNCTION("""COMPUTED_VALUE"""),"H. Jose Maria Vargas LG")</f>
        <v>H. Jose Maria Vargas LG</v>
      </c>
    </row>
    <row r="2017">
      <c r="A2017" s="44">
        <v>2016.0</v>
      </c>
      <c r="B2017" s="44" t="str">
        <f>IFERROR(__xludf.DUMMYFUNCTION("""COMPUTED_VALUE"""),"Hospital Pérez Carreño")</f>
        <v>Hospital Pérez Carreño</v>
      </c>
      <c r="C2017" s="45" t="str">
        <f>IFERROR(__xludf.DUMMYFUNCTION("""COMPUTED_VALUE"""),"GIL MIRIAM")</f>
        <v>GIL MIRIAM</v>
      </c>
      <c r="D2017" s="44" t="str">
        <f>IFERROR(__xludf.DUMMYFUNCTION("""COMPUTED_VALUE""")," ")</f>
        <v> </v>
      </c>
      <c r="E2017" s="44" t="str">
        <f>IFERROR(__xludf.DUMMYFUNCTION("""COMPUTED_VALUE"""),"")</f>
        <v/>
      </c>
      <c r="F2017" s="44" t="str">
        <f>IFERROR(__xludf.DUMMYFUNCTION("""COMPUTED_VALUE"""),"")</f>
        <v/>
      </c>
      <c r="G2017" s="44" t="str">
        <f>IFERROR(__xludf.DUMMYFUNCTION("""COMPUTED_VALUE""")," ")</f>
        <v> </v>
      </c>
      <c r="H2017" s="44" t="str">
        <f>IFERROR(__xludf.DUMMYFUNCTION("""COMPUTED_VALUE""")," ")</f>
        <v> </v>
      </c>
      <c r="I2017" s="44" t="str">
        <f>IFERROR(__xludf.DUMMYFUNCTION("""COMPUTED_VALUE"""),"Internado")</f>
        <v>Internado</v>
      </c>
      <c r="J2017" s="44" t="str">
        <f>IFERROR(__xludf.DUMMYFUNCTION("""COMPUTED_VALUE"""),"25/06/2026")</f>
        <v>25/06/2026</v>
      </c>
      <c r="K2017" s="42" t="str">
        <f>IFERROR(__xludf.DUMMYFUNCTION("""COMPUTED_VALUE"""),"Hospital Pérez Carreño")</f>
        <v>Hospital Pérez Carreño</v>
      </c>
    </row>
    <row r="2018">
      <c r="A2018" s="44">
        <v>2017.0</v>
      </c>
      <c r="B2018" s="44" t="str">
        <f>IFERROR(__xludf.DUMMYFUNCTION("""COMPUTED_VALUE"""),"Hospital Pérez Carreño")</f>
        <v>Hospital Pérez Carreño</v>
      </c>
      <c r="C2018" s="45" t="str">
        <f>IFERROR(__xludf.DUMMYFUNCTION("""COMPUTED_VALUE"""),"Gil Mirian")</f>
        <v>Gil Mirian</v>
      </c>
      <c r="D2018" s="44"/>
      <c r="E2018" s="44" t="str">
        <f>IFERROR(__xludf.DUMMYFUNCTION("""COMPUTED_VALUE"""),"")</f>
        <v/>
      </c>
      <c r="F2018" s="44" t="str">
        <f>IFERROR(__xludf.DUMMYFUNCTION("""COMPUTED_VALUE"""),"")</f>
        <v/>
      </c>
      <c r="G2018" s="44" t="str">
        <f>IFERROR(__xludf.DUMMYFUNCTION("""COMPUTED_VALUE"""),"Traslados")</f>
        <v>Traslados</v>
      </c>
      <c r="H2018" s="44" t="str">
        <f>IFERROR(__xludf.DUMMYFUNCTION("""COMPUTED_VALUE"""),"Hospital Miguel Perez Carreño")</f>
        <v>Hospital Miguel Perez Carreño</v>
      </c>
      <c r="I2018" s="44"/>
      <c r="J2018" s="44" t="str">
        <f>IFERROR(__xludf.DUMMYFUNCTION("""COMPUTED_VALUE"""),"26/6/26")</f>
        <v>26/6/26</v>
      </c>
      <c r="K2018" s="42" t="str">
        <f>IFERROR(__xludf.DUMMYFUNCTION("""COMPUTED_VALUE"""),"Hospital Pérez Carreño")</f>
        <v>Hospital Pérez Carreño</v>
      </c>
    </row>
    <row r="2019">
      <c r="A2019" s="44">
        <v>2018.0</v>
      </c>
      <c r="B2019" s="44" t="str">
        <f>IFERROR(__xludf.DUMMYFUNCTION("""COMPUTED_VALUE"""),"Hospital Pérez Carreño")</f>
        <v>Hospital Pérez Carreño</v>
      </c>
      <c r="C2019" s="45" t="str">
        <f>IFERROR(__xludf.DUMMYFUNCTION("""COMPUTED_VALUE"""),"GIL ORRIETA MARIAM")</f>
        <v>GIL ORRIETA MARIAM</v>
      </c>
      <c r="D2019" s="44" t="str">
        <f>IFERROR(__xludf.DUMMYFUNCTION("""COMPUTED_VALUE""")," ")</f>
        <v> </v>
      </c>
      <c r="E2019" s="44" t="str">
        <f>IFERROR(__xludf.DUMMYFUNCTION("""COMPUTED_VALUE"""),"")</f>
        <v/>
      </c>
      <c r="F2019" s="44" t="str">
        <f>IFERROR(__xludf.DUMMYFUNCTION("""COMPUTED_VALUE"""),"")</f>
        <v/>
      </c>
      <c r="G2019" s="44" t="str">
        <f>IFERROR(__xludf.DUMMYFUNCTION("""COMPUTED_VALUE""")," ")</f>
        <v> </v>
      </c>
      <c r="H2019" s="44" t="str">
        <f>IFERROR(__xludf.DUMMYFUNCTION("""COMPUTED_VALUE""")," ")</f>
        <v> </v>
      </c>
      <c r="I2019" s="44" t="str">
        <f>IFERROR(__xludf.DUMMYFUNCTION("""COMPUTED_VALUE"""),"Internado")</f>
        <v>Internado</v>
      </c>
      <c r="J2019" s="44" t="str">
        <f>IFERROR(__xludf.DUMMYFUNCTION("""COMPUTED_VALUE"""),"25/06/2026")</f>
        <v>25/06/2026</v>
      </c>
      <c r="K2019" s="42" t="str">
        <f>IFERROR(__xludf.DUMMYFUNCTION("""COMPUTED_VALUE"""),"Hospital Pérez Carreño")</f>
        <v>Hospital Pérez Carreño</v>
      </c>
    </row>
    <row r="2020">
      <c r="A2020" s="44">
        <v>2019.0</v>
      </c>
      <c r="B2020" s="44" t="str">
        <f>IFERROR(__xludf.DUMMYFUNCTION("""COMPUTED_VALUE"""),"Hospital Vargas de Caracas")</f>
        <v>Hospital Vargas de Caracas</v>
      </c>
      <c r="C2020" s="45" t="str">
        <f>IFERROR(__xludf.DUMMYFUNCTION("""COMPUTED_VALUE"""),"GIL PATRICIA")</f>
        <v>GIL PATRICIA</v>
      </c>
      <c r="D2020" s="44" t="str">
        <f>IFERROR(__xludf.DUMMYFUNCTION("""COMPUTED_VALUE""")," ")</f>
        <v> </v>
      </c>
      <c r="E2020" s="44" t="str">
        <f>IFERROR(__xludf.DUMMYFUNCTION("""COMPUTED_VALUE"""),"")</f>
        <v/>
      </c>
      <c r="F2020" s="44" t="str">
        <f>IFERROR(__xludf.DUMMYFUNCTION("""COMPUTED_VALUE""")," ")</f>
        <v> </v>
      </c>
      <c r="G2020" s="44" t="str">
        <f>IFERROR(__xludf.DUMMYFUNCTION("""COMPUTED_VALUE"""),"")</f>
        <v/>
      </c>
      <c r="H2020" s="44" t="str">
        <f>IFERROR(__xludf.DUMMYFUNCTION("""COMPUTED_VALUE""")," ")</f>
        <v> </v>
      </c>
      <c r="I2020" s="44" t="str">
        <f>IFERROR(__xludf.DUMMYFUNCTION("""COMPUTED_VALUE""")," ")</f>
        <v> </v>
      </c>
      <c r="J2020" s="44" t="str">
        <f>IFERROR(__xludf.DUMMYFUNCTION("""COMPUTED_VALUE"""),"")</f>
        <v/>
      </c>
      <c r="K2020" s="42" t="str">
        <f>IFERROR(__xludf.DUMMYFUNCTION("""COMPUTED_VALUE"""),"Hospital Vargas de Caracas")</f>
        <v>Hospital Vargas de Caracas</v>
      </c>
    </row>
    <row r="2021">
      <c r="A2021" s="44">
        <v>2020.0</v>
      </c>
      <c r="B2021" s="44" t="str">
        <f>IFERROR(__xludf.DUMMYFUNCTION("""COMPUTED_VALUE"""),"Hospital Domingo Luciani")</f>
        <v>Hospital Domingo Luciani</v>
      </c>
      <c r="C2021" s="45" t="str">
        <f>IFERROR(__xludf.DUMMYFUNCTION("""COMPUTED_VALUE"""),"GILBERT ANA")</f>
        <v>GILBERT ANA</v>
      </c>
      <c r="D2021" s="44">
        <f>IFERROR(__xludf.DUMMYFUNCTION("""COMPUTED_VALUE"""),4.0)</f>
        <v>4</v>
      </c>
      <c r="E2021" s="44" t="str">
        <f>IFERROR(__xludf.DUMMYFUNCTION("""COMPUTED_VALUE"""),"")</f>
        <v/>
      </c>
      <c r="F2021" s="44" t="str">
        <f>IFERROR(__xludf.DUMMYFUNCTION("""COMPUTED_VALUE"""),"")</f>
        <v/>
      </c>
      <c r="G2021" s="44" t="str">
        <f>IFERROR(__xludf.DUMMYFUNCTION("""COMPUTED_VALUE""")," ")</f>
        <v> </v>
      </c>
      <c r="H2021" s="44" t="str">
        <f>IFERROR(__xludf.DUMMYFUNCTION("""COMPUTED_VALUE""")," ")</f>
        <v> </v>
      </c>
      <c r="I2021" s="44" t="str">
        <f>IFERROR(__xludf.DUMMYFUNCTION("""COMPUTED_VALUE"""),"Pediatría – La Guaira")</f>
        <v>Pediatría – La Guaira</v>
      </c>
      <c r="J2021" s="44" t="str">
        <f>IFERROR(__xludf.DUMMYFUNCTION("""COMPUTED_VALUE"""),"")</f>
        <v/>
      </c>
      <c r="K2021" s="42" t="str">
        <f>IFERROR(__xludf.DUMMYFUNCTION("""COMPUTED_VALUE"""),"🔍 BUSCAR PACIENTES")</f>
        <v>🔍 BUSCAR PACIENTES</v>
      </c>
    </row>
    <row r="2022">
      <c r="A2022" s="44">
        <v>2021.0</v>
      </c>
      <c r="B2022" s="44" t="str">
        <f>IFERROR(__xludf.DUMMYFUNCTION("""COMPUTED_VALUE"""),"Campo de Golf Playa los Cocos")</f>
        <v>Campo de Golf Playa los Cocos</v>
      </c>
      <c r="C2022" s="45" t="str">
        <f>IFERROR(__xludf.DUMMYFUNCTION("""COMPUTED_VALUE"""),"Gilmer Castillo")</f>
        <v>Gilmer Castillo</v>
      </c>
      <c r="D2022" s="44" t="str">
        <f>IFERROR(__xludf.DUMMYFUNCTION("""COMPUTED_VALUE"""),"")</f>
        <v/>
      </c>
      <c r="E2022" s="44" t="str">
        <f>IFERROR(__xludf.DUMMYFUNCTION("""COMPUTED_VALUE"""),"")</f>
        <v/>
      </c>
      <c r="F2022" s="44" t="str">
        <f>IFERROR(__xludf.DUMMYFUNCTION("""COMPUTED_VALUE"""),"")</f>
        <v/>
      </c>
      <c r="G2022" s="44" t="str">
        <f>IFERROR(__xludf.DUMMYFUNCTION("""COMPUTED_VALUE"""),"")</f>
        <v/>
      </c>
      <c r="H2022" s="44" t="str">
        <f>IFERROR(__xludf.DUMMYFUNCTION("""COMPUTED_VALUE"""),"")</f>
        <v/>
      </c>
      <c r="I2022" s="44"/>
      <c r="J2022" s="44" t="str">
        <f>IFERROR(__xludf.DUMMYFUNCTION("""COMPUTED_VALUE"""),"")</f>
        <v/>
      </c>
      <c r="K2022" s="42" t="str">
        <f>IFERROR(__xludf.DUMMYFUNCTION("""COMPUTED_VALUE"""),"Campo de Golf Playa los Cocos")</f>
        <v>Campo de Golf Playa los Cocos</v>
      </c>
    </row>
    <row r="2023">
      <c r="A2023" s="44">
        <v>2022.0</v>
      </c>
      <c r="B2023" s="44" t="str">
        <f>IFERROR(__xludf.DUMMYFUNCTION("""COMPUTED_VALUE"""),"H. Jose Maria Vargas LG")</f>
        <v>H. Jose Maria Vargas LG</v>
      </c>
      <c r="C2023" s="45" t="str">
        <f>IFERROR(__xludf.DUMMYFUNCTION("""COMPUTED_VALUE"""),"GILMORE RERICA")</f>
        <v>GILMORE RERICA</v>
      </c>
      <c r="D2023" s="44">
        <f>IFERROR(__xludf.DUMMYFUNCTION("""COMPUTED_VALUE"""),19.0)</f>
        <v>19</v>
      </c>
      <c r="E2023" s="44" t="str">
        <f>IFERROR(__xludf.DUMMYFUNCTION("""COMPUTED_VALUE"""),"")</f>
        <v/>
      </c>
      <c r="F2023" s="44" t="str">
        <f>IFERROR(__xludf.DUMMYFUNCTION("""COMPUTED_VALUE"""),"")</f>
        <v/>
      </c>
      <c r="G2023" s="44" t="str">
        <f>IFERROR(__xludf.DUMMYFUNCTION("""COMPUTED_VALUE""")," ")</f>
        <v> </v>
      </c>
      <c r="H2023" s="44" t="str">
        <f>IFERROR(__xludf.DUMMYFUNCTION("""COMPUTED_VALUE"""),"Caribe")</f>
        <v>Caribe</v>
      </c>
      <c r="I2023" s="44" t="str">
        <f>IFERROR(__xludf.DUMMYFUNCTION("""COMPUTED_VALUE""")," ")</f>
        <v> </v>
      </c>
      <c r="J2023" s="44" t="str">
        <f>IFERROR(__xludf.DUMMYFUNCTION("""COMPUTED_VALUE"""),"")</f>
        <v/>
      </c>
      <c r="K2023" s="42" t="str">
        <f>IFERROR(__xludf.DUMMYFUNCTION("""COMPUTED_VALUE"""),"H. Jose Maria Vargas LG")</f>
        <v>H. Jose Maria Vargas LG</v>
      </c>
    </row>
    <row r="2024">
      <c r="A2024" s="44">
        <v>2023.0</v>
      </c>
      <c r="B2024" s="44" t="str">
        <f>IFERROR(__xludf.DUMMYFUNCTION("""COMPUTED_VALUE"""),"Clínica El Ávila")</f>
        <v>Clínica El Ávila</v>
      </c>
      <c r="C2024" s="45" t="str">
        <f>IFERROR(__xludf.DUMMYFUNCTION("""COMPUTED_VALUE"""),"GINA MARBELIS")</f>
        <v>GINA MARBELIS</v>
      </c>
      <c r="D2024" s="44" t="str">
        <f>IFERROR(__xludf.DUMMYFUNCTION("""COMPUTED_VALUE""")," ")</f>
        <v> </v>
      </c>
      <c r="E2024" s="44" t="str">
        <f>IFERROR(__xludf.DUMMYFUNCTION("""COMPUTED_VALUE"""),"")</f>
        <v/>
      </c>
      <c r="F2024" s="44" t="str">
        <f>IFERROR(__xludf.DUMMYFUNCTION("""COMPUTED_VALUE"""),"")</f>
        <v/>
      </c>
      <c r="G2024" s="44" t="str">
        <f>IFERROR(__xludf.DUMMYFUNCTION("""COMPUTED_VALUE""")," ")</f>
        <v> </v>
      </c>
      <c r="H2024" s="44" t="str">
        <f>IFERROR(__xludf.DUMMYFUNCTION("""COMPUTED_VALUE""")," ")</f>
        <v> </v>
      </c>
      <c r="I2024" s="44" t="str">
        <f>IFERROR(__xludf.DUMMYFUNCTION("""COMPUTED_VALUE""")," ")</f>
        <v> </v>
      </c>
      <c r="J2024" s="44" t="str">
        <f>IFERROR(__xludf.DUMMYFUNCTION("""COMPUTED_VALUE"""),"")</f>
        <v/>
      </c>
      <c r="K2024" s="42" t="str">
        <f>IFERROR(__xludf.DUMMYFUNCTION("""COMPUTED_VALUE"""),"Clínica El Ávila")</f>
        <v>Clínica El Ávila</v>
      </c>
    </row>
    <row r="2025">
      <c r="A2025" s="44">
        <v>2024.0</v>
      </c>
      <c r="B2025" s="44" t="str">
        <f>IFERROR(__xludf.DUMMYFUNCTION("""COMPUTED_VALUE"""),"Hospital Vargas de Caracas")</f>
        <v>Hospital Vargas de Caracas</v>
      </c>
      <c r="C2025" s="45" t="str">
        <f>IFERROR(__xludf.DUMMYFUNCTION("""COMPUTED_VALUE"""),"GIRON ROIMY")</f>
        <v>GIRON ROIMY</v>
      </c>
      <c r="D2025" s="44" t="str">
        <f>IFERROR(__xludf.DUMMYFUNCTION("""COMPUTED_VALUE""")," ")</f>
        <v> </v>
      </c>
      <c r="E2025" s="44" t="str">
        <f>IFERROR(__xludf.DUMMYFUNCTION("""COMPUTED_VALUE"""),"")</f>
        <v/>
      </c>
      <c r="F2025" s="44" t="str">
        <f>IFERROR(__xludf.DUMMYFUNCTION("""COMPUTED_VALUE""")," ")</f>
        <v> </v>
      </c>
      <c r="G2025" s="44" t="str">
        <f>IFERROR(__xludf.DUMMYFUNCTION("""COMPUTED_VALUE"""),"")</f>
        <v/>
      </c>
      <c r="H2025" s="44" t="str">
        <f>IFERROR(__xludf.DUMMYFUNCTION("""COMPUTED_VALUE""")," ")</f>
        <v> </v>
      </c>
      <c r="I2025" s="44" t="str">
        <f>IFERROR(__xludf.DUMMYFUNCTION("""COMPUTED_VALUE"""),"Pacientes x Sismo Edo La Guaira")</f>
        <v>Pacientes x Sismo Edo La Guaira</v>
      </c>
      <c r="J2025" s="44" t="str">
        <f>IFERROR(__xludf.DUMMYFUNCTION("""COMPUTED_VALUE"""),"")</f>
        <v/>
      </c>
      <c r="K2025" s="42" t="str">
        <f>IFERROR(__xludf.DUMMYFUNCTION("""COMPUTED_VALUE"""),"Hospital Vargas de Caracas")</f>
        <v>Hospital Vargas de Caracas</v>
      </c>
    </row>
    <row r="2026">
      <c r="A2026" s="44">
        <v>2025.0</v>
      </c>
      <c r="B2026" s="44" t="str">
        <f>IFERROR(__xludf.DUMMYFUNCTION("""COMPUTED_VALUE"""),"Periférico de Catia")</f>
        <v>Periférico de Catia</v>
      </c>
      <c r="C2026" s="45" t="str">
        <f>IFERROR(__xludf.DUMMYFUNCTION("""COMPUTED_VALUE"""),"GISBET PEÑA")</f>
        <v>GISBET PEÑA</v>
      </c>
      <c r="D2026" s="44">
        <f>IFERROR(__xludf.DUMMYFUNCTION("""COMPUTED_VALUE"""),51.0)</f>
        <v>51</v>
      </c>
      <c r="E2026" s="44" t="str">
        <f>IFERROR(__xludf.DUMMYFUNCTION("""COMPUTED_VALUE"""),"")</f>
        <v/>
      </c>
      <c r="F2026" s="44" t="str">
        <f>IFERROR(__xludf.DUMMYFUNCTION("""COMPUTED_VALUE"""),"")</f>
        <v/>
      </c>
      <c r="G2026" s="44" t="str">
        <f>IFERROR(__xludf.DUMMYFUNCTION("""COMPUTED_VALUE""")," ")</f>
        <v> </v>
      </c>
      <c r="H2026" s="44" t="str">
        <f>IFERROR(__xludf.DUMMYFUNCTION("""COMPUTED_VALUE"""),"Casalta + sector Rio")</f>
        <v>Casalta + sector Rio</v>
      </c>
      <c r="I2026" s="44" t="str">
        <f>IFERROR(__xludf.DUMMYFUNCTION("""COMPUTED_VALUE""")," ")</f>
        <v> </v>
      </c>
      <c r="J2026" s="44" t="str">
        <f>IFERROR(__xludf.DUMMYFUNCTION("""COMPUTED_VALUE"""),"")</f>
        <v/>
      </c>
      <c r="K2026" s="42" t="str">
        <f>IFERROR(__xludf.DUMMYFUNCTION("""COMPUTED_VALUE"""),"Periférico de Catia")</f>
        <v>Periférico de Catia</v>
      </c>
    </row>
    <row r="2027">
      <c r="A2027" s="44">
        <v>2026.0</v>
      </c>
      <c r="B2027" s="44" t="str">
        <f>IFERROR(__xludf.DUMMYFUNCTION("""COMPUTED_VALUE"""),"Hospital Domingo Luciani")</f>
        <v>Hospital Domingo Luciani</v>
      </c>
      <c r="C2027" s="45" t="str">
        <f>IFERROR(__xludf.DUMMYFUNCTION("""COMPUTED_VALUE"""),"GLADYS ARTEAGA")</f>
        <v>GLADYS ARTEAGA</v>
      </c>
      <c r="D2027" s="44" t="str">
        <f>IFERROR(__xludf.DUMMYFUNCTION("""COMPUTED_VALUE""")," ")</f>
        <v> </v>
      </c>
      <c r="E2027" s="44" t="str">
        <f>IFERROR(__xludf.DUMMYFUNCTION("""COMPUTED_VALUE"""),"")</f>
        <v/>
      </c>
      <c r="F2027" s="44" t="str">
        <f>IFERROR(__xludf.DUMMYFUNCTION("""COMPUTED_VALUE"""),"")</f>
        <v/>
      </c>
      <c r="G2027" s="44" t="str">
        <f>IFERROR(__xludf.DUMMYFUNCTION("""COMPUTED_VALUE""")," ")</f>
        <v> </v>
      </c>
      <c r="H2027" s="44" t="str">
        <f>IFERROR(__xludf.DUMMYFUNCTION("""COMPUTED_VALUE""")," ")</f>
        <v> </v>
      </c>
      <c r="I2027" s="44" t="str">
        <f>IFERROR(__xludf.DUMMYFUNCTION("""COMPUTED_VALUE""")," ")</f>
        <v> </v>
      </c>
      <c r="J2027" s="44" t="str">
        <f>IFERROR(__xludf.DUMMYFUNCTION("""COMPUTED_VALUE"""),"")</f>
        <v/>
      </c>
      <c r="K2027" s="42" t="str">
        <f>IFERROR(__xludf.DUMMYFUNCTION("""COMPUTED_VALUE"""),"🔍 BUSCAR PACIENTES")</f>
        <v>🔍 BUSCAR PACIENTES</v>
      </c>
    </row>
    <row r="2028">
      <c r="A2028" s="44">
        <v>2027.0</v>
      </c>
      <c r="B2028" s="44" t="str">
        <f>IFERROR(__xludf.DUMMYFUNCTION("""COMPUTED_VALUE"""),"Hospital Pérez Carreño")</f>
        <v>Hospital Pérez Carreño</v>
      </c>
      <c r="C2028" s="45" t="str">
        <f>IFERROR(__xludf.DUMMYFUNCTION("""COMPUTED_VALUE"""),"Gladys Eman")</f>
        <v>Gladys Eman</v>
      </c>
      <c r="D2028" s="44"/>
      <c r="E2028" s="44" t="str">
        <f>IFERROR(__xludf.DUMMYFUNCTION("""COMPUTED_VALUE"""),"")</f>
        <v/>
      </c>
      <c r="F2028" s="44" t="str">
        <f>IFERROR(__xludf.DUMMYFUNCTION("""COMPUTED_VALUE"""),"")</f>
        <v/>
      </c>
      <c r="G2028" s="44" t="str">
        <f>IFERROR(__xludf.DUMMYFUNCTION("""COMPUTED_VALUE"""),"Traumashock ")</f>
        <v>Traumashock </v>
      </c>
      <c r="H2028" s="44" t="str">
        <f>IFERROR(__xludf.DUMMYFUNCTION("""COMPUTED_VALUE"""),"Hospital Miguel Perez Carreño")</f>
        <v>Hospital Miguel Perez Carreño</v>
      </c>
      <c r="I2028" s="44"/>
      <c r="J2028" s="44" t="str">
        <f>IFERROR(__xludf.DUMMYFUNCTION("""COMPUTED_VALUE"""),"26/6/26")</f>
        <v>26/6/26</v>
      </c>
      <c r="K2028" s="42" t="str">
        <f>IFERROR(__xludf.DUMMYFUNCTION("""COMPUTED_VALUE"""),"Hospital Pérez Carreño")</f>
        <v>Hospital Pérez Carreño</v>
      </c>
    </row>
    <row r="2029">
      <c r="A2029" s="44">
        <v>2028.0</v>
      </c>
      <c r="B2029" s="44" t="str">
        <f>IFERROR(__xludf.DUMMYFUNCTION("""COMPUTED_VALUE"""),"Hospital Pérez Carreño")</f>
        <v>Hospital Pérez Carreño</v>
      </c>
      <c r="C2029" s="45" t="str">
        <f>IFERROR(__xludf.DUMMYFUNCTION("""COMPUTED_VALUE"""),"Gloria Tijero")</f>
        <v>Gloria Tijero</v>
      </c>
      <c r="D2029" s="44" t="str">
        <f>IFERROR(__xludf.DUMMYFUNCTION("""COMPUTED_VALUE"""),"Catia La Mar")</f>
        <v>Catia La Mar</v>
      </c>
      <c r="E2029" s="44" t="str">
        <f>IFERROR(__xludf.DUMMYFUNCTION("""COMPUTED_VALUE"""),"")</f>
        <v/>
      </c>
      <c r="F2029" s="44" t="str">
        <f>IFERROR(__xludf.DUMMYFUNCTION("""COMPUTED_VALUE"""),"")</f>
        <v/>
      </c>
      <c r="G2029" s="44"/>
      <c r="H2029" s="44"/>
      <c r="I2029" s="44"/>
      <c r="J2029" s="44"/>
      <c r="K2029" s="42" t="str">
        <f>IFERROR(__xludf.DUMMYFUNCTION("""COMPUTED_VALUE"""),"Hospital Pérez Carreño")</f>
        <v>Hospital Pérez Carreño</v>
      </c>
    </row>
    <row r="2030">
      <c r="A2030" s="44">
        <v>2029.0</v>
      </c>
      <c r="B2030" s="44" t="str">
        <f>IFERROR(__xludf.DUMMYFUNCTION("""COMPUTED_VALUE"""),"Hospital Militar Universitario Dr. Carlos Arvelo")</f>
        <v>Hospital Militar Universitario Dr. Carlos Arvelo</v>
      </c>
      <c r="C2030" s="45" t="str">
        <f>IFERROR(__xludf.DUMMYFUNCTION("""COMPUTED_VALUE"""),"GOMEZ APOSTOL VALENTINA")</f>
        <v>GOMEZ APOSTOL VALENTINA</v>
      </c>
      <c r="D2030" s="44">
        <f>IFERROR(__xludf.DUMMYFUNCTION("""COMPUTED_VALUE"""),20.0)</f>
        <v>20</v>
      </c>
      <c r="E2030" s="44" t="str">
        <f>IFERROR(__xludf.DUMMYFUNCTION("""COMPUTED_VALUE"""),"")</f>
        <v/>
      </c>
      <c r="F2030" s="44" t="str">
        <f>IFERROR(__xludf.DUMMYFUNCTION("""COMPUTED_VALUE"""),"")</f>
        <v/>
      </c>
      <c r="G2030" s="44" t="str">
        <f>IFERROR(__xludf.DUMMYFUNCTION("""COMPUTED_VALUE""")," ")</f>
        <v> </v>
      </c>
      <c r="H2030" s="44" t="str">
        <f>IFERROR(__xludf.DUMMYFUNCTION("""COMPUTED_VALUE"""),"La Pastora")</f>
        <v>La Pastora</v>
      </c>
      <c r="I2030" s="44" t="str">
        <f>IFERROR(__xludf.DUMMYFUNCTION("""COMPUTED_VALUE"""),"PNA")</f>
        <v>PNA</v>
      </c>
      <c r="J2030" s="44" t="str">
        <f>IFERROR(__xludf.DUMMYFUNCTION("""COMPUTED_VALUE"""),"")</f>
        <v/>
      </c>
      <c r="K2030" s="42" t="str">
        <f>IFERROR(__xludf.DUMMYFUNCTION("""COMPUTED_VALUE"""),"🔍 BUSCAR PACIENTES")</f>
        <v>🔍 BUSCAR PACIENTES</v>
      </c>
    </row>
    <row r="2031">
      <c r="A2031" s="44">
        <v>2030.0</v>
      </c>
      <c r="B2031" s="44" t="str">
        <f>IFERROR(__xludf.DUMMYFUNCTION("""COMPUTED_VALUE"""),"Hospital Militar Dr. C. Arvelo")</f>
        <v>Hospital Militar Dr. C. Arvelo</v>
      </c>
      <c r="C2031" s="45" t="str">
        <f>IFERROR(__xludf.DUMMYFUNCTION("""COMPUTED_VALUE"""),"Gómez Apostol Valentina")</f>
        <v>Gómez Apostol Valentina</v>
      </c>
      <c r="D2031" s="44">
        <f>IFERROR(__xludf.DUMMYFUNCTION("""COMPUTED_VALUE"""),20.0)</f>
        <v>20</v>
      </c>
      <c r="E2031" s="44" t="str">
        <f>IFERROR(__xludf.DUMMYFUNCTION("""COMPUTED_VALUE"""),"")</f>
        <v/>
      </c>
      <c r="F2031" s="44" t="str">
        <f>IFERROR(__xludf.DUMMYFUNCTION("""COMPUTED_VALUE"""),"")</f>
        <v/>
      </c>
      <c r="G2031" s="44" t="str">
        <f>IFERROR(__xludf.DUMMYFUNCTION("""COMPUTED_VALUE"""),"")</f>
        <v/>
      </c>
      <c r="H2031" s="44" t="str">
        <f>IFERROR(__xludf.DUMMYFUNCTION("""COMPUTED_VALUE"""),"F")</f>
        <v>F</v>
      </c>
      <c r="I2031" s="44" t="str">
        <f>IFERROR(__xludf.DUMMYFUNCTION("""COMPUTED_VALUE"""),"La Pastora PNA")</f>
        <v>La Pastora PNA</v>
      </c>
      <c r="J2031" s="44" t="str">
        <f>IFERROR(__xludf.DUMMYFUNCTION("""COMPUTED_VALUE"""),"24/6/2026")</f>
        <v>24/6/2026</v>
      </c>
      <c r="K2031" s="42" t="str">
        <f>IFERROR(__xludf.DUMMYFUNCTION("""COMPUTED_VALUE"""),"Hospital Militar Dr. C. Arvelo")</f>
        <v>Hospital Militar Dr. C. Arvelo</v>
      </c>
    </row>
    <row r="2032">
      <c r="A2032" s="44">
        <v>2031.0</v>
      </c>
      <c r="B2032" s="44" t="str">
        <f>IFERROR(__xludf.DUMMYFUNCTION("""COMPUTED_VALUE"""),"Hospital Pérez Carreño")</f>
        <v>Hospital Pérez Carreño</v>
      </c>
      <c r="C2032" s="45" t="str">
        <f>IFERROR(__xludf.DUMMYFUNCTION("""COMPUTED_VALUE"""),"Gomez Cardona Manuel Adolfo")</f>
        <v>Gomez Cardona Manuel Adolfo</v>
      </c>
      <c r="D2032" s="44"/>
      <c r="E2032" s="44" t="str">
        <f>IFERROR(__xludf.DUMMYFUNCTION("""COMPUTED_VALUE"""),"")</f>
        <v/>
      </c>
      <c r="F2032" s="44" t="str">
        <f>IFERROR(__xludf.DUMMYFUNCTION("""COMPUTED_VALUE"""),"")</f>
        <v/>
      </c>
      <c r="G2032" s="44" t="str">
        <f>IFERROR(__xludf.DUMMYFUNCTION("""COMPUTED_VALUE"""),"Traslados")</f>
        <v>Traslados</v>
      </c>
      <c r="H2032" s="44" t="str">
        <f>IFERROR(__xludf.DUMMYFUNCTION("""COMPUTED_VALUE"""),"Hospital Miguel Perez Carreño")</f>
        <v>Hospital Miguel Perez Carreño</v>
      </c>
      <c r="I2032" s="44"/>
      <c r="J2032" s="44" t="str">
        <f>IFERROR(__xludf.DUMMYFUNCTION("""COMPUTED_VALUE"""),"26/6/26")</f>
        <v>26/6/26</v>
      </c>
      <c r="K2032" s="42" t="str">
        <f>IFERROR(__xludf.DUMMYFUNCTION("""COMPUTED_VALUE"""),"Hospital Pérez Carreño")</f>
        <v>Hospital Pérez Carreño</v>
      </c>
    </row>
    <row r="2033">
      <c r="A2033" s="44">
        <v>2032.0</v>
      </c>
      <c r="B2033" s="44" t="str">
        <f>IFERROR(__xludf.DUMMYFUNCTION("""COMPUTED_VALUE"""),"La Guaira Sin Hospital")</f>
        <v>La Guaira Sin Hospital</v>
      </c>
      <c r="C2033" s="45" t="str">
        <f>IFERROR(__xludf.DUMMYFUNCTION("""COMPUTED_VALUE"""),"Gomez Cordova Manuel Alberto")</f>
        <v>Gomez Cordova Manuel Alberto</v>
      </c>
      <c r="D2033" s="44" t="str">
        <f>IFERROR(__xludf.DUMMYFUNCTION("""COMPUTED_VALUE"""),"")</f>
        <v/>
      </c>
      <c r="E2033" s="44" t="str">
        <f>IFERROR(__xludf.DUMMYFUNCTION("""COMPUTED_VALUE"""),"")</f>
        <v/>
      </c>
      <c r="F2033" s="44" t="str">
        <f>IFERROR(__xludf.DUMMYFUNCTION("""COMPUTED_VALUE"""),"")</f>
        <v/>
      </c>
      <c r="G2033" s="44" t="str">
        <f>IFERROR(__xludf.DUMMYFUNCTION("""COMPUTED_VALUE"""),"")</f>
        <v/>
      </c>
      <c r="H2033" s="44"/>
      <c r="I2033" s="44" t="str">
        <f>IFERROR(__xludf.DUMMYFUNCTION("""COMPUTED_VALUE"""),"Listas solo con nombre")</f>
        <v>Listas solo con nombre</v>
      </c>
      <c r="J2033" s="44" t="str">
        <f>IFERROR(__xludf.DUMMYFUNCTION("""COMPUTED_VALUE"""),"")</f>
        <v/>
      </c>
      <c r="K2033" s="42" t="str">
        <f>IFERROR(__xludf.DUMMYFUNCTION("""COMPUTED_VALUE"""),"La Guaira Sin Hospital")</f>
        <v>La Guaira Sin Hospital</v>
      </c>
    </row>
    <row r="2034">
      <c r="A2034" s="44">
        <v>2033.0</v>
      </c>
      <c r="B2034" s="44" t="str">
        <f>IFERROR(__xludf.DUMMYFUNCTION("""COMPUTED_VALUE"""),"Centro de Acopio Caraballeda")</f>
        <v>Centro de Acopio Caraballeda</v>
      </c>
      <c r="C2034" s="45" t="str">
        <f>IFERROR(__xludf.DUMMYFUNCTION("""COMPUTED_VALUE"""),"GOMEZ DALIA")</f>
        <v>GOMEZ DALIA</v>
      </c>
      <c r="D2034" s="44" t="str">
        <f>IFERROR(__xludf.DUMMYFUNCTION("""COMPUTED_VALUE""")," ")</f>
        <v> </v>
      </c>
      <c r="E2034" s="44" t="str">
        <f>IFERROR(__xludf.DUMMYFUNCTION("""COMPUTED_VALUE"""),"")</f>
        <v/>
      </c>
      <c r="F2034" s="44" t="str">
        <f>IFERROR(__xludf.DUMMYFUNCTION("""COMPUTED_VALUE"""),"")</f>
        <v/>
      </c>
      <c r="G2034" s="44" t="str">
        <f>IFERROR(__xludf.DUMMYFUNCTION("""COMPUTED_VALUE""")," ")</f>
        <v> </v>
      </c>
      <c r="H2034" s="44" t="str">
        <f>IFERROR(__xludf.DUMMYFUNCTION("""COMPUTED_VALUE""")," ")</f>
        <v> </v>
      </c>
      <c r="I2034" s="44" t="str">
        <f>IFERROR(__xludf.DUMMYFUNCTION("""COMPUTED_VALUE"""),"Internado")</f>
        <v>Internado</v>
      </c>
      <c r="J2034" s="44" t="str">
        <f>IFERROR(__xludf.DUMMYFUNCTION("""COMPUTED_VALUE"""),"")</f>
        <v/>
      </c>
      <c r="K2034" s="42" t="str">
        <f>IFERROR(__xludf.DUMMYFUNCTION("""COMPUTED_VALUE"""),"🔍 BUSCAR PACIENTES")</f>
        <v>🔍 BUSCAR PACIENTES</v>
      </c>
    </row>
    <row r="2035">
      <c r="A2035" s="44">
        <v>2034.0</v>
      </c>
      <c r="B2035" s="44" t="str">
        <f>IFERROR(__xludf.DUMMYFUNCTION("""COMPUTED_VALUE"""),"Centro de Acopio Caraballeda")</f>
        <v>Centro de Acopio Caraballeda</v>
      </c>
      <c r="C2035" s="45" t="str">
        <f>IFERROR(__xludf.DUMMYFUNCTION("""COMPUTED_VALUE"""),"GOMEZ FELIPE")</f>
        <v>GOMEZ FELIPE</v>
      </c>
      <c r="D2035" s="44" t="str">
        <f>IFERROR(__xludf.DUMMYFUNCTION("""COMPUTED_VALUE""")," ")</f>
        <v> </v>
      </c>
      <c r="E2035" s="44" t="str">
        <f>IFERROR(__xludf.DUMMYFUNCTION("""COMPUTED_VALUE"""),"")</f>
        <v/>
      </c>
      <c r="F2035" s="44" t="str">
        <f>IFERROR(__xludf.DUMMYFUNCTION("""COMPUTED_VALUE"""),"")</f>
        <v/>
      </c>
      <c r="G2035" s="44" t="str">
        <f>IFERROR(__xludf.DUMMYFUNCTION("""COMPUTED_VALUE""")," ")</f>
        <v> </v>
      </c>
      <c r="H2035" s="44" t="str">
        <f>IFERROR(__xludf.DUMMYFUNCTION("""COMPUTED_VALUE""")," ")</f>
        <v> </v>
      </c>
      <c r="I2035" s="44" t="str">
        <f>IFERROR(__xludf.DUMMYFUNCTION("""COMPUTED_VALUE"""),"Internado")</f>
        <v>Internado</v>
      </c>
      <c r="J2035" s="44" t="str">
        <f>IFERROR(__xludf.DUMMYFUNCTION("""COMPUTED_VALUE"""),"")</f>
        <v/>
      </c>
      <c r="K2035" s="42" t="str">
        <f>IFERROR(__xludf.DUMMYFUNCTION("""COMPUTED_VALUE"""),"🔍 BUSCAR PACIENTES")</f>
        <v>🔍 BUSCAR PACIENTES</v>
      </c>
    </row>
    <row r="2036">
      <c r="A2036" s="44">
        <v>2035.0</v>
      </c>
      <c r="B2036" s="44" t="str">
        <f>IFERROR(__xludf.DUMMYFUNCTION("""COMPUTED_VALUE"""),"Hospital Domingo Luciani")</f>
        <v>Hospital Domingo Luciani</v>
      </c>
      <c r="C2036" s="45" t="str">
        <f>IFERROR(__xludf.DUMMYFUNCTION("""COMPUTED_VALUE"""),"GOMEZ LUCY")</f>
        <v>GOMEZ LUCY</v>
      </c>
      <c r="D2036" s="44">
        <f>IFERROR(__xludf.DUMMYFUNCTION("""COMPUTED_VALUE"""),61.0)</f>
        <v>61</v>
      </c>
      <c r="E2036" s="44" t="str">
        <f>IFERROR(__xludf.DUMMYFUNCTION("""COMPUTED_VALUE"""),"")</f>
        <v/>
      </c>
      <c r="F2036" s="44" t="str">
        <f>IFERROR(__xludf.DUMMYFUNCTION("""COMPUTED_VALUE"""),"")</f>
        <v/>
      </c>
      <c r="G2036" s="44" t="str">
        <f>IFERROR(__xludf.DUMMYFUNCTION("""COMPUTED_VALUE""")," ")</f>
        <v> </v>
      </c>
      <c r="H2036" s="44" t="str">
        <f>IFERROR(__xludf.DUMMYFUNCTION("""COMPUTED_VALUE""")," ")</f>
        <v> </v>
      </c>
      <c r="I2036" s="44" t="str">
        <f>IFERROR(__xludf.DUMMYFUNCTION("""COMPUTED_VALUE"""),"Politrauma – Caribe; TRM")</f>
        <v>Politrauma – Caribe; TRM</v>
      </c>
      <c r="J2036" s="44" t="str">
        <f>IFERROR(__xludf.DUMMYFUNCTION("""COMPUTED_VALUE"""),"")</f>
        <v/>
      </c>
      <c r="K2036" s="42" t="str">
        <f>IFERROR(__xludf.DUMMYFUNCTION("""COMPUTED_VALUE"""),"🔍 BUSCAR PACIENTES")</f>
        <v>🔍 BUSCAR PACIENTES</v>
      </c>
    </row>
    <row r="2037">
      <c r="A2037" s="44">
        <v>2036.0</v>
      </c>
      <c r="B2037" s="44" t="str">
        <f>IFERROR(__xludf.DUMMYFUNCTION("""COMPUTED_VALUE"""),"H. Jose Maria Vargas LG")</f>
        <v>H. Jose Maria Vargas LG</v>
      </c>
      <c r="C2037" s="45" t="str">
        <f>IFERROR(__xludf.DUMMYFUNCTION("""COMPUTED_VALUE"""),"GOMEZ LUISANA")</f>
        <v>GOMEZ LUISANA</v>
      </c>
      <c r="D2037" s="44" t="str">
        <f>IFERROR(__xludf.DUMMYFUNCTION("""COMPUTED_VALUE""")," ")</f>
        <v> </v>
      </c>
      <c r="E2037" s="44" t="str">
        <f>IFERROR(__xludf.DUMMYFUNCTION("""COMPUTED_VALUE"""),"")</f>
        <v/>
      </c>
      <c r="F2037" s="44" t="str">
        <f>IFERROR(__xludf.DUMMYFUNCTION("""COMPUTED_VALUE"""),"")</f>
        <v/>
      </c>
      <c r="G2037" s="44" t="str">
        <f>IFERROR(__xludf.DUMMYFUNCTION("""COMPUTED_VALUE""")," ")</f>
        <v> </v>
      </c>
      <c r="H2037" s="44" t="str">
        <f>IFERROR(__xludf.DUMMYFUNCTION("""COMPUTED_VALUE""")," ")</f>
        <v> </v>
      </c>
      <c r="I2037" s="44" t="str">
        <f>IFERROR(__xludf.DUMMYFUNCTION("""COMPUTED_VALUE""")," ")</f>
        <v> </v>
      </c>
      <c r="J2037" s="44" t="str">
        <f>IFERROR(__xludf.DUMMYFUNCTION("""COMPUTED_VALUE"""),"")</f>
        <v/>
      </c>
      <c r="K2037" s="42" t="str">
        <f>IFERROR(__xludf.DUMMYFUNCTION("""COMPUTED_VALUE"""),"H. Jose Maria Vargas LG")</f>
        <v>H. Jose Maria Vargas LG</v>
      </c>
    </row>
    <row r="2038">
      <c r="A2038" s="44">
        <v>2037.0</v>
      </c>
      <c r="B2038" s="44" t="str">
        <f>IFERROR(__xludf.DUMMYFUNCTION("""COMPUTED_VALUE"""),"Hospital Vargas de Caracas")</f>
        <v>Hospital Vargas de Caracas</v>
      </c>
      <c r="C2038" s="45" t="str">
        <f>IFERROR(__xludf.DUMMYFUNCTION("""COMPUTED_VALUE"""),"GOMEZ VANESA")</f>
        <v>GOMEZ VANESA</v>
      </c>
      <c r="D2038" s="44" t="str">
        <f>IFERROR(__xludf.DUMMYFUNCTION("""COMPUTED_VALUE""")," ")</f>
        <v> </v>
      </c>
      <c r="E2038" s="44" t="str">
        <f>IFERROR(__xludf.DUMMYFUNCTION("""COMPUTED_VALUE"""),"")</f>
        <v/>
      </c>
      <c r="F2038" s="44" t="str">
        <f>IFERROR(__xludf.DUMMYFUNCTION("""COMPUTED_VALUE""")," ")</f>
        <v> </v>
      </c>
      <c r="G2038" s="44" t="str">
        <f>IFERROR(__xludf.DUMMYFUNCTION("""COMPUTED_VALUE"""),"")</f>
        <v/>
      </c>
      <c r="H2038" s="44" t="str">
        <f>IFERROR(__xludf.DUMMYFUNCTION("""COMPUTED_VALUE""")," ")</f>
        <v> </v>
      </c>
      <c r="I2038" s="44" t="str">
        <f>IFERROR(__xludf.DUMMYFUNCTION("""COMPUTED_VALUE""")," ")</f>
        <v> </v>
      </c>
      <c r="J2038" s="44" t="str">
        <f>IFERROR(__xludf.DUMMYFUNCTION("""COMPUTED_VALUE"""),"")</f>
        <v/>
      </c>
      <c r="K2038" s="42" t="str">
        <f>IFERROR(__xludf.DUMMYFUNCTION("""COMPUTED_VALUE"""),"Hospital Vargas de Caracas")</f>
        <v>Hospital Vargas de Caracas</v>
      </c>
    </row>
    <row r="2039">
      <c r="A2039" s="44">
        <v>2038.0</v>
      </c>
      <c r="B2039" s="44" t="str">
        <f>IFERROR(__xludf.DUMMYFUNCTION("""COMPUTED_VALUE"""),"Centro de Acopio Caraballeda")</f>
        <v>Centro de Acopio Caraballeda</v>
      </c>
      <c r="C2039" s="45" t="str">
        <f>IFERROR(__xludf.DUMMYFUNCTION("""COMPUTED_VALUE"""),"GOMEZ VLADIMIR")</f>
        <v>GOMEZ VLADIMIR</v>
      </c>
      <c r="D2039" s="44" t="str">
        <f>IFERROR(__xludf.DUMMYFUNCTION("""COMPUTED_VALUE""")," ")</f>
        <v> </v>
      </c>
      <c r="E2039" s="44" t="str">
        <f>IFERROR(__xludf.DUMMYFUNCTION("""COMPUTED_VALUE"""),"")</f>
        <v/>
      </c>
      <c r="F2039" s="44" t="str">
        <f>IFERROR(__xludf.DUMMYFUNCTION("""COMPUTED_VALUE"""),"")</f>
        <v/>
      </c>
      <c r="G2039" s="44" t="str">
        <f>IFERROR(__xludf.DUMMYFUNCTION("""COMPUTED_VALUE""")," ")</f>
        <v> </v>
      </c>
      <c r="H2039" s="44" t="str">
        <f>IFERROR(__xludf.DUMMYFUNCTION("""COMPUTED_VALUE""")," ")</f>
        <v> </v>
      </c>
      <c r="I2039" s="44" t="str">
        <f>IFERROR(__xludf.DUMMYFUNCTION("""COMPUTED_VALUE"""),"Internado")</f>
        <v>Internado</v>
      </c>
      <c r="J2039" s="44" t="str">
        <f>IFERROR(__xludf.DUMMYFUNCTION("""COMPUTED_VALUE"""),"")</f>
        <v/>
      </c>
      <c r="K2039" s="42" t="str">
        <f>IFERROR(__xludf.DUMMYFUNCTION("""COMPUTED_VALUE"""),"🔍 BUSCAR PACIENTES")</f>
        <v>🔍 BUSCAR PACIENTES</v>
      </c>
    </row>
    <row r="2040">
      <c r="A2040" s="44">
        <v>2039.0</v>
      </c>
      <c r="B2040" s="44" t="str">
        <f>IFERROR(__xludf.DUMMYFUNCTION("""COMPUTED_VALUE"""),"Centro de Acopio Caraballeda")</f>
        <v>Centro de Acopio Caraballeda</v>
      </c>
      <c r="C2040" s="45" t="str">
        <f>IFERROR(__xludf.DUMMYFUNCTION("""COMPUTED_VALUE"""),"GOMEZ WILMER")</f>
        <v>GOMEZ WILMER</v>
      </c>
      <c r="D2040" s="44" t="str">
        <f>IFERROR(__xludf.DUMMYFUNCTION("""COMPUTED_VALUE""")," ")</f>
        <v> </v>
      </c>
      <c r="E2040" s="44" t="str">
        <f>IFERROR(__xludf.DUMMYFUNCTION("""COMPUTED_VALUE"""),"")</f>
        <v/>
      </c>
      <c r="F2040" s="44" t="str">
        <f>IFERROR(__xludf.DUMMYFUNCTION("""COMPUTED_VALUE"""),"")</f>
        <v/>
      </c>
      <c r="G2040" s="44" t="str">
        <f>IFERROR(__xludf.DUMMYFUNCTION("""COMPUTED_VALUE""")," ")</f>
        <v> </v>
      </c>
      <c r="H2040" s="44" t="str">
        <f>IFERROR(__xludf.DUMMYFUNCTION("""COMPUTED_VALUE""")," ")</f>
        <v> </v>
      </c>
      <c r="I2040" s="44" t="str">
        <f>IFERROR(__xludf.DUMMYFUNCTION("""COMPUTED_VALUE"""),"Internado")</f>
        <v>Internado</v>
      </c>
      <c r="J2040" s="44" t="str">
        <f>IFERROR(__xludf.DUMMYFUNCTION("""COMPUTED_VALUE"""),"")</f>
        <v/>
      </c>
      <c r="K2040" s="42" t="str">
        <f>IFERROR(__xludf.DUMMYFUNCTION("""COMPUTED_VALUE"""),"🔍 BUSCAR PACIENTES")</f>
        <v>🔍 BUSCAR PACIENTES</v>
      </c>
    </row>
    <row r="2041">
      <c r="A2041" s="44">
        <v>2040.0</v>
      </c>
      <c r="B2041" s="44" t="str">
        <f>IFERROR(__xludf.DUMMYFUNCTION("""COMPUTED_VALUE"""),"Hospital Vargas de Caracas")</f>
        <v>Hospital Vargas de Caracas</v>
      </c>
      <c r="C2041" s="45" t="str">
        <f>IFERROR(__xludf.DUMMYFUNCTION("""COMPUTED_VALUE"""),"GOMEZ YARITZA")</f>
        <v>GOMEZ YARITZA</v>
      </c>
      <c r="D2041" s="44" t="str">
        <f>IFERROR(__xludf.DUMMYFUNCTION("""COMPUTED_VALUE""")," ")</f>
        <v> </v>
      </c>
      <c r="E2041" s="44" t="str">
        <f>IFERROR(__xludf.DUMMYFUNCTION("""COMPUTED_VALUE"""),"")</f>
        <v/>
      </c>
      <c r="F2041" s="44" t="str">
        <f>IFERROR(__xludf.DUMMYFUNCTION("""COMPUTED_VALUE""")," ")</f>
        <v> </v>
      </c>
      <c r="G2041" s="44" t="str">
        <f>IFERROR(__xludf.DUMMYFUNCTION("""COMPUTED_VALUE"""),"")</f>
        <v/>
      </c>
      <c r="H2041" s="44" t="str">
        <f>IFERROR(__xludf.DUMMYFUNCTION("""COMPUTED_VALUE""")," ")</f>
        <v> </v>
      </c>
      <c r="I2041" s="44" t="str">
        <f>IFERROR(__xludf.DUMMYFUNCTION("""COMPUTED_VALUE""")," ")</f>
        <v> </v>
      </c>
      <c r="J2041" s="44" t="str">
        <f>IFERROR(__xludf.DUMMYFUNCTION("""COMPUTED_VALUE"""),"")</f>
        <v/>
      </c>
      <c r="K2041" s="42" t="str">
        <f>IFERROR(__xludf.DUMMYFUNCTION("""COMPUTED_VALUE"""),"Hospital Vargas de Caracas")</f>
        <v>Hospital Vargas de Caracas</v>
      </c>
    </row>
    <row r="2042">
      <c r="A2042" s="44">
        <v>2041.0</v>
      </c>
      <c r="B2042" s="44" t="str">
        <f>IFERROR(__xludf.DUMMYFUNCTION("""COMPUTED_VALUE"""),"Hospital Vargas de Caracas")</f>
        <v>Hospital Vargas de Caracas</v>
      </c>
      <c r="C2042" s="45" t="str">
        <f>IFERROR(__xludf.DUMMYFUNCTION("""COMPUTED_VALUE"""),"GOMEZ YOLIBEL")</f>
        <v>GOMEZ YOLIBEL</v>
      </c>
      <c r="D2042" s="44" t="str">
        <f>IFERROR(__xludf.DUMMYFUNCTION("""COMPUTED_VALUE""")," ")</f>
        <v> </v>
      </c>
      <c r="E2042" s="44" t="str">
        <f>IFERROR(__xludf.DUMMYFUNCTION("""COMPUTED_VALUE"""),"")</f>
        <v/>
      </c>
      <c r="F2042" s="44" t="str">
        <f>IFERROR(__xludf.DUMMYFUNCTION("""COMPUTED_VALUE""")," ")</f>
        <v> </v>
      </c>
      <c r="G2042" s="44" t="str">
        <f>IFERROR(__xludf.DUMMYFUNCTION("""COMPUTED_VALUE"""),"")</f>
        <v/>
      </c>
      <c r="H2042" s="44" t="str">
        <f>IFERROR(__xludf.DUMMYFUNCTION("""COMPUTED_VALUE""")," ")</f>
        <v> </v>
      </c>
      <c r="I2042" s="44" t="str">
        <f>IFERROR(__xludf.DUMMYFUNCTION("""COMPUTED_VALUE""")," ")</f>
        <v> </v>
      </c>
      <c r="J2042" s="44" t="str">
        <f>IFERROR(__xludf.DUMMYFUNCTION("""COMPUTED_VALUE"""),"")</f>
        <v/>
      </c>
      <c r="K2042" s="42" t="str">
        <f>IFERROR(__xludf.DUMMYFUNCTION("""COMPUTED_VALUE"""),"Hospital Vargas de Caracas")</f>
        <v>Hospital Vargas de Caracas</v>
      </c>
    </row>
    <row r="2043">
      <c r="A2043" s="44">
        <v>2042.0</v>
      </c>
      <c r="B2043" s="44" t="str">
        <f>IFERROR(__xludf.DUMMYFUNCTION("""COMPUTED_VALUE"""),"Periférico de Catia")</f>
        <v>Periférico de Catia</v>
      </c>
      <c r="C2043" s="45" t="str">
        <f>IFERROR(__xludf.DUMMYFUNCTION("""COMPUTED_VALUE"""),"Goncalve Luci")</f>
        <v>Goncalve Luci</v>
      </c>
      <c r="D2043" s="44">
        <f>IFERROR(__xludf.DUMMYFUNCTION("""COMPUTED_VALUE"""),61.0)</f>
        <v>61</v>
      </c>
      <c r="E2043" s="44" t="str">
        <f>IFERROR(__xludf.DUMMYFUNCTION("""COMPUTED_VALUE"""),"")</f>
        <v/>
      </c>
      <c r="F2043" s="44" t="str">
        <f>IFERROR(__xludf.DUMMYFUNCTION("""COMPUTED_VALUE"""),"")</f>
        <v/>
      </c>
      <c r="G2043" s="44"/>
      <c r="H2043" s="44"/>
      <c r="I2043" s="44" t="str">
        <f>IFERROR(__xludf.DUMMYFUNCTION("""COMPUTED_VALUE"""),"Politrauma Emergencia Nueva")</f>
        <v>Politrauma Emergencia Nueva</v>
      </c>
      <c r="J2043" s="44" t="str">
        <f>IFERROR(__xludf.DUMMYFUNCTION("""COMPUTED_VALUE"""),"")</f>
        <v/>
      </c>
      <c r="K2043" s="42" t="str">
        <f>IFERROR(__xludf.DUMMYFUNCTION("""COMPUTED_VALUE"""),"Periférico de Catia")</f>
        <v>Periférico de Catia</v>
      </c>
    </row>
    <row r="2044">
      <c r="A2044" s="44">
        <v>2043.0</v>
      </c>
      <c r="B2044" s="44" t="str">
        <f>IFERROR(__xludf.DUMMYFUNCTION("""COMPUTED_VALUE"""),"Hospital Pérez Carreño")</f>
        <v>Hospital Pérez Carreño</v>
      </c>
      <c r="C2044" s="45" t="str">
        <f>IFERROR(__xludf.DUMMYFUNCTION("""COMPUTED_VALUE"""),"GONCALVES GABRIEL")</f>
        <v>GONCALVES GABRIEL</v>
      </c>
      <c r="D2044" s="44" t="str">
        <f>IFERROR(__xludf.DUMMYFUNCTION("""COMPUTED_VALUE""")," ")</f>
        <v> </v>
      </c>
      <c r="E2044" s="44" t="str">
        <f>IFERROR(__xludf.DUMMYFUNCTION("""COMPUTED_VALUE"""),"")</f>
        <v/>
      </c>
      <c r="F2044" s="44" t="str">
        <f>IFERROR(__xludf.DUMMYFUNCTION("""COMPUTED_VALUE"""),"")</f>
        <v/>
      </c>
      <c r="G2044" s="44" t="str">
        <f>IFERROR(__xludf.DUMMYFUNCTION("""COMPUTED_VALUE""")," ")</f>
        <v> </v>
      </c>
      <c r="H2044" s="44" t="str">
        <f>IFERROR(__xludf.DUMMYFUNCTION("""COMPUTED_VALUE""")," ")</f>
        <v> </v>
      </c>
      <c r="I2044" s="44" t="str">
        <f>IFERROR(__xludf.DUMMYFUNCTION("""COMPUTED_VALUE"""),"Traumashock")</f>
        <v>Traumashock</v>
      </c>
      <c r="J2044" s="44" t="str">
        <f>IFERROR(__xludf.DUMMYFUNCTION("""COMPUTED_VALUE"""),"25/06/2026")</f>
        <v>25/06/2026</v>
      </c>
      <c r="K2044" s="42" t="str">
        <f>IFERROR(__xludf.DUMMYFUNCTION("""COMPUTED_VALUE"""),"Hospital Pérez Carreño")</f>
        <v>Hospital Pérez Carreño</v>
      </c>
    </row>
    <row r="2045">
      <c r="A2045" s="44">
        <v>2044.0</v>
      </c>
      <c r="B2045" s="44" t="str">
        <f>IFERROR(__xludf.DUMMYFUNCTION("""COMPUTED_VALUE"""),"Hospital Vargas de Caracas")</f>
        <v>Hospital Vargas de Caracas</v>
      </c>
      <c r="C2045" s="45" t="str">
        <f>IFERROR(__xludf.DUMMYFUNCTION("""COMPUTED_VALUE"""),"GONCALVES LUCY")</f>
        <v>GONCALVES LUCY</v>
      </c>
      <c r="D2045" s="44">
        <f>IFERROR(__xludf.DUMMYFUNCTION("""COMPUTED_VALUE"""),61.0)</f>
        <v>61</v>
      </c>
      <c r="E2045" s="44" t="str">
        <f>IFERROR(__xludf.DUMMYFUNCTION("""COMPUTED_VALUE"""),"")</f>
        <v/>
      </c>
      <c r="F2045" s="44" t="str">
        <f>IFERROR(__xludf.DUMMYFUNCTION("""COMPUTED_VALUE""")," ")</f>
        <v> </v>
      </c>
      <c r="G2045" s="44" t="str">
        <f>IFERROR(__xludf.DUMMYFUNCTION("""COMPUTED_VALUE"""),"")</f>
        <v/>
      </c>
      <c r="H2045" s="44" t="str">
        <f>IFERROR(__xludf.DUMMYFUNCTION("""COMPUTED_VALUE"""),"La Guaira")</f>
        <v>La Guaira</v>
      </c>
      <c r="I2045" s="44" t="str">
        <f>IFERROR(__xludf.DUMMYFUNCTION("""COMPUTED_VALUE"""),"UPT")</f>
        <v>UPT</v>
      </c>
      <c r="J2045" s="44" t="str">
        <f>IFERROR(__xludf.DUMMYFUNCTION("""COMPUTED_VALUE"""),"")</f>
        <v/>
      </c>
      <c r="K2045" s="42" t="str">
        <f>IFERROR(__xludf.DUMMYFUNCTION("""COMPUTED_VALUE"""),"Hospital Vargas de Caracas")</f>
        <v>Hospital Vargas de Caracas</v>
      </c>
    </row>
    <row r="2046">
      <c r="A2046" s="44">
        <v>2045.0</v>
      </c>
      <c r="B2046" s="44" t="str">
        <f>IFERROR(__xludf.DUMMYFUNCTION("""COMPUTED_VALUE"""),"Periférico de Catia")</f>
        <v>Periférico de Catia</v>
      </c>
      <c r="C2046" s="45" t="str">
        <f>IFERROR(__xludf.DUMMYFUNCTION("""COMPUTED_VALUE"""),"GONNEZ SEVILLAY")</f>
        <v>GONNEZ SEVILLAY</v>
      </c>
      <c r="D2046" s="44">
        <f>IFERROR(__xludf.DUMMYFUNCTION("""COMPUTED_VALUE"""),32.0)</f>
        <v>32</v>
      </c>
      <c r="E2046" s="44" t="str">
        <f>IFERROR(__xludf.DUMMYFUNCTION("""COMPUTED_VALUE"""),"")</f>
        <v/>
      </c>
      <c r="F2046" s="44" t="str">
        <f>IFERROR(__xludf.DUMMYFUNCTION("""COMPUTED_VALUE"""),"")</f>
        <v/>
      </c>
      <c r="G2046" s="44" t="str">
        <f>IFERROR(__xludf.DUMMYFUNCTION("""COMPUTED_VALUE""")," ")</f>
        <v> </v>
      </c>
      <c r="H2046" s="44" t="str">
        <f>IFERROR(__xludf.DUMMYFUNCTION("""COMPUTED_VALUE""")," ")</f>
        <v> </v>
      </c>
      <c r="I2046" s="44" t="str">
        <f>IFERROR(__xludf.DUMMYFUNCTION("""COMPUTED_VALUE"""),"Papa")</f>
        <v>Papa</v>
      </c>
      <c r="J2046" s="44" t="str">
        <f>IFERROR(__xludf.DUMMYFUNCTION("""COMPUTED_VALUE"""),"")</f>
        <v/>
      </c>
      <c r="K2046" s="42" t="str">
        <f>IFERROR(__xludf.DUMMYFUNCTION("""COMPUTED_VALUE"""),"Periférico de Catia")</f>
        <v>Periférico de Catia</v>
      </c>
    </row>
    <row r="2047">
      <c r="A2047" s="44">
        <v>2046.0</v>
      </c>
      <c r="B2047" s="44" t="str">
        <f>IFERROR(__xludf.DUMMYFUNCTION("""COMPUTED_VALUE"""),"H. Jose Maria Vargas LG")</f>
        <v>H. Jose Maria Vargas LG</v>
      </c>
      <c r="C2047" s="45" t="str">
        <f>IFERROR(__xludf.DUMMYFUNCTION("""COMPUTED_VALUE"""),"GONZALES ABRAHAM")</f>
        <v>GONZALES ABRAHAM</v>
      </c>
      <c r="D2047" s="44" t="str">
        <f>IFERROR(__xludf.DUMMYFUNCTION("""COMPUTED_VALUE""")," ")</f>
        <v> </v>
      </c>
      <c r="E2047" s="44" t="str">
        <f>IFERROR(__xludf.DUMMYFUNCTION("""COMPUTED_VALUE"""),"")</f>
        <v/>
      </c>
      <c r="F2047" s="44" t="str">
        <f>IFERROR(__xludf.DUMMYFUNCTION("""COMPUTED_VALUE"""),"")</f>
        <v/>
      </c>
      <c r="G2047" s="44" t="str">
        <f>IFERROR(__xludf.DUMMYFUNCTION("""COMPUTED_VALUE""")," ")</f>
        <v> </v>
      </c>
      <c r="H2047" s="44" t="str">
        <f>IFERROR(__xludf.DUMMYFUNCTION("""COMPUTED_VALUE"""),"Caribe")</f>
        <v>Caribe</v>
      </c>
      <c r="I2047" s="44" t="str">
        <f>IFERROR(__xludf.DUMMYFUNCTION("""COMPUTED_VALUE""")," ")</f>
        <v> </v>
      </c>
      <c r="J2047" s="44" t="str">
        <f>IFERROR(__xludf.DUMMYFUNCTION("""COMPUTED_VALUE"""),"")</f>
        <v/>
      </c>
      <c r="K2047" s="42" t="str">
        <f>IFERROR(__xludf.DUMMYFUNCTION("""COMPUTED_VALUE"""),"H. Jose Maria Vargas LG")</f>
        <v>H. Jose Maria Vargas LG</v>
      </c>
    </row>
    <row r="2048">
      <c r="A2048" s="44">
        <v>2047.0</v>
      </c>
      <c r="B2048" s="44" t="str">
        <f>IFERROR(__xludf.DUMMYFUNCTION("""COMPUTED_VALUE"""),"Hospital Pérez Carreño")</f>
        <v>Hospital Pérez Carreño</v>
      </c>
      <c r="C2048" s="45" t="str">
        <f>IFERROR(__xludf.DUMMYFUNCTION("""COMPUTED_VALUE"""),"GONZALES DE ARISMENDI MILENIS YANETT")</f>
        <v>GONZALES DE ARISMENDI MILENIS YANETT</v>
      </c>
      <c r="D2048" s="44" t="str">
        <f>IFERROR(__xludf.DUMMYFUNCTION("""COMPUTED_VALUE""")," ")</f>
        <v> </v>
      </c>
      <c r="E2048" s="44" t="str">
        <f>IFERROR(__xludf.DUMMYFUNCTION("""COMPUTED_VALUE"""),"")</f>
        <v/>
      </c>
      <c r="F2048" s="44" t="str">
        <f>IFERROR(__xludf.DUMMYFUNCTION("""COMPUTED_VALUE"""),"")</f>
        <v/>
      </c>
      <c r="G2048" s="44" t="str">
        <f>IFERROR(__xludf.DUMMYFUNCTION("""COMPUTED_VALUE""")," ")</f>
        <v> </v>
      </c>
      <c r="H2048" s="44" t="str">
        <f>IFERROR(__xludf.DUMMYFUNCTION("""COMPUTED_VALUE""")," ")</f>
        <v> </v>
      </c>
      <c r="I2048" s="44" t="str">
        <f>IFERROR(__xludf.DUMMYFUNCTION("""COMPUTED_VALUE"""),"Internado")</f>
        <v>Internado</v>
      </c>
      <c r="J2048" s="44" t="str">
        <f>IFERROR(__xludf.DUMMYFUNCTION("""COMPUTED_VALUE"""),"25/06/2026")</f>
        <v>25/06/2026</v>
      </c>
      <c r="K2048" s="42" t="str">
        <f>IFERROR(__xludf.DUMMYFUNCTION("""COMPUTED_VALUE"""),"Hospital Pérez Carreño")</f>
        <v>Hospital Pérez Carreño</v>
      </c>
    </row>
    <row r="2049">
      <c r="A2049" s="44">
        <v>2048.0</v>
      </c>
      <c r="B2049" s="44" t="str">
        <f>IFERROR(__xludf.DUMMYFUNCTION("""COMPUTED_VALUE"""),"H. Jose Maria Vargas LG")</f>
        <v>H. Jose Maria Vargas LG</v>
      </c>
      <c r="C2049" s="45" t="str">
        <f>IFERROR(__xludf.DUMMYFUNCTION("""COMPUTED_VALUE"""),"GONZALES ESTEFANI")</f>
        <v>GONZALES ESTEFANI</v>
      </c>
      <c r="D2049" s="44" t="str">
        <f>IFERROR(__xludf.DUMMYFUNCTION("""COMPUTED_VALUE""")," ")</f>
        <v> </v>
      </c>
      <c r="E2049" s="44" t="str">
        <f>IFERROR(__xludf.DUMMYFUNCTION("""COMPUTED_VALUE"""),"")</f>
        <v/>
      </c>
      <c r="F2049" s="44" t="str">
        <f>IFERROR(__xludf.DUMMYFUNCTION("""COMPUTED_VALUE"""),"")</f>
        <v/>
      </c>
      <c r="G2049" s="44" t="str">
        <f>IFERROR(__xludf.DUMMYFUNCTION("""COMPUTED_VALUE""")," ")</f>
        <v> </v>
      </c>
      <c r="H2049" s="44" t="str">
        <f>IFERROR(__xludf.DUMMYFUNCTION("""COMPUTED_VALUE""")," ")</f>
        <v> </v>
      </c>
      <c r="I2049" s="44" t="str">
        <f>IFERROR(__xludf.DUMMYFUNCTION("""COMPUTED_VALUE""")," ")</f>
        <v> </v>
      </c>
      <c r="J2049" s="44" t="str">
        <f>IFERROR(__xludf.DUMMYFUNCTION("""COMPUTED_VALUE"""),"")</f>
        <v/>
      </c>
      <c r="K2049" s="42" t="str">
        <f>IFERROR(__xludf.DUMMYFUNCTION("""COMPUTED_VALUE"""),"H. Jose Maria Vargas LG")</f>
        <v>H. Jose Maria Vargas LG</v>
      </c>
    </row>
    <row r="2050">
      <c r="A2050" s="44">
        <v>2049.0</v>
      </c>
      <c r="B2050" s="44" t="str">
        <f>IFERROR(__xludf.DUMMYFUNCTION("""COMPUTED_VALUE"""),"H. Jose Maria Vargas LG")</f>
        <v>H. Jose Maria Vargas LG</v>
      </c>
      <c r="C2050" s="45" t="str">
        <f>IFERROR(__xludf.DUMMYFUNCTION("""COMPUTED_VALUE"""),"GONZALES EVANGELINA")</f>
        <v>GONZALES EVANGELINA</v>
      </c>
      <c r="D2050" s="44" t="str">
        <f>IFERROR(__xludf.DUMMYFUNCTION("""COMPUTED_VALUE""")," ")</f>
        <v> </v>
      </c>
      <c r="E2050" s="44" t="str">
        <f>IFERROR(__xludf.DUMMYFUNCTION("""COMPUTED_VALUE"""),"")</f>
        <v/>
      </c>
      <c r="F2050" s="44" t="str">
        <f>IFERROR(__xludf.DUMMYFUNCTION("""COMPUTED_VALUE"""),"")</f>
        <v/>
      </c>
      <c r="G2050" s="44" t="str">
        <f>IFERROR(__xludf.DUMMYFUNCTION("""COMPUTED_VALUE""")," ")</f>
        <v> </v>
      </c>
      <c r="H2050" s="44" t="str">
        <f>IFERROR(__xludf.DUMMYFUNCTION("""COMPUTED_VALUE""")," ")</f>
        <v> </v>
      </c>
      <c r="I2050" s="44" t="str">
        <f>IFERROR(__xludf.DUMMYFUNCTION("""COMPUTED_VALUE"""),"Internado")</f>
        <v>Internado</v>
      </c>
      <c r="J2050" s="44" t="str">
        <f>IFERROR(__xludf.DUMMYFUNCTION("""COMPUTED_VALUE"""),"")</f>
        <v/>
      </c>
      <c r="K2050" s="42" t="str">
        <f>IFERROR(__xludf.DUMMYFUNCTION("""COMPUTED_VALUE"""),"H. Jose Maria Vargas LG")</f>
        <v>H. Jose Maria Vargas LG</v>
      </c>
    </row>
    <row r="2051">
      <c r="A2051" s="44">
        <v>2050.0</v>
      </c>
      <c r="B2051" s="44" t="str">
        <f>IFERROR(__xludf.DUMMYFUNCTION("""COMPUTED_VALUE"""),"Centro de Acopio Caraballeda")</f>
        <v>Centro de Acopio Caraballeda</v>
      </c>
      <c r="C2051" s="45" t="str">
        <f>IFERROR(__xludf.DUMMYFUNCTION("""COMPUTED_VALUE"""),"GONZALES JUDITH")</f>
        <v>GONZALES JUDITH</v>
      </c>
      <c r="D2051" s="44" t="str">
        <f>IFERROR(__xludf.DUMMYFUNCTION("""COMPUTED_VALUE""")," ")</f>
        <v> </v>
      </c>
      <c r="E2051" s="44" t="str">
        <f>IFERROR(__xludf.DUMMYFUNCTION("""COMPUTED_VALUE"""),"")</f>
        <v/>
      </c>
      <c r="F2051" s="44" t="str">
        <f>IFERROR(__xludf.DUMMYFUNCTION("""COMPUTED_VALUE"""),"")</f>
        <v/>
      </c>
      <c r="G2051" s="44" t="str">
        <f>IFERROR(__xludf.DUMMYFUNCTION("""COMPUTED_VALUE""")," ")</f>
        <v> </v>
      </c>
      <c r="H2051" s="44" t="str">
        <f>IFERROR(__xludf.DUMMYFUNCTION("""COMPUTED_VALUE""")," ")</f>
        <v> </v>
      </c>
      <c r="I2051" s="44" t="str">
        <f>IFERROR(__xludf.DUMMYFUNCTION("""COMPUTED_VALUE"""),"Internado")</f>
        <v>Internado</v>
      </c>
      <c r="J2051" s="44" t="str">
        <f>IFERROR(__xludf.DUMMYFUNCTION("""COMPUTED_VALUE"""),"")</f>
        <v/>
      </c>
      <c r="K2051" s="42" t="str">
        <f>IFERROR(__xludf.DUMMYFUNCTION("""COMPUTED_VALUE"""),"🔍 BUSCAR PACIENTES")</f>
        <v>🔍 BUSCAR PACIENTES</v>
      </c>
    </row>
    <row r="2052">
      <c r="A2052" s="44">
        <v>2051.0</v>
      </c>
      <c r="B2052" s="44" t="str">
        <f>IFERROR(__xludf.DUMMYFUNCTION("""COMPUTED_VALUE"""),"H. Jose Maria Vargas LG")</f>
        <v>H. Jose Maria Vargas LG</v>
      </c>
      <c r="C2052" s="45" t="str">
        <f>IFERROR(__xludf.DUMMYFUNCTION("""COMPUTED_VALUE"""),"GONZALES MARIELA")</f>
        <v>GONZALES MARIELA</v>
      </c>
      <c r="D2052" s="44" t="str">
        <f>IFERROR(__xludf.DUMMYFUNCTION("""COMPUTED_VALUE""")," ")</f>
        <v> </v>
      </c>
      <c r="E2052" s="44" t="str">
        <f>IFERROR(__xludf.DUMMYFUNCTION("""COMPUTED_VALUE"""),"")</f>
        <v/>
      </c>
      <c r="F2052" s="44" t="str">
        <f>IFERROR(__xludf.DUMMYFUNCTION("""COMPUTED_VALUE"""),"")</f>
        <v/>
      </c>
      <c r="G2052" s="44" t="str">
        <f>IFERROR(__xludf.DUMMYFUNCTION("""COMPUTED_VALUE""")," ")</f>
        <v> </v>
      </c>
      <c r="H2052" s="44" t="str">
        <f>IFERROR(__xludf.DUMMYFUNCTION("""COMPUTED_VALUE""")," ")</f>
        <v> </v>
      </c>
      <c r="I2052" s="44" t="str">
        <f>IFERROR(__xludf.DUMMYFUNCTION("""COMPUTED_VALUE"""),"Internado")</f>
        <v>Internado</v>
      </c>
      <c r="J2052" s="44" t="str">
        <f>IFERROR(__xludf.DUMMYFUNCTION("""COMPUTED_VALUE"""),"")</f>
        <v/>
      </c>
      <c r="K2052" s="42" t="str">
        <f>IFERROR(__xludf.DUMMYFUNCTION("""COMPUTED_VALUE"""),"H. Jose Maria Vargas LG")</f>
        <v>H. Jose Maria Vargas LG</v>
      </c>
    </row>
    <row r="2053">
      <c r="A2053" s="44">
        <v>2052.0</v>
      </c>
      <c r="B2053" s="44" t="str">
        <f>IFERROR(__xludf.DUMMYFUNCTION("""COMPUTED_VALUE"""),"Centro de Acopio Caraballeda")</f>
        <v>Centro de Acopio Caraballeda</v>
      </c>
      <c r="C2053" s="45" t="str">
        <f>IFERROR(__xludf.DUMMYFUNCTION("""COMPUTED_VALUE"""),"GONZALES MEDINA NELIMAR")</f>
        <v>GONZALES MEDINA NELIMAR</v>
      </c>
      <c r="D2053" s="44" t="str">
        <f>IFERROR(__xludf.DUMMYFUNCTION("""COMPUTED_VALUE""")," ")</f>
        <v> </v>
      </c>
      <c r="E2053" s="44" t="str">
        <f>IFERROR(__xludf.DUMMYFUNCTION("""COMPUTED_VALUE"""),"")</f>
        <v/>
      </c>
      <c r="F2053" s="44" t="str">
        <f>IFERROR(__xludf.DUMMYFUNCTION("""COMPUTED_VALUE"""),"")</f>
        <v/>
      </c>
      <c r="G2053" s="44" t="str">
        <f>IFERROR(__xludf.DUMMYFUNCTION("""COMPUTED_VALUE""")," ")</f>
        <v> </v>
      </c>
      <c r="H2053" s="44" t="str">
        <f>IFERROR(__xludf.DUMMYFUNCTION("""COMPUTED_VALUE""")," ")</f>
        <v> </v>
      </c>
      <c r="I2053" s="44" t="str">
        <f>IFERROR(__xludf.DUMMYFUNCTION("""COMPUTED_VALUE"""),"Internado")</f>
        <v>Internado</v>
      </c>
      <c r="J2053" s="44" t="str">
        <f>IFERROR(__xludf.DUMMYFUNCTION("""COMPUTED_VALUE"""),"")</f>
        <v/>
      </c>
      <c r="K2053" s="42" t="str">
        <f>IFERROR(__xludf.DUMMYFUNCTION("""COMPUTED_VALUE"""),"🔍 BUSCAR PACIENTES")</f>
        <v>🔍 BUSCAR PACIENTES</v>
      </c>
    </row>
    <row r="2054">
      <c r="A2054" s="44">
        <v>2053.0</v>
      </c>
      <c r="B2054" s="44" t="str">
        <f>IFERROR(__xludf.DUMMYFUNCTION("""COMPUTED_VALUE"""),"Hospital Pérez Carreño")</f>
        <v>Hospital Pérez Carreño</v>
      </c>
      <c r="C2054" s="45" t="str">
        <f>IFERROR(__xludf.DUMMYFUNCTION("""COMPUTED_VALUE"""),"GONZALES PEREZ VALERIA ORIANA")</f>
        <v>GONZALES PEREZ VALERIA ORIANA</v>
      </c>
      <c r="D2054" s="44" t="str">
        <f>IFERROR(__xludf.DUMMYFUNCTION("""COMPUTED_VALUE""")," ")</f>
        <v> </v>
      </c>
      <c r="E2054" s="44" t="str">
        <f>IFERROR(__xludf.DUMMYFUNCTION("""COMPUTED_VALUE"""),"")</f>
        <v/>
      </c>
      <c r="F2054" s="44" t="str">
        <f>IFERROR(__xludf.DUMMYFUNCTION("""COMPUTED_VALUE"""),"")</f>
        <v/>
      </c>
      <c r="G2054" s="44" t="str">
        <f>IFERROR(__xludf.DUMMYFUNCTION("""COMPUTED_VALUE""")," ")</f>
        <v> </v>
      </c>
      <c r="H2054" s="44" t="str">
        <f>IFERROR(__xludf.DUMMYFUNCTION("""COMPUTED_VALUE""")," ")</f>
        <v> </v>
      </c>
      <c r="I2054" s="44" t="str">
        <f>IFERROR(__xludf.DUMMYFUNCTION("""COMPUTED_VALUE"""),"Internado")</f>
        <v>Internado</v>
      </c>
      <c r="J2054" s="44" t="str">
        <f>IFERROR(__xludf.DUMMYFUNCTION("""COMPUTED_VALUE"""),"25/06/2026")</f>
        <v>25/06/2026</v>
      </c>
      <c r="K2054" s="42" t="str">
        <f>IFERROR(__xludf.DUMMYFUNCTION("""COMPUTED_VALUE"""),"Hospital Pérez Carreño")</f>
        <v>Hospital Pérez Carreño</v>
      </c>
    </row>
    <row r="2055">
      <c r="A2055" s="44">
        <v>2054.0</v>
      </c>
      <c r="B2055" s="44" t="str">
        <f>IFERROR(__xludf.DUMMYFUNCTION("""COMPUTED_VALUE"""),"H. Jose Maria Vargas LG")</f>
        <v>H. Jose Maria Vargas LG</v>
      </c>
      <c r="C2055" s="45" t="str">
        <f>IFERROR(__xludf.DUMMYFUNCTION("""COMPUTED_VALUE"""),"GONZALES ROSIS")</f>
        <v>GONZALES ROSIS</v>
      </c>
      <c r="D2055" s="44">
        <f>IFERROR(__xludf.DUMMYFUNCTION("""COMPUTED_VALUE"""),41.0)</f>
        <v>41</v>
      </c>
      <c r="E2055" s="44" t="str">
        <f>IFERROR(__xludf.DUMMYFUNCTION("""COMPUTED_VALUE"""),"")</f>
        <v/>
      </c>
      <c r="F2055" s="44" t="str">
        <f>IFERROR(__xludf.DUMMYFUNCTION("""COMPUTED_VALUE"""),"")</f>
        <v/>
      </c>
      <c r="G2055" s="44" t="str">
        <f>IFERROR(__xludf.DUMMYFUNCTION("""COMPUTED_VALUE""")," ")</f>
        <v> </v>
      </c>
      <c r="H2055" s="44" t="str">
        <f>IFERROR(__xludf.DUMMYFUNCTION("""COMPUTED_VALUE"""),"Caribe")</f>
        <v>Caribe</v>
      </c>
      <c r="I2055" s="44" t="str">
        <f>IFERROR(__xludf.DUMMYFUNCTION("""COMPUTED_VALUE""")," ")</f>
        <v> </v>
      </c>
      <c r="J2055" s="44" t="str">
        <f>IFERROR(__xludf.DUMMYFUNCTION("""COMPUTED_VALUE"""),"")</f>
        <v/>
      </c>
      <c r="K2055" s="42" t="str">
        <f>IFERROR(__xludf.DUMMYFUNCTION("""COMPUTED_VALUE"""),"H. Jose Maria Vargas LG")</f>
        <v>H. Jose Maria Vargas LG</v>
      </c>
    </row>
    <row r="2056">
      <c r="A2056" s="44">
        <v>2055.0</v>
      </c>
      <c r="B2056" s="44" t="str">
        <f>IFERROR(__xludf.DUMMYFUNCTION("""COMPUTED_VALUE"""),"H. Jose Maria Vargas LG")</f>
        <v>H. Jose Maria Vargas LG</v>
      </c>
      <c r="C2056" s="45" t="str">
        <f>IFERROR(__xludf.DUMMYFUNCTION("""COMPUTED_VALUE"""),"GONZALES VANESA")</f>
        <v>GONZALES VANESA</v>
      </c>
      <c r="D2056" s="44" t="str">
        <f>IFERROR(__xludf.DUMMYFUNCTION("""COMPUTED_VALUE""")," ")</f>
        <v> </v>
      </c>
      <c r="E2056" s="44" t="str">
        <f>IFERROR(__xludf.DUMMYFUNCTION("""COMPUTED_VALUE"""),"")</f>
        <v/>
      </c>
      <c r="F2056" s="44" t="str">
        <f>IFERROR(__xludf.DUMMYFUNCTION("""COMPUTED_VALUE"""),"")</f>
        <v/>
      </c>
      <c r="G2056" s="44" t="str">
        <f>IFERROR(__xludf.DUMMYFUNCTION("""COMPUTED_VALUE""")," ")</f>
        <v> </v>
      </c>
      <c r="H2056" s="44" t="str">
        <f>IFERROR(__xludf.DUMMYFUNCTION("""COMPUTED_VALUE"""),"Aeropuerto")</f>
        <v>Aeropuerto</v>
      </c>
      <c r="I2056" s="44" t="str">
        <f>IFERROR(__xludf.DUMMYFUNCTION("""COMPUTED_VALUE""")," ")</f>
        <v> </v>
      </c>
      <c r="J2056" s="44" t="str">
        <f>IFERROR(__xludf.DUMMYFUNCTION("""COMPUTED_VALUE"""),"")</f>
        <v/>
      </c>
      <c r="K2056" s="42" t="str">
        <f>IFERROR(__xludf.DUMMYFUNCTION("""COMPUTED_VALUE"""),"H. Jose Maria Vargas LG")</f>
        <v>H. Jose Maria Vargas LG</v>
      </c>
    </row>
    <row r="2057">
      <c r="A2057" s="44">
        <v>2056.0</v>
      </c>
      <c r="B2057" s="44" t="str">
        <f>IFERROR(__xludf.DUMMYFUNCTION("""COMPUTED_VALUE"""),"Hospital Pérez Carreño")</f>
        <v>Hospital Pérez Carreño</v>
      </c>
      <c r="C2057" s="45" t="str">
        <f>IFERROR(__xludf.DUMMYFUNCTION("""COMPUTED_VALUE"""),"GONZALES VELASQUEZ FABIAN")</f>
        <v>GONZALES VELASQUEZ FABIAN</v>
      </c>
      <c r="D2057" s="44" t="str">
        <f>IFERROR(__xludf.DUMMYFUNCTION("""COMPUTED_VALUE"""),"7 M")</f>
        <v>7 M</v>
      </c>
      <c r="E2057" s="44" t="str">
        <f>IFERROR(__xludf.DUMMYFUNCTION("""COMPUTED_VALUE"""),"")</f>
        <v/>
      </c>
      <c r="F2057" s="44" t="str">
        <f>IFERROR(__xludf.DUMMYFUNCTION("""COMPUTED_VALUE"""),"")</f>
        <v/>
      </c>
      <c r="G2057" s="44" t="str">
        <f>IFERROR(__xludf.DUMMYFUNCTION("""COMPUTED_VALUE""")," ")</f>
        <v> </v>
      </c>
      <c r="H2057" s="44" t="str">
        <f>IFERROR(__xludf.DUMMYFUNCTION("""COMPUTED_VALUE""")," ")</f>
        <v> </v>
      </c>
      <c r="I2057" s="44" t="str">
        <f>IFERROR(__xludf.DUMMYFUNCTION("""COMPUTED_VALUE"""),"Pediatría")</f>
        <v>Pediatría</v>
      </c>
      <c r="J2057" s="44" t="str">
        <f>IFERROR(__xludf.DUMMYFUNCTION("""COMPUTED_VALUE"""),"25/06/2026")</f>
        <v>25/06/2026</v>
      </c>
      <c r="K2057" s="42" t="str">
        <f>IFERROR(__xludf.DUMMYFUNCTION("""COMPUTED_VALUE"""),"Hospital Pérez Carreño")</f>
        <v>Hospital Pérez Carreño</v>
      </c>
    </row>
    <row r="2058">
      <c r="A2058" s="44">
        <v>2057.0</v>
      </c>
      <c r="B2058" s="44" t="str">
        <f>IFERROR(__xludf.DUMMYFUNCTION("""COMPUTED_VALUE"""),"H. Jose Maria Vargas LG")</f>
        <v>H. Jose Maria Vargas LG</v>
      </c>
      <c r="C2058" s="45" t="str">
        <f>IFERROR(__xludf.DUMMYFUNCTION("""COMPUTED_VALUE"""),"GONZALES WISTON")</f>
        <v>GONZALES WISTON</v>
      </c>
      <c r="D2058" s="44" t="str">
        <f>IFERROR(__xludf.DUMMYFUNCTION("""COMPUTED_VALUE""")," ")</f>
        <v> </v>
      </c>
      <c r="E2058" s="44" t="str">
        <f>IFERROR(__xludf.DUMMYFUNCTION("""COMPUTED_VALUE"""),"")</f>
        <v/>
      </c>
      <c r="F2058" s="44" t="str">
        <f>IFERROR(__xludf.DUMMYFUNCTION("""COMPUTED_VALUE"""),"")</f>
        <v/>
      </c>
      <c r="G2058" s="44" t="str">
        <f>IFERROR(__xludf.DUMMYFUNCTION("""COMPUTED_VALUE""")," ")</f>
        <v> </v>
      </c>
      <c r="H2058" s="44" t="str">
        <f>IFERROR(__xludf.DUMMYFUNCTION("""COMPUTED_VALUE""")," ")</f>
        <v> </v>
      </c>
      <c r="I2058" s="44" t="str">
        <f>IFERROR(__xludf.DUMMYFUNCTION("""COMPUTED_VALUE"""),"Internado")</f>
        <v>Internado</v>
      </c>
      <c r="J2058" s="44" t="str">
        <f>IFERROR(__xludf.DUMMYFUNCTION("""COMPUTED_VALUE"""),"")</f>
        <v/>
      </c>
      <c r="K2058" s="42" t="str">
        <f>IFERROR(__xludf.DUMMYFUNCTION("""COMPUTED_VALUE"""),"H. Jose Maria Vargas LG")</f>
        <v>H. Jose Maria Vargas LG</v>
      </c>
    </row>
    <row r="2059">
      <c r="A2059" s="44">
        <v>2058.0</v>
      </c>
      <c r="B2059" s="44" t="str">
        <f>IFERROR(__xludf.DUMMYFUNCTION("""COMPUTED_VALUE"""),"Hospital Militar Universitario Dr. Carlos Arvelo")</f>
        <v>Hospital Militar Universitario Dr. Carlos Arvelo</v>
      </c>
      <c r="C2059" s="45" t="str">
        <f>IFERROR(__xludf.DUMMYFUNCTION("""COMPUTED_VALUE"""),"GONZALEZ AHIMAR")</f>
        <v>GONZALEZ AHIMAR</v>
      </c>
      <c r="D2059" s="44">
        <f>IFERROR(__xludf.DUMMYFUNCTION("""COMPUTED_VALUE"""),56.0)</f>
        <v>56</v>
      </c>
      <c r="E2059" s="44" t="str">
        <f>IFERROR(__xludf.DUMMYFUNCTION("""COMPUTED_VALUE"""),"")</f>
        <v/>
      </c>
      <c r="F2059" s="44" t="str">
        <f>IFERROR(__xludf.DUMMYFUNCTION("""COMPUTED_VALUE"""),"")</f>
        <v/>
      </c>
      <c r="G2059" s="44" t="str">
        <f>IFERROR(__xludf.DUMMYFUNCTION("""COMPUTED_VALUE""")," ")</f>
        <v> </v>
      </c>
      <c r="H2059" s="44" t="str">
        <f>IFERROR(__xludf.DUMMYFUNCTION("""COMPUTED_VALUE""")," ")</f>
        <v> </v>
      </c>
      <c r="I2059" s="44" t="str">
        <f>IFERROR(__xludf.DUMMYFUNCTION("""COMPUTED_VALUE"""),"PNA")</f>
        <v>PNA</v>
      </c>
      <c r="J2059" s="44" t="str">
        <f>IFERROR(__xludf.DUMMYFUNCTION("""COMPUTED_VALUE"""),"")</f>
        <v/>
      </c>
      <c r="K2059" s="42" t="str">
        <f>IFERROR(__xludf.DUMMYFUNCTION("""COMPUTED_VALUE"""),"🔍 BUSCAR PACIENTES")</f>
        <v>🔍 BUSCAR PACIENTES</v>
      </c>
    </row>
    <row r="2060">
      <c r="A2060" s="44">
        <v>2059.0</v>
      </c>
      <c r="B2060" s="44" t="str">
        <f>IFERROR(__xludf.DUMMYFUNCTION("""COMPUTED_VALUE"""),"Hospital Militar Dr. C. Arvelo")</f>
        <v>Hospital Militar Dr. C. Arvelo</v>
      </c>
      <c r="C2060" s="45" t="str">
        <f>IFERROR(__xludf.DUMMYFUNCTION("""COMPUTED_VALUE"""),"González Ahimar")</f>
        <v>González Ahimar</v>
      </c>
      <c r="D2060" s="44">
        <f>IFERROR(__xludf.DUMMYFUNCTION("""COMPUTED_VALUE"""),56.0)</f>
        <v>56</v>
      </c>
      <c r="E2060" s="44" t="str">
        <f>IFERROR(__xludf.DUMMYFUNCTION("""COMPUTED_VALUE"""),"")</f>
        <v/>
      </c>
      <c r="F2060" s="44" t="str">
        <f>IFERROR(__xludf.DUMMYFUNCTION("""COMPUTED_VALUE"""),"")</f>
        <v/>
      </c>
      <c r="G2060" s="44" t="str">
        <f>IFERROR(__xludf.DUMMYFUNCTION("""COMPUTED_VALUE"""),"")</f>
        <v/>
      </c>
      <c r="H2060" s="44" t="str">
        <f>IFERROR(__xludf.DUMMYFUNCTION("""COMPUTED_VALUE"""),"F")</f>
        <v>F</v>
      </c>
      <c r="I2060" s="44" t="str">
        <f>IFERROR(__xludf.DUMMYFUNCTION("""COMPUTED_VALUE"""),"(repetido, ver fila 74)")</f>
        <v>(repetido, ver fila 74)</v>
      </c>
      <c r="J2060" s="44" t="str">
        <f>IFERROR(__xludf.DUMMYFUNCTION("""COMPUTED_VALUE"""),"24/6/2026")</f>
        <v>24/6/2026</v>
      </c>
      <c r="K2060" s="42" t="str">
        <f>IFERROR(__xludf.DUMMYFUNCTION("""COMPUTED_VALUE"""),"Hospital Militar Dr. C. Arvelo")</f>
        <v>Hospital Militar Dr. C. Arvelo</v>
      </c>
    </row>
    <row r="2061">
      <c r="A2061" s="44">
        <v>2060.0</v>
      </c>
      <c r="B2061" s="44" t="str">
        <f>IFERROR(__xludf.DUMMYFUNCTION("""COMPUTED_VALUE"""),"H. Jose Maria Vargas LG")</f>
        <v>H. Jose Maria Vargas LG</v>
      </c>
      <c r="C2061" s="45" t="str">
        <f>IFERROR(__xludf.DUMMYFUNCTION("""COMPUTED_VALUE"""),"GONZALEZ ALANA")</f>
        <v>GONZALEZ ALANA</v>
      </c>
      <c r="D2061" s="44">
        <f>IFERROR(__xludf.DUMMYFUNCTION("""COMPUTED_VALUE"""),6.0)</f>
        <v>6</v>
      </c>
      <c r="E2061" s="44" t="str">
        <f>IFERROR(__xludf.DUMMYFUNCTION("""COMPUTED_VALUE"""),"")</f>
        <v/>
      </c>
      <c r="F2061" s="44" t="str">
        <f>IFERROR(__xludf.DUMMYFUNCTION("""COMPUTED_VALUE"""),"")</f>
        <v/>
      </c>
      <c r="G2061" s="44" t="str">
        <f>IFERROR(__xludf.DUMMYFUNCTION("""COMPUTED_VALUE""")," ")</f>
        <v> </v>
      </c>
      <c r="H2061" s="44" t="str">
        <f>IFERROR(__xludf.DUMMYFUNCTION("""COMPUTED_VALUE"""),"Caribe")</f>
        <v>Caribe</v>
      </c>
      <c r="I2061" s="44" t="str">
        <f>IFERROR(__xludf.DUMMYFUNCTION("""COMPUTED_VALUE""")," ")</f>
        <v> </v>
      </c>
      <c r="J2061" s="44" t="str">
        <f>IFERROR(__xludf.DUMMYFUNCTION("""COMPUTED_VALUE"""),"")</f>
        <v/>
      </c>
      <c r="K2061" s="42" t="str">
        <f>IFERROR(__xludf.DUMMYFUNCTION("""COMPUTED_VALUE"""),"H. Jose Maria Vargas LG")</f>
        <v>H. Jose Maria Vargas LG</v>
      </c>
    </row>
    <row r="2062">
      <c r="A2062" s="44">
        <v>2061.0</v>
      </c>
      <c r="B2062" s="44" t="str">
        <f>IFERROR(__xludf.DUMMYFUNCTION("""COMPUTED_VALUE"""),"Hospital Domingo Luciani")</f>
        <v>Hospital Domingo Luciani</v>
      </c>
      <c r="C2062" s="45" t="str">
        <f>IFERROR(__xludf.DUMMYFUNCTION("""COMPUTED_VALUE"""),"GONZALEZ ALBEYMAR")</f>
        <v>GONZALEZ ALBEYMAR</v>
      </c>
      <c r="D2062" s="44">
        <f>IFERROR(__xludf.DUMMYFUNCTION("""COMPUTED_VALUE"""),59.0)</f>
        <v>59</v>
      </c>
      <c r="E2062" s="44" t="str">
        <f>IFERROR(__xludf.DUMMYFUNCTION("""COMPUTED_VALUE"""),"")</f>
        <v/>
      </c>
      <c r="F2062" s="44" t="str">
        <f>IFERROR(__xludf.DUMMYFUNCTION("""COMPUTED_VALUE"""),"")</f>
        <v/>
      </c>
      <c r="G2062" s="44" t="str">
        <f>IFERROR(__xludf.DUMMYFUNCTION("""COMPUTED_VALUE""")," ")</f>
        <v> </v>
      </c>
      <c r="H2062" s="44" t="str">
        <f>IFERROR(__xludf.DUMMYFUNCTION("""COMPUTED_VALUE"""),"Altamira")</f>
        <v>Altamira</v>
      </c>
      <c r="I2062" s="44" t="str">
        <f>IFERROR(__xludf.DUMMYFUNCTION("""COMPUTED_VALUE""")," ")</f>
        <v> </v>
      </c>
      <c r="J2062" s="44" t="str">
        <f>IFERROR(__xludf.DUMMYFUNCTION("""COMPUTED_VALUE"""),"")</f>
        <v/>
      </c>
      <c r="K2062" s="42" t="str">
        <f>IFERROR(__xludf.DUMMYFUNCTION("""COMPUTED_VALUE"""),"🔍 BUSCAR PACIENTES")</f>
        <v>🔍 BUSCAR PACIENTES</v>
      </c>
    </row>
    <row r="2063">
      <c r="A2063" s="44">
        <v>2062.0</v>
      </c>
      <c r="B2063" s="44" t="str">
        <f>IFERROR(__xludf.DUMMYFUNCTION("""COMPUTED_VALUE"""),"Hospital Domingo Luciani")</f>
        <v>Hospital Domingo Luciani</v>
      </c>
      <c r="C2063" s="45" t="str">
        <f>IFERROR(__xludf.DUMMYFUNCTION("""COMPUTED_VALUE"""),"GONZALEZ ALBIMAR")</f>
        <v>GONZALEZ ALBIMAR</v>
      </c>
      <c r="D2063" s="44">
        <f>IFERROR(__xludf.DUMMYFUNCTION("""COMPUTED_VALUE"""),59.0)</f>
        <v>59</v>
      </c>
      <c r="E2063" s="44" t="str">
        <f>IFERROR(__xludf.DUMMYFUNCTION("""COMPUTED_VALUE"""),"")</f>
        <v/>
      </c>
      <c r="F2063" s="44" t="str">
        <f>IFERROR(__xludf.DUMMYFUNCTION("""COMPUTED_VALUE"""),"")</f>
        <v/>
      </c>
      <c r="G2063" s="44" t="str">
        <f>IFERROR(__xludf.DUMMYFUNCTION("""COMPUTED_VALUE""")," ")</f>
        <v> </v>
      </c>
      <c r="H2063" s="44" t="str">
        <f>IFERROR(__xludf.DUMMYFUNCTION("""COMPUTED_VALUE""")," ")</f>
        <v> </v>
      </c>
      <c r="I2063" s="44" t="str">
        <f>IFERROR(__xludf.DUMMYFUNCTION("""COMPUTED_VALUE""")," ")</f>
        <v> </v>
      </c>
      <c r="J2063" s="44" t="str">
        <f>IFERROR(__xludf.DUMMYFUNCTION("""COMPUTED_VALUE"""),"")</f>
        <v/>
      </c>
      <c r="K2063" s="42" t="str">
        <f>IFERROR(__xludf.DUMMYFUNCTION("""COMPUTED_VALUE"""),"🔍 BUSCAR PACIENTES")</f>
        <v>🔍 BUSCAR PACIENTES</v>
      </c>
    </row>
    <row r="2064">
      <c r="A2064" s="44">
        <v>2063.0</v>
      </c>
      <c r="B2064" s="44" t="str">
        <f>IFERROR(__xludf.DUMMYFUNCTION("""COMPUTED_VALUE"""),"Hospital Domingo Luciani")</f>
        <v>Hospital Domingo Luciani</v>
      </c>
      <c r="C2064" s="45" t="str">
        <f>IFERROR(__xludf.DUMMYFUNCTION("""COMPUTED_VALUE"""),"GONZALEZ ALEXANDER")</f>
        <v>GONZALEZ ALEXANDER</v>
      </c>
      <c r="D2064" s="44" t="str">
        <f>IFERROR(__xludf.DUMMYFUNCTION("""COMPUTED_VALUE""")," ")</f>
        <v> </v>
      </c>
      <c r="E2064" s="44" t="str">
        <f>IFERROR(__xludf.DUMMYFUNCTION("""COMPUTED_VALUE"""),"")</f>
        <v/>
      </c>
      <c r="F2064" s="44" t="str">
        <f>IFERROR(__xludf.DUMMYFUNCTION("""COMPUTED_VALUE"""),"")</f>
        <v/>
      </c>
      <c r="G2064" s="44" t="str">
        <f>IFERROR(__xludf.DUMMYFUNCTION("""COMPUTED_VALUE""")," ")</f>
        <v> </v>
      </c>
      <c r="H2064" s="44" t="str">
        <f>IFERROR(__xludf.DUMMYFUNCTION("""COMPUTED_VALUE""")," ")</f>
        <v> </v>
      </c>
      <c r="I2064" s="44" t="str">
        <f>IFERROR(__xludf.DUMMYFUNCTION("""COMPUTED_VALUE"""),"Politrauma | Politrauma; posible misma persona que 'Alexander Gonzalez'")</f>
        <v>Politrauma | Politrauma; posible misma persona que 'Alexander Gonzalez'</v>
      </c>
      <c r="J2064" s="44" t="str">
        <f>IFERROR(__xludf.DUMMYFUNCTION("""COMPUTED_VALUE"""),"")</f>
        <v/>
      </c>
      <c r="K2064" s="42" t="str">
        <f>IFERROR(__xludf.DUMMYFUNCTION("""COMPUTED_VALUE"""),"🔍 BUSCAR PACIENTES")</f>
        <v>🔍 BUSCAR PACIENTES</v>
      </c>
    </row>
    <row r="2065">
      <c r="A2065" s="44">
        <v>2064.0</v>
      </c>
      <c r="B2065" s="44" t="str">
        <f>IFERROR(__xludf.DUMMYFUNCTION("""COMPUTED_VALUE"""),"Hospital Pérez Carreño")</f>
        <v>Hospital Pérez Carreño</v>
      </c>
      <c r="C2065" s="45" t="str">
        <f>IFERROR(__xludf.DUMMYFUNCTION("""COMPUTED_VALUE"""),"GONZALEZ ALEXANDRA")</f>
        <v>GONZALEZ ALEXANDRA</v>
      </c>
      <c r="D2065" s="44">
        <f>IFERROR(__xludf.DUMMYFUNCTION("""COMPUTED_VALUE"""),42.0)</f>
        <v>42</v>
      </c>
      <c r="E2065" s="44" t="str">
        <f>IFERROR(__xludf.DUMMYFUNCTION("""COMPUTED_VALUE"""),"")</f>
        <v/>
      </c>
      <c r="F2065" s="44" t="str">
        <f>IFERROR(__xludf.DUMMYFUNCTION("""COMPUTED_VALUE"""),"")</f>
        <v/>
      </c>
      <c r="G2065" s="44" t="str">
        <f>IFERROR(__xludf.DUMMYFUNCTION("""COMPUTED_VALUE""")," ")</f>
        <v> </v>
      </c>
      <c r="H2065" s="44" t="str">
        <f>IFERROR(__xludf.DUMMYFUNCTION("""COMPUTED_VALUE""")," ")</f>
        <v> </v>
      </c>
      <c r="I2065" s="44" t="str">
        <f>IFERROR(__xludf.DUMMYFUNCTION("""COMPUTED_VALUE"""),"Internado; Fecha: 24/6/26 11.54pm | Servicio: TRIAJE")</f>
        <v>Internado; Fecha: 24/6/26 11.54pm | Servicio: TRIAJE</v>
      </c>
      <c r="J2065" s="44" t="str">
        <f>IFERROR(__xludf.DUMMYFUNCTION("""COMPUTED_VALUE"""),"25/06/2026")</f>
        <v>25/06/2026</v>
      </c>
      <c r="K2065" s="42" t="str">
        <f>IFERROR(__xludf.DUMMYFUNCTION("""COMPUTED_VALUE"""),"Hospital Pérez Carreño")</f>
        <v>Hospital Pérez Carreño</v>
      </c>
    </row>
    <row r="2066">
      <c r="A2066" s="44">
        <v>2065.0</v>
      </c>
      <c r="B2066" s="44" t="str">
        <f>IFERROR(__xludf.DUMMYFUNCTION("""COMPUTED_VALUE"""),"Hospital Domingo Luciani")</f>
        <v>Hospital Domingo Luciani</v>
      </c>
      <c r="C2066" s="45" t="str">
        <f>IFERROR(__xludf.DUMMYFUNCTION("""COMPUTED_VALUE"""),"GONZALEZ ALEXANDRA / GONZALEZ ALEXANDRE")</f>
        <v>GONZALEZ ALEXANDRA / GONZALEZ ALEXANDRE</v>
      </c>
      <c r="D2066" s="44">
        <f>IFERROR(__xludf.DUMMYFUNCTION("""COMPUTED_VALUE"""),42.0)</f>
        <v>42</v>
      </c>
      <c r="E2066" s="44" t="str">
        <f>IFERROR(__xludf.DUMMYFUNCTION("""COMPUTED_VALUE"""),"")</f>
        <v/>
      </c>
      <c r="F2066" s="44" t="str">
        <f>IFERROR(__xludf.DUMMYFUNCTION("""COMPUTED_VALUE"""),"")</f>
        <v/>
      </c>
      <c r="G2066" s="44" t="str">
        <f>IFERROR(__xludf.DUMMYFUNCTION("""COMPUTED_VALUE""")," ")</f>
        <v> </v>
      </c>
      <c r="H2066" s="44" t="str">
        <f>IFERROR(__xludf.DUMMYFUNCTION("""COMPUTED_VALUE""")," ")</f>
        <v> </v>
      </c>
      <c r="I2066" s="44" t="str">
        <f>IFERROR(__xludf.DUMMYFUNCTION("""COMPUTED_VALUE""")," ")</f>
        <v> </v>
      </c>
      <c r="J2066" s="44" t="str">
        <f>IFERROR(__xludf.DUMMYFUNCTION("""COMPUTED_VALUE"""),"")</f>
        <v/>
      </c>
      <c r="K2066" s="42" t="str">
        <f>IFERROR(__xludf.DUMMYFUNCTION("""COMPUTED_VALUE"""),"🔍 BUSCAR PACIENTES")</f>
        <v>🔍 BUSCAR PACIENTES</v>
      </c>
    </row>
    <row r="2067">
      <c r="A2067" s="44">
        <v>2066.0</v>
      </c>
      <c r="B2067" s="44" t="str">
        <f>IFERROR(__xludf.DUMMYFUNCTION("""COMPUTED_VALUE"""),"Periférico de Catia")</f>
        <v>Periférico de Catia</v>
      </c>
      <c r="C2067" s="45" t="str">
        <f>IFERROR(__xludf.DUMMYFUNCTION("""COMPUTED_VALUE"""),"GONZALEZ ANA")</f>
        <v>GONZALEZ ANA</v>
      </c>
      <c r="D2067" s="44" t="str">
        <f>IFERROR(__xludf.DUMMYFUNCTION("""COMPUTED_VALUE""")," ")</f>
        <v> </v>
      </c>
      <c r="E2067" s="44" t="str">
        <f>IFERROR(__xludf.DUMMYFUNCTION("""COMPUTED_VALUE"""),"")</f>
        <v/>
      </c>
      <c r="F2067" s="44" t="str">
        <f>IFERROR(__xludf.DUMMYFUNCTION("""COMPUTED_VALUE"""),"")</f>
        <v/>
      </c>
      <c r="G2067" s="44" t="str">
        <f>IFERROR(__xludf.DUMMYFUNCTION("""COMPUTED_VALUE""")," ")</f>
        <v> </v>
      </c>
      <c r="H2067" s="44" t="str">
        <f>IFERROR(__xludf.DUMMYFUNCTION("""COMPUTED_VALUE""")," ")</f>
        <v> </v>
      </c>
      <c r="I2067" s="44" t="str">
        <f>IFERROR(__xludf.DUMMYFUNCTION("""COMPUTED_VALUE""")," ")</f>
        <v> </v>
      </c>
      <c r="J2067" s="44" t="str">
        <f>IFERROR(__xludf.DUMMYFUNCTION("""COMPUTED_VALUE"""),"")</f>
        <v/>
      </c>
      <c r="K2067" s="42" t="str">
        <f>IFERROR(__xludf.DUMMYFUNCTION("""COMPUTED_VALUE"""),"Periférico de Catia")</f>
        <v>Periférico de Catia</v>
      </c>
    </row>
    <row r="2068">
      <c r="A2068" s="44">
        <v>2067.0</v>
      </c>
      <c r="B2068" s="44" t="str">
        <f>IFERROR(__xludf.DUMMYFUNCTION("""COMPUTED_VALUE"""),"Periférico de Catia")</f>
        <v>Periférico de Catia</v>
      </c>
      <c r="C2068" s="45" t="str">
        <f>IFERROR(__xludf.DUMMYFUNCTION("""COMPUTED_VALUE"""),"GONZÁLEZ ANA")</f>
        <v>GONZÁLEZ ANA</v>
      </c>
      <c r="D2068" s="44">
        <f>IFERROR(__xludf.DUMMYFUNCTION("""COMPUTED_VALUE"""),46.0)</f>
        <v>46</v>
      </c>
      <c r="E2068" s="44" t="str">
        <f>IFERROR(__xludf.DUMMYFUNCTION("""COMPUTED_VALUE"""),"")</f>
        <v/>
      </c>
      <c r="F2068" s="44" t="str">
        <f>IFERROR(__xludf.DUMMYFUNCTION("""COMPUTED_VALUE"""),"")</f>
        <v/>
      </c>
      <c r="G2068" s="44" t="str">
        <f>IFERROR(__xludf.DUMMYFUNCTION("""COMPUTED_VALUE""")," ")</f>
        <v> </v>
      </c>
      <c r="H2068" s="44" t="str">
        <f>IFERROR(__xludf.DUMMYFUNCTION("""COMPUTED_VALUE"""),"Calle San Isidro")</f>
        <v>Calle San Isidro</v>
      </c>
      <c r="I2068" s="44" t="str">
        <f>IFERROR(__xludf.DUMMYFUNCTION("""COMPUTED_VALUE""")," ")</f>
        <v> </v>
      </c>
      <c r="J2068" s="44" t="str">
        <f>IFERROR(__xludf.DUMMYFUNCTION("""COMPUTED_VALUE"""),"")</f>
        <v/>
      </c>
      <c r="K2068" s="42" t="str">
        <f>IFERROR(__xludf.DUMMYFUNCTION("""COMPUTED_VALUE"""),"Periférico de Catia")</f>
        <v>Periférico de Catia</v>
      </c>
    </row>
    <row r="2069">
      <c r="A2069" s="44">
        <v>2068.0</v>
      </c>
      <c r="B2069" s="44" t="str">
        <f>IFERROR(__xludf.DUMMYFUNCTION("""COMPUTED_VALUE"""),"Periférico de Catia")</f>
        <v>Periférico de Catia</v>
      </c>
      <c r="C2069" s="45" t="str">
        <f>IFERROR(__xludf.DUMMYFUNCTION("""COMPUTED_VALUE"""),"GONZALEZ ANDERSON")</f>
        <v>GONZALEZ ANDERSON</v>
      </c>
      <c r="D2069" s="44">
        <f>IFERROR(__xludf.DUMMYFUNCTION("""COMPUTED_VALUE"""),63.0)</f>
        <v>63</v>
      </c>
      <c r="E2069" s="44" t="str">
        <f>IFERROR(__xludf.DUMMYFUNCTION("""COMPUTED_VALUE"""),"")</f>
        <v/>
      </c>
      <c r="F2069" s="44" t="str">
        <f>IFERROR(__xludf.DUMMYFUNCTION("""COMPUTED_VALUE"""),"")</f>
        <v/>
      </c>
      <c r="G2069" s="44" t="str">
        <f>IFERROR(__xludf.DUMMYFUNCTION("""COMPUTED_VALUE""")," ")</f>
        <v> </v>
      </c>
      <c r="H2069" s="44" t="str">
        <f>IFERROR(__xludf.DUMMYFUNCTION("""COMPUTED_VALUE""")," ")</f>
        <v> </v>
      </c>
      <c r="I2069" s="44" t="str">
        <f>IFERROR(__xludf.DUMMYFUNCTION("""COMPUTED_VALUE"""),"Sobrino |  ")</f>
        <v>Sobrino |  </v>
      </c>
      <c r="J2069" s="44" t="str">
        <f>IFERROR(__xludf.DUMMYFUNCTION("""COMPUTED_VALUE"""),"")</f>
        <v/>
      </c>
      <c r="K2069" s="42" t="str">
        <f>IFERROR(__xludf.DUMMYFUNCTION("""COMPUTED_VALUE"""),"Periférico de Catia")</f>
        <v>Periférico de Catia</v>
      </c>
    </row>
    <row r="2070">
      <c r="A2070" s="44">
        <v>2069.0</v>
      </c>
      <c r="B2070" s="44" t="str">
        <f>IFERROR(__xludf.DUMMYFUNCTION("""COMPUTED_VALUE"""),"Hospital Pérez Carreño")</f>
        <v>Hospital Pérez Carreño</v>
      </c>
      <c r="C2070" s="45" t="str">
        <f>IFERROR(__xludf.DUMMYFUNCTION("""COMPUTED_VALUE"""),"GONZALEZ ANGELY")</f>
        <v>GONZALEZ ANGELY</v>
      </c>
      <c r="D2070" s="44" t="str">
        <f>IFERROR(__xludf.DUMMYFUNCTION("""COMPUTED_VALUE""")," ")</f>
        <v> </v>
      </c>
      <c r="E2070" s="44" t="str">
        <f>IFERROR(__xludf.DUMMYFUNCTION("""COMPUTED_VALUE"""),"")</f>
        <v/>
      </c>
      <c r="F2070" s="44" t="str">
        <f>IFERROR(__xludf.DUMMYFUNCTION("""COMPUTED_VALUE"""),"")</f>
        <v/>
      </c>
      <c r="G2070" s="44" t="str">
        <f>IFERROR(__xludf.DUMMYFUNCTION("""COMPUTED_VALUE""")," ")</f>
        <v> </v>
      </c>
      <c r="H2070" s="44" t="str">
        <f>IFERROR(__xludf.DUMMYFUNCTION("""COMPUTED_VALUE""")," ")</f>
        <v> </v>
      </c>
      <c r="I2070" s="44" t="str">
        <f>IFERROR(__xludf.DUMMYFUNCTION("""COMPUTED_VALUE"""),"Traumashock")</f>
        <v>Traumashock</v>
      </c>
      <c r="J2070" s="44" t="str">
        <f>IFERROR(__xludf.DUMMYFUNCTION("""COMPUTED_VALUE"""),"25/06/2026")</f>
        <v>25/06/2026</v>
      </c>
      <c r="K2070" s="42" t="str">
        <f>IFERROR(__xludf.DUMMYFUNCTION("""COMPUTED_VALUE"""),"Hospital Pérez Carreño")</f>
        <v>Hospital Pérez Carreño</v>
      </c>
    </row>
    <row r="2071">
      <c r="A2071" s="44">
        <v>2070.0</v>
      </c>
      <c r="B2071" s="44" t="str">
        <f>IFERROR(__xludf.DUMMYFUNCTION("""COMPUTED_VALUE"""),"Hospital Domingo Luciani")</f>
        <v>Hospital Domingo Luciani</v>
      </c>
      <c r="C2071" s="45" t="str">
        <f>IFERROR(__xludf.DUMMYFUNCTION("""COMPUTED_VALUE"""),"GONZALEZ CARLOS")</f>
        <v>GONZALEZ CARLOS</v>
      </c>
      <c r="D2071" s="44" t="str">
        <f>IFERROR(__xludf.DUMMYFUNCTION("""COMPUTED_VALUE""")," ")</f>
        <v> </v>
      </c>
      <c r="E2071" s="44" t="str">
        <f>IFERROR(__xludf.DUMMYFUNCTION("""COMPUTED_VALUE"""),"")</f>
        <v/>
      </c>
      <c r="F2071" s="44" t="str">
        <f>IFERROR(__xludf.DUMMYFUNCTION("""COMPUTED_VALUE"""),"")</f>
        <v/>
      </c>
      <c r="G2071" s="44" t="str">
        <f>IFERROR(__xludf.DUMMYFUNCTION("""COMPUTED_VALUE""")," ")</f>
        <v> </v>
      </c>
      <c r="H2071" s="44" t="str">
        <f>IFERROR(__xludf.DUMMYFUNCTION("""COMPUTED_VALUE""")," ")</f>
        <v> </v>
      </c>
      <c r="I2071" s="44" t="str">
        <f>IFERROR(__xludf.DUMMYFUNCTION("""COMPUTED_VALUE"""),"Internado")</f>
        <v>Internado</v>
      </c>
      <c r="J2071" s="44" t="str">
        <f>IFERROR(__xludf.DUMMYFUNCTION("""COMPUTED_VALUE"""),"")</f>
        <v/>
      </c>
      <c r="K2071" s="42" t="str">
        <f>IFERROR(__xludf.DUMMYFUNCTION("""COMPUTED_VALUE"""),"🔍 BUSCAR PACIENTES")</f>
        <v>🔍 BUSCAR PACIENTES</v>
      </c>
    </row>
    <row r="2072">
      <c r="A2072" s="44">
        <v>2071.0</v>
      </c>
      <c r="B2072" s="44" t="str">
        <f>IFERROR(__xludf.DUMMYFUNCTION("""COMPUTED_VALUE"""),"Hospital Vargas de Caracas")</f>
        <v>Hospital Vargas de Caracas</v>
      </c>
      <c r="C2072" s="45" t="str">
        <f>IFERROR(__xludf.DUMMYFUNCTION("""COMPUTED_VALUE"""),"GONZALEZ DARBEIDY")</f>
        <v>GONZALEZ DARBEIDY</v>
      </c>
      <c r="D2072" s="44" t="str">
        <f>IFERROR(__xludf.DUMMYFUNCTION("""COMPUTED_VALUE""")," ")</f>
        <v> </v>
      </c>
      <c r="E2072" s="44" t="str">
        <f>IFERROR(__xludf.DUMMYFUNCTION("""COMPUTED_VALUE"""),"")</f>
        <v/>
      </c>
      <c r="F2072" s="44" t="str">
        <f>IFERROR(__xludf.DUMMYFUNCTION("""COMPUTED_VALUE""")," ")</f>
        <v> </v>
      </c>
      <c r="G2072" s="44" t="str">
        <f>IFERROR(__xludf.DUMMYFUNCTION("""COMPUTED_VALUE"""),"")</f>
        <v/>
      </c>
      <c r="H2072" s="44" t="str">
        <f>IFERROR(__xludf.DUMMYFUNCTION("""COMPUTED_VALUE""")," ")</f>
        <v> </v>
      </c>
      <c r="I2072" s="44" t="str">
        <f>IFERROR(__xludf.DUMMYFUNCTION("""COMPUTED_VALUE""")," ")</f>
        <v> </v>
      </c>
      <c r="J2072" s="44" t="str">
        <f>IFERROR(__xludf.DUMMYFUNCTION("""COMPUTED_VALUE"""),"")</f>
        <v/>
      </c>
      <c r="K2072" s="42" t="str">
        <f>IFERROR(__xludf.DUMMYFUNCTION("""COMPUTED_VALUE"""),"Hospital Vargas de Caracas")</f>
        <v>Hospital Vargas de Caracas</v>
      </c>
    </row>
    <row r="2073">
      <c r="A2073" s="44">
        <v>2072.0</v>
      </c>
      <c r="B2073" s="44" t="str">
        <f>IFERROR(__xludf.DUMMYFUNCTION("""COMPUTED_VALUE"""),"Hospital Vargas de Caracas")</f>
        <v>Hospital Vargas de Caracas</v>
      </c>
      <c r="C2073" s="45" t="str">
        <f>IFERROR(__xludf.DUMMYFUNCTION("""COMPUTED_VALUE"""),"GONZALEZ DUBRASKA")</f>
        <v>GONZALEZ DUBRASKA</v>
      </c>
      <c r="D2073" s="44" t="str">
        <f>IFERROR(__xludf.DUMMYFUNCTION("""COMPUTED_VALUE""")," ")</f>
        <v> </v>
      </c>
      <c r="E2073" s="44" t="str">
        <f>IFERROR(__xludf.DUMMYFUNCTION("""COMPUTED_VALUE"""),"")</f>
        <v/>
      </c>
      <c r="F2073" s="44" t="str">
        <f>IFERROR(__xludf.DUMMYFUNCTION("""COMPUTED_VALUE""")," ")</f>
        <v> </v>
      </c>
      <c r="G2073" s="44" t="str">
        <f>IFERROR(__xludf.DUMMYFUNCTION("""COMPUTED_VALUE"""),"")</f>
        <v/>
      </c>
      <c r="H2073" s="44" t="str">
        <f>IFERROR(__xludf.DUMMYFUNCTION("""COMPUTED_VALUE""")," ")</f>
        <v> </v>
      </c>
      <c r="I2073" s="44" t="str">
        <f>IFERROR(__xludf.DUMMYFUNCTION("""COMPUTED_VALUE""")," ")</f>
        <v> </v>
      </c>
      <c r="J2073" s="44" t="str">
        <f>IFERROR(__xludf.DUMMYFUNCTION("""COMPUTED_VALUE"""),"")</f>
        <v/>
      </c>
      <c r="K2073" s="42" t="str">
        <f>IFERROR(__xludf.DUMMYFUNCTION("""COMPUTED_VALUE"""),"Hospital Vargas de Caracas")</f>
        <v>Hospital Vargas de Caracas</v>
      </c>
    </row>
    <row r="2074">
      <c r="A2074" s="44">
        <v>2073.0</v>
      </c>
      <c r="B2074" s="44" t="str">
        <f>IFERROR(__xludf.DUMMYFUNCTION("""COMPUTED_VALUE"""),"Hospital Vargas de Caracas")</f>
        <v>Hospital Vargas de Caracas</v>
      </c>
      <c r="C2074" s="45" t="str">
        <f>IFERROR(__xludf.DUMMYFUNCTION("""COMPUTED_VALUE"""),"GONZALEZ EDGARY")</f>
        <v>GONZALEZ EDGARY</v>
      </c>
      <c r="D2074" s="44" t="str">
        <f>IFERROR(__xludf.DUMMYFUNCTION("""COMPUTED_VALUE""")," ")</f>
        <v> </v>
      </c>
      <c r="E2074" s="44" t="str">
        <f>IFERROR(__xludf.DUMMYFUNCTION("""COMPUTED_VALUE"""),"")</f>
        <v/>
      </c>
      <c r="F2074" s="44" t="str">
        <f>IFERROR(__xludf.DUMMYFUNCTION("""COMPUTED_VALUE""")," ")</f>
        <v> </v>
      </c>
      <c r="G2074" s="44" t="str">
        <f>IFERROR(__xludf.DUMMYFUNCTION("""COMPUTED_VALUE"""),"")</f>
        <v/>
      </c>
      <c r="H2074" s="44" t="str">
        <f>IFERROR(__xludf.DUMMYFUNCTION("""COMPUTED_VALUE""")," ")</f>
        <v> </v>
      </c>
      <c r="I2074" s="44" t="str">
        <f>IFERROR(__xludf.DUMMYFUNCTION("""COMPUTED_VALUE""")," ")</f>
        <v> </v>
      </c>
      <c r="J2074" s="44" t="str">
        <f>IFERROR(__xludf.DUMMYFUNCTION("""COMPUTED_VALUE"""),"")</f>
        <v/>
      </c>
      <c r="K2074" s="42" t="str">
        <f>IFERROR(__xludf.DUMMYFUNCTION("""COMPUTED_VALUE"""),"Hospital Vargas de Caracas")</f>
        <v>Hospital Vargas de Caracas</v>
      </c>
    </row>
    <row r="2075">
      <c r="A2075" s="44">
        <v>2074.0</v>
      </c>
      <c r="B2075" s="44" t="str">
        <f>IFERROR(__xludf.DUMMYFUNCTION("""COMPUTED_VALUE"""),"Hospital Pérez Carreño")</f>
        <v>Hospital Pérez Carreño</v>
      </c>
      <c r="C2075" s="45" t="str">
        <f>IFERROR(__xludf.DUMMYFUNCTION("""COMPUTED_VALUE"""),"Gonzalez Eliyana")</f>
        <v>Gonzalez Eliyana</v>
      </c>
      <c r="D2075" s="44"/>
      <c r="E2075" s="44" t="str">
        <f>IFERROR(__xludf.DUMMYFUNCTION("""COMPUTED_VALUE"""),"")</f>
        <v/>
      </c>
      <c r="F2075" s="44" t="str">
        <f>IFERROR(__xludf.DUMMYFUNCTION("""COMPUTED_VALUE"""),"")</f>
        <v/>
      </c>
      <c r="G2075" s="44" t="str">
        <f>IFERROR(__xludf.DUMMYFUNCTION("""COMPUTED_VALUE"""),"Traslados con destino asignado")</f>
        <v>Traslados con destino asignado</v>
      </c>
      <c r="H2075" s="44" t="str">
        <f>IFERROR(__xludf.DUMMYFUNCTION("""COMPUTED_VALUE"""),"Hospital Miguel Perez Carreño")</f>
        <v>Hospital Miguel Perez Carreño</v>
      </c>
      <c r="I2075" s="44"/>
      <c r="J2075" s="44" t="str">
        <f>IFERROR(__xludf.DUMMYFUNCTION("""COMPUTED_VALUE"""),"26/6/26")</f>
        <v>26/6/26</v>
      </c>
      <c r="K2075" s="42" t="str">
        <f>IFERROR(__xludf.DUMMYFUNCTION("""COMPUTED_VALUE"""),"Hospital Pérez Carreño")</f>
        <v>Hospital Pérez Carreño</v>
      </c>
    </row>
    <row r="2076">
      <c r="A2076" s="44">
        <v>2075.0</v>
      </c>
      <c r="B2076" s="44" t="str">
        <f>IFERROR(__xludf.DUMMYFUNCTION("""COMPUTED_VALUE"""),"La Guaira Sin Hospital")</f>
        <v>La Guaira Sin Hospital</v>
      </c>
      <c r="C2076" s="45" t="str">
        <f>IFERROR(__xludf.DUMMYFUNCTION("""COMPUTED_VALUE"""),"Gonzalez Elizabeth Trinidad")</f>
        <v>Gonzalez Elizabeth Trinidad</v>
      </c>
      <c r="D2076" s="44" t="str">
        <f>IFERROR(__xludf.DUMMYFUNCTION("""COMPUTED_VALUE"""),"")</f>
        <v/>
      </c>
      <c r="E2076" s="44" t="str">
        <f>IFERROR(__xludf.DUMMYFUNCTION("""COMPUTED_VALUE"""),"")</f>
        <v/>
      </c>
      <c r="F2076" s="44" t="str">
        <f>IFERROR(__xludf.DUMMYFUNCTION("""COMPUTED_VALUE"""),"")</f>
        <v/>
      </c>
      <c r="G2076" s="44" t="str">
        <f>IFERROR(__xludf.DUMMYFUNCTION("""COMPUTED_VALUE"""),"")</f>
        <v/>
      </c>
      <c r="H2076" s="44" t="str">
        <f>IFERROR(__xludf.DUMMYFUNCTION("""COMPUTED_VALUE"""),"La Guaira Caraballeda")</f>
        <v>La Guaira Caraballeda</v>
      </c>
      <c r="I2076" s="44" t="str">
        <f>IFERROR(__xludf.DUMMYFUNCTION("""COMPUTED_VALUE"""),"Listas con ubicación")</f>
        <v>Listas con ubicación</v>
      </c>
      <c r="J2076" s="44" t="str">
        <f>IFERROR(__xludf.DUMMYFUNCTION("""COMPUTED_VALUE"""),"")</f>
        <v/>
      </c>
      <c r="K2076" s="42" t="str">
        <f>IFERROR(__xludf.DUMMYFUNCTION("""COMPUTED_VALUE"""),"La Guaira Sin Hospital")</f>
        <v>La Guaira Sin Hospital</v>
      </c>
    </row>
    <row r="2077">
      <c r="A2077" s="44">
        <v>2076.0</v>
      </c>
      <c r="B2077" s="44" t="str">
        <f>IFERROR(__xludf.DUMMYFUNCTION("""COMPUTED_VALUE"""),"Hospital Vargas de Caracas")</f>
        <v>Hospital Vargas de Caracas</v>
      </c>
      <c r="C2077" s="45" t="str">
        <f>IFERROR(__xludf.DUMMYFUNCTION("""COMPUTED_VALUE"""),"GONZALEZ EVANGELINA")</f>
        <v>GONZALEZ EVANGELINA</v>
      </c>
      <c r="D2077" s="44" t="str">
        <f>IFERROR(__xludf.DUMMYFUNCTION("""COMPUTED_VALUE""")," ")</f>
        <v> </v>
      </c>
      <c r="E2077" s="44" t="str">
        <f>IFERROR(__xludf.DUMMYFUNCTION("""COMPUTED_VALUE"""),"")</f>
        <v/>
      </c>
      <c r="F2077" s="44" t="str">
        <f>IFERROR(__xludf.DUMMYFUNCTION("""COMPUTED_VALUE""")," ")</f>
        <v> </v>
      </c>
      <c r="G2077" s="44" t="str">
        <f>IFERROR(__xludf.DUMMYFUNCTION("""COMPUTED_VALUE"""),"")</f>
        <v/>
      </c>
      <c r="H2077" s="44" t="str">
        <f>IFERROR(__xludf.DUMMYFUNCTION("""COMPUTED_VALUE"""),"Guaira")</f>
        <v>Guaira</v>
      </c>
      <c r="I2077" s="44" t="str">
        <f>IFERROR(__xludf.DUMMYFUNCTION("""COMPUTED_VALUE""")," ")</f>
        <v> </v>
      </c>
      <c r="J2077" s="44" t="str">
        <f>IFERROR(__xludf.DUMMYFUNCTION("""COMPUTED_VALUE"""),"")</f>
        <v/>
      </c>
      <c r="K2077" s="42" t="str">
        <f>IFERROR(__xludf.DUMMYFUNCTION("""COMPUTED_VALUE"""),"Hospital Vargas de Caracas")</f>
        <v>Hospital Vargas de Caracas</v>
      </c>
    </row>
    <row r="2078">
      <c r="A2078" s="44">
        <v>2077.0</v>
      </c>
      <c r="B2078" s="44" t="str">
        <f>IFERROR(__xludf.DUMMYFUNCTION("""COMPUTED_VALUE"""),"Hospital Domingo Luciani")</f>
        <v>Hospital Domingo Luciani</v>
      </c>
      <c r="C2078" s="45" t="str">
        <f>IFERROR(__xludf.DUMMYFUNCTION("""COMPUTED_VALUE"""),"GONZALEZ FRANCISCA")</f>
        <v>GONZALEZ FRANCISCA</v>
      </c>
      <c r="D2078" s="44">
        <f>IFERROR(__xludf.DUMMYFUNCTION("""COMPUTED_VALUE"""),83.0)</f>
        <v>83</v>
      </c>
      <c r="E2078" s="44" t="str">
        <f>IFERROR(__xludf.DUMMYFUNCTION("""COMPUTED_VALUE"""),"")</f>
        <v/>
      </c>
      <c r="F2078" s="44" t="str">
        <f>IFERROR(__xludf.DUMMYFUNCTION("""COMPUTED_VALUE"""),"")</f>
        <v/>
      </c>
      <c r="G2078" s="44" t="str">
        <f>IFERROR(__xludf.DUMMYFUNCTION("""COMPUTED_VALUE""")," ")</f>
        <v> </v>
      </c>
      <c r="H2078" s="44" t="str">
        <f>IFERROR(__xludf.DUMMYFUNCTION("""COMPUTED_VALUE""")," ")</f>
        <v> </v>
      </c>
      <c r="I2078" s="44" t="str">
        <f>IFERROR(__xludf.DUMMYFUNCTION("""COMPUTED_VALUE"""),"Politrauma – La Guaira")</f>
        <v>Politrauma – La Guaira</v>
      </c>
      <c r="J2078" s="44" t="str">
        <f>IFERROR(__xludf.DUMMYFUNCTION("""COMPUTED_VALUE"""),"")</f>
        <v/>
      </c>
      <c r="K2078" s="42" t="str">
        <f>IFERROR(__xludf.DUMMYFUNCTION("""COMPUTED_VALUE"""),"🔍 BUSCAR PACIENTES")</f>
        <v>🔍 BUSCAR PACIENTES</v>
      </c>
    </row>
    <row r="2079">
      <c r="A2079" s="44">
        <v>2078.0</v>
      </c>
      <c r="B2079" s="44" t="str">
        <f>IFERROR(__xludf.DUMMYFUNCTION("""COMPUTED_VALUE"""),"Clínica El Ávila")</f>
        <v>Clínica El Ávila</v>
      </c>
      <c r="C2079" s="45" t="str">
        <f>IFERROR(__xludf.DUMMYFUNCTION("""COMPUTED_VALUE"""),"GONZALEZ GABRIEL")</f>
        <v>GONZALEZ GABRIEL</v>
      </c>
      <c r="D2079" s="44" t="str">
        <f>IFERROR(__xludf.DUMMYFUNCTION("""COMPUTED_VALUE""")," ")</f>
        <v> </v>
      </c>
      <c r="E2079" s="44" t="str">
        <f>IFERROR(__xludf.DUMMYFUNCTION("""COMPUTED_VALUE"""),"")</f>
        <v/>
      </c>
      <c r="F2079" s="44" t="str">
        <f>IFERROR(__xludf.DUMMYFUNCTION("""COMPUTED_VALUE"""),"")</f>
        <v/>
      </c>
      <c r="G2079" s="44" t="str">
        <f>IFERROR(__xludf.DUMMYFUNCTION("""COMPUTED_VALUE""")," ")</f>
        <v> </v>
      </c>
      <c r="H2079" s="44" t="str">
        <f>IFERROR(__xludf.DUMMYFUNCTION("""COMPUTED_VALUE""")," ")</f>
        <v> </v>
      </c>
      <c r="I2079" s="44" t="str">
        <f>IFERROR(__xludf.DUMMYFUNCTION("""COMPUTED_VALUE""")," ")</f>
        <v> </v>
      </c>
      <c r="J2079" s="44" t="str">
        <f>IFERROR(__xludf.DUMMYFUNCTION("""COMPUTED_VALUE"""),"")</f>
        <v/>
      </c>
      <c r="K2079" s="42" t="str">
        <f>IFERROR(__xludf.DUMMYFUNCTION("""COMPUTED_VALUE"""),"Clínica El Ávila")</f>
        <v>Clínica El Ávila</v>
      </c>
    </row>
    <row r="2080">
      <c r="A2080" s="44">
        <v>2079.0</v>
      </c>
      <c r="B2080" s="44" t="str">
        <f>IFERROR(__xludf.DUMMYFUNCTION("""COMPUTED_VALUE"""),"Clínica El Ávila")</f>
        <v>Clínica El Ávila</v>
      </c>
      <c r="C2080" s="45" t="str">
        <f>IFERROR(__xludf.DUMMYFUNCTION("""COMPUTED_VALUE"""),"GONZALEZ GREISY")</f>
        <v>GONZALEZ GREISY</v>
      </c>
      <c r="D2080" s="44" t="str">
        <f>IFERROR(__xludf.DUMMYFUNCTION("""COMPUTED_VALUE""")," ")</f>
        <v> </v>
      </c>
      <c r="E2080" s="44" t="str">
        <f>IFERROR(__xludf.DUMMYFUNCTION("""COMPUTED_VALUE"""),"")</f>
        <v/>
      </c>
      <c r="F2080" s="44" t="str">
        <f>IFERROR(__xludf.DUMMYFUNCTION("""COMPUTED_VALUE"""),"")</f>
        <v/>
      </c>
      <c r="G2080" s="44" t="str">
        <f>IFERROR(__xludf.DUMMYFUNCTION("""COMPUTED_VALUE""")," ")</f>
        <v> </v>
      </c>
      <c r="H2080" s="44" t="str">
        <f>IFERROR(__xludf.DUMMYFUNCTION("""COMPUTED_VALUE""")," ")</f>
        <v> </v>
      </c>
      <c r="I2080" s="44" t="str">
        <f>IFERROR(__xludf.DUMMYFUNCTION("""COMPUTED_VALUE""")," ")</f>
        <v> </v>
      </c>
      <c r="J2080" s="44" t="str">
        <f>IFERROR(__xludf.DUMMYFUNCTION("""COMPUTED_VALUE"""),"")</f>
        <v/>
      </c>
      <c r="K2080" s="42" t="str">
        <f>IFERROR(__xludf.DUMMYFUNCTION("""COMPUTED_VALUE"""),"Clínica El Ávila")</f>
        <v>Clínica El Ávila</v>
      </c>
    </row>
    <row r="2081">
      <c r="A2081" s="44">
        <v>2080.0</v>
      </c>
      <c r="B2081" s="44" t="str">
        <f>IFERROR(__xludf.DUMMYFUNCTION("""COMPUTED_VALUE"""),"La Guaira Sin Hospital")</f>
        <v>La Guaira Sin Hospital</v>
      </c>
      <c r="C2081" s="45" t="str">
        <f>IFERROR(__xludf.DUMMYFUNCTION("""COMPUTED_VALUE"""),"Gonzalez Hilmar Yarett De Arismendi")</f>
        <v>Gonzalez Hilmar Yarett De Arismendi</v>
      </c>
      <c r="D2081" s="44" t="str">
        <f>IFERROR(__xludf.DUMMYFUNCTION("""COMPUTED_VALUE"""),"")</f>
        <v/>
      </c>
      <c r="E2081" s="44" t="str">
        <f>IFERROR(__xludf.DUMMYFUNCTION("""COMPUTED_VALUE"""),"")</f>
        <v/>
      </c>
      <c r="F2081" s="44" t="str">
        <f>IFERROR(__xludf.DUMMYFUNCTION("""COMPUTED_VALUE"""),"")</f>
        <v/>
      </c>
      <c r="G2081" s="44" t="str">
        <f>IFERROR(__xludf.DUMMYFUNCTION("""COMPUTED_VALUE"""),"")</f>
        <v/>
      </c>
      <c r="H2081" s="44" t="str">
        <f>IFERROR(__xludf.DUMMYFUNCTION("""COMPUTED_VALUE"""),"La Guaira Playa Verde")</f>
        <v>La Guaira Playa Verde</v>
      </c>
      <c r="I2081" s="44" t="str">
        <f>IFERROR(__xludf.DUMMYFUNCTION("""COMPUTED_VALUE"""),"Listas con ubicación")</f>
        <v>Listas con ubicación</v>
      </c>
      <c r="J2081" s="44" t="str">
        <f>IFERROR(__xludf.DUMMYFUNCTION("""COMPUTED_VALUE"""),"")</f>
        <v/>
      </c>
      <c r="K2081" s="42" t="str">
        <f>IFERROR(__xludf.DUMMYFUNCTION("""COMPUTED_VALUE"""),"La Guaira Sin Hospital")</f>
        <v>La Guaira Sin Hospital</v>
      </c>
    </row>
    <row r="2082">
      <c r="A2082" s="44">
        <v>2081.0</v>
      </c>
      <c r="B2082" s="44" t="str">
        <f>IFERROR(__xludf.DUMMYFUNCTION("""COMPUTED_VALUE"""),"La Guaira Sin Hospital")</f>
        <v>La Guaira Sin Hospital</v>
      </c>
      <c r="C2082" s="45" t="str">
        <f>IFERROR(__xludf.DUMMYFUNCTION("""COMPUTED_VALUE"""),"Gonzalez Isoloriz Isabel")</f>
        <v>Gonzalez Isoloriz Isabel</v>
      </c>
      <c r="D2082" s="44" t="str">
        <f>IFERROR(__xludf.DUMMYFUNCTION("""COMPUTED_VALUE"""),"")</f>
        <v/>
      </c>
      <c r="E2082" s="44" t="str">
        <f>IFERROR(__xludf.DUMMYFUNCTION("""COMPUTED_VALUE"""),"")</f>
        <v/>
      </c>
      <c r="F2082" s="44" t="str">
        <f>IFERROR(__xludf.DUMMYFUNCTION("""COMPUTED_VALUE"""),"")</f>
        <v/>
      </c>
      <c r="G2082" s="44" t="str">
        <f>IFERROR(__xludf.DUMMYFUNCTION("""COMPUTED_VALUE"""),"")</f>
        <v/>
      </c>
      <c r="H2082" s="44"/>
      <c r="I2082" s="44" t="str">
        <f>IFERROR(__xludf.DUMMYFUNCTION("""COMPUTED_VALUE"""),"Listas solo con nombre")</f>
        <v>Listas solo con nombre</v>
      </c>
      <c r="J2082" s="44" t="str">
        <f>IFERROR(__xludf.DUMMYFUNCTION("""COMPUTED_VALUE"""),"")</f>
        <v/>
      </c>
      <c r="K2082" s="42" t="str">
        <f>IFERROR(__xludf.DUMMYFUNCTION("""COMPUTED_VALUE"""),"La Guaira Sin Hospital")</f>
        <v>La Guaira Sin Hospital</v>
      </c>
    </row>
    <row r="2083">
      <c r="A2083" s="44">
        <v>2082.0</v>
      </c>
      <c r="B2083" s="44" t="str">
        <f>IFERROR(__xludf.DUMMYFUNCTION("""COMPUTED_VALUE"""),"Hospital Pérez Carreño")</f>
        <v>Hospital Pérez Carreño</v>
      </c>
      <c r="C2083" s="45" t="str">
        <f>IFERROR(__xludf.DUMMYFUNCTION("""COMPUTED_VALUE"""),"Gonzalez Isturiz Isabel")</f>
        <v>Gonzalez Isturiz Isabel</v>
      </c>
      <c r="D2083" s="44"/>
      <c r="E2083" s="44" t="str">
        <f>IFERROR(__xludf.DUMMYFUNCTION("""COMPUTED_VALUE"""),"")</f>
        <v/>
      </c>
      <c r="F2083" s="44" t="str">
        <f>IFERROR(__xludf.DUMMYFUNCTION("""COMPUTED_VALUE"""),"")</f>
        <v/>
      </c>
      <c r="G2083" s="44" t="str">
        <f>IFERROR(__xludf.DUMMYFUNCTION("""COMPUTED_VALUE"""),"Traslados")</f>
        <v>Traslados</v>
      </c>
      <c r="H2083" s="44" t="str">
        <f>IFERROR(__xludf.DUMMYFUNCTION("""COMPUTED_VALUE"""),"Hospital Miguel Perez Carreño")</f>
        <v>Hospital Miguel Perez Carreño</v>
      </c>
      <c r="I2083" s="44"/>
      <c r="J2083" s="44" t="str">
        <f>IFERROR(__xludf.DUMMYFUNCTION("""COMPUTED_VALUE"""),"26/6/26")</f>
        <v>26/6/26</v>
      </c>
      <c r="K2083" s="42" t="str">
        <f>IFERROR(__xludf.DUMMYFUNCTION("""COMPUTED_VALUE"""),"Hospital Pérez Carreño")</f>
        <v>Hospital Pérez Carreño</v>
      </c>
    </row>
    <row r="2084">
      <c r="A2084" s="44">
        <v>2083.0</v>
      </c>
      <c r="B2084" s="44" t="str">
        <f>IFERROR(__xludf.DUMMYFUNCTION("""COMPUTED_VALUE"""),"Hospital Pérez Carreño")</f>
        <v>Hospital Pérez Carreño</v>
      </c>
      <c r="C2084" s="45" t="str">
        <f>IFERROR(__xludf.DUMMYFUNCTION("""COMPUTED_VALUE"""),"GONZALEZ JESUS")</f>
        <v>GONZALEZ JESUS</v>
      </c>
      <c r="D2084" s="44">
        <f>IFERROR(__xludf.DUMMYFUNCTION("""COMPUTED_VALUE"""),13.0)</f>
        <v>13</v>
      </c>
      <c r="E2084" s="44" t="str">
        <f>IFERROR(__xludf.DUMMYFUNCTION("""COMPUTED_VALUE"""),"")</f>
        <v/>
      </c>
      <c r="F2084" s="44" t="str">
        <f>IFERROR(__xludf.DUMMYFUNCTION("""COMPUTED_VALUE"""),"")</f>
        <v/>
      </c>
      <c r="G2084" s="44" t="str">
        <f>IFERROR(__xludf.DUMMYFUNCTION("""COMPUTED_VALUE""")," ")</f>
        <v> </v>
      </c>
      <c r="H2084" s="44" t="str">
        <f>IFERROR(__xludf.DUMMYFUNCTION("""COMPUTED_VALUE""")," ")</f>
        <v> </v>
      </c>
      <c r="I2084" s="44" t="str">
        <f>IFERROR(__xludf.DUMMYFUNCTION("""COMPUTED_VALUE"""),"Nuevos Ingresos")</f>
        <v>Nuevos Ingresos</v>
      </c>
      <c r="J2084" s="44" t="str">
        <f>IFERROR(__xludf.DUMMYFUNCTION("""COMPUTED_VALUE"""),"25/06/2026")</f>
        <v>25/06/2026</v>
      </c>
      <c r="K2084" s="42" t="str">
        <f>IFERROR(__xludf.DUMMYFUNCTION("""COMPUTED_VALUE"""),"Hospital Pérez Carreño")</f>
        <v>Hospital Pérez Carreño</v>
      </c>
    </row>
    <row r="2085">
      <c r="A2085" s="44">
        <v>2084.0</v>
      </c>
      <c r="B2085" s="44" t="str">
        <f>IFERROR(__xludf.DUMMYFUNCTION("""COMPUTED_VALUE"""),"Clínica El Ávila")</f>
        <v>Clínica El Ávila</v>
      </c>
      <c r="C2085" s="45" t="str">
        <f>IFERROR(__xludf.DUMMYFUNCTION("""COMPUTED_VALUE"""),"GONZALEZ JUAN MIGUEL")</f>
        <v>GONZALEZ JUAN MIGUEL</v>
      </c>
      <c r="D2085" s="44" t="str">
        <f>IFERROR(__xludf.DUMMYFUNCTION("""COMPUTED_VALUE""")," ")</f>
        <v> </v>
      </c>
      <c r="E2085" s="44" t="str">
        <f>IFERROR(__xludf.DUMMYFUNCTION("""COMPUTED_VALUE"""),"")</f>
        <v/>
      </c>
      <c r="F2085" s="44" t="str">
        <f>IFERROR(__xludf.DUMMYFUNCTION("""COMPUTED_VALUE"""),"")</f>
        <v/>
      </c>
      <c r="G2085" s="44" t="str">
        <f>IFERROR(__xludf.DUMMYFUNCTION("""COMPUTED_VALUE""")," ")</f>
        <v> </v>
      </c>
      <c r="H2085" s="44" t="str">
        <f>IFERROR(__xludf.DUMMYFUNCTION("""COMPUTED_VALUE""")," ")</f>
        <v> </v>
      </c>
      <c r="I2085" s="44" t="str">
        <f>IFERROR(__xludf.DUMMYFUNCTION("""COMPUTED_VALUE""")," ")</f>
        <v> </v>
      </c>
      <c r="J2085" s="44" t="str">
        <f>IFERROR(__xludf.DUMMYFUNCTION("""COMPUTED_VALUE"""),"")</f>
        <v/>
      </c>
      <c r="K2085" s="42" t="str">
        <f>IFERROR(__xludf.DUMMYFUNCTION("""COMPUTED_VALUE"""),"Clínica El Ávila")</f>
        <v>Clínica El Ávila</v>
      </c>
    </row>
    <row r="2086">
      <c r="A2086" s="44">
        <v>2085.0</v>
      </c>
      <c r="B2086" s="44" t="str">
        <f>IFERROR(__xludf.DUMMYFUNCTION("""COMPUTED_VALUE"""),"Hospital Domingo Luciani")</f>
        <v>Hospital Domingo Luciani</v>
      </c>
      <c r="C2086" s="45" t="str">
        <f>IFERROR(__xludf.DUMMYFUNCTION("""COMPUTED_VALUE"""),"GONZALEZ KAIRYN")</f>
        <v>GONZALEZ KAIRYN</v>
      </c>
      <c r="D2086" s="44" t="str">
        <f>IFERROR(__xludf.DUMMYFUNCTION("""COMPUTED_VALUE""")," ")</f>
        <v> </v>
      </c>
      <c r="E2086" s="44" t="str">
        <f>IFERROR(__xludf.DUMMYFUNCTION("""COMPUTED_VALUE"""),"")</f>
        <v/>
      </c>
      <c r="F2086" s="44" t="str">
        <f>IFERROR(__xludf.DUMMYFUNCTION("""COMPUTED_VALUE"""),"")</f>
        <v/>
      </c>
      <c r="G2086" s="44" t="str">
        <f>IFERROR(__xludf.DUMMYFUNCTION("""COMPUTED_VALUE""")," ")</f>
        <v> </v>
      </c>
      <c r="H2086" s="44" t="str">
        <f>IFERROR(__xludf.DUMMYFUNCTION("""COMPUTED_VALUE""")," ")</f>
        <v> </v>
      </c>
      <c r="I2086" s="44" t="str">
        <f>IFERROR(__xludf.DUMMYFUNCTION("""COMPUTED_VALUE"""),"Internado")</f>
        <v>Internado</v>
      </c>
      <c r="J2086" s="44" t="str">
        <f>IFERROR(__xludf.DUMMYFUNCTION("""COMPUTED_VALUE"""),"")</f>
        <v/>
      </c>
      <c r="K2086" s="42" t="str">
        <f>IFERROR(__xludf.DUMMYFUNCTION("""COMPUTED_VALUE"""),"🔍 BUSCAR PACIENTES")</f>
        <v>🔍 BUSCAR PACIENTES</v>
      </c>
    </row>
    <row r="2087">
      <c r="A2087" s="44">
        <v>2086.0</v>
      </c>
      <c r="B2087" s="44" t="str">
        <f>IFERROR(__xludf.DUMMYFUNCTION("""COMPUTED_VALUE"""),"Hospital Domingo Luciani")</f>
        <v>Hospital Domingo Luciani</v>
      </c>
      <c r="C2087" s="45" t="str">
        <f>IFERROR(__xludf.DUMMYFUNCTION("""COMPUTED_VALUE"""),"GONZALEZ KELLY")</f>
        <v>GONZALEZ KELLY</v>
      </c>
      <c r="D2087" s="44">
        <f>IFERROR(__xludf.DUMMYFUNCTION("""COMPUTED_VALUE"""),36.0)</f>
        <v>36</v>
      </c>
      <c r="E2087" s="44" t="str">
        <f>IFERROR(__xludf.DUMMYFUNCTION("""COMPUTED_VALUE"""),"")</f>
        <v/>
      </c>
      <c r="F2087" s="44" t="str">
        <f>IFERROR(__xludf.DUMMYFUNCTION("""COMPUTED_VALUE"""),"")</f>
        <v/>
      </c>
      <c r="G2087" s="44" t="str">
        <f>IFERROR(__xludf.DUMMYFUNCTION("""COMPUTED_VALUE""")," ")</f>
        <v> </v>
      </c>
      <c r="H2087" s="44" t="str">
        <f>IFERROR(__xludf.DUMMYFUNCTION("""COMPUTED_VALUE""")," ")</f>
        <v> </v>
      </c>
      <c r="I2087" s="44" t="str">
        <f>IFERROR(__xludf.DUMMYFUNCTION("""COMPUTED_VALUE"""),"La Guaira – Ingresos 9am")</f>
        <v>La Guaira – Ingresos 9am</v>
      </c>
      <c r="J2087" s="44" t="str">
        <f>IFERROR(__xludf.DUMMYFUNCTION("""COMPUTED_VALUE"""),"")</f>
        <v/>
      </c>
      <c r="K2087" s="42" t="str">
        <f>IFERROR(__xludf.DUMMYFUNCTION("""COMPUTED_VALUE"""),"🔍 BUSCAR PACIENTES")</f>
        <v>🔍 BUSCAR PACIENTES</v>
      </c>
    </row>
    <row r="2088">
      <c r="A2088" s="44">
        <v>2087.0</v>
      </c>
      <c r="B2088" s="44" t="str">
        <f>IFERROR(__xludf.DUMMYFUNCTION("""COMPUTED_VALUE"""),"Hospital Pérez Carreño")</f>
        <v>Hospital Pérez Carreño</v>
      </c>
      <c r="C2088" s="45" t="str">
        <f>IFERROR(__xludf.DUMMYFUNCTION("""COMPUTED_VALUE"""),"GONZALEZ KEVI")</f>
        <v>GONZALEZ KEVI</v>
      </c>
      <c r="D2088" s="44">
        <f>IFERROR(__xludf.DUMMYFUNCTION("""COMPUTED_VALUE"""),32.0)</f>
        <v>32</v>
      </c>
      <c r="E2088" s="44" t="str">
        <f>IFERROR(__xludf.DUMMYFUNCTION("""COMPUTED_VALUE"""),"")</f>
        <v/>
      </c>
      <c r="F2088" s="44" t="str">
        <f>IFERROR(__xludf.DUMMYFUNCTION("""COMPUTED_VALUE"""),"")</f>
        <v/>
      </c>
      <c r="G2088" s="44" t="str">
        <f>IFERROR(__xludf.DUMMYFUNCTION("""COMPUTED_VALUE""")," ")</f>
        <v> </v>
      </c>
      <c r="H2088" s="44" t="str">
        <f>IFERROR(__xludf.DUMMYFUNCTION("""COMPUTED_VALUE""")," ")</f>
        <v> </v>
      </c>
      <c r="I2088" s="44" t="str">
        <f>IFERROR(__xludf.DUMMYFUNCTION("""COMPUTED_VALUE"""),"Traumashock")</f>
        <v>Traumashock</v>
      </c>
      <c r="J2088" s="44" t="str">
        <f>IFERROR(__xludf.DUMMYFUNCTION("""COMPUTED_VALUE"""),"25/06/2026")</f>
        <v>25/06/2026</v>
      </c>
      <c r="K2088" s="42" t="str">
        <f>IFERROR(__xludf.DUMMYFUNCTION("""COMPUTED_VALUE"""),"Hospital Pérez Carreño")</f>
        <v>Hospital Pérez Carreño</v>
      </c>
    </row>
    <row r="2089">
      <c r="A2089" s="44">
        <v>2088.0</v>
      </c>
      <c r="B2089" s="44" t="str">
        <f>IFERROR(__xludf.DUMMYFUNCTION("""COMPUTED_VALUE"""),"Hospital Pérez Carreño")</f>
        <v>Hospital Pérez Carreño</v>
      </c>
      <c r="C2089" s="45" t="str">
        <f>IFERROR(__xludf.DUMMYFUNCTION("""COMPUTED_VALUE"""),"Gonzalez Lesedi")</f>
        <v>Gonzalez Lesedi</v>
      </c>
      <c r="D2089" s="44"/>
      <c r="E2089" s="44" t="str">
        <f>IFERROR(__xludf.DUMMYFUNCTION("""COMPUTED_VALUE"""),"")</f>
        <v/>
      </c>
      <c r="F2089" s="44" t="str">
        <f>IFERROR(__xludf.DUMMYFUNCTION("""COMPUTED_VALUE"""),"")</f>
        <v/>
      </c>
      <c r="G2089" s="44" t="str">
        <f>IFERROR(__xludf.DUMMYFUNCTION("""COMPUTED_VALUE"""),"Traslados con destino asignado")</f>
        <v>Traslados con destino asignado</v>
      </c>
      <c r="H2089" s="44" t="str">
        <f>IFERROR(__xludf.DUMMYFUNCTION("""COMPUTED_VALUE"""),"Hospital Miguel Perez Carreño")</f>
        <v>Hospital Miguel Perez Carreño</v>
      </c>
      <c r="I2089" s="44"/>
      <c r="J2089" s="44" t="str">
        <f>IFERROR(__xludf.DUMMYFUNCTION("""COMPUTED_VALUE"""),"26/6/26")</f>
        <v>26/6/26</v>
      </c>
      <c r="K2089" s="42" t="str">
        <f>IFERROR(__xludf.DUMMYFUNCTION("""COMPUTED_VALUE"""),"Hospital Pérez Carreño")</f>
        <v>Hospital Pérez Carreño</v>
      </c>
    </row>
    <row r="2090">
      <c r="A2090" s="44">
        <v>2089.0</v>
      </c>
      <c r="B2090" s="44" t="str">
        <f>IFERROR(__xludf.DUMMYFUNCTION("""COMPUTED_VALUE"""),"Hospital Domingo Luciani")</f>
        <v>Hospital Domingo Luciani</v>
      </c>
      <c r="C2090" s="45" t="str">
        <f>IFERROR(__xludf.DUMMYFUNCTION("""COMPUTED_VALUE"""),"GONZALEZ LUCI")</f>
        <v>GONZALEZ LUCI</v>
      </c>
      <c r="D2090" s="44">
        <f>IFERROR(__xludf.DUMMYFUNCTION("""COMPUTED_VALUE"""),61.0)</f>
        <v>61</v>
      </c>
      <c r="E2090" s="44" t="str">
        <f>IFERROR(__xludf.DUMMYFUNCTION("""COMPUTED_VALUE"""),"")</f>
        <v/>
      </c>
      <c r="F2090" s="44" t="str">
        <f>IFERROR(__xludf.DUMMYFUNCTION("""COMPUTED_VALUE"""),"")</f>
        <v/>
      </c>
      <c r="G2090" s="44" t="str">
        <f>IFERROR(__xludf.DUMMYFUNCTION("""COMPUTED_VALUE""")," ")</f>
        <v> </v>
      </c>
      <c r="H2090" s="44" t="str">
        <f>IFERROR(__xludf.DUMMYFUNCTION("""COMPUTED_VALUE"""),"La Guaira")</f>
        <v>La Guaira</v>
      </c>
      <c r="I2090" s="44" t="str">
        <f>IFERROR(__xludf.DUMMYFUNCTION("""COMPUTED_VALUE"""),"Ingresos 6am-9:20pm")</f>
        <v>Ingresos 6am-9:20pm</v>
      </c>
      <c r="J2090" s="44" t="str">
        <f>IFERROR(__xludf.DUMMYFUNCTION("""COMPUTED_VALUE"""),"")</f>
        <v/>
      </c>
      <c r="K2090" s="42" t="str">
        <f>IFERROR(__xludf.DUMMYFUNCTION("""COMPUTED_VALUE"""),"🔍 BUSCAR PACIENTES")</f>
        <v>🔍 BUSCAR PACIENTES</v>
      </c>
    </row>
    <row r="2091">
      <c r="A2091" s="44">
        <v>2090.0</v>
      </c>
      <c r="B2091" s="44" t="str">
        <f>IFERROR(__xludf.DUMMYFUNCTION("""COMPUTED_VALUE"""),"Hospital Vargas de Caracas")</f>
        <v>Hospital Vargas de Caracas</v>
      </c>
      <c r="C2091" s="45" t="str">
        <f>IFERROR(__xludf.DUMMYFUNCTION("""COMPUTED_VALUE"""),"GONZALEZ MAURA")</f>
        <v>GONZALEZ MAURA</v>
      </c>
      <c r="D2091" s="44" t="str">
        <f>IFERROR(__xludf.DUMMYFUNCTION("""COMPUTED_VALUE""")," ")</f>
        <v> </v>
      </c>
      <c r="E2091" s="44" t="str">
        <f>IFERROR(__xludf.DUMMYFUNCTION("""COMPUTED_VALUE"""),"")</f>
        <v/>
      </c>
      <c r="F2091" s="44" t="str">
        <f>IFERROR(__xludf.DUMMYFUNCTION("""COMPUTED_VALUE""")," ")</f>
        <v> </v>
      </c>
      <c r="G2091" s="44" t="str">
        <f>IFERROR(__xludf.DUMMYFUNCTION("""COMPUTED_VALUE"""),"")</f>
        <v/>
      </c>
      <c r="H2091" s="44" t="str">
        <f>IFERROR(__xludf.DUMMYFUNCTION("""COMPUTED_VALUE""")," ")</f>
        <v> </v>
      </c>
      <c r="I2091" s="44" t="str">
        <f>IFERROR(__xludf.DUMMYFUNCTION("""COMPUTED_VALUE""")," ")</f>
        <v> </v>
      </c>
      <c r="J2091" s="44" t="str">
        <f>IFERROR(__xludf.DUMMYFUNCTION("""COMPUTED_VALUE"""),"")</f>
        <v/>
      </c>
      <c r="K2091" s="42" t="str">
        <f>IFERROR(__xludf.DUMMYFUNCTION("""COMPUTED_VALUE"""),"Hospital Vargas de Caracas")</f>
        <v>Hospital Vargas de Caracas</v>
      </c>
    </row>
    <row r="2092">
      <c r="A2092" s="44">
        <v>2091.0</v>
      </c>
      <c r="B2092" s="44" t="str">
        <f>IFERROR(__xludf.DUMMYFUNCTION("""COMPUTED_VALUE"""),"Hospital Pérez Carreño")</f>
        <v>Hospital Pérez Carreño</v>
      </c>
      <c r="C2092" s="45" t="str">
        <f>IFERROR(__xludf.DUMMYFUNCTION("""COMPUTED_VALUE"""),"Gonzalez Mendez Daniel Alexander")</f>
        <v>Gonzalez Mendez Daniel Alexander</v>
      </c>
      <c r="D2092" s="44"/>
      <c r="E2092" s="44" t="str">
        <f>IFERROR(__xludf.DUMMYFUNCTION("""COMPUTED_VALUE"""),"")</f>
        <v/>
      </c>
      <c r="F2092" s="44" t="str">
        <f>IFERROR(__xludf.DUMMYFUNCTION("""COMPUTED_VALUE"""),"")</f>
        <v/>
      </c>
      <c r="G2092" s="44" t="str">
        <f>IFERROR(__xludf.DUMMYFUNCTION("""COMPUTED_VALUE"""),"Traslados")</f>
        <v>Traslados</v>
      </c>
      <c r="H2092" s="44" t="str">
        <f>IFERROR(__xludf.DUMMYFUNCTION("""COMPUTED_VALUE"""),"Hospital Miguel Perez Carreño")</f>
        <v>Hospital Miguel Perez Carreño</v>
      </c>
      <c r="I2092" s="44"/>
      <c r="J2092" s="44" t="str">
        <f>IFERROR(__xludf.DUMMYFUNCTION("""COMPUTED_VALUE"""),"26/6/26")</f>
        <v>26/6/26</v>
      </c>
      <c r="K2092" s="42" t="str">
        <f>IFERROR(__xludf.DUMMYFUNCTION("""COMPUTED_VALUE"""),"Hospital Pérez Carreño")</f>
        <v>Hospital Pérez Carreño</v>
      </c>
    </row>
    <row r="2093">
      <c r="A2093" s="44">
        <v>2092.0</v>
      </c>
      <c r="B2093" s="44" t="str">
        <f>IFERROR(__xludf.DUMMYFUNCTION("""COMPUTED_VALUE"""),"Hospital Pérez Carreño")</f>
        <v>Hospital Pérez Carreño</v>
      </c>
      <c r="C2093" s="45" t="str">
        <f>IFERROR(__xludf.DUMMYFUNCTION("""COMPUTED_VALUE"""),"GONZALEZ MENDEZ DANIELA ALEXANDRA")</f>
        <v>GONZALEZ MENDEZ DANIELA ALEXANDRA</v>
      </c>
      <c r="D2093" s="44" t="str">
        <f>IFERROR(__xludf.DUMMYFUNCTION("""COMPUTED_VALUE""")," ")</f>
        <v> </v>
      </c>
      <c r="E2093" s="44" t="str">
        <f>IFERROR(__xludf.DUMMYFUNCTION("""COMPUTED_VALUE"""),"")</f>
        <v/>
      </c>
      <c r="F2093" s="44" t="str">
        <f>IFERROR(__xludf.DUMMYFUNCTION("""COMPUTED_VALUE"""),"")</f>
        <v/>
      </c>
      <c r="G2093" s="44" t="str">
        <f>IFERROR(__xludf.DUMMYFUNCTION("""COMPUTED_VALUE""")," ")</f>
        <v> </v>
      </c>
      <c r="H2093" s="44" t="str">
        <f>IFERROR(__xludf.DUMMYFUNCTION("""COMPUTED_VALUE""")," ")</f>
        <v> </v>
      </c>
      <c r="I2093" s="44" t="str">
        <f>IFERROR(__xludf.DUMMYFUNCTION("""COMPUTED_VALUE"""),"Internado")</f>
        <v>Internado</v>
      </c>
      <c r="J2093" s="44" t="str">
        <f>IFERROR(__xludf.DUMMYFUNCTION("""COMPUTED_VALUE"""),"25/06/2026")</f>
        <v>25/06/2026</v>
      </c>
      <c r="K2093" s="42" t="str">
        <f>IFERROR(__xludf.DUMMYFUNCTION("""COMPUTED_VALUE"""),"Hospital Pérez Carreño")</f>
        <v>Hospital Pérez Carreño</v>
      </c>
    </row>
    <row r="2094">
      <c r="A2094" s="44">
        <v>2093.0</v>
      </c>
      <c r="B2094" s="44" t="str">
        <f>IFERROR(__xludf.DUMMYFUNCTION("""COMPUTED_VALUE"""),"Clínica El Ávila")</f>
        <v>Clínica El Ávila</v>
      </c>
      <c r="C2094" s="45" t="str">
        <f>IFERROR(__xludf.DUMMYFUNCTION("""COMPUTED_VALUE"""),"GONZALEZ MORAIMA")</f>
        <v>GONZALEZ MORAIMA</v>
      </c>
      <c r="D2094" s="44" t="str">
        <f>IFERROR(__xludf.DUMMYFUNCTION("""COMPUTED_VALUE""")," ")</f>
        <v> </v>
      </c>
      <c r="E2094" s="44" t="str">
        <f>IFERROR(__xludf.DUMMYFUNCTION("""COMPUTED_VALUE"""),"")</f>
        <v/>
      </c>
      <c r="F2094" s="44" t="str">
        <f>IFERROR(__xludf.DUMMYFUNCTION("""COMPUTED_VALUE"""),"")</f>
        <v/>
      </c>
      <c r="G2094" s="44" t="str">
        <f>IFERROR(__xludf.DUMMYFUNCTION("""COMPUTED_VALUE""")," ")</f>
        <v> </v>
      </c>
      <c r="H2094" s="44" t="str">
        <f>IFERROR(__xludf.DUMMYFUNCTION("""COMPUTED_VALUE""")," ")</f>
        <v> </v>
      </c>
      <c r="I2094" s="44" t="str">
        <f>IFERROR(__xludf.DUMMYFUNCTION("""COMPUTED_VALUE""")," ")</f>
        <v> </v>
      </c>
      <c r="J2094" s="44" t="str">
        <f>IFERROR(__xludf.DUMMYFUNCTION("""COMPUTED_VALUE"""),"")</f>
        <v/>
      </c>
      <c r="K2094" s="42" t="str">
        <f>IFERROR(__xludf.DUMMYFUNCTION("""COMPUTED_VALUE"""),"Clínica El Ávila")</f>
        <v>Clínica El Ávila</v>
      </c>
    </row>
    <row r="2095">
      <c r="A2095" s="44">
        <v>2094.0</v>
      </c>
      <c r="B2095" s="44" t="str">
        <f>IFERROR(__xludf.DUMMYFUNCTION("""COMPUTED_VALUE"""),"Hospital Pérez Carreño")</f>
        <v>Hospital Pérez Carreño</v>
      </c>
      <c r="C2095" s="45" t="str">
        <f>IFERROR(__xludf.DUMMYFUNCTION("""COMPUTED_VALUE"""),"GONZALEZ NYERLYS")</f>
        <v>GONZALEZ NYERLYS</v>
      </c>
      <c r="D2095" s="44">
        <f>IFERROR(__xludf.DUMMYFUNCTION("""COMPUTED_VALUE"""),37.0)</f>
        <v>37</v>
      </c>
      <c r="E2095" s="44" t="str">
        <f>IFERROR(__xludf.DUMMYFUNCTION("""COMPUTED_VALUE"""),"")</f>
        <v/>
      </c>
      <c r="F2095" s="44" t="str">
        <f>IFERROR(__xludf.DUMMYFUNCTION("""COMPUTED_VALUE"""),"")</f>
        <v/>
      </c>
      <c r="G2095" s="44" t="str">
        <f>IFERROR(__xludf.DUMMYFUNCTION("""COMPUTED_VALUE""")," ")</f>
        <v> </v>
      </c>
      <c r="H2095" s="44" t="str">
        <f>IFERROR(__xludf.DUMMYFUNCTION("""COMPUTED_VALUE""")," ")</f>
        <v> </v>
      </c>
      <c r="I2095" s="44" t="str">
        <f>IFERROR(__xludf.DUMMYFUNCTION("""COMPUTED_VALUE""")," ")</f>
        <v> </v>
      </c>
      <c r="J2095" s="44" t="str">
        <f>IFERROR(__xludf.DUMMYFUNCTION("""COMPUTED_VALUE"""),"25/06/2026")</f>
        <v>25/06/2026</v>
      </c>
      <c r="K2095" s="42" t="str">
        <f>IFERROR(__xludf.DUMMYFUNCTION("""COMPUTED_VALUE"""),"Hospital Pérez Carreño")</f>
        <v>Hospital Pérez Carreño</v>
      </c>
    </row>
    <row r="2096">
      <c r="A2096" s="44">
        <v>2095.0</v>
      </c>
      <c r="B2096" s="44" t="str">
        <f>IFERROR(__xludf.DUMMYFUNCTION("""COMPUTED_VALUE"""),"Hospital Domingo Luciani")</f>
        <v>Hospital Domingo Luciani</v>
      </c>
      <c r="C2096" s="45" t="str">
        <f>IFERROR(__xludf.DUMMYFUNCTION("""COMPUTED_VALUE"""),"GONZALEZ OLGA")</f>
        <v>GONZALEZ OLGA</v>
      </c>
      <c r="D2096" s="44">
        <f>IFERROR(__xludf.DUMMYFUNCTION("""COMPUTED_VALUE"""),63.0)</f>
        <v>63</v>
      </c>
      <c r="E2096" s="44" t="str">
        <f>IFERROR(__xludf.DUMMYFUNCTION("""COMPUTED_VALUE"""),"")</f>
        <v/>
      </c>
      <c r="F2096" s="44" t="str">
        <f>IFERROR(__xludf.DUMMYFUNCTION("""COMPUTED_VALUE"""),"")</f>
        <v/>
      </c>
      <c r="G2096" s="44" t="str">
        <f>IFERROR(__xludf.DUMMYFUNCTION("""COMPUTED_VALUE""")," ")</f>
        <v> </v>
      </c>
      <c r="H2096" s="44" t="str">
        <f>IFERROR(__xludf.DUMMYFUNCTION("""COMPUTED_VALUE""")," ")</f>
        <v> </v>
      </c>
      <c r="I2096" s="44" t="str">
        <f>IFERROR(__xludf.DUMMYFUNCTION("""COMPUTED_VALUE""")," ")</f>
        <v> </v>
      </c>
      <c r="J2096" s="44" t="str">
        <f>IFERROR(__xludf.DUMMYFUNCTION("""COMPUTED_VALUE"""),"")</f>
        <v/>
      </c>
      <c r="K2096" s="42" t="str">
        <f>IFERROR(__xludf.DUMMYFUNCTION("""COMPUTED_VALUE"""),"🔍 BUSCAR PACIENTES")</f>
        <v>🔍 BUSCAR PACIENTES</v>
      </c>
    </row>
    <row r="2097">
      <c r="A2097" s="44">
        <v>2096.0</v>
      </c>
      <c r="B2097" s="44" t="str">
        <f>IFERROR(__xludf.DUMMYFUNCTION("""COMPUTED_VALUE"""),"Centro de Acopio Caraballeda")</f>
        <v>Centro de Acopio Caraballeda</v>
      </c>
      <c r="C2097" s="45" t="str">
        <f>IFERROR(__xludf.DUMMYFUNCTION("""COMPUTED_VALUE"""),"GONZALEZ OSCAR")</f>
        <v>GONZALEZ OSCAR</v>
      </c>
      <c r="D2097" s="44" t="str">
        <f>IFERROR(__xludf.DUMMYFUNCTION("""COMPUTED_VALUE""")," ")</f>
        <v> </v>
      </c>
      <c r="E2097" s="44" t="str">
        <f>IFERROR(__xludf.DUMMYFUNCTION("""COMPUTED_VALUE"""),"")</f>
        <v/>
      </c>
      <c r="F2097" s="44" t="str">
        <f>IFERROR(__xludf.DUMMYFUNCTION("""COMPUTED_VALUE"""),"")</f>
        <v/>
      </c>
      <c r="G2097" s="44" t="str">
        <f>IFERROR(__xludf.DUMMYFUNCTION("""COMPUTED_VALUE""")," ")</f>
        <v> </v>
      </c>
      <c r="H2097" s="44" t="str">
        <f>IFERROR(__xludf.DUMMYFUNCTION("""COMPUTED_VALUE""")," ")</f>
        <v> </v>
      </c>
      <c r="I2097" s="44" t="str">
        <f>IFERROR(__xludf.DUMMYFUNCTION("""COMPUTED_VALUE"""),"Internado")</f>
        <v>Internado</v>
      </c>
      <c r="J2097" s="44" t="str">
        <f>IFERROR(__xludf.DUMMYFUNCTION("""COMPUTED_VALUE"""),"")</f>
        <v/>
      </c>
      <c r="K2097" s="42" t="str">
        <f>IFERROR(__xludf.DUMMYFUNCTION("""COMPUTED_VALUE"""),"🔍 BUSCAR PACIENTES")</f>
        <v>🔍 BUSCAR PACIENTES</v>
      </c>
    </row>
    <row r="2098">
      <c r="A2098" s="44">
        <v>2097.0</v>
      </c>
      <c r="B2098" s="44" t="str">
        <f>IFERROR(__xludf.DUMMYFUNCTION("""COMPUTED_VALUE"""),"Hospital Pérez Carreño")</f>
        <v>Hospital Pérez Carreño</v>
      </c>
      <c r="C2098" s="45" t="str">
        <f>IFERROR(__xludf.DUMMYFUNCTION("""COMPUTED_VALUE"""),"Gonzalez Perez Valofia Oriana")</f>
        <v>Gonzalez Perez Valofia Oriana</v>
      </c>
      <c r="D2098" s="44"/>
      <c r="E2098" s="44" t="str">
        <f>IFERROR(__xludf.DUMMYFUNCTION("""COMPUTED_VALUE"""),"")</f>
        <v/>
      </c>
      <c r="F2098" s="44" t="str">
        <f>IFERROR(__xludf.DUMMYFUNCTION("""COMPUTED_VALUE"""),"")</f>
        <v/>
      </c>
      <c r="G2098" s="44" t="str">
        <f>IFERROR(__xludf.DUMMYFUNCTION("""COMPUTED_VALUE"""),"Traslados")</f>
        <v>Traslados</v>
      </c>
      <c r="H2098" s="44" t="str">
        <f>IFERROR(__xludf.DUMMYFUNCTION("""COMPUTED_VALUE"""),"Hospital Miguel Perez Carreño")</f>
        <v>Hospital Miguel Perez Carreño</v>
      </c>
      <c r="I2098" s="44"/>
      <c r="J2098" s="44" t="str">
        <f>IFERROR(__xludf.DUMMYFUNCTION("""COMPUTED_VALUE"""),"26/6/26")</f>
        <v>26/6/26</v>
      </c>
      <c r="K2098" s="42" t="str">
        <f>IFERROR(__xludf.DUMMYFUNCTION("""COMPUTED_VALUE"""),"Hospital Pérez Carreño")</f>
        <v>Hospital Pérez Carreño</v>
      </c>
    </row>
    <row r="2099">
      <c r="A2099" s="44">
        <v>2098.0</v>
      </c>
      <c r="B2099" s="44" t="str">
        <f>IFERROR(__xludf.DUMMYFUNCTION("""COMPUTED_VALUE"""),"Hospital Domingo Luciani")</f>
        <v>Hospital Domingo Luciani</v>
      </c>
      <c r="C2099" s="45" t="str">
        <f>IFERROR(__xludf.DUMMYFUNCTION("""COMPUTED_VALUE"""),"GONZALEZ RAFAEL")</f>
        <v>GONZALEZ RAFAEL</v>
      </c>
      <c r="D2099" s="44">
        <f>IFERROR(__xludf.DUMMYFUNCTION("""COMPUTED_VALUE"""),39.0)</f>
        <v>39</v>
      </c>
      <c r="E2099" s="44" t="str">
        <f>IFERROR(__xludf.DUMMYFUNCTION("""COMPUTED_VALUE"""),"")</f>
        <v/>
      </c>
      <c r="F2099" s="44" t="str">
        <f>IFERROR(__xludf.DUMMYFUNCTION("""COMPUTED_VALUE"""),"")</f>
        <v/>
      </c>
      <c r="G2099" s="44" t="str">
        <f>IFERROR(__xludf.DUMMYFUNCTION("""COMPUTED_VALUE""")," ")</f>
        <v> </v>
      </c>
      <c r="H2099" s="44" t="str">
        <f>IFERROR(__xludf.DUMMYFUNCTION("""COMPUTED_VALUE""")," ")</f>
        <v> </v>
      </c>
      <c r="I2099" s="44" t="str">
        <f>IFERROR(__xludf.DUMMYFUNCTION("""COMPUTED_VALUE""")," ")</f>
        <v> </v>
      </c>
      <c r="J2099" s="44" t="str">
        <f>IFERROR(__xludf.DUMMYFUNCTION("""COMPUTED_VALUE"""),"")</f>
        <v/>
      </c>
      <c r="K2099" s="42" t="str">
        <f>IFERROR(__xludf.DUMMYFUNCTION("""COMPUTED_VALUE"""),"🔍 BUSCAR PACIENTES")</f>
        <v>🔍 BUSCAR PACIENTES</v>
      </c>
    </row>
    <row r="2100">
      <c r="A2100" s="44">
        <v>2099.0</v>
      </c>
      <c r="B2100" s="44" t="str">
        <f>IFERROR(__xludf.DUMMYFUNCTION("""COMPUTED_VALUE"""),"Centro de Acopio Caraballeda")</f>
        <v>Centro de Acopio Caraballeda</v>
      </c>
      <c r="C2100" s="45" t="str">
        <f>IFERROR(__xludf.DUMMYFUNCTION("""COMPUTED_VALUE"""),"GONZALEZ RAIZA")</f>
        <v>GONZALEZ RAIZA</v>
      </c>
      <c r="D2100" s="44" t="str">
        <f>IFERROR(__xludf.DUMMYFUNCTION("""COMPUTED_VALUE""")," ")</f>
        <v> </v>
      </c>
      <c r="E2100" s="44" t="str">
        <f>IFERROR(__xludf.DUMMYFUNCTION("""COMPUTED_VALUE"""),"")</f>
        <v/>
      </c>
      <c r="F2100" s="44" t="str">
        <f>IFERROR(__xludf.DUMMYFUNCTION("""COMPUTED_VALUE"""),"")</f>
        <v/>
      </c>
      <c r="G2100" s="44" t="str">
        <f>IFERROR(__xludf.DUMMYFUNCTION("""COMPUTED_VALUE""")," ")</f>
        <v> </v>
      </c>
      <c r="H2100" s="44" t="str">
        <f>IFERROR(__xludf.DUMMYFUNCTION("""COMPUTED_VALUE""")," ")</f>
        <v> </v>
      </c>
      <c r="I2100" s="44" t="str">
        <f>IFERROR(__xludf.DUMMYFUNCTION("""COMPUTED_VALUE"""),"Internado")</f>
        <v>Internado</v>
      </c>
      <c r="J2100" s="44" t="str">
        <f>IFERROR(__xludf.DUMMYFUNCTION("""COMPUTED_VALUE"""),"")</f>
        <v/>
      </c>
      <c r="K2100" s="42" t="str">
        <f>IFERROR(__xludf.DUMMYFUNCTION("""COMPUTED_VALUE"""),"🔍 BUSCAR PACIENTES")</f>
        <v>🔍 BUSCAR PACIENTES</v>
      </c>
    </row>
    <row r="2101">
      <c r="A2101" s="44">
        <v>2100.0</v>
      </c>
      <c r="B2101" s="44" t="str">
        <f>IFERROR(__xludf.DUMMYFUNCTION("""COMPUTED_VALUE"""),"Centro de Acopio Caraballeda")</f>
        <v>Centro de Acopio Caraballeda</v>
      </c>
      <c r="C2101" s="45" t="str">
        <f>IFERROR(__xludf.DUMMYFUNCTION("""COMPUTED_VALUE"""),"GONZALEZ RICHARD")</f>
        <v>GONZALEZ RICHARD</v>
      </c>
      <c r="D2101" s="44" t="str">
        <f>IFERROR(__xludf.DUMMYFUNCTION("""COMPUTED_VALUE""")," ")</f>
        <v> </v>
      </c>
      <c r="E2101" s="44" t="str">
        <f>IFERROR(__xludf.DUMMYFUNCTION("""COMPUTED_VALUE"""),"")</f>
        <v/>
      </c>
      <c r="F2101" s="44" t="str">
        <f>IFERROR(__xludf.DUMMYFUNCTION("""COMPUTED_VALUE"""),"")</f>
        <v/>
      </c>
      <c r="G2101" s="44" t="str">
        <f>IFERROR(__xludf.DUMMYFUNCTION("""COMPUTED_VALUE""")," ")</f>
        <v> </v>
      </c>
      <c r="H2101" s="44" t="str">
        <f>IFERROR(__xludf.DUMMYFUNCTION("""COMPUTED_VALUE""")," ")</f>
        <v> </v>
      </c>
      <c r="I2101" s="44" t="str">
        <f>IFERROR(__xludf.DUMMYFUNCTION("""COMPUTED_VALUE"""),"Internado")</f>
        <v>Internado</v>
      </c>
      <c r="J2101" s="44" t="str">
        <f>IFERROR(__xludf.DUMMYFUNCTION("""COMPUTED_VALUE"""),"")</f>
        <v/>
      </c>
      <c r="K2101" s="42" t="str">
        <f>IFERROR(__xludf.DUMMYFUNCTION("""COMPUTED_VALUE"""),"🔍 BUSCAR PACIENTES")</f>
        <v>🔍 BUSCAR PACIENTES</v>
      </c>
    </row>
    <row r="2102">
      <c r="A2102" s="44">
        <v>2101.0</v>
      </c>
      <c r="B2102" s="44" t="str">
        <f>IFERROR(__xludf.DUMMYFUNCTION("""COMPUTED_VALUE"""),"H. Jose Maria Vargas LG")</f>
        <v>H. Jose Maria Vargas LG</v>
      </c>
      <c r="C2102" s="45" t="str">
        <f>IFERROR(__xludf.DUMMYFUNCTION("""COMPUTED_VALUE"""),"GONZALEZ SEBASTIAM")</f>
        <v>GONZALEZ SEBASTIAM</v>
      </c>
      <c r="D2102" s="44" t="str">
        <f>IFERROR(__xludf.DUMMYFUNCTION("""COMPUTED_VALUE""")," ")</f>
        <v> </v>
      </c>
      <c r="E2102" s="44" t="str">
        <f>IFERROR(__xludf.DUMMYFUNCTION("""COMPUTED_VALUE"""),"")</f>
        <v/>
      </c>
      <c r="F2102" s="44" t="str">
        <f>IFERROR(__xludf.DUMMYFUNCTION("""COMPUTED_VALUE"""),"")</f>
        <v/>
      </c>
      <c r="G2102" s="44" t="str">
        <f>IFERROR(__xludf.DUMMYFUNCTION("""COMPUTED_VALUE""")," ")</f>
        <v> </v>
      </c>
      <c r="H2102" s="44" t="str">
        <f>IFERROR(__xludf.DUMMYFUNCTION("""COMPUTED_VALUE""")," ")</f>
        <v> </v>
      </c>
      <c r="I2102" s="44" t="str">
        <f>IFERROR(__xludf.DUMMYFUNCTION("""COMPUTED_VALUE""")," ")</f>
        <v> </v>
      </c>
      <c r="J2102" s="44" t="str">
        <f>IFERROR(__xludf.DUMMYFUNCTION("""COMPUTED_VALUE"""),"")</f>
        <v/>
      </c>
      <c r="K2102" s="42" t="str">
        <f>IFERROR(__xludf.DUMMYFUNCTION("""COMPUTED_VALUE"""),"H. Jose Maria Vargas LG")</f>
        <v>H. Jose Maria Vargas LG</v>
      </c>
    </row>
    <row r="2103">
      <c r="A2103" s="44">
        <v>2102.0</v>
      </c>
      <c r="B2103" s="44" t="str">
        <f>IFERROR(__xludf.DUMMYFUNCTION("""COMPUTED_VALUE"""),"Clínica El Ávila")</f>
        <v>Clínica El Ávila</v>
      </c>
      <c r="C2103" s="45" t="str">
        <f>IFERROR(__xludf.DUMMYFUNCTION("""COMPUTED_VALUE"""),"GONZALEZ SOFIA")</f>
        <v>GONZALEZ SOFIA</v>
      </c>
      <c r="D2103" s="44" t="str">
        <f>IFERROR(__xludf.DUMMYFUNCTION("""COMPUTED_VALUE""")," ")</f>
        <v> </v>
      </c>
      <c r="E2103" s="44" t="str">
        <f>IFERROR(__xludf.DUMMYFUNCTION("""COMPUTED_VALUE"""),"")</f>
        <v/>
      </c>
      <c r="F2103" s="44" t="str">
        <f>IFERROR(__xludf.DUMMYFUNCTION("""COMPUTED_VALUE"""),"")</f>
        <v/>
      </c>
      <c r="G2103" s="44" t="str">
        <f>IFERROR(__xludf.DUMMYFUNCTION("""COMPUTED_VALUE""")," ")</f>
        <v> </v>
      </c>
      <c r="H2103" s="44" t="str">
        <f>IFERROR(__xludf.DUMMYFUNCTION("""COMPUTED_VALUE""")," ")</f>
        <v> </v>
      </c>
      <c r="I2103" s="44" t="str">
        <f>IFERROR(__xludf.DUMMYFUNCTION("""COMPUTED_VALUE""")," ")</f>
        <v> </v>
      </c>
      <c r="J2103" s="44" t="str">
        <f>IFERROR(__xludf.DUMMYFUNCTION("""COMPUTED_VALUE"""),"")</f>
        <v/>
      </c>
      <c r="K2103" s="42" t="str">
        <f>IFERROR(__xludf.DUMMYFUNCTION("""COMPUTED_VALUE"""),"Clínica El Ávila")</f>
        <v>Clínica El Ávila</v>
      </c>
    </row>
    <row r="2104">
      <c r="A2104" s="44">
        <v>2103.0</v>
      </c>
      <c r="B2104" s="44" t="str">
        <f>IFERROR(__xludf.DUMMYFUNCTION("""COMPUTED_VALUE"""),"Hospital Domingo Luciani")</f>
        <v>Hospital Domingo Luciani</v>
      </c>
      <c r="C2104" s="45" t="str">
        <f>IFERROR(__xludf.DUMMYFUNCTION("""COMPUTED_VALUE"""),"GONZALEZ STEPHANY")</f>
        <v>GONZALEZ STEPHANY</v>
      </c>
      <c r="D2104" s="44">
        <f>IFERROR(__xludf.DUMMYFUNCTION("""COMPUTED_VALUE"""),22.0)</f>
        <v>22</v>
      </c>
      <c r="E2104" s="44" t="str">
        <f>IFERROR(__xludf.DUMMYFUNCTION("""COMPUTED_VALUE"""),"")</f>
        <v/>
      </c>
      <c r="F2104" s="44" t="str">
        <f>IFERROR(__xludf.DUMMYFUNCTION("""COMPUTED_VALUE"""),"")</f>
        <v/>
      </c>
      <c r="G2104" s="44" t="str">
        <f>IFERROR(__xludf.DUMMYFUNCTION("""COMPUTED_VALUE""")," ")</f>
        <v> </v>
      </c>
      <c r="H2104" s="44" t="str">
        <f>IFERROR(__xludf.DUMMYFUNCTION("""COMPUTED_VALUE"""),"Caricuao")</f>
        <v>Caricuao</v>
      </c>
      <c r="I2104" s="44" t="str">
        <f>IFERROR(__xludf.DUMMYFUNCTION("""COMPUTED_VALUE""")," ")</f>
        <v> </v>
      </c>
      <c r="J2104" s="44" t="str">
        <f>IFERROR(__xludf.DUMMYFUNCTION("""COMPUTED_VALUE"""),"")</f>
        <v/>
      </c>
      <c r="K2104" s="42" t="str">
        <f>IFERROR(__xludf.DUMMYFUNCTION("""COMPUTED_VALUE"""),"🔍 BUSCAR PACIENTES")</f>
        <v>🔍 BUSCAR PACIENTES</v>
      </c>
    </row>
    <row r="2105">
      <c r="A2105" s="44">
        <v>2104.0</v>
      </c>
      <c r="B2105" s="44" t="str">
        <f>IFERROR(__xludf.DUMMYFUNCTION("""COMPUTED_VALUE"""),"Periférico de Catia")</f>
        <v>Periférico de Catia</v>
      </c>
      <c r="C2105" s="45" t="str">
        <f>IFERROR(__xludf.DUMMYFUNCTION("""COMPUTED_VALUE"""),"Gonzalez Sthephany")</f>
        <v>Gonzalez Sthephany</v>
      </c>
      <c r="D2105" s="44">
        <f>IFERROR(__xludf.DUMMYFUNCTION("""COMPUTED_VALUE"""),22.0)</f>
        <v>22</v>
      </c>
      <c r="E2105" s="44" t="str">
        <f>IFERROR(__xludf.DUMMYFUNCTION("""COMPUTED_VALUE"""),"")</f>
        <v/>
      </c>
      <c r="F2105" s="44" t="str">
        <f>IFERROR(__xludf.DUMMYFUNCTION("""COMPUTED_VALUE"""),"")</f>
        <v/>
      </c>
      <c r="G2105" s="44"/>
      <c r="H2105" s="44"/>
      <c r="I2105" s="44" t="str">
        <f>IFERROR(__xludf.DUMMYFUNCTION("""COMPUTED_VALUE"""),"Lista adicional (pizarra extensa sin titulo de sala especifico)")</f>
        <v>Lista adicional (pizarra extensa sin titulo de sala especifico)</v>
      </c>
      <c r="J2105" s="44" t="str">
        <f>IFERROR(__xludf.DUMMYFUNCTION("""COMPUTED_VALUE"""),"")</f>
        <v/>
      </c>
      <c r="K2105" s="42" t="str">
        <f>IFERROR(__xludf.DUMMYFUNCTION("""COMPUTED_VALUE"""),"Periférico de Catia")</f>
        <v>Periférico de Catia</v>
      </c>
    </row>
    <row r="2106">
      <c r="A2106" s="44">
        <v>2105.0</v>
      </c>
      <c r="B2106" s="44" t="str">
        <f>IFERROR(__xludf.DUMMYFUNCTION("""COMPUTED_VALUE"""),"Hospital Domingo Luciani")</f>
        <v>Hospital Domingo Luciani</v>
      </c>
      <c r="C2106" s="45" t="str">
        <f>IFERROR(__xludf.DUMMYFUNCTION("""COMPUTED_VALUE"""),"GONZALEZ VALERI")</f>
        <v>GONZALEZ VALERI</v>
      </c>
      <c r="D2106" s="44">
        <f>IFERROR(__xludf.DUMMYFUNCTION("""COMPUTED_VALUE"""),10.0)</f>
        <v>10</v>
      </c>
      <c r="E2106" s="44" t="str">
        <f>IFERROR(__xludf.DUMMYFUNCTION("""COMPUTED_VALUE"""),"")</f>
        <v/>
      </c>
      <c r="F2106" s="44" t="str">
        <f>IFERROR(__xludf.DUMMYFUNCTION("""COMPUTED_VALUE"""),"")</f>
        <v/>
      </c>
      <c r="G2106" s="44" t="str">
        <f>IFERROR(__xludf.DUMMYFUNCTION("""COMPUTED_VALUE""")," ")</f>
        <v> </v>
      </c>
      <c r="H2106" s="44" t="str">
        <f>IFERROR(__xludf.DUMMYFUNCTION("""COMPUTED_VALUE""")," ")</f>
        <v> </v>
      </c>
      <c r="I2106" s="44" t="str">
        <f>IFERROR(__xludf.DUMMYFUNCTION("""COMPUTED_VALUE"""),"Pediatría")</f>
        <v>Pediatría</v>
      </c>
      <c r="J2106" s="44" t="str">
        <f>IFERROR(__xludf.DUMMYFUNCTION("""COMPUTED_VALUE"""),"")</f>
        <v/>
      </c>
      <c r="K2106" s="42" t="str">
        <f>IFERROR(__xludf.DUMMYFUNCTION("""COMPUTED_VALUE"""),"🔍 BUSCAR PACIENTES")</f>
        <v>🔍 BUSCAR PACIENTES</v>
      </c>
    </row>
    <row r="2107">
      <c r="A2107" s="44">
        <v>2106.0</v>
      </c>
      <c r="B2107" s="44" t="str">
        <f>IFERROR(__xludf.DUMMYFUNCTION("""COMPUTED_VALUE"""),"H. Jose Maria Vargas LG")</f>
        <v>H. Jose Maria Vargas LG</v>
      </c>
      <c r="C2107" s="45" t="str">
        <f>IFERROR(__xludf.DUMMYFUNCTION("""COMPUTED_VALUE"""),"GONZALEZ VALERIS")</f>
        <v>GONZALEZ VALERIS</v>
      </c>
      <c r="D2107" s="44">
        <f>IFERROR(__xludf.DUMMYFUNCTION("""COMPUTED_VALUE"""),10.0)</f>
        <v>10</v>
      </c>
      <c r="E2107" s="44" t="str">
        <f>IFERROR(__xludf.DUMMYFUNCTION("""COMPUTED_VALUE"""),"")</f>
        <v/>
      </c>
      <c r="F2107" s="44" t="str">
        <f>IFERROR(__xludf.DUMMYFUNCTION("""COMPUTED_VALUE"""),"")</f>
        <v/>
      </c>
      <c r="G2107" s="44" t="str">
        <f>IFERROR(__xludf.DUMMYFUNCTION("""COMPUTED_VALUE""")," ")</f>
        <v> </v>
      </c>
      <c r="H2107" s="44" t="str">
        <f>IFERROR(__xludf.DUMMYFUNCTION("""COMPUTED_VALUE"""),"Caribe")</f>
        <v>Caribe</v>
      </c>
      <c r="I2107" s="44" t="str">
        <f>IFERROR(__xludf.DUMMYFUNCTION("""COMPUTED_VALUE""")," ")</f>
        <v> </v>
      </c>
      <c r="J2107" s="44" t="str">
        <f>IFERROR(__xludf.DUMMYFUNCTION("""COMPUTED_VALUE"""),"")</f>
        <v/>
      </c>
      <c r="K2107" s="42" t="str">
        <f>IFERROR(__xludf.DUMMYFUNCTION("""COMPUTED_VALUE"""),"H. Jose Maria Vargas LG")</f>
        <v>H. Jose Maria Vargas LG</v>
      </c>
    </row>
    <row r="2108">
      <c r="A2108" s="44">
        <v>2107.0</v>
      </c>
      <c r="B2108" s="44" t="str">
        <f>IFERROR(__xludf.DUMMYFUNCTION("""COMPUTED_VALUE"""),"Hospital Vargas de Caracas")</f>
        <v>Hospital Vargas de Caracas</v>
      </c>
      <c r="C2108" s="45" t="str">
        <f>IFERROR(__xludf.DUMMYFUNCTION("""COMPUTED_VALUE"""),"GONZALEZ VANESA")</f>
        <v>GONZALEZ VANESA</v>
      </c>
      <c r="D2108" s="44" t="str">
        <f>IFERROR(__xludf.DUMMYFUNCTION("""COMPUTED_VALUE""")," ")</f>
        <v> </v>
      </c>
      <c r="E2108" s="44" t="str">
        <f>IFERROR(__xludf.DUMMYFUNCTION("""COMPUTED_VALUE"""),"")</f>
        <v/>
      </c>
      <c r="F2108" s="44" t="str">
        <f>IFERROR(__xludf.DUMMYFUNCTION("""COMPUTED_VALUE""")," ")</f>
        <v> </v>
      </c>
      <c r="G2108" s="44" t="str">
        <f>IFERROR(__xludf.DUMMYFUNCTION("""COMPUTED_VALUE"""),"")</f>
        <v/>
      </c>
      <c r="H2108" s="44" t="str">
        <f>IFERROR(__xludf.DUMMYFUNCTION("""COMPUTED_VALUE""")," ")</f>
        <v> </v>
      </c>
      <c r="I2108" s="44" t="str">
        <f>IFERROR(__xludf.DUMMYFUNCTION("""COMPUTED_VALUE""")," ")</f>
        <v> </v>
      </c>
      <c r="J2108" s="44" t="str">
        <f>IFERROR(__xludf.DUMMYFUNCTION("""COMPUTED_VALUE"""),"")</f>
        <v/>
      </c>
      <c r="K2108" s="42" t="str">
        <f>IFERROR(__xludf.DUMMYFUNCTION("""COMPUTED_VALUE"""),"Hospital Vargas de Caracas")</f>
        <v>Hospital Vargas de Caracas</v>
      </c>
    </row>
    <row r="2109">
      <c r="A2109" s="44">
        <v>2108.0</v>
      </c>
      <c r="B2109" s="44" t="str">
        <f>IFERROR(__xludf.DUMMYFUNCTION("""COMPUTED_VALUE"""),"Hospital Pérez Carreño")</f>
        <v>Hospital Pérez Carreño</v>
      </c>
      <c r="C2109" s="45" t="str">
        <f>IFERROR(__xludf.DUMMYFUNCTION("""COMPUTED_VALUE"""),"GONZALEZ VELASQUEZ FABIAN MAURICIO")</f>
        <v>GONZALEZ VELASQUEZ FABIAN MAURICIO</v>
      </c>
      <c r="D2109" s="44" t="str">
        <f>IFERROR(__xludf.DUMMYFUNCTION("""COMPUTED_VALUE""")," ")</f>
        <v> </v>
      </c>
      <c r="E2109" s="44" t="str">
        <f>IFERROR(__xludf.DUMMYFUNCTION("""COMPUTED_VALUE"""),"")</f>
        <v/>
      </c>
      <c r="F2109" s="44" t="str">
        <f>IFERROR(__xludf.DUMMYFUNCTION("""COMPUTED_VALUE"""),"")</f>
        <v/>
      </c>
      <c r="G2109" s="44" t="str">
        <f>IFERROR(__xludf.DUMMYFUNCTION("""COMPUTED_VALUE""")," ")</f>
        <v> </v>
      </c>
      <c r="H2109" s="44" t="str">
        <f>IFERROR(__xludf.DUMMYFUNCTION("""COMPUTED_VALUE""")," ")</f>
        <v> </v>
      </c>
      <c r="I2109" s="44" t="str">
        <f>IFERROR(__xludf.DUMMYFUNCTION("""COMPUTED_VALUE"""),"Internado")</f>
        <v>Internado</v>
      </c>
      <c r="J2109" s="44" t="str">
        <f>IFERROR(__xludf.DUMMYFUNCTION("""COMPUTED_VALUE"""),"25/06/2026")</f>
        <v>25/06/2026</v>
      </c>
      <c r="K2109" s="42" t="str">
        <f>IFERROR(__xludf.DUMMYFUNCTION("""COMPUTED_VALUE"""),"Hospital Pérez Carreño")</f>
        <v>Hospital Pérez Carreño</v>
      </c>
    </row>
    <row r="2110">
      <c r="A2110" s="44">
        <v>2109.0</v>
      </c>
      <c r="B2110" s="44" t="str">
        <f>IFERROR(__xludf.DUMMYFUNCTION("""COMPUTED_VALUE"""),"La Guaira Sin Hospital")</f>
        <v>La Guaira Sin Hospital</v>
      </c>
      <c r="C2110" s="45" t="str">
        <f>IFERROR(__xludf.DUMMYFUNCTION("""COMPUTED_VALUE"""),"Gonzalez Veronica Luisa")</f>
        <v>Gonzalez Veronica Luisa</v>
      </c>
      <c r="D2110" s="44" t="str">
        <f>IFERROR(__xludf.DUMMYFUNCTION("""COMPUTED_VALUE"""),"")</f>
        <v/>
      </c>
      <c r="E2110" s="44" t="str">
        <f>IFERROR(__xludf.DUMMYFUNCTION("""COMPUTED_VALUE"""),"")</f>
        <v/>
      </c>
      <c r="F2110" s="44" t="str">
        <f>IFERROR(__xludf.DUMMYFUNCTION("""COMPUTED_VALUE"""),"")</f>
        <v/>
      </c>
      <c r="G2110" s="44" t="str">
        <f>IFERROR(__xludf.DUMMYFUNCTION("""COMPUTED_VALUE"""),"")</f>
        <v/>
      </c>
      <c r="H2110" s="44" t="str">
        <f>IFERROR(__xludf.DUMMYFUNCTION("""COMPUTED_VALUE"""),"La Guaira Costa La Mar")</f>
        <v>La Guaira Costa La Mar</v>
      </c>
      <c r="I2110" s="44" t="str">
        <f>IFERROR(__xludf.DUMMYFUNCTION("""COMPUTED_VALUE"""),"Listas con ubicación")</f>
        <v>Listas con ubicación</v>
      </c>
      <c r="J2110" s="44" t="str">
        <f>IFERROR(__xludf.DUMMYFUNCTION("""COMPUTED_VALUE"""),"")</f>
        <v/>
      </c>
      <c r="K2110" s="42" t="str">
        <f>IFERROR(__xludf.DUMMYFUNCTION("""COMPUTED_VALUE"""),"La Guaira Sin Hospital")</f>
        <v>La Guaira Sin Hospital</v>
      </c>
    </row>
    <row r="2111">
      <c r="A2111" s="44">
        <v>2110.0</v>
      </c>
      <c r="B2111" s="44" t="str">
        <f>IFERROR(__xludf.DUMMYFUNCTION("""COMPUTED_VALUE"""),"H. Jose Maria Vargas LG")</f>
        <v>H. Jose Maria Vargas LG</v>
      </c>
      <c r="C2111" s="45" t="str">
        <f>IFERROR(__xludf.DUMMYFUNCTION("""COMPUTED_VALUE"""),"GONZALEZ VICTORIA")</f>
        <v>GONZALEZ VICTORIA</v>
      </c>
      <c r="D2111" s="44">
        <f>IFERROR(__xludf.DUMMYFUNCTION("""COMPUTED_VALUE"""),3.0)</f>
        <v>3</v>
      </c>
      <c r="E2111" s="44" t="str">
        <f>IFERROR(__xludf.DUMMYFUNCTION("""COMPUTED_VALUE"""),"")</f>
        <v/>
      </c>
      <c r="F2111" s="44" t="str">
        <f>IFERROR(__xludf.DUMMYFUNCTION("""COMPUTED_VALUE"""),"")</f>
        <v/>
      </c>
      <c r="G2111" s="44" t="str">
        <f>IFERROR(__xludf.DUMMYFUNCTION("""COMPUTED_VALUE""")," ")</f>
        <v> </v>
      </c>
      <c r="H2111" s="44" t="str">
        <f>IFERROR(__xludf.DUMMYFUNCTION("""COMPUTED_VALUE"""),"Caribe")</f>
        <v>Caribe</v>
      </c>
      <c r="I2111" s="44" t="str">
        <f>IFERROR(__xludf.DUMMYFUNCTION("""COMPUTED_VALUE""")," ")</f>
        <v> </v>
      </c>
      <c r="J2111" s="44" t="str">
        <f>IFERROR(__xludf.DUMMYFUNCTION("""COMPUTED_VALUE"""),"")</f>
        <v/>
      </c>
      <c r="K2111" s="42" t="str">
        <f>IFERROR(__xludf.DUMMYFUNCTION("""COMPUTED_VALUE"""),"H. Jose Maria Vargas LG")</f>
        <v>H. Jose Maria Vargas LG</v>
      </c>
    </row>
    <row r="2112">
      <c r="A2112" s="44">
        <v>2111.0</v>
      </c>
      <c r="B2112" s="44" t="str">
        <f>IFERROR(__xludf.DUMMYFUNCTION("""COMPUTED_VALUE"""),"Hospital Domingo Luciani")</f>
        <v>Hospital Domingo Luciani</v>
      </c>
      <c r="C2112" s="45" t="str">
        <f>IFERROR(__xludf.DUMMYFUNCTION("""COMPUTED_VALUE"""),"GONZALEZ YAILIN")</f>
        <v>GONZALEZ YAILIN</v>
      </c>
      <c r="D2112" s="44">
        <f>IFERROR(__xludf.DUMMYFUNCTION("""COMPUTED_VALUE"""),26.0)</f>
        <v>26</v>
      </c>
      <c r="E2112" s="44" t="str">
        <f>IFERROR(__xludf.DUMMYFUNCTION("""COMPUTED_VALUE"""),"")</f>
        <v/>
      </c>
      <c r="F2112" s="44" t="str">
        <f>IFERROR(__xludf.DUMMYFUNCTION("""COMPUTED_VALUE"""),"")</f>
        <v/>
      </c>
      <c r="G2112" s="44" t="str">
        <f>IFERROR(__xludf.DUMMYFUNCTION("""COMPUTED_VALUE""")," ")</f>
        <v> </v>
      </c>
      <c r="H2112" s="44" t="str">
        <f>IFERROR(__xludf.DUMMYFUNCTION("""COMPUTED_VALUE"""),"La Guaira")</f>
        <v>La Guaira</v>
      </c>
      <c r="I2112" s="44" t="str">
        <f>IFERROR(__xludf.DUMMYFUNCTION("""COMPUTED_VALUE"""),"Ingresos 6am-9:20pm")</f>
        <v>Ingresos 6am-9:20pm</v>
      </c>
      <c r="J2112" s="44" t="str">
        <f>IFERROR(__xludf.DUMMYFUNCTION("""COMPUTED_VALUE"""),"")</f>
        <v/>
      </c>
      <c r="K2112" s="42" t="str">
        <f>IFERROR(__xludf.DUMMYFUNCTION("""COMPUTED_VALUE"""),"🔍 BUSCAR PACIENTES")</f>
        <v>🔍 BUSCAR PACIENTES</v>
      </c>
    </row>
    <row r="2113">
      <c r="A2113" s="44">
        <v>2112.0</v>
      </c>
      <c r="B2113" s="44" t="str">
        <f>IFERROR(__xludf.DUMMYFUNCTION("""COMPUTED_VALUE"""),"Periférico de Catia")</f>
        <v>Periférico de Catia</v>
      </c>
      <c r="C2113" s="45" t="str">
        <f>IFERROR(__xludf.DUMMYFUNCTION("""COMPUTED_VALUE"""),"Gonzalez Yailyn")</f>
        <v>Gonzalez Yailyn</v>
      </c>
      <c r="D2113" s="44">
        <f>IFERROR(__xludf.DUMMYFUNCTION("""COMPUTED_VALUE"""),26.0)</f>
        <v>26</v>
      </c>
      <c r="E2113" s="44" t="str">
        <f>IFERROR(__xludf.DUMMYFUNCTION("""COMPUTED_VALUE"""),"")</f>
        <v/>
      </c>
      <c r="F2113" s="44" t="str">
        <f>IFERROR(__xludf.DUMMYFUNCTION("""COMPUTED_VALUE"""),"")</f>
        <v/>
      </c>
      <c r="G2113" s="44"/>
      <c r="H2113" s="44"/>
      <c r="I2113" s="44" t="str">
        <f>IFERROR(__xludf.DUMMYFUNCTION("""COMPUTED_VALUE"""),"Politrauma Emerg. Nueva (version anterior)")</f>
        <v>Politrauma Emerg. Nueva (version anterior)</v>
      </c>
      <c r="J2113" s="44" t="str">
        <f>IFERROR(__xludf.DUMMYFUNCTION("""COMPUTED_VALUE"""),"")</f>
        <v/>
      </c>
      <c r="K2113" s="42" t="str">
        <f>IFERROR(__xludf.DUMMYFUNCTION("""COMPUTED_VALUE"""),"Periférico de Catia")</f>
        <v>Periférico de Catia</v>
      </c>
    </row>
    <row r="2114">
      <c r="A2114" s="44">
        <v>2113.0</v>
      </c>
      <c r="B2114" s="44" t="str">
        <f>IFERROR(__xludf.DUMMYFUNCTION("""COMPUTED_VALUE"""),"Hospital Domingo Luciani")</f>
        <v>Hospital Domingo Luciani</v>
      </c>
      <c r="C2114" s="45" t="str">
        <f>IFERROR(__xludf.DUMMYFUNCTION("""COMPUTED_VALUE"""),"GONZALEZ YAILYN / GONZALEZ YAILIN")</f>
        <v>GONZALEZ YAILYN / GONZALEZ YAILIN</v>
      </c>
      <c r="D2114" s="44">
        <f>IFERROR(__xludf.DUMMYFUNCTION("""COMPUTED_VALUE"""),26.0)</f>
        <v>26</v>
      </c>
      <c r="E2114" s="44" t="str">
        <f>IFERROR(__xludf.DUMMYFUNCTION("""COMPUTED_VALUE"""),"")</f>
        <v/>
      </c>
      <c r="F2114" s="44" t="str">
        <f>IFERROR(__xludf.DUMMYFUNCTION("""COMPUTED_VALUE"""),"")</f>
        <v/>
      </c>
      <c r="G2114" s="44" t="str">
        <f>IFERROR(__xludf.DUMMYFUNCTION("""COMPUTED_VALUE""")," ")</f>
        <v> </v>
      </c>
      <c r="H2114" s="44" t="str">
        <f>IFERROR(__xludf.DUMMYFUNCTION("""COMPUTED_VALUE""")," ")</f>
        <v> </v>
      </c>
      <c r="I2114" s="44" t="str">
        <f>IFERROR(__xludf.DUMMYFUNCTION("""COMPUTED_VALUE"""),"Politrauma Emerg. Nueva")</f>
        <v>Politrauma Emerg. Nueva</v>
      </c>
      <c r="J2114" s="44" t="str">
        <f>IFERROR(__xludf.DUMMYFUNCTION("""COMPUTED_VALUE"""),"")</f>
        <v/>
      </c>
      <c r="K2114" s="42" t="str">
        <f>IFERROR(__xludf.DUMMYFUNCTION("""COMPUTED_VALUE"""),"🔍 BUSCAR PACIENTES")</f>
        <v>🔍 BUSCAR PACIENTES</v>
      </c>
    </row>
    <row r="2115">
      <c r="A2115" s="44">
        <v>2114.0</v>
      </c>
      <c r="B2115" s="44" t="str">
        <f>IFERROR(__xludf.DUMMYFUNCTION("""COMPUTED_VALUE"""),"Periférico de Catia")</f>
        <v>Periférico de Catia</v>
      </c>
      <c r="C2115" s="45" t="str">
        <f>IFERROR(__xludf.DUMMYFUNCTION("""COMPUTED_VALUE"""),"GONZALEZ YANESKA")</f>
        <v>GONZALEZ YANESKA</v>
      </c>
      <c r="D2115" s="44">
        <f>IFERROR(__xludf.DUMMYFUNCTION("""COMPUTED_VALUE"""),40.0)</f>
        <v>40</v>
      </c>
      <c r="E2115" s="44" t="str">
        <f>IFERROR(__xludf.DUMMYFUNCTION("""COMPUTED_VALUE"""),"")</f>
        <v/>
      </c>
      <c r="F2115" s="44" t="str">
        <f>IFERROR(__xludf.DUMMYFUNCTION("""COMPUTED_VALUE"""),"")</f>
        <v/>
      </c>
      <c r="G2115" s="44" t="str">
        <f>IFERROR(__xludf.DUMMYFUNCTION("""COMPUTED_VALUE""")," ")</f>
        <v> </v>
      </c>
      <c r="H2115" s="44" t="str">
        <f>IFERROR(__xludf.DUMMYFUNCTION("""COMPUTED_VALUE""")," ")</f>
        <v> </v>
      </c>
      <c r="I2115" s="44" t="str">
        <f>IFERROR(__xludf.DUMMYFUNCTION("""COMPUTED_VALUE"""),"Cirugía/Trauma – La Guaira")</f>
        <v>Cirugía/Trauma – La Guaira</v>
      </c>
      <c r="J2115" s="44" t="str">
        <f>IFERROR(__xludf.DUMMYFUNCTION("""COMPUTED_VALUE"""),"")</f>
        <v/>
      </c>
      <c r="K2115" s="42" t="str">
        <f>IFERROR(__xludf.DUMMYFUNCTION("""COMPUTED_VALUE"""),"Periférico de Catia")</f>
        <v>Periférico de Catia</v>
      </c>
    </row>
    <row r="2116">
      <c r="A2116" s="44">
        <v>2115.0</v>
      </c>
      <c r="B2116" s="44" t="str">
        <f>IFERROR(__xludf.DUMMYFUNCTION("""COMPUTED_VALUE"""),"Clínica El Ávila")</f>
        <v>Clínica El Ávila</v>
      </c>
      <c r="C2116" s="45" t="str">
        <f>IFERROR(__xludf.DUMMYFUNCTION("""COMPUTED_VALUE"""),"GONZALEZ YOANI")</f>
        <v>GONZALEZ YOANI</v>
      </c>
      <c r="D2116" s="44" t="str">
        <f>IFERROR(__xludf.DUMMYFUNCTION("""COMPUTED_VALUE""")," ")</f>
        <v> </v>
      </c>
      <c r="E2116" s="44" t="str">
        <f>IFERROR(__xludf.DUMMYFUNCTION("""COMPUTED_VALUE"""),"")</f>
        <v/>
      </c>
      <c r="F2116" s="44" t="str">
        <f>IFERROR(__xludf.DUMMYFUNCTION("""COMPUTED_VALUE"""),"")</f>
        <v/>
      </c>
      <c r="G2116" s="44" t="str">
        <f>IFERROR(__xludf.DUMMYFUNCTION("""COMPUTED_VALUE""")," ")</f>
        <v> </v>
      </c>
      <c r="H2116" s="44" t="str">
        <f>IFERROR(__xludf.DUMMYFUNCTION("""COMPUTED_VALUE""")," ")</f>
        <v> </v>
      </c>
      <c r="I2116" s="44" t="str">
        <f>IFERROR(__xludf.DUMMYFUNCTION("""COMPUTED_VALUE""")," ")</f>
        <v> </v>
      </c>
      <c r="J2116" s="44" t="str">
        <f>IFERROR(__xludf.DUMMYFUNCTION("""COMPUTED_VALUE"""),"")</f>
        <v/>
      </c>
      <c r="K2116" s="42" t="str">
        <f>IFERROR(__xludf.DUMMYFUNCTION("""COMPUTED_VALUE"""),"Clínica El Ávila")</f>
        <v>Clínica El Ávila</v>
      </c>
    </row>
    <row r="2117">
      <c r="A2117" s="44">
        <v>2116.0</v>
      </c>
      <c r="B2117" s="44" t="str">
        <f>IFERROR(__xludf.DUMMYFUNCTION("""COMPUTED_VALUE"""),"Hospital Domingo Luciani")</f>
        <v>Hospital Domingo Luciani</v>
      </c>
      <c r="C2117" s="45" t="str">
        <f>IFERROR(__xludf.DUMMYFUNCTION("""COMPUTED_VALUE"""),"GONZALEZ YOLANDA")</f>
        <v>GONZALEZ YOLANDA</v>
      </c>
      <c r="D2117" s="44" t="str">
        <f>IFERROR(__xludf.DUMMYFUNCTION("""COMPUTED_VALUE""")," ")</f>
        <v> </v>
      </c>
      <c r="E2117" s="44" t="str">
        <f>IFERROR(__xludf.DUMMYFUNCTION("""COMPUTED_VALUE"""),"")</f>
        <v/>
      </c>
      <c r="F2117" s="44" t="str">
        <f>IFERROR(__xludf.DUMMYFUNCTION("""COMPUTED_VALUE"""),"")</f>
        <v/>
      </c>
      <c r="G2117" s="44" t="str">
        <f>IFERROR(__xludf.DUMMYFUNCTION("""COMPUTED_VALUE""")," ")</f>
        <v> </v>
      </c>
      <c r="H2117" s="44" t="str">
        <f>IFERROR(__xludf.DUMMYFUNCTION("""COMPUTED_VALUE""")," ")</f>
        <v> </v>
      </c>
      <c r="I2117" s="44" t="str">
        <f>IFERROR(__xludf.DUMMYFUNCTION("""COMPUTED_VALUE"""),"Internado; Alta")</f>
        <v>Internado; Alta</v>
      </c>
      <c r="J2117" s="44" t="str">
        <f>IFERROR(__xludf.DUMMYFUNCTION("""COMPUTED_VALUE"""),"")</f>
        <v/>
      </c>
      <c r="K2117" s="42" t="str">
        <f>IFERROR(__xludf.DUMMYFUNCTION("""COMPUTED_VALUE"""),"🔍 BUSCAR PACIENTES")</f>
        <v>🔍 BUSCAR PACIENTES</v>
      </c>
    </row>
    <row r="2118">
      <c r="A2118" s="44">
        <v>2117.0</v>
      </c>
      <c r="B2118" s="44" t="str">
        <f>IFERROR(__xludf.DUMMYFUNCTION("""COMPUTED_VALUE"""),"Hospital Pérez Carreño")</f>
        <v>Hospital Pérez Carreño</v>
      </c>
      <c r="C2118" s="45" t="str">
        <f>IFERROR(__xludf.DUMMYFUNCTION("""COMPUTED_VALUE"""),"Gonzalo Luisa Veronica")</f>
        <v>Gonzalo Luisa Veronica</v>
      </c>
      <c r="D2118" s="44"/>
      <c r="E2118" s="44" t="str">
        <f>IFERROR(__xludf.DUMMYFUNCTION("""COMPUTED_VALUE"""),"")</f>
        <v/>
      </c>
      <c r="F2118" s="44" t="str">
        <f>IFERROR(__xludf.DUMMYFUNCTION("""COMPUTED_VALUE"""),"")</f>
        <v/>
      </c>
      <c r="G2118" s="44" t="str">
        <f>IFERROR(__xludf.DUMMYFUNCTION("""COMPUTED_VALUE"""),"Traslados con destino asignado")</f>
        <v>Traslados con destino asignado</v>
      </c>
      <c r="H2118" s="44" t="str">
        <f>IFERROR(__xludf.DUMMYFUNCTION("""COMPUTED_VALUE"""),"Hospital Miguel Perez Carreño")</f>
        <v>Hospital Miguel Perez Carreño</v>
      </c>
      <c r="I2118" s="44"/>
      <c r="J2118" s="44" t="str">
        <f>IFERROR(__xludf.DUMMYFUNCTION("""COMPUTED_VALUE"""),"26/6/26")</f>
        <v>26/6/26</v>
      </c>
      <c r="K2118" s="42" t="str">
        <f>IFERROR(__xludf.DUMMYFUNCTION("""COMPUTED_VALUE"""),"Hospital Pérez Carreño")</f>
        <v>Hospital Pérez Carreño</v>
      </c>
    </row>
    <row r="2119">
      <c r="A2119" s="44">
        <v>2118.0</v>
      </c>
      <c r="B2119" s="44" t="str">
        <f>IFERROR(__xludf.DUMMYFUNCTION("""COMPUTED_VALUE"""),"Periférico de Catia")</f>
        <v>Periférico de Catia</v>
      </c>
      <c r="C2119" s="45" t="str">
        <f>IFERROR(__xludf.DUMMYFUNCTION("""COMPUTED_VALUE"""),"GORDOFON GONZALEZ")</f>
        <v>GORDOFON GONZALEZ</v>
      </c>
      <c r="D2119" s="44" t="str">
        <f>IFERROR(__xludf.DUMMYFUNCTION("""COMPUTED_VALUE""")," ")</f>
        <v> </v>
      </c>
      <c r="E2119" s="44" t="str">
        <f>IFERROR(__xludf.DUMMYFUNCTION("""COMPUTED_VALUE"""),"")</f>
        <v/>
      </c>
      <c r="F2119" s="44" t="str">
        <f>IFERROR(__xludf.DUMMYFUNCTION("""COMPUTED_VALUE"""),"")</f>
        <v/>
      </c>
      <c r="G2119" s="44" t="str">
        <f>IFERROR(__xludf.DUMMYFUNCTION("""COMPUTED_VALUE""")," ")</f>
        <v> </v>
      </c>
      <c r="H2119" s="44" t="str">
        <f>IFERROR(__xludf.DUMMYFUNCTION("""COMPUTED_VALUE""")," ")</f>
        <v> </v>
      </c>
      <c r="I2119" s="44" t="str">
        <f>IFERROR(__xludf.DUMMYFUNCTION("""COMPUTED_VALUE""")," ")</f>
        <v> </v>
      </c>
      <c r="J2119" s="44" t="str">
        <f>IFERROR(__xludf.DUMMYFUNCTION("""COMPUTED_VALUE"""),"")</f>
        <v/>
      </c>
      <c r="K2119" s="42" t="str">
        <f>IFERROR(__xludf.DUMMYFUNCTION("""COMPUTED_VALUE"""),"Periférico de Catia")</f>
        <v>Periférico de Catia</v>
      </c>
    </row>
    <row r="2120">
      <c r="A2120" s="44">
        <v>2119.0</v>
      </c>
      <c r="B2120" s="44" t="str">
        <f>IFERROR(__xludf.DUMMYFUNCTION("""COMPUTED_VALUE"""),"Hospital Domingo Luciani")</f>
        <v>Hospital Domingo Luciani</v>
      </c>
      <c r="C2120" s="45" t="str">
        <f>IFERROR(__xludf.DUMMYFUNCTION("""COMPUTED_VALUE"""),"GORROS JULIA")</f>
        <v>GORROS JULIA</v>
      </c>
      <c r="D2120" s="44">
        <f>IFERROR(__xludf.DUMMYFUNCTION("""COMPUTED_VALUE"""),34.0)</f>
        <v>34</v>
      </c>
      <c r="E2120" s="44" t="str">
        <f>IFERROR(__xludf.DUMMYFUNCTION("""COMPUTED_VALUE"""),"")</f>
        <v/>
      </c>
      <c r="F2120" s="44" t="str">
        <f>IFERROR(__xludf.DUMMYFUNCTION("""COMPUTED_VALUE"""),"")</f>
        <v/>
      </c>
      <c r="G2120" s="44" t="str">
        <f>IFERROR(__xludf.DUMMYFUNCTION("""COMPUTED_VALUE""")," ")</f>
        <v> </v>
      </c>
      <c r="H2120" s="44" t="str">
        <f>IFERROR(__xludf.DUMMYFUNCTION("""COMPUTED_VALUE""")," ")</f>
        <v> </v>
      </c>
      <c r="I2120" s="44" t="str">
        <f>IFERROR(__xludf.DUMMYFUNCTION("""COMPUTED_VALUE"""),"La Guaira – Ingresos 9am")</f>
        <v>La Guaira – Ingresos 9am</v>
      </c>
      <c r="J2120" s="44" t="str">
        <f>IFERROR(__xludf.DUMMYFUNCTION("""COMPUTED_VALUE"""),"")</f>
        <v/>
      </c>
      <c r="K2120" s="42" t="str">
        <f>IFERROR(__xludf.DUMMYFUNCTION("""COMPUTED_VALUE"""),"🔍 BUSCAR PACIENTES")</f>
        <v>🔍 BUSCAR PACIENTES</v>
      </c>
    </row>
    <row r="2121">
      <c r="A2121" s="44">
        <v>2120.0</v>
      </c>
      <c r="B2121" s="44" t="str">
        <f>IFERROR(__xludf.DUMMYFUNCTION("""COMPUTED_VALUE"""),"Hospital Domingo Luciani")</f>
        <v>Hospital Domingo Luciani</v>
      </c>
      <c r="C2121" s="45" t="str">
        <f>IFERROR(__xludf.DUMMYFUNCTION("""COMPUTED_VALUE"""),"GOTTI JEAN")</f>
        <v>GOTTI JEAN</v>
      </c>
      <c r="D2121" s="44">
        <f>IFERROR(__xludf.DUMMYFUNCTION("""COMPUTED_VALUE"""),44.0)</f>
        <v>44</v>
      </c>
      <c r="E2121" s="44" t="str">
        <f>IFERROR(__xludf.DUMMYFUNCTION("""COMPUTED_VALUE"""),"")</f>
        <v/>
      </c>
      <c r="F2121" s="44" t="str">
        <f>IFERROR(__xludf.DUMMYFUNCTION("""COMPUTED_VALUE"""),"")</f>
        <v/>
      </c>
      <c r="G2121" s="44" t="str">
        <f>IFERROR(__xludf.DUMMYFUNCTION("""COMPUTED_VALUE""")," ")</f>
        <v> </v>
      </c>
      <c r="H2121" s="44" t="str">
        <f>IFERROR(__xludf.DUMMYFUNCTION("""COMPUTED_VALUE""")," ")</f>
        <v> </v>
      </c>
      <c r="I2121" s="44" t="str">
        <f>IFERROR(__xludf.DUMMYFUNCTION("""COMPUTED_VALUE"""),"La Guaira – Ingresos 9am")</f>
        <v>La Guaira – Ingresos 9am</v>
      </c>
      <c r="J2121" s="44" t="str">
        <f>IFERROR(__xludf.DUMMYFUNCTION("""COMPUTED_VALUE"""),"")</f>
        <v/>
      </c>
      <c r="K2121" s="42" t="str">
        <f>IFERROR(__xludf.DUMMYFUNCTION("""COMPUTED_VALUE"""),"🔍 BUSCAR PACIENTES")</f>
        <v>🔍 BUSCAR PACIENTES</v>
      </c>
    </row>
    <row r="2122">
      <c r="A2122" s="44">
        <v>2121.0</v>
      </c>
      <c r="B2122" s="44" t="str">
        <f>IFERROR(__xludf.DUMMYFUNCTION("""COMPUTED_VALUE"""),"Periférico de Catia")</f>
        <v>Periférico de Catia</v>
      </c>
      <c r="C2122" s="45" t="str">
        <f>IFERROR(__xludf.DUMMYFUNCTION("""COMPUTED_VALUE"""),"Goyo Rafael")</f>
        <v>Goyo Rafael</v>
      </c>
      <c r="D2122" s="44">
        <f>IFERROR(__xludf.DUMMYFUNCTION("""COMPUTED_VALUE"""),32.0)</f>
        <v>32</v>
      </c>
      <c r="E2122" s="44" t="str">
        <f>IFERROR(__xludf.DUMMYFUNCTION("""COMPUTED_VALUE"""),"")</f>
        <v/>
      </c>
      <c r="F2122" s="44" t="str">
        <f>IFERROR(__xludf.DUMMYFUNCTION("""COMPUTED_VALUE"""),"")</f>
        <v/>
      </c>
      <c r="G2122" s="44"/>
      <c r="H2122" s="44"/>
      <c r="I2122" s="44" t="str">
        <f>IFERROR(__xludf.DUMMYFUNCTION("""COMPUTED_VALUE"""),"Lista adicional (pizarra extensa sin titulo de sala especifico)")</f>
        <v>Lista adicional (pizarra extensa sin titulo de sala especifico)</v>
      </c>
      <c r="J2122" s="44" t="str">
        <f>IFERROR(__xludf.DUMMYFUNCTION("""COMPUTED_VALUE"""),"")</f>
        <v/>
      </c>
      <c r="K2122" s="42" t="str">
        <f>IFERROR(__xludf.DUMMYFUNCTION("""COMPUTED_VALUE"""),"Periférico de Catia")</f>
        <v>Periférico de Catia</v>
      </c>
    </row>
    <row r="2123">
      <c r="A2123" s="44">
        <v>2122.0</v>
      </c>
      <c r="B2123" s="44" t="str">
        <f>IFERROR(__xludf.DUMMYFUNCTION("""COMPUTED_VALUE"""),"La Guaira Sin Hospital")</f>
        <v>La Guaira Sin Hospital</v>
      </c>
      <c r="C2123" s="45" t="str">
        <f>IFERROR(__xludf.DUMMYFUNCTION("""COMPUTED_VALUE"""),"Grama Edward Alexander Rodriguez")</f>
        <v>Grama Edward Alexander Rodriguez</v>
      </c>
      <c r="D2123" s="44" t="str">
        <f>IFERROR(__xludf.DUMMYFUNCTION("""COMPUTED_VALUE"""),"")</f>
        <v/>
      </c>
      <c r="E2123" s="44" t="str">
        <f>IFERROR(__xludf.DUMMYFUNCTION("""COMPUTED_VALUE"""),"")</f>
        <v/>
      </c>
      <c r="F2123" s="44" t="str">
        <f>IFERROR(__xludf.DUMMYFUNCTION("""COMPUTED_VALUE"""),"")</f>
        <v/>
      </c>
      <c r="G2123" s="44" t="str">
        <f>IFERROR(__xludf.DUMMYFUNCTION("""COMPUTED_VALUE"""),"")</f>
        <v/>
      </c>
      <c r="H2123" s="44" t="str">
        <f>IFERROR(__xludf.DUMMYFUNCTION("""COMPUTED_VALUE"""),"Tanaguarenas")</f>
        <v>Tanaguarenas</v>
      </c>
      <c r="I2123" s="44" t="str">
        <f>IFERROR(__xludf.DUMMYFUNCTION("""COMPUTED_VALUE"""),"Listas con ubicación")</f>
        <v>Listas con ubicación</v>
      </c>
      <c r="J2123" s="44" t="str">
        <f>IFERROR(__xludf.DUMMYFUNCTION("""COMPUTED_VALUE"""),"")</f>
        <v/>
      </c>
      <c r="K2123" s="42" t="str">
        <f>IFERROR(__xludf.DUMMYFUNCTION("""COMPUTED_VALUE"""),"La Guaira Sin Hospital")</f>
        <v>La Guaira Sin Hospital</v>
      </c>
    </row>
    <row r="2124">
      <c r="A2124" s="44">
        <v>2123.0</v>
      </c>
      <c r="B2124" s="44" t="str">
        <f>IFERROR(__xludf.DUMMYFUNCTION("""COMPUTED_VALUE"""),"Hospital Pérez Carreño")</f>
        <v>Hospital Pérez Carreño</v>
      </c>
      <c r="C2124" s="45" t="str">
        <f>IFERROR(__xludf.DUMMYFUNCTION("""COMPUTED_VALUE"""),"GRAMA RODRIGUEZ EDUARD ALEXANDER")</f>
        <v>GRAMA RODRIGUEZ EDUARD ALEXANDER</v>
      </c>
      <c r="D2124" s="44" t="str">
        <f>IFERROR(__xludf.DUMMYFUNCTION("""COMPUTED_VALUE""")," ")</f>
        <v> </v>
      </c>
      <c r="E2124" s="44" t="str">
        <f>IFERROR(__xludf.DUMMYFUNCTION("""COMPUTED_VALUE"""),"")</f>
        <v/>
      </c>
      <c r="F2124" s="44" t="str">
        <f>IFERROR(__xludf.DUMMYFUNCTION("""COMPUTED_VALUE"""),"")</f>
        <v/>
      </c>
      <c r="G2124" s="44" t="str">
        <f>IFERROR(__xludf.DUMMYFUNCTION("""COMPUTED_VALUE""")," ")</f>
        <v> </v>
      </c>
      <c r="H2124" s="44" t="str">
        <f>IFERROR(__xludf.DUMMYFUNCTION("""COMPUTED_VALUE""")," ")</f>
        <v> </v>
      </c>
      <c r="I2124" s="44" t="str">
        <f>IFERROR(__xludf.DUMMYFUNCTION("""COMPUTED_VALUE"""),"Internado")</f>
        <v>Internado</v>
      </c>
      <c r="J2124" s="44" t="str">
        <f>IFERROR(__xludf.DUMMYFUNCTION("""COMPUTED_VALUE"""),"25/06/2026")</f>
        <v>25/06/2026</v>
      </c>
      <c r="K2124" s="42" t="str">
        <f>IFERROR(__xludf.DUMMYFUNCTION("""COMPUTED_VALUE"""),"Hospital Pérez Carreño")</f>
        <v>Hospital Pérez Carreño</v>
      </c>
    </row>
    <row r="2125">
      <c r="A2125" s="44">
        <v>2124.0</v>
      </c>
      <c r="B2125" s="44" t="str">
        <f>IFERROR(__xludf.DUMMYFUNCTION("""COMPUTED_VALUE"""),"Hospital Pérez Carreño")</f>
        <v>Hospital Pérez Carreño</v>
      </c>
      <c r="C2125" s="45" t="str">
        <f>IFERROR(__xludf.DUMMYFUNCTION("""COMPUTED_VALUE"""),"Granado Reator Cristel Naymar")</f>
        <v>Granado Reator Cristel Naymar</v>
      </c>
      <c r="D2125" s="44"/>
      <c r="E2125" s="44" t="str">
        <f>IFERROR(__xludf.DUMMYFUNCTION("""COMPUTED_VALUE"""),"")</f>
        <v/>
      </c>
      <c r="F2125" s="44" t="str">
        <f>IFERROR(__xludf.DUMMYFUNCTION("""COMPUTED_VALUE"""),"")</f>
        <v/>
      </c>
      <c r="G2125" s="44" t="str">
        <f>IFERROR(__xludf.DUMMYFUNCTION("""COMPUTED_VALUE"""),"Traslados")</f>
        <v>Traslados</v>
      </c>
      <c r="H2125" s="44" t="str">
        <f>IFERROR(__xludf.DUMMYFUNCTION("""COMPUTED_VALUE"""),"Hospital Miguel Perez Carreño")</f>
        <v>Hospital Miguel Perez Carreño</v>
      </c>
      <c r="I2125" s="44"/>
      <c r="J2125" s="44" t="str">
        <f>IFERROR(__xludf.DUMMYFUNCTION("""COMPUTED_VALUE"""),"26/6/26")</f>
        <v>26/6/26</v>
      </c>
      <c r="K2125" s="42" t="str">
        <f>IFERROR(__xludf.DUMMYFUNCTION("""COMPUTED_VALUE"""),"Hospital Pérez Carreño")</f>
        <v>Hospital Pérez Carreño</v>
      </c>
    </row>
    <row r="2126">
      <c r="A2126" s="44">
        <v>2125.0</v>
      </c>
      <c r="B2126" s="44" t="str">
        <f>IFERROR(__xludf.DUMMYFUNCTION("""COMPUTED_VALUE"""),"La Guaira Sin Hospital")</f>
        <v>La Guaira Sin Hospital</v>
      </c>
      <c r="C2126" s="45" t="str">
        <f>IFERROR(__xludf.DUMMYFUNCTION("""COMPUTED_VALUE"""),"Granados Rendon Crisbel Naymer")</f>
        <v>Granados Rendon Crisbel Naymer</v>
      </c>
      <c r="D2126" s="44" t="str">
        <f>IFERROR(__xludf.DUMMYFUNCTION("""COMPUTED_VALUE"""),"")</f>
        <v/>
      </c>
      <c r="E2126" s="44" t="str">
        <f>IFERROR(__xludf.DUMMYFUNCTION("""COMPUTED_VALUE"""),"")</f>
        <v/>
      </c>
      <c r="F2126" s="44" t="str">
        <f>IFERROR(__xludf.DUMMYFUNCTION("""COMPUTED_VALUE"""),"")</f>
        <v/>
      </c>
      <c r="G2126" s="44" t="str">
        <f>IFERROR(__xludf.DUMMYFUNCTION("""COMPUTED_VALUE"""),"")</f>
        <v/>
      </c>
      <c r="H2126" s="44"/>
      <c r="I2126" s="44" t="str">
        <f>IFERROR(__xludf.DUMMYFUNCTION("""COMPUTED_VALUE"""),"Listas solo con nombre")</f>
        <v>Listas solo con nombre</v>
      </c>
      <c r="J2126" s="44" t="str">
        <f>IFERROR(__xludf.DUMMYFUNCTION("""COMPUTED_VALUE"""),"")</f>
        <v/>
      </c>
      <c r="K2126" s="42" t="str">
        <f>IFERROR(__xludf.DUMMYFUNCTION("""COMPUTED_VALUE"""),"La Guaira Sin Hospital")</f>
        <v>La Guaira Sin Hospital</v>
      </c>
    </row>
    <row r="2127">
      <c r="A2127" s="44">
        <v>2126.0</v>
      </c>
      <c r="B2127" s="44" t="str">
        <f>IFERROR(__xludf.DUMMYFUNCTION("""COMPUTED_VALUE"""),"Hospital Pérez Carreño")</f>
        <v>Hospital Pérez Carreño</v>
      </c>
      <c r="C2127" s="45" t="str">
        <f>IFERROR(__xludf.DUMMYFUNCTION("""COMPUTED_VALUE"""),"Granpelo Felisstrino")</f>
        <v>Granpelo Felisstrino</v>
      </c>
      <c r="D2127" s="44"/>
      <c r="E2127" s="44" t="str">
        <f>IFERROR(__xludf.DUMMYFUNCTION("""COMPUTED_VALUE"""),"")</f>
        <v/>
      </c>
      <c r="F2127" s="44" t="str">
        <f>IFERROR(__xludf.DUMMYFUNCTION("""COMPUTED_VALUE"""),"")</f>
        <v/>
      </c>
      <c r="G2127" s="44" t="str">
        <f>IFERROR(__xludf.DUMMYFUNCTION("""COMPUTED_VALUE"""),"Traslados con destino asignado")</f>
        <v>Traslados con destino asignado</v>
      </c>
      <c r="H2127" s="44" t="str">
        <f>IFERROR(__xludf.DUMMYFUNCTION("""COMPUTED_VALUE"""),"Hospital Miguel Perez Carreño")</f>
        <v>Hospital Miguel Perez Carreño</v>
      </c>
      <c r="I2127" s="44"/>
      <c r="J2127" s="44" t="str">
        <f>IFERROR(__xludf.DUMMYFUNCTION("""COMPUTED_VALUE"""),"26/6/26")</f>
        <v>26/6/26</v>
      </c>
      <c r="K2127" s="42" t="str">
        <f>IFERROR(__xludf.DUMMYFUNCTION("""COMPUTED_VALUE"""),"Hospital Pérez Carreño")</f>
        <v>Hospital Pérez Carreño</v>
      </c>
    </row>
    <row r="2128">
      <c r="A2128" s="44">
        <v>2127.0</v>
      </c>
      <c r="B2128" s="44" t="str">
        <f>IFERROR(__xludf.DUMMYFUNCTION("""COMPUTED_VALUE"""),"Centro de Acopio Caraballeda")</f>
        <v>Centro de Acopio Caraballeda</v>
      </c>
      <c r="C2128" s="45" t="str">
        <f>IFERROR(__xludf.DUMMYFUNCTION("""COMPUTED_VALUE"""),"GRATEROL (MENOR) GARI")</f>
        <v>GRATEROL (MENOR) GARI</v>
      </c>
      <c r="D2128" s="44" t="str">
        <f>IFERROR(__xludf.DUMMYFUNCTION("""COMPUTED_VALUE""")," ")</f>
        <v> </v>
      </c>
      <c r="E2128" s="44" t="str">
        <f>IFERROR(__xludf.DUMMYFUNCTION("""COMPUTED_VALUE"""),"")</f>
        <v/>
      </c>
      <c r="F2128" s="44" t="str">
        <f>IFERROR(__xludf.DUMMYFUNCTION("""COMPUTED_VALUE"""),"")</f>
        <v/>
      </c>
      <c r="G2128" s="44" t="str">
        <f>IFERROR(__xludf.DUMMYFUNCTION("""COMPUTED_VALUE""")," ")</f>
        <v> </v>
      </c>
      <c r="H2128" s="44" t="str">
        <f>IFERROR(__xludf.DUMMYFUNCTION("""COMPUTED_VALUE""")," ")</f>
        <v> </v>
      </c>
      <c r="I2128" s="44" t="str">
        <f>IFERROR(__xludf.DUMMYFUNCTION("""COMPUTED_VALUE"""),"Internado")</f>
        <v>Internado</v>
      </c>
      <c r="J2128" s="44" t="str">
        <f>IFERROR(__xludf.DUMMYFUNCTION("""COMPUTED_VALUE"""),"")</f>
        <v/>
      </c>
      <c r="K2128" s="42" t="str">
        <f>IFERROR(__xludf.DUMMYFUNCTION("""COMPUTED_VALUE"""),"🔍 BUSCAR PACIENTES")</f>
        <v>🔍 BUSCAR PACIENTES</v>
      </c>
    </row>
    <row r="2129">
      <c r="A2129" s="44">
        <v>2128.0</v>
      </c>
      <c r="B2129" s="44" t="str">
        <f>IFERROR(__xludf.DUMMYFUNCTION("""COMPUTED_VALUE"""),"Centro de Acopio Caraballeda")</f>
        <v>Centro de Acopio Caraballeda</v>
      </c>
      <c r="C2129" s="45" t="str">
        <f>IFERROR(__xludf.DUMMYFUNCTION("""COMPUTED_VALUE"""),"GRATEROL (MENOR) NAOMI")</f>
        <v>GRATEROL (MENOR) NAOMI</v>
      </c>
      <c r="D2129" s="44" t="str">
        <f>IFERROR(__xludf.DUMMYFUNCTION("""COMPUTED_VALUE""")," ")</f>
        <v> </v>
      </c>
      <c r="E2129" s="44" t="str">
        <f>IFERROR(__xludf.DUMMYFUNCTION("""COMPUTED_VALUE"""),"")</f>
        <v/>
      </c>
      <c r="F2129" s="44" t="str">
        <f>IFERROR(__xludf.DUMMYFUNCTION("""COMPUTED_VALUE"""),"")</f>
        <v/>
      </c>
      <c r="G2129" s="44" t="str">
        <f>IFERROR(__xludf.DUMMYFUNCTION("""COMPUTED_VALUE""")," ")</f>
        <v> </v>
      </c>
      <c r="H2129" s="44" t="str">
        <f>IFERROR(__xludf.DUMMYFUNCTION("""COMPUTED_VALUE""")," ")</f>
        <v> </v>
      </c>
      <c r="I2129" s="44" t="str">
        <f>IFERROR(__xludf.DUMMYFUNCTION("""COMPUTED_VALUE"""),"Internado")</f>
        <v>Internado</v>
      </c>
      <c r="J2129" s="44" t="str">
        <f>IFERROR(__xludf.DUMMYFUNCTION("""COMPUTED_VALUE"""),"")</f>
        <v/>
      </c>
      <c r="K2129" s="42" t="str">
        <f>IFERROR(__xludf.DUMMYFUNCTION("""COMPUTED_VALUE"""),"🔍 BUSCAR PACIENTES")</f>
        <v>🔍 BUSCAR PACIENTES</v>
      </c>
    </row>
    <row r="2130">
      <c r="A2130" s="44">
        <v>2129.0</v>
      </c>
      <c r="B2130" s="44" t="str">
        <f>IFERROR(__xludf.DUMMYFUNCTION("""COMPUTED_VALUE"""),"Clínica El Ávila")</f>
        <v>Clínica El Ávila</v>
      </c>
      <c r="C2130" s="45" t="str">
        <f>IFERROR(__xludf.DUMMYFUNCTION("""COMPUTED_VALUE"""),"GRECIA GONZALEZ")</f>
        <v>GRECIA GONZALEZ</v>
      </c>
      <c r="D2130" s="44" t="str">
        <f>IFERROR(__xludf.DUMMYFUNCTION("""COMPUTED_VALUE""")," ")</f>
        <v> </v>
      </c>
      <c r="E2130" s="44" t="str">
        <f>IFERROR(__xludf.DUMMYFUNCTION("""COMPUTED_VALUE"""),"")</f>
        <v/>
      </c>
      <c r="F2130" s="44" t="str">
        <f>IFERROR(__xludf.DUMMYFUNCTION("""COMPUTED_VALUE"""),"")</f>
        <v/>
      </c>
      <c r="G2130" s="44" t="str">
        <f>IFERROR(__xludf.DUMMYFUNCTION("""COMPUTED_VALUE""")," ")</f>
        <v> </v>
      </c>
      <c r="H2130" s="44" t="str">
        <f>IFERROR(__xludf.DUMMYFUNCTION("""COMPUTED_VALUE""")," ")</f>
        <v> </v>
      </c>
      <c r="I2130" s="44" t="str">
        <f>IFERROR(__xludf.DUMMYFUNCTION("""COMPUTED_VALUE""")," ")</f>
        <v> </v>
      </c>
      <c r="J2130" s="44" t="str">
        <f>IFERROR(__xludf.DUMMYFUNCTION("""COMPUTED_VALUE"""),"")</f>
        <v/>
      </c>
      <c r="K2130" s="42" t="str">
        <f>IFERROR(__xludf.DUMMYFUNCTION("""COMPUTED_VALUE"""),"Clínica El Ávila")</f>
        <v>Clínica El Ávila</v>
      </c>
    </row>
    <row r="2131">
      <c r="A2131" s="44">
        <v>2130.0</v>
      </c>
      <c r="B2131" s="44" t="str">
        <f>IFERROR(__xludf.DUMMYFUNCTION("""COMPUTED_VALUE"""),"Hospital Pérez Carreño")</f>
        <v>Hospital Pérez Carreño</v>
      </c>
      <c r="C2131" s="45" t="str">
        <f>IFERROR(__xludf.DUMMYFUNCTION("""COMPUTED_VALUE"""),"Greco Romaro Asly Danirse")</f>
        <v>Greco Romaro Asly Danirse</v>
      </c>
      <c r="D2131" s="44"/>
      <c r="E2131" s="44" t="str">
        <f>IFERROR(__xludf.DUMMYFUNCTION("""COMPUTED_VALUE"""),"")</f>
        <v/>
      </c>
      <c r="F2131" s="44" t="str">
        <f>IFERROR(__xludf.DUMMYFUNCTION("""COMPUTED_VALUE"""),"")</f>
        <v/>
      </c>
      <c r="G2131" s="44" t="str">
        <f>IFERROR(__xludf.DUMMYFUNCTION("""COMPUTED_VALUE"""),"Traslados con destino asignado")</f>
        <v>Traslados con destino asignado</v>
      </c>
      <c r="H2131" s="44" t="str">
        <f>IFERROR(__xludf.DUMMYFUNCTION("""COMPUTED_VALUE"""),"Hospital Miguel Perez Carreño")</f>
        <v>Hospital Miguel Perez Carreño</v>
      </c>
      <c r="I2131" s="44"/>
      <c r="J2131" s="44" t="str">
        <f>IFERROR(__xludf.DUMMYFUNCTION("""COMPUTED_VALUE"""),"26/6/26")</f>
        <v>26/6/26</v>
      </c>
      <c r="K2131" s="42" t="str">
        <f>IFERROR(__xludf.DUMMYFUNCTION("""COMPUTED_VALUE"""),"Hospital Pérez Carreño")</f>
        <v>Hospital Pérez Carreño</v>
      </c>
    </row>
    <row r="2132">
      <c r="A2132" s="44">
        <v>2131.0</v>
      </c>
      <c r="B2132" s="44" t="str">
        <f>IFERROR(__xludf.DUMMYFUNCTION("""COMPUTED_VALUE"""),"Periférico de Catia")</f>
        <v>Periférico de Catia</v>
      </c>
      <c r="C2132" s="45" t="str">
        <f>IFERROR(__xludf.DUMMYFUNCTION("""COMPUTED_VALUE"""),"GREYSI OROPOZA")</f>
        <v>GREYSI OROPOZA</v>
      </c>
      <c r="D2132" s="44">
        <f>IFERROR(__xludf.DUMMYFUNCTION("""COMPUTED_VALUE"""),20.0)</f>
        <v>20</v>
      </c>
      <c r="E2132" s="44" t="str">
        <f>IFERROR(__xludf.DUMMYFUNCTION("""COMPUTED_VALUE"""),"")</f>
        <v/>
      </c>
      <c r="F2132" s="44" t="str">
        <f>IFERROR(__xludf.DUMMYFUNCTION("""COMPUTED_VALUE"""),"")</f>
        <v/>
      </c>
      <c r="G2132" s="44" t="str">
        <f>IFERROR(__xludf.DUMMYFUNCTION("""COMPUTED_VALUE""")," ")</f>
        <v> </v>
      </c>
      <c r="H2132" s="44" t="str">
        <f>IFERROR(__xludf.DUMMYFUNCTION("""COMPUTED_VALUE"""),"La Guaira detras")</f>
        <v>La Guaira detras</v>
      </c>
      <c r="I2132" s="44" t="str">
        <f>IFERROR(__xludf.DUMMYFUNCTION("""COMPUTED_VALUE"""),"TRM")</f>
        <v>TRM</v>
      </c>
      <c r="J2132" s="44" t="str">
        <f>IFERROR(__xludf.DUMMYFUNCTION("""COMPUTED_VALUE"""),"")</f>
        <v/>
      </c>
      <c r="K2132" s="42" t="str">
        <f>IFERROR(__xludf.DUMMYFUNCTION("""COMPUTED_VALUE"""),"Periférico de Catia")</f>
        <v>Periférico de Catia</v>
      </c>
    </row>
    <row r="2133">
      <c r="A2133" s="44">
        <v>2132.0</v>
      </c>
      <c r="B2133" s="44" t="str">
        <f>IFERROR(__xludf.DUMMYFUNCTION("""COMPUTED_VALUE"""),"H. Jose Maria Vargas LG")</f>
        <v>H. Jose Maria Vargas LG</v>
      </c>
      <c r="C2133" s="45" t="str">
        <f>IFERROR(__xludf.DUMMYFUNCTION("""COMPUTED_VALUE"""),"GUANIPA VICTOR")</f>
        <v>GUANIPA VICTOR</v>
      </c>
      <c r="D2133" s="44" t="str">
        <f>IFERROR(__xludf.DUMMYFUNCTION("""COMPUTED_VALUE""")," ")</f>
        <v> </v>
      </c>
      <c r="E2133" s="44" t="str">
        <f>IFERROR(__xludf.DUMMYFUNCTION("""COMPUTED_VALUE"""),"")</f>
        <v/>
      </c>
      <c r="F2133" s="44" t="str">
        <f>IFERROR(__xludf.DUMMYFUNCTION("""COMPUTED_VALUE"""),"")</f>
        <v/>
      </c>
      <c r="G2133" s="44" t="str">
        <f>IFERROR(__xludf.DUMMYFUNCTION("""COMPUTED_VALUE""")," ")</f>
        <v> </v>
      </c>
      <c r="H2133" s="44" t="str">
        <f>IFERROR(__xludf.DUMMYFUNCTION("""COMPUTED_VALUE"""),"Caribe")</f>
        <v>Caribe</v>
      </c>
      <c r="I2133" s="44" t="str">
        <f>IFERROR(__xludf.DUMMYFUNCTION("""COMPUTED_VALUE""")," ")</f>
        <v> </v>
      </c>
      <c r="J2133" s="44" t="str">
        <f>IFERROR(__xludf.DUMMYFUNCTION("""COMPUTED_VALUE"""),"")</f>
        <v/>
      </c>
      <c r="K2133" s="42" t="str">
        <f>IFERROR(__xludf.DUMMYFUNCTION("""COMPUTED_VALUE"""),"H. Jose Maria Vargas LG")</f>
        <v>H. Jose Maria Vargas LG</v>
      </c>
    </row>
    <row r="2134">
      <c r="A2134" s="44">
        <v>2133.0</v>
      </c>
      <c r="B2134" s="44" t="str">
        <f>IFERROR(__xludf.DUMMYFUNCTION("""COMPUTED_VALUE"""),"Periférico de Catia")</f>
        <v>Periférico de Catia</v>
      </c>
      <c r="C2134" s="45" t="str">
        <f>IFERROR(__xludf.DUMMYFUNCTION("""COMPUTED_VALUE"""),"Guapin Efren")</f>
        <v>Guapin Efren</v>
      </c>
      <c r="D2134" s="44">
        <f>IFERROR(__xludf.DUMMYFUNCTION("""COMPUTED_VALUE"""),30.0)</f>
        <v>30</v>
      </c>
      <c r="E2134" s="44" t="str">
        <f>IFERROR(__xludf.DUMMYFUNCTION("""COMPUTED_VALUE"""),"")</f>
        <v/>
      </c>
      <c r="F2134" s="44" t="str">
        <f>IFERROR(__xludf.DUMMYFUNCTION("""COMPUTED_VALUE"""),"")</f>
        <v/>
      </c>
      <c r="G2134" s="44"/>
      <c r="H2134" s="44"/>
      <c r="I2134" s="44" t="str">
        <f>IFERROR(__xludf.DUMMYFUNCTION("""COMPUTED_VALUE"""),"Lista adicional (pizarra extensa sin titulo de sala especifico) — P2 (Piso 2)")</f>
        <v>Lista adicional (pizarra extensa sin titulo de sala especifico) — P2 (Piso 2)</v>
      </c>
      <c r="J2134" s="44" t="str">
        <f>IFERROR(__xludf.DUMMYFUNCTION("""COMPUTED_VALUE"""),"")</f>
        <v/>
      </c>
      <c r="K2134" s="42" t="str">
        <f>IFERROR(__xludf.DUMMYFUNCTION("""COMPUTED_VALUE"""),"Periférico de Catia")</f>
        <v>Periférico de Catia</v>
      </c>
    </row>
    <row r="2135">
      <c r="A2135" s="44">
        <v>2134.0</v>
      </c>
      <c r="B2135" s="44" t="str">
        <f>IFERROR(__xludf.DUMMYFUNCTION("""COMPUTED_VALUE"""),"Hospital Domingo Luciani")</f>
        <v>Hospital Domingo Luciani</v>
      </c>
      <c r="C2135" s="45" t="str">
        <f>IFERROR(__xludf.DUMMYFUNCTION("""COMPUTED_VALUE"""),"GUAPINI EFREN")</f>
        <v>GUAPINI EFREN</v>
      </c>
      <c r="D2135" s="44">
        <f>IFERROR(__xludf.DUMMYFUNCTION("""COMPUTED_VALUE"""),30.0)</f>
        <v>30</v>
      </c>
      <c r="E2135" s="44" t="str">
        <f>IFERROR(__xludf.DUMMYFUNCTION("""COMPUTED_VALUE"""),"")</f>
        <v/>
      </c>
      <c r="F2135" s="44" t="str">
        <f>IFERROR(__xludf.DUMMYFUNCTION("""COMPUTED_VALUE"""),"")</f>
        <v/>
      </c>
      <c r="G2135" s="44" t="str">
        <f>IFERROR(__xludf.DUMMYFUNCTION("""COMPUTED_VALUE""")," ")</f>
        <v> </v>
      </c>
      <c r="H2135" s="44" t="str">
        <f>IFERROR(__xludf.DUMMYFUNCTION("""COMPUTED_VALUE""")," ")</f>
        <v> </v>
      </c>
      <c r="I2135" s="44" t="str">
        <f>IFERROR(__xludf.DUMMYFUNCTION("""COMPUTED_VALUE"""),"Piso 2")</f>
        <v>Piso 2</v>
      </c>
      <c r="J2135" s="44" t="str">
        <f>IFERROR(__xludf.DUMMYFUNCTION("""COMPUTED_VALUE"""),"")</f>
        <v/>
      </c>
      <c r="K2135" s="42" t="str">
        <f>IFERROR(__xludf.DUMMYFUNCTION("""COMPUTED_VALUE"""),"🔍 BUSCAR PACIENTES")</f>
        <v>🔍 BUSCAR PACIENTES</v>
      </c>
    </row>
    <row r="2136">
      <c r="A2136" s="44">
        <v>2135.0</v>
      </c>
      <c r="B2136" s="44" t="str">
        <f>IFERROR(__xludf.DUMMYFUNCTION("""COMPUTED_VALUE"""),"Centro de Acopio Caraballeda")</f>
        <v>Centro de Acopio Caraballeda</v>
      </c>
      <c r="C2136" s="45" t="str">
        <f>IFERROR(__xludf.DUMMYFUNCTION("""COMPUTED_VALUE"""),"GUARENAS ADOLFO")</f>
        <v>GUARENAS ADOLFO</v>
      </c>
      <c r="D2136" s="44" t="str">
        <f>IFERROR(__xludf.DUMMYFUNCTION("""COMPUTED_VALUE""")," ")</f>
        <v> </v>
      </c>
      <c r="E2136" s="44" t="str">
        <f>IFERROR(__xludf.DUMMYFUNCTION("""COMPUTED_VALUE"""),"")</f>
        <v/>
      </c>
      <c r="F2136" s="44" t="str">
        <f>IFERROR(__xludf.DUMMYFUNCTION("""COMPUTED_VALUE"""),"")</f>
        <v/>
      </c>
      <c r="G2136" s="44" t="str">
        <f>IFERROR(__xludf.DUMMYFUNCTION("""COMPUTED_VALUE""")," ")</f>
        <v> </v>
      </c>
      <c r="H2136" s="44" t="str">
        <f>IFERROR(__xludf.DUMMYFUNCTION("""COMPUTED_VALUE""")," ")</f>
        <v> </v>
      </c>
      <c r="I2136" s="44" t="str">
        <f>IFERROR(__xludf.DUMMYFUNCTION("""COMPUTED_VALUE"""),"Internado")</f>
        <v>Internado</v>
      </c>
      <c r="J2136" s="44" t="str">
        <f>IFERROR(__xludf.DUMMYFUNCTION("""COMPUTED_VALUE"""),"")</f>
        <v/>
      </c>
      <c r="K2136" s="42" t="str">
        <f>IFERROR(__xludf.DUMMYFUNCTION("""COMPUTED_VALUE"""),"🔍 BUSCAR PACIENTES")</f>
        <v>🔍 BUSCAR PACIENTES</v>
      </c>
    </row>
    <row r="2137">
      <c r="A2137" s="44">
        <v>2136.0</v>
      </c>
      <c r="B2137" s="44" t="str">
        <f>IFERROR(__xludf.DUMMYFUNCTION("""COMPUTED_VALUE"""),"Hospital Domingo Luciani")</f>
        <v>Hospital Domingo Luciani</v>
      </c>
      <c r="C2137" s="45" t="str">
        <f>IFERROR(__xludf.DUMMYFUNCTION("""COMPUTED_VALUE"""),"GUARINI PADRON EFREN")</f>
        <v>GUARINI PADRON EFREN</v>
      </c>
      <c r="D2137" s="44" t="str">
        <f>IFERROR(__xludf.DUMMYFUNCTION("""COMPUTED_VALUE""")," ")</f>
        <v> </v>
      </c>
      <c r="E2137" s="44" t="str">
        <f>IFERROR(__xludf.DUMMYFUNCTION("""COMPUTED_VALUE"""),"")</f>
        <v/>
      </c>
      <c r="F2137" s="44" t="str">
        <f>IFERROR(__xludf.DUMMYFUNCTION("""COMPUTED_VALUE"""),"")</f>
        <v/>
      </c>
      <c r="G2137" s="44" t="str">
        <f>IFERROR(__xludf.DUMMYFUNCTION("""COMPUTED_VALUE""")," ")</f>
        <v> </v>
      </c>
      <c r="H2137" s="44" t="str">
        <f>IFERROR(__xludf.DUMMYFUNCTION("""COMPUTED_VALUE""")," ")</f>
        <v> </v>
      </c>
      <c r="I2137" s="44" t="str">
        <f>IFERROR(__xludf.DUMMYFUNCTION("""COMPUTED_VALUE""")," ")</f>
        <v> </v>
      </c>
      <c r="J2137" s="44" t="str">
        <f>IFERROR(__xludf.DUMMYFUNCTION("""COMPUTED_VALUE"""),"")</f>
        <v/>
      </c>
      <c r="K2137" s="42" t="str">
        <f>IFERROR(__xludf.DUMMYFUNCTION("""COMPUTED_VALUE"""),"🔍 BUSCAR PACIENTES")</f>
        <v>🔍 BUSCAR PACIENTES</v>
      </c>
    </row>
    <row r="2138">
      <c r="A2138" s="44">
        <v>2137.0</v>
      </c>
      <c r="B2138" s="44" t="str">
        <f>IFERROR(__xludf.DUMMYFUNCTION("""COMPUTED_VALUE"""),"Hospital Pérez Carreño")</f>
        <v>Hospital Pérez Carreño</v>
      </c>
      <c r="C2138" s="45" t="str">
        <f>IFERROR(__xludf.DUMMYFUNCTION("""COMPUTED_VALUE"""),"Guarroro Willy")</f>
        <v>Guarroro Willy</v>
      </c>
      <c r="D2138" s="44"/>
      <c r="E2138" s="44" t="str">
        <f>IFERROR(__xludf.DUMMYFUNCTION("""COMPUTED_VALUE"""),"")</f>
        <v/>
      </c>
      <c r="F2138" s="44" t="str">
        <f>IFERROR(__xludf.DUMMYFUNCTION("""COMPUTED_VALUE"""),"")</f>
        <v/>
      </c>
      <c r="G2138" s="44" t="str">
        <f>IFERROR(__xludf.DUMMYFUNCTION("""COMPUTED_VALUE"""),"Traslados con destino asignado")</f>
        <v>Traslados con destino asignado</v>
      </c>
      <c r="H2138" s="44" t="str">
        <f>IFERROR(__xludf.DUMMYFUNCTION("""COMPUTED_VALUE"""),"Hospital Miguel Perez Carreño")</f>
        <v>Hospital Miguel Perez Carreño</v>
      </c>
      <c r="I2138" s="44"/>
      <c r="J2138" s="44" t="str">
        <f>IFERROR(__xludf.DUMMYFUNCTION("""COMPUTED_VALUE"""),"26/6/26")</f>
        <v>26/6/26</v>
      </c>
      <c r="K2138" s="42" t="str">
        <f>IFERROR(__xludf.DUMMYFUNCTION("""COMPUTED_VALUE"""),"Hospital Pérez Carreño")</f>
        <v>Hospital Pérez Carreño</v>
      </c>
    </row>
    <row r="2139">
      <c r="A2139" s="44">
        <v>2138.0</v>
      </c>
      <c r="B2139" s="44" t="str">
        <f>IFERROR(__xludf.DUMMYFUNCTION("""COMPUTED_VALUE"""),"Hospital Domingo Luciani")</f>
        <v>Hospital Domingo Luciani</v>
      </c>
      <c r="C2139" s="45" t="str">
        <f>IFERROR(__xludf.DUMMYFUNCTION("""COMPUTED_VALUE"""),"GUAVINI EFREN P.2")</f>
        <v>GUAVINI EFREN P.2</v>
      </c>
      <c r="D2139" s="44">
        <f>IFERROR(__xludf.DUMMYFUNCTION("""COMPUTED_VALUE"""),30.0)</f>
        <v>30</v>
      </c>
      <c r="E2139" s="44" t="str">
        <f>IFERROR(__xludf.DUMMYFUNCTION("""COMPUTED_VALUE"""),"")</f>
        <v/>
      </c>
      <c r="F2139" s="44" t="str">
        <f>IFERROR(__xludf.DUMMYFUNCTION("""COMPUTED_VALUE"""),"")</f>
        <v/>
      </c>
      <c r="G2139" s="44" t="str">
        <f>IFERROR(__xludf.DUMMYFUNCTION("""COMPUTED_VALUE""")," ")</f>
        <v> </v>
      </c>
      <c r="H2139" s="44" t="str">
        <f>IFERROR(__xludf.DUMMYFUNCTION("""COMPUTED_VALUE""")," ")</f>
        <v> </v>
      </c>
      <c r="I2139" s="44" t="str">
        <f>IFERROR(__xludf.DUMMYFUNCTION("""COMPUTED_VALUE""")," ")</f>
        <v> </v>
      </c>
      <c r="J2139" s="44" t="str">
        <f>IFERROR(__xludf.DUMMYFUNCTION("""COMPUTED_VALUE"""),"")</f>
        <v/>
      </c>
      <c r="K2139" s="42" t="str">
        <f>IFERROR(__xludf.DUMMYFUNCTION("""COMPUTED_VALUE"""),"🔍 BUSCAR PACIENTES")</f>
        <v>🔍 BUSCAR PACIENTES</v>
      </c>
    </row>
    <row r="2140">
      <c r="A2140" s="44">
        <v>2139.0</v>
      </c>
      <c r="B2140" s="44" t="str">
        <f>IFERROR(__xludf.DUMMYFUNCTION("""COMPUTED_VALUE"""),"Hospital Domingo Luciani")</f>
        <v>Hospital Domingo Luciani</v>
      </c>
      <c r="C2140" s="45" t="str">
        <f>IFERROR(__xludf.DUMMYFUNCTION("""COMPUTED_VALUE"""),"GUAVINI EFREN P.2 / GUAVINI PADRON EFREN / GUARIMBE EFREN")</f>
        <v>GUAVINI EFREN P.2 / GUAVINI PADRON EFREN / GUARIMBE EFREN</v>
      </c>
      <c r="D2140" s="44">
        <f>IFERROR(__xludf.DUMMYFUNCTION("""COMPUTED_VALUE"""),30.0)</f>
        <v>30</v>
      </c>
      <c r="E2140" s="44" t="str">
        <f>IFERROR(__xludf.DUMMYFUNCTION("""COMPUTED_VALUE"""),"")</f>
        <v/>
      </c>
      <c r="F2140" s="44" t="str">
        <f>IFERROR(__xludf.DUMMYFUNCTION("""COMPUTED_VALUE"""),"")</f>
        <v/>
      </c>
      <c r="G2140" s="44" t="str">
        <f>IFERROR(__xludf.DUMMYFUNCTION("""COMPUTED_VALUE""")," ")</f>
        <v> </v>
      </c>
      <c r="H2140" s="44" t="str">
        <f>IFERROR(__xludf.DUMMYFUNCTION("""COMPUTED_VALUE""")," ")</f>
        <v> </v>
      </c>
      <c r="I2140" s="44" t="str">
        <f>IFERROR(__xludf.DUMMYFUNCTION("""COMPUTED_VALUE""")," ")</f>
        <v> </v>
      </c>
      <c r="J2140" s="44" t="str">
        <f>IFERROR(__xludf.DUMMYFUNCTION("""COMPUTED_VALUE"""),"")</f>
        <v/>
      </c>
      <c r="K2140" s="42" t="str">
        <f>IFERROR(__xludf.DUMMYFUNCTION("""COMPUTED_VALUE"""),"🔍 BUSCAR PACIENTES")</f>
        <v>🔍 BUSCAR PACIENTES</v>
      </c>
    </row>
    <row r="2141">
      <c r="A2141" s="44">
        <v>2140.0</v>
      </c>
      <c r="B2141" s="44" t="str">
        <f>IFERROR(__xludf.DUMMYFUNCTION("""COMPUTED_VALUE"""),"H. Jose Maria Vargas LG")</f>
        <v>H. Jose Maria Vargas LG</v>
      </c>
      <c r="C2141" s="45" t="str">
        <f>IFERROR(__xludf.DUMMYFUNCTION("""COMPUTED_VALUE"""),"GUEDEZ AMARILY")</f>
        <v>GUEDEZ AMARILY</v>
      </c>
      <c r="D2141" s="44" t="str">
        <f>IFERROR(__xludf.DUMMYFUNCTION("""COMPUTED_VALUE""")," ")</f>
        <v> </v>
      </c>
      <c r="E2141" s="44" t="str">
        <f>IFERROR(__xludf.DUMMYFUNCTION("""COMPUTED_VALUE"""),"")</f>
        <v/>
      </c>
      <c r="F2141" s="44" t="str">
        <f>IFERROR(__xludf.DUMMYFUNCTION("""COMPUTED_VALUE"""),"")</f>
        <v/>
      </c>
      <c r="G2141" s="44" t="str">
        <f>IFERROR(__xludf.DUMMYFUNCTION("""COMPUTED_VALUE""")," ")</f>
        <v> </v>
      </c>
      <c r="H2141" s="44" t="str">
        <f>IFERROR(__xludf.DUMMYFUNCTION("""COMPUTED_VALUE""")," ")</f>
        <v> </v>
      </c>
      <c r="I2141" s="44" t="str">
        <f>IFERROR(__xludf.DUMMYFUNCTION("""COMPUTED_VALUE""")," ")</f>
        <v> </v>
      </c>
      <c r="J2141" s="44" t="str">
        <f>IFERROR(__xludf.DUMMYFUNCTION("""COMPUTED_VALUE"""),"")</f>
        <v/>
      </c>
      <c r="K2141" s="42" t="str">
        <f>IFERROR(__xludf.DUMMYFUNCTION("""COMPUTED_VALUE"""),"H. Jose Maria Vargas LG")</f>
        <v>H. Jose Maria Vargas LG</v>
      </c>
    </row>
    <row r="2142">
      <c r="A2142" s="44">
        <v>2141.0</v>
      </c>
      <c r="B2142" s="44" t="str">
        <f>IFERROR(__xludf.DUMMYFUNCTION("""COMPUTED_VALUE"""),"Hospital Vargas de Caracas")</f>
        <v>Hospital Vargas de Caracas</v>
      </c>
      <c r="C2142" s="45" t="str">
        <f>IFERROR(__xludf.DUMMYFUNCTION("""COMPUTED_VALUE"""),"GUERRA EVELIN")</f>
        <v>GUERRA EVELIN</v>
      </c>
      <c r="D2142" s="44" t="str">
        <f>IFERROR(__xludf.DUMMYFUNCTION("""COMPUTED_VALUE""")," ")</f>
        <v> </v>
      </c>
      <c r="E2142" s="44" t="str">
        <f>IFERROR(__xludf.DUMMYFUNCTION("""COMPUTED_VALUE"""),"")</f>
        <v/>
      </c>
      <c r="F2142" s="44" t="str">
        <f>IFERROR(__xludf.DUMMYFUNCTION("""COMPUTED_VALUE""")," ")</f>
        <v> </v>
      </c>
      <c r="G2142" s="44" t="str">
        <f>IFERROR(__xludf.DUMMYFUNCTION("""COMPUTED_VALUE"""),"")</f>
        <v/>
      </c>
      <c r="H2142" s="44" t="str">
        <f>IFERROR(__xludf.DUMMYFUNCTION("""COMPUTED_VALUE""")," ")</f>
        <v> </v>
      </c>
      <c r="I2142" s="44" t="str">
        <f>IFERROR(__xludf.DUMMYFUNCTION("""COMPUTED_VALUE""")," ")</f>
        <v> </v>
      </c>
      <c r="J2142" s="44" t="str">
        <f>IFERROR(__xludf.DUMMYFUNCTION("""COMPUTED_VALUE"""),"")</f>
        <v/>
      </c>
      <c r="K2142" s="42" t="str">
        <f>IFERROR(__xludf.DUMMYFUNCTION("""COMPUTED_VALUE"""),"Hospital Vargas de Caracas")</f>
        <v>Hospital Vargas de Caracas</v>
      </c>
    </row>
    <row r="2143">
      <c r="A2143" s="44">
        <v>2142.0</v>
      </c>
      <c r="B2143" s="44" t="str">
        <f>IFERROR(__xludf.DUMMYFUNCTION("""COMPUTED_VALUE"""),"H. Jose Maria Vargas LG")</f>
        <v>H. Jose Maria Vargas LG</v>
      </c>
      <c r="C2143" s="45" t="str">
        <f>IFERROR(__xludf.DUMMYFUNCTION("""COMPUTED_VALUE"""),"GUERRA EVELYN")</f>
        <v>GUERRA EVELYN</v>
      </c>
      <c r="D2143" s="44">
        <f>IFERROR(__xludf.DUMMYFUNCTION("""COMPUTED_VALUE"""),39.0)</f>
        <v>39</v>
      </c>
      <c r="E2143" s="44" t="str">
        <f>IFERROR(__xludf.DUMMYFUNCTION("""COMPUTED_VALUE"""),"")</f>
        <v/>
      </c>
      <c r="F2143" s="44" t="str">
        <f>IFERROR(__xludf.DUMMYFUNCTION("""COMPUTED_VALUE"""),"")</f>
        <v/>
      </c>
      <c r="G2143" s="44" t="str">
        <f>IFERROR(__xludf.DUMMYFUNCTION("""COMPUTED_VALUE""")," ")</f>
        <v> </v>
      </c>
      <c r="H2143" s="44" t="str">
        <f>IFERROR(__xludf.DUMMYFUNCTION("""COMPUTED_VALUE""")," ")</f>
        <v> </v>
      </c>
      <c r="I2143" s="44" t="str">
        <f>IFERROR(__xludf.DUMMYFUNCTION("""COMPUTED_VALUE"""),"Internado")</f>
        <v>Internado</v>
      </c>
      <c r="J2143" s="44" t="str">
        <f>IFERROR(__xludf.DUMMYFUNCTION("""COMPUTED_VALUE"""),"")</f>
        <v/>
      </c>
      <c r="K2143" s="42" t="str">
        <f>IFERROR(__xludf.DUMMYFUNCTION("""COMPUTED_VALUE"""),"H. Jose Maria Vargas LG")</f>
        <v>H. Jose Maria Vargas LG</v>
      </c>
    </row>
    <row r="2144">
      <c r="A2144" s="44">
        <v>2143.0</v>
      </c>
      <c r="B2144" s="44" t="str">
        <f>IFERROR(__xludf.DUMMYFUNCTION("""COMPUTED_VALUE"""),"H. Jose Maria Vargas LG")</f>
        <v>H. Jose Maria Vargas LG</v>
      </c>
      <c r="C2144" s="45" t="str">
        <f>IFERROR(__xludf.DUMMYFUNCTION("""COMPUTED_VALUE"""),"GUERRA JOSUE")</f>
        <v>GUERRA JOSUE</v>
      </c>
      <c r="D2144" s="44" t="str">
        <f>IFERROR(__xludf.DUMMYFUNCTION("""COMPUTED_VALUE""")," ")</f>
        <v> </v>
      </c>
      <c r="E2144" s="44" t="str">
        <f>IFERROR(__xludf.DUMMYFUNCTION("""COMPUTED_VALUE"""),"")</f>
        <v/>
      </c>
      <c r="F2144" s="44" t="str">
        <f>IFERROR(__xludf.DUMMYFUNCTION("""COMPUTED_VALUE"""),"")</f>
        <v/>
      </c>
      <c r="G2144" s="44" t="str">
        <f>IFERROR(__xludf.DUMMYFUNCTION("""COMPUTED_VALUE""")," ")</f>
        <v> </v>
      </c>
      <c r="H2144" s="44" t="str">
        <f>IFERROR(__xludf.DUMMYFUNCTION("""COMPUTED_VALUE""")," ")</f>
        <v> </v>
      </c>
      <c r="I2144" s="44" t="str">
        <f>IFERROR(__xludf.DUMMYFUNCTION("""COMPUTED_VALUE""")," ")</f>
        <v> </v>
      </c>
      <c r="J2144" s="44" t="str">
        <f>IFERROR(__xludf.DUMMYFUNCTION("""COMPUTED_VALUE"""),"")</f>
        <v/>
      </c>
      <c r="K2144" s="42" t="str">
        <f>IFERROR(__xludf.DUMMYFUNCTION("""COMPUTED_VALUE"""),"H. Jose Maria Vargas LG")</f>
        <v>H. Jose Maria Vargas LG</v>
      </c>
    </row>
    <row r="2145">
      <c r="A2145" s="44">
        <v>2144.0</v>
      </c>
      <c r="B2145" s="44" t="str">
        <f>IFERROR(__xludf.DUMMYFUNCTION("""COMPUTED_VALUE"""),"Cruz Roja")</f>
        <v>Cruz Roja</v>
      </c>
      <c r="C2145" s="45" t="str">
        <f>IFERROR(__xludf.DUMMYFUNCTION("""COMPUTED_VALUE"""),"GUERRA PETRA")</f>
        <v>GUERRA PETRA</v>
      </c>
      <c r="D2145" s="44">
        <f>IFERROR(__xludf.DUMMYFUNCTION("""COMPUTED_VALUE"""),72.0)</f>
        <v>72</v>
      </c>
      <c r="E2145" s="44" t="str">
        <f>IFERROR(__xludf.DUMMYFUNCTION("""COMPUTED_VALUE"""),"")</f>
        <v/>
      </c>
      <c r="F2145" s="44" t="str">
        <f>IFERROR(__xludf.DUMMYFUNCTION("""COMPUTED_VALUE"""),"")</f>
        <v/>
      </c>
      <c r="G2145" s="44">
        <f>IFERROR(__xludf.DUMMYFUNCTION("""COMPUTED_VALUE"""),4806707.0)</f>
        <v>4806707</v>
      </c>
      <c r="H2145" s="44" t="str">
        <f>IFERROR(__xludf.DUMMYFUNCTION("""COMPUTED_VALUE"""),"La Candelaria")</f>
        <v>La Candelaria</v>
      </c>
      <c r="I2145" s="44" t="str">
        <f>IFERROR(__xludf.DUMMYFUNCTION("""COMPUTED_VALUE""")," ")</f>
        <v> </v>
      </c>
      <c r="J2145" s="44" t="str">
        <f>IFERROR(__xludf.DUMMYFUNCTION("""COMPUTED_VALUE"""),"")</f>
        <v/>
      </c>
      <c r="K2145" s="42" t="str">
        <f>IFERROR(__xludf.DUMMYFUNCTION("""COMPUTED_VALUE"""),"Cruz Roja")</f>
        <v>Cruz Roja</v>
      </c>
    </row>
    <row r="2146">
      <c r="A2146" s="44">
        <v>2145.0</v>
      </c>
      <c r="B2146" s="44" t="str">
        <f>IFERROR(__xludf.DUMMYFUNCTION("""COMPUTED_VALUE"""),"Centro de Acopio Caraballeda")</f>
        <v>Centro de Acopio Caraballeda</v>
      </c>
      <c r="C2146" s="45" t="str">
        <f>IFERROR(__xludf.DUMMYFUNCTION("""COMPUTED_VALUE"""),"GUERRA WILKELY")</f>
        <v>GUERRA WILKELY</v>
      </c>
      <c r="D2146" s="44" t="str">
        <f>IFERROR(__xludf.DUMMYFUNCTION("""COMPUTED_VALUE""")," ")</f>
        <v> </v>
      </c>
      <c r="E2146" s="44" t="str">
        <f>IFERROR(__xludf.DUMMYFUNCTION("""COMPUTED_VALUE"""),"")</f>
        <v/>
      </c>
      <c r="F2146" s="44" t="str">
        <f>IFERROR(__xludf.DUMMYFUNCTION("""COMPUTED_VALUE"""),"")</f>
        <v/>
      </c>
      <c r="G2146" s="44" t="str">
        <f>IFERROR(__xludf.DUMMYFUNCTION("""COMPUTED_VALUE""")," ")</f>
        <v> </v>
      </c>
      <c r="H2146" s="44" t="str">
        <f>IFERROR(__xludf.DUMMYFUNCTION("""COMPUTED_VALUE""")," ")</f>
        <v> </v>
      </c>
      <c r="I2146" s="44" t="str">
        <f>IFERROR(__xludf.DUMMYFUNCTION("""COMPUTED_VALUE"""),"Internado")</f>
        <v>Internado</v>
      </c>
      <c r="J2146" s="44" t="str">
        <f>IFERROR(__xludf.DUMMYFUNCTION("""COMPUTED_VALUE"""),"")</f>
        <v/>
      </c>
      <c r="K2146" s="42" t="str">
        <f>IFERROR(__xludf.DUMMYFUNCTION("""COMPUTED_VALUE"""),"🔍 BUSCAR PACIENTES")</f>
        <v>🔍 BUSCAR PACIENTES</v>
      </c>
    </row>
    <row r="2147">
      <c r="A2147" s="44">
        <v>2146.0</v>
      </c>
      <c r="B2147" s="44" t="str">
        <f>IFERROR(__xludf.DUMMYFUNCTION("""COMPUTED_VALUE"""),"Hospital Domingo Luciani")</f>
        <v>Hospital Domingo Luciani</v>
      </c>
      <c r="C2147" s="45" t="str">
        <f>IFERROR(__xludf.DUMMYFUNCTION("""COMPUTED_VALUE"""),"GUERREIRO GUERREIRO")</f>
        <v>GUERREIRO GUERREIRO</v>
      </c>
      <c r="D2147" s="44" t="str">
        <f>IFERROR(__xludf.DUMMYFUNCTION("""COMPUTED_VALUE""")," ")</f>
        <v> </v>
      </c>
      <c r="E2147" s="44" t="str">
        <f>IFERROR(__xludf.DUMMYFUNCTION("""COMPUTED_VALUE"""),"")</f>
        <v/>
      </c>
      <c r="F2147" s="44" t="str">
        <f>IFERROR(__xludf.DUMMYFUNCTION("""COMPUTED_VALUE"""),"")</f>
        <v/>
      </c>
      <c r="G2147" s="44" t="str">
        <f>IFERROR(__xludf.DUMMYFUNCTION("""COMPUTED_VALUE""")," ")</f>
        <v> </v>
      </c>
      <c r="H2147" s="44" t="str">
        <f>IFERROR(__xludf.DUMMYFUNCTION("""COMPUTED_VALUE""")," ")</f>
        <v> </v>
      </c>
      <c r="I2147" s="44" t="str">
        <f>IFERROR(__xludf.DUMMYFUNCTION("""COMPUTED_VALUE"""),"Internado; POLITRAUMA EMERG NUEVA")</f>
        <v>Internado; POLITRAUMA EMERG NUEVA</v>
      </c>
      <c r="J2147" s="44" t="str">
        <f>IFERROR(__xludf.DUMMYFUNCTION("""COMPUTED_VALUE"""),"")</f>
        <v/>
      </c>
      <c r="K2147" s="42" t="str">
        <f>IFERROR(__xludf.DUMMYFUNCTION("""COMPUTED_VALUE"""),"🔍 BUSCAR PACIENTES")</f>
        <v>🔍 BUSCAR PACIENTES</v>
      </c>
    </row>
    <row r="2148">
      <c r="A2148" s="44">
        <v>2147.0</v>
      </c>
      <c r="B2148" s="44" t="str">
        <f>IFERROR(__xludf.DUMMYFUNCTION("""COMPUTED_VALUE"""),"Hospital Domingo Luciani")</f>
        <v>Hospital Domingo Luciani</v>
      </c>
      <c r="C2148" s="45" t="str">
        <f>IFERROR(__xludf.DUMMYFUNCTION("""COMPUTED_VALUE"""),"GUERREIRO JESUS")</f>
        <v>GUERREIRO JESUS</v>
      </c>
      <c r="D2148" s="44">
        <f>IFERROR(__xludf.DUMMYFUNCTION("""COMPUTED_VALUE"""),44.0)</f>
        <v>44</v>
      </c>
      <c r="E2148" s="44" t="str">
        <f>IFERROR(__xludf.DUMMYFUNCTION("""COMPUTED_VALUE"""),"")</f>
        <v/>
      </c>
      <c r="F2148" s="44" t="str">
        <f>IFERROR(__xludf.DUMMYFUNCTION("""COMPUTED_VALUE"""),"")</f>
        <v/>
      </c>
      <c r="G2148" s="44" t="str">
        <f>IFERROR(__xludf.DUMMYFUNCTION("""COMPUTED_VALUE""")," ")</f>
        <v> </v>
      </c>
      <c r="H2148" s="44" t="str">
        <f>IFERROR(__xludf.DUMMYFUNCTION("""COMPUTED_VALUE""")," ")</f>
        <v> </v>
      </c>
      <c r="I2148" s="44" t="str">
        <f>IFERROR(__xludf.DUMMYFUNCTION("""COMPUTED_VALUE"""),"Politrauma Emerg. Nueva")</f>
        <v>Politrauma Emerg. Nueva</v>
      </c>
      <c r="J2148" s="44" t="str">
        <f>IFERROR(__xludf.DUMMYFUNCTION("""COMPUTED_VALUE"""),"")</f>
        <v/>
      </c>
      <c r="K2148" s="42" t="str">
        <f>IFERROR(__xludf.DUMMYFUNCTION("""COMPUTED_VALUE"""),"🔍 BUSCAR PACIENTES")</f>
        <v>🔍 BUSCAR PACIENTES</v>
      </c>
    </row>
    <row r="2149">
      <c r="A2149" s="44">
        <v>2148.0</v>
      </c>
      <c r="B2149" s="44" t="str">
        <f>IFERROR(__xludf.DUMMYFUNCTION("""COMPUTED_VALUE"""),"Hospital Domingo Luciani")</f>
        <v>Hospital Domingo Luciani</v>
      </c>
      <c r="C2149" s="45" t="str">
        <f>IFERROR(__xludf.DUMMYFUNCTION("""COMPUTED_VALUE"""),"GUERRERO DEIVERSON")</f>
        <v>GUERRERO DEIVERSON</v>
      </c>
      <c r="D2149" s="44">
        <f>IFERROR(__xludf.DUMMYFUNCTION("""COMPUTED_VALUE"""),20.0)</f>
        <v>20</v>
      </c>
      <c r="E2149" s="44" t="str">
        <f>IFERROR(__xludf.DUMMYFUNCTION("""COMPUTED_VALUE"""),"")</f>
        <v/>
      </c>
      <c r="F2149" s="44" t="str">
        <f>IFERROR(__xludf.DUMMYFUNCTION("""COMPUTED_VALUE"""),"")</f>
        <v/>
      </c>
      <c r="G2149" s="44" t="str">
        <f>IFERROR(__xludf.DUMMYFUNCTION("""COMPUTED_VALUE""")," ")</f>
        <v> </v>
      </c>
      <c r="H2149" s="44" t="str">
        <f>IFERROR(__xludf.DUMMYFUNCTION("""COMPUTED_VALUE""")," ")</f>
        <v> </v>
      </c>
      <c r="I2149" s="44" t="str">
        <f>IFERROR(__xludf.DUMMYFUNCTION("""COMPUTED_VALUE""")," ")</f>
        <v> </v>
      </c>
      <c r="J2149" s="44" t="str">
        <f>IFERROR(__xludf.DUMMYFUNCTION("""COMPUTED_VALUE"""),"")</f>
        <v/>
      </c>
      <c r="K2149" s="42" t="str">
        <f>IFERROR(__xludf.DUMMYFUNCTION("""COMPUTED_VALUE"""),"🔍 BUSCAR PACIENTES")</f>
        <v>🔍 BUSCAR PACIENTES</v>
      </c>
    </row>
    <row r="2150">
      <c r="A2150" s="44">
        <v>2149.0</v>
      </c>
      <c r="B2150" s="44" t="str">
        <f>IFERROR(__xludf.DUMMYFUNCTION("""COMPUTED_VALUE"""),"Periférico de Catia")</f>
        <v>Periférico de Catia</v>
      </c>
      <c r="C2150" s="45" t="str">
        <f>IFERROR(__xludf.DUMMYFUNCTION("""COMPUTED_VALUE"""),"Guerrero Delverson")</f>
        <v>Guerrero Delverson</v>
      </c>
      <c r="D2150" s="44">
        <f>IFERROR(__xludf.DUMMYFUNCTION("""COMPUTED_VALUE"""),20.0)</f>
        <v>20</v>
      </c>
      <c r="E2150" s="44" t="str">
        <f>IFERROR(__xludf.DUMMYFUNCTION("""COMPUTED_VALUE"""),"")</f>
        <v/>
      </c>
      <c r="F2150" s="44" t="str">
        <f>IFERROR(__xludf.DUMMYFUNCTION("""COMPUTED_VALUE"""),"")</f>
        <v/>
      </c>
      <c r="G2150" s="44"/>
      <c r="H2150" s="44"/>
      <c r="I2150" s="44" t="str">
        <f>IFERROR(__xludf.DUMMYFUNCTION("""COMPUTED_VALUE"""),"Lista adicional (pizarra extensa sin titulo de sala especifico)")</f>
        <v>Lista adicional (pizarra extensa sin titulo de sala especifico)</v>
      </c>
      <c r="J2150" s="44" t="str">
        <f>IFERROR(__xludf.DUMMYFUNCTION("""COMPUTED_VALUE"""),"")</f>
        <v/>
      </c>
      <c r="K2150" s="42" t="str">
        <f>IFERROR(__xludf.DUMMYFUNCTION("""COMPUTED_VALUE"""),"Periférico de Catia")</f>
        <v>Periférico de Catia</v>
      </c>
    </row>
    <row r="2151">
      <c r="A2151" s="44">
        <v>2150.0</v>
      </c>
      <c r="B2151" s="44" t="str">
        <f>IFERROR(__xludf.DUMMYFUNCTION("""COMPUTED_VALUE"""),"H. Jose Maria Vargas LG")</f>
        <v>H. Jose Maria Vargas LG</v>
      </c>
      <c r="C2151" s="45" t="str">
        <f>IFERROR(__xludf.DUMMYFUNCTION("""COMPUTED_VALUE"""),"GUERRERO VICTORIA")</f>
        <v>GUERRERO VICTORIA</v>
      </c>
      <c r="D2151" s="44" t="str">
        <f>IFERROR(__xludf.DUMMYFUNCTION("""COMPUTED_VALUE""")," ")</f>
        <v> </v>
      </c>
      <c r="E2151" s="44" t="str">
        <f>IFERROR(__xludf.DUMMYFUNCTION("""COMPUTED_VALUE"""),"")</f>
        <v/>
      </c>
      <c r="F2151" s="44" t="str">
        <f>IFERROR(__xludf.DUMMYFUNCTION("""COMPUTED_VALUE"""),"")</f>
        <v/>
      </c>
      <c r="G2151" s="44" t="str">
        <f>IFERROR(__xludf.DUMMYFUNCTION("""COMPUTED_VALUE""")," ")</f>
        <v> </v>
      </c>
      <c r="H2151" s="44" t="str">
        <f>IFERROR(__xludf.DUMMYFUNCTION("""COMPUTED_VALUE""")," ")</f>
        <v> </v>
      </c>
      <c r="I2151" s="44" t="str">
        <f>IFERROR(__xludf.DUMMYFUNCTION("""COMPUTED_VALUE""")," ")</f>
        <v> </v>
      </c>
      <c r="J2151" s="44" t="str">
        <f>IFERROR(__xludf.DUMMYFUNCTION("""COMPUTED_VALUE"""),"")</f>
        <v/>
      </c>
      <c r="K2151" s="42" t="str">
        <f>IFERROR(__xludf.DUMMYFUNCTION("""COMPUTED_VALUE"""),"H. Jose Maria Vargas LG")</f>
        <v>H. Jose Maria Vargas LG</v>
      </c>
    </row>
    <row r="2152">
      <c r="A2152" s="44">
        <v>2151.0</v>
      </c>
      <c r="B2152" s="44" t="str">
        <f>IFERROR(__xludf.DUMMYFUNCTION("""COMPUTED_VALUE"""),"Hospital Pérez Carreño")</f>
        <v>Hospital Pérez Carreño</v>
      </c>
      <c r="C2152" s="45" t="str">
        <f>IFERROR(__xludf.DUMMYFUNCTION("""COMPUTED_VALUE"""),"GUERRERO WILE")</f>
        <v>GUERRERO WILE</v>
      </c>
      <c r="D2152" s="44">
        <f>IFERROR(__xludf.DUMMYFUNCTION("""COMPUTED_VALUE"""),40.0)</f>
        <v>40</v>
      </c>
      <c r="E2152" s="44" t="str">
        <f>IFERROR(__xludf.DUMMYFUNCTION("""COMPUTED_VALUE"""),"")</f>
        <v/>
      </c>
      <c r="F2152" s="44" t="str">
        <f>IFERROR(__xludf.DUMMYFUNCTION("""COMPUTED_VALUE"""),"")</f>
        <v/>
      </c>
      <c r="G2152" s="44" t="str">
        <f>IFERROR(__xludf.DUMMYFUNCTION("""COMPUTED_VALUE""")," ")</f>
        <v> </v>
      </c>
      <c r="H2152" s="44" t="str">
        <f>IFERROR(__xludf.DUMMYFUNCTION("""COMPUTED_VALUE""")," ")</f>
        <v> </v>
      </c>
      <c r="I2152" s="44" t="str">
        <f>IFERROR(__xludf.DUMMYFUNCTION("""COMPUTED_VALUE"""),"Traumashock")</f>
        <v>Traumashock</v>
      </c>
      <c r="J2152" s="44" t="str">
        <f>IFERROR(__xludf.DUMMYFUNCTION("""COMPUTED_VALUE"""),"25/06/2026")</f>
        <v>25/06/2026</v>
      </c>
      <c r="K2152" s="42" t="str">
        <f>IFERROR(__xludf.DUMMYFUNCTION("""COMPUTED_VALUE"""),"Hospital Pérez Carreño")</f>
        <v>Hospital Pérez Carreño</v>
      </c>
    </row>
    <row r="2153">
      <c r="A2153" s="44">
        <v>2152.0</v>
      </c>
      <c r="B2153" s="44" t="str">
        <f>IFERROR(__xludf.DUMMYFUNCTION("""COMPUTED_VALUE"""),"Centro de Acopio Caraballeda")</f>
        <v>Centro de Acopio Caraballeda</v>
      </c>
      <c r="C2153" s="45" t="str">
        <f>IFERROR(__xludf.DUMMYFUNCTION("""COMPUTED_VALUE"""),"GUERRIRE (MENOR) JENIFER")</f>
        <v>GUERRIRE (MENOR) JENIFER</v>
      </c>
      <c r="D2153" s="44" t="str">
        <f>IFERROR(__xludf.DUMMYFUNCTION("""COMPUTED_VALUE""")," ")</f>
        <v> </v>
      </c>
      <c r="E2153" s="44" t="str">
        <f>IFERROR(__xludf.DUMMYFUNCTION("""COMPUTED_VALUE"""),"")</f>
        <v/>
      </c>
      <c r="F2153" s="44" t="str">
        <f>IFERROR(__xludf.DUMMYFUNCTION("""COMPUTED_VALUE"""),"")</f>
        <v/>
      </c>
      <c r="G2153" s="44" t="str">
        <f>IFERROR(__xludf.DUMMYFUNCTION("""COMPUTED_VALUE""")," ")</f>
        <v> </v>
      </c>
      <c r="H2153" s="44" t="str">
        <f>IFERROR(__xludf.DUMMYFUNCTION("""COMPUTED_VALUE""")," ")</f>
        <v> </v>
      </c>
      <c r="I2153" s="44" t="str">
        <f>IFERROR(__xludf.DUMMYFUNCTION("""COMPUTED_VALUE"""),"Internado")</f>
        <v>Internado</v>
      </c>
      <c r="J2153" s="44" t="str">
        <f>IFERROR(__xludf.DUMMYFUNCTION("""COMPUTED_VALUE"""),"")</f>
        <v/>
      </c>
      <c r="K2153" s="42" t="str">
        <f>IFERROR(__xludf.DUMMYFUNCTION("""COMPUTED_VALUE"""),"🔍 BUSCAR PACIENTES")</f>
        <v>🔍 BUSCAR PACIENTES</v>
      </c>
    </row>
    <row r="2154">
      <c r="A2154" s="44">
        <v>2153.0</v>
      </c>
      <c r="B2154" s="44" t="str">
        <f>IFERROR(__xludf.DUMMYFUNCTION("""COMPUTED_VALUE"""),"H. Jose Maria Vargas LG")</f>
        <v>H. Jose Maria Vargas LG</v>
      </c>
      <c r="C2154" s="45" t="str">
        <f>IFERROR(__xludf.DUMMYFUNCTION("""COMPUTED_VALUE"""),"GUEVARA EVELIN")</f>
        <v>GUEVARA EVELIN</v>
      </c>
      <c r="D2154" s="44">
        <f>IFERROR(__xludf.DUMMYFUNCTION("""COMPUTED_VALUE"""),39.0)</f>
        <v>39</v>
      </c>
      <c r="E2154" s="44" t="str">
        <f>IFERROR(__xludf.DUMMYFUNCTION("""COMPUTED_VALUE"""),"")</f>
        <v/>
      </c>
      <c r="F2154" s="44" t="str">
        <f>IFERROR(__xludf.DUMMYFUNCTION("""COMPUTED_VALUE"""),"")</f>
        <v/>
      </c>
      <c r="G2154" s="44" t="str">
        <f>IFERROR(__xludf.DUMMYFUNCTION("""COMPUTED_VALUE""")," ")</f>
        <v> </v>
      </c>
      <c r="H2154" s="44" t="str">
        <f>IFERROR(__xludf.DUMMYFUNCTION("""COMPUTED_VALUE""")," ")</f>
        <v> </v>
      </c>
      <c r="I2154" s="44" t="str">
        <f>IFERROR(__xludf.DUMMYFUNCTION("""COMPUTED_VALUE""")," ")</f>
        <v> </v>
      </c>
      <c r="J2154" s="44" t="str">
        <f>IFERROR(__xludf.DUMMYFUNCTION("""COMPUTED_VALUE"""),"")</f>
        <v/>
      </c>
      <c r="K2154" s="42" t="str">
        <f>IFERROR(__xludf.DUMMYFUNCTION("""COMPUTED_VALUE"""),"H. Jose Maria Vargas LG")</f>
        <v>H. Jose Maria Vargas LG</v>
      </c>
    </row>
    <row r="2155">
      <c r="A2155" s="44">
        <v>2154.0</v>
      </c>
      <c r="B2155" s="44" t="str">
        <f>IFERROR(__xludf.DUMMYFUNCTION("""COMPUTED_VALUE"""),"Centro de Acopio Caraballeda")</f>
        <v>Centro de Acopio Caraballeda</v>
      </c>
      <c r="C2155" s="45" t="str">
        <f>IFERROR(__xludf.DUMMYFUNCTION("""COMPUTED_VALUE"""),"GUEVARA (MENOR) JOEL")</f>
        <v>GUEVARA (MENOR) JOEL</v>
      </c>
      <c r="D2155" s="44" t="str">
        <f>IFERROR(__xludf.DUMMYFUNCTION("""COMPUTED_VALUE""")," ")</f>
        <v> </v>
      </c>
      <c r="E2155" s="44" t="str">
        <f>IFERROR(__xludf.DUMMYFUNCTION("""COMPUTED_VALUE"""),"")</f>
        <v/>
      </c>
      <c r="F2155" s="44" t="str">
        <f>IFERROR(__xludf.DUMMYFUNCTION("""COMPUTED_VALUE"""),"")</f>
        <v/>
      </c>
      <c r="G2155" s="44" t="str">
        <f>IFERROR(__xludf.DUMMYFUNCTION("""COMPUTED_VALUE""")," ")</f>
        <v> </v>
      </c>
      <c r="H2155" s="44" t="str">
        <f>IFERROR(__xludf.DUMMYFUNCTION("""COMPUTED_VALUE""")," ")</f>
        <v> </v>
      </c>
      <c r="I2155" s="44" t="str">
        <f>IFERROR(__xludf.DUMMYFUNCTION("""COMPUTED_VALUE"""),"Internado")</f>
        <v>Internado</v>
      </c>
      <c r="J2155" s="44" t="str">
        <f>IFERROR(__xludf.DUMMYFUNCTION("""COMPUTED_VALUE"""),"")</f>
        <v/>
      </c>
      <c r="K2155" s="42" t="str">
        <f>IFERROR(__xludf.DUMMYFUNCTION("""COMPUTED_VALUE"""),"🔍 BUSCAR PACIENTES")</f>
        <v>🔍 BUSCAR PACIENTES</v>
      </c>
    </row>
    <row r="2156">
      <c r="A2156" s="44">
        <v>2155.0</v>
      </c>
      <c r="B2156" s="44" t="str">
        <f>IFERROR(__xludf.DUMMYFUNCTION("""COMPUTED_VALUE"""),"Hospital Pérez Carreño")</f>
        <v>Hospital Pérez Carreño</v>
      </c>
      <c r="C2156" s="45" t="str">
        <f>IFERROR(__xludf.DUMMYFUNCTION("""COMPUTED_VALUE"""),"Guifarro Viera Rosa Amelia")</f>
        <v>Guifarro Viera Rosa Amelia</v>
      </c>
      <c r="D2156" s="44"/>
      <c r="E2156" s="44" t="str">
        <f>IFERROR(__xludf.DUMMYFUNCTION("""COMPUTED_VALUE"""),"")</f>
        <v/>
      </c>
      <c r="F2156" s="44" t="str">
        <f>IFERROR(__xludf.DUMMYFUNCTION("""COMPUTED_VALUE"""),"")</f>
        <v/>
      </c>
      <c r="G2156" s="44" t="str">
        <f>IFERROR(__xludf.DUMMYFUNCTION("""COMPUTED_VALUE"""),"Traslados")</f>
        <v>Traslados</v>
      </c>
      <c r="H2156" s="44" t="str">
        <f>IFERROR(__xludf.DUMMYFUNCTION("""COMPUTED_VALUE"""),"Hospital Miguel Perez Carreño")</f>
        <v>Hospital Miguel Perez Carreño</v>
      </c>
      <c r="I2156" s="44"/>
      <c r="J2156" s="44" t="str">
        <f>IFERROR(__xludf.DUMMYFUNCTION("""COMPUTED_VALUE"""),"26/6/26")</f>
        <v>26/6/26</v>
      </c>
      <c r="K2156" s="42" t="str">
        <f>IFERROR(__xludf.DUMMYFUNCTION("""COMPUTED_VALUE"""),"Hospital Pérez Carreño")</f>
        <v>Hospital Pérez Carreño</v>
      </c>
    </row>
    <row r="2157">
      <c r="A2157" s="44">
        <v>2156.0</v>
      </c>
      <c r="B2157" s="44" t="str">
        <f>IFERROR(__xludf.DUMMYFUNCTION("""COMPUTED_VALUE"""),"Hospital Pérez Carreño")</f>
        <v>Hospital Pérez Carreño</v>
      </c>
      <c r="C2157" s="45" t="str">
        <f>IFERROR(__xludf.DUMMYFUNCTION("""COMPUTED_VALUE"""),"GUILLEN GONZALES GUILLEN GONZALES")</f>
        <v>GUILLEN GONZALES GUILLEN GONZALES</v>
      </c>
      <c r="D2157" s="44" t="str">
        <f>IFERROR(__xludf.DUMMYFUNCTION("""COMPUTED_VALUE""")," ")</f>
        <v> </v>
      </c>
      <c r="E2157" s="44" t="str">
        <f>IFERROR(__xludf.DUMMYFUNCTION("""COMPUTED_VALUE"""),"")</f>
        <v/>
      </c>
      <c r="F2157" s="44" t="str">
        <f>IFERROR(__xludf.DUMMYFUNCTION("""COMPUTED_VALUE"""),"")</f>
        <v/>
      </c>
      <c r="G2157" s="44" t="str">
        <f>IFERROR(__xludf.DUMMYFUNCTION("""COMPUTED_VALUE""")," ")</f>
        <v> </v>
      </c>
      <c r="H2157" s="44" t="str">
        <f>IFERROR(__xludf.DUMMYFUNCTION("""COMPUTED_VALUE""")," ")</f>
        <v> </v>
      </c>
      <c r="I2157" s="44" t="str">
        <f>IFERROR(__xludf.DUMMYFUNCTION("""COMPUTED_VALUE"""),"Internado")</f>
        <v>Internado</v>
      </c>
      <c r="J2157" s="44" t="str">
        <f>IFERROR(__xludf.DUMMYFUNCTION("""COMPUTED_VALUE"""),"25/06/2026")</f>
        <v>25/06/2026</v>
      </c>
      <c r="K2157" s="42" t="str">
        <f>IFERROR(__xludf.DUMMYFUNCTION("""COMPUTED_VALUE"""),"Hospital Pérez Carreño")</f>
        <v>Hospital Pérez Carreño</v>
      </c>
    </row>
    <row r="2158">
      <c r="A2158" s="44">
        <v>2157.0</v>
      </c>
      <c r="B2158" s="44" t="str">
        <f>IFERROR(__xludf.DUMMYFUNCTION("""COMPUTED_VALUE"""),"Hospital Pérez Carreño")</f>
        <v>Hospital Pérez Carreño</v>
      </c>
      <c r="C2158" s="45" t="str">
        <f>IFERROR(__xludf.DUMMYFUNCTION("""COMPUTED_VALUE"""),"Guillen Gonzalez Maria Eugenia")</f>
        <v>Guillen Gonzalez Maria Eugenia</v>
      </c>
      <c r="D2158" s="44"/>
      <c r="E2158" s="44" t="str">
        <f>IFERROR(__xludf.DUMMYFUNCTION("""COMPUTED_VALUE"""),"")</f>
        <v/>
      </c>
      <c r="F2158" s="44" t="str">
        <f>IFERROR(__xludf.DUMMYFUNCTION("""COMPUTED_VALUE"""),"")</f>
        <v/>
      </c>
      <c r="G2158" s="44" t="str">
        <f>IFERROR(__xludf.DUMMYFUNCTION("""COMPUTED_VALUE"""),"Traslados")</f>
        <v>Traslados</v>
      </c>
      <c r="H2158" s="44" t="str">
        <f>IFERROR(__xludf.DUMMYFUNCTION("""COMPUTED_VALUE"""),"Hospital Miguel Perez Carreño")</f>
        <v>Hospital Miguel Perez Carreño</v>
      </c>
      <c r="I2158" s="44"/>
      <c r="J2158" s="44" t="str">
        <f>IFERROR(__xludf.DUMMYFUNCTION("""COMPUTED_VALUE"""),"26/6/26")</f>
        <v>26/6/26</v>
      </c>
      <c r="K2158" s="42" t="str">
        <f>IFERROR(__xludf.DUMMYFUNCTION("""COMPUTED_VALUE"""),"Hospital Pérez Carreño")</f>
        <v>Hospital Pérez Carreño</v>
      </c>
    </row>
    <row r="2159">
      <c r="A2159" s="44">
        <v>2158.0</v>
      </c>
      <c r="B2159" s="44" t="str">
        <f>IFERROR(__xludf.DUMMYFUNCTION("""COMPUTED_VALUE"""),"La Guaira Sin Hospital")</f>
        <v>La Guaira Sin Hospital</v>
      </c>
      <c r="C2159" s="45" t="str">
        <f>IFERROR(__xludf.DUMMYFUNCTION("""COMPUTED_VALUE"""),"Guillen Gonzalez Mario Eugenio")</f>
        <v>Guillen Gonzalez Mario Eugenio</v>
      </c>
      <c r="D2159" s="44" t="str">
        <f>IFERROR(__xludf.DUMMYFUNCTION("""COMPUTED_VALUE"""),"")</f>
        <v/>
      </c>
      <c r="E2159" s="44" t="str">
        <f>IFERROR(__xludf.DUMMYFUNCTION("""COMPUTED_VALUE"""),"")</f>
        <v/>
      </c>
      <c r="F2159" s="44" t="str">
        <f>IFERROR(__xludf.DUMMYFUNCTION("""COMPUTED_VALUE"""),"")</f>
        <v/>
      </c>
      <c r="G2159" s="44" t="str">
        <f>IFERROR(__xludf.DUMMYFUNCTION("""COMPUTED_VALUE"""),"")</f>
        <v/>
      </c>
      <c r="H2159" s="44"/>
      <c r="I2159" s="44" t="str">
        <f>IFERROR(__xludf.DUMMYFUNCTION("""COMPUTED_VALUE"""),"Listas solo con nombre")</f>
        <v>Listas solo con nombre</v>
      </c>
      <c r="J2159" s="44" t="str">
        <f>IFERROR(__xludf.DUMMYFUNCTION("""COMPUTED_VALUE"""),"")</f>
        <v/>
      </c>
      <c r="K2159" s="42" t="str">
        <f>IFERROR(__xludf.DUMMYFUNCTION("""COMPUTED_VALUE"""),"La Guaira Sin Hospital")</f>
        <v>La Guaira Sin Hospital</v>
      </c>
    </row>
    <row r="2160">
      <c r="A2160" s="44">
        <v>2159.0</v>
      </c>
      <c r="B2160" s="44" t="str">
        <f>IFERROR(__xludf.DUMMYFUNCTION("""COMPUTED_VALUE"""),"H. Jose Maria Vargas LG")</f>
        <v>H. Jose Maria Vargas LG</v>
      </c>
      <c r="C2160" s="45" t="str">
        <f>IFERROR(__xludf.DUMMYFUNCTION("""COMPUTED_VALUE"""),"GUMENEZ CRISTIAM")</f>
        <v>GUMENEZ CRISTIAM</v>
      </c>
      <c r="D2160" s="44" t="str">
        <f>IFERROR(__xludf.DUMMYFUNCTION("""COMPUTED_VALUE""")," ")</f>
        <v> </v>
      </c>
      <c r="E2160" s="44" t="str">
        <f>IFERROR(__xludf.DUMMYFUNCTION("""COMPUTED_VALUE"""),"")</f>
        <v/>
      </c>
      <c r="F2160" s="44" t="str">
        <f>IFERROR(__xludf.DUMMYFUNCTION("""COMPUTED_VALUE"""),"")</f>
        <v/>
      </c>
      <c r="G2160" s="44" t="str">
        <f>IFERROR(__xludf.DUMMYFUNCTION("""COMPUTED_VALUE""")," ")</f>
        <v> </v>
      </c>
      <c r="H2160" s="44" t="str">
        <f>IFERROR(__xludf.DUMMYFUNCTION("""COMPUTED_VALUE""")," ")</f>
        <v> </v>
      </c>
      <c r="I2160" s="44" t="str">
        <f>IFERROR(__xludf.DUMMYFUNCTION("""COMPUTED_VALUE""")," ")</f>
        <v> </v>
      </c>
      <c r="J2160" s="44" t="str">
        <f>IFERROR(__xludf.DUMMYFUNCTION("""COMPUTED_VALUE"""),"")</f>
        <v/>
      </c>
      <c r="K2160" s="42" t="str">
        <f>IFERROR(__xludf.DUMMYFUNCTION("""COMPUTED_VALUE"""),"H. Jose Maria Vargas LG")</f>
        <v>H. Jose Maria Vargas LG</v>
      </c>
    </row>
    <row r="2161">
      <c r="A2161" s="44">
        <v>2160.0</v>
      </c>
      <c r="B2161" s="44" t="str">
        <f>IFERROR(__xludf.DUMMYFUNCTION("""COMPUTED_VALUE"""),"Seguro Social La Guaira")</f>
        <v>Seguro Social La Guaira</v>
      </c>
      <c r="C2161" s="45" t="str">
        <f>IFERROR(__xludf.DUMMYFUNCTION("""COMPUTED_VALUE"""),"GUSBELYS")</f>
        <v>GUSBELYS</v>
      </c>
      <c r="D2161" s="44" t="str">
        <f>IFERROR(__xludf.DUMMYFUNCTION("""COMPUTED_VALUE""")," ")</f>
        <v> </v>
      </c>
      <c r="E2161" s="44" t="str">
        <f>IFERROR(__xludf.DUMMYFUNCTION("""COMPUTED_VALUE"""),"")</f>
        <v/>
      </c>
      <c r="F2161" s="44" t="str">
        <f>IFERROR(__xludf.DUMMYFUNCTION("""COMPUTED_VALUE"""),"")</f>
        <v/>
      </c>
      <c r="G2161" s="44" t="str">
        <f>IFERROR(__xludf.DUMMYFUNCTION("""COMPUTED_VALUE""")," ")</f>
        <v> </v>
      </c>
      <c r="H2161" s="44" t="str">
        <f>IFERROR(__xludf.DUMMYFUNCTION("""COMPUTED_VALUE""")," ")</f>
        <v> </v>
      </c>
      <c r="I2161" s="44" t="str">
        <f>IFERROR(__xludf.DUMMYFUNCTION("""COMPUTED_VALUE""")," ")</f>
        <v> </v>
      </c>
      <c r="J2161" s="44" t="str">
        <f>IFERROR(__xludf.DUMMYFUNCTION("""COMPUTED_VALUE"""),"")</f>
        <v/>
      </c>
      <c r="K2161" s="42" t="str">
        <f>IFERROR(__xludf.DUMMYFUNCTION("""COMPUTED_VALUE"""),"Seguro Social La Guaira")</f>
        <v>Seguro Social La Guaira</v>
      </c>
    </row>
    <row r="2162">
      <c r="A2162" s="44">
        <v>2161.0</v>
      </c>
      <c r="B2162" s="44" t="str">
        <f>IFERROR(__xludf.DUMMYFUNCTION("""COMPUTED_VALUE"""),"HOSPITAL VARGAS")</f>
        <v>HOSPITAL VARGAS</v>
      </c>
      <c r="C2162" s="45" t="str">
        <f>IFERROR(__xludf.DUMMYFUNCTION("""COMPUTED_VALUE"""),"Gustavo A. Rico")</f>
        <v>Gustavo A. Rico</v>
      </c>
      <c r="D2162" s="44"/>
      <c r="E2162" s="44" t="str">
        <f>IFERROR(__xludf.DUMMYFUNCTION("""COMPUTED_VALUE"""),"")</f>
        <v/>
      </c>
      <c r="F2162" s="44" t="str">
        <f>IFERROR(__xludf.DUMMYFUNCTION("""COMPUTED_VALUE"""),"")</f>
        <v/>
      </c>
      <c r="G2162" s="44" t="str">
        <f>IFERROR(__xludf.DUMMYFUNCTION("""COMPUTED_VALUE"""),"")</f>
        <v/>
      </c>
      <c r="H2162" s="44" t="str">
        <f>IFERROR(__xludf.DUMMYFUNCTION("""COMPUTED_VALUE"""),"")</f>
        <v/>
      </c>
      <c r="I2162" s="44" t="str">
        <f>IFERROR(__xludf.DUMMYFUNCTION("""COMPUTED_VALUE"""),"Herido / atendido")</f>
        <v>Herido / atendido</v>
      </c>
      <c r="J2162" s="44" t="str">
        <f>IFERROR(__xludf.DUMMYFUNCTION("""COMPUTED_VALUE"""),"24.06.2026 ")</f>
        <v>24.06.2026 </v>
      </c>
      <c r="K2162" s="42" t="str">
        <f>IFERROR(__xludf.DUMMYFUNCTION("""COMPUTED_VALUE"""),"HOSPITAL VARGAS")</f>
        <v>HOSPITAL VARGAS</v>
      </c>
    </row>
    <row r="2163">
      <c r="A2163" s="44">
        <v>2162.0</v>
      </c>
      <c r="B2163" s="44" t="str">
        <f>IFERROR(__xludf.DUMMYFUNCTION("""COMPUTED_VALUE"""),"Hospital Vargas de Caracas")</f>
        <v>Hospital Vargas de Caracas</v>
      </c>
      <c r="C2163" s="45" t="str">
        <f>IFERROR(__xludf.DUMMYFUNCTION("""COMPUTED_VALUE"""),"GUSTAVO ANTONIO RUIZ")</f>
        <v>GUSTAVO ANTONIO RUIZ</v>
      </c>
      <c r="D2163" s="44" t="str">
        <f>IFERROR(__xludf.DUMMYFUNCTION("""COMPUTED_VALUE""")," ")</f>
        <v> </v>
      </c>
      <c r="E2163" s="44" t="str">
        <f>IFERROR(__xludf.DUMMYFUNCTION("""COMPUTED_VALUE"""),"")</f>
        <v/>
      </c>
      <c r="F2163" s="44" t="str">
        <f>IFERROR(__xludf.DUMMYFUNCTION("""COMPUTED_VALUE""")," ")</f>
        <v> </v>
      </c>
      <c r="G2163" s="44" t="str">
        <f>IFERROR(__xludf.DUMMYFUNCTION("""COMPUTED_VALUE"""),"")</f>
        <v/>
      </c>
      <c r="H2163" s="44" t="str">
        <f>IFERROR(__xludf.DUMMYFUNCTION("""COMPUTED_VALUE"""),"Sala 14")</f>
        <v>Sala 14</v>
      </c>
      <c r="I2163" s="44" t="str">
        <f>IFERROR(__xludf.DUMMYFUNCTION("""COMPUTED_VALUE""")," ")</f>
        <v> </v>
      </c>
      <c r="J2163" s="44" t="str">
        <f>IFERROR(__xludf.DUMMYFUNCTION("""COMPUTED_VALUE"""),"")</f>
        <v/>
      </c>
      <c r="K2163" s="42" t="str">
        <f>IFERROR(__xludf.DUMMYFUNCTION("""COMPUTED_VALUE"""),"Hospital Vargas de Caracas")</f>
        <v>Hospital Vargas de Caracas</v>
      </c>
    </row>
    <row r="2164">
      <c r="A2164" s="44">
        <v>2163.0</v>
      </c>
      <c r="B2164" s="44" t="str">
        <f>IFERROR(__xludf.DUMMYFUNCTION("""COMPUTED_VALUE"""),"Periférico de Catia")</f>
        <v>Periférico de Catia</v>
      </c>
      <c r="C2164" s="45" t="str">
        <f>IFERROR(__xludf.DUMMYFUNCTION("""COMPUTED_VALUE"""),"GUSTAVO AVILE")</f>
        <v>GUSTAVO AVILE</v>
      </c>
      <c r="D2164" s="44">
        <f>IFERROR(__xludf.DUMMYFUNCTION("""COMPUTED_VALUE"""),52.0)</f>
        <v>52</v>
      </c>
      <c r="E2164" s="44" t="str">
        <f>IFERROR(__xludf.DUMMYFUNCTION("""COMPUTED_VALUE"""),"")</f>
        <v/>
      </c>
      <c r="F2164" s="44" t="str">
        <f>IFERROR(__xludf.DUMMYFUNCTION("""COMPUTED_VALUE"""),"")</f>
        <v/>
      </c>
      <c r="G2164" s="44" t="str">
        <f>IFERROR(__xludf.DUMMYFUNCTION("""COMPUTED_VALUE""")," ")</f>
        <v> </v>
      </c>
      <c r="H2164" s="44" t="str">
        <f>IFERROR(__xludf.DUMMYFUNCTION("""COMPUTED_VALUE"""),"La Guaira")</f>
        <v>La Guaira</v>
      </c>
      <c r="I2164" s="44" t="str">
        <f>IFERROR(__xludf.DUMMYFUNCTION("""COMPUTED_VALUE"""),"TRM")</f>
        <v>TRM</v>
      </c>
      <c r="J2164" s="44" t="str">
        <f>IFERROR(__xludf.DUMMYFUNCTION("""COMPUTED_VALUE"""),"")</f>
        <v/>
      </c>
      <c r="K2164" s="42" t="str">
        <f>IFERROR(__xludf.DUMMYFUNCTION("""COMPUTED_VALUE"""),"Periférico de Catia")</f>
        <v>Periférico de Catia</v>
      </c>
    </row>
    <row r="2165">
      <c r="A2165" s="44">
        <v>2164.0</v>
      </c>
      <c r="B2165" s="44" t="str">
        <f>IFERROR(__xludf.DUMMYFUNCTION("""COMPUTED_VALUE"""),"Campo de Golf Playa los Cocos")</f>
        <v>Campo de Golf Playa los Cocos</v>
      </c>
      <c r="C2165" s="45" t="str">
        <f>IFERROR(__xludf.DUMMYFUNCTION("""COMPUTED_VALUE"""),"Gustavo Peralta")</f>
        <v>Gustavo Peralta</v>
      </c>
      <c r="D2165" s="44" t="str">
        <f>IFERROR(__xludf.DUMMYFUNCTION("""COMPUTED_VALUE"""),"")</f>
        <v/>
      </c>
      <c r="E2165" s="44" t="str">
        <f>IFERROR(__xludf.DUMMYFUNCTION("""COMPUTED_VALUE"""),"")</f>
        <v/>
      </c>
      <c r="F2165" s="44" t="str">
        <f>IFERROR(__xludf.DUMMYFUNCTION("""COMPUTED_VALUE"""),"")</f>
        <v/>
      </c>
      <c r="G2165" s="44" t="str">
        <f>IFERROR(__xludf.DUMMYFUNCTION("""COMPUTED_VALUE"""),"")</f>
        <v/>
      </c>
      <c r="H2165" s="44" t="str">
        <f>IFERROR(__xludf.DUMMYFUNCTION("""COMPUTED_VALUE"""),"")</f>
        <v/>
      </c>
      <c r="I2165" s="44"/>
      <c r="J2165" s="44" t="str">
        <f>IFERROR(__xludf.DUMMYFUNCTION("""COMPUTED_VALUE"""),"")</f>
        <v/>
      </c>
      <c r="K2165" s="42" t="str">
        <f>IFERROR(__xludf.DUMMYFUNCTION("""COMPUTED_VALUE"""),"Campo de Golf Playa los Cocos")</f>
        <v>Campo de Golf Playa los Cocos</v>
      </c>
    </row>
    <row r="2166">
      <c r="A2166" s="44">
        <v>2165.0</v>
      </c>
      <c r="B2166" s="44" t="str">
        <f>IFERROR(__xludf.DUMMYFUNCTION("""COMPUTED_VALUE"""),"Hospital Pérez Carreño")</f>
        <v>Hospital Pérez Carreño</v>
      </c>
      <c r="C2166" s="45" t="str">
        <f>IFERROR(__xludf.DUMMYFUNCTION("""COMPUTED_VALUE"""),"Gutierrez Fabricio")</f>
        <v>Gutierrez Fabricio</v>
      </c>
      <c r="D2166" s="44"/>
      <c r="E2166" s="44" t="str">
        <f>IFERROR(__xludf.DUMMYFUNCTION("""COMPUTED_VALUE"""),"")</f>
        <v/>
      </c>
      <c r="F2166" s="44" t="str">
        <f>IFERROR(__xludf.DUMMYFUNCTION("""COMPUTED_VALUE"""),"")</f>
        <v/>
      </c>
      <c r="G2166" s="44" t="str">
        <f>IFERROR(__xludf.DUMMYFUNCTION("""COMPUTED_VALUE"""),"Traslados con destino asignado")</f>
        <v>Traslados con destino asignado</v>
      </c>
      <c r="H2166" s="44" t="str">
        <f>IFERROR(__xludf.DUMMYFUNCTION("""COMPUTED_VALUE"""),"Hospital Miguel Perez Carreño")</f>
        <v>Hospital Miguel Perez Carreño</v>
      </c>
      <c r="I2166" s="44"/>
      <c r="J2166" s="44" t="str">
        <f>IFERROR(__xludf.DUMMYFUNCTION("""COMPUTED_VALUE"""),"26/6/26")</f>
        <v>26/6/26</v>
      </c>
      <c r="K2166" s="42" t="str">
        <f>IFERROR(__xludf.DUMMYFUNCTION("""COMPUTED_VALUE"""),"Hospital Pérez Carreño")</f>
        <v>Hospital Pérez Carreño</v>
      </c>
    </row>
    <row r="2167">
      <c r="A2167" s="44">
        <v>2166.0</v>
      </c>
      <c r="B2167" s="44" t="str">
        <f>IFERROR(__xludf.DUMMYFUNCTION("""COMPUTED_VALUE"""),"Hospital Pérez Carreño")</f>
        <v>Hospital Pérez Carreño</v>
      </c>
      <c r="C2167" s="45" t="str">
        <f>IFERROR(__xludf.DUMMYFUNCTION("""COMPUTED_VALUE"""),"GUTIERREZ JABRICIO")</f>
        <v>GUTIERREZ JABRICIO</v>
      </c>
      <c r="D2167" s="44" t="str">
        <f>IFERROR(__xludf.DUMMYFUNCTION("""COMPUTED_VALUE""")," ")</f>
        <v> </v>
      </c>
      <c r="E2167" s="44" t="str">
        <f>IFERROR(__xludf.DUMMYFUNCTION("""COMPUTED_VALUE"""),"")</f>
        <v/>
      </c>
      <c r="F2167" s="44" t="str">
        <f>IFERROR(__xludf.DUMMYFUNCTION("""COMPUTED_VALUE"""),"")</f>
        <v/>
      </c>
      <c r="G2167" s="44" t="str">
        <f>IFERROR(__xludf.DUMMYFUNCTION("""COMPUTED_VALUE""")," ")</f>
        <v> </v>
      </c>
      <c r="H2167" s="44" t="str">
        <f>IFERROR(__xludf.DUMMYFUNCTION("""COMPUTED_VALUE""")," ")</f>
        <v> </v>
      </c>
      <c r="I2167" s="44" t="str">
        <f>IFERROR(__xludf.DUMMYFUNCTION("""COMPUTED_VALUE"""),"Piso 3 – Traumachok – Pasillo Asesor – Traumatología; La Guaira")</f>
        <v>Piso 3 – Traumachok – Pasillo Asesor – Traumatología; La Guaira</v>
      </c>
      <c r="J2167" s="44" t="str">
        <f>IFERROR(__xludf.DUMMYFUNCTION("""COMPUTED_VALUE"""),"25/06/2026")</f>
        <v>25/06/2026</v>
      </c>
      <c r="K2167" s="42" t="str">
        <f>IFERROR(__xludf.DUMMYFUNCTION("""COMPUTED_VALUE"""),"Hospital Pérez Carreño")</f>
        <v>Hospital Pérez Carreño</v>
      </c>
    </row>
    <row r="2168">
      <c r="A2168" s="44">
        <v>2167.0</v>
      </c>
      <c r="B2168" s="44" t="str">
        <f>IFERROR(__xludf.DUMMYFUNCTION("""COMPUTED_VALUE"""),"La Guaira Sin Hospital")</f>
        <v>La Guaira Sin Hospital</v>
      </c>
      <c r="C2168" s="45" t="str">
        <f>IFERROR(__xludf.DUMMYFUNCTION("""COMPUTED_VALUE"""),"Gutierrez Jose")</f>
        <v>Gutierrez Jose</v>
      </c>
      <c r="D2168" s="44" t="str">
        <f>IFERROR(__xludf.DUMMYFUNCTION("""COMPUTED_VALUE"""),"")</f>
        <v/>
      </c>
      <c r="E2168" s="44" t="str">
        <f>IFERROR(__xludf.DUMMYFUNCTION("""COMPUTED_VALUE"""),"")</f>
        <v/>
      </c>
      <c r="F2168" s="44" t="str">
        <f>IFERROR(__xludf.DUMMYFUNCTION("""COMPUTED_VALUE"""),"")</f>
        <v/>
      </c>
      <c r="G2168" s="44" t="str">
        <f>IFERROR(__xludf.DUMMYFUNCTION("""COMPUTED_VALUE"""),"")</f>
        <v/>
      </c>
      <c r="H2168" s="44" t="str">
        <f>IFERROR(__xludf.DUMMYFUNCTION("""COMPUTED_VALUE"""),"Sta Barbara - Barinas")</f>
        <v>Sta Barbara - Barinas</v>
      </c>
      <c r="I2168" s="44" t="str">
        <f>IFERROR(__xludf.DUMMYFUNCTION("""COMPUTED_VALUE"""),"Listas con ubicación")</f>
        <v>Listas con ubicación</v>
      </c>
      <c r="J2168" s="44" t="str">
        <f>IFERROR(__xludf.DUMMYFUNCTION("""COMPUTED_VALUE"""),"")</f>
        <v/>
      </c>
      <c r="K2168" s="42" t="str">
        <f>IFERROR(__xludf.DUMMYFUNCTION("""COMPUTED_VALUE"""),"La Guaira Sin Hospital")</f>
        <v>La Guaira Sin Hospital</v>
      </c>
    </row>
    <row r="2169">
      <c r="A2169" s="44">
        <v>2168.0</v>
      </c>
      <c r="B2169" s="44" t="str">
        <f>IFERROR(__xludf.DUMMYFUNCTION("""COMPUTED_VALUE"""),"H. Jose Maria Vargas LG")</f>
        <v>H. Jose Maria Vargas LG</v>
      </c>
      <c r="C2169" s="45" t="str">
        <f>IFERROR(__xludf.DUMMYFUNCTION("""COMPUTED_VALUE"""),"GUTIERREZ LILIBE")</f>
        <v>GUTIERREZ LILIBE</v>
      </c>
      <c r="D2169" s="44" t="str">
        <f>IFERROR(__xludf.DUMMYFUNCTION("""COMPUTED_VALUE""")," ")</f>
        <v> </v>
      </c>
      <c r="E2169" s="44" t="str">
        <f>IFERROR(__xludf.DUMMYFUNCTION("""COMPUTED_VALUE"""),"")</f>
        <v/>
      </c>
      <c r="F2169" s="44" t="str">
        <f>IFERROR(__xludf.DUMMYFUNCTION("""COMPUTED_VALUE"""),"")</f>
        <v/>
      </c>
      <c r="G2169" s="44" t="str">
        <f>IFERROR(__xludf.DUMMYFUNCTION("""COMPUTED_VALUE""")," ")</f>
        <v> </v>
      </c>
      <c r="H2169" s="44" t="str">
        <f>IFERROR(__xludf.DUMMYFUNCTION("""COMPUTED_VALUE"""),"Caribe")</f>
        <v>Caribe</v>
      </c>
      <c r="I2169" s="44" t="str">
        <f>IFERROR(__xludf.DUMMYFUNCTION("""COMPUTED_VALUE""")," ")</f>
        <v> </v>
      </c>
      <c r="J2169" s="44" t="str">
        <f>IFERROR(__xludf.DUMMYFUNCTION("""COMPUTED_VALUE"""),"")</f>
        <v/>
      </c>
      <c r="K2169" s="42" t="str">
        <f>IFERROR(__xludf.DUMMYFUNCTION("""COMPUTED_VALUE"""),"H. Jose Maria Vargas LG")</f>
        <v>H. Jose Maria Vargas LG</v>
      </c>
    </row>
    <row r="2170">
      <c r="A2170" s="44">
        <v>2169.0</v>
      </c>
      <c r="B2170" s="44" t="str">
        <f>IFERROR(__xludf.DUMMYFUNCTION("""COMPUTED_VALUE"""),"Hospital Pérez Carreño")</f>
        <v>Hospital Pérez Carreño</v>
      </c>
      <c r="C2170" s="45" t="str">
        <f>IFERROR(__xludf.DUMMYFUNCTION("""COMPUTED_VALUE"""),"Gutierrez Romero Barbara Nadiuska")</f>
        <v>Gutierrez Romero Barbara Nadiuska</v>
      </c>
      <c r="D2170" s="44"/>
      <c r="E2170" s="44" t="str">
        <f>IFERROR(__xludf.DUMMYFUNCTION("""COMPUTED_VALUE"""),"")</f>
        <v/>
      </c>
      <c r="F2170" s="44" t="str">
        <f>IFERROR(__xludf.DUMMYFUNCTION("""COMPUTED_VALUE"""),"")</f>
        <v/>
      </c>
      <c r="G2170" s="44" t="str">
        <f>IFERROR(__xludf.DUMMYFUNCTION("""COMPUTED_VALUE"""),"Traslados")</f>
        <v>Traslados</v>
      </c>
      <c r="H2170" s="44" t="str">
        <f>IFERROR(__xludf.DUMMYFUNCTION("""COMPUTED_VALUE"""),"Hospital Miguel Perez Carreño")</f>
        <v>Hospital Miguel Perez Carreño</v>
      </c>
      <c r="I2170" s="44"/>
      <c r="J2170" s="44" t="str">
        <f>IFERROR(__xludf.DUMMYFUNCTION("""COMPUTED_VALUE"""),"26/6/26")</f>
        <v>26/6/26</v>
      </c>
      <c r="K2170" s="42" t="str">
        <f>IFERROR(__xludf.DUMMYFUNCTION("""COMPUTED_VALUE"""),"Hospital Pérez Carreño")</f>
        <v>Hospital Pérez Carreño</v>
      </c>
    </row>
    <row r="2171">
      <c r="A2171" s="44">
        <v>2170.0</v>
      </c>
      <c r="B2171" s="44" t="str">
        <f>IFERROR(__xludf.DUMMYFUNCTION("""COMPUTED_VALUE"""),"Hospital Domingo Luciani")</f>
        <v>Hospital Domingo Luciani</v>
      </c>
      <c r="C2171" s="45" t="str">
        <f>IFERROR(__xludf.DUMMYFUNCTION("""COMPUTED_VALUE"""),"GUZMAN PAOLA")</f>
        <v>GUZMAN PAOLA</v>
      </c>
      <c r="D2171" s="44">
        <f>IFERROR(__xludf.DUMMYFUNCTION("""COMPUTED_VALUE"""),12.0)</f>
        <v>12</v>
      </c>
      <c r="E2171" s="44" t="str">
        <f>IFERROR(__xludf.DUMMYFUNCTION("""COMPUTED_VALUE"""),"")</f>
        <v/>
      </c>
      <c r="F2171" s="44" t="str">
        <f>IFERROR(__xludf.DUMMYFUNCTION("""COMPUTED_VALUE"""),"")</f>
        <v/>
      </c>
      <c r="G2171" s="44" t="str">
        <f>IFERROR(__xludf.DUMMYFUNCTION("""COMPUTED_VALUE""")," ")</f>
        <v> </v>
      </c>
      <c r="H2171" s="44" t="str">
        <f>IFERROR(__xludf.DUMMYFUNCTION("""COMPUTED_VALUE""")," ")</f>
        <v> </v>
      </c>
      <c r="I2171" s="44" t="str">
        <f>IFERROR(__xludf.DUMMYFUNCTION("""COMPUTED_VALUE""")," ")</f>
        <v> </v>
      </c>
      <c r="J2171" s="44" t="str">
        <f>IFERROR(__xludf.DUMMYFUNCTION("""COMPUTED_VALUE"""),"")</f>
        <v/>
      </c>
      <c r="K2171" s="42" t="str">
        <f>IFERROR(__xludf.DUMMYFUNCTION("""COMPUTED_VALUE"""),"🔍 BUSCAR PACIENTES")</f>
        <v>🔍 BUSCAR PACIENTES</v>
      </c>
    </row>
    <row r="2172">
      <c r="A2172" s="44">
        <v>2171.0</v>
      </c>
      <c r="B2172" s="44" t="str">
        <f>IFERROR(__xludf.DUMMYFUNCTION("""COMPUTED_VALUE"""),"Periférico de Catia")</f>
        <v>Periférico de Catia</v>
      </c>
      <c r="C2172" s="45" t="str">
        <f>IFERROR(__xludf.DUMMYFUNCTION("""COMPUTED_VALUE"""),"HADDEN YALETZY")</f>
        <v>HADDEN YALETZY</v>
      </c>
      <c r="D2172" s="44">
        <f>IFERROR(__xludf.DUMMYFUNCTION("""COMPUTED_VALUE"""),41.0)</f>
        <v>41</v>
      </c>
      <c r="E2172" s="44" t="str">
        <f>IFERROR(__xludf.DUMMYFUNCTION("""COMPUTED_VALUE"""),"")</f>
        <v/>
      </c>
      <c r="F2172" s="44" t="str">
        <f>IFERROR(__xludf.DUMMYFUNCTION("""COMPUTED_VALUE"""),"")</f>
        <v/>
      </c>
      <c r="G2172" s="44" t="str">
        <f>IFERROR(__xludf.DUMMYFUNCTION("""COMPUTED_VALUE""")," ")</f>
        <v> </v>
      </c>
      <c r="H2172" s="44" t="str">
        <f>IFERROR(__xludf.DUMMYFUNCTION("""COMPUTED_VALUE"""),"Casalta casa callejon Rodriguez")</f>
        <v>Casalta casa callejon Rodriguez</v>
      </c>
      <c r="I2172" s="44" t="str">
        <f>IFERROR(__xludf.DUMMYFUNCTION("""COMPUTED_VALUE""")," ")</f>
        <v> </v>
      </c>
      <c r="J2172" s="44" t="str">
        <f>IFERROR(__xludf.DUMMYFUNCTION("""COMPUTED_VALUE"""),"")</f>
        <v/>
      </c>
      <c r="K2172" s="42" t="str">
        <f>IFERROR(__xludf.DUMMYFUNCTION("""COMPUTED_VALUE"""),"Periférico de Catia")</f>
        <v>Periférico de Catia</v>
      </c>
    </row>
    <row r="2173">
      <c r="A2173" s="44">
        <v>2172.0</v>
      </c>
      <c r="B2173" s="44" t="str">
        <f>IFERROR(__xludf.DUMMYFUNCTION("""COMPUTED_VALUE"""),"Hospital Domingo Luciani")</f>
        <v>Hospital Domingo Luciani</v>
      </c>
      <c r="C2173" s="45" t="str">
        <f>IFERROR(__xludf.DUMMYFUNCTION("""COMPUTED_VALUE"""),"Haiddy Lopez")</f>
        <v>Haiddy Lopez</v>
      </c>
      <c r="D2173" s="44">
        <f>IFERROR(__xludf.DUMMYFUNCTION("""COMPUTED_VALUE"""),42.0)</f>
        <v>42</v>
      </c>
      <c r="E2173" s="44" t="str">
        <f>IFERROR(__xludf.DUMMYFUNCTION("""COMPUTED_VALUE"""),"")</f>
        <v/>
      </c>
      <c r="F2173" s="44" t="str">
        <f>IFERROR(__xludf.DUMMYFUNCTION("""COMPUTED_VALUE"""),"")</f>
        <v/>
      </c>
      <c r="G2173" s="44"/>
      <c r="H2173" s="44"/>
      <c r="I2173" s="44"/>
      <c r="J2173" s="44" t="str">
        <f>IFERROR(__xludf.DUMMYFUNCTION("""COMPUTED_VALUE"""),"")</f>
        <v/>
      </c>
      <c r="K2173" s="42" t="str">
        <f>IFERROR(__xludf.DUMMYFUNCTION("""COMPUTED_VALUE"""),"Hospital Domingo Luciani")</f>
        <v>Hospital Domingo Luciani</v>
      </c>
    </row>
    <row r="2174">
      <c r="A2174" s="44">
        <v>2173.0</v>
      </c>
      <c r="B2174" s="44" t="str">
        <f>IFERROR(__xludf.DUMMYFUNCTION("""COMPUTED_VALUE"""),"Hospital Pérez Carreño")</f>
        <v>Hospital Pérez Carreño</v>
      </c>
      <c r="C2174" s="45" t="str">
        <f>IFERROR(__xludf.DUMMYFUNCTION("""COMPUTED_VALUE"""),"Halave Tamora")</f>
        <v>Halave Tamora</v>
      </c>
      <c r="D2174" s="44"/>
      <c r="E2174" s="44" t="str">
        <f>IFERROR(__xludf.DUMMYFUNCTION("""COMPUTED_VALUE"""),"")</f>
        <v/>
      </c>
      <c r="F2174" s="44" t="str">
        <f>IFERROR(__xludf.DUMMYFUNCTION("""COMPUTED_VALUE"""),"")</f>
        <v/>
      </c>
      <c r="G2174" s="44" t="str">
        <f>IFERROR(__xludf.DUMMYFUNCTION("""COMPUTED_VALUE"""),"Traslados con destino asignado")</f>
        <v>Traslados con destino asignado</v>
      </c>
      <c r="H2174" s="44" t="str">
        <f>IFERROR(__xludf.DUMMYFUNCTION("""COMPUTED_VALUE"""),"Hospital Miguel Perez Carreño")</f>
        <v>Hospital Miguel Perez Carreño</v>
      </c>
      <c r="I2174" s="44"/>
      <c r="J2174" s="44" t="str">
        <f>IFERROR(__xludf.DUMMYFUNCTION("""COMPUTED_VALUE"""),"26/6/26")</f>
        <v>26/6/26</v>
      </c>
      <c r="K2174" s="42" t="str">
        <f>IFERROR(__xludf.DUMMYFUNCTION("""COMPUTED_VALUE"""),"Hospital Pérez Carreño")</f>
        <v>Hospital Pérez Carreño</v>
      </c>
    </row>
    <row r="2175">
      <c r="A2175" s="44">
        <v>2174.0</v>
      </c>
      <c r="B2175" s="44" t="str">
        <f>IFERROR(__xludf.DUMMYFUNCTION("""COMPUTED_VALUE"""),"Campo de Golf Playa los Cocos")</f>
        <v>Campo de Golf Playa los Cocos</v>
      </c>
      <c r="C2175" s="45" t="str">
        <f>IFERROR(__xludf.DUMMYFUNCTION("""COMPUTED_VALUE"""),"Hana Rodriguez")</f>
        <v>Hana Rodriguez</v>
      </c>
      <c r="D2175" s="44" t="str">
        <f>IFERROR(__xludf.DUMMYFUNCTION("""COMPUTED_VALUE"""),"")</f>
        <v/>
      </c>
      <c r="E2175" s="44" t="str">
        <f>IFERROR(__xludf.DUMMYFUNCTION("""COMPUTED_VALUE"""),"")</f>
        <v/>
      </c>
      <c r="F2175" s="44" t="str">
        <f>IFERROR(__xludf.DUMMYFUNCTION("""COMPUTED_VALUE"""),"")</f>
        <v/>
      </c>
      <c r="G2175" s="44" t="str">
        <f>IFERROR(__xludf.DUMMYFUNCTION("""COMPUTED_VALUE"""),"")</f>
        <v/>
      </c>
      <c r="H2175" s="44" t="str">
        <f>IFERROR(__xludf.DUMMYFUNCTION("""COMPUTED_VALUE"""),"")</f>
        <v/>
      </c>
      <c r="I2175" s="44" t="str">
        <f>IFERROR(__xludf.DUMMYFUNCTION("""COMPUTED_VALUE"""),"Nombre con baja legibilidad por brillo/reflejo en el original")</f>
        <v>Nombre con baja legibilidad por brillo/reflejo en el original</v>
      </c>
      <c r="J2175" s="44" t="str">
        <f>IFERROR(__xludf.DUMMYFUNCTION("""COMPUTED_VALUE"""),"")</f>
        <v/>
      </c>
      <c r="K2175" s="42" t="str">
        <f>IFERROR(__xludf.DUMMYFUNCTION("""COMPUTED_VALUE"""),"Campo de Golf Playa los Cocos")</f>
        <v>Campo de Golf Playa los Cocos</v>
      </c>
    </row>
    <row r="2176">
      <c r="A2176" s="44">
        <v>2175.0</v>
      </c>
      <c r="B2176" s="44" t="str">
        <f>IFERROR(__xludf.DUMMYFUNCTION("""COMPUTED_VALUE"""),"Periférico de Catia")</f>
        <v>Periférico de Catia</v>
      </c>
      <c r="C2176" s="45" t="str">
        <f>IFERROR(__xludf.DUMMYFUNCTION("""COMPUTED_VALUE"""),"HARIENZ NEIBER")</f>
        <v>HARIENZ NEIBER</v>
      </c>
      <c r="D2176" s="44">
        <f>IFERROR(__xludf.DUMMYFUNCTION("""COMPUTED_VALUE"""),24.0)</f>
        <v>24</v>
      </c>
      <c r="E2176" s="44" t="str">
        <f>IFERROR(__xludf.DUMMYFUNCTION("""COMPUTED_VALUE"""),"")</f>
        <v/>
      </c>
      <c r="F2176" s="44" t="str">
        <f>IFERROR(__xludf.DUMMYFUNCTION("""COMPUTED_VALUE"""),"")</f>
        <v/>
      </c>
      <c r="G2176" s="44" t="str">
        <f>IFERROR(__xludf.DUMMYFUNCTION("""COMPUTED_VALUE""")," ")</f>
        <v> </v>
      </c>
      <c r="H2176" s="44" t="str">
        <f>IFERROR(__xludf.DUMMYFUNCTION("""COMPUTED_VALUE""")," ")</f>
        <v> </v>
      </c>
      <c r="I2176" s="44" t="str">
        <f>IFERROR(__xludf.DUMMYFUNCTION("""COMPUTED_VALUE"""),"Sola")</f>
        <v>Sola</v>
      </c>
      <c r="J2176" s="44" t="str">
        <f>IFERROR(__xludf.DUMMYFUNCTION("""COMPUTED_VALUE"""),"")</f>
        <v/>
      </c>
      <c r="K2176" s="42" t="str">
        <f>IFERROR(__xludf.DUMMYFUNCTION("""COMPUTED_VALUE"""),"Periférico de Catia")</f>
        <v>Periférico de Catia</v>
      </c>
    </row>
    <row r="2177">
      <c r="A2177" s="44">
        <v>2176.0</v>
      </c>
      <c r="B2177" s="44" t="str">
        <f>IFERROR(__xludf.DUMMYFUNCTION("""COMPUTED_VALUE"""),"Periférico de Catia")</f>
        <v>Periférico de Catia</v>
      </c>
      <c r="C2177" s="45" t="str">
        <f>IFERROR(__xludf.DUMMYFUNCTION("""COMPUTED_VALUE"""),"HAROLD CAPELLA")</f>
        <v>HAROLD CAPELLA</v>
      </c>
      <c r="D2177" s="44">
        <f>IFERROR(__xludf.DUMMYFUNCTION("""COMPUTED_VALUE"""),33.0)</f>
        <v>33</v>
      </c>
      <c r="E2177" s="44" t="str">
        <f>IFERROR(__xludf.DUMMYFUNCTION("""COMPUTED_VALUE"""),"")</f>
        <v/>
      </c>
      <c r="F2177" s="44" t="str">
        <f>IFERROR(__xludf.DUMMYFUNCTION("""COMPUTED_VALUE"""),"")</f>
        <v/>
      </c>
      <c r="G2177" s="44" t="str">
        <f>IFERROR(__xludf.DUMMYFUNCTION("""COMPUTED_VALUE""")," ")</f>
        <v> </v>
      </c>
      <c r="H2177" s="44" t="str">
        <f>IFERROR(__xludf.DUMMYFUNCTION("""COMPUTED_VALUE""")," ")</f>
        <v> </v>
      </c>
      <c r="I2177" s="44" t="str">
        <f>IFERROR(__xludf.DUMMYFUNCTION("""COMPUTED_VALUE""")," ")</f>
        <v> </v>
      </c>
      <c r="J2177" s="44" t="str">
        <f>IFERROR(__xludf.DUMMYFUNCTION("""COMPUTED_VALUE"""),"")</f>
        <v/>
      </c>
      <c r="K2177" s="42" t="str">
        <f>IFERROR(__xludf.DUMMYFUNCTION("""COMPUTED_VALUE"""),"Periférico de Catia")</f>
        <v>Periférico de Catia</v>
      </c>
    </row>
    <row r="2178">
      <c r="A2178" s="44">
        <v>2177.0</v>
      </c>
      <c r="B2178" s="44" t="str">
        <f>IFERROR(__xludf.DUMMYFUNCTION("""COMPUTED_VALUE"""),"Hospital Domingo Luciani")</f>
        <v>Hospital Domingo Luciani</v>
      </c>
      <c r="C2178" s="45" t="str">
        <f>IFERROR(__xludf.DUMMYFUNCTION("""COMPUTED_VALUE"""),"HARRUFO ARIANA")</f>
        <v>HARRUFO ARIANA</v>
      </c>
      <c r="D2178" s="44">
        <f>IFERROR(__xludf.DUMMYFUNCTION("""COMPUTED_VALUE"""),84.0)</f>
        <v>84</v>
      </c>
      <c r="E2178" s="44" t="str">
        <f>IFERROR(__xludf.DUMMYFUNCTION("""COMPUTED_VALUE"""),"")</f>
        <v/>
      </c>
      <c r="F2178" s="44" t="str">
        <f>IFERROR(__xludf.DUMMYFUNCTION("""COMPUTED_VALUE"""),"")</f>
        <v/>
      </c>
      <c r="G2178" s="44" t="str">
        <f>IFERROR(__xludf.DUMMYFUNCTION("""COMPUTED_VALUE""")," ")</f>
        <v> </v>
      </c>
      <c r="H2178" s="44" t="str">
        <f>IFERROR(__xludf.DUMMYFUNCTION("""COMPUTED_VALUE""")," ")</f>
        <v> </v>
      </c>
      <c r="I2178" s="44" t="str">
        <f>IFERROR(__xludf.DUMMYFUNCTION("""COMPUTED_VALUE"""),"Trauma")</f>
        <v>Trauma</v>
      </c>
      <c r="J2178" s="44" t="str">
        <f>IFERROR(__xludf.DUMMYFUNCTION("""COMPUTED_VALUE"""),"")</f>
        <v/>
      </c>
      <c r="K2178" s="42" t="str">
        <f>IFERROR(__xludf.DUMMYFUNCTION("""COMPUTED_VALUE"""),"🔍 BUSCAR PACIENTES")</f>
        <v>🔍 BUSCAR PACIENTES</v>
      </c>
    </row>
    <row r="2179">
      <c r="A2179" s="44">
        <v>2178.0</v>
      </c>
      <c r="B2179" s="44" t="str">
        <f>IFERROR(__xludf.DUMMYFUNCTION("""COMPUTED_VALUE"""),"Hospital Domingo Luciani")</f>
        <v>Hospital Domingo Luciani</v>
      </c>
      <c r="C2179" s="45" t="str">
        <f>IFERROR(__xludf.DUMMYFUNCTION("""COMPUTED_VALUE"""),"Hasael Acosta")</f>
        <v>Hasael Acosta</v>
      </c>
      <c r="D2179" s="44">
        <f>IFERROR(__xludf.DUMMYFUNCTION("""COMPUTED_VALUE"""),13.0)</f>
        <v>13</v>
      </c>
      <c r="E2179" s="44" t="str">
        <f>IFERROR(__xludf.DUMMYFUNCTION("""COMPUTED_VALUE"""),"")</f>
        <v/>
      </c>
      <c r="F2179" s="44" t="str">
        <f>IFERROR(__xludf.DUMMYFUNCTION("""COMPUTED_VALUE"""),"")</f>
        <v/>
      </c>
      <c r="G2179" s="44"/>
      <c r="H2179" s="44"/>
      <c r="I2179" s="44"/>
      <c r="J2179" s="44" t="str">
        <f>IFERROR(__xludf.DUMMYFUNCTION("""COMPUTED_VALUE"""),"")</f>
        <v/>
      </c>
      <c r="K2179" s="42" t="str">
        <f>IFERROR(__xludf.DUMMYFUNCTION("""COMPUTED_VALUE"""),"Hospital Domingo Luciani")</f>
        <v>Hospital Domingo Luciani</v>
      </c>
    </row>
    <row r="2180">
      <c r="A2180" s="44">
        <v>2179.0</v>
      </c>
      <c r="B2180" s="44" t="str">
        <f>IFERROR(__xludf.DUMMYFUNCTION("""COMPUTED_VALUE"""),"Hospital Vargas de Caracas")</f>
        <v>Hospital Vargas de Caracas</v>
      </c>
      <c r="C2180" s="45" t="str">
        <f>IFERROR(__xludf.DUMMYFUNCTION("""COMPUTED_VALUE"""),"HASSAN JOSEF")</f>
        <v>HASSAN JOSEF</v>
      </c>
      <c r="D2180" s="44" t="str">
        <f>IFERROR(__xludf.DUMMYFUNCTION("""COMPUTED_VALUE""")," ")</f>
        <v> </v>
      </c>
      <c r="E2180" s="44" t="str">
        <f>IFERROR(__xludf.DUMMYFUNCTION("""COMPUTED_VALUE"""),"")</f>
        <v/>
      </c>
      <c r="F2180" s="44" t="str">
        <f>IFERROR(__xludf.DUMMYFUNCTION("""COMPUTED_VALUE""")," ")</f>
        <v> </v>
      </c>
      <c r="G2180" s="44" t="str">
        <f>IFERROR(__xludf.DUMMYFUNCTION("""COMPUTED_VALUE"""),"")</f>
        <v/>
      </c>
      <c r="H2180" s="44" t="str">
        <f>IFERROR(__xludf.DUMMYFUNCTION("""COMPUTED_VALUE""")," ")</f>
        <v> </v>
      </c>
      <c r="I2180" s="44" t="str">
        <f>IFERROR(__xludf.DUMMYFUNCTION("""COMPUTED_VALUE""")," ")</f>
        <v> </v>
      </c>
      <c r="J2180" s="44" t="str">
        <f>IFERROR(__xludf.DUMMYFUNCTION("""COMPUTED_VALUE"""),"")</f>
        <v/>
      </c>
      <c r="K2180" s="42" t="str">
        <f>IFERROR(__xludf.DUMMYFUNCTION("""COMPUTED_VALUE"""),"Hospital Vargas de Caracas")</f>
        <v>Hospital Vargas de Caracas</v>
      </c>
    </row>
    <row r="2181">
      <c r="A2181" s="44">
        <v>2180.0</v>
      </c>
      <c r="B2181" s="44" t="str">
        <f>IFERROR(__xludf.DUMMYFUNCTION("""COMPUTED_VALUE"""),"Seguro Social La Guaira")</f>
        <v>Seguro Social La Guaira</v>
      </c>
      <c r="C2181" s="45" t="str">
        <f>IFERROR(__xludf.DUMMYFUNCTION("""COMPUTED_VALUE"""),"HAYDI LOPEZ")</f>
        <v>HAYDI LOPEZ</v>
      </c>
      <c r="D2181" s="44" t="str">
        <f>IFERROR(__xludf.DUMMYFUNCTION("""COMPUTED_VALUE""")," ")</f>
        <v> </v>
      </c>
      <c r="E2181" s="44" t="str">
        <f>IFERROR(__xludf.DUMMYFUNCTION("""COMPUTED_VALUE"""),"")</f>
        <v/>
      </c>
      <c r="F2181" s="44" t="str">
        <f>IFERROR(__xludf.DUMMYFUNCTION("""COMPUTED_VALUE"""),"")</f>
        <v/>
      </c>
      <c r="G2181" s="44" t="str">
        <f>IFERROR(__xludf.DUMMYFUNCTION("""COMPUTED_VALUE""")," ")</f>
        <v> </v>
      </c>
      <c r="H2181" s="44" t="str">
        <f>IFERROR(__xludf.DUMMYFUNCTION("""COMPUTED_VALUE"""),"Caribe")</f>
        <v>Caribe</v>
      </c>
      <c r="I2181" s="44" t="str">
        <f>IFERROR(__xludf.DUMMYFUNCTION("""COMPUTED_VALUE""")," ")</f>
        <v> </v>
      </c>
      <c r="J2181" s="44" t="str">
        <f>IFERROR(__xludf.DUMMYFUNCTION("""COMPUTED_VALUE"""),"")</f>
        <v/>
      </c>
      <c r="K2181" s="42" t="str">
        <f>IFERROR(__xludf.DUMMYFUNCTION("""COMPUTED_VALUE"""),"Seguro Social La Guaira")</f>
        <v>Seguro Social La Guaira</v>
      </c>
    </row>
    <row r="2182">
      <c r="A2182" s="44">
        <v>2181.0</v>
      </c>
      <c r="B2182" s="44" t="str">
        <f>IFERROR(__xludf.DUMMYFUNCTION("""COMPUTED_VALUE"""),"Hospital Vargas de Caracas")</f>
        <v>Hospital Vargas de Caracas</v>
      </c>
      <c r="C2182" s="45" t="str">
        <f>IFERROR(__xludf.DUMMYFUNCTION("""COMPUTED_VALUE"""),"HEBERTH CHIQUINQUIRA")</f>
        <v>HEBERTH CHIQUINQUIRA</v>
      </c>
      <c r="D2182" s="44" t="str">
        <f>IFERROR(__xludf.DUMMYFUNCTION("""COMPUTED_VALUE""")," ")</f>
        <v> </v>
      </c>
      <c r="E2182" s="44" t="str">
        <f>IFERROR(__xludf.DUMMYFUNCTION("""COMPUTED_VALUE"""),"")</f>
        <v/>
      </c>
      <c r="F2182" s="44" t="str">
        <f>IFERROR(__xludf.DUMMYFUNCTION("""COMPUTED_VALUE""")," ")</f>
        <v> </v>
      </c>
      <c r="G2182" s="44" t="str">
        <f>IFERROR(__xludf.DUMMYFUNCTION("""COMPUTED_VALUE"""),"")</f>
        <v/>
      </c>
      <c r="H2182" s="44" t="str">
        <f>IFERROR(__xludf.DUMMYFUNCTION("""COMPUTED_VALUE""")," ")</f>
        <v> </v>
      </c>
      <c r="I2182" s="44" t="str">
        <f>IFERROR(__xludf.DUMMYFUNCTION("""COMPUTED_VALUE""")," ")</f>
        <v> </v>
      </c>
      <c r="J2182" s="44" t="str">
        <f>IFERROR(__xludf.DUMMYFUNCTION("""COMPUTED_VALUE"""),"")</f>
        <v/>
      </c>
      <c r="K2182" s="42" t="str">
        <f>IFERROR(__xludf.DUMMYFUNCTION("""COMPUTED_VALUE"""),"Hospital Vargas de Caracas")</f>
        <v>Hospital Vargas de Caracas</v>
      </c>
    </row>
    <row r="2183">
      <c r="A2183" s="44">
        <v>2182.0</v>
      </c>
      <c r="B2183" s="44" t="str">
        <f>IFERROR(__xludf.DUMMYFUNCTION("""COMPUTED_VALUE"""),"HOSPITAL VARGAS")</f>
        <v>HOSPITAL VARGAS</v>
      </c>
      <c r="C2183" s="45" t="str">
        <f>IFERROR(__xludf.DUMMYFUNCTION("""COMPUTED_VALUE"""),"Héctor Oyarbes")</f>
        <v>Héctor Oyarbes</v>
      </c>
      <c r="D2183" s="44"/>
      <c r="E2183" s="44" t="str">
        <f>IFERROR(__xludf.DUMMYFUNCTION("""COMPUTED_VALUE"""),"")</f>
        <v/>
      </c>
      <c r="F2183" s="44" t="str">
        <f>IFERROR(__xludf.DUMMYFUNCTION("""COMPUTED_VALUE"""),"")</f>
        <v/>
      </c>
      <c r="G2183" s="44" t="str">
        <f>IFERROR(__xludf.DUMMYFUNCTION("""COMPUTED_VALUE"""),"")</f>
        <v/>
      </c>
      <c r="H2183" s="44" t="str">
        <f>IFERROR(__xludf.DUMMYFUNCTION("""COMPUTED_VALUE"""),"")</f>
        <v/>
      </c>
      <c r="I2183" s="44" t="str">
        <f>IFERROR(__xludf.DUMMYFUNCTION("""COMPUTED_VALUE"""),"Herido / atendido")</f>
        <v>Herido / atendido</v>
      </c>
      <c r="J2183" s="44" t="str">
        <f>IFERROR(__xludf.DUMMYFUNCTION("""COMPUTED_VALUE"""),"24.06.2026 ")</f>
        <v>24.06.2026 </v>
      </c>
      <c r="K2183" s="42" t="str">
        <f>IFERROR(__xludf.DUMMYFUNCTION("""COMPUTED_VALUE"""),"HOSPITAL VARGAS")</f>
        <v>HOSPITAL VARGAS</v>
      </c>
    </row>
    <row r="2184">
      <c r="A2184" s="44">
        <v>2183.0</v>
      </c>
      <c r="B2184" s="44" t="str">
        <f>IFERROR(__xludf.DUMMYFUNCTION("""COMPUTED_VALUE"""),"Hospital Domingo Luciani")</f>
        <v>Hospital Domingo Luciani</v>
      </c>
      <c r="C2184" s="45" t="str">
        <f>IFERROR(__xludf.DUMMYFUNCTION("""COMPUTED_VALUE"""),"Helen Salazar")</f>
        <v>Helen Salazar</v>
      </c>
      <c r="D2184" s="44">
        <f>IFERROR(__xludf.DUMMYFUNCTION("""COMPUTED_VALUE"""),23.0)</f>
        <v>23</v>
      </c>
      <c r="E2184" s="44" t="str">
        <f>IFERROR(__xludf.DUMMYFUNCTION("""COMPUTED_VALUE"""),"")</f>
        <v/>
      </c>
      <c r="F2184" s="44" t="str">
        <f>IFERROR(__xludf.DUMMYFUNCTION("""COMPUTED_VALUE"""),"")</f>
        <v/>
      </c>
      <c r="G2184" s="44"/>
      <c r="H2184" s="44"/>
      <c r="I2184" s="44"/>
      <c r="J2184" s="44" t="str">
        <f>IFERROR(__xludf.DUMMYFUNCTION("""COMPUTED_VALUE"""),"")</f>
        <v/>
      </c>
      <c r="K2184" s="42" t="str">
        <f>IFERROR(__xludf.DUMMYFUNCTION("""COMPUTED_VALUE"""),"Hospital Domingo Luciani")</f>
        <v>Hospital Domingo Luciani</v>
      </c>
    </row>
    <row r="2185">
      <c r="A2185" s="44">
        <v>2184.0</v>
      </c>
      <c r="B2185" s="44" t="str">
        <f>IFERROR(__xludf.DUMMYFUNCTION("""COMPUTED_VALUE"""),"Periférico de Catia")</f>
        <v>Periférico de Catia</v>
      </c>
      <c r="C2185" s="45" t="str">
        <f>IFERROR(__xludf.DUMMYFUNCTION("""COMPUTED_VALUE"""),"HELINSSON AQUINO")</f>
        <v>HELINSSON AQUINO</v>
      </c>
      <c r="D2185" s="44" t="str">
        <f>IFERROR(__xludf.DUMMYFUNCTION("""COMPUTED_VALUE""")," ")</f>
        <v> </v>
      </c>
      <c r="E2185" s="44" t="str">
        <f>IFERROR(__xludf.DUMMYFUNCTION("""COMPUTED_VALUE"""),"")</f>
        <v/>
      </c>
      <c r="F2185" s="44" t="str">
        <f>IFERROR(__xludf.DUMMYFUNCTION("""COMPUTED_VALUE"""),"")</f>
        <v/>
      </c>
      <c r="G2185" s="44" t="str">
        <f>IFERROR(__xludf.DUMMYFUNCTION("""COMPUTED_VALUE""")," ")</f>
        <v> </v>
      </c>
      <c r="H2185" s="44" t="str">
        <f>IFERROR(__xludf.DUMMYFUNCTION("""COMPUTED_VALUE""")," ")</f>
        <v> </v>
      </c>
      <c r="I2185" s="44" t="str">
        <f>IFERROR(__xludf.DUMMYFUNCTION("""COMPUTED_VALUE""")," ")</f>
        <v> </v>
      </c>
      <c r="J2185" s="44" t="str">
        <f>IFERROR(__xludf.DUMMYFUNCTION("""COMPUTED_VALUE"""),"")</f>
        <v/>
      </c>
      <c r="K2185" s="42" t="str">
        <f>IFERROR(__xludf.DUMMYFUNCTION("""COMPUTED_VALUE"""),"Periférico de Catia")</f>
        <v>Periférico de Catia</v>
      </c>
    </row>
    <row r="2186">
      <c r="A2186" s="44">
        <v>2185.0</v>
      </c>
      <c r="B2186" s="44" t="str">
        <f>IFERROR(__xludf.DUMMYFUNCTION("""COMPUTED_VALUE"""),"Hospital Pérez Carreño")</f>
        <v>Hospital Pérez Carreño</v>
      </c>
      <c r="C2186" s="45" t="str">
        <f>IFERROR(__xludf.DUMMYFUNCTION("""COMPUTED_VALUE"""),"Hemonda Romirez Maite")</f>
        <v>Hemonda Romirez Maite</v>
      </c>
      <c r="D2186" s="44"/>
      <c r="E2186" s="44" t="str">
        <f>IFERROR(__xludf.DUMMYFUNCTION("""COMPUTED_VALUE"""),"")</f>
        <v/>
      </c>
      <c r="F2186" s="44" t="str">
        <f>IFERROR(__xludf.DUMMYFUNCTION("""COMPUTED_VALUE"""),"")</f>
        <v/>
      </c>
      <c r="G2186" s="44" t="str">
        <f>IFERROR(__xludf.DUMMYFUNCTION("""COMPUTED_VALUE"""),"Traslados con destino asignado")</f>
        <v>Traslados con destino asignado</v>
      </c>
      <c r="H2186" s="44" t="str">
        <f>IFERROR(__xludf.DUMMYFUNCTION("""COMPUTED_VALUE"""),"Hospital Miguel Perez Carreño")</f>
        <v>Hospital Miguel Perez Carreño</v>
      </c>
      <c r="I2186" s="44"/>
      <c r="J2186" s="44" t="str">
        <f>IFERROR(__xludf.DUMMYFUNCTION("""COMPUTED_VALUE"""),"26/6/26")</f>
        <v>26/6/26</v>
      </c>
      <c r="K2186" s="42" t="str">
        <f>IFERROR(__xludf.DUMMYFUNCTION("""COMPUTED_VALUE"""),"Hospital Pérez Carreño")</f>
        <v>Hospital Pérez Carreño</v>
      </c>
    </row>
    <row r="2187">
      <c r="A2187" s="44">
        <v>2186.0</v>
      </c>
      <c r="B2187" s="44" t="str">
        <f>IFERROR(__xludf.DUMMYFUNCTION("""COMPUTED_VALUE"""),"Hospital Vargas de Caracas")</f>
        <v>Hospital Vargas de Caracas</v>
      </c>
      <c r="C2187" s="45" t="str">
        <f>IFERROR(__xludf.DUMMYFUNCTION("""COMPUTED_VALUE"""),"HENRIQUEZ ISQUIEL")</f>
        <v>HENRIQUEZ ISQUIEL</v>
      </c>
      <c r="D2187" s="44">
        <f>IFERROR(__xludf.DUMMYFUNCTION("""COMPUTED_VALUE"""),55.0)</f>
        <v>55</v>
      </c>
      <c r="E2187" s="44" t="str">
        <f>IFERROR(__xludf.DUMMYFUNCTION("""COMPUTED_VALUE"""),"")</f>
        <v/>
      </c>
      <c r="F2187" s="44" t="str">
        <f>IFERROR(__xludf.DUMMYFUNCTION("""COMPUTED_VALUE""")," ")</f>
        <v> </v>
      </c>
      <c r="G2187" s="44" t="str">
        <f>IFERROR(__xludf.DUMMYFUNCTION("""COMPUTED_VALUE"""),"")</f>
        <v/>
      </c>
      <c r="H2187" s="44" t="str">
        <f>IFERROR(__xludf.DUMMYFUNCTION("""COMPUTED_VALUE"""),"La Guaira – No Hablaba")</f>
        <v>La Guaira – No Hablaba</v>
      </c>
      <c r="I2187" s="44" t="str">
        <f>IFERROR(__xludf.DUMMYFUNCTION("""COMPUTED_VALUE"""),"UPT")</f>
        <v>UPT</v>
      </c>
      <c r="J2187" s="44" t="str">
        <f>IFERROR(__xludf.DUMMYFUNCTION("""COMPUTED_VALUE"""),"")</f>
        <v/>
      </c>
      <c r="K2187" s="42" t="str">
        <f>IFERROR(__xludf.DUMMYFUNCTION("""COMPUTED_VALUE"""),"Hospital Vargas de Caracas")</f>
        <v>Hospital Vargas de Caracas</v>
      </c>
    </row>
    <row r="2188">
      <c r="A2188" s="44">
        <v>2187.0</v>
      </c>
      <c r="B2188" s="44" t="str">
        <f>IFERROR(__xludf.DUMMYFUNCTION("""COMPUTED_VALUE"""),"Periférico de Catia")</f>
        <v>Periférico de Catia</v>
      </c>
      <c r="C2188" s="45" t="str">
        <f>IFERROR(__xludf.DUMMYFUNCTION("""COMPUTED_VALUE"""),"HERLANE LOPEZ")</f>
        <v>HERLANE LOPEZ</v>
      </c>
      <c r="D2188" s="44">
        <f>IFERROR(__xludf.DUMMYFUNCTION("""COMPUTED_VALUE"""),68.0)</f>
        <v>68</v>
      </c>
      <c r="E2188" s="44" t="str">
        <f>IFERROR(__xludf.DUMMYFUNCTION("""COMPUTED_VALUE"""),"")</f>
        <v/>
      </c>
      <c r="F2188" s="44" t="str">
        <f>IFERROR(__xludf.DUMMYFUNCTION("""COMPUTED_VALUE"""),"")</f>
        <v/>
      </c>
      <c r="G2188" s="44" t="str">
        <f>IFERROR(__xludf.DUMMYFUNCTION("""COMPUTED_VALUE""")," ")</f>
        <v> </v>
      </c>
      <c r="H2188" s="44" t="str">
        <f>IFERROR(__xludf.DUMMYFUNCTION("""COMPUTED_VALUE""")," ")</f>
        <v> </v>
      </c>
      <c r="I2188" s="44" t="str">
        <f>IFERROR(__xludf.DUMMYFUNCTION("""COMPUTED_VALUE""")," ")</f>
        <v> </v>
      </c>
      <c r="J2188" s="44" t="str">
        <f>IFERROR(__xludf.DUMMYFUNCTION("""COMPUTED_VALUE"""),"")</f>
        <v/>
      </c>
      <c r="K2188" s="42" t="str">
        <f>IFERROR(__xludf.DUMMYFUNCTION("""COMPUTED_VALUE"""),"Periférico de Catia")</f>
        <v>Periférico de Catia</v>
      </c>
    </row>
    <row r="2189">
      <c r="A2189" s="44">
        <v>2188.0</v>
      </c>
      <c r="B2189" s="44" t="str">
        <f>IFERROR(__xludf.DUMMYFUNCTION("""COMPUTED_VALUE"""),"H. Jose Maria Vargas LG")</f>
        <v>H. Jose Maria Vargas LG</v>
      </c>
      <c r="C2189" s="45" t="str">
        <f>IFERROR(__xludf.DUMMYFUNCTION("""COMPUTED_VALUE"""),"HERMOSA ORTEGA")</f>
        <v>HERMOSA ORTEGA</v>
      </c>
      <c r="D2189" s="44" t="str">
        <f>IFERROR(__xludf.DUMMYFUNCTION("""COMPUTED_VALUE""")," ")</f>
        <v> </v>
      </c>
      <c r="E2189" s="44" t="str">
        <f>IFERROR(__xludf.DUMMYFUNCTION("""COMPUTED_VALUE"""),"")</f>
        <v/>
      </c>
      <c r="F2189" s="44" t="str">
        <f>IFERROR(__xludf.DUMMYFUNCTION("""COMPUTED_VALUE"""),"")</f>
        <v/>
      </c>
      <c r="G2189" s="44" t="str">
        <f>IFERROR(__xludf.DUMMYFUNCTION("""COMPUTED_VALUE""")," ")</f>
        <v> </v>
      </c>
      <c r="H2189" s="44" t="str">
        <f>IFERROR(__xludf.DUMMYFUNCTION("""COMPUTED_VALUE""")," ")</f>
        <v> </v>
      </c>
      <c r="I2189" s="44" t="str">
        <f>IFERROR(__xludf.DUMMYFUNCTION("""COMPUTED_VALUE""")," ")</f>
        <v> </v>
      </c>
      <c r="J2189" s="44" t="str">
        <f>IFERROR(__xludf.DUMMYFUNCTION("""COMPUTED_VALUE"""),"")</f>
        <v/>
      </c>
      <c r="K2189" s="42" t="str">
        <f>IFERROR(__xludf.DUMMYFUNCTION("""COMPUTED_VALUE"""),"H. Jose Maria Vargas LG")</f>
        <v>H. Jose Maria Vargas LG</v>
      </c>
    </row>
    <row r="2190">
      <c r="A2190" s="44">
        <v>2189.0</v>
      </c>
      <c r="B2190" s="44" t="str">
        <f>IFERROR(__xludf.DUMMYFUNCTION("""COMPUTED_VALUE"""),"Centro de Acopio Caraballeda")</f>
        <v>Centro de Acopio Caraballeda</v>
      </c>
      <c r="C2190" s="45" t="str">
        <f>IFERROR(__xludf.DUMMYFUNCTION("""COMPUTED_VALUE"""),"HERMOSO ELIAS")</f>
        <v>HERMOSO ELIAS</v>
      </c>
      <c r="D2190" s="44" t="str">
        <f>IFERROR(__xludf.DUMMYFUNCTION("""COMPUTED_VALUE""")," ")</f>
        <v> </v>
      </c>
      <c r="E2190" s="44" t="str">
        <f>IFERROR(__xludf.DUMMYFUNCTION("""COMPUTED_VALUE"""),"")</f>
        <v/>
      </c>
      <c r="F2190" s="44" t="str">
        <f>IFERROR(__xludf.DUMMYFUNCTION("""COMPUTED_VALUE"""),"")</f>
        <v/>
      </c>
      <c r="G2190" s="44" t="str">
        <f>IFERROR(__xludf.DUMMYFUNCTION("""COMPUTED_VALUE""")," ")</f>
        <v> </v>
      </c>
      <c r="H2190" s="44" t="str">
        <f>IFERROR(__xludf.DUMMYFUNCTION("""COMPUTED_VALUE""")," ")</f>
        <v> </v>
      </c>
      <c r="I2190" s="44" t="str">
        <f>IFERROR(__xludf.DUMMYFUNCTION("""COMPUTED_VALUE"""),"Internado")</f>
        <v>Internado</v>
      </c>
      <c r="J2190" s="44" t="str">
        <f>IFERROR(__xludf.DUMMYFUNCTION("""COMPUTED_VALUE"""),"")</f>
        <v/>
      </c>
      <c r="K2190" s="42" t="str">
        <f>IFERROR(__xludf.DUMMYFUNCTION("""COMPUTED_VALUE"""),"🔍 BUSCAR PACIENTES")</f>
        <v>🔍 BUSCAR PACIENTES</v>
      </c>
    </row>
    <row r="2191">
      <c r="A2191" s="44">
        <v>2190.0</v>
      </c>
      <c r="B2191" s="44" t="str">
        <f>IFERROR(__xludf.DUMMYFUNCTION("""COMPUTED_VALUE"""),"Hospital Dr. José Gregorio Hern")</f>
        <v>Hospital Dr. José Gregorio Hern</v>
      </c>
      <c r="C2191" s="45" t="str">
        <f>IFERROR(__xludf.DUMMYFUNCTION("""COMPUTED_VALUE"""),"HERNANDEZ BISLA")</f>
        <v>HERNANDEZ BISLA</v>
      </c>
      <c r="D2191" s="44">
        <f>IFERROR(__xludf.DUMMYFUNCTION("""COMPUTED_VALUE"""),58.0)</f>
        <v>58</v>
      </c>
      <c r="E2191" s="44" t="str">
        <f>IFERROR(__xludf.DUMMYFUNCTION("""COMPUTED_VALUE"""),"")</f>
        <v/>
      </c>
      <c r="F2191" s="44" t="str">
        <f>IFERROR(__xludf.DUMMYFUNCTION("""COMPUTED_VALUE"""),"")</f>
        <v/>
      </c>
      <c r="G2191" s="44" t="str">
        <f>IFERROR(__xludf.DUMMYFUNCTION("""COMPUTED_VALUE""")," ")</f>
        <v> </v>
      </c>
      <c r="H2191" s="44" t="str">
        <f>IFERROR(__xludf.DUMMYFUNCTION("""COMPUTED_VALUE"""),"La Guaira")</f>
        <v>La Guaira</v>
      </c>
      <c r="I2191" s="44" t="str">
        <f>IFERROR(__xludf.DUMMYFUNCTION("""COMPUTED_VALUE""")," ")</f>
        <v> </v>
      </c>
      <c r="J2191" s="44" t="str">
        <f>IFERROR(__xludf.DUMMYFUNCTION("""COMPUTED_VALUE"""),"")</f>
        <v/>
      </c>
      <c r="K2191" s="42" t="str">
        <f>IFERROR(__xludf.DUMMYFUNCTION("""COMPUTED_VALUE"""),"Hospital Dr. José Gregorio Hern")</f>
        <v>Hospital Dr. José Gregorio Hern</v>
      </c>
    </row>
    <row r="2192">
      <c r="A2192" s="44">
        <v>2191.0</v>
      </c>
      <c r="B2192" s="44" t="str">
        <f>IFERROR(__xludf.DUMMYFUNCTION("""COMPUTED_VALUE"""),"Centro de Acopio Caraballeda")</f>
        <v>Centro de Acopio Caraballeda</v>
      </c>
      <c r="C2192" s="45" t="str">
        <f>IFERROR(__xludf.DUMMYFUNCTION("""COMPUTED_VALUE"""),"HERNANDEZ CARLOS")</f>
        <v>HERNANDEZ CARLOS</v>
      </c>
      <c r="D2192" s="44" t="str">
        <f>IFERROR(__xludf.DUMMYFUNCTION("""COMPUTED_VALUE""")," ")</f>
        <v> </v>
      </c>
      <c r="E2192" s="44" t="str">
        <f>IFERROR(__xludf.DUMMYFUNCTION("""COMPUTED_VALUE"""),"")</f>
        <v/>
      </c>
      <c r="F2192" s="44" t="str">
        <f>IFERROR(__xludf.DUMMYFUNCTION("""COMPUTED_VALUE"""),"")</f>
        <v/>
      </c>
      <c r="G2192" s="44" t="str">
        <f>IFERROR(__xludf.DUMMYFUNCTION("""COMPUTED_VALUE""")," ")</f>
        <v> </v>
      </c>
      <c r="H2192" s="44" t="str">
        <f>IFERROR(__xludf.DUMMYFUNCTION("""COMPUTED_VALUE""")," ")</f>
        <v> </v>
      </c>
      <c r="I2192" s="44" t="str">
        <f>IFERROR(__xludf.DUMMYFUNCTION("""COMPUTED_VALUE"""),"Internado")</f>
        <v>Internado</v>
      </c>
      <c r="J2192" s="44" t="str">
        <f>IFERROR(__xludf.DUMMYFUNCTION("""COMPUTED_VALUE"""),"")</f>
        <v/>
      </c>
      <c r="K2192" s="42" t="str">
        <f>IFERROR(__xludf.DUMMYFUNCTION("""COMPUTED_VALUE"""),"🔍 BUSCAR PACIENTES")</f>
        <v>🔍 BUSCAR PACIENTES</v>
      </c>
    </row>
    <row r="2193">
      <c r="A2193" s="44">
        <v>2192.0</v>
      </c>
      <c r="B2193" s="44" t="str">
        <f>IFERROR(__xludf.DUMMYFUNCTION("""COMPUTED_VALUE"""),"La Guaira Sin Hospital")</f>
        <v>La Guaira Sin Hospital</v>
      </c>
      <c r="C2193" s="45" t="str">
        <f>IFERROR(__xludf.DUMMYFUNCTION("""COMPUTED_VALUE"""),"Hernandez Carolina")</f>
        <v>Hernandez Carolina</v>
      </c>
      <c r="D2193" s="44" t="str">
        <f>IFERROR(__xludf.DUMMYFUNCTION("""COMPUTED_VALUE"""),"")</f>
        <v/>
      </c>
      <c r="E2193" s="44" t="str">
        <f>IFERROR(__xludf.DUMMYFUNCTION("""COMPUTED_VALUE"""),"")</f>
        <v/>
      </c>
      <c r="F2193" s="44" t="str">
        <f>IFERROR(__xludf.DUMMYFUNCTION("""COMPUTED_VALUE"""),"")</f>
        <v/>
      </c>
      <c r="G2193" s="44" t="str">
        <f>IFERROR(__xludf.DUMMYFUNCTION("""COMPUTED_VALUE"""),"")</f>
        <v/>
      </c>
      <c r="H2193" s="44" t="str">
        <f>IFERROR(__xludf.DUMMYFUNCTION("""COMPUTED_VALUE"""),"Caraballeda")</f>
        <v>Caraballeda</v>
      </c>
      <c r="I2193" s="44" t="str">
        <f>IFERROR(__xludf.DUMMYFUNCTION("""COMPUTED_VALUE"""),"Listas con ubicación")</f>
        <v>Listas con ubicación</v>
      </c>
      <c r="J2193" s="44" t="str">
        <f>IFERROR(__xludf.DUMMYFUNCTION("""COMPUTED_VALUE"""),"")</f>
        <v/>
      </c>
      <c r="K2193" s="42" t="str">
        <f>IFERROR(__xludf.DUMMYFUNCTION("""COMPUTED_VALUE"""),"La Guaira Sin Hospital")</f>
        <v>La Guaira Sin Hospital</v>
      </c>
    </row>
    <row r="2194">
      <c r="A2194" s="44">
        <v>2193.0</v>
      </c>
      <c r="B2194" s="44" t="str">
        <f>IFERROR(__xludf.DUMMYFUNCTION("""COMPUTED_VALUE"""),"Centro de Acopio Caraballeda")</f>
        <v>Centro de Acopio Caraballeda</v>
      </c>
      <c r="C2194" s="45" t="str">
        <f>IFERROR(__xludf.DUMMYFUNCTION("""COMPUTED_VALUE"""),"HERNANDEZ DAYNELIS")</f>
        <v>HERNANDEZ DAYNELIS</v>
      </c>
      <c r="D2194" s="44" t="str">
        <f>IFERROR(__xludf.DUMMYFUNCTION("""COMPUTED_VALUE""")," ")</f>
        <v> </v>
      </c>
      <c r="E2194" s="44" t="str">
        <f>IFERROR(__xludf.DUMMYFUNCTION("""COMPUTED_VALUE"""),"")</f>
        <v/>
      </c>
      <c r="F2194" s="44" t="str">
        <f>IFERROR(__xludf.DUMMYFUNCTION("""COMPUTED_VALUE"""),"")</f>
        <v/>
      </c>
      <c r="G2194" s="44" t="str">
        <f>IFERROR(__xludf.DUMMYFUNCTION("""COMPUTED_VALUE""")," ")</f>
        <v> </v>
      </c>
      <c r="H2194" s="44" t="str">
        <f>IFERROR(__xludf.DUMMYFUNCTION("""COMPUTED_VALUE""")," ")</f>
        <v> </v>
      </c>
      <c r="I2194" s="44" t="str">
        <f>IFERROR(__xludf.DUMMYFUNCTION("""COMPUTED_VALUE"""),"Internado")</f>
        <v>Internado</v>
      </c>
      <c r="J2194" s="44" t="str">
        <f>IFERROR(__xludf.DUMMYFUNCTION("""COMPUTED_VALUE"""),"")</f>
        <v/>
      </c>
      <c r="K2194" s="42" t="str">
        <f>IFERROR(__xludf.DUMMYFUNCTION("""COMPUTED_VALUE"""),"🔍 BUSCAR PACIENTES")</f>
        <v>🔍 BUSCAR PACIENTES</v>
      </c>
    </row>
    <row r="2195">
      <c r="A2195" s="44">
        <v>2194.0</v>
      </c>
      <c r="B2195" s="44" t="str">
        <f>IFERROR(__xludf.DUMMYFUNCTION("""COMPUTED_VALUE"""),"Periférico de Catia")</f>
        <v>Periférico de Catia</v>
      </c>
      <c r="C2195" s="45" t="str">
        <f>IFERROR(__xludf.DUMMYFUNCTION("""COMPUTED_VALUE"""),"Hernandez Francisco")</f>
        <v>Hernandez Francisco</v>
      </c>
      <c r="D2195" s="44">
        <f>IFERROR(__xludf.DUMMYFUNCTION("""COMPUTED_VALUE"""),62.0)</f>
        <v>62</v>
      </c>
      <c r="E2195" s="44" t="str">
        <f>IFERROR(__xludf.DUMMYFUNCTION("""COMPUTED_VALUE"""),"")</f>
        <v/>
      </c>
      <c r="F2195" s="44" t="str">
        <f>IFERROR(__xludf.DUMMYFUNCTION("""COMPUTED_VALUE"""),"")</f>
        <v/>
      </c>
      <c r="G2195" s="44"/>
      <c r="H2195" s="44"/>
      <c r="I2195" s="44" t="str">
        <f>IFERROR(__xludf.DUMMYFUNCTION("""COMPUTED_VALUE"""),"Politrauma Emergencia Nueva")</f>
        <v>Politrauma Emergencia Nueva</v>
      </c>
      <c r="J2195" s="44" t="str">
        <f>IFERROR(__xludf.DUMMYFUNCTION("""COMPUTED_VALUE"""),"")</f>
        <v/>
      </c>
      <c r="K2195" s="42" t="str">
        <f>IFERROR(__xludf.DUMMYFUNCTION("""COMPUTED_VALUE"""),"Periférico de Catia")</f>
        <v>Periférico de Catia</v>
      </c>
    </row>
    <row r="2196">
      <c r="A2196" s="44">
        <v>2195.0</v>
      </c>
      <c r="B2196" s="44" t="str">
        <f>IFERROR(__xludf.DUMMYFUNCTION("""COMPUTED_VALUE"""),"Hospital Pérez Carreño")</f>
        <v>Hospital Pérez Carreño</v>
      </c>
      <c r="C2196" s="45" t="str">
        <f>IFERROR(__xludf.DUMMYFUNCTION("""COMPUTED_VALUE"""),"HERNANDEZ GONZALES MARIA")</f>
        <v>HERNANDEZ GONZALES MARIA</v>
      </c>
      <c r="D2196" s="44" t="str">
        <f>IFERROR(__xludf.DUMMYFUNCTION("""COMPUTED_VALUE""")," ")</f>
        <v> </v>
      </c>
      <c r="E2196" s="44" t="str">
        <f>IFERROR(__xludf.DUMMYFUNCTION("""COMPUTED_VALUE"""),"")</f>
        <v/>
      </c>
      <c r="F2196" s="44" t="str">
        <f>IFERROR(__xludf.DUMMYFUNCTION("""COMPUTED_VALUE"""),"")</f>
        <v/>
      </c>
      <c r="G2196" s="44" t="str">
        <f>IFERROR(__xludf.DUMMYFUNCTION("""COMPUTED_VALUE""")," ")</f>
        <v> </v>
      </c>
      <c r="H2196" s="44" t="str">
        <f>IFERROR(__xludf.DUMMYFUNCTION("""COMPUTED_VALUE""")," ")</f>
        <v> </v>
      </c>
      <c r="I2196" s="44" t="str">
        <f>IFERROR(__xludf.DUMMYFUNCTION("""COMPUTED_VALUE"""),"Internado; Trauma Shock")</f>
        <v>Internado; Trauma Shock</v>
      </c>
      <c r="J2196" s="44" t="str">
        <f>IFERROR(__xludf.DUMMYFUNCTION("""COMPUTED_VALUE"""),"25/06/2026")</f>
        <v>25/06/2026</v>
      </c>
      <c r="K2196" s="42" t="str">
        <f>IFERROR(__xludf.DUMMYFUNCTION("""COMPUTED_VALUE"""),"Hospital Pérez Carreño")</f>
        <v>Hospital Pérez Carreño</v>
      </c>
    </row>
    <row r="2197">
      <c r="A2197" s="44">
        <v>2196.0</v>
      </c>
      <c r="B2197" s="44" t="str">
        <f>IFERROR(__xludf.DUMMYFUNCTION("""COMPUTED_VALUE"""),"Cruz Roja")</f>
        <v>Cruz Roja</v>
      </c>
      <c r="C2197" s="45" t="str">
        <f>IFERROR(__xludf.DUMMYFUNCTION("""COMPUTED_VALUE"""),"HERNANDEZ JACKELINE")</f>
        <v>HERNANDEZ JACKELINE</v>
      </c>
      <c r="D2197" s="44">
        <f>IFERROR(__xludf.DUMMYFUNCTION("""COMPUTED_VALUE"""),62.0)</f>
        <v>62</v>
      </c>
      <c r="E2197" s="44" t="str">
        <f>IFERROR(__xludf.DUMMYFUNCTION("""COMPUTED_VALUE"""),"")</f>
        <v/>
      </c>
      <c r="F2197" s="44" t="str">
        <f>IFERROR(__xludf.DUMMYFUNCTION("""COMPUTED_VALUE"""),"")</f>
        <v/>
      </c>
      <c r="G2197" s="44" t="str">
        <f>IFERROR(__xludf.DUMMYFUNCTION("""COMPUTED_VALUE""")," ")</f>
        <v> </v>
      </c>
      <c r="H2197" s="44" t="str">
        <f>IFERROR(__xludf.DUMMYFUNCTION("""COMPUTED_VALUE"""),"Misión Vivienda")</f>
        <v>Misión Vivienda</v>
      </c>
      <c r="I2197" s="44" t="str">
        <f>IFERROR(__xludf.DUMMYFUNCTION("""COMPUTED_VALUE""")," ")</f>
        <v> </v>
      </c>
      <c r="J2197" s="44" t="str">
        <f>IFERROR(__xludf.DUMMYFUNCTION("""COMPUTED_VALUE"""),"")</f>
        <v/>
      </c>
      <c r="K2197" s="42" t="str">
        <f>IFERROR(__xludf.DUMMYFUNCTION("""COMPUTED_VALUE"""),"Cruz Roja")</f>
        <v>Cruz Roja</v>
      </c>
    </row>
    <row r="2198">
      <c r="A2198" s="44">
        <v>2197.0</v>
      </c>
      <c r="B2198" s="44" t="str">
        <f>IFERROR(__xludf.DUMMYFUNCTION("""COMPUTED_VALUE"""),"Centro de Acopio Caraballeda")</f>
        <v>Centro de Acopio Caraballeda</v>
      </c>
      <c r="C2198" s="45" t="str">
        <f>IFERROR(__xludf.DUMMYFUNCTION("""COMPUTED_VALUE"""),"HERNANDEZ JAVIER")</f>
        <v>HERNANDEZ JAVIER</v>
      </c>
      <c r="D2198" s="44" t="str">
        <f>IFERROR(__xludf.DUMMYFUNCTION("""COMPUTED_VALUE""")," ")</f>
        <v> </v>
      </c>
      <c r="E2198" s="44" t="str">
        <f>IFERROR(__xludf.DUMMYFUNCTION("""COMPUTED_VALUE"""),"")</f>
        <v/>
      </c>
      <c r="F2198" s="44" t="str">
        <f>IFERROR(__xludf.DUMMYFUNCTION("""COMPUTED_VALUE"""),"")</f>
        <v/>
      </c>
      <c r="G2198" s="44" t="str">
        <f>IFERROR(__xludf.DUMMYFUNCTION("""COMPUTED_VALUE""")," ")</f>
        <v> </v>
      </c>
      <c r="H2198" s="44" t="str">
        <f>IFERROR(__xludf.DUMMYFUNCTION("""COMPUTED_VALUE""")," ")</f>
        <v> </v>
      </c>
      <c r="I2198" s="44" t="str">
        <f>IFERROR(__xludf.DUMMYFUNCTION("""COMPUTED_VALUE"""),"Internado")</f>
        <v>Internado</v>
      </c>
      <c r="J2198" s="44" t="str">
        <f>IFERROR(__xludf.DUMMYFUNCTION("""COMPUTED_VALUE"""),"")</f>
        <v/>
      </c>
      <c r="K2198" s="42" t="str">
        <f>IFERROR(__xludf.DUMMYFUNCTION("""COMPUTED_VALUE"""),"🔍 BUSCAR PACIENTES")</f>
        <v>🔍 BUSCAR PACIENTES</v>
      </c>
    </row>
    <row r="2199">
      <c r="A2199" s="44">
        <v>2198.0</v>
      </c>
      <c r="B2199" s="44" t="str">
        <f>IFERROR(__xludf.DUMMYFUNCTION("""COMPUTED_VALUE"""),"H. Jose Maria Vargas LG")</f>
        <v>H. Jose Maria Vargas LG</v>
      </c>
      <c r="C2199" s="45" t="str">
        <f>IFERROR(__xludf.DUMMYFUNCTION("""COMPUTED_VALUE"""),"HERNANDEZ LIONEL")</f>
        <v>HERNANDEZ LIONEL</v>
      </c>
      <c r="D2199" s="44" t="str">
        <f>IFERROR(__xludf.DUMMYFUNCTION("""COMPUTED_VALUE""")," ")</f>
        <v> </v>
      </c>
      <c r="E2199" s="44" t="str">
        <f>IFERROR(__xludf.DUMMYFUNCTION("""COMPUTED_VALUE"""),"")</f>
        <v/>
      </c>
      <c r="F2199" s="44" t="str">
        <f>IFERROR(__xludf.DUMMYFUNCTION("""COMPUTED_VALUE"""),"")</f>
        <v/>
      </c>
      <c r="G2199" s="44" t="str">
        <f>IFERROR(__xludf.DUMMYFUNCTION("""COMPUTED_VALUE""")," ")</f>
        <v> </v>
      </c>
      <c r="H2199" s="44" t="str">
        <f>IFERROR(__xludf.DUMMYFUNCTION("""COMPUTED_VALUE""")," ")</f>
        <v> </v>
      </c>
      <c r="I2199" s="44" t="str">
        <f>IFERROR(__xludf.DUMMYFUNCTION("""COMPUTED_VALUE""")," ")</f>
        <v> </v>
      </c>
      <c r="J2199" s="44" t="str">
        <f>IFERROR(__xludf.DUMMYFUNCTION("""COMPUTED_VALUE"""),"")</f>
        <v/>
      </c>
      <c r="K2199" s="42" t="str">
        <f>IFERROR(__xludf.DUMMYFUNCTION("""COMPUTED_VALUE"""),"H. Jose Maria Vargas LG")</f>
        <v>H. Jose Maria Vargas LG</v>
      </c>
    </row>
    <row r="2200">
      <c r="A2200" s="44">
        <v>2199.0</v>
      </c>
      <c r="B2200" s="44" t="str">
        <f>IFERROR(__xludf.DUMMYFUNCTION("""COMPUTED_VALUE"""),"Hospital Pérez Carreño")</f>
        <v>Hospital Pérez Carreño</v>
      </c>
      <c r="C2200" s="45" t="str">
        <f>IFERROR(__xludf.DUMMYFUNCTION("""COMPUTED_VALUE"""),"HERNANDEZ MAITE")</f>
        <v>HERNANDEZ MAITE</v>
      </c>
      <c r="D2200" s="44">
        <f>IFERROR(__xludf.DUMMYFUNCTION("""COMPUTED_VALUE"""),46.0)</f>
        <v>46</v>
      </c>
      <c r="E2200" s="44" t="str">
        <f>IFERROR(__xludf.DUMMYFUNCTION("""COMPUTED_VALUE"""),"")</f>
        <v/>
      </c>
      <c r="F2200" s="44" t="str">
        <f>IFERROR(__xludf.DUMMYFUNCTION("""COMPUTED_VALUE"""),"")</f>
        <v/>
      </c>
      <c r="G2200" s="44" t="str">
        <f>IFERROR(__xludf.DUMMYFUNCTION("""COMPUTED_VALUE""")," ")</f>
        <v> </v>
      </c>
      <c r="H2200" s="44" t="str">
        <f>IFERROR(__xludf.DUMMYFUNCTION("""COMPUTED_VALUE""")," ")</f>
        <v> </v>
      </c>
      <c r="I2200" s="44" t="str">
        <f>IFERROR(__xludf.DUMMYFUNCTION("""COMPUTED_VALUE"""),"Traumachok – Cirugía Neurocirugía; caso social; La Guaira")</f>
        <v>Traumachok – Cirugía Neurocirugía; caso social; La Guaira</v>
      </c>
      <c r="J2200" s="44" t="str">
        <f>IFERROR(__xludf.DUMMYFUNCTION("""COMPUTED_VALUE"""),"25/06/2026")</f>
        <v>25/06/2026</v>
      </c>
      <c r="K2200" s="42" t="str">
        <f>IFERROR(__xludf.DUMMYFUNCTION("""COMPUTED_VALUE"""),"Hospital Pérez Carreño")</f>
        <v>Hospital Pérez Carreño</v>
      </c>
    </row>
    <row r="2201">
      <c r="A2201" s="44">
        <v>2200.0</v>
      </c>
      <c r="B2201" s="44" t="str">
        <f>IFERROR(__xludf.DUMMYFUNCTION("""COMPUTED_VALUE"""),"H. Jose Maria Vargas LG")</f>
        <v>H. Jose Maria Vargas LG</v>
      </c>
      <c r="C2201" s="45" t="str">
        <f>IFERROR(__xludf.DUMMYFUNCTION("""COMPUTED_VALUE"""),"HERNANDEZ MARIA")</f>
        <v>HERNANDEZ MARIA</v>
      </c>
      <c r="D2201" s="44" t="str">
        <f>IFERROR(__xludf.DUMMYFUNCTION("""COMPUTED_VALUE""")," ")</f>
        <v> </v>
      </c>
      <c r="E2201" s="44" t="str">
        <f>IFERROR(__xludf.DUMMYFUNCTION("""COMPUTED_VALUE"""),"")</f>
        <v/>
      </c>
      <c r="F2201" s="44" t="str">
        <f>IFERROR(__xludf.DUMMYFUNCTION("""COMPUTED_VALUE"""),"")</f>
        <v/>
      </c>
      <c r="G2201" s="44" t="str">
        <f>IFERROR(__xludf.DUMMYFUNCTION("""COMPUTED_VALUE""")," ")</f>
        <v> </v>
      </c>
      <c r="H2201" s="44" t="str">
        <f>IFERROR(__xludf.DUMMYFUNCTION("""COMPUTED_VALUE""")," ")</f>
        <v> </v>
      </c>
      <c r="I2201" s="44" t="str">
        <f>IFERROR(__xludf.DUMMYFUNCTION("""COMPUTED_VALUE"""),"Internado")</f>
        <v>Internado</v>
      </c>
      <c r="J2201" s="44" t="str">
        <f>IFERROR(__xludf.DUMMYFUNCTION("""COMPUTED_VALUE"""),"")</f>
        <v/>
      </c>
      <c r="K2201" s="42" t="str">
        <f>IFERROR(__xludf.DUMMYFUNCTION("""COMPUTED_VALUE"""),"H. Jose Maria Vargas LG")</f>
        <v>H. Jose Maria Vargas LG</v>
      </c>
    </row>
    <row r="2202">
      <c r="A2202" s="44">
        <v>2201.0</v>
      </c>
      <c r="B2202" s="44" t="str">
        <f>IFERROR(__xludf.DUMMYFUNCTION("""COMPUTED_VALUE"""),"H. Jose Maria Vargas LG")</f>
        <v>H. Jose Maria Vargas LG</v>
      </c>
      <c r="C2202" s="45" t="str">
        <f>IFERROR(__xludf.DUMMYFUNCTION("""COMPUTED_VALUE"""),"HERNANDEZ MARITZA")</f>
        <v>HERNANDEZ MARITZA</v>
      </c>
      <c r="D2202" s="44" t="str">
        <f>IFERROR(__xludf.DUMMYFUNCTION("""COMPUTED_VALUE""")," ")</f>
        <v> </v>
      </c>
      <c r="E2202" s="44" t="str">
        <f>IFERROR(__xludf.DUMMYFUNCTION("""COMPUTED_VALUE"""),"")</f>
        <v/>
      </c>
      <c r="F2202" s="44" t="str">
        <f>IFERROR(__xludf.DUMMYFUNCTION("""COMPUTED_VALUE"""),"")</f>
        <v/>
      </c>
      <c r="G2202" s="44" t="str">
        <f>IFERROR(__xludf.DUMMYFUNCTION("""COMPUTED_VALUE""")," ")</f>
        <v> </v>
      </c>
      <c r="H2202" s="44" t="str">
        <f>IFERROR(__xludf.DUMMYFUNCTION("""COMPUTED_VALUE""")," ")</f>
        <v> </v>
      </c>
      <c r="I2202" s="44" t="str">
        <f>IFERROR(__xludf.DUMMYFUNCTION("""COMPUTED_VALUE"""),"Internado")</f>
        <v>Internado</v>
      </c>
      <c r="J2202" s="44" t="str">
        <f>IFERROR(__xludf.DUMMYFUNCTION("""COMPUTED_VALUE"""),"")</f>
        <v/>
      </c>
      <c r="K2202" s="42" t="str">
        <f>IFERROR(__xludf.DUMMYFUNCTION("""COMPUTED_VALUE"""),"H. Jose Maria Vargas LG")</f>
        <v>H. Jose Maria Vargas LG</v>
      </c>
    </row>
    <row r="2203">
      <c r="A2203" s="44">
        <v>2202.0</v>
      </c>
      <c r="B2203" s="44" t="str">
        <f>IFERROR(__xludf.DUMMYFUNCTION("""COMPUTED_VALUE"""),"H. Jose Maria Vargas LG")</f>
        <v>H. Jose Maria Vargas LG</v>
      </c>
      <c r="C2203" s="45" t="str">
        <f>IFERROR(__xludf.DUMMYFUNCTION("""COMPUTED_VALUE"""),"HERNANDEZ MARIXA")</f>
        <v>HERNANDEZ MARIXA</v>
      </c>
      <c r="D2203" s="44">
        <f>IFERROR(__xludf.DUMMYFUNCTION("""COMPUTED_VALUE"""),70.0)</f>
        <v>70</v>
      </c>
      <c r="E2203" s="44" t="str">
        <f>IFERROR(__xludf.DUMMYFUNCTION("""COMPUTED_VALUE"""),"")</f>
        <v/>
      </c>
      <c r="F2203" s="44" t="str">
        <f>IFERROR(__xludf.DUMMYFUNCTION("""COMPUTED_VALUE"""),"")</f>
        <v/>
      </c>
      <c r="G2203" s="44" t="str">
        <f>IFERROR(__xludf.DUMMYFUNCTION("""COMPUTED_VALUE""")," ")</f>
        <v> </v>
      </c>
      <c r="H2203" s="44" t="str">
        <f>IFERROR(__xludf.DUMMYFUNCTION("""COMPUTED_VALUE""")," ")</f>
        <v> </v>
      </c>
      <c r="I2203" s="44" t="str">
        <f>IFERROR(__xludf.DUMMYFUNCTION("""COMPUTED_VALUE"""),"Internado")</f>
        <v>Internado</v>
      </c>
      <c r="J2203" s="44" t="str">
        <f>IFERROR(__xludf.DUMMYFUNCTION("""COMPUTED_VALUE"""),"")</f>
        <v/>
      </c>
      <c r="K2203" s="42" t="str">
        <f>IFERROR(__xludf.DUMMYFUNCTION("""COMPUTED_VALUE"""),"H. Jose Maria Vargas LG")</f>
        <v>H. Jose Maria Vargas LG</v>
      </c>
    </row>
    <row r="2204">
      <c r="A2204" s="44">
        <v>2203.0</v>
      </c>
      <c r="B2204" s="44" t="str">
        <f>IFERROR(__xludf.DUMMYFUNCTION("""COMPUTED_VALUE"""),"Centro de Acopio Caraballeda")</f>
        <v>Centro de Acopio Caraballeda</v>
      </c>
      <c r="C2204" s="45" t="str">
        <f>IFERROR(__xludf.DUMMYFUNCTION("""COMPUTED_VALUE"""),"HERNANDEZ (MENOR) NICOLE")</f>
        <v>HERNANDEZ (MENOR) NICOLE</v>
      </c>
      <c r="D2204" s="44" t="str">
        <f>IFERROR(__xludf.DUMMYFUNCTION("""COMPUTED_VALUE""")," ")</f>
        <v> </v>
      </c>
      <c r="E2204" s="44" t="str">
        <f>IFERROR(__xludf.DUMMYFUNCTION("""COMPUTED_VALUE"""),"")</f>
        <v/>
      </c>
      <c r="F2204" s="44" t="str">
        <f>IFERROR(__xludf.DUMMYFUNCTION("""COMPUTED_VALUE"""),"")</f>
        <v/>
      </c>
      <c r="G2204" s="44" t="str">
        <f>IFERROR(__xludf.DUMMYFUNCTION("""COMPUTED_VALUE""")," ")</f>
        <v> </v>
      </c>
      <c r="H2204" s="44" t="str">
        <f>IFERROR(__xludf.DUMMYFUNCTION("""COMPUTED_VALUE""")," ")</f>
        <v> </v>
      </c>
      <c r="I2204" s="44" t="str">
        <f>IFERROR(__xludf.DUMMYFUNCTION("""COMPUTED_VALUE"""),"Internado")</f>
        <v>Internado</v>
      </c>
      <c r="J2204" s="44" t="str">
        <f>IFERROR(__xludf.DUMMYFUNCTION("""COMPUTED_VALUE"""),"")</f>
        <v/>
      </c>
      <c r="K2204" s="42" t="str">
        <f>IFERROR(__xludf.DUMMYFUNCTION("""COMPUTED_VALUE"""),"🔍 BUSCAR PACIENTES")</f>
        <v>🔍 BUSCAR PACIENTES</v>
      </c>
    </row>
    <row r="2205">
      <c r="A2205" s="44">
        <v>2204.0</v>
      </c>
      <c r="B2205" s="44" t="str">
        <f>IFERROR(__xludf.DUMMYFUNCTION("""COMPUTED_VALUE"""),"Centro de Acopio Caraballeda")</f>
        <v>Centro de Acopio Caraballeda</v>
      </c>
      <c r="C2205" s="45" t="str">
        <f>IFERROR(__xludf.DUMMYFUNCTION("""COMPUTED_VALUE"""),"HERNANDEZ (MENOR) SOFIA")</f>
        <v>HERNANDEZ (MENOR) SOFIA</v>
      </c>
      <c r="D2205" s="44" t="str">
        <f>IFERROR(__xludf.DUMMYFUNCTION("""COMPUTED_VALUE""")," ")</f>
        <v> </v>
      </c>
      <c r="E2205" s="44" t="str">
        <f>IFERROR(__xludf.DUMMYFUNCTION("""COMPUTED_VALUE"""),"")</f>
        <v/>
      </c>
      <c r="F2205" s="44" t="str">
        <f>IFERROR(__xludf.DUMMYFUNCTION("""COMPUTED_VALUE"""),"")</f>
        <v/>
      </c>
      <c r="G2205" s="44" t="str">
        <f>IFERROR(__xludf.DUMMYFUNCTION("""COMPUTED_VALUE""")," ")</f>
        <v> </v>
      </c>
      <c r="H2205" s="44" t="str">
        <f>IFERROR(__xludf.DUMMYFUNCTION("""COMPUTED_VALUE""")," ")</f>
        <v> </v>
      </c>
      <c r="I2205" s="44" t="str">
        <f>IFERROR(__xludf.DUMMYFUNCTION("""COMPUTED_VALUE"""),"Internado")</f>
        <v>Internado</v>
      </c>
      <c r="J2205" s="44" t="str">
        <f>IFERROR(__xludf.DUMMYFUNCTION("""COMPUTED_VALUE"""),"")</f>
        <v/>
      </c>
      <c r="K2205" s="42" t="str">
        <f>IFERROR(__xludf.DUMMYFUNCTION("""COMPUTED_VALUE"""),"🔍 BUSCAR PACIENTES")</f>
        <v>🔍 BUSCAR PACIENTES</v>
      </c>
    </row>
    <row r="2206">
      <c r="A2206" s="44">
        <v>2205.0</v>
      </c>
      <c r="B2206" s="44" t="str">
        <f>IFERROR(__xludf.DUMMYFUNCTION("""COMPUTED_VALUE"""),"Centro de Acopio Caraballeda")</f>
        <v>Centro de Acopio Caraballeda</v>
      </c>
      <c r="C2206" s="45" t="str">
        <f>IFERROR(__xludf.DUMMYFUNCTION("""COMPUTED_VALUE"""),"HERNANDEZ MICHEL")</f>
        <v>HERNANDEZ MICHEL</v>
      </c>
      <c r="D2206" s="44" t="str">
        <f>IFERROR(__xludf.DUMMYFUNCTION("""COMPUTED_VALUE""")," ")</f>
        <v> </v>
      </c>
      <c r="E2206" s="44" t="str">
        <f>IFERROR(__xludf.DUMMYFUNCTION("""COMPUTED_VALUE"""),"")</f>
        <v/>
      </c>
      <c r="F2206" s="44" t="str">
        <f>IFERROR(__xludf.DUMMYFUNCTION("""COMPUTED_VALUE"""),"")</f>
        <v/>
      </c>
      <c r="G2206" s="44" t="str">
        <f>IFERROR(__xludf.DUMMYFUNCTION("""COMPUTED_VALUE""")," ")</f>
        <v> </v>
      </c>
      <c r="H2206" s="44" t="str">
        <f>IFERROR(__xludf.DUMMYFUNCTION("""COMPUTED_VALUE""")," ")</f>
        <v> </v>
      </c>
      <c r="I2206" s="44" t="str">
        <f>IFERROR(__xludf.DUMMYFUNCTION("""COMPUTED_VALUE"""),"Internado")</f>
        <v>Internado</v>
      </c>
      <c r="J2206" s="44" t="str">
        <f>IFERROR(__xludf.DUMMYFUNCTION("""COMPUTED_VALUE"""),"")</f>
        <v/>
      </c>
      <c r="K2206" s="42" t="str">
        <f>IFERROR(__xludf.DUMMYFUNCTION("""COMPUTED_VALUE"""),"🔍 BUSCAR PACIENTES")</f>
        <v>🔍 BUSCAR PACIENTES</v>
      </c>
    </row>
    <row r="2207">
      <c r="A2207" s="44">
        <v>2206.0</v>
      </c>
      <c r="B2207" s="44" t="str">
        <f>IFERROR(__xludf.DUMMYFUNCTION("""COMPUTED_VALUE"""),"Centro de Acopio Caraballeda")</f>
        <v>Centro de Acopio Caraballeda</v>
      </c>
      <c r="C2207" s="45" t="str">
        <f>IFERROR(__xludf.DUMMYFUNCTION("""COMPUTED_VALUE"""),"HERNANDEZ TEOBALDO")</f>
        <v>HERNANDEZ TEOBALDO</v>
      </c>
      <c r="D2207" s="44" t="str">
        <f>IFERROR(__xludf.DUMMYFUNCTION("""COMPUTED_VALUE""")," ")</f>
        <v> </v>
      </c>
      <c r="E2207" s="44" t="str">
        <f>IFERROR(__xludf.DUMMYFUNCTION("""COMPUTED_VALUE"""),"")</f>
        <v/>
      </c>
      <c r="F2207" s="44" t="str">
        <f>IFERROR(__xludf.DUMMYFUNCTION("""COMPUTED_VALUE"""),"")</f>
        <v/>
      </c>
      <c r="G2207" s="44" t="str">
        <f>IFERROR(__xludf.DUMMYFUNCTION("""COMPUTED_VALUE""")," ")</f>
        <v> </v>
      </c>
      <c r="H2207" s="44" t="str">
        <f>IFERROR(__xludf.DUMMYFUNCTION("""COMPUTED_VALUE""")," ")</f>
        <v> </v>
      </c>
      <c r="I2207" s="44" t="str">
        <f>IFERROR(__xludf.DUMMYFUNCTION("""COMPUTED_VALUE"""),"Internado")</f>
        <v>Internado</v>
      </c>
      <c r="J2207" s="44" t="str">
        <f>IFERROR(__xludf.DUMMYFUNCTION("""COMPUTED_VALUE"""),"")</f>
        <v/>
      </c>
      <c r="K2207" s="42" t="str">
        <f>IFERROR(__xludf.DUMMYFUNCTION("""COMPUTED_VALUE"""),"🔍 BUSCAR PACIENTES")</f>
        <v>🔍 BUSCAR PACIENTES</v>
      </c>
    </row>
    <row r="2208">
      <c r="A2208" s="44">
        <v>2207.0</v>
      </c>
      <c r="B2208" s="44" t="str">
        <f>IFERROR(__xludf.DUMMYFUNCTION("""COMPUTED_VALUE"""),"Periférico de Catia")</f>
        <v>Periférico de Catia</v>
      </c>
      <c r="C2208" s="45" t="str">
        <f>IFERROR(__xludf.DUMMYFUNCTION("""COMPUTED_VALUE"""),"HERNANDEZ YAMILETH")</f>
        <v>HERNANDEZ YAMILETH</v>
      </c>
      <c r="D2208" s="44">
        <f>IFERROR(__xludf.DUMMYFUNCTION("""COMPUTED_VALUE"""),61.0)</f>
        <v>61</v>
      </c>
      <c r="E2208" s="44" t="str">
        <f>IFERROR(__xludf.DUMMYFUNCTION("""COMPUTED_VALUE"""),"")</f>
        <v/>
      </c>
      <c r="F2208" s="44" t="str">
        <f>IFERROR(__xludf.DUMMYFUNCTION("""COMPUTED_VALUE"""),"")</f>
        <v/>
      </c>
      <c r="G2208" s="44" t="str">
        <f>IFERROR(__xludf.DUMMYFUNCTION("""COMPUTED_VALUE""")," ")</f>
        <v> </v>
      </c>
      <c r="H2208" s="44" t="str">
        <f>IFERROR(__xludf.DUMMYFUNCTION("""COMPUTED_VALUE""")," ")</f>
        <v> </v>
      </c>
      <c r="I2208" s="44" t="str">
        <f>IFERROR(__xludf.DUMMYFUNCTION("""COMPUTED_VALUE"""),"Cirugía/Trauma")</f>
        <v>Cirugía/Trauma</v>
      </c>
      <c r="J2208" s="44" t="str">
        <f>IFERROR(__xludf.DUMMYFUNCTION("""COMPUTED_VALUE"""),"")</f>
        <v/>
      </c>
      <c r="K2208" s="42" t="str">
        <f>IFERROR(__xludf.DUMMYFUNCTION("""COMPUTED_VALUE"""),"Periférico de Catia")</f>
        <v>Periférico de Catia</v>
      </c>
    </row>
    <row r="2209">
      <c r="A2209" s="44">
        <v>2208.0</v>
      </c>
      <c r="B2209" s="44" t="str">
        <f>IFERROR(__xludf.DUMMYFUNCTION("""COMPUTED_VALUE"""),"Hospital Pérez Carreño")</f>
        <v>Hospital Pérez Carreño</v>
      </c>
      <c r="C2209" s="45" t="str">
        <f>IFERROR(__xludf.DUMMYFUNCTION("""COMPUTED_VALUE"""),"Herrera Alfonzo")</f>
        <v>Herrera Alfonzo</v>
      </c>
      <c r="D2209" s="44" t="str">
        <f>IFERROR(__xludf.DUMMYFUNCTION("""COMPUTED_VALUE"""),"10 años")</f>
        <v>10 años</v>
      </c>
      <c r="E2209" s="44" t="str">
        <f>IFERROR(__xludf.DUMMYFUNCTION("""COMPUTED_VALUE"""),"")</f>
        <v/>
      </c>
      <c r="F2209" s="44" t="str">
        <f>IFERROR(__xludf.DUMMYFUNCTION("""COMPUTED_VALUE"""),"")</f>
        <v/>
      </c>
      <c r="G2209" s="44" t="str">
        <f>IFERROR(__xludf.DUMMYFUNCTION("""COMPUTED_VALUE"""),"Pediatria")</f>
        <v>Pediatria</v>
      </c>
      <c r="H2209" s="44" t="str">
        <f>IFERROR(__xludf.DUMMYFUNCTION("""COMPUTED_VALUE"""),"Hospital Miguel Perez Carreño")</f>
        <v>Hospital Miguel Perez Carreño</v>
      </c>
      <c r="I2209" s="44"/>
      <c r="J2209" s="44" t="str">
        <f>IFERROR(__xludf.DUMMYFUNCTION("""COMPUTED_VALUE"""),"26/6/26")</f>
        <v>26/6/26</v>
      </c>
      <c r="K2209" s="42" t="str">
        <f>IFERROR(__xludf.DUMMYFUNCTION("""COMPUTED_VALUE"""),"Hospital Pérez Carreño")</f>
        <v>Hospital Pérez Carreño</v>
      </c>
    </row>
    <row r="2210">
      <c r="A2210" s="44">
        <v>2209.0</v>
      </c>
      <c r="B2210" s="44" t="str">
        <f>IFERROR(__xludf.DUMMYFUNCTION("""COMPUTED_VALUE"""),"Hospital Pérez Carreño")</f>
        <v>Hospital Pérez Carreño</v>
      </c>
      <c r="C2210" s="45" t="str">
        <f>IFERROR(__xludf.DUMMYFUNCTION("""COMPUTED_VALUE"""),"Herrera Lobo Alfonzo")</f>
        <v>Herrera Lobo Alfonzo</v>
      </c>
      <c r="D2210" s="44"/>
      <c r="E2210" s="44" t="str">
        <f>IFERROR(__xludf.DUMMYFUNCTION("""COMPUTED_VALUE"""),"")</f>
        <v/>
      </c>
      <c r="F2210" s="44" t="str">
        <f>IFERROR(__xludf.DUMMYFUNCTION("""COMPUTED_VALUE"""),"")</f>
        <v/>
      </c>
      <c r="G2210" s="44" t="str">
        <f>IFERROR(__xludf.DUMMYFUNCTION("""COMPUTED_VALUE"""),"Traslados con destino asignado")</f>
        <v>Traslados con destino asignado</v>
      </c>
      <c r="H2210" s="44" t="str">
        <f>IFERROR(__xludf.DUMMYFUNCTION("""COMPUTED_VALUE"""),"Hospital Miguel Perez Carreño")</f>
        <v>Hospital Miguel Perez Carreño</v>
      </c>
      <c r="I2210" s="44"/>
      <c r="J2210" s="44" t="str">
        <f>IFERROR(__xludf.DUMMYFUNCTION("""COMPUTED_VALUE"""),"26/6/26")</f>
        <v>26/6/26</v>
      </c>
      <c r="K2210" s="42" t="str">
        <f>IFERROR(__xludf.DUMMYFUNCTION("""COMPUTED_VALUE"""),"Hospital Pérez Carreño")</f>
        <v>Hospital Pérez Carreño</v>
      </c>
    </row>
    <row r="2211">
      <c r="A2211" s="44">
        <v>2210.0</v>
      </c>
      <c r="B2211" s="44" t="str">
        <f>IFERROR(__xludf.DUMMYFUNCTION("""COMPUTED_VALUE"""),"H. Jose Maria Vargas LG")</f>
        <v>H. Jose Maria Vargas LG</v>
      </c>
      <c r="C2211" s="45" t="str">
        <f>IFERROR(__xludf.DUMMYFUNCTION("""COMPUTED_VALUE"""),"HERRERA MARIA")</f>
        <v>HERRERA MARIA</v>
      </c>
      <c r="D2211" s="44" t="str">
        <f>IFERROR(__xludf.DUMMYFUNCTION("""COMPUTED_VALUE""")," ")</f>
        <v> </v>
      </c>
      <c r="E2211" s="44" t="str">
        <f>IFERROR(__xludf.DUMMYFUNCTION("""COMPUTED_VALUE"""),"")</f>
        <v/>
      </c>
      <c r="F2211" s="44" t="str">
        <f>IFERROR(__xludf.DUMMYFUNCTION("""COMPUTED_VALUE"""),"")</f>
        <v/>
      </c>
      <c r="G2211" s="44" t="str">
        <f>IFERROR(__xludf.DUMMYFUNCTION("""COMPUTED_VALUE""")," ")</f>
        <v> </v>
      </c>
      <c r="H2211" s="44" t="str">
        <f>IFERROR(__xludf.DUMMYFUNCTION("""COMPUTED_VALUE""")," ")</f>
        <v> </v>
      </c>
      <c r="I2211" s="44" t="str">
        <f>IFERROR(__xludf.DUMMYFUNCTION("""COMPUTED_VALUE""")," ")</f>
        <v> </v>
      </c>
      <c r="J2211" s="44" t="str">
        <f>IFERROR(__xludf.DUMMYFUNCTION("""COMPUTED_VALUE"""),"")</f>
        <v/>
      </c>
      <c r="K2211" s="42" t="str">
        <f>IFERROR(__xludf.DUMMYFUNCTION("""COMPUTED_VALUE"""),"H. Jose Maria Vargas LG")</f>
        <v>H. Jose Maria Vargas LG</v>
      </c>
    </row>
    <row r="2212">
      <c r="A2212" s="44">
        <v>2211.0</v>
      </c>
      <c r="B2212" s="44" t="str">
        <f>IFERROR(__xludf.DUMMYFUNCTION("""COMPUTED_VALUE"""),"H. Jose Maria Vargas LG")</f>
        <v>H. Jose Maria Vargas LG</v>
      </c>
      <c r="C2212" s="45" t="str">
        <f>IFERROR(__xludf.DUMMYFUNCTION("""COMPUTED_VALUE"""),"HERRERA ROMERO ANTONIO")</f>
        <v>HERRERA ROMERO ANTONIO</v>
      </c>
      <c r="D2212" s="44">
        <f>IFERROR(__xludf.DUMMYFUNCTION("""COMPUTED_VALUE"""),83.0)</f>
        <v>83</v>
      </c>
      <c r="E2212" s="44" t="str">
        <f>IFERROR(__xludf.DUMMYFUNCTION("""COMPUTED_VALUE"""),"")</f>
        <v/>
      </c>
      <c r="F2212" s="44" t="str">
        <f>IFERROR(__xludf.DUMMYFUNCTION("""COMPUTED_VALUE"""),"")</f>
        <v/>
      </c>
      <c r="G2212" s="44" t="str">
        <f>IFERROR(__xludf.DUMMYFUNCTION("""COMPUTED_VALUE""")," ")</f>
        <v> </v>
      </c>
      <c r="H2212" s="44" t="str">
        <f>IFERROR(__xludf.DUMMYFUNCTION("""COMPUTED_VALUE"""),"Macuto")</f>
        <v>Macuto</v>
      </c>
      <c r="I2212" s="44" t="str">
        <f>IFERROR(__xludf.DUMMYFUNCTION("""COMPUTED_VALUE""")," ")</f>
        <v> </v>
      </c>
      <c r="J2212" s="44" t="str">
        <f>IFERROR(__xludf.DUMMYFUNCTION("""COMPUTED_VALUE"""),"")</f>
        <v/>
      </c>
      <c r="K2212" s="42" t="str">
        <f>IFERROR(__xludf.DUMMYFUNCTION("""COMPUTED_VALUE"""),"H. Jose Maria Vargas LG")</f>
        <v>H. Jose Maria Vargas LG</v>
      </c>
    </row>
    <row r="2213">
      <c r="A2213" s="44">
        <v>2212.0</v>
      </c>
      <c r="B2213" s="44" t="str">
        <f>IFERROR(__xludf.DUMMYFUNCTION("""COMPUTED_VALUE"""),"Hospital Vargas de Caracas")</f>
        <v>Hospital Vargas de Caracas</v>
      </c>
      <c r="C2213" s="45" t="str">
        <f>IFERROR(__xludf.DUMMYFUNCTION("""COMPUTED_VALUE"""),"HERRERA VALENTINA")</f>
        <v>HERRERA VALENTINA</v>
      </c>
      <c r="D2213" s="44" t="str">
        <f>IFERROR(__xludf.DUMMYFUNCTION("""COMPUTED_VALUE""")," ")</f>
        <v> </v>
      </c>
      <c r="E2213" s="44" t="str">
        <f>IFERROR(__xludf.DUMMYFUNCTION("""COMPUTED_VALUE"""),"")</f>
        <v/>
      </c>
      <c r="F2213" s="44" t="str">
        <f>IFERROR(__xludf.DUMMYFUNCTION("""COMPUTED_VALUE""")," ")</f>
        <v> </v>
      </c>
      <c r="G2213" s="44" t="str">
        <f>IFERROR(__xludf.DUMMYFUNCTION("""COMPUTED_VALUE"""),"")</f>
        <v/>
      </c>
      <c r="H2213" s="44" t="str">
        <f>IFERROR(__xludf.DUMMYFUNCTION("""COMPUTED_VALUE""")," ")</f>
        <v> </v>
      </c>
      <c r="I2213" s="44" t="str">
        <f>IFERROR(__xludf.DUMMYFUNCTION("""COMPUTED_VALUE""")," ")</f>
        <v> </v>
      </c>
      <c r="J2213" s="44" t="str">
        <f>IFERROR(__xludf.DUMMYFUNCTION("""COMPUTED_VALUE"""),"")</f>
        <v/>
      </c>
      <c r="K2213" s="42" t="str">
        <f>IFERROR(__xludf.DUMMYFUNCTION("""COMPUTED_VALUE"""),"Hospital Vargas de Caracas")</f>
        <v>Hospital Vargas de Caracas</v>
      </c>
    </row>
    <row r="2214">
      <c r="A2214" s="44">
        <v>2213.0</v>
      </c>
      <c r="B2214" s="44" t="str">
        <f>IFERROR(__xludf.DUMMYFUNCTION("""COMPUTED_VALUE"""),"Hospital Domingo Luciani")</f>
        <v>Hospital Domingo Luciani</v>
      </c>
      <c r="C2214" s="45" t="str">
        <f>IFERROR(__xludf.DUMMYFUNCTION("""COMPUTED_VALUE"""),"HERRERO GLADIUSKA")</f>
        <v>HERRERO GLADIUSKA</v>
      </c>
      <c r="D2214" s="44">
        <f>IFERROR(__xludf.DUMMYFUNCTION("""COMPUTED_VALUE"""),26.0)</f>
        <v>26</v>
      </c>
      <c r="E2214" s="44" t="str">
        <f>IFERROR(__xludf.DUMMYFUNCTION("""COMPUTED_VALUE"""),"")</f>
        <v/>
      </c>
      <c r="F2214" s="44" t="str">
        <f>IFERROR(__xludf.DUMMYFUNCTION("""COMPUTED_VALUE"""),"")</f>
        <v/>
      </c>
      <c r="G2214" s="44" t="str">
        <f>IFERROR(__xludf.DUMMYFUNCTION("""COMPUTED_VALUE""")," ")</f>
        <v> </v>
      </c>
      <c r="H2214" s="44" t="str">
        <f>IFERROR(__xludf.DUMMYFUNCTION("""COMPUTED_VALUE""")," ")</f>
        <v> </v>
      </c>
      <c r="I2214" s="44" t="str">
        <f>IFERROR(__xludf.DUMMYFUNCTION("""COMPUTED_VALUE"""),"Cardiología Piso 2 – H-10 – F")</f>
        <v>Cardiología Piso 2 – H-10 – F</v>
      </c>
      <c r="J2214" s="44" t="str">
        <f>IFERROR(__xludf.DUMMYFUNCTION("""COMPUTED_VALUE"""),"")</f>
        <v/>
      </c>
      <c r="K2214" s="42" t="str">
        <f>IFERROR(__xludf.DUMMYFUNCTION("""COMPUTED_VALUE"""),"🔍 BUSCAR PACIENTES")</f>
        <v>🔍 BUSCAR PACIENTES</v>
      </c>
    </row>
    <row r="2215">
      <c r="A2215" s="44">
        <v>2214.0</v>
      </c>
      <c r="B2215" s="44" t="str">
        <f>IFERROR(__xludf.DUMMYFUNCTION("""COMPUTED_VALUE"""),"Hospital Domingo Luciani")</f>
        <v>Hospital Domingo Luciani</v>
      </c>
      <c r="C2215" s="45" t="str">
        <f>IFERROR(__xludf.DUMMYFUNCTION("""COMPUTED_VALUE"""),"HERRERO MERLANO GLADIUSKA")</f>
        <v>HERRERO MERLANO GLADIUSKA</v>
      </c>
      <c r="D2215" s="44" t="str">
        <f>IFERROR(__xludf.DUMMYFUNCTION("""COMPUTED_VALUE""")," ")</f>
        <v> </v>
      </c>
      <c r="E2215" s="44" t="str">
        <f>IFERROR(__xludf.DUMMYFUNCTION("""COMPUTED_VALUE"""),"")</f>
        <v/>
      </c>
      <c r="F2215" s="44" t="str">
        <f>IFERROR(__xludf.DUMMYFUNCTION("""COMPUTED_VALUE"""),"")</f>
        <v/>
      </c>
      <c r="G2215" s="44" t="str">
        <f>IFERROR(__xludf.DUMMYFUNCTION("""COMPUTED_VALUE""")," ")</f>
        <v> </v>
      </c>
      <c r="H2215" s="44" t="str">
        <f>IFERROR(__xludf.DUMMYFUNCTION("""COMPUTED_VALUE""")," ")</f>
        <v> </v>
      </c>
      <c r="I2215" s="44" t="str">
        <f>IFERROR(__xludf.DUMMYFUNCTION("""COMPUTED_VALUE""")," ")</f>
        <v> </v>
      </c>
      <c r="J2215" s="44" t="str">
        <f>IFERROR(__xludf.DUMMYFUNCTION("""COMPUTED_VALUE"""),"")</f>
        <v/>
      </c>
      <c r="K2215" s="42" t="str">
        <f>IFERROR(__xludf.DUMMYFUNCTION("""COMPUTED_VALUE"""),"🔍 BUSCAR PACIENTES")</f>
        <v>🔍 BUSCAR PACIENTES</v>
      </c>
    </row>
    <row r="2216">
      <c r="A2216" s="44">
        <v>2215.0</v>
      </c>
      <c r="B2216" s="44" t="str">
        <f>IFERROR(__xludf.DUMMYFUNCTION("""COMPUTED_VALUE"""),"Periférico de Catia")</f>
        <v>Periférico de Catia</v>
      </c>
      <c r="C2216" s="45" t="str">
        <f>IFERROR(__xludf.DUMMYFUNCTION("""COMPUTED_VALUE"""),"Herrero Merlano Glodiuska")</f>
        <v>Herrero Merlano Glodiuska</v>
      </c>
      <c r="D2216" s="44"/>
      <c r="E2216" s="44" t="str">
        <f>IFERROR(__xludf.DUMMYFUNCTION("""COMPUTED_VALUE"""),"")</f>
        <v/>
      </c>
      <c r="F2216" s="44" t="str">
        <f>IFERROR(__xludf.DUMMYFUNCTION("""COMPUTED_VALUE"""),"")</f>
        <v/>
      </c>
      <c r="G2216" s="44"/>
      <c r="H2216" s="44"/>
      <c r="I2216" s="44" t="str">
        <f>IFERROR(__xludf.DUMMYFUNCTION("""COMPUTED_VALUE"""),"Politrauma (continuacion, hoja sin edades)")</f>
        <v>Politrauma (continuacion, hoja sin edades)</v>
      </c>
      <c r="J2216" s="44" t="str">
        <f>IFERROR(__xludf.DUMMYFUNCTION("""COMPUTED_VALUE"""),"")</f>
        <v/>
      </c>
      <c r="K2216" s="42" t="str">
        <f>IFERROR(__xludf.DUMMYFUNCTION("""COMPUTED_VALUE"""),"Periférico de Catia")</f>
        <v>Periférico de Catia</v>
      </c>
    </row>
    <row r="2217">
      <c r="A2217" s="44">
        <v>2216.0</v>
      </c>
      <c r="B2217" s="44" t="str">
        <f>IFERROR(__xludf.DUMMYFUNCTION("""COMPUTED_VALUE"""),"H. Jose Maria Vargas LG")</f>
        <v>H. Jose Maria Vargas LG</v>
      </c>
      <c r="C2217" s="45" t="str">
        <f>IFERROR(__xludf.DUMMYFUNCTION("""COMPUTED_VALUE"""),"HILDA ANA LUCIA")</f>
        <v>HILDA ANA LUCIA</v>
      </c>
      <c r="D2217" s="44">
        <f>IFERROR(__xludf.DUMMYFUNCTION("""COMPUTED_VALUE"""),4.0)</f>
        <v>4</v>
      </c>
      <c r="E2217" s="44" t="str">
        <f>IFERROR(__xludf.DUMMYFUNCTION("""COMPUTED_VALUE"""),"")</f>
        <v/>
      </c>
      <c r="F2217" s="44" t="str">
        <f>IFERROR(__xludf.DUMMYFUNCTION("""COMPUTED_VALUE"""),"")</f>
        <v/>
      </c>
      <c r="G2217" s="44" t="str">
        <f>IFERROR(__xludf.DUMMYFUNCTION("""COMPUTED_VALUE""")," ")</f>
        <v> </v>
      </c>
      <c r="H2217" s="44" t="str">
        <f>IFERROR(__xludf.DUMMYFUNCTION("""COMPUTED_VALUE"""),"Caraballeda")</f>
        <v>Caraballeda</v>
      </c>
      <c r="I2217" s="44" t="str">
        <f>IFERROR(__xludf.DUMMYFUNCTION("""COMPUTED_VALUE""")," ")</f>
        <v> </v>
      </c>
      <c r="J2217" s="44" t="str">
        <f>IFERROR(__xludf.DUMMYFUNCTION("""COMPUTED_VALUE"""),"")</f>
        <v/>
      </c>
      <c r="K2217" s="42" t="str">
        <f>IFERROR(__xludf.DUMMYFUNCTION("""COMPUTED_VALUE"""),"H. Jose Maria Vargas LG")</f>
        <v>H. Jose Maria Vargas LG</v>
      </c>
    </row>
    <row r="2218">
      <c r="A2218" s="44">
        <v>2217.0</v>
      </c>
      <c r="B2218" s="44" t="str">
        <f>IFERROR(__xludf.DUMMYFUNCTION("""COMPUTED_VALUE"""),"Hospital Domingo Luciani")</f>
        <v>Hospital Domingo Luciani</v>
      </c>
      <c r="C2218" s="45" t="str">
        <f>IFERROR(__xludf.DUMMYFUNCTION("""COMPUTED_VALUE"""),"HILDEN ANZ")</f>
        <v>HILDEN ANZ</v>
      </c>
      <c r="D2218" s="44">
        <f>IFERROR(__xludf.DUMMYFUNCTION("""COMPUTED_VALUE"""),4.0)</f>
        <v>4</v>
      </c>
      <c r="E2218" s="44" t="str">
        <f>IFERROR(__xludf.DUMMYFUNCTION("""COMPUTED_VALUE"""),"")</f>
        <v/>
      </c>
      <c r="F2218" s="44" t="str">
        <f>IFERROR(__xludf.DUMMYFUNCTION("""COMPUTED_VALUE"""),"")</f>
        <v/>
      </c>
      <c r="G2218" s="44" t="str">
        <f>IFERROR(__xludf.DUMMYFUNCTION("""COMPUTED_VALUE""")," ")</f>
        <v> </v>
      </c>
      <c r="H2218" s="44" t="str">
        <f>IFERROR(__xludf.DUMMYFUNCTION("""COMPUTED_VALUE""")," ")</f>
        <v> </v>
      </c>
      <c r="I2218" s="44" t="str">
        <f>IFERROR(__xludf.DUMMYFUNCTION("""COMPUTED_VALUE"""),"Pediatría")</f>
        <v>Pediatría</v>
      </c>
      <c r="J2218" s="44" t="str">
        <f>IFERROR(__xludf.DUMMYFUNCTION("""COMPUTED_VALUE"""),"")</f>
        <v/>
      </c>
      <c r="K2218" s="42" t="str">
        <f>IFERROR(__xludf.DUMMYFUNCTION("""COMPUTED_VALUE"""),"🔍 BUSCAR PACIENTES")</f>
        <v>🔍 BUSCAR PACIENTES</v>
      </c>
    </row>
    <row r="2219">
      <c r="A2219" s="44">
        <v>2218.0</v>
      </c>
      <c r="B2219" s="44" t="str">
        <f>IFERROR(__xludf.DUMMYFUNCTION("""COMPUTED_VALUE"""),"Hospital Domingo Luciani")</f>
        <v>Hospital Domingo Luciani</v>
      </c>
      <c r="C2219" s="45" t="str">
        <f>IFERROR(__xludf.DUMMYFUNCTION("""COMPUTED_VALUE"""),"HILDER ANA LUCIA")</f>
        <v>HILDER ANA LUCIA</v>
      </c>
      <c r="D2219" s="44">
        <f>IFERROR(__xludf.DUMMYFUNCTION("""COMPUTED_VALUE"""),4.0)</f>
        <v>4</v>
      </c>
      <c r="E2219" s="44" t="str">
        <f>IFERROR(__xludf.DUMMYFUNCTION("""COMPUTED_VALUE"""),"")</f>
        <v/>
      </c>
      <c r="F2219" s="44" t="str">
        <f>IFERROR(__xludf.DUMMYFUNCTION("""COMPUTED_VALUE"""),"")</f>
        <v/>
      </c>
      <c r="G2219" s="44" t="str">
        <f>IFERROR(__xludf.DUMMYFUNCTION("""COMPUTED_VALUE""")," ")</f>
        <v> </v>
      </c>
      <c r="H2219" s="44" t="str">
        <f>IFERROR(__xludf.DUMMYFUNCTION("""COMPUTED_VALUE"""),"Los Corales")</f>
        <v>Los Corales</v>
      </c>
      <c r="I2219" s="44" t="str">
        <f>IFERROR(__xludf.DUMMYFUNCTION("""COMPUTED_VALUE"""),"Pediatría")</f>
        <v>Pediatría</v>
      </c>
      <c r="J2219" s="44" t="str">
        <f>IFERROR(__xludf.DUMMYFUNCTION("""COMPUTED_VALUE"""),"")</f>
        <v/>
      </c>
      <c r="K2219" s="42" t="str">
        <f>IFERROR(__xludf.DUMMYFUNCTION("""COMPUTED_VALUE"""),"🔍 BUSCAR PACIENTES")</f>
        <v>🔍 BUSCAR PACIENTES</v>
      </c>
    </row>
    <row r="2220">
      <c r="A2220" s="44">
        <v>2219.0</v>
      </c>
      <c r="B2220" s="44" t="str">
        <f>IFERROR(__xludf.DUMMYFUNCTION("""COMPUTED_VALUE"""),"Hospital Domingo Luciani")</f>
        <v>Hospital Domingo Luciani</v>
      </c>
      <c r="C2220" s="45" t="str">
        <f>IFERROR(__xludf.DUMMYFUNCTION("""COMPUTED_VALUE"""),"HILDERS ANA")</f>
        <v>HILDERS ANA</v>
      </c>
      <c r="D2220" s="44">
        <f>IFERROR(__xludf.DUMMYFUNCTION("""COMPUTED_VALUE"""),4.0)</f>
        <v>4</v>
      </c>
      <c r="E2220" s="44" t="str">
        <f>IFERROR(__xludf.DUMMYFUNCTION("""COMPUTED_VALUE"""),"")</f>
        <v/>
      </c>
      <c r="F2220" s="44" t="str">
        <f>IFERROR(__xludf.DUMMYFUNCTION("""COMPUTED_VALUE"""),"")</f>
        <v/>
      </c>
      <c r="G2220" s="44" t="str">
        <f>IFERROR(__xludf.DUMMYFUNCTION("""COMPUTED_VALUE""")," ")</f>
        <v> </v>
      </c>
      <c r="H2220" s="44" t="str">
        <f>IFERROR(__xludf.DUMMYFUNCTION("""COMPUTED_VALUE""")," ")</f>
        <v> </v>
      </c>
      <c r="I2220" s="44" t="str">
        <f>IFERROR(__xludf.DUMMYFUNCTION("""COMPUTED_VALUE"""),"Quirófano")</f>
        <v>Quirófano</v>
      </c>
      <c r="J2220" s="44" t="str">
        <f>IFERROR(__xludf.DUMMYFUNCTION("""COMPUTED_VALUE"""),"")</f>
        <v/>
      </c>
      <c r="K2220" s="42" t="str">
        <f>IFERROR(__xludf.DUMMYFUNCTION("""COMPUTED_VALUE"""),"🔍 BUSCAR PACIENTES")</f>
        <v>🔍 BUSCAR PACIENTES</v>
      </c>
    </row>
    <row r="2221">
      <c r="A2221" s="44">
        <v>2220.0</v>
      </c>
      <c r="B2221" s="44" t="str">
        <f>IFERROR(__xludf.DUMMYFUNCTION("""COMPUTED_VALUE"""),"La Guaira Sin Hospital")</f>
        <v>La Guaira Sin Hospital</v>
      </c>
      <c r="C2221" s="45" t="str">
        <f>IFERROR(__xludf.DUMMYFUNCTION("""COMPUTED_VALUE"""),"Hinona Yimmy")</f>
        <v>Hinona Yimmy</v>
      </c>
      <c r="D2221" s="44" t="str">
        <f>IFERROR(__xludf.DUMMYFUNCTION("""COMPUTED_VALUE"""),"")</f>
        <v/>
      </c>
      <c r="E2221" s="44" t="str">
        <f>IFERROR(__xludf.DUMMYFUNCTION("""COMPUTED_VALUE"""),"")</f>
        <v/>
      </c>
      <c r="F2221" s="44" t="str">
        <f>IFERROR(__xludf.DUMMYFUNCTION("""COMPUTED_VALUE"""),"")</f>
        <v/>
      </c>
      <c r="G2221" s="44" t="str">
        <f>IFERROR(__xludf.DUMMYFUNCTION("""COMPUTED_VALUE"""),"")</f>
        <v/>
      </c>
      <c r="H2221" s="44" t="str">
        <f>IFERROR(__xludf.DUMMYFUNCTION("""COMPUTED_VALUE"""),"Guarenas")</f>
        <v>Guarenas</v>
      </c>
      <c r="I2221" s="44" t="str">
        <f>IFERROR(__xludf.DUMMYFUNCTION("""COMPUTED_VALUE"""),"Listas con ubicación")</f>
        <v>Listas con ubicación</v>
      </c>
      <c r="J2221" s="44" t="str">
        <f>IFERROR(__xludf.DUMMYFUNCTION("""COMPUTED_VALUE"""),"")</f>
        <v/>
      </c>
      <c r="K2221" s="42" t="str">
        <f>IFERROR(__xludf.DUMMYFUNCTION("""COMPUTED_VALUE"""),"La Guaira Sin Hospital")</f>
        <v>La Guaira Sin Hospital</v>
      </c>
    </row>
    <row r="2222">
      <c r="A2222" s="44">
        <v>2221.0</v>
      </c>
      <c r="B2222" s="44" t="str">
        <f>IFERROR(__xludf.DUMMYFUNCTION("""COMPUTED_VALUE"""),"Hospital Domingo Luciani")</f>
        <v>Hospital Domingo Luciani</v>
      </c>
      <c r="C2222" s="45" t="str">
        <f>IFERROR(__xludf.DUMMYFUNCTION("""COMPUTED_VALUE"""),"HOGA ANDERSON")</f>
        <v>HOGA ANDERSON</v>
      </c>
      <c r="D2222" s="44" t="str">
        <f>IFERROR(__xludf.DUMMYFUNCTION("""COMPUTED_VALUE""")," ")</f>
        <v> </v>
      </c>
      <c r="E2222" s="44" t="str">
        <f>IFERROR(__xludf.DUMMYFUNCTION("""COMPUTED_VALUE"""),"")</f>
        <v/>
      </c>
      <c r="F2222" s="44" t="str">
        <f>IFERROR(__xludf.DUMMYFUNCTION("""COMPUTED_VALUE"""),"")</f>
        <v/>
      </c>
      <c r="G2222" s="44" t="str">
        <f>IFERROR(__xludf.DUMMYFUNCTION("""COMPUTED_VALUE""")," ")</f>
        <v> </v>
      </c>
      <c r="H2222" s="44" t="str">
        <f>IFERROR(__xludf.DUMMYFUNCTION("""COMPUTED_VALUE""")," ")</f>
        <v> </v>
      </c>
      <c r="I2222" s="44" t="str">
        <f>IFERROR(__xludf.DUMMYFUNCTION("""COMPUTED_VALUE"""),"Pediatría")</f>
        <v>Pediatría</v>
      </c>
      <c r="J2222" s="44" t="str">
        <f>IFERROR(__xludf.DUMMYFUNCTION("""COMPUTED_VALUE"""),"")</f>
        <v/>
      </c>
      <c r="K2222" s="42" t="str">
        <f>IFERROR(__xludf.DUMMYFUNCTION("""COMPUTED_VALUE"""),"🔍 BUSCAR PACIENTES")</f>
        <v>🔍 BUSCAR PACIENTES</v>
      </c>
    </row>
    <row r="2223">
      <c r="A2223" s="44">
        <v>2222.0</v>
      </c>
      <c r="B2223" s="44" t="str">
        <f>IFERROR(__xludf.DUMMYFUNCTION("""COMPUTED_VALUE"""),"Hospital Pérez Carreño")</f>
        <v>Hospital Pérez Carreño</v>
      </c>
      <c r="C2223" s="45" t="str">
        <f>IFERROR(__xludf.DUMMYFUNCTION("""COMPUTED_VALUE"""),"Honono Tapia Ironyoles Oriana")</f>
        <v>Honono Tapia Ironyoles Oriana</v>
      </c>
      <c r="D2223" s="44"/>
      <c r="E2223" s="44" t="str">
        <f>IFERROR(__xludf.DUMMYFUNCTION("""COMPUTED_VALUE"""),"")</f>
        <v/>
      </c>
      <c r="F2223" s="44" t="str">
        <f>IFERROR(__xludf.DUMMYFUNCTION("""COMPUTED_VALUE"""),"")</f>
        <v/>
      </c>
      <c r="G2223" s="44" t="str">
        <f>IFERROR(__xludf.DUMMYFUNCTION("""COMPUTED_VALUE"""),"Traslados")</f>
        <v>Traslados</v>
      </c>
      <c r="H2223" s="44" t="str">
        <f>IFERROR(__xludf.DUMMYFUNCTION("""COMPUTED_VALUE"""),"Hospital Miguel Perez Carreño")</f>
        <v>Hospital Miguel Perez Carreño</v>
      </c>
      <c r="I2223" s="44"/>
      <c r="J2223" s="44" t="str">
        <f>IFERROR(__xludf.DUMMYFUNCTION("""COMPUTED_VALUE"""),"26/6/26")</f>
        <v>26/6/26</v>
      </c>
      <c r="K2223" s="42" t="str">
        <f>IFERROR(__xludf.DUMMYFUNCTION("""COMPUTED_VALUE"""),"Hospital Pérez Carreño")</f>
        <v>Hospital Pérez Carreño</v>
      </c>
    </row>
    <row r="2224">
      <c r="A2224" s="44">
        <v>2223.0</v>
      </c>
      <c r="B2224" s="44" t="str">
        <f>IFERROR(__xludf.DUMMYFUNCTION("""COMPUTED_VALUE"""),"Hospital Pérez Carreño")</f>
        <v>Hospital Pérez Carreño</v>
      </c>
      <c r="C2224" s="45" t="str">
        <f>IFERROR(__xludf.DUMMYFUNCTION("""COMPUTED_VALUE"""),"HORAYDAYORU")</f>
        <v>HORAYDAYORU</v>
      </c>
      <c r="D2224" s="44" t="str">
        <f>IFERROR(__xludf.DUMMYFUNCTION("""COMPUTED_VALUE""")," ")</f>
        <v> </v>
      </c>
      <c r="E2224" s="44" t="str">
        <f>IFERROR(__xludf.DUMMYFUNCTION("""COMPUTED_VALUE"""),"")</f>
        <v/>
      </c>
      <c r="F2224" s="44" t="str">
        <f>IFERROR(__xludf.DUMMYFUNCTION("""COMPUTED_VALUE"""),"")</f>
        <v/>
      </c>
      <c r="G2224" s="44" t="str">
        <f>IFERROR(__xludf.DUMMYFUNCTION("""COMPUTED_VALUE""")," ")</f>
        <v> </v>
      </c>
      <c r="H2224" s="44" t="str">
        <f>IFERROR(__xludf.DUMMYFUNCTION("""COMPUTED_VALUE""")," ")</f>
        <v> </v>
      </c>
      <c r="I2224" s="44" t="str">
        <f>IFERROR(__xludf.DUMMYFUNCTION("""COMPUTED_VALUE"""),"Traumatología Emergencias – Pasillo Asesor; La Guaira")</f>
        <v>Traumatología Emergencias – Pasillo Asesor; La Guaira</v>
      </c>
      <c r="J2224" s="44" t="str">
        <f>IFERROR(__xludf.DUMMYFUNCTION("""COMPUTED_VALUE"""),"25/06/2026")</f>
        <v>25/06/2026</v>
      </c>
      <c r="K2224" s="42" t="str">
        <f>IFERROR(__xludf.DUMMYFUNCTION("""COMPUTED_VALUE"""),"Hospital Pérez Carreño")</f>
        <v>Hospital Pérez Carreño</v>
      </c>
    </row>
    <row r="2225">
      <c r="A2225" s="44">
        <v>2224.0</v>
      </c>
      <c r="B2225" s="44" t="str">
        <f>IFERROR(__xludf.DUMMYFUNCTION("""COMPUTED_VALUE"""),"Hospital Pérez Carreño")</f>
        <v>Hospital Pérez Carreño</v>
      </c>
      <c r="C2225" s="45" t="str">
        <f>IFERROR(__xludf.DUMMYFUNCTION("""COMPUTED_VALUE"""),"Hordoa Anderson")</f>
        <v>Hordoa Anderson</v>
      </c>
      <c r="D2225" s="44"/>
      <c r="E2225" s="44" t="str">
        <f>IFERROR(__xludf.DUMMYFUNCTION("""COMPUTED_VALUE"""),"")</f>
        <v/>
      </c>
      <c r="F2225" s="44" t="str">
        <f>IFERROR(__xludf.DUMMYFUNCTION("""COMPUTED_VALUE"""),"")</f>
        <v/>
      </c>
      <c r="G2225" s="44" t="str">
        <f>IFERROR(__xludf.DUMMYFUNCTION("""COMPUTED_VALUE"""),"Traslados con destino asignado")</f>
        <v>Traslados con destino asignado</v>
      </c>
      <c r="H2225" s="44" t="str">
        <f>IFERROR(__xludf.DUMMYFUNCTION("""COMPUTED_VALUE"""),"Hospital Miguel Perez Carreño")</f>
        <v>Hospital Miguel Perez Carreño</v>
      </c>
      <c r="I2225" s="44"/>
      <c r="J2225" s="44" t="str">
        <f>IFERROR(__xludf.DUMMYFUNCTION("""COMPUTED_VALUE"""),"26/6/26")</f>
        <v>26/6/26</v>
      </c>
      <c r="K2225" s="42" t="str">
        <f>IFERROR(__xludf.DUMMYFUNCTION("""COMPUTED_VALUE"""),"Hospital Pérez Carreño")</f>
        <v>Hospital Pérez Carreño</v>
      </c>
    </row>
    <row r="2226">
      <c r="A2226" s="44">
        <v>2225.0</v>
      </c>
      <c r="B2226" s="44" t="str">
        <f>IFERROR(__xludf.DUMMYFUNCTION("""COMPUTED_VALUE"""),"Hospital Domingo Luciani")</f>
        <v>Hospital Domingo Luciani</v>
      </c>
      <c r="C2226" s="45" t="str">
        <f>IFERROR(__xludf.DUMMYFUNCTION("""COMPUTED_VALUE"""),"Horia Castañeda")</f>
        <v>Horia Castañeda</v>
      </c>
      <c r="D2226" s="44">
        <f>IFERROR(__xludf.DUMMYFUNCTION("""COMPUTED_VALUE"""),0.0)</f>
        <v>0</v>
      </c>
      <c r="E2226" s="44" t="str">
        <f>IFERROR(__xludf.DUMMYFUNCTION("""COMPUTED_VALUE"""),"")</f>
        <v/>
      </c>
      <c r="F2226" s="44" t="str">
        <f>IFERROR(__xludf.DUMMYFUNCTION("""COMPUTED_VALUE"""),"")</f>
        <v/>
      </c>
      <c r="G2226" s="44"/>
      <c r="H2226" s="44"/>
      <c r="I2226" s="44"/>
      <c r="J2226" s="44" t="str">
        <f>IFERROR(__xludf.DUMMYFUNCTION("""COMPUTED_VALUE"""),"")</f>
        <v/>
      </c>
      <c r="K2226" s="42" t="str">
        <f>IFERROR(__xludf.DUMMYFUNCTION("""COMPUTED_VALUE"""),"Hospital Domingo Luciani")</f>
        <v>Hospital Domingo Luciani</v>
      </c>
    </row>
    <row r="2227">
      <c r="A2227" s="44">
        <v>2226.0</v>
      </c>
      <c r="B2227" s="44" t="str">
        <f>IFERROR(__xludf.DUMMYFUNCTION("""COMPUTED_VALUE"""),"Hospital Pérez Carreño")</f>
        <v>Hospital Pérez Carreño</v>
      </c>
      <c r="C2227" s="45" t="str">
        <f>IFERROR(__xludf.DUMMYFUNCTION("""COMPUTED_VALUE"""),"Horoaria Galimar")</f>
        <v>Horoaria Galimar</v>
      </c>
      <c r="D2227" s="44"/>
      <c r="E2227" s="44" t="str">
        <f>IFERROR(__xludf.DUMMYFUNCTION("""COMPUTED_VALUE"""),"")</f>
        <v/>
      </c>
      <c r="F2227" s="44" t="str">
        <f>IFERROR(__xludf.DUMMYFUNCTION("""COMPUTED_VALUE"""),"")</f>
        <v/>
      </c>
      <c r="G2227" s="44" t="str">
        <f>IFERROR(__xludf.DUMMYFUNCTION("""COMPUTED_VALUE"""),"Traslados con destino asignado")</f>
        <v>Traslados con destino asignado</v>
      </c>
      <c r="H2227" s="44" t="str">
        <f>IFERROR(__xludf.DUMMYFUNCTION("""COMPUTED_VALUE"""),"Hospital Miguel Perez Carreño")</f>
        <v>Hospital Miguel Perez Carreño</v>
      </c>
      <c r="I2227" s="44"/>
      <c r="J2227" s="44" t="str">
        <f>IFERROR(__xludf.DUMMYFUNCTION("""COMPUTED_VALUE"""),"26/6/26")</f>
        <v>26/6/26</v>
      </c>
      <c r="K2227" s="42" t="str">
        <f>IFERROR(__xludf.DUMMYFUNCTION("""COMPUTED_VALUE"""),"Hospital Pérez Carreño")</f>
        <v>Hospital Pérez Carreño</v>
      </c>
    </row>
    <row r="2228">
      <c r="A2228" s="44">
        <v>2227.0</v>
      </c>
      <c r="B2228" s="44" t="str">
        <f>IFERROR(__xludf.DUMMYFUNCTION("""COMPUTED_VALUE"""),"H. Jose Maria Vargas LG")</f>
        <v>H. Jose Maria Vargas LG</v>
      </c>
      <c r="C2228" s="45" t="str">
        <f>IFERROR(__xludf.DUMMYFUNCTION("""COMPUTED_VALUE"""),"HORRADA OSCATA")</f>
        <v>HORRADA OSCATA</v>
      </c>
      <c r="D2228" s="44">
        <f>IFERROR(__xludf.DUMMYFUNCTION("""COMPUTED_VALUE"""),61.0)</f>
        <v>61</v>
      </c>
      <c r="E2228" s="44" t="str">
        <f>IFERROR(__xludf.DUMMYFUNCTION("""COMPUTED_VALUE"""),"")</f>
        <v/>
      </c>
      <c r="F2228" s="44" t="str">
        <f>IFERROR(__xludf.DUMMYFUNCTION("""COMPUTED_VALUE"""),"")</f>
        <v/>
      </c>
      <c r="G2228" s="44" t="str">
        <f>IFERROR(__xludf.DUMMYFUNCTION("""COMPUTED_VALUE""")," ")</f>
        <v> </v>
      </c>
      <c r="H2228" s="44" t="str">
        <f>IFERROR(__xludf.DUMMYFUNCTION("""COMPUTED_VALUE"""),"Los Corales")</f>
        <v>Los Corales</v>
      </c>
      <c r="I2228" s="44" t="str">
        <f>IFERROR(__xludf.DUMMYFUNCTION("""COMPUTED_VALUE""")," ")</f>
        <v> </v>
      </c>
      <c r="J2228" s="44" t="str">
        <f>IFERROR(__xludf.DUMMYFUNCTION("""COMPUTED_VALUE"""),"")</f>
        <v/>
      </c>
      <c r="K2228" s="42" t="str">
        <f>IFERROR(__xludf.DUMMYFUNCTION("""COMPUTED_VALUE"""),"H. Jose Maria Vargas LG")</f>
        <v>H. Jose Maria Vargas LG</v>
      </c>
    </row>
    <row r="2229">
      <c r="A2229" s="44">
        <v>2228.0</v>
      </c>
      <c r="B2229" s="44" t="str">
        <f>IFERROR(__xludf.DUMMYFUNCTION("""COMPUTED_VALUE"""),"Hospital Domingo Luciani")</f>
        <v>Hospital Domingo Luciani</v>
      </c>
      <c r="C2229" s="45" t="str">
        <f>IFERROR(__xludf.DUMMYFUNCTION("""COMPUTED_VALUE"""),"HUGA ANDERSON")</f>
        <v>HUGA ANDERSON</v>
      </c>
      <c r="D2229" s="44" t="str">
        <f>IFERROR(__xludf.DUMMYFUNCTION("""COMPUTED_VALUE""")," ")</f>
        <v> </v>
      </c>
      <c r="E2229" s="44" t="str">
        <f>IFERROR(__xludf.DUMMYFUNCTION("""COMPUTED_VALUE"""),"")</f>
        <v/>
      </c>
      <c r="F2229" s="44" t="str">
        <f>IFERROR(__xludf.DUMMYFUNCTION("""COMPUTED_VALUE"""),"")</f>
        <v/>
      </c>
      <c r="G2229" s="44" t="str">
        <f>IFERROR(__xludf.DUMMYFUNCTION("""COMPUTED_VALUE""")," ")</f>
        <v> </v>
      </c>
      <c r="H2229" s="44" t="str">
        <f>IFERROR(__xludf.DUMMYFUNCTION("""COMPUTED_VALUE""")," ")</f>
        <v> </v>
      </c>
      <c r="I2229" s="44" t="str">
        <f>IFERROR(__xludf.DUMMYFUNCTION("""COMPUTED_VALUE"""),"Pediatría")</f>
        <v>Pediatría</v>
      </c>
      <c r="J2229" s="44" t="str">
        <f>IFERROR(__xludf.DUMMYFUNCTION("""COMPUTED_VALUE"""),"")</f>
        <v/>
      </c>
      <c r="K2229" s="42" t="str">
        <f>IFERROR(__xludf.DUMMYFUNCTION("""COMPUTED_VALUE"""),"🔍 BUSCAR PACIENTES")</f>
        <v>🔍 BUSCAR PACIENTES</v>
      </c>
    </row>
    <row r="2230">
      <c r="A2230" s="44">
        <v>2229.0</v>
      </c>
      <c r="B2230" s="44" t="str">
        <f>IFERROR(__xludf.DUMMYFUNCTION("""COMPUTED_VALUE"""),"HOSPITAL VARGAS")</f>
        <v>HOSPITAL VARGAS</v>
      </c>
      <c r="C2230" s="45" t="str">
        <f>IFERROR(__xludf.DUMMYFUNCTION("""COMPUTED_VALUE"""),"Humberlin Arana")</f>
        <v>Humberlin Arana</v>
      </c>
      <c r="D2230" s="44"/>
      <c r="E2230" s="44" t="str">
        <f>IFERROR(__xludf.DUMMYFUNCTION("""COMPUTED_VALUE"""),"")</f>
        <v/>
      </c>
      <c r="F2230" s="44" t="str">
        <f>IFERROR(__xludf.DUMMYFUNCTION("""COMPUTED_VALUE"""),"")</f>
        <v/>
      </c>
      <c r="G2230" s="44" t="str">
        <f>IFERROR(__xludf.DUMMYFUNCTION("""COMPUTED_VALUE"""),"")</f>
        <v/>
      </c>
      <c r="H2230" s="44" t="str">
        <f>IFERROR(__xludf.DUMMYFUNCTION("""COMPUTED_VALUE"""),"")</f>
        <v/>
      </c>
      <c r="I2230" s="44" t="str">
        <f>IFERROR(__xludf.DUMMYFUNCTION("""COMPUTED_VALUE"""),"Herido / atendido")</f>
        <v>Herido / atendido</v>
      </c>
      <c r="J2230" s="44" t="str">
        <f>IFERROR(__xludf.DUMMYFUNCTION("""COMPUTED_VALUE"""),"24.06.2026 ")</f>
        <v>24.06.2026 </v>
      </c>
      <c r="K2230" s="42" t="str">
        <f>IFERROR(__xludf.DUMMYFUNCTION("""COMPUTED_VALUE"""),"HOSPITAL VARGAS")</f>
        <v>HOSPITAL VARGAS</v>
      </c>
    </row>
    <row r="2231">
      <c r="A2231" s="44">
        <v>2230.0</v>
      </c>
      <c r="B2231" s="44" t="str">
        <f>IFERROR(__xludf.DUMMYFUNCTION("""COMPUTED_VALUE"""),"Hospital Domingo Luciani")</f>
        <v>Hospital Domingo Luciani</v>
      </c>
      <c r="C2231" s="45" t="str">
        <f>IFERROR(__xludf.DUMMYFUNCTION("""COMPUTED_VALUE"""),"HUOA ANDERSON")</f>
        <v>HUOA ANDERSON</v>
      </c>
      <c r="D2231" s="44">
        <f>IFERROR(__xludf.DUMMYFUNCTION("""COMPUTED_VALUE"""),9.0)</f>
        <v>9</v>
      </c>
      <c r="E2231" s="44" t="str">
        <f>IFERROR(__xludf.DUMMYFUNCTION("""COMPUTED_VALUE"""),"")</f>
        <v/>
      </c>
      <c r="F2231" s="44" t="str">
        <f>IFERROR(__xludf.DUMMYFUNCTION("""COMPUTED_VALUE"""),"")</f>
        <v/>
      </c>
      <c r="G2231" s="44" t="str">
        <f>IFERROR(__xludf.DUMMYFUNCTION("""COMPUTED_VALUE""")," ")</f>
        <v> </v>
      </c>
      <c r="H2231" s="44" t="str">
        <f>IFERROR(__xludf.DUMMYFUNCTION("""COMPUTED_VALUE""")," ")</f>
        <v> </v>
      </c>
      <c r="I2231" s="44" t="str">
        <f>IFERROR(__xludf.DUMMYFUNCTION("""COMPUTED_VALUE"""),"Pediatría")</f>
        <v>Pediatría</v>
      </c>
      <c r="J2231" s="44" t="str">
        <f>IFERROR(__xludf.DUMMYFUNCTION("""COMPUTED_VALUE"""),"")</f>
        <v/>
      </c>
      <c r="K2231" s="42" t="str">
        <f>IFERROR(__xludf.DUMMYFUNCTION("""COMPUTED_VALUE"""),"🔍 BUSCAR PACIENTES")</f>
        <v>🔍 BUSCAR PACIENTES</v>
      </c>
    </row>
    <row r="2232">
      <c r="A2232" s="44">
        <v>2231.0</v>
      </c>
      <c r="B2232" s="44" t="str">
        <f>IFERROR(__xludf.DUMMYFUNCTION("""COMPUTED_VALUE"""),"Centro de Acopio Caraballeda")</f>
        <v>Centro de Acopio Caraballeda</v>
      </c>
      <c r="C2232" s="45" t="str">
        <f>IFERROR(__xludf.DUMMYFUNCTION("""COMPUTED_VALUE"""),"HURTADO ADRIAN")</f>
        <v>HURTADO ADRIAN</v>
      </c>
      <c r="D2232" s="44" t="str">
        <f>IFERROR(__xludf.DUMMYFUNCTION("""COMPUTED_VALUE""")," ")</f>
        <v> </v>
      </c>
      <c r="E2232" s="44" t="str">
        <f>IFERROR(__xludf.DUMMYFUNCTION("""COMPUTED_VALUE"""),"")</f>
        <v/>
      </c>
      <c r="F2232" s="44" t="str">
        <f>IFERROR(__xludf.DUMMYFUNCTION("""COMPUTED_VALUE"""),"")</f>
        <v/>
      </c>
      <c r="G2232" s="44" t="str">
        <f>IFERROR(__xludf.DUMMYFUNCTION("""COMPUTED_VALUE""")," ")</f>
        <v> </v>
      </c>
      <c r="H2232" s="44" t="str">
        <f>IFERROR(__xludf.DUMMYFUNCTION("""COMPUTED_VALUE""")," ")</f>
        <v> </v>
      </c>
      <c r="I2232" s="44" t="str">
        <f>IFERROR(__xludf.DUMMYFUNCTION("""COMPUTED_VALUE"""),"Internado")</f>
        <v>Internado</v>
      </c>
      <c r="J2232" s="44" t="str">
        <f>IFERROR(__xludf.DUMMYFUNCTION("""COMPUTED_VALUE"""),"")</f>
        <v/>
      </c>
      <c r="K2232" s="42" t="str">
        <f>IFERROR(__xludf.DUMMYFUNCTION("""COMPUTED_VALUE"""),"🔍 BUSCAR PACIENTES")</f>
        <v>🔍 BUSCAR PACIENTES</v>
      </c>
    </row>
    <row r="2233">
      <c r="A2233" s="44">
        <v>2232.0</v>
      </c>
      <c r="B2233" s="44" t="str">
        <f>IFERROR(__xludf.DUMMYFUNCTION("""COMPUTED_VALUE"""),"Centro de Acopio Caraballeda")</f>
        <v>Centro de Acopio Caraballeda</v>
      </c>
      <c r="C2233" s="45" t="str">
        <f>IFERROR(__xludf.DUMMYFUNCTION("""COMPUTED_VALUE"""),"HURTADO (MENOR) ADRAIB")</f>
        <v>HURTADO (MENOR) ADRAIB</v>
      </c>
      <c r="D2233" s="44" t="str">
        <f>IFERROR(__xludf.DUMMYFUNCTION("""COMPUTED_VALUE""")," ")</f>
        <v> </v>
      </c>
      <c r="E2233" s="44" t="str">
        <f>IFERROR(__xludf.DUMMYFUNCTION("""COMPUTED_VALUE"""),"")</f>
        <v/>
      </c>
      <c r="F2233" s="44" t="str">
        <f>IFERROR(__xludf.DUMMYFUNCTION("""COMPUTED_VALUE"""),"")</f>
        <v/>
      </c>
      <c r="G2233" s="44" t="str">
        <f>IFERROR(__xludf.DUMMYFUNCTION("""COMPUTED_VALUE""")," ")</f>
        <v> </v>
      </c>
      <c r="H2233" s="44" t="str">
        <f>IFERROR(__xludf.DUMMYFUNCTION("""COMPUTED_VALUE""")," ")</f>
        <v> </v>
      </c>
      <c r="I2233" s="44" t="str">
        <f>IFERROR(__xludf.DUMMYFUNCTION("""COMPUTED_VALUE"""),"Internado")</f>
        <v>Internado</v>
      </c>
      <c r="J2233" s="44" t="str">
        <f>IFERROR(__xludf.DUMMYFUNCTION("""COMPUTED_VALUE"""),"")</f>
        <v/>
      </c>
      <c r="K2233" s="42" t="str">
        <f>IFERROR(__xludf.DUMMYFUNCTION("""COMPUTED_VALUE"""),"🔍 BUSCAR PACIENTES")</f>
        <v>🔍 BUSCAR PACIENTES</v>
      </c>
    </row>
    <row r="2234">
      <c r="A2234" s="44">
        <v>2233.0</v>
      </c>
      <c r="B2234" s="44" t="str">
        <f>IFERROR(__xludf.DUMMYFUNCTION("""COMPUTED_VALUE"""),"Clínica El Ávila")</f>
        <v>Clínica El Ávila</v>
      </c>
      <c r="C2234" s="45" t="str">
        <f>IFERROR(__xludf.DUMMYFUNCTION("""COMPUTED_VALUE"""),"IALONGO ANA")</f>
        <v>IALONGO ANA</v>
      </c>
      <c r="D2234" s="44" t="str">
        <f>IFERROR(__xludf.DUMMYFUNCTION("""COMPUTED_VALUE""")," ")</f>
        <v> </v>
      </c>
      <c r="E2234" s="44" t="str">
        <f>IFERROR(__xludf.DUMMYFUNCTION("""COMPUTED_VALUE"""),"")</f>
        <v/>
      </c>
      <c r="F2234" s="44" t="str">
        <f>IFERROR(__xludf.DUMMYFUNCTION("""COMPUTED_VALUE"""),"")</f>
        <v/>
      </c>
      <c r="G2234" s="44" t="str">
        <f>IFERROR(__xludf.DUMMYFUNCTION("""COMPUTED_VALUE""")," ")</f>
        <v> </v>
      </c>
      <c r="H2234" s="44" t="str">
        <f>IFERROR(__xludf.DUMMYFUNCTION("""COMPUTED_VALUE""")," ")</f>
        <v> </v>
      </c>
      <c r="I2234" s="44" t="str">
        <f>IFERROR(__xludf.DUMMYFUNCTION("""COMPUTED_VALUE""")," ")</f>
        <v> </v>
      </c>
      <c r="J2234" s="44" t="str">
        <f>IFERROR(__xludf.DUMMYFUNCTION("""COMPUTED_VALUE"""),"")</f>
        <v/>
      </c>
      <c r="K2234" s="42" t="str">
        <f>IFERROR(__xludf.DUMMYFUNCTION("""COMPUTED_VALUE"""),"Clínica El Ávila")</f>
        <v>Clínica El Ávila</v>
      </c>
    </row>
    <row r="2235">
      <c r="A2235" s="44">
        <v>2234.0</v>
      </c>
      <c r="B2235" s="44" t="str">
        <f>IFERROR(__xludf.DUMMYFUNCTION("""COMPUTED_VALUE"""),"Hospital Domingo Luciani")</f>
        <v>Hospital Domingo Luciani</v>
      </c>
      <c r="C2235" s="45" t="str">
        <f>IFERROR(__xludf.DUMMYFUNCTION("""COMPUTED_VALUE"""),"IASKARA CASTILLO")</f>
        <v>IASKARA CASTILLO</v>
      </c>
      <c r="D2235" s="44">
        <f>IFERROR(__xludf.DUMMYFUNCTION("""COMPUTED_VALUE"""),28.0)</f>
        <v>28</v>
      </c>
      <c r="E2235" s="44" t="str">
        <f>IFERROR(__xludf.DUMMYFUNCTION("""COMPUTED_VALUE"""),"")</f>
        <v/>
      </c>
      <c r="F2235" s="44" t="str">
        <f>IFERROR(__xludf.DUMMYFUNCTION("""COMPUTED_VALUE"""),"")</f>
        <v/>
      </c>
      <c r="G2235" s="44" t="str">
        <f>IFERROR(__xludf.DUMMYFUNCTION("""COMPUTED_VALUE""")," ")</f>
        <v> </v>
      </c>
      <c r="H2235" s="44" t="str">
        <f>IFERROR(__xludf.DUMMYFUNCTION("""COMPUTED_VALUE""")," ")</f>
        <v> </v>
      </c>
      <c r="I2235" s="44" t="str">
        <f>IFERROR(__xludf.DUMMYFUNCTION("""COMPUTED_VALUE""")," ")</f>
        <v> </v>
      </c>
      <c r="J2235" s="44" t="str">
        <f>IFERROR(__xludf.DUMMYFUNCTION("""COMPUTED_VALUE"""),"")</f>
        <v/>
      </c>
      <c r="K2235" s="42" t="str">
        <f>IFERROR(__xludf.DUMMYFUNCTION("""COMPUTED_VALUE"""),"🔍 BUSCAR PACIENTES")</f>
        <v>🔍 BUSCAR PACIENTES</v>
      </c>
    </row>
    <row r="2236">
      <c r="A2236" s="44">
        <v>2235.0</v>
      </c>
      <c r="B2236" s="44" t="str">
        <f>IFERROR(__xludf.DUMMYFUNCTION("""COMPUTED_VALUE"""),"Periférico de Catia")</f>
        <v>Periférico de Catia</v>
      </c>
      <c r="C2236" s="45" t="str">
        <f>IFERROR(__xludf.DUMMYFUNCTION("""COMPUTED_VALUE"""),"IBARRA ANA")</f>
        <v>IBARRA ANA</v>
      </c>
      <c r="D2236" s="44" t="str">
        <f>IFERROR(__xludf.DUMMYFUNCTION("""COMPUTED_VALUE""")," ")</f>
        <v> </v>
      </c>
      <c r="E2236" s="44" t="str">
        <f>IFERROR(__xludf.DUMMYFUNCTION("""COMPUTED_VALUE"""),"")</f>
        <v/>
      </c>
      <c r="F2236" s="44" t="str">
        <f>IFERROR(__xludf.DUMMYFUNCTION("""COMPUTED_VALUE"""),"")</f>
        <v/>
      </c>
      <c r="G2236" s="44" t="str">
        <f>IFERROR(__xludf.DUMMYFUNCTION("""COMPUTED_VALUE""")," ")</f>
        <v> </v>
      </c>
      <c r="H2236" s="44" t="str">
        <f>IFERROR(__xludf.DUMMYFUNCTION("""COMPUTED_VALUE""")," ")</f>
        <v> </v>
      </c>
      <c r="I2236" s="44" t="str">
        <f>IFERROR(__xludf.DUMMYFUNCTION("""COMPUTED_VALUE"""),"Internado")</f>
        <v>Internado</v>
      </c>
      <c r="J2236" s="44" t="str">
        <f>IFERROR(__xludf.DUMMYFUNCTION("""COMPUTED_VALUE"""),"")</f>
        <v/>
      </c>
      <c r="K2236" s="42" t="str">
        <f>IFERROR(__xludf.DUMMYFUNCTION("""COMPUTED_VALUE"""),"Periférico de Catia")</f>
        <v>Periférico de Catia</v>
      </c>
    </row>
    <row r="2237">
      <c r="A2237" s="44">
        <v>2236.0</v>
      </c>
      <c r="B2237" s="44" t="str">
        <f>IFERROR(__xludf.DUMMYFUNCTION("""COMPUTED_VALUE"""),"H. Jose Maria Vargas LG")</f>
        <v>H. Jose Maria Vargas LG</v>
      </c>
      <c r="C2237" s="45" t="str">
        <f>IFERROR(__xludf.DUMMYFUNCTION("""COMPUTED_VALUE"""),"IBARRA YORVIN")</f>
        <v>IBARRA YORVIN</v>
      </c>
      <c r="D2237" s="44" t="str">
        <f>IFERROR(__xludf.DUMMYFUNCTION("""COMPUTED_VALUE""")," ")</f>
        <v> </v>
      </c>
      <c r="E2237" s="44" t="str">
        <f>IFERROR(__xludf.DUMMYFUNCTION("""COMPUTED_VALUE"""),"")</f>
        <v/>
      </c>
      <c r="F2237" s="44" t="str">
        <f>IFERROR(__xludf.DUMMYFUNCTION("""COMPUTED_VALUE"""),"")</f>
        <v/>
      </c>
      <c r="G2237" s="44" t="str">
        <f>IFERROR(__xludf.DUMMYFUNCTION("""COMPUTED_VALUE""")," ")</f>
        <v> </v>
      </c>
      <c r="H2237" s="44" t="str">
        <f>IFERROR(__xludf.DUMMYFUNCTION("""COMPUTED_VALUE""")," ")</f>
        <v> </v>
      </c>
      <c r="I2237" s="44" t="str">
        <f>IFERROR(__xludf.DUMMYFUNCTION("""COMPUTED_VALUE""")," ")</f>
        <v> </v>
      </c>
      <c r="J2237" s="44" t="str">
        <f>IFERROR(__xludf.DUMMYFUNCTION("""COMPUTED_VALUE"""),"")</f>
        <v/>
      </c>
      <c r="K2237" s="42" t="str">
        <f>IFERROR(__xludf.DUMMYFUNCTION("""COMPUTED_VALUE"""),"H. Jose Maria Vargas LG")</f>
        <v>H. Jose Maria Vargas LG</v>
      </c>
    </row>
    <row r="2238">
      <c r="A2238" s="44">
        <v>2237.0</v>
      </c>
      <c r="B2238" s="44" t="str">
        <f>IFERROR(__xludf.DUMMYFUNCTION("""COMPUTED_VALUE"""),"Campo de Golf Playa los Cocos")</f>
        <v>Campo de Golf Playa los Cocos</v>
      </c>
      <c r="C2238" s="45" t="str">
        <f>IFERROR(__xludf.DUMMYFUNCTION("""COMPUTED_VALUE"""),"Ida Santana")</f>
        <v>Ida Santana</v>
      </c>
      <c r="D2238" s="44" t="str">
        <f>IFERROR(__xludf.DUMMYFUNCTION("""COMPUTED_VALUE"""),"")</f>
        <v/>
      </c>
      <c r="E2238" s="44" t="str">
        <f>IFERROR(__xludf.DUMMYFUNCTION("""COMPUTED_VALUE"""),"")</f>
        <v/>
      </c>
      <c r="F2238" s="44" t="str">
        <f>IFERROR(__xludf.DUMMYFUNCTION("""COMPUTED_VALUE"""),"")</f>
        <v/>
      </c>
      <c r="G2238" s="44" t="str">
        <f>IFERROR(__xludf.DUMMYFUNCTION("""COMPUTED_VALUE"""),"")</f>
        <v/>
      </c>
      <c r="H2238" s="44" t="str">
        <f>IFERROR(__xludf.DUMMYFUNCTION("""COMPUTED_VALUE"""),"")</f>
        <v/>
      </c>
      <c r="I2238" s="44"/>
      <c r="J2238" s="44" t="str">
        <f>IFERROR(__xludf.DUMMYFUNCTION("""COMPUTED_VALUE"""),"")</f>
        <v/>
      </c>
      <c r="K2238" s="42" t="str">
        <f>IFERROR(__xludf.DUMMYFUNCTION("""COMPUTED_VALUE"""),"Campo de Golf Playa los Cocos")</f>
        <v>Campo de Golf Playa los Cocos</v>
      </c>
    </row>
    <row r="2239">
      <c r="A2239" s="44">
        <v>2238.0</v>
      </c>
      <c r="B2239" s="44" t="str">
        <f>IFERROR(__xludf.DUMMYFUNCTION("""COMPUTED_VALUE"""),"Centro de Acopio Caraballeda")</f>
        <v>Centro de Acopio Caraballeda</v>
      </c>
      <c r="C2239" s="45" t="str">
        <f>IFERROR(__xludf.DUMMYFUNCTION("""COMPUTED_VALUE"""),"IDRIARTE YUSMELY")</f>
        <v>IDRIARTE YUSMELY</v>
      </c>
      <c r="D2239" s="44" t="str">
        <f>IFERROR(__xludf.DUMMYFUNCTION("""COMPUTED_VALUE""")," ")</f>
        <v> </v>
      </c>
      <c r="E2239" s="44" t="str">
        <f>IFERROR(__xludf.DUMMYFUNCTION("""COMPUTED_VALUE"""),"")</f>
        <v/>
      </c>
      <c r="F2239" s="44" t="str">
        <f>IFERROR(__xludf.DUMMYFUNCTION("""COMPUTED_VALUE"""),"")</f>
        <v/>
      </c>
      <c r="G2239" s="44" t="str">
        <f>IFERROR(__xludf.DUMMYFUNCTION("""COMPUTED_VALUE""")," ")</f>
        <v> </v>
      </c>
      <c r="H2239" s="44" t="str">
        <f>IFERROR(__xludf.DUMMYFUNCTION("""COMPUTED_VALUE""")," ")</f>
        <v> </v>
      </c>
      <c r="I2239" s="44" t="str">
        <f>IFERROR(__xludf.DUMMYFUNCTION("""COMPUTED_VALUE"""),"Internado")</f>
        <v>Internado</v>
      </c>
      <c r="J2239" s="44" t="str">
        <f>IFERROR(__xludf.DUMMYFUNCTION("""COMPUTED_VALUE"""),"")</f>
        <v/>
      </c>
      <c r="K2239" s="42" t="str">
        <f>IFERROR(__xludf.DUMMYFUNCTION("""COMPUTED_VALUE"""),"🔍 BUSCAR PACIENTES")</f>
        <v>🔍 BUSCAR PACIENTES</v>
      </c>
    </row>
    <row r="2240">
      <c r="A2240" s="44">
        <v>2239.0</v>
      </c>
      <c r="B2240" s="44" t="str">
        <f>IFERROR(__xludf.DUMMYFUNCTION("""COMPUTED_VALUE"""),"La Guaira Sin Hospital")</f>
        <v>La Guaira Sin Hospital</v>
      </c>
      <c r="C2240" s="45" t="str">
        <f>IFERROR(__xludf.DUMMYFUNCTION("""COMPUTED_VALUE"""),"Iglesias Peña Ibsen Jose")</f>
        <v>Iglesias Peña Ibsen Jose</v>
      </c>
      <c r="D2240" s="44" t="str">
        <f>IFERROR(__xludf.DUMMYFUNCTION("""COMPUTED_VALUE"""),"")</f>
        <v/>
      </c>
      <c r="E2240" s="44" t="str">
        <f>IFERROR(__xludf.DUMMYFUNCTION("""COMPUTED_VALUE"""),"")</f>
        <v/>
      </c>
      <c r="F2240" s="44" t="str">
        <f>IFERROR(__xludf.DUMMYFUNCTION("""COMPUTED_VALUE"""),"")</f>
        <v/>
      </c>
      <c r="G2240" s="44" t="str">
        <f>IFERROR(__xludf.DUMMYFUNCTION("""COMPUTED_VALUE"""),"")</f>
        <v/>
      </c>
      <c r="H2240" s="44"/>
      <c r="I2240" s="44" t="str">
        <f>IFERROR(__xludf.DUMMYFUNCTION("""COMPUTED_VALUE"""),"Listas solo con nombre")</f>
        <v>Listas solo con nombre</v>
      </c>
      <c r="J2240" s="44" t="str">
        <f>IFERROR(__xludf.DUMMYFUNCTION("""COMPUTED_VALUE"""),"")</f>
        <v/>
      </c>
      <c r="K2240" s="42" t="str">
        <f>IFERROR(__xludf.DUMMYFUNCTION("""COMPUTED_VALUE"""),"La Guaira Sin Hospital")</f>
        <v>La Guaira Sin Hospital</v>
      </c>
    </row>
    <row r="2241">
      <c r="A2241" s="44">
        <v>2240.0</v>
      </c>
      <c r="B2241" s="44" t="str">
        <f>IFERROR(__xludf.DUMMYFUNCTION("""COMPUTED_VALUE"""),"Campo de Golf Playa los Cocos")</f>
        <v>Campo de Golf Playa los Cocos</v>
      </c>
      <c r="C2241" s="45" t="str">
        <f>IFERROR(__xludf.DUMMYFUNCTION("""COMPUTED_VALUE"""),"Ignamary Marval")</f>
        <v>Ignamary Marval</v>
      </c>
      <c r="D2241" s="44" t="str">
        <f>IFERROR(__xludf.DUMMYFUNCTION("""COMPUTED_VALUE"""),"")</f>
        <v/>
      </c>
      <c r="E2241" s="44" t="str">
        <f>IFERROR(__xludf.DUMMYFUNCTION("""COMPUTED_VALUE"""),"")</f>
        <v/>
      </c>
      <c r="F2241" s="44" t="str">
        <f>IFERROR(__xludf.DUMMYFUNCTION("""COMPUTED_VALUE"""),"")</f>
        <v/>
      </c>
      <c r="G2241" s="44" t="str">
        <f>IFERROR(__xludf.DUMMYFUNCTION("""COMPUTED_VALUE"""),"")</f>
        <v/>
      </c>
      <c r="H2241" s="44" t="str">
        <f>IFERROR(__xludf.DUMMYFUNCTION("""COMPUTED_VALUE"""),"")</f>
        <v/>
      </c>
      <c r="I2241" s="44"/>
      <c r="J2241" s="44" t="str">
        <f>IFERROR(__xludf.DUMMYFUNCTION("""COMPUTED_VALUE"""),"")</f>
        <v/>
      </c>
      <c r="K2241" s="42" t="str">
        <f>IFERROR(__xludf.DUMMYFUNCTION("""COMPUTED_VALUE"""),"Campo de Golf Playa los Cocos")</f>
        <v>Campo de Golf Playa los Cocos</v>
      </c>
    </row>
    <row r="2242">
      <c r="A2242" s="44">
        <v>2241.0</v>
      </c>
      <c r="B2242" s="44" t="str">
        <f>IFERROR(__xludf.DUMMYFUNCTION("""COMPUTED_VALUE"""),"Hospital Domingo Luciani")</f>
        <v>Hospital Domingo Luciani</v>
      </c>
      <c r="C2242" s="45" t="str">
        <f>IFERROR(__xludf.DUMMYFUNCTION("""COMPUTED_VALUE"""),"Ileida Roda")</f>
        <v>Ileida Roda</v>
      </c>
      <c r="D2242" s="44">
        <f>IFERROR(__xludf.DUMMYFUNCTION("""COMPUTED_VALUE"""),74.0)</f>
        <v>74</v>
      </c>
      <c r="E2242" s="44" t="str">
        <f>IFERROR(__xludf.DUMMYFUNCTION("""COMPUTED_VALUE"""),"")</f>
        <v/>
      </c>
      <c r="F2242" s="44" t="str">
        <f>IFERROR(__xludf.DUMMYFUNCTION("""COMPUTED_VALUE"""),"")</f>
        <v/>
      </c>
      <c r="G2242" s="44"/>
      <c r="H2242" s="44"/>
      <c r="I2242" s="44"/>
      <c r="J2242" s="44" t="str">
        <f>IFERROR(__xludf.DUMMYFUNCTION("""COMPUTED_VALUE"""),"")</f>
        <v/>
      </c>
      <c r="K2242" s="42" t="str">
        <f>IFERROR(__xludf.DUMMYFUNCTION("""COMPUTED_VALUE"""),"Hospital Domingo Luciani")</f>
        <v>Hospital Domingo Luciani</v>
      </c>
    </row>
    <row r="2243">
      <c r="A2243" s="44">
        <v>2242.0</v>
      </c>
      <c r="B2243" s="44" t="str">
        <f>IFERROR(__xludf.DUMMYFUNCTION("""COMPUTED_VALUE"""),"Hospital Pérez Carreño")</f>
        <v>Hospital Pérez Carreño</v>
      </c>
      <c r="C2243" s="45" t="str">
        <f>IFERROR(__xludf.DUMMYFUNCTION("""COMPUTED_VALUE"""),"INFANTE YHELENA")</f>
        <v>INFANTE YHELENA</v>
      </c>
      <c r="D2243" s="44" t="str">
        <f>IFERROR(__xludf.DUMMYFUNCTION("""COMPUTED_VALUE""")," ")</f>
        <v> </v>
      </c>
      <c r="E2243" s="44" t="str">
        <f>IFERROR(__xludf.DUMMYFUNCTION("""COMPUTED_VALUE"""),"")</f>
        <v/>
      </c>
      <c r="F2243" s="44" t="str">
        <f>IFERROR(__xludf.DUMMYFUNCTION("""COMPUTED_VALUE"""),"")</f>
        <v/>
      </c>
      <c r="G2243" s="44" t="str">
        <f>IFERROR(__xludf.DUMMYFUNCTION("""COMPUTED_VALUE""")," ")</f>
        <v> </v>
      </c>
      <c r="H2243" s="44" t="str">
        <f>IFERROR(__xludf.DUMMYFUNCTION("""COMPUTED_VALUE""")," ")</f>
        <v> </v>
      </c>
      <c r="I2243" s="44" t="str">
        <f>IFERROR(__xludf.DUMMYFUNCTION("""COMPUTED_VALUE"""),"Internado")</f>
        <v>Internado</v>
      </c>
      <c r="J2243" s="44" t="str">
        <f>IFERROR(__xludf.DUMMYFUNCTION("""COMPUTED_VALUE"""),"25/06/2026")</f>
        <v>25/06/2026</v>
      </c>
      <c r="K2243" s="42" t="str">
        <f>IFERROR(__xludf.DUMMYFUNCTION("""COMPUTED_VALUE"""),"Hospital Pérez Carreño")</f>
        <v>Hospital Pérez Carreño</v>
      </c>
    </row>
    <row r="2244">
      <c r="A2244" s="44">
        <v>2243.0</v>
      </c>
      <c r="B2244" s="44" t="str">
        <f>IFERROR(__xludf.DUMMYFUNCTION("""COMPUTED_VALUE"""),"Campo de Golf Playa los Cocos")</f>
        <v>Campo de Golf Playa los Cocos</v>
      </c>
      <c r="C2244" s="45" t="str">
        <f>IFERROR(__xludf.DUMMYFUNCTION("""COMPUTED_VALUE"""),"Ingrid Milano")</f>
        <v>Ingrid Milano</v>
      </c>
      <c r="D2244" s="44" t="str">
        <f>IFERROR(__xludf.DUMMYFUNCTION("""COMPUTED_VALUE"""),"")</f>
        <v/>
      </c>
      <c r="E2244" s="44" t="str">
        <f>IFERROR(__xludf.DUMMYFUNCTION("""COMPUTED_VALUE"""),"")</f>
        <v/>
      </c>
      <c r="F2244" s="44" t="str">
        <f>IFERROR(__xludf.DUMMYFUNCTION("""COMPUTED_VALUE"""),"")</f>
        <v/>
      </c>
      <c r="G2244" s="44" t="str">
        <f>IFERROR(__xludf.DUMMYFUNCTION("""COMPUTED_VALUE"""),"")</f>
        <v/>
      </c>
      <c r="H2244" s="44" t="str">
        <f>IFERROR(__xludf.DUMMYFUNCTION("""COMPUTED_VALUE"""),"")</f>
        <v/>
      </c>
      <c r="I2244" s="44"/>
      <c r="J2244" s="44" t="str">
        <f>IFERROR(__xludf.DUMMYFUNCTION("""COMPUTED_VALUE"""),"")</f>
        <v/>
      </c>
      <c r="K2244" s="42" t="str">
        <f>IFERROR(__xludf.DUMMYFUNCTION("""COMPUTED_VALUE"""),"Campo de Golf Playa los Cocos")</f>
        <v>Campo de Golf Playa los Cocos</v>
      </c>
    </row>
    <row r="2245">
      <c r="A2245" s="44">
        <v>2244.0</v>
      </c>
      <c r="B2245" s="44" t="str">
        <f>IFERROR(__xludf.DUMMYFUNCTION("""COMPUTED_VALUE"""),"Hospital Pérez Carreño")</f>
        <v>Hospital Pérez Carreño</v>
      </c>
      <c r="C2245" s="45" t="str">
        <f>IFERROR(__xludf.DUMMYFUNCTION("""COMPUTED_VALUE"""),"Ingrid Milano Guzman")</f>
        <v>Ingrid Milano Guzman</v>
      </c>
      <c r="D2245" s="44"/>
      <c r="E2245" s="44" t="str">
        <f>IFERROR(__xludf.DUMMYFUNCTION("""COMPUTED_VALUE"""),"")</f>
        <v/>
      </c>
      <c r="F2245" s="44" t="str">
        <f>IFERROR(__xludf.DUMMYFUNCTION("""COMPUTED_VALUE"""),"")</f>
        <v/>
      </c>
      <c r="G2245" s="44" t="str">
        <f>IFERROR(__xludf.DUMMYFUNCTION("""COMPUTED_VALUE"""),"Traumashock ")</f>
        <v>Traumashock </v>
      </c>
      <c r="H2245" s="44" t="str">
        <f>IFERROR(__xludf.DUMMYFUNCTION("""COMPUTED_VALUE"""),"Hospital Miguel Perez Carreño")</f>
        <v>Hospital Miguel Perez Carreño</v>
      </c>
      <c r="I2245" s="44"/>
      <c r="J2245" s="44" t="str">
        <f>IFERROR(__xludf.DUMMYFUNCTION("""COMPUTED_VALUE"""),"26/6/26")</f>
        <v>26/6/26</v>
      </c>
      <c r="K2245" s="42" t="str">
        <f>IFERROR(__xludf.DUMMYFUNCTION("""COMPUTED_VALUE"""),"Hospital Pérez Carreño")</f>
        <v>Hospital Pérez Carreño</v>
      </c>
    </row>
    <row r="2246">
      <c r="A2246" s="44">
        <v>2245.0</v>
      </c>
      <c r="B2246" s="44" t="str">
        <f>IFERROR(__xludf.DUMMYFUNCTION("""COMPUTED_VALUE"""),"Campo de Golf Playa los Cocos")</f>
        <v>Campo de Golf Playa los Cocos</v>
      </c>
      <c r="C2246" s="45" t="str">
        <f>IFERROR(__xludf.DUMMYFUNCTION("""COMPUTED_VALUE"""),"Ingrid Milano Merchoreli")</f>
        <v>Ingrid Milano Merchoreli</v>
      </c>
      <c r="D2246" s="44" t="str">
        <f>IFERROR(__xludf.DUMMYFUNCTION("""COMPUTED_VALUE"""),"")</f>
        <v/>
      </c>
      <c r="E2246" s="44" t="str">
        <f>IFERROR(__xludf.DUMMYFUNCTION("""COMPUTED_VALUE"""),"")</f>
        <v/>
      </c>
      <c r="F2246" s="44" t="str">
        <f>IFERROR(__xludf.DUMMYFUNCTION("""COMPUTED_VALUE"""),"")</f>
        <v/>
      </c>
      <c r="G2246" s="44" t="str">
        <f>IFERROR(__xludf.DUMMYFUNCTION("""COMPUTED_VALUE"""),"")</f>
        <v/>
      </c>
      <c r="H2246" s="44" t="str">
        <f>IFERROR(__xludf.DUMMYFUNCTION("""COMPUTED_VALUE"""),"")</f>
        <v/>
      </c>
      <c r="I2246" s="44"/>
      <c r="J2246" s="44" t="str">
        <f>IFERROR(__xludf.DUMMYFUNCTION("""COMPUTED_VALUE"""),"")</f>
        <v/>
      </c>
      <c r="K2246" s="42" t="str">
        <f>IFERROR(__xludf.DUMMYFUNCTION("""COMPUTED_VALUE"""),"Campo de Golf Playa los Cocos")</f>
        <v>Campo de Golf Playa los Cocos</v>
      </c>
    </row>
    <row r="2247">
      <c r="A2247" s="44">
        <v>2246.0</v>
      </c>
      <c r="B2247" s="44" t="str">
        <f>IFERROR(__xludf.DUMMYFUNCTION("""COMPUTED_VALUE"""),"Hospital Pérez Carreño")</f>
        <v>Hospital Pérez Carreño</v>
      </c>
      <c r="C2247" s="45" t="str">
        <f>IFERROR(__xludf.DUMMYFUNCTION("""COMPUTED_VALUE"""),"Inpante Ithaleng")</f>
        <v>Inpante Ithaleng</v>
      </c>
      <c r="D2247" s="44"/>
      <c r="E2247" s="44" t="str">
        <f>IFERROR(__xludf.DUMMYFUNCTION("""COMPUTED_VALUE"""),"")</f>
        <v/>
      </c>
      <c r="F2247" s="44" t="str">
        <f>IFERROR(__xludf.DUMMYFUNCTION("""COMPUTED_VALUE"""),"")</f>
        <v/>
      </c>
      <c r="G2247" s="44" t="str">
        <f>IFERROR(__xludf.DUMMYFUNCTION("""COMPUTED_VALUE"""),"Traslados con destino asignado")</f>
        <v>Traslados con destino asignado</v>
      </c>
      <c r="H2247" s="44" t="str">
        <f>IFERROR(__xludf.DUMMYFUNCTION("""COMPUTED_VALUE"""),"Hospital Miguel Perez Carreño")</f>
        <v>Hospital Miguel Perez Carreño</v>
      </c>
      <c r="I2247" s="44"/>
      <c r="J2247" s="44" t="str">
        <f>IFERROR(__xludf.DUMMYFUNCTION("""COMPUTED_VALUE"""),"26/6/26")</f>
        <v>26/6/26</v>
      </c>
      <c r="K2247" s="42" t="str">
        <f>IFERROR(__xludf.DUMMYFUNCTION("""COMPUTED_VALUE"""),"Hospital Pérez Carreño")</f>
        <v>Hospital Pérez Carreño</v>
      </c>
    </row>
    <row r="2248">
      <c r="A2248" s="44">
        <v>2247.0</v>
      </c>
      <c r="B2248" s="44" t="str">
        <f>IFERROR(__xludf.DUMMYFUNCTION("""COMPUTED_VALUE"""),"Hospital Domingo Luciani")</f>
        <v>Hospital Domingo Luciani</v>
      </c>
      <c r="C2248" s="45" t="str">
        <f>IFERROR(__xludf.DUMMYFUNCTION("""COMPUTED_VALUE"""),"Ioan Martinez")</f>
        <v>Ioan Martinez</v>
      </c>
      <c r="D2248" s="44">
        <f>IFERROR(__xludf.DUMMYFUNCTION("""COMPUTED_VALUE"""),20.0)</f>
        <v>20</v>
      </c>
      <c r="E2248" s="44" t="str">
        <f>IFERROR(__xludf.DUMMYFUNCTION("""COMPUTED_VALUE"""),"")</f>
        <v/>
      </c>
      <c r="F2248" s="44" t="str">
        <f>IFERROR(__xludf.DUMMYFUNCTION("""COMPUTED_VALUE"""),"")</f>
        <v/>
      </c>
      <c r="G2248" s="44"/>
      <c r="H2248" s="44"/>
      <c r="I2248" s="44"/>
      <c r="J2248" s="44" t="str">
        <f>IFERROR(__xludf.DUMMYFUNCTION("""COMPUTED_VALUE"""),"")</f>
        <v/>
      </c>
      <c r="K2248" s="42" t="str">
        <f>IFERROR(__xludf.DUMMYFUNCTION("""COMPUTED_VALUE"""),"Hospital Domingo Luciani")</f>
        <v>Hospital Domingo Luciani</v>
      </c>
    </row>
    <row r="2249">
      <c r="A2249" s="44">
        <v>2248.0</v>
      </c>
      <c r="B2249" s="44" t="str">
        <f>IFERROR(__xludf.DUMMYFUNCTION("""COMPUTED_VALUE"""),"Hospital Domingo Luciani")</f>
        <v>Hospital Domingo Luciani</v>
      </c>
      <c r="C2249" s="45" t="str">
        <f>IFERROR(__xludf.DUMMYFUNCTION("""COMPUTED_VALUE"""),"Iraida Izquierdo")</f>
        <v>Iraida Izquierdo</v>
      </c>
      <c r="D2249" s="44">
        <f>IFERROR(__xludf.DUMMYFUNCTION("""COMPUTED_VALUE"""),0.0)</f>
        <v>0</v>
      </c>
      <c r="E2249" s="44" t="str">
        <f>IFERROR(__xludf.DUMMYFUNCTION("""COMPUTED_VALUE"""),"")</f>
        <v/>
      </c>
      <c r="F2249" s="44" t="str">
        <f>IFERROR(__xludf.DUMMYFUNCTION("""COMPUTED_VALUE"""),"")</f>
        <v/>
      </c>
      <c r="G2249" s="44"/>
      <c r="H2249" s="44"/>
      <c r="I2249" s="44"/>
      <c r="J2249" s="44" t="str">
        <f>IFERROR(__xludf.DUMMYFUNCTION("""COMPUTED_VALUE"""),"")</f>
        <v/>
      </c>
      <c r="K2249" s="42" t="str">
        <f>IFERROR(__xludf.DUMMYFUNCTION("""COMPUTED_VALUE"""),"Hospital Domingo Luciani")</f>
        <v>Hospital Domingo Luciani</v>
      </c>
    </row>
    <row r="2250">
      <c r="A2250" s="44">
        <v>2249.0</v>
      </c>
      <c r="B2250" s="44" t="str">
        <f>IFERROR(__xludf.DUMMYFUNCTION("""COMPUTED_VALUE"""),"H. Jose Maria Vargas LG")</f>
        <v>H. Jose Maria Vargas LG</v>
      </c>
      <c r="C2250" s="45" t="str">
        <f>IFERROR(__xludf.DUMMYFUNCTION("""COMPUTED_VALUE"""),"IRIARTE GUSTAVO")</f>
        <v>IRIARTE GUSTAVO</v>
      </c>
      <c r="D2250" s="44" t="str">
        <f>IFERROR(__xludf.DUMMYFUNCTION("""COMPUTED_VALUE""")," ")</f>
        <v> </v>
      </c>
      <c r="E2250" s="44" t="str">
        <f>IFERROR(__xludf.DUMMYFUNCTION("""COMPUTED_VALUE"""),"")</f>
        <v/>
      </c>
      <c r="F2250" s="44" t="str">
        <f>IFERROR(__xludf.DUMMYFUNCTION("""COMPUTED_VALUE"""),"")</f>
        <v/>
      </c>
      <c r="G2250" s="44" t="str">
        <f>IFERROR(__xludf.DUMMYFUNCTION("""COMPUTED_VALUE""")," ")</f>
        <v> </v>
      </c>
      <c r="H2250" s="44" t="str">
        <f>IFERROR(__xludf.DUMMYFUNCTION("""COMPUTED_VALUE""")," ")</f>
        <v> </v>
      </c>
      <c r="I2250" s="44" t="str">
        <f>IFERROR(__xludf.DUMMYFUNCTION("""COMPUTED_VALUE"""),"Internado")</f>
        <v>Internado</v>
      </c>
      <c r="J2250" s="44" t="str">
        <f>IFERROR(__xludf.DUMMYFUNCTION("""COMPUTED_VALUE"""),"")</f>
        <v/>
      </c>
      <c r="K2250" s="42" t="str">
        <f>IFERROR(__xludf.DUMMYFUNCTION("""COMPUTED_VALUE"""),"H. Jose Maria Vargas LG")</f>
        <v>H. Jose Maria Vargas LG</v>
      </c>
    </row>
    <row r="2251">
      <c r="A2251" s="44">
        <v>2250.0</v>
      </c>
      <c r="B2251" s="44" t="str">
        <f>IFERROR(__xludf.DUMMYFUNCTION("""COMPUTED_VALUE"""),"Centro de Acopio Caraballeda")</f>
        <v>Centro de Acopio Caraballeda</v>
      </c>
      <c r="C2251" s="45" t="str">
        <f>IFERROR(__xludf.DUMMYFUNCTION("""COMPUTED_VALUE"""),"IRIARTE YARITZA")</f>
        <v>IRIARTE YARITZA</v>
      </c>
      <c r="D2251" s="44" t="str">
        <f>IFERROR(__xludf.DUMMYFUNCTION("""COMPUTED_VALUE""")," ")</f>
        <v> </v>
      </c>
      <c r="E2251" s="44" t="str">
        <f>IFERROR(__xludf.DUMMYFUNCTION("""COMPUTED_VALUE"""),"")</f>
        <v/>
      </c>
      <c r="F2251" s="44" t="str">
        <f>IFERROR(__xludf.DUMMYFUNCTION("""COMPUTED_VALUE"""),"")</f>
        <v/>
      </c>
      <c r="G2251" s="44" t="str">
        <f>IFERROR(__xludf.DUMMYFUNCTION("""COMPUTED_VALUE""")," ")</f>
        <v> </v>
      </c>
      <c r="H2251" s="44" t="str">
        <f>IFERROR(__xludf.DUMMYFUNCTION("""COMPUTED_VALUE""")," ")</f>
        <v> </v>
      </c>
      <c r="I2251" s="44" t="str">
        <f>IFERROR(__xludf.DUMMYFUNCTION("""COMPUTED_VALUE"""),"Internado")</f>
        <v>Internado</v>
      </c>
      <c r="J2251" s="44" t="str">
        <f>IFERROR(__xludf.DUMMYFUNCTION("""COMPUTED_VALUE"""),"")</f>
        <v/>
      </c>
      <c r="K2251" s="42" t="str">
        <f>IFERROR(__xludf.DUMMYFUNCTION("""COMPUTED_VALUE"""),"🔍 BUSCAR PACIENTES")</f>
        <v>🔍 BUSCAR PACIENTES</v>
      </c>
    </row>
    <row r="2252">
      <c r="A2252" s="44">
        <v>2251.0</v>
      </c>
      <c r="B2252" s="44" t="str">
        <f>IFERROR(__xludf.DUMMYFUNCTION("""COMPUTED_VALUE"""),"Hospital Pérez Carreño")</f>
        <v>Hospital Pérez Carreño</v>
      </c>
      <c r="C2252" s="45" t="str">
        <f>IFERROR(__xludf.DUMMYFUNCTION("""COMPUTED_VALUE"""),"Irma Diaz")</f>
        <v>Irma Diaz</v>
      </c>
      <c r="D2252" s="44"/>
      <c r="E2252" s="44" t="str">
        <f>IFERROR(__xludf.DUMMYFUNCTION("""COMPUTED_VALUE"""),"")</f>
        <v/>
      </c>
      <c r="F2252" s="44" t="str">
        <f>IFERROR(__xludf.DUMMYFUNCTION("""COMPUTED_VALUE"""),"")</f>
        <v/>
      </c>
      <c r="G2252" s="44" t="str">
        <f>IFERROR(__xludf.DUMMYFUNCTION("""COMPUTED_VALUE"""),"Traumashock ")</f>
        <v>Traumashock </v>
      </c>
      <c r="H2252" s="44" t="str">
        <f>IFERROR(__xludf.DUMMYFUNCTION("""COMPUTED_VALUE"""),"Hospital Miguel Perez Carreño")</f>
        <v>Hospital Miguel Perez Carreño</v>
      </c>
      <c r="I2252" s="44"/>
      <c r="J2252" s="44" t="str">
        <f>IFERROR(__xludf.DUMMYFUNCTION("""COMPUTED_VALUE"""),"26/6/26")</f>
        <v>26/6/26</v>
      </c>
      <c r="K2252" s="42" t="str">
        <f>IFERROR(__xludf.DUMMYFUNCTION("""COMPUTED_VALUE"""),"Hospital Pérez Carreño")</f>
        <v>Hospital Pérez Carreño</v>
      </c>
    </row>
    <row r="2253">
      <c r="A2253" s="44">
        <v>2252.0</v>
      </c>
      <c r="B2253" s="44" t="str">
        <f>IFERROR(__xludf.DUMMYFUNCTION("""COMPUTED_VALUE"""),"Hospital Pérez Carreño")</f>
        <v>Hospital Pérez Carreño</v>
      </c>
      <c r="C2253" s="45" t="str">
        <f>IFERROR(__xludf.DUMMYFUNCTION("""COMPUTED_VALUE"""),"Isaac Avon")</f>
        <v>Isaac Avon</v>
      </c>
      <c r="D2253" s="44" t="str">
        <f>IFERROR(__xludf.DUMMYFUNCTION("""COMPUTED_VALUE"""),"Tanaguarena")</f>
        <v>Tanaguarena</v>
      </c>
      <c r="E2253" s="44" t="str">
        <f>IFERROR(__xludf.DUMMYFUNCTION("""COMPUTED_VALUE"""),"")</f>
        <v/>
      </c>
      <c r="F2253" s="44" t="str">
        <f>IFERROR(__xludf.DUMMYFUNCTION("""COMPUTED_VALUE"""),"")</f>
        <v/>
      </c>
      <c r="G2253" s="44" t="str">
        <f>IFERROR(__xludf.DUMMYFUNCTION("""COMPUTED_VALUE"""),"Sin familiar")</f>
        <v>Sin familiar</v>
      </c>
      <c r="H2253" s="44"/>
      <c r="I2253" s="44"/>
      <c r="J2253" s="44"/>
      <c r="K2253" s="42" t="str">
        <f>IFERROR(__xludf.DUMMYFUNCTION("""COMPUTED_VALUE"""),"Hospital Pérez Carreño")</f>
        <v>Hospital Pérez Carreño</v>
      </c>
    </row>
    <row r="2254">
      <c r="A2254" s="44">
        <v>2253.0</v>
      </c>
      <c r="B2254" s="44" t="str">
        <f>IFERROR(__xludf.DUMMYFUNCTION("""COMPUTED_VALUE"""),"Campo de Golf Playa los Cocos")</f>
        <v>Campo de Golf Playa los Cocos</v>
      </c>
      <c r="C2254" s="45" t="str">
        <f>IFERROR(__xludf.DUMMYFUNCTION("""COMPUTED_VALUE"""),"Isaac Figuera")</f>
        <v>Isaac Figuera</v>
      </c>
      <c r="D2254" s="44" t="str">
        <f>IFERROR(__xludf.DUMMYFUNCTION("""COMPUTED_VALUE"""),"")</f>
        <v/>
      </c>
      <c r="E2254" s="44" t="str">
        <f>IFERROR(__xludf.DUMMYFUNCTION("""COMPUTED_VALUE"""),"")</f>
        <v/>
      </c>
      <c r="F2254" s="44" t="str">
        <f>IFERROR(__xludf.DUMMYFUNCTION("""COMPUTED_VALUE"""),"")</f>
        <v/>
      </c>
      <c r="G2254" s="44" t="str">
        <f>IFERROR(__xludf.DUMMYFUNCTION("""COMPUTED_VALUE"""),"")</f>
        <v/>
      </c>
      <c r="H2254" s="44" t="str">
        <f>IFERROR(__xludf.DUMMYFUNCTION("""COMPUTED_VALUE"""),"")</f>
        <v/>
      </c>
      <c r="I2254" s="44"/>
      <c r="J2254" s="44" t="str">
        <f>IFERROR(__xludf.DUMMYFUNCTION("""COMPUTED_VALUE"""),"")</f>
        <v/>
      </c>
      <c r="K2254" s="42" t="str">
        <f>IFERROR(__xludf.DUMMYFUNCTION("""COMPUTED_VALUE"""),"Campo de Golf Playa los Cocos")</f>
        <v>Campo de Golf Playa los Cocos</v>
      </c>
    </row>
    <row r="2255">
      <c r="A2255" s="44">
        <v>2254.0</v>
      </c>
      <c r="B2255" s="44" t="str">
        <f>IFERROR(__xludf.DUMMYFUNCTION("""COMPUTED_VALUE"""),"Hospital Domingo Luciani")</f>
        <v>Hospital Domingo Luciani</v>
      </c>
      <c r="C2255" s="45" t="str">
        <f>IFERROR(__xludf.DUMMYFUNCTION("""COMPUTED_VALUE"""),"Isaac Martinez")</f>
        <v>Isaac Martinez</v>
      </c>
      <c r="D2255" s="44">
        <f>IFERROR(__xludf.DUMMYFUNCTION("""COMPUTED_VALUE"""),10.0)</f>
        <v>10</v>
      </c>
      <c r="E2255" s="44" t="str">
        <f>IFERROR(__xludf.DUMMYFUNCTION("""COMPUTED_VALUE"""),"")</f>
        <v/>
      </c>
      <c r="F2255" s="44" t="str">
        <f>IFERROR(__xludf.DUMMYFUNCTION("""COMPUTED_VALUE"""),"")</f>
        <v/>
      </c>
      <c r="G2255" s="44"/>
      <c r="H2255" s="44"/>
      <c r="I2255" s="44"/>
      <c r="J2255" s="44" t="str">
        <f>IFERROR(__xludf.DUMMYFUNCTION("""COMPUTED_VALUE"""),"")</f>
        <v/>
      </c>
      <c r="K2255" s="42" t="str">
        <f>IFERROR(__xludf.DUMMYFUNCTION("""COMPUTED_VALUE"""),"Hospital Domingo Luciani")</f>
        <v>Hospital Domingo Luciani</v>
      </c>
    </row>
    <row r="2256">
      <c r="A2256" s="44">
        <v>2255.0</v>
      </c>
      <c r="B2256" s="44" t="str">
        <f>IFERROR(__xludf.DUMMYFUNCTION("""COMPUTED_VALUE"""),"Hospital Pérez Carreño")</f>
        <v>Hospital Pérez Carreño</v>
      </c>
      <c r="C2256" s="45" t="str">
        <f>IFERROR(__xludf.DUMMYFUNCTION("""COMPUTED_VALUE"""),"Isabel Alonzo")</f>
        <v>Isabel Alonzo</v>
      </c>
      <c r="D2256" s="44"/>
      <c r="E2256" s="44" t="str">
        <f>IFERROR(__xludf.DUMMYFUNCTION("""COMPUTED_VALUE"""),"")</f>
        <v/>
      </c>
      <c r="F2256" s="44" t="str">
        <f>IFERROR(__xludf.DUMMYFUNCTION("""COMPUTED_VALUE"""),"")</f>
        <v/>
      </c>
      <c r="G2256" s="44" t="str">
        <f>IFERROR(__xludf.DUMMYFUNCTION("""COMPUTED_VALUE"""),"Traumashock ")</f>
        <v>Traumashock </v>
      </c>
      <c r="H2256" s="44" t="str">
        <f>IFERROR(__xludf.DUMMYFUNCTION("""COMPUTED_VALUE"""),"Hospital Miguel Perez Carreño")</f>
        <v>Hospital Miguel Perez Carreño</v>
      </c>
      <c r="I2256" s="44"/>
      <c r="J2256" s="44" t="str">
        <f>IFERROR(__xludf.DUMMYFUNCTION("""COMPUTED_VALUE"""),"26/6/26")</f>
        <v>26/6/26</v>
      </c>
      <c r="K2256" s="42" t="str">
        <f>IFERROR(__xludf.DUMMYFUNCTION("""COMPUTED_VALUE"""),"Hospital Pérez Carreño")</f>
        <v>Hospital Pérez Carreño</v>
      </c>
    </row>
    <row r="2257">
      <c r="A2257" s="44">
        <v>2256.0</v>
      </c>
      <c r="B2257" s="44" t="str">
        <f>IFERROR(__xludf.DUMMYFUNCTION("""COMPUTED_VALUE"""),"Periférico de Catia")</f>
        <v>Periférico de Catia</v>
      </c>
      <c r="C2257" s="45" t="str">
        <f>IFERROR(__xludf.DUMMYFUNCTION("""COMPUTED_VALUE"""),"Isabel Vega (2)")</f>
        <v>Isabel Vega (2)</v>
      </c>
      <c r="D2257" s="44">
        <f>IFERROR(__xludf.DUMMYFUNCTION("""COMPUTED_VALUE"""),50.0)</f>
        <v>50</v>
      </c>
      <c r="E2257" s="44" t="str">
        <f>IFERROR(__xludf.DUMMYFUNCTION("""COMPUTED_VALUE"""),"")</f>
        <v/>
      </c>
      <c r="F2257" s="44" t="str">
        <f>IFERROR(__xludf.DUMMYFUNCTION("""COMPUTED_VALUE"""),"")</f>
        <v/>
      </c>
      <c r="G2257" s="44"/>
      <c r="H2257" s="44" t="str">
        <f>IFERROR(__xludf.DUMMYFUNCTION("""COMPUTED_VALUE"""),"La Guaira")</f>
        <v>La Guaira</v>
      </c>
      <c r="I2257" s="44" t="str">
        <f>IFERROR(__xludf.DUMMYFUNCTION("""COMPUTED_VALUE"""),"Poli-Trauma Emergencia Nueva (hoja aparte); posible duplicado de 'Isabel Vega 54' / 'Isabel Vegas 54 años'")</f>
        <v>Poli-Trauma Emergencia Nueva (hoja aparte); posible duplicado de 'Isabel Vega 54' / 'Isabel Vegas 54 años'</v>
      </c>
      <c r="J2257" s="44" t="str">
        <f>IFERROR(__xludf.DUMMYFUNCTION("""COMPUTED_VALUE"""),"")</f>
        <v/>
      </c>
      <c r="K2257" s="42" t="str">
        <f>IFERROR(__xludf.DUMMYFUNCTION("""COMPUTED_VALUE"""),"Periférico de Catia")</f>
        <v>Periférico de Catia</v>
      </c>
    </row>
    <row r="2258">
      <c r="A2258" s="44">
        <v>2257.0</v>
      </c>
      <c r="B2258" s="44" t="str">
        <f>IFERROR(__xludf.DUMMYFUNCTION("""COMPUTED_VALUE"""),"Periférico de Catia")</f>
        <v>Periférico de Catia</v>
      </c>
      <c r="C2258" s="45" t="str">
        <f>IFERROR(__xludf.DUMMYFUNCTION("""COMPUTED_VALUE"""),"Isabel Vegas (3)")</f>
        <v>Isabel Vegas (3)</v>
      </c>
      <c r="D2258" s="44">
        <f>IFERROR(__xludf.DUMMYFUNCTION("""COMPUTED_VALUE"""),54.0)</f>
        <v>54</v>
      </c>
      <c r="E2258" s="44" t="str">
        <f>IFERROR(__xludf.DUMMYFUNCTION("""COMPUTED_VALUE"""),"")</f>
        <v/>
      </c>
      <c r="F2258" s="44" t="str">
        <f>IFERROR(__xludf.DUMMYFUNCTION("""COMPUTED_VALUE"""),"")</f>
        <v/>
      </c>
      <c r="G2258" s="44"/>
      <c r="H2258" s="44"/>
      <c r="I2258" s="44" t="str">
        <f>IFERROR(__xludf.DUMMYFUNCTION("""COMPUTED_VALUE"""),"Poli Emergencia Nueva (nota suelta separada)")</f>
        <v>Poli Emergencia Nueva (nota suelta separada)</v>
      </c>
      <c r="J2258" s="44" t="str">
        <f>IFERROR(__xludf.DUMMYFUNCTION("""COMPUTED_VALUE"""),"")</f>
        <v/>
      </c>
      <c r="K2258" s="42" t="str">
        <f>IFERROR(__xludf.DUMMYFUNCTION("""COMPUTED_VALUE"""),"Periférico de Catia")</f>
        <v>Periférico de Catia</v>
      </c>
    </row>
    <row r="2259">
      <c r="A2259" s="44">
        <v>2258.0</v>
      </c>
      <c r="B2259" s="44" t="str">
        <f>IFERROR(__xludf.DUMMYFUNCTION("""COMPUTED_VALUE"""),"Campo de Golf Playa los Cocos")</f>
        <v>Campo de Golf Playa los Cocos</v>
      </c>
      <c r="C2259" s="45" t="str">
        <f>IFERROR(__xludf.DUMMYFUNCTION("""COMPUTED_VALUE"""),"Isabela Berbesi")</f>
        <v>Isabela Berbesi</v>
      </c>
      <c r="D2259" s="44" t="str">
        <f>IFERROR(__xludf.DUMMYFUNCTION("""COMPUTED_VALUE"""),"")</f>
        <v/>
      </c>
      <c r="E2259" s="44" t="str">
        <f>IFERROR(__xludf.DUMMYFUNCTION("""COMPUTED_VALUE"""),"")</f>
        <v/>
      </c>
      <c r="F2259" s="44" t="str">
        <f>IFERROR(__xludf.DUMMYFUNCTION("""COMPUTED_VALUE"""),"")</f>
        <v/>
      </c>
      <c r="G2259" s="44" t="str">
        <f>IFERROR(__xludf.DUMMYFUNCTION("""COMPUTED_VALUE"""),"")</f>
        <v/>
      </c>
      <c r="H2259" s="44" t="str">
        <f>IFERROR(__xludf.DUMMYFUNCTION("""COMPUTED_VALUE"""),"")</f>
        <v/>
      </c>
      <c r="I2259" s="44"/>
      <c r="J2259" s="44" t="str">
        <f>IFERROR(__xludf.DUMMYFUNCTION("""COMPUTED_VALUE"""),"")</f>
        <v/>
      </c>
      <c r="K2259" s="42" t="str">
        <f>IFERROR(__xludf.DUMMYFUNCTION("""COMPUTED_VALUE"""),"Campo de Golf Playa los Cocos")</f>
        <v>Campo de Golf Playa los Cocos</v>
      </c>
    </row>
    <row r="2260">
      <c r="A2260" s="44">
        <v>2259.0</v>
      </c>
      <c r="B2260" s="44" t="str">
        <f>IFERROR(__xludf.DUMMYFUNCTION("""COMPUTED_VALUE"""),"Hospital Pérez Carreño")</f>
        <v>Hospital Pérez Carreño</v>
      </c>
      <c r="C2260" s="45" t="str">
        <f>IFERROR(__xludf.DUMMYFUNCTION("""COMPUTED_VALUE"""),"Isabela Revoredo")</f>
        <v>Isabela Revoredo</v>
      </c>
      <c r="D2260" s="44" t="str">
        <f>IFERROR(__xludf.DUMMYFUNCTION("""COMPUTED_VALUE"""),"10 años")</f>
        <v>10 años</v>
      </c>
      <c r="E2260" s="44" t="str">
        <f>IFERROR(__xludf.DUMMYFUNCTION("""COMPUTED_VALUE"""),"")</f>
        <v/>
      </c>
      <c r="F2260" s="44" t="str">
        <f>IFERROR(__xludf.DUMMYFUNCTION("""COMPUTED_VALUE"""),"")</f>
        <v/>
      </c>
      <c r="G2260" s="44" t="str">
        <f>IFERROR(__xludf.DUMMYFUNCTION("""COMPUTED_VALUE"""),"Pediatria")</f>
        <v>Pediatria</v>
      </c>
      <c r="H2260" s="44" t="str">
        <f>IFERROR(__xludf.DUMMYFUNCTION("""COMPUTED_VALUE"""),"Hospital Miguel Perez Carreño")</f>
        <v>Hospital Miguel Perez Carreño</v>
      </c>
      <c r="I2260" s="44"/>
      <c r="J2260" s="44" t="str">
        <f>IFERROR(__xludf.DUMMYFUNCTION("""COMPUTED_VALUE"""),"26/6/26")</f>
        <v>26/6/26</v>
      </c>
      <c r="K2260" s="42" t="str">
        <f>IFERROR(__xludf.DUMMYFUNCTION("""COMPUTED_VALUE"""),"Hospital Pérez Carreño")</f>
        <v>Hospital Pérez Carreño</v>
      </c>
    </row>
    <row r="2261">
      <c r="A2261" s="44">
        <v>2260.0</v>
      </c>
      <c r="B2261" s="44" t="str">
        <f>IFERROR(__xludf.DUMMYFUNCTION("""COMPUTED_VALUE"""),"Hospital Pérez Carreño")</f>
        <v>Hospital Pérez Carreño</v>
      </c>
      <c r="C2261" s="45" t="str">
        <f>IFERROR(__xludf.DUMMYFUNCTION("""COMPUTED_VALUE"""),"ISABELLA REBOREDO")</f>
        <v>ISABELLA REBOREDO</v>
      </c>
      <c r="D2261" s="44">
        <f>IFERROR(__xludf.DUMMYFUNCTION("""COMPUTED_VALUE"""),10.0)</f>
        <v>10</v>
      </c>
      <c r="E2261" s="44" t="str">
        <f>IFERROR(__xludf.DUMMYFUNCTION("""COMPUTED_VALUE"""),"")</f>
        <v/>
      </c>
      <c r="F2261" s="44" t="str">
        <f>IFERROR(__xludf.DUMMYFUNCTION("""COMPUTED_VALUE"""),"")</f>
        <v/>
      </c>
      <c r="G2261" s="44" t="str">
        <f>IFERROR(__xludf.DUMMYFUNCTION("""COMPUTED_VALUE""")," ")</f>
        <v> </v>
      </c>
      <c r="H2261" s="44" t="str">
        <f>IFERROR(__xludf.DUMMYFUNCTION("""COMPUTED_VALUE""")," ")</f>
        <v> </v>
      </c>
      <c r="I2261" s="44" t="str">
        <f>IFERROR(__xludf.DUMMYFUNCTION("""COMPUTED_VALUE""")," ")</f>
        <v> </v>
      </c>
      <c r="J2261" s="44" t="str">
        <f>IFERROR(__xludf.DUMMYFUNCTION("""COMPUTED_VALUE"""),"25/06/2026")</f>
        <v>25/06/2026</v>
      </c>
      <c r="K2261" s="42" t="str">
        <f>IFERROR(__xludf.DUMMYFUNCTION("""COMPUTED_VALUE"""),"Hospital Pérez Carreño")</f>
        <v>Hospital Pérez Carreño</v>
      </c>
    </row>
    <row r="2262">
      <c r="A2262" s="44">
        <v>2261.0</v>
      </c>
      <c r="B2262" s="44" t="str">
        <f>IFERROR(__xludf.DUMMYFUNCTION("""COMPUTED_VALUE"""),"Hospital Pérez Carreño")</f>
        <v>Hospital Pérez Carreño</v>
      </c>
      <c r="C2262" s="45" t="str">
        <f>IFERROR(__xludf.DUMMYFUNCTION("""COMPUTED_VALUE"""),"Isabella Revoredo")</f>
        <v>Isabella Revoredo</v>
      </c>
      <c r="D2262" s="44" t="str">
        <f>IFERROR(__xludf.DUMMYFUNCTION("""COMPUTED_VALUE"""),"La Guaira")</f>
        <v>La Guaira</v>
      </c>
      <c r="E2262" s="44" t="str">
        <f>IFERROR(__xludf.DUMMYFUNCTION("""COMPUTED_VALUE"""),"")</f>
        <v/>
      </c>
      <c r="F2262" s="44" t="str">
        <f>IFERROR(__xludf.DUMMYFUNCTION("""COMPUTED_VALUE"""),"")</f>
        <v/>
      </c>
      <c r="G2262" s="44"/>
      <c r="H2262" s="44"/>
      <c r="I2262" s="44"/>
      <c r="J2262" s="44"/>
      <c r="K2262" s="42" t="str">
        <f>IFERROR(__xludf.DUMMYFUNCTION("""COMPUTED_VALUE"""),"Hospital Pérez Carreño")</f>
        <v>Hospital Pérez Carreño</v>
      </c>
    </row>
    <row r="2263">
      <c r="A2263" s="44">
        <v>2262.0</v>
      </c>
      <c r="B2263" s="44" t="str">
        <f>IFERROR(__xludf.DUMMYFUNCTION("""COMPUTED_VALUE"""),"Hospital Pérez Carreño")</f>
        <v>Hospital Pérez Carreño</v>
      </c>
      <c r="C2263" s="45" t="str">
        <f>IFERROR(__xludf.DUMMYFUNCTION("""COMPUTED_VALUE"""),"Isac Arron")</f>
        <v>Isac Arron</v>
      </c>
      <c r="D2263" s="44" t="str">
        <f>IFERROR(__xludf.DUMMYFUNCTION("""COMPUTED_VALUE"""),"8 años")</f>
        <v>8 años</v>
      </c>
      <c r="E2263" s="44" t="str">
        <f>IFERROR(__xludf.DUMMYFUNCTION("""COMPUTED_VALUE"""),"")</f>
        <v/>
      </c>
      <c r="F2263" s="44" t="str">
        <f>IFERROR(__xludf.DUMMYFUNCTION("""COMPUTED_VALUE"""),"")</f>
        <v/>
      </c>
      <c r="G2263" s="44" t="str">
        <f>IFERROR(__xludf.DUMMYFUNCTION("""COMPUTED_VALUE"""),"Pediatria")</f>
        <v>Pediatria</v>
      </c>
      <c r="H2263" s="44" t="str">
        <f>IFERROR(__xludf.DUMMYFUNCTION("""COMPUTED_VALUE"""),"Hospital Miguel Perez Carreño")</f>
        <v>Hospital Miguel Perez Carreño</v>
      </c>
      <c r="I2263" s="44"/>
      <c r="J2263" s="44" t="str">
        <f>IFERROR(__xludf.DUMMYFUNCTION("""COMPUTED_VALUE"""),"26/6/26")</f>
        <v>26/6/26</v>
      </c>
      <c r="K2263" s="42" t="str">
        <f>IFERROR(__xludf.DUMMYFUNCTION("""COMPUTED_VALUE"""),"Hospital Pérez Carreño")</f>
        <v>Hospital Pérez Carreño</v>
      </c>
    </row>
    <row r="2264">
      <c r="A2264" s="44">
        <v>2263.0</v>
      </c>
      <c r="B2264" s="44" t="str">
        <f>IFERROR(__xludf.DUMMYFUNCTION("""COMPUTED_VALUE"""),"Hospital Domingo Luciani")</f>
        <v>Hospital Domingo Luciani</v>
      </c>
      <c r="C2264" s="45" t="str">
        <f>IFERROR(__xludf.DUMMYFUNCTION("""COMPUTED_VALUE"""),"ISCALA YENNY")</f>
        <v>ISCALA YENNY</v>
      </c>
      <c r="D2264" s="44">
        <f>IFERROR(__xludf.DUMMYFUNCTION("""COMPUTED_VALUE"""),42.0)</f>
        <v>42</v>
      </c>
      <c r="E2264" s="44" t="str">
        <f>IFERROR(__xludf.DUMMYFUNCTION("""COMPUTED_VALUE"""),"")</f>
        <v/>
      </c>
      <c r="F2264" s="44" t="str">
        <f>IFERROR(__xludf.DUMMYFUNCTION("""COMPUTED_VALUE"""),"")</f>
        <v/>
      </c>
      <c r="G2264" s="44" t="str">
        <f>IFERROR(__xludf.DUMMYFUNCTION("""COMPUTED_VALUE""")," ")</f>
        <v> </v>
      </c>
      <c r="H2264" s="44" t="str">
        <f>IFERROR(__xludf.DUMMYFUNCTION("""COMPUTED_VALUE""")," ")</f>
        <v> </v>
      </c>
      <c r="I2264" s="44" t="str">
        <f>IFERROR(__xludf.DUMMYFUNCTION("""COMPUTED_VALUE"""),"Cardiología Piso 2 – H-10 – F")</f>
        <v>Cardiología Piso 2 – H-10 – F</v>
      </c>
      <c r="J2264" s="44" t="str">
        <f>IFERROR(__xludf.DUMMYFUNCTION("""COMPUTED_VALUE"""),"")</f>
        <v/>
      </c>
      <c r="K2264" s="42" t="str">
        <f>IFERROR(__xludf.DUMMYFUNCTION("""COMPUTED_VALUE"""),"🔍 BUSCAR PACIENTES")</f>
        <v>🔍 BUSCAR PACIENTES</v>
      </c>
    </row>
    <row r="2265">
      <c r="A2265" s="44">
        <v>2264.0</v>
      </c>
      <c r="B2265" s="44" t="str">
        <f>IFERROR(__xludf.DUMMYFUNCTION("""COMPUTED_VALUE"""),"Periférico de Catia")</f>
        <v>Periférico de Catia</v>
      </c>
      <c r="C2265" s="45" t="str">
        <f>IFERROR(__xludf.DUMMYFUNCTION("""COMPUTED_VALUE"""),"Isquiebo Henrrique")</f>
        <v>Isquiebo Henrrique</v>
      </c>
      <c r="D2265" s="44">
        <f>IFERROR(__xludf.DUMMYFUNCTION("""COMPUTED_VALUE"""),55.0)</f>
        <v>55</v>
      </c>
      <c r="E2265" s="44" t="str">
        <f>IFERROR(__xludf.DUMMYFUNCTION("""COMPUTED_VALUE"""),"")</f>
        <v/>
      </c>
      <c r="F2265" s="44" t="str">
        <f>IFERROR(__xludf.DUMMYFUNCTION("""COMPUTED_VALUE"""),"")</f>
        <v/>
      </c>
      <c r="G2265" s="44"/>
      <c r="H2265" s="44"/>
      <c r="I2265" s="44" t="str">
        <f>IFERROR(__xludf.DUMMYFUNCTION("""COMPUTED_VALUE"""),"Politrauma Emerg. Nueva (version anterior)")</f>
        <v>Politrauma Emerg. Nueva (version anterior)</v>
      </c>
      <c r="J2265" s="44" t="str">
        <f>IFERROR(__xludf.DUMMYFUNCTION("""COMPUTED_VALUE"""),"")</f>
        <v/>
      </c>
      <c r="K2265" s="42" t="str">
        <f>IFERROR(__xludf.DUMMYFUNCTION("""COMPUTED_VALUE"""),"Periférico de Catia")</f>
        <v>Periférico de Catia</v>
      </c>
    </row>
    <row r="2266">
      <c r="A2266" s="44">
        <v>2265.0</v>
      </c>
      <c r="B2266" s="44" t="str">
        <f>IFERROR(__xludf.DUMMYFUNCTION("""COMPUTED_VALUE"""),"Hospital Domingo Luciani")</f>
        <v>Hospital Domingo Luciani</v>
      </c>
      <c r="C2266" s="45" t="str">
        <f>IFERROR(__xludf.DUMMYFUNCTION("""COMPUTED_VALUE"""),"ISQUIEL HENRIQUE")</f>
        <v>ISQUIEL HENRIQUE</v>
      </c>
      <c r="D2266" s="44">
        <f>IFERROR(__xludf.DUMMYFUNCTION("""COMPUTED_VALUE"""),55.0)</f>
        <v>55</v>
      </c>
      <c r="E2266" s="44" t="str">
        <f>IFERROR(__xludf.DUMMYFUNCTION("""COMPUTED_VALUE"""),"")</f>
        <v/>
      </c>
      <c r="F2266" s="44" t="str">
        <f>IFERROR(__xludf.DUMMYFUNCTION("""COMPUTED_VALUE"""),"")</f>
        <v/>
      </c>
      <c r="G2266" s="44" t="str">
        <f>IFERROR(__xludf.DUMMYFUNCTION("""COMPUTED_VALUE""")," ")</f>
        <v> </v>
      </c>
      <c r="H2266" s="44" t="str">
        <f>IFERROR(__xludf.DUMMYFUNCTION("""COMPUTED_VALUE""")," ")</f>
        <v> </v>
      </c>
      <c r="I2266" s="44" t="str">
        <f>IFERROR(__xludf.DUMMYFUNCTION("""COMPUTED_VALUE"""),"Politrauma Emerg. Nueva")</f>
        <v>Politrauma Emerg. Nueva</v>
      </c>
      <c r="J2266" s="44" t="str">
        <f>IFERROR(__xludf.DUMMYFUNCTION("""COMPUTED_VALUE"""),"")</f>
        <v/>
      </c>
      <c r="K2266" s="42" t="str">
        <f>IFERROR(__xludf.DUMMYFUNCTION("""COMPUTED_VALUE"""),"🔍 BUSCAR PACIENTES")</f>
        <v>🔍 BUSCAR PACIENTES</v>
      </c>
    </row>
    <row r="2267">
      <c r="A2267" s="44">
        <v>2266.0</v>
      </c>
      <c r="B2267" s="44" t="str">
        <f>IFERROR(__xludf.DUMMYFUNCTION("""COMPUTED_VALUE"""),"Hospital Domingo Luciani")</f>
        <v>Hospital Domingo Luciani</v>
      </c>
      <c r="C2267" s="45" t="str">
        <f>IFERROR(__xludf.DUMMYFUNCTION("""COMPUTED_VALUE"""),"ISQUIER HENRIQUE / ISQUIER HENRIAIQUE")</f>
        <v>ISQUIER HENRIQUE / ISQUIER HENRIAIQUE</v>
      </c>
      <c r="D2267" s="44" t="str">
        <f>IFERROR(__xludf.DUMMYFUNCTION("""COMPUTED_VALUE""")," ")</f>
        <v> </v>
      </c>
      <c r="E2267" s="44" t="str">
        <f>IFERROR(__xludf.DUMMYFUNCTION("""COMPUTED_VALUE"""),"")</f>
        <v/>
      </c>
      <c r="F2267" s="44" t="str">
        <f>IFERROR(__xludf.DUMMYFUNCTION("""COMPUTED_VALUE"""),"")</f>
        <v/>
      </c>
      <c r="G2267" s="44" t="str">
        <f>IFERROR(__xludf.DUMMYFUNCTION("""COMPUTED_VALUE""")," ")</f>
        <v> </v>
      </c>
      <c r="H2267" s="44" t="str">
        <f>IFERROR(__xludf.DUMMYFUNCTION("""COMPUTED_VALUE""")," ")</f>
        <v> </v>
      </c>
      <c r="I2267" s="44" t="str">
        <f>IFERROR(__xludf.DUMMYFUNCTION("""COMPUTED_VALUE"""),"Politrauma Emerg. Nueva")</f>
        <v>Politrauma Emerg. Nueva</v>
      </c>
      <c r="J2267" s="44" t="str">
        <f>IFERROR(__xludf.DUMMYFUNCTION("""COMPUTED_VALUE"""),"")</f>
        <v/>
      </c>
      <c r="K2267" s="42" t="str">
        <f>IFERROR(__xludf.DUMMYFUNCTION("""COMPUTED_VALUE"""),"🔍 BUSCAR PACIENTES")</f>
        <v>🔍 BUSCAR PACIENTES</v>
      </c>
    </row>
    <row r="2268">
      <c r="A2268" s="44">
        <v>2267.0</v>
      </c>
      <c r="B2268" s="44" t="str">
        <f>IFERROR(__xludf.DUMMYFUNCTION("""COMPUTED_VALUE"""),"Hospital Domingo Luciani")</f>
        <v>Hospital Domingo Luciani</v>
      </c>
      <c r="C2268" s="45" t="str">
        <f>IFERROR(__xludf.DUMMYFUNCTION("""COMPUTED_VALUE"""),"Israel Acosta")</f>
        <v>Israel Acosta</v>
      </c>
      <c r="D2268" s="44">
        <f>IFERROR(__xludf.DUMMYFUNCTION("""COMPUTED_VALUE"""),10.0)</f>
        <v>10</v>
      </c>
      <c r="E2268" s="44" t="str">
        <f>IFERROR(__xludf.DUMMYFUNCTION("""COMPUTED_VALUE"""),"")</f>
        <v/>
      </c>
      <c r="F2268" s="44" t="str">
        <f>IFERROR(__xludf.DUMMYFUNCTION("""COMPUTED_VALUE"""),"")</f>
        <v/>
      </c>
      <c r="G2268" s="44"/>
      <c r="H2268" s="44"/>
      <c r="I2268" s="44"/>
      <c r="J2268" s="44" t="str">
        <f>IFERROR(__xludf.DUMMYFUNCTION("""COMPUTED_VALUE"""),"")</f>
        <v/>
      </c>
      <c r="K2268" s="42" t="str">
        <f>IFERROR(__xludf.DUMMYFUNCTION("""COMPUTED_VALUE"""),"Hospital Domingo Luciani")</f>
        <v>Hospital Domingo Luciani</v>
      </c>
    </row>
    <row r="2269">
      <c r="A2269" s="44">
        <v>2268.0</v>
      </c>
      <c r="B2269" s="44" t="str">
        <f>IFERROR(__xludf.DUMMYFUNCTION("""COMPUTED_VALUE"""),"Campo de Golf Playa los Cocos")</f>
        <v>Campo de Golf Playa los Cocos</v>
      </c>
      <c r="C2269" s="45" t="str">
        <f>IFERROR(__xludf.DUMMYFUNCTION("""COMPUTED_VALUE"""),"Israel Milano")</f>
        <v>Israel Milano</v>
      </c>
      <c r="D2269" s="44" t="str">
        <f>IFERROR(__xludf.DUMMYFUNCTION("""COMPUTED_VALUE"""),"")</f>
        <v/>
      </c>
      <c r="E2269" s="44" t="str">
        <f>IFERROR(__xludf.DUMMYFUNCTION("""COMPUTED_VALUE"""),"")</f>
        <v/>
      </c>
      <c r="F2269" s="44" t="str">
        <f>IFERROR(__xludf.DUMMYFUNCTION("""COMPUTED_VALUE"""),"")</f>
        <v/>
      </c>
      <c r="G2269" s="44" t="str">
        <f>IFERROR(__xludf.DUMMYFUNCTION("""COMPUTED_VALUE"""),"")</f>
        <v/>
      </c>
      <c r="H2269" s="44" t="str">
        <f>IFERROR(__xludf.DUMMYFUNCTION("""COMPUTED_VALUE"""),"")</f>
        <v/>
      </c>
      <c r="I2269" s="44" t="str">
        <f>IFERROR(__xludf.DUMMYFUNCTION("""COMPUTED_VALUE"""),"menor")</f>
        <v>menor</v>
      </c>
      <c r="J2269" s="44" t="str">
        <f>IFERROR(__xludf.DUMMYFUNCTION("""COMPUTED_VALUE"""),"")</f>
        <v/>
      </c>
      <c r="K2269" s="42" t="str">
        <f>IFERROR(__xludf.DUMMYFUNCTION("""COMPUTED_VALUE"""),"Campo de Golf Playa los Cocos")</f>
        <v>Campo de Golf Playa los Cocos</v>
      </c>
    </row>
    <row r="2270">
      <c r="A2270" s="44">
        <v>2269.0</v>
      </c>
      <c r="B2270" s="44" t="str">
        <f>IFERROR(__xludf.DUMMYFUNCTION("""COMPUTED_VALUE"""),"Hospital Domingo Luciani")</f>
        <v>Hospital Domingo Luciani</v>
      </c>
      <c r="C2270" s="45" t="str">
        <f>IFERROR(__xludf.DUMMYFUNCTION("""COMPUTED_VALUE"""),"Itaire Rihas")</f>
        <v>Itaire Rihas</v>
      </c>
      <c r="D2270" s="44">
        <f>IFERROR(__xludf.DUMMYFUNCTION("""COMPUTED_VALUE"""),0.0)</f>
        <v>0</v>
      </c>
      <c r="E2270" s="44" t="str">
        <f>IFERROR(__xludf.DUMMYFUNCTION("""COMPUTED_VALUE"""),"")</f>
        <v/>
      </c>
      <c r="F2270" s="44" t="str">
        <f>IFERROR(__xludf.DUMMYFUNCTION("""COMPUTED_VALUE"""),"")</f>
        <v/>
      </c>
      <c r="G2270" s="44"/>
      <c r="H2270" s="44"/>
      <c r="I2270" s="44"/>
      <c r="J2270" s="44" t="str">
        <f>IFERROR(__xludf.DUMMYFUNCTION("""COMPUTED_VALUE"""),"")</f>
        <v/>
      </c>
      <c r="K2270" s="42" t="str">
        <f>IFERROR(__xludf.DUMMYFUNCTION("""COMPUTED_VALUE"""),"Hospital Domingo Luciani")</f>
        <v>Hospital Domingo Luciani</v>
      </c>
    </row>
    <row r="2271">
      <c r="A2271" s="44">
        <v>2270.0</v>
      </c>
      <c r="B2271" s="44" t="str">
        <f>IFERROR(__xludf.DUMMYFUNCTION("""COMPUTED_VALUE"""),"Hospital Domingo Luciani")</f>
        <v>Hospital Domingo Luciani</v>
      </c>
      <c r="C2271" s="45" t="str">
        <f>IFERROR(__xludf.DUMMYFUNCTION("""COMPUTED_VALUE"""),"IVIS ESCALONA")</f>
        <v>IVIS ESCALONA</v>
      </c>
      <c r="D2271" s="44" t="str">
        <f>IFERROR(__xludf.DUMMYFUNCTION("""COMPUTED_VALUE""")," ")</f>
        <v> </v>
      </c>
      <c r="E2271" s="44" t="str">
        <f>IFERROR(__xludf.DUMMYFUNCTION("""COMPUTED_VALUE"""),"")</f>
        <v/>
      </c>
      <c r="F2271" s="44" t="str">
        <f>IFERROR(__xludf.DUMMYFUNCTION("""COMPUTED_VALUE"""),"")</f>
        <v/>
      </c>
      <c r="G2271" s="44" t="str">
        <f>IFERROR(__xludf.DUMMYFUNCTION("""COMPUTED_VALUE""")," ")</f>
        <v> </v>
      </c>
      <c r="H2271" s="44" t="str">
        <f>IFERROR(__xludf.DUMMYFUNCTION("""COMPUTED_VALUE""")," ")</f>
        <v> </v>
      </c>
      <c r="I2271" s="44" t="str">
        <f>IFERROR(__xludf.DUMMYFUNCTION("""COMPUTED_VALUE""")," ")</f>
        <v> </v>
      </c>
      <c r="J2271" s="44" t="str">
        <f>IFERROR(__xludf.DUMMYFUNCTION("""COMPUTED_VALUE"""),"")</f>
        <v/>
      </c>
      <c r="K2271" s="42" t="str">
        <f>IFERROR(__xludf.DUMMYFUNCTION("""COMPUTED_VALUE"""),"🔍 BUSCAR PACIENTES")</f>
        <v>🔍 BUSCAR PACIENTES</v>
      </c>
    </row>
    <row r="2272">
      <c r="A2272" s="44">
        <v>2271.0</v>
      </c>
      <c r="B2272" s="44" t="str">
        <f>IFERROR(__xludf.DUMMYFUNCTION("""COMPUTED_VALUE"""),"Hospital Pérez Carreño")</f>
        <v>Hospital Pérez Carreño</v>
      </c>
      <c r="C2272" s="45" t="str">
        <f>IFERROR(__xludf.DUMMYFUNCTION("""COMPUTED_VALUE"""),"Ivon Espinoza")</f>
        <v>Ivon Espinoza</v>
      </c>
      <c r="D2272" s="44" t="str">
        <f>IFERROR(__xludf.DUMMYFUNCTION("""COMPUTED_VALUE"""),"43 años")</f>
        <v>43 años</v>
      </c>
      <c r="E2272" s="44" t="str">
        <f>IFERROR(__xludf.DUMMYFUNCTION("""COMPUTED_VALUE"""),"")</f>
        <v/>
      </c>
      <c r="F2272" s="44" t="str">
        <f>IFERROR(__xludf.DUMMYFUNCTION("""COMPUTED_VALUE"""),"")</f>
        <v/>
      </c>
      <c r="G2272" s="44" t="str">
        <f>IFERROR(__xludf.DUMMYFUNCTION("""COMPUTED_VALUE"""),"Traumashock")</f>
        <v>Traumashock</v>
      </c>
      <c r="H2272" s="44" t="str">
        <f>IFERROR(__xludf.DUMMYFUNCTION("""COMPUTED_VALUE"""),"Hospital Miguel Perez Carreño")</f>
        <v>Hospital Miguel Perez Carreño</v>
      </c>
      <c r="I2272" s="44"/>
      <c r="J2272" s="44" t="str">
        <f>IFERROR(__xludf.DUMMYFUNCTION("""COMPUTED_VALUE"""),"26/6/26")</f>
        <v>26/6/26</v>
      </c>
      <c r="K2272" s="42" t="str">
        <f>IFERROR(__xludf.DUMMYFUNCTION("""COMPUTED_VALUE"""),"Hospital Pérez Carreño")</f>
        <v>Hospital Pérez Carreño</v>
      </c>
    </row>
    <row r="2273">
      <c r="A2273" s="44">
        <v>2272.0</v>
      </c>
      <c r="B2273" s="44" t="str">
        <f>IFERROR(__xludf.DUMMYFUNCTION("""COMPUTED_VALUE"""),"Centro de Acopio Caraballeda")</f>
        <v>Centro de Acopio Caraballeda</v>
      </c>
      <c r="C2273" s="45" t="str">
        <f>IFERROR(__xludf.DUMMYFUNCTION("""COMPUTED_VALUE"""),"IZAGUIRRE FREYMARY")</f>
        <v>IZAGUIRRE FREYMARY</v>
      </c>
      <c r="D2273" s="44" t="str">
        <f>IFERROR(__xludf.DUMMYFUNCTION("""COMPUTED_VALUE""")," ")</f>
        <v> </v>
      </c>
      <c r="E2273" s="44" t="str">
        <f>IFERROR(__xludf.DUMMYFUNCTION("""COMPUTED_VALUE"""),"")</f>
        <v/>
      </c>
      <c r="F2273" s="44" t="str">
        <f>IFERROR(__xludf.DUMMYFUNCTION("""COMPUTED_VALUE"""),"")</f>
        <v/>
      </c>
      <c r="G2273" s="44" t="str">
        <f>IFERROR(__xludf.DUMMYFUNCTION("""COMPUTED_VALUE""")," ")</f>
        <v> </v>
      </c>
      <c r="H2273" s="44" t="str">
        <f>IFERROR(__xludf.DUMMYFUNCTION("""COMPUTED_VALUE""")," ")</f>
        <v> </v>
      </c>
      <c r="I2273" s="44" t="str">
        <f>IFERROR(__xludf.DUMMYFUNCTION("""COMPUTED_VALUE"""),"Internado")</f>
        <v>Internado</v>
      </c>
      <c r="J2273" s="44" t="str">
        <f>IFERROR(__xludf.DUMMYFUNCTION("""COMPUTED_VALUE"""),"")</f>
        <v/>
      </c>
      <c r="K2273" s="42" t="str">
        <f>IFERROR(__xludf.DUMMYFUNCTION("""COMPUTED_VALUE"""),"🔍 BUSCAR PACIENTES")</f>
        <v>🔍 BUSCAR PACIENTES</v>
      </c>
    </row>
    <row r="2274">
      <c r="A2274" s="44">
        <v>2273.0</v>
      </c>
      <c r="B2274" s="44" t="str">
        <f>IFERROR(__xludf.DUMMYFUNCTION("""COMPUTED_VALUE"""),"Hospital Domingo Luciani")</f>
        <v>Hospital Domingo Luciani</v>
      </c>
      <c r="C2274" s="45" t="str">
        <f>IFERROR(__xludf.DUMMYFUNCTION("""COMPUTED_VALUE"""),"IZQUIERDO ENRIQUE")</f>
        <v>IZQUIERDO ENRIQUE</v>
      </c>
      <c r="D2274" s="44">
        <f>IFERROR(__xludf.DUMMYFUNCTION("""COMPUTED_VALUE"""),63.0)</f>
        <v>63</v>
      </c>
      <c r="E2274" s="44" t="str">
        <f>IFERROR(__xludf.DUMMYFUNCTION("""COMPUTED_VALUE"""),"")</f>
        <v/>
      </c>
      <c r="F2274" s="44" t="str">
        <f>IFERROR(__xludf.DUMMYFUNCTION("""COMPUTED_VALUE"""),"")</f>
        <v/>
      </c>
      <c r="G2274" s="44" t="str">
        <f>IFERROR(__xludf.DUMMYFUNCTION("""COMPUTED_VALUE""")," ")</f>
        <v> </v>
      </c>
      <c r="H2274" s="44" t="str">
        <f>IFERROR(__xludf.DUMMYFUNCTION("""COMPUTED_VALUE""")," ")</f>
        <v> </v>
      </c>
      <c r="I2274" s="44" t="str">
        <f>IFERROR(__xludf.DUMMYFUNCTION("""COMPUTED_VALUE"""),"Medicina Interna – M")</f>
        <v>Medicina Interna – M</v>
      </c>
      <c r="J2274" s="44" t="str">
        <f>IFERROR(__xludf.DUMMYFUNCTION("""COMPUTED_VALUE"""),"")</f>
        <v/>
      </c>
      <c r="K2274" s="42" t="str">
        <f>IFERROR(__xludf.DUMMYFUNCTION("""COMPUTED_VALUE"""),"🔍 BUSCAR PACIENTES")</f>
        <v>🔍 BUSCAR PACIENTES</v>
      </c>
    </row>
    <row r="2275">
      <c r="A2275" s="44">
        <v>2274.0</v>
      </c>
      <c r="B2275" s="44" t="str">
        <f>IFERROR(__xludf.DUMMYFUNCTION("""COMPUTED_VALUE"""),"Hospital Domingo Luciani")</f>
        <v>Hospital Domingo Luciani</v>
      </c>
      <c r="C2275" s="45" t="str">
        <f>IFERROR(__xludf.DUMMYFUNCTION("""COMPUTED_VALUE"""),"IZQUIERDO IRAIMA")</f>
        <v>IZQUIERDO IRAIMA</v>
      </c>
      <c r="D2275" s="44">
        <f>IFERROR(__xludf.DUMMYFUNCTION("""COMPUTED_VALUE"""),83.0)</f>
        <v>83</v>
      </c>
      <c r="E2275" s="44" t="str">
        <f>IFERROR(__xludf.DUMMYFUNCTION("""COMPUTED_VALUE"""),"")</f>
        <v/>
      </c>
      <c r="F2275" s="44" t="str">
        <f>IFERROR(__xludf.DUMMYFUNCTION("""COMPUTED_VALUE"""),"")</f>
        <v/>
      </c>
      <c r="G2275" s="44" t="str">
        <f>IFERROR(__xludf.DUMMYFUNCTION("""COMPUTED_VALUE""")," ")</f>
        <v> </v>
      </c>
      <c r="H2275" s="44" t="str">
        <f>IFERROR(__xludf.DUMMYFUNCTION("""COMPUTED_VALUE""")," ")</f>
        <v> </v>
      </c>
      <c r="I2275" s="44" t="str">
        <f>IFERROR(__xludf.DUMMYFUNCTION("""COMPUTED_VALUE"""),"Fallecida")</f>
        <v>Fallecida</v>
      </c>
      <c r="J2275" s="44" t="str">
        <f>IFERROR(__xludf.DUMMYFUNCTION("""COMPUTED_VALUE"""),"")</f>
        <v/>
      </c>
      <c r="K2275" s="42" t="str">
        <f>IFERROR(__xludf.DUMMYFUNCTION("""COMPUTED_VALUE"""),"🔍 BUSCAR PACIENTES")</f>
        <v>🔍 BUSCAR PACIENTES</v>
      </c>
    </row>
    <row r="2276">
      <c r="A2276" s="44">
        <v>2275.0</v>
      </c>
      <c r="B2276" s="44" t="str">
        <f>IFERROR(__xludf.DUMMYFUNCTION("""COMPUTED_VALUE"""),"Hospital Domingo Luciani")</f>
        <v>Hospital Domingo Luciani</v>
      </c>
      <c r="C2276" s="45" t="str">
        <f>IFERROR(__xludf.DUMMYFUNCTION("""COMPUTED_VALUE"""),"IZQUIERDO JEAN")</f>
        <v>IZQUIERDO JEAN</v>
      </c>
      <c r="D2276" s="44">
        <f>IFERROR(__xludf.DUMMYFUNCTION("""COMPUTED_VALUE"""),83.0)</f>
        <v>83</v>
      </c>
      <c r="E2276" s="44" t="str">
        <f>IFERROR(__xludf.DUMMYFUNCTION("""COMPUTED_VALUE"""),"")</f>
        <v/>
      </c>
      <c r="F2276" s="44" t="str">
        <f>IFERROR(__xludf.DUMMYFUNCTION("""COMPUTED_VALUE"""),"")</f>
        <v/>
      </c>
      <c r="G2276" s="44" t="str">
        <f>IFERROR(__xludf.DUMMYFUNCTION("""COMPUTED_VALUE""")," ")</f>
        <v> </v>
      </c>
      <c r="H2276" s="44" t="str">
        <f>IFERROR(__xludf.DUMMYFUNCTION("""COMPUTED_VALUE"""),"palos grande")</f>
        <v>palos grande</v>
      </c>
      <c r="I2276" s="44" t="str">
        <f>IFERROR(__xludf.DUMMYFUNCTION("""COMPUTED_VALUE""")," ")</f>
        <v> </v>
      </c>
      <c r="J2276" s="44" t="str">
        <f>IFERROR(__xludf.DUMMYFUNCTION("""COMPUTED_VALUE"""),"")</f>
        <v/>
      </c>
      <c r="K2276" s="42" t="str">
        <f>IFERROR(__xludf.DUMMYFUNCTION("""COMPUTED_VALUE"""),"🔍 BUSCAR PACIENTES")</f>
        <v>🔍 BUSCAR PACIENTES</v>
      </c>
    </row>
    <row r="2277">
      <c r="A2277" s="44">
        <v>2276.0</v>
      </c>
      <c r="B2277" s="44" t="str">
        <f>IFERROR(__xludf.DUMMYFUNCTION("""COMPUTED_VALUE"""),"Seguro Social La Guaira")</f>
        <v>Seguro Social La Guaira</v>
      </c>
      <c r="C2277" s="45" t="str">
        <f>IFERROR(__xludf.DUMMYFUNCTION("""COMPUTED_VALUE"""),"JACINTA CÑATE")</f>
        <v>JACINTA CÑATE</v>
      </c>
      <c r="D2277" s="44" t="str">
        <f>IFERROR(__xludf.DUMMYFUNCTION("""COMPUTED_VALUE""")," ")</f>
        <v> </v>
      </c>
      <c r="E2277" s="44" t="str">
        <f>IFERROR(__xludf.DUMMYFUNCTION("""COMPUTED_VALUE"""),"")</f>
        <v/>
      </c>
      <c r="F2277" s="44" t="str">
        <f>IFERROR(__xludf.DUMMYFUNCTION("""COMPUTED_VALUE"""),"")</f>
        <v/>
      </c>
      <c r="G2277" s="44" t="str">
        <f>IFERROR(__xludf.DUMMYFUNCTION("""COMPUTED_VALUE""")," ")</f>
        <v> </v>
      </c>
      <c r="H2277" s="44" t="str">
        <f>IFERROR(__xludf.DUMMYFUNCTION("""COMPUTED_VALUE""")," ")</f>
        <v> </v>
      </c>
      <c r="I2277" s="44" t="str">
        <f>IFERROR(__xludf.DUMMYFUNCTION("""COMPUTED_VALUE""")," ")</f>
        <v> </v>
      </c>
      <c r="J2277" s="44" t="str">
        <f>IFERROR(__xludf.DUMMYFUNCTION("""COMPUTED_VALUE"""),"")</f>
        <v/>
      </c>
      <c r="K2277" s="42" t="str">
        <f>IFERROR(__xludf.DUMMYFUNCTION("""COMPUTED_VALUE"""),"Seguro Social La Guaira")</f>
        <v>Seguro Social La Guaira</v>
      </c>
    </row>
    <row r="2278">
      <c r="A2278" s="44">
        <v>2277.0</v>
      </c>
      <c r="B2278" s="44" t="str">
        <f>IFERROR(__xludf.DUMMYFUNCTION("""COMPUTED_VALUE"""),"Hospital Pérez Carreño")</f>
        <v>Hospital Pérez Carreño</v>
      </c>
      <c r="C2278" s="45" t="str">
        <f>IFERROR(__xludf.DUMMYFUNCTION("""COMPUTED_VALUE"""),"Jacinta Forcata")</f>
        <v>Jacinta Forcata</v>
      </c>
      <c r="D2278" s="44"/>
      <c r="E2278" s="44" t="str">
        <f>IFERROR(__xludf.DUMMYFUNCTION("""COMPUTED_VALUE"""),"")</f>
        <v/>
      </c>
      <c r="F2278" s="44" t="str">
        <f>IFERROR(__xludf.DUMMYFUNCTION("""COMPUTED_VALUE"""),"")</f>
        <v/>
      </c>
      <c r="G2278" s="44" t="str">
        <f>IFERROR(__xludf.DUMMYFUNCTION("""COMPUTED_VALUE"""),"Traumashock ")</f>
        <v>Traumashock </v>
      </c>
      <c r="H2278" s="44" t="str">
        <f>IFERROR(__xludf.DUMMYFUNCTION("""COMPUTED_VALUE"""),"Hospital Miguel Perez Carreño")</f>
        <v>Hospital Miguel Perez Carreño</v>
      </c>
      <c r="I2278" s="44"/>
      <c r="J2278" s="44" t="str">
        <f>IFERROR(__xludf.DUMMYFUNCTION("""COMPUTED_VALUE"""),"26/6/26")</f>
        <v>26/6/26</v>
      </c>
      <c r="K2278" s="42" t="str">
        <f>IFERROR(__xludf.DUMMYFUNCTION("""COMPUTED_VALUE"""),"Hospital Pérez Carreño")</f>
        <v>Hospital Pérez Carreño</v>
      </c>
    </row>
    <row r="2279">
      <c r="A2279" s="44">
        <v>2278.0</v>
      </c>
      <c r="B2279" s="44" t="str">
        <f>IFERROR(__xludf.DUMMYFUNCTION("""COMPUTED_VALUE"""),"Campo de Golf Playa los Cocos")</f>
        <v>Campo de Golf Playa los Cocos</v>
      </c>
      <c r="C2279" s="45" t="str">
        <f>IFERROR(__xludf.DUMMYFUNCTION("""COMPUTED_VALUE"""),"Jackson Rondon")</f>
        <v>Jackson Rondon</v>
      </c>
      <c r="D2279" s="44" t="str">
        <f>IFERROR(__xludf.DUMMYFUNCTION("""COMPUTED_VALUE"""),"")</f>
        <v/>
      </c>
      <c r="E2279" s="44" t="str">
        <f>IFERROR(__xludf.DUMMYFUNCTION("""COMPUTED_VALUE"""),"")</f>
        <v/>
      </c>
      <c r="F2279" s="44" t="str">
        <f>IFERROR(__xludf.DUMMYFUNCTION("""COMPUTED_VALUE"""),"")</f>
        <v/>
      </c>
      <c r="G2279" s="44" t="str">
        <f>IFERROR(__xludf.DUMMYFUNCTION("""COMPUTED_VALUE"""),"")</f>
        <v/>
      </c>
      <c r="H2279" s="44" t="str">
        <f>IFERROR(__xludf.DUMMYFUNCTION("""COMPUTED_VALUE"""),"")</f>
        <v/>
      </c>
      <c r="I2279" s="44"/>
      <c r="J2279" s="44" t="str">
        <f>IFERROR(__xludf.DUMMYFUNCTION("""COMPUTED_VALUE"""),"")</f>
        <v/>
      </c>
      <c r="K2279" s="42" t="str">
        <f>IFERROR(__xludf.DUMMYFUNCTION("""COMPUTED_VALUE"""),"Campo de Golf Playa los Cocos")</f>
        <v>Campo de Golf Playa los Cocos</v>
      </c>
    </row>
    <row r="2280">
      <c r="A2280" s="44">
        <v>2279.0</v>
      </c>
      <c r="B2280" s="44" t="str">
        <f>IFERROR(__xludf.DUMMYFUNCTION("""COMPUTED_VALUE"""),"Centro de Acopio Caraballeda")</f>
        <v>Centro de Acopio Caraballeda</v>
      </c>
      <c r="C2280" s="45" t="str">
        <f>IFERROR(__xludf.DUMMYFUNCTION("""COMPUTED_VALUE"""),"JAIMES FABIANA")</f>
        <v>JAIMES FABIANA</v>
      </c>
      <c r="D2280" s="44" t="str">
        <f>IFERROR(__xludf.DUMMYFUNCTION("""COMPUTED_VALUE""")," ")</f>
        <v> </v>
      </c>
      <c r="E2280" s="44" t="str">
        <f>IFERROR(__xludf.DUMMYFUNCTION("""COMPUTED_VALUE"""),"")</f>
        <v/>
      </c>
      <c r="F2280" s="44" t="str">
        <f>IFERROR(__xludf.DUMMYFUNCTION("""COMPUTED_VALUE"""),"")</f>
        <v/>
      </c>
      <c r="G2280" s="44" t="str">
        <f>IFERROR(__xludf.DUMMYFUNCTION("""COMPUTED_VALUE""")," ")</f>
        <v> </v>
      </c>
      <c r="H2280" s="44" t="str">
        <f>IFERROR(__xludf.DUMMYFUNCTION("""COMPUTED_VALUE""")," ")</f>
        <v> </v>
      </c>
      <c r="I2280" s="44" t="str">
        <f>IFERROR(__xludf.DUMMYFUNCTION("""COMPUTED_VALUE"""),"Internado")</f>
        <v>Internado</v>
      </c>
      <c r="J2280" s="44" t="str">
        <f>IFERROR(__xludf.DUMMYFUNCTION("""COMPUTED_VALUE"""),"")</f>
        <v/>
      </c>
      <c r="K2280" s="42" t="str">
        <f>IFERROR(__xludf.DUMMYFUNCTION("""COMPUTED_VALUE"""),"🔍 BUSCAR PACIENTES")</f>
        <v>🔍 BUSCAR PACIENTES</v>
      </c>
    </row>
    <row r="2281">
      <c r="A2281" s="44">
        <v>2280.0</v>
      </c>
      <c r="B2281" s="44" t="str">
        <f>IFERROR(__xludf.DUMMYFUNCTION("""COMPUTED_VALUE"""),"Hospital Pérez Carreño")</f>
        <v>Hospital Pérez Carreño</v>
      </c>
      <c r="C2281" s="45" t="str">
        <f>IFERROR(__xludf.DUMMYFUNCTION("""COMPUTED_VALUE"""),"Jaimes Gobeth")</f>
        <v>Jaimes Gobeth</v>
      </c>
      <c r="D2281" s="44"/>
      <c r="E2281" s="44" t="str">
        <f>IFERROR(__xludf.DUMMYFUNCTION("""COMPUTED_VALUE"""),"")</f>
        <v/>
      </c>
      <c r="F2281" s="44" t="str">
        <f>IFERROR(__xludf.DUMMYFUNCTION("""COMPUTED_VALUE"""),"")</f>
        <v/>
      </c>
      <c r="G2281" s="44" t="str">
        <f>IFERROR(__xludf.DUMMYFUNCTION("""COMPUTED_VALUE"""),"Traslados con destino asignado")</f>
        <v>Traslados con destino asignado</v>
      </c>
      <c r="H2281" s="44" t="str">
        <f>IFERROR(__xludf.DUMMYFUNCTION("""COMPUTED_VALUE"""),"Hospital Miguel Perez Carreño")</f>
        <v>Hospital Miguel Perez Carreño</v>
      </c>
      <c r="I2281" s="44"/>
      <c r="J2281" s="44" t="str">
        <f>IFERROR(__xludf.DUMMYFUNCTION("""COMPUTED_VALUE"""),"26/6/26")</f>
        <v>26/6/26</v>
      </c>
      <c r="K2281" s="42" t="str">
        <f>IFERROR(__xludf.DUMMYFUNCTION("""COMPUTED_VALUE"""),"Hospital Pérez Carreño")</f>
        <v>Hospital Pérez Carreño</v>
      </c>
    </row>
    <row r="2282">
      <c r="A2282" s="44">
        <v>2281.0</v>
      </c>
      <c r="B2282" s="44" t="str">
        <f>IFERROR(__xludf.DUMMYFUNCTION("""COMPUTED_VALUE"""),"Hospital Pérez Carreño")</f>
        <v>Hospital Pérez Carreño</v>
      </c>
      <c r="C2282" s="45" t="str">
        <f>IFERROR(__xludf.DUMMYFUNCTION("""COMPUTED_VALUE"""),"JAIMES LISBET")</f>
        <v>JAIMES LISBET</v>
      </c>
      <c r="D2282" s="44" t="str">
        <f>IFERROR(__xludf.DUMMYFUNCTION("""COMPUTED_VALUE""")," ")</f>
        <v> </v>
      </c>
      <c r="E2282" s="44" t="str">
        <f>IFERROR(__xludf.DUMMYFUNCTION("""COMPUTED_VALUE"""),"")</f>
        <v/>
      </c>
      <c r="F2282" s="44" t="str">
        <f>IFERROR(__xludf.DUMMYFUNCTION("""COMPUTED_VALUE"""),"")</f>
        <v/>
      </c>
      <c r="G2282" s="44" t="str">
        <f>IFERROR(__xludf.DUMMYFUNCTION("""COMPUTED_VALUE""")," ")</f>
        <v> </v>
      </c>
      <c r="H2282" s="44" t="str">
        <f>IFERROR(__xludf.DUMMYFUNCTION("""COMPUTED_VALUE""")," ")</f>
        <v> </v>
      </c>
      <c r="I2282" s="44" t="str">
        <f>IFERROR(__xludf.DUMMYFUNCTION("""COMPUTED_VALUE"""),"Internado; Trauma Shock")</f>
        <v>Internado; Trauma Shock</v>
      </c>
      <c r="J2282" s="44" t="str">
        <f>IFERROR(__xludf.DUMMYFUNCTION("""COMPUTED_VALUE"""),"25/06/2026")</f>
        <v>25/06/2026</v>
      </c>
      <c r="K2282" s="42" t="str">
        <f>IFERROR(__xludf.DUMMYFUNCTION("""COMPUTED_VALUE"""),"Hospital Pérez Carreño")</f>
        <v>Hospital Pérez Carreño</v>
      </c>
    </row>
    <row r="2283">
      <c r="A2283" s="44">
        <v>2282.0</v>
      </c>
      <c r="B2283" s="44" t="str">
        <f>IFERROR(__xludf.DUMMYFUNCTION("""COMPUTED_VALUE"""),"H. Jose Maria Vargas LG")</f>
        <v>H. Jose Maria Vargas LG</v>
      </c>
      <c r="C2283" s="45" t="str">
        <f>IFERROR(__xludf.DUMMYFUNCTION("""COMPUTED_VALUE"""),"JAIMES LISBETH")</f>
        <v>JAIMES LISBETH</v>
      </c>
      <c r="D2283" s="44">
        <f>IFERROR(__xludf.DUMMYFUNCTION("""COMPUTED_VALUE"""),48.0)</f>
        <v>48</v>
      </c>
      <c r="E2283" s="44" t="str">
        <f>IFERROR(__xludf.DUMMYFUNCTION("""COMPUTED_VALUE"""),"")</f>
        <v/>
      </c>
      <c r="F2283" s="44" t="str">
        <f>IFERROR(__xludf.DUMMYFUNCTION("""COMPUTED_VALUE"""),"")</f>
        <v/>
      </c>
      <c r="G2283" s="44" t="str">
        <f>IFERROR(__xludf.DUMMYFUNCTION("""COMPUTED_VALUE""")," ")</f>
        <v> </v>
      </c>
      <c r="H2283" s="44" t="str">
        <f>IFERROR(__xludf.DUMMYFUNCTION("""COMPUTED_VALUE"""),"Caribe")</f>
        <v>Caribe</v>
      </c>
      <c r="I2283" s="44" t="str">
        <f>IFERROR(__xludf.DUMMYFUNCTION("""COMPUTED_VALUE""")," ")</f>
        <v> </v>
      </c>
      <c r="J2283" s="44" t="str">
        <f>IFERROR(__xludf.DUMMYFUNCTION("""COMPUTED_VALUE"""),"")</f>
        <v/>
      </c>
      <c r="K2283" s="42" t="str">
        <f>IFERROR(__xludf.DUMMYFUNCTION("""COMPUTED_VALUE"""),"H. Jose Maria Vargas LG")</f>
        <v>H. Jose Maria Vargas LG</v>
      </c>
    </row>
    <row r="2284">
      <c r="A2284" s="44">
        <v>2283.0</v>
      </c>
      <c r="B2284" s="44" t="str">
        <f>IFERROR(__xludf.DUMMYFUNCTION("""COMPUTED_VALUE"""),"Hospital Domingo Luciani")</f>
        <v>Hospital Domingo Luciani</v>
      </c>
      <c r="C2284" s="45" t="str">
        <f>IFERROR(__xludf.DUMMYFUNCTION("""COMPUTED_VALUE"""),"JANCEL REY")</f>
        <v>JANCEL REY</v>
      </c>
      <c r="D2284" s="44" t="str">
        <f>IFERROR(__xludf.DUMMYFUNCTION("""COMPUTED_VALUE""")," ")</f>
        <v> </v>
      </c>
      <c r="E2284" s="44" t="str">
        <f>IFERROR(__xludf.DUMMYFUNCTION("""COMPUTED_VALUE"""),"")</f>
        <v/>
      </c>
      <c r="F2284" s="44" t="str">
        <f>IFERROR(__xludf.DUMMYFUNCTION("""COMPUTED_VALUE"""),"")</f>
        <v/>
      </c>
      <c r="G2284" s="44" t="str">
        <f>IFERROR(__xludf.DUMMYFUNCTION("""COMPUTED_VALUE""")," ")</f>
        <v> </v>
      </c>
      <c r="H2284" s="44" t="str">
        <f>IFERROR(__xludf.DUMMYFUNCTION("""COMPUTED_VALUE""")," ")</f>
        <v> </v>
      </c>
      <c r="I2284" s="44" t="str">
        <f>IFERROR(__xludf.DUMMYFUNCTION("""COMPUTED_VALUE"""),"Quirófano")</f>
        <v>Quirófano</v>
      </c>
      <c r="J2284" s="44" t="str">
        <f>IFERROR(__xludf.DUMMYFUNCTION("""COMPUTED_VALUE"""),"")</f>
        <v/>
      </c>
      <c r="K2284" s="42" t="str">
        <f>IFERROR(__xludf.DUMMYFUNCTION("""COMPUTED_VALUE"""),"🔍 BUSCAR PACIENTES")</f>
        <v>🔍 BUSCAR PACIENTES</v>
      </c>
    </row>
    <row r="2285">
      <c r="A2285" s="44">
        <v>2284.0</v>
      </c>
      <c r="B2285" s="44" t="str">
        <f>IFERROR(__xludf.DUMMYFUNCTION("""COMPUTED_VALUE"""),"Hospital Domingo Luciani")</f>
        <v>Hospital Domingo Luciani</v>
      </c>
      <c r="C2285" s="45" t="str">
        <f>IFERROR(__xludf.DUMMYFUNCTION("""COMPUTED_VALUE"""),"JANELLY NABI")</f>
        <v>JANELLY NABI</v>
      </c>
      <c r="D2285" s="44">
        <f>IFERROR(__xludf.DUMMYFUNCTION("""COMPUTED_VALUE"""),26.0)</f>
        <v>26</v>
      </c>
      <c r="E2285" s="44" t="str">
        <f>IFERROR(__xludf.DUMMYFUNCTION("""COMPUTED_VALUE"""),"")</f>
        <v/>
      </c>
      <c r="F2285" s="44" t="str">
        <f>IFERROR(__xludf.DUMMYFUNCTION("""COMPUTED_VALUE"""),"")</f>
        <v/>
      </c>
      <c r="G2285" s="44" t="str">
        <f>IFERROR(__xludf.DUMMYFUNCTION("""COMPUTED_VALUE""")," ")</f>
        <v> </v>
      </c>
      <c r="H2285" s="44" t="str">
        <f>IFERROR(__xludf.DUMMYFUNCTION("""COMPUTED_VALUE""")," ")</f>
        <v> </v>
      </c>
      <c r="I2285" s="44" t="str">
        <f>IFERROR(__xludf.DUMMYFUNCTION("""COMPUTED_VALUE"""),"Politrauma – Caribe")</f>
        <v>Politrauma – Caribe</v>
      </c>
      <c r="J2285" s="44" t="str">
        <f>IFERROR(__xludf.DUMMYFUNCTION("""COMPUTED_VALUE"""),"")</f>
        <v/>
      </c>
      <c r="K2285" s="42" t="str">
        <f>IFERROR(__xludf.DUMMYFUNCTION("""COMPUTED_VALUE"""),"🔍 BUSCAR PACIENTES")</f>
        <v>🔍 BUSCAR PACIENTES</v>
      </c>
    </row>
    <row r="2286">
      <c r="A2286" s="44">
        <v>2285.0</v>
      </c>
      <c r="B2286" s="44" t="str">
        <f>IFERROR(__xludf.DUMMYFUNCTION("""COMPUTED_VALUE"""),"Hospital Domingo Luciani")</f>
        <v>Hospital Domingo Luciani</v>
      </c>
      <c r="C2286" s="45" t="str">
        <f>IFERROR(__xludf.DUMMYFUNCTION("""COMPUTED_VALUE"""),"Jano Garcia Vega")</f>
        <v>Jano Garcia Vega</v>
      </c>
      <c r="D2286" s="44">
        <f>IFERROR(__xludf.DUMMYFUNCTION("""COMPUTED_VALUE"""),0.0)</f>
        <v>0</v>
      </c>
      <c r="E2286" s="44" t="str">
        <f>IFERROR(__xludf.DUMMYFUNCTION("""COMPUTED_VALUE"""),"")</f>
        <v/>
      </c>
      <c r="F2286" s="44" t="str">
        <f>IFERROR(__xludf.DUMMYFUNCTION("""COMPUTED_VALUE"""),"")</f>
        <v/>
      </c>
      <c r="G2286" s="44"/>
      <c r="H2286" s="44"/>
      <c r="I2286" s="44"/>
      <c r="J2286" s="44" t="str">
        <f>IFERROR(__xludf.DUMMYFUNCTION("""COMPUTED_VALUE"""),"")</f>
        <v/>
      </c>
      <c r="K2286" s="42" t="str">
        <f>IFERROR(__xludf.DUMMYFUNCTION("""COMPUTED_VALUE"""),"Hospital Domingo Luciani")</f>
        <v>Hospital Domingo Luciani</v>
      </c>
    </row>
    <row r="2287">
      <c r="A2287" s="44">
        <v>2286.0</v>
      </c>
      <c r="B2287" s="44" t="str">
        <f>IFERROR(__xludf.DUMMYFUNCTION("""COMPUTED_VALUE"""),"Hospital Pérez Carreño")</f>
        <v>Hospital Pérez Carreño</v>
      </c>
      <c r="C2287" s="45" t="str">
        <f>IFERROR(__xludf.DUMMYFUNCTION("""COMPUTED_VALUE"""),"Jara Jesus")</f>
        <v>Jara Jesus</v>
      </c>
      <c r="D2287" s="44"/>
      <c r="E2287" s="44" t="str">
        <f>IFERROR(__xludf.DUMMYFUNCTION("""COMPUTED_VALUE"""),"")</f>
        <v/>
      </c>
      <c r="F2287" s="44" t="str">
        <f>IFERROR(__xludf.DUMMYFUNCTION("""COMPUTED_VALUE"""),"")</f>
        <v/>
      </c>
      <c r="G2287" s="44" t="str">
        <f>IFERROR(__xludf.DUMMYFUNCTION("""COMPUTED_VALUE"""),"Traslados con destino asignado")</f>
        <v>Traslados con destino asignado</v>
      </c>
      <c r="H2287" s="44" t="str">
        <f>IFERROR(__xludf.DUMMYFUNCTION("""COMPUTED_VALUE"""),"Hospital Miguel Perez Carreño")</f>
        <v>Hospital Miguel Perez Carreño</v>
      </c>
      <c r="I2287" s="44"/>
      <c r="J2287" s="44" t="str">
        <f>IFERROR(__xludf.DUMMYFUNCTION("""COMPUTED_VALUE"""),"26/6/26")</f>
        <v>26/6/26</v>
      </c>
      <c r="K2287" s="42" t="str">
        <f>IFERROR(__xludf.DUMMYFUNCTION("""COMPUTED_VALUE"""),"Hospital Pérez Carreño")</f>
        <v>Hospital Pérez Carreño</v>
      </c>
    </row>
    <row r="2288">
      <c r="A2288" s="44">
        <v>2287.0</v>
      </c>
      <c r="B2288" s="44" t="str">
        <f>IFERROR(__xludf.DUMMYFUNCTION("""COMPUTED_VALUE"""),"Centro de Acopio Caraballeda")</f>
        <v>Centro de Acopio Caraballeda</v>
      </c>
      <c r="C2288" s="45" t="str">
        <f>IFERROR(__xludf.DUMMYFUNCTION("""COMPUTED_VALUE"""),"JARAMILLO CHARLIE")</f>
        <v>JARAMILLO CHARLIE</v>
      </c>
      <c r="D2288" s="44" t="str">
        <f>IFERROR(__xludf.DUMMYFUNCTION("""COMPUTED_VALUE""")," ")</f>
        <v> </v>
      </c>
      <c r="E2288" s="44" t="str">
        <f>IFERROR(__xludf.DUMMYFUNCTION("""COMPUTED_VALUE"""),"")</f>
        <v/>
      </c>
      <c r="F2288" s="44" t="str">
        <f>IFERROR(__xludf.DUMMYFUNCTION("""COMPUTED_VALUE"""),"")</f>
        <v/>
      </c>
      <c r="G2288" s="44" t="str">
        <f>IFERROR(__xludf.DUMMYFUNCTION("""COMPUTED_VALUE""")," ")</f>
        <v> </v>
      </c>
      <c r="H2288" s="44" t="str">
        <f>IFERROR(__xludf.DUMMYFUNCTION("""COMPUTED_VALUE""")," ")</f>
        <v> </v>
      </c>
      <c r="I2288" s="44" t="str">
        <f>IFERROR(__xludf.DUMMYFUNCTION("""COMPUTED_VALUE"""),"Internado")</f>
        <v>Internado</v>
      </c>
      <c r="J2288" s="44" t="str">
        <f>IFERROR(__xludf.DUMMYFUNCTION("""COMPUTED_VALUE"""),"")</f>
        <v/>
      </c>
      <c r="K2288" s="42" t="str">
        <f>IFERROR(__xludf.DUMMYFUNCTION("""COMPUTED_VALUE"""),"🔍 BUSCAR PACIENTES")</f>
        <v>🔍 BUSCAR PACIENTES</v>
      </c>
    </row>
    <row r="2289">
      <c r="A2289" s="44">
        <v>2288.0</v>
      </c>
      <c r="B2289" s="44" t="str">
        <f>IFERROR(__xludf.DUMMYFUNCTION("""COMPUTED_VALUE"""),"Campo de Golf Playa los Cocos")</f>
        <v>Campo de Golf Playa los Cocos</v>
      </c>
      <c r="C2289" s="45" t="str">
        <f>IFERROR(__xludf.DUMMYFUNCTION("""COMPUTED_VALUE"""),"Jasmin Puerta")</f>
        <v>Jasmin Puerta</v>
      </c>
      <c r="D2289" s="44" t="str">
        <f>IFERROR(__xludf.DUMMYFUNCTION("""COMPUTED_VALUE"""),"")</f>
        <v/>
      </c>
      <c r="E2289" s="44" t="str">
        <f>IFERROR(__xludf.DUMMYFUNCTION("""COMPUTED_VALUE"""),"")</f>
        <v/>
      </c>
      <c r="F2289" s="44" t="str">
        <f>IFERROR(__xludf.DUMMYFUNCTION("""COMPUTED_VALUE"""),"")</f>
        <v/>
      </c>
      <c r="G2289" s="44" t="str">
        <f>IFERROR(__xludf.DUMMYFUNCTION("""COMPUTED_VALUE"""),"")</f>
        <v/>
      </c>
      <c r="H2289" s="44" t="str">
        <f>IFERROR(__xludf.DUMMYFUNCTION("""COMPUTED_VALUE"""),"")</f>
        <v/>
      </c>
      <c r="I2289" s="44"/>
      <c r="J2289" s="44" t="str">
        <f>IFERROR(__xludf.DUMMYFUNCTION("""COMPUTED_VALUE"""),"")</f>
        <v/>
      </c>
      <c r="K2289" s="42" t="str">
        <f>IFERROR(__xludf.DUMMYFUNCTION("""COMPUTED_VALUE"""),"Campo de Golf Playa los Cocos")</f>
        <v>Campo de Golf Playa los Cocos</v>
      </c>
    </row>
    <row r="2290">
      <c r="A2290" s="44">
        <v>2289.0</v>
      </c>
      <c r="B2290" s="44" t="str">
        <f>IFERROR(__xludf.DUMMYFUNCTION("""COMPUTED_VALUE"""),"Campo de Golf Playa los Cocos")</f>
        <v>Campo de Golf Playa los Cocos</v>
      </c>
      <c r="C2290" s="45" t="str">
        <f>IFERROR(__xludf.DUMMYFUNCTION("""COMPUTED_VALUE"""),"Javier Hernandez")</f>
        <v>Javier Hernandez</v>
      </c>
      <c r="D2290" s="44" t="str">
        <f>IFERROR(__xludf.DUMMYFUNCTION("""COMPUTED_VALUE"""),"")</f>
        <v/>
      </c>
      <c r="E2290" s="44" t="str">
        <f>IFERROR(__xludf.DUMMYFUNCTION("""COMPUTED_VALUE"""),"")</f>
        <v/>
      </c>
      <c r="F2290" s="44" t="str">
        <f>IFERROR(__xludf.DUMMYFUNCTION("""COMPUTED_VALUE"""),"")</f>
        <v/>
      </c>
      <c r="G2290" s="44" t="str">
        <f>IFERROR(__xludf.DUMMYFUNCTION("""COMPUTED_VALUE"""),"")</f>
        <v/>
      </c>
      <c r="H2290" s="44" t="str">
        <f>IFERROR(__xludf.DUMMYFUNCTION("""COMPUTED_VALUE"""),"")</f>
        <v/>
      </c>
      <c r="I2290" s="44"/>
      <c r="J2290" s="44" t="str">
        <f>IFERROR(__xludf.DUMMYFUNCTION("""COMPUTED_VALUE"""),"")</f>
        <v/>
      </c>
      <c r="K2290" s="42" t="str">
        <f>IFERROR(__xludf.DUMMYFUNCTION("""COMPUTED_VALUE"""),"Campo de Golf Playa los Cocos")</f>
        <v>Campo de Golf Playa los Cocos</v>
      </c>
    </row>
    <row r="2291">
      <c r="A2291" s="44">
        <v>2290.0</v>
      </c>
      <c r="B2291" s="44" t="str">
        <f>IFERROR(__xludf.DUMMYFUNCTION("""COMPUTED_VALUE"""),"Campo de Golf Playa los Cocos")</f>
        <v>Campo de Golf Playa los Cocos</v>
      </c>
      <c r="C2291" s="45" t="str">
        <f>IFERROR(__xludf.DUMMYFUNCTION("""COMPUTED_VALUE"""),"Javier Navarro")</f>
        <v>Javier Navarro</v>
      </c>
      <c r="D2291" s="44" t="str">
        <f>IFERROR(__xludf.DUMMYFUNCTION("""COMPUTED_VALUE"""),"")</f>
        <v/>
      </c>
      <c r="E2291" s="44" t="str">
        <f>IFERROR(__xludf.DUMMYFUNCTION("""COMPUTED_VALUE"""),"")</f>
        <v/>
      </c>
      <c r="F2291" s="44" t="str">
        <f>IFERROR(__xludf.DUMMYFUNCTION("""COMPUTED_VALUE"""),"")</f>
        <v/>
      </c>
      <c r="G2291" s="44" t="str">
        <f>IFERROR(__xludf.DUMMYFUNCTION("""COMPUTED_VALUE"""),"")</f>
        <v/>
      </c>
      <c r="H2291" s="44" t="str">
        <f>IFERROR(__xludf.DUMMYFUNCTION("""COMPUTED_VALUE"""),"")</f>
        <v/>
      </c>
      <c r="I2291" s="44"/>
      <c r="J2291" s="44" t="str">
        <f>IFERROR(__xludf.DUMMYFUNCTION("""COMPUTED_VALUE"""),"")</f>
        <v/>
      </c>
      <c r="K2291" s="42" t="str">
        <f>IFERROR(__xludf.DUMMYFUNCTION("""COMPUTED_VALUE"""),"Campo de Golf Playa los Cocos")</f>
        <v>Campo de Golf Playa los Cocos</v>
      </c>
    </row>
    <row r="2292">
      <c r="A2292" s="44">
        <v>2291.0</v>
      </c>
      <c r="B2292" s="44" t="str">
        <f>IFERROR(__xludf.DUMMYFUNCTION("""COMPUTED_VALUE"""),"Hospital Domingo Luciani")</f>
        <v>Hospital Domingo Luciani</v>
      </c>
      <c r="C2292" s="45" t="str">
        <f>IFERROR(__xludf.DUMMYFUNCTION("""COMPUTED_VALUE"""),"Jaws Pedro")</f>
        <v>Jaws Pedro</v>
      </c>
      <c r="D2292" s="44">
        <f>IFERROR(__xludf.DUMMYFUNCTION("""COMPUTED_VALUE"""),68.0)</f>
        <v>68</v>
      </c>
      <c r="E2292" s="44" t="str">
        <f>IFERROR(__xludf.DUMMYFUNCTION("""COMPUTED_VALUE"""),"")</f>
        <v/>
      </c>
      <c r="F2292" s="44" t="str">
        <f>IFERROR(__xludf.DUMMYFUNCTION("""COMPUTED_VALUE"""),"")</f>
        <v/>
      </c>
      <c r="G2292" s="44"/>
      <c r="H2292" s="44"/>
      <c r="I2292" s="44"/>
      <c r="J2292" s="44" t="str">
        <f>IFERROR(__xludf.DUMMYFUNCTION("""COMPUTED_VALUE"""),"")</f>
        <v/>
      </c>
      <c r="K2292" s="42" t="str">
        <f>IFERROR(__xludf.DUMMYFUNCTION("""COMPUTED_VALUE"""),"Hospital Domingo Luciani")</f>
        <v>Hospital Domingo Luciani</v>
      </c>
    </row>
    <row r="2293">
      <c r="A2293" s="44">
        <v>2292.0</v>
      </c>
      <c r="B2293" s="44" t="str">
        <f>IFERROR(__xludf.DUMMYFUNCTION("""COMPUTED_VALUE"""),"Campo de Golf Playa los Cocos")</f>
        <v>Campo de Golf Playa los Cocos</v>
      </c>
      <c r="C2293" s="45" t="str">
        <f>IFERROR(__xludf.DUMMYFUNCTION("""COMPUTED_VALUE"""),"Jean Andrade Farias")</f>
        <v>Jean Andrade Farias</v>
      </c>
      <c r="D2293" s="44" t="str">
        <f>IFERROR(__xludf.DUMMYFUNCTION("""COMPUTED_VALUE"""),"")</f>
        <v/>
      </c>
      <c r="E2293" s="44" t="str">
        <f>IFERROR(__xludf.DUMMYFUNCTION("""COMPUTED_VALUE"""),"")</f>
        <v/>
      </c>
      <c r="F2293" s="44" t="str">
        <f>IFERROR(__xludf.DUMMYFUNCTION("""COMPUTED_VALUE"""),"")</f>
        <v/>
      </c>
      <c r="G2293" s="44" t="str">
        <f>IFERROR(__xludf.DUMMYFUNCTION("""COMPUTED_VALUE"""),"")</f>
        <v/>
      </c>
      <c r="H2293" s="44" t="str">
        <f>IFERROR(__xludf.DUMMYFUNCTION("""COMPUTED_VALUE"""),"")</f>
        <v/>
      </c>
      <c r="I2293" s="44" t="str">
        <f>IFERROR(__xludf.DUMMYFUNCTION("""COMPUTED_VALUE"""),"Palabra tachada despues del nombre en el original")</f>
        <v>Palabra tachada despues del nombre en el original</v>
      </c>
      <c r="J2293" s="44" t="str">
        <f>IFERROR(__xludf.DUMMYFUNCTION("""COMPUTED_VALUE"""),"")</f>
        <v/>
      </c>
      <c r="K2293" s="42" t="str">
        <f>IFERROR(__xludf.DUMMYFUNCTION("""COMPUTED_VALUE"""),"Campo de Golf Playa los Cocos")</f>
        <v>Campo de Golf Playa los Cocos</v>
      </c>
    </row>
    <row r="2294">
      <c r="A2294" s="44">
        <v>2293.0</v>
      </c>
      <c r="B2294" s="44" t="str">
        <f>IFERROR(__xludf.DUMMYFUNCTION("""COMPUTED_VALUE"""),"Campo de Golf Playa los Cocos")</f>
        <v>Campo de Golf Playa los Cocos</v>
      </c>
      <c r="C2294" s="45" t="str">
        <f>IFERROR(__xludf.DUMMYFUNCTION("""COMPUTED_VALUE"""),"Jean Farias")</f>
        <v>Jean Farias</v>
      </c>
      <c r="D2294" s="44" t="str">
        <f>IFERROR(__xludf.DUMMYFUNCTION("""COMPUTED_VALUE"""),"")</f>
        <v/>
      </c>
      <c r="E2294" s="44" t="str">
        <f>IFERROR(__xludf.DUMMYFUNCTION("""COMPUTED_VALUE"""),"")</f>
        <v/>
      </c>
      <c r="F2294" s="44" t="str">
        <f>IFERROR(__xludf.DUMMYFUNCTION("""COMPUTED_VALUE"""),"")</f>
        <v/>
      </c>
      <c r="G2294" s="44" t="str">
        <f>IFERROR(__xludf.DUMMYFUNCTION("""COMPUTED_VALUE"""),"")</f>
        <v/>
      </c>
      <c r="H2294" s="44" t="str">
        <f>IFERROR(__xludf.DUMMYFUNCTION("""COMPUTED_VALUE"""),"")</f>
        <v/>
      </c>
      <c r="I2294" s="44"/>
      <c r="J2294" s="44" t="str">
        <f>IFERROR(__xludf.DUMMYFUNCTION("""COMPUTED_VALUE"""),"")</f>
        <v/>
      </c>
      <c r="K2294" s="42" t="str">
        <f>IFERROR(__xludf.DUMMYFUNCTION("""COMPUTED_VALUE"""),"Campo de Golf Playa los Cocos")</f>
        <v>Campo de Golf Playa los Cocos</v>
      </c>
    </row>
    <row r="2295">
      <c r="A2295" s="44">
        <v>2294.0</v>
      </c>
      <c r="B2295" s="44" t="str">
        <f>IFERROR(__xludf.DUMMYFUNCTION("""COMPUTED_VALUE"""),"Campo de Golf Playa los Cocos")</f>
        <v>Campo de Golf Playa los Cocos</v>
      </c>
      <c r="C2295" s="45" t="str">
        <f>IFERROR(__xludf.DUMMYFUNCTION("""COMPUTED_VALUE"""),"Jean Franco Farias")</f>
        <v>Jean Franco Farias</v>
      </c>
      <c r="D2295" s="44" t="str">
        <f>IFERROR(__xludf.DUMMYFUNCTION("""COMPUTED_VALUE"""),"")</f>
        <v/>
      </c>
      <c r="E2295" s="44" t="str">
        <f>IFERROR(__xludf.DUMMYFUNCTION("""COMPUTED_VALUE"""),"")</f>
        <v/>
      </c>
      <c r="F2295" s="44" t="str">
        <f>IFERROR(__xludf.DUMMYFUNCTION("""COMPUTED_VALUE"""),"")</f>
        <v/>
      </c>
      <c r="G2295" s="44" t="str">
        <f>IFERROR(__xludf.DUMMYFUNCTION("""COMPUTED_VALUE"""),"")</f>
        <v/>
      </c>
      <c r="H2295" s="44" t="str">
        <f>IFERROR(__xludf.DUMMYFUNCTION("""COMPUTED_VALUE"""),"")</f>
        <v/>
      </c>
      <c r="I2295" s="44" t="str">
        <f>IFERROR(__xludf.DUMMYFUNCTION("""COMPUTED_VALUE"""),"menor")</f>
        <v>menor</v>
      </c>
      <c r="J2295" s="44" t="str">
        <f>IFERROR(__xludf.DUMMYFUNCTION("""COMPUTED_VALUE"""),"")</f>
        <v/>
      </c>
      <c r="K2295" s="42" t="str">
        <f>IFERROR(__xludf.DUMMYFUNCTION("""COMPUTED_VALUE"""),"Campo de Golf Playa los Cocos")</f>
        <v>Campo de Golf Playa los Cocos</v>
      </c>
    </row>
    <row r="2296">
      <c r="A2296" s="44">
        <v>2295.0</v>
      </c>
      <c r="B2296" s="44" t="str">
        <f>IFERROR(__xludf.DUMMYFUNCTION("""COMPUTED_VALUE"""),"Centro de Acopio Caraballeda")</f>
        <v>Centro de Acopio Caraballeda</v>
      </c>
      <c r="C2296" s="45" t="str">
        <f>IFERROR(__xludf.DUMMYFUNCTION("""COMPUTED_VALUE"""),"JEAN LEON")</f>
        <v>JEAN LEON</v>
      </c>
      <c r="D2296" s="44" t="str">
        <f>IFERROR(__xludf.DUMMYFUNCTION("""COMPUTED_VALUE""")," ")</f>
        <v> </v>
      </c>
      <c r="E2296" s="44" t="str">
        <f>IFERROR(__xludf.DUMMYFUNCTION("""COMPUTED_VALUE"""),"")</f>
        <v/>
      </c>
      <c r="F2296" s="44" t="str">
        <f>IFERROR(__xludf.DUMMYFUNCTION("""COMPUTED_VALUE"""),"")</f>
        <v/>
      </c>
      <c r="G2296" s="44" t="str">
        <f>IFERROR(__xludf.DUMMYFUNCTION("""COMPUTED_VALUE""")," ")</f>
        <v> </v>
      </c>
      <c r="H2296" s="44" t="str">
        <f>IFERROR(__xludf.DUMMYFUNCTION("""COMPUTED_VALUE""")," ")</f>
        <v> </v>
      </c>
      <c r="I2296" s="44" t="str">
        <f>IFERROR(__xludf.DUMMYFUNCTION("""COMPUTED_VALUE"""),"Internado")</f>
        <v>Internado</v>
      </c>
      <c r="J2296" s="44" t="str">
        <f>IFERROR(__xludf.DUMMYFUNCTION("""COMPUTED_VALUE"""),"")</f>
        <v/>
      </c>
      <c r="K2296" s="42" t="str">
        <f>IFERROR(__xludf.DUMMYFUNCTION("""COMPUTED_VALUE"""),"🔍 BUSCAR PACIENTES")</f>
        <v>🔍 BUSCAR PACIENTES</v>
      </c>
    </row>
    <row r="2297">
      <c r="A2297" s="44">
        <v>2296.0</v>
      </c>
      <c r="B2297" s="44" t="str">
        <f>IFERROR(__xludf.DUMMYFUNCTION("""COMPUTED_VALUE"""),"Campo de Golf Playa los Cocos")</f>
        <v>Campo de Golf Playa los Cocos</v>
      </c>
      <c r="C2297" s="45" t="str">
        <f>IFERROR(__xludf.DUMMYFUNCTION("""COMPUTED_VALUE"""),"Jean Ramirez")</f>
        <v>Jean Ramirez</v>
      </c>
      <c r="D2297" s="44" t="str">
        <f>IFERROR(__xludf.DUMMYFUNCTION("""COMPUTED_VALUE"""),"")</f>
        <v/>
      </c>
      <c r="E2297" s="44" t="str">
        <f>IFERROR(__xludf.DUMMYFUNCTION("""COMPUTED_VALUE"""),"")</f>
        <v/>
      </c>
      <c r="F2297" s="44" t="str">
        <f>IFERROR(__xludf.DUMMYFUNCTION("""COMPUTED_VALUE"""),"")</f>
        <v/>
      </c>
      <c r="G2297" s="44" t="str">
        <f>IFERROR(__xludf.DUMMYFUNCTION("""COMPUTED_VALUE"""),"")</f>
        <v/>
      </c>
      <c r="H2297" s="44" t="str">
        <f>IFERROR(__xludf.DUMMYFUNCTION("""COMPUTED_VALUE"""),"")</f>
        <v/>
      </c>
      <c r="I2297" s="44"/>
      <c r="J2297" s="44" t="str">
        <f>IFERROR(__xludf.DUMMYFUNCTION("""COMPUTED_VALUE"""),"")</f>
        <v/>
      </c>
      <c r="K2297" s="42" t="str">
        <f>IFERROR(__xludf.DUMMYFUNCTION("""COMPUTED_VALUE"""),"Campo de Golf Playa los Cocos")</f>
        <v>Campo de Golf Playa los Cocos</v>
      </c>
    </row>
    <row r="2298">
      <c r="A2298" s="44">
        <v>2297.0</v>
      </c>
      <c r="B2298" s="44" t="str">
        <f>IFERROR(__xludf.DUMMYFUNCTION("""COMPUTED_VALUE"""),"HOSPITAL VARGAS")</f>
        <v>HOSPITAL VARGAS</v>
      </c>
      <c r="C2298" s="45" t="str">
        <f>IFERROR(__xludf.DUMMYFUNCTION("""COMPUTED_VALUE"""),"Jeanspier Contreras")</f>
        <v>Jeanspier Contreras</v>
      </c>
      <c r="D2298" s="44"/>
      <c r="E2298" s="44" t="str">
        <f>IFERROR(__xludf.DUMMYFUNCTION("""COMPUTED_VALUE"""),"")</f>
        <v/>
      </c>
      <c r="F2298" s="44" t="str">
        <f>IFERROR(__xludf.DUMMYFUNCTION("""COMPUTED_VALUE"""),"")</f>
        <v/>
      </c>
      <c r="G2298" s="44" t="str">
        <f>IFERROR(__xludf.DUMMYFUNCTION("""COMPUTED_VALUE"""),"")</f>
        <v/>
      </c>
      <c r="H2298" s="44" t="str">
        <f>IFERROR(__xludf.DUMMYFUNCTION("""COMPUTED_VALUE"""),"")</f>
        <v/>
      </c>
      <c r="I2298" s="44" t="str">
        <f>IFERROR(__xludf.DUMMYFUNCTION("""COMPUTED_VALUE"""),"Herido / atendido")</f>
        <v>Herido / atendido</v>
      </c>
      <c r="J2298" s="44" t="str">
        <f>IFERROR(__xludf.DUMMYFUNCTION("""COMPUTED_VALUE"""),"24.06.2026 ")</f>
        <v>24.06.2026 </v>
      </c>
      <c r="K2298" s="42" t="str">
        <f>IFERROR(__xludf.DUMMYFUNCTION("""COMPUTED_VALUE"""),"HOSPITAL VARGAS")</f>
        <v>HOSPITAL VARGAS</v>
      </c>
    </row>
    <row r="2299">
      <c r="A2299" s="44">
        <v>2298.0</v>
      </c>
      <c r="B2299" s="44" t="str">
        <f>IFERROR(__xludf.DUMMYFUNCTION("""COMPUTED_VALUE"""),"Campo de Golf Playa los Cocos")</f>
        <v>Campo de Golf Playa los Cocos</v>
      </c>
      <c r="C2299" s="45" t="str">
        <f>IFERROR(__xludf.DUMMYFUNCTION("""COMPUTED_VALUE"""),"Jeferson Milano")</f>
        <v>Jeferson Milano</v>
      </c>
      <c r="D2299" s="44" t="str">
        <f>IFERROR(__xludf.DUMMYFUNCTION("""COMPUTED_VALUE"""),"")</f>
        <v/>
      </c>
      <c r="E2299" s="44" t="str">
        <f>IFERROR(__xludf.DUMMYFUNCTION("""COMPUTED_VALUE"""),"")</f>
        <v/>
      </c>
      <c r="F2299" s="44" t="str">
        <f>IFERROR(__xludf.DUMMYFUNCTION("""COMPUTED_VALUE"""),"")</f>
        <v/>
      </c>
      <c r="G2299" s="44" t="str">
        <f>IFERROR(__xludf.DUMMYFUNCTION("""COMPUTED_VALUE"""),"")</f>
        <v/>
      </c>
      <c r="H2299" s="44" t="str">
        <f>IFERROR(__xludf.DUMMYFUNCTION("""COMPUTED_VALUE"""),"")</f>
        <v/>
      </c>
      <c r="I2299" s="44" t="str">
        <f>IFERROR(__xludf.DUMMYFUNCTION("""COMPUTED_VALUE"""),"menor")</f>
        <v>menor</v>
      </c>
      <c r="J2299" s="44" t="str">
        <f>IFERROR(__xludf.DUMMYFUNCTION("""COMPUTED_VALUE"""),"")</f>
        <v/>
      </c>
      <c r="K2299" s="42" t="str">
        <f>IFERROR(__xludf.DUMMYFUNCTION("""COMPUTED_VALUE"""),"Campo de Golf Playa los Cocos")</f>
        <v>Campo de Golf Playa los Cocos</v>
      </c>
    </row>
    <row r="2300">
      <c r="A2300" s="44">
        <v>2299.0</v>
      </c>
      <c r="B2300" s="44" t="str">
        <f>IFERROR(__xludf.DUMMYFUNCTION("""COMPUTED_VALUE"""),"Campo de Golf Playa los Cocos")</f>
        <v>Campo de Golf Playa los Cocos</v>
      </c>
      <c r="C2300" s="45" t="str">
        <f>IFERROR(__xludf.DUMMYFUNCTION("""COMPUTED_VALUE"""),"Jeferson Suarez Montilla")</f>
        <v>Jeferson Suarez Montilla</v>
      </c>
      <c r="D2300" s="44" t="str">
        <f>IFERROR(__xludf.DUMMYFUNCTION("""COMPUTED_VALUE"""),"")</f>
        <v/>
      </c>
      <c r="E2300" s="44" t="str">
        <f>IFERROR(__xludf.DUMMYFUNCTION("""COMPUTED_VALUE"""),"")</f>
        <v/>
      </c>
      <c r="F2300" s="44" t="str">
        <f>IFERROR(__xludf.DUMMYFUNCTION("""COMPUTED_VALUE"""),"")</f>
        <v/>
      </c>
      <c r="G2300" s="44" t="str">
        <f>IFERROR(__xludf.DUMMYFUNCTION("""COMPUTED_VALUE"""),"")</f>
        <v/>
      </c>
      <c r="H2300" s="44" t="str">
        <f>IFERROR(__xludf.DUMMYFUNCTION("""COMPUTED_VALUE"""),"")</f>
        <v/>
      </c>
      <c r="I2300" s="44"/>
      <c r="J2300" s="44" t="str">
        <f>IFERROR(__xludf.DUMMYFUNCTION("""COMPUTED_VALUE"""),"")</f>
        <v/>
      </c>
      <c r="K2300" s="42" t="str">
        <f>IFERROR(__xludf.DUMMYFUNCTION("""COMPUTED_VALUE"""),"Campo de Golf Playa los Cocos")</f>
        <v>Campo de Golf Playa los Cocos</v>
      </c>
    </row>
    <row r="2301">
      <c r="A2301" s="44">
        <v>2300.0</v>
      </c>
      <c r="B2301" s="44" t="str">
        <f>IFERROR(__xludf.DUMMYFUNCTION("""COMPUTED_VALUE"""),"Hospital Domingo Luciani")</f>
        <v>Hospital Domingo Luciani</v>
      </c>
      <c r="C2301" s="45" t="str">
        <f>IFERROR(__xludf.DUMMYFUNCTION("""COMPUTED_VALUE"""),"JELANI RODRIGUEZ")</f>
        <v>JELANI RODRIGUEZ</v>
      </c>
      <c r="D2301" s="44">
        <f>IFERROR(__xludf.DUMMYFUNCTION("""COMPUTED_VALUE"""),32.0)</f>
        <v>32</v>
      </c>
      <c r="E2301" s="44" t="str">
        <f>IFERROR(__xludf.DUMMYFUNCTION("""COMPUTED_VALUE"""),"")</f>
        <v/>
      </c>
      <c r="F2301" s="44" t="str">
        <f>IFERROR(__xludf.DUMMYFUNCTION("""COMPUTED_VALUE"""),"")</f>
        <v/>
      </c>
      <c r="G2301" s="44" t="str">
        <f>IFERROR(__xludf.DUMMYFUNCTION("""COMPUTED_VALUE""")," ")</f>
        <v> </v>
      </c>
      <c r="H2301" s="44" t="str">
        <f>IFERROR(__xludf.DUMMYFUNCTION("""COMPUTED_VALUE""")," ")</f>
        <v> </v>
      </c>
      <c r="I2301" s="44" t="str">
        <f>IFERROR(__xludf.DUMMYFUNCTION("""COMPUTED_VALUE"""),"Internado; QUIROFANO")</f>
        <v>Internado; QUIROFANO</v>
      </c>
      <c r="J2301" s="44" t="str">
        <f>IFERROR(__xludf.DUMMYFUNCTION("""COMPUTED_VALUE"""),"")</f>
        <v/>
      </c>
      <c r="K2301" s="42" t="str">
        <f>IFERROR(__xludf.DUMMYFUNCTION("""COMPUTED_VALUE"""),"🔍 BUSCAR PACIENTES")</f>
        <v>🔍 BUSCAR PACIENTES</v>
      </c>
    </row>
    <row r="2302">
      <c r="A2302" s="44">
        <v>2301.0</v>
      </c>
      <c r="B2302" s="44" t="str">
        <f>IFERROR(__xludf.DUMMYFUNCTION("""COMPUTED_VALUE"""),"Hospital Domingo Luciani")</f>
        <v>Hospital Domingo Luciani</v>
      </c>
      <c r="C2302" s="45" t="str">
        <f>IFERROR(__xludf.DUMMYFUNCTION("""COMPUTED_VALUE"""),"JENCEL REY")</f>
        <v>JENCEL REY</v>
      </c>
      <c r="D2302" s="44">
        <f>IFERROR(__xludf.DUMMYFUNCTION("""COMPUTED_VALUE"""),8.0)</f>
        <v>8</v>
      </c>
      <c r="E2302" s="44" t="str">
        <f>IFERROR(__xludf.DUMMYFUNCTION("""COMPUTED_VALUE"""),"")</f>
        <v/>
      </c>
      <c r="F2302" s="44" t="str">
        <f>IFERROR(__xludf.DUMMYFUNCTION("""COMPUTED_VALUE"""),"")</f>
        <v/>
      </c>
      <c r="G2302" s="44" t="str">
        <f>IFERROR(__xludf.DUMMYFUNCTION("""COMPUTED_VALUE""")," ")</f>
        <v> </v>
      </c>
      <c r="H2302" s="44" t="str">
        <f>IFERROR(__xludf.DUMMYFUNCTION("""COMPUTED_VALUE""")," ")</f>
        <v> </v>
      </c>
      <c r="I2302" s="44" t="str">
        <f>IFERROR(__xludf.DUMMYFUNCTION("""COMPUTED_VALUE"""),"Quirófano")</f>
        <v>Quirófano</v>
      </c>
      <c r="J2302" s="44" t="str">
        <f>IFERROR(__xludf.DUMMYFUNCTION("""COMPUTED_VALUE"""),"")</f>
        <v/>
      </c>
      <c r="K2302" s="42" t="str">
        <f>IFERROR(__xludf.DUMMYFUNCTION("""COMPUTED_VALUE"""),"🔍 BUSCAR PACIENTES")</f>
        <v>🔍 BUSCAR PACIENTES</v>
      </c>
    </row>
    <row r="2303">
      <c r="A2303" s="44">
        <v>2302.0</v>
      </c>
      <c r="B2303" s="44" t="str">
        <f>IFERROR(__xludf.DUMMYFUNCTION("""COMPUTED_VALUE"""),"Campo de Golf Playa los Cocos")</f>
        <v>Campo de Golf Playa los Cocos</v>
      </c>
      <c r="C2303" s="45" t="str">
        <f>IFERROR(__xludf.DUMMYFUNCTION("""COMPUTED_VALUE"""),"Jenifer Guerire")</f>
        <v>Jenifer Guerire</v>
      </c>
      <c r="D2303" s="44" t="str">
        <f>IFERROR(__xludf.DUMMYFUNCTION("""COMPUTED_VALUE"""),"")</f>
        <v/>
      </c>
      <c r="E2303" s="44" t="str">
        <f>IFERROR(__xludf.DUMMYFUNCTION("""COMPUTED_VALUE"""),"")</f>
        <v/>
      </c>
      <c r="F2303" s="44" t="str">
        <f>IFERROR(__xludf.DUMMYFUNCTION("""COMPUTED_VALUE"""),"")</f>
        <v/>
      </c>
      <c r="G2303" s="44" t="str">
        <f>IFERROR(__xludf.DUMMYFUNCTION("""COMPUTED_VALUE"""),"")</f>
        <v/>
      </c>
      <c r="H2303" s="44" t="str">
        <f>IFERROR(__xludf.DUMMYFUNCTION("""COMPUTED_VALUE"""),"")</f>
        <v/>
      </c>
      <c r="I2303" s="44"/>
      <c r="J2303" s="44" t="str">
        <f>IFERROR(__xludf.DUMMYFUNCTION("""COMPUTED_VALUE"""),"")</f>
        <v/>
      </c>
      <c r="K2303" s="42" t="str">
        <f>IFERROR(__xludf.DUMMYFUNCTION("""COMPUTED_VALUE"""),"Campo de Golf Playa los Cocos")</f>
        <v>Campo de Golf Playa los Cocos</v>
      </c>
    </row>
    <row r="2304">
      <c r="A2304" s="44">
        <v>2303.0</v>
      </c>
      <c r="B2304" s="44" t="str">
        <f>IFERROR(__xludf.DUMMYFUNCTION("""COMPUTED_VALUE"""),"Campo de Golf Playa los Cocos")</f>
        <v>Campo de Golf Playa los Cocos</v>
      </c>
      <c r="C2304" s="45" t="str">
        <f>IFERROR(__xludf.DUMMYFUNCTION("""COMPUTED_VALUE"""),"Jenni Veroes")</f>
        <v>Jenni Veroes</v>
      </c>
      <c r="D2304" s="44" t="str">
        <f>IFERROR(__xludf.DUMMYFUNCTION("""COMPUTED_VALUE"""),"")</f>
        <v/>
      </c>
      <c r="E2304" s="44" t="str">
        <f>IFERROR(__xludf.DUMMYFUNCTION("""COMPUTED_VALUE"""),"")</f>
        <v/>
      </c>
      <c r="F2304" s="44" t="str">
        <f>IFERROR(__xludf.DUMMYFUNCTION("""COMPUTED_VALUE"""),"")</f>
        <v/>
      </c>
      <c r="G2304" s="44" t="str">
        <f>IFERROR(__xludf.DUMMYFUNCTION("""COMPUTED_VALUE"""),"")</f>
        <v/>
      </c>
      <c r="H2304" s="44" t="str">
        <f>IFERROR(__xludf.DUMMYFUNCTION("""COMPUTED_VALUE"""),"")</f>
        <v/>
      </c>
      <c r="I2304" s="44"/>
      <c r="J2304" s="44" t="str">
        <f>IFERROR(__xludf.DUMMYFUNCTION("""COMPUTED_VALUE"""),"")</f>
        <v/>
      </c>
      <c r="K2304" s="42" t="str">
        <f>IFERROR(__xludf.DUMMYFUNCTION("""COMPUTED_VALUE"""),"Campo de Golf Playa los Cocos")</f>
        <v>Campo de Golf Playa los Cocos</v>
      </c>
    </row>
    <row r="2305">
      <c r="A2305" s="44">
        <v>2304.0</v>
      </c>
      <c r="B2305" s="44" t="str">
        <f>IFERROR(__xludf.DUMMYFUNCTION("""COMPUTED_VALUE"""),"Campo de Golf Playa los Cocos")</f>
        <v>Campo de Golf Playa los Cocos</v>
      </c>
      <c r="C2305" s="45" t="str">
        <f>IFERROR(__xludf.DUMMYFUNCTION("""COMPUTED_VALUE"""),"Jeremias Dewentt")</f>
        <v>Jeremias Dewentt</v>
      </c>
      <c r="D2305" s="44" t="str">
        <f>IFERROR(__xludf.DUMMYFUNCTION("""COMPUTED_VALUE"""),"")</f>
        <v/>
      </c>
      <c r="E2305" s="44" t="str">
        <f>IFERROR(__xludf.DUMMYFUNCTION("""COMPUTED_VALUE"""),"")</f>
        <v/>
      </c>
      <c r="F2305" s="44" t="str">
        <f>IFERROR(__xludf.DUMMYFUNCTION("""COMPUTED_VALUE"""),"")</f>
        <v/>
      </c>
      <c r="G2305" s="44" t="str">
        <f>IFERROR(__xludf.DUMMYFUNCTION("""COMPUTED_VALUE"""),"")</f>
        <v/>
      </c>
      <c r="H2305" s="44" t="str">
        <f>IFERROR(__xludf.DUMMYFUNCTION("""COMPUTED_VALUE"""),"")</f>
        <v/>
      </c>
      <c r="I2305" s="44" t="str">
        <f>IFERROR(__xludf.DUMMYFUNCTION("""COMPUTED_VALUE"""),"menor")</f>
        <v>menor</v>
      </c>
      <c r="J2305" s="44" t="str">
        <f>IFERROR(__xludf.DUMMYFUNCTION("""COMPUTED_VALUE"""),"")</f>
        <v/>
      </c>
      <c r="K2305" s="42" t="str">
        <f>IFERROR(__xludf.DUMMYFUNCTION("""COMPUTED_VALUE"""),"Campo de Golf Playa los Cocos")</f>
        <v>Campo de Golf Playa los Cocos</v>
      </c>
    </row>
    <row r="2306">
      <c r="A2306" s="44">
        <v>2305.0</v>
      </c>
      <c r="B2306" s="44" t="str">
        <f>IFERROR(__xludf.DUMMYFUNCTION("""COMPUTED_VALUE"""),"Hospital Pérez Carreño")</f>
        <v>Hospital Pérez Carreño</v>
      </c>
      <c r="C2306" s="45" t="str">
        <f>IFERROR(__xludf.DUMMYFUNCTION("""COMPUTED_VALUE"""),"Jerry Real Joel")</f>
        <v>Jerry Real Joel</v>
      </c>
      <c r="D2306" s="44"/>
      <c r="E2306" s="44" t="str">
        <f>IFERROR(__xludf.DUMMYFUNCTION("""COMPUTED_VALUE"""),"")</f>
        <v/>
      </c>
      <c r="F2306" s="44" t="str">
        <f>IFERROR(__xludf.DUMMYFUNCTION("""COMPUTED_VALUE"""),"")</f>
        <v/>
      </c>
      <c r="G2306" s="44" t="str">
        <f>IFERROR(__xludf.DUMMYFUNCTION("""COMPUTED_VALUE"""),"Traslados con destino asignado")</f>
        <v>Traslados con destino asignado</v>
      </c>
      <c r="H2306" s="44" t="str">
        <f>IFERROR(__xludf.DUMMYFUNCTION("""COMPUTED_VALUE"""),"Hospital Miguel Perez Carreño")</f>
        <v>Hospital Miguel Perez Carreño</v>
      </c>
      <c r="I2306" s="44"/>
      <c r="J2306" s="44" t="str">
        <f>IFERROR(__xludf.DUMMYFUNCTION("""COMPUTED_VALUE"""),"26/6/26")</f>
        <v>26/6/26</v>
      </c>
      <c r="K2306" s="42" t="str">
        <f>IFERROR(__xludf.DUMMYFUNCTION("""COMPUTED_VALUE"""),"Hospital Pérez Carreño")</f>
        <v>Hospital Pérez Carreño</v>
      </c>
    </row>
    <row r="2307">
      <c r="A2307" s="44">
        <v>2306.0</v>
      </c>
      <c r="B2307" s="44" t="str">
        <f>IFERROR(__xludf.DUMMYFUNCTION("""COMPUTED_VALUE"""),"Hospital Domingo Luciani")</f>
        <v>Hospital Domingo Luciani</v>
      </c>
      <c r="C2307" s="45" t="str">
        <f>IFERROR(__xludf.DUMMYFUNCTION("""COMPUTED_VALUE"""),"Jessica Blanco")</f>
        <v>Jessica Blanco</v>
      </c>
      <c r="D2307" s="44">
        <f>IFERROR(__xludf.DUMMYFUNCTION("""COMPUTED_VALUE"""),23.0)</f>
        <v>23</v>
      </c>
      <c r="E2307" s="44" t="str">
        <f>IFERROR(__xludf.DUMMYFUNCTION("""COMPUTED_VALUE"""),"")</f>
        <v/>
      </c>
      <c r="F2307" s="44" t="str">
        <f>IFERROR(__xludf.DUMMYFUNCTION("""COMPUTED_VALUE"""),"")</f>
        <v/>
      </c>
      <c r="G2307" s="44"/>
      <c r="H2307" s="44"/>
      <c r="I2307" s="44"/>
      <c r="J2307" s="44" t="str">
        <f>IFERROR(__xludf.DUMMYFUNCTION("""COMPUTED_VALUE"""),"")</f>
        <v/>
      </c>
      <c r="K2307" s="42" t="str">
        <f>IFERROR(__xludf.DUMMYFUNCTION("""COMPUTED_VALUE"""),"Hospital Domingo Luciani")</f>
        <v>Hospital Domingo Luciani</v>
      </c>
    </row>
    <row r="2308">
      <c r="A2308" s="44">
        <v>2307.0</v>
      </c>
      <c r="B2308" s="44" t="str">
        <f>IFERROR(__xludf.DUMMYFUNCTION("""COMPUTED_VALUE"""),"Hospital Vargas de Caracas")</f>
        <v>Hospital Vargas de Caracas</v>
      </c>
      <c r="C2308" s="45" t="str">
        <f>IFERROR(__xludf.DUMMYFUNCTION("""COMPUTED_VALUE"""),"JESSICA OLMEDO")</f>
        <v>JESSICA OLMEDO</v>
      </c>
      <c r="D2308" s="44" t="str">
        <f>IFERROR(__xludf.DUMMYFUNCTION("""COMPUTED_VALUE""")," ")</f>
        <v> </v>
      </c>
      <c r="E2308" s="44" t="str">
        <f>IFERROR(__xludf.DUMMYFUNCTION("""COMPUTED_VALUE"""),"")</f>
        <v/>
      </c>
      <c r="F2308" s="44" t="str">
        <f>IFERROR(__xludf.DUMMYFUNCTION("""COMPUTED_VALUE""")," ")</f>
        <v> </v>
      </c>
      <c r="G2308" s="44" t="str">
        <f>IFERROR(__xludf.DUMMYFUNCTION("""COMPUTED_VALUE"""),"")</f>
        <v/>
      </c>
      <c r="H2308" s="44" t="str">
        <f>IFERROR(__xludf.DUMMYFUNCTION("""COMPUTED_VALUE"""),"Sala 19")</f>
        <v>Sala 19</v>
      </c>
      <c r="I2308" s="44" t="str">
        <f>IFERROR(__xludf.DUMMYFUNCTION("""COMPUTED_VALUE""")," ")</f>
        <v> </v>
      </c>
      <c r="J2308" s="44" t="str">
        <f>IFERROR(__xludf.DUMMYFUNCTION("""COMPUTED_VALUE"""),"")</f>
        <v/>
      </c>
      <c r="K2308" s="42" t="str">
        <f>IFERROR(__xludf.DUMMYFUNCTION("""COMPUTED_VALUE"""),"Hospital Vargas de Caracas")</f>
        <v>Hospital Vargas de Caracas</v>
      </c>
    </row>
    <row r="2309">
      <c r="A2309" s="44">
        <v>2308.0</v>
      </c>
      <c r="B2309" s="44" t="str">
        <f>IFERROR(__xludf.DUMMYFUNCTION("""COMPUTED_VALUE"""),"Hospital Pérez Carreño")</f>
        <v>Hospital Pérez Carreño</v>
      </c>
      <c r="C2309" s="45" t="str">
        <f>IFERROR(__xludf.DUMMYFUNCTION("""COMPUTED_VALUE"""),"Jessire Quirales")</f>
        <v>Jessire Quirales</v>
      </c>
      <c r="D2309" s="44"/>
      <c r="E2309" s="44" t="str">
        <f>IFERROR(__xludf.DUMMYFUNCTION("""COMPUTED_VALUE"""),"")</f>
        <v/>
      </c>
      <c r="F2309" s="44" t="str">
        <f>IFERROR(__xludf.DUMMYFUNCTION("""COMPUTED_VALUE"""),"")</f>
        <v/>
      </c>
      <c r="G2309" s="44" t="str">
        <f>IFERROR(__xludf.DUMMYFUNCTION("""COMPUTED_VALUE"""),"Traumashock ")</f>
        <v>Traumashock </v>
      </c>
      <c r="H2309" s="44" t="str">
        <f>IFERROR(__xludf.DUMMYFUNCTION("""COMPUTED_VALUE"""),"Hospital Miguel Perez Carreño")</f>
        <v>Hospital Miguel Perez Carreño</v>
      </c>
      <c r="I2309" s="44"/>
      <c r="J2309" s="44" t="str">
        <f>IFERROR(__xludf.DUMMYFUNCTION("""COMPUTED_VALUE"""),"26/6/26")</f>
        <v>26/6/26</v>
      </c>
      <c r="K2309" s="42" t="str">
        <f>IFERROR(__xludf.DUMMYFUNCTION("""COMPUTED_VALUE"""),"Hospital Pérez Carreño")</f>
        <v>Hospital Pérez Carreño</v>
      </c>
    </row>
    <row r="2310">
      <c r="A2310" s="44">
        <v>2309.0</v>
      </c>
      <c r="B2310" s="44" t="str">
        <f>IFERROR(__xludf.DUMMYFUNCTION("""COMPUTED_VALUE"""),"Hospital Domingo Luciani")</f>
        <v>Hospital Domingo Luciani</v>
      </c>
      <c r="C2310" s="45" t="str">
        <f>IFERROR(__xludf.DUMMYFUNCTION("""COMPUTED_VALUE"""),"Jesús Blanco")</f>
        <v>Jesús Blanco</v>
      </c>
      <c r="D2310" s="44">
        <f>IFERROR(__xludf.DUMMYFUNCTION("""COMPUTED_VALUE"""),0.0)</f>
        <v>0</v>
      </c>
      <c r="E2310" s="44" t="str">
        <f>IFERROR(__xludf.DUMMYFUNCTION("""COMPUTED_VALUE"""),"")</f>
        <v/>
      </c>
      <c r="F2310" s="44" t="str">
        <f>IFERROR(__xludf.DUMMYFUNCTION("""COMPUTED_VALUE"""),"")</f>
        <v/>
      </c>
      <c r="G2310" s="44"/>
      <c r="H2310" s="44"/>
      <c r="I2310" s="44"/>
      <c r="J2310" s="44" t="str">
        <f>IFERROR(__xludf.DUMMYFUNCTION("""COMPUTED_VALUE"""),"")</f>
        <v/>
      </c>
      <c r="K2310" s="42" t="str">
        <f>IFERROR(__xludf.DUMMYFUNCTION("""COMPUTED_VALUE"""),"Hospital Domingo Luciani")</f>
        <v>Hospital Domingo Luciani</v>
      </c>
    </row>
    <row r="2311">
      <c r="A2311" s="44">
        <v>2310.0</v>
      </c>
      <c r="B2311" s="44" t="str">
        <f>IFERROR(__xludf.DUMMYFUNCTION("""COMPUTED_VALUE"""),"Hospital Pérez Carreño")</f>
        <v>Hospital Pérez Carreño</v>
      </c>
      <c r="C2311" s="45" t="str">
        <f>IFERROR(__xludf.DUMMYFUNCTION("""COMPUTED_VALUE"""),"Jesus Gonzales")</f>
        <v>Jesus Gonzales</v>
      </c>
      <c r="D2311" s="44"/>
      <c r="E2311" s="44" t="str">
        <f>IFERROR(__xludf.DUMMYFUNCTION("""COMPUTED_VALUE"""),"")</f>
        <v/>
      </c>
      <c r="F2311" s="44" t="str">
        <f>IFERROR(__xludf.DUMMYFUNCTION("""COMPUTED_VALUE"""),"")</f>
        <v/>
      </c>
      <c r="G2311" s="44" t="str">
        <f>IFERROR(__xludf.DUMMYFUNCTION("""COMPUTED_VALUE"""),"Traumashock ")</f>
        <v>Traumashock </v>
      </c>
      <c r="H2311" s="44" t="str">
        <f>IFERROR(__xludf.DUMMYFUNCTION("""COMPUTED_VALUE"""),"Hospital Miguel Perez Carreño")</f>
        <v>Hospital Miguel Perez Carreño</v>
      </c>
      <c r="I2311" s="44"/>
      <c r="J2311" s="44" t="str">
        <f>IFERROR(__xludf.DUMMYFUNCTION("""COMPUTED_VALUE"""),"26/6/26")</f>
        <v>26/6/26</v>
      </c>
      <c r="K2311" s="42" t="str">
        <f>IFERROR(__xludf.DUMMYFUNCTION("""COMPUTED_VALUE"""),"Hospital Pérez Carreño")</f>
        <v>Hospital Pérez Carreño</v>
      </c>
    </row>
    <row r="2312">
      <c r="A2312" s="44">
        <v>2311.0</v>
      </c>
      <c r="B2312" s="44" t="str">
        <f>IFERROR(__xludf.DUMMYFUNCTION("""COMPUTED_VALUE"""),"Hospital Pérez Carreño")</f>
        <v>Hospital Pérez Carreño</v>
      </c>
      <c r="C2312" s="45" t="str">
        <f>IFERROR(__xludf.DUMMYFUNCTION("""COMPUTED_VALUE"""),"Jesus Gonzalez")</f>
        <v>Jesus Gonzalez</v>
      </c>
      <c r="D2312" s="44" t="str">
        <f>IFERROR(__xludf.DUMMYFUNCTION("""COMPUTED_VALUE"""),"13 años")</f>
        <v>13 años</v>
      </c>
      <c r="E2312" s="44" t="str">
        <f>IFERROR(__xludf.DUMMYFUNCTION("""COMPUTED_VALUE"""),"")</f>
        <v/>
      </c>
      <c r="F2312" s="44" t="str">
        <f>IFERROR(__xludf.DUMMYFUNCTION("""COMPUTED_VALUE"""),"")</f>
        <v/>
      </c>
      <c r="G2312" s="44" t="str">
        <f>IFERROR(__xludf.DUMMYFUNCTION("""COMPUTED_VALUE"""),"Nuevos Ingresos 25/06/2026")</f>
        <v>Nuevos Ingresos 25/06/2026</v>
      </c>
      <c r="H2312" s="44" t="str">
        <f>IFERROR(__xludf.DUMMYFUNCTION("""COMPUTED_VALUE"""),"Hospital Miguel Perez Carreño")</f>
        <v>Hospital Miguel Perez Carreño</v>
      </c>
      <c r="I2312" s="44"/>
      <c r="J2312" s="44" t="str">
        <f>IFERROR(__xludf.DUMMYFUNCTION("""COMPUTED_VALUE"""),"26/6/26")</f>
        <v>26/6/26</v>
      </c>
      <c r="K2312" s="42" t="str">
        <f>IFERROR(__xludf.DUMMYFUNCTION("""COMPUTED_VALUE"""),"Hospital Pérez Carreño")</f>
        <v>Hospital Pérez Carreño</v>
      </c>
    </row>
    <row r="2313">
      <c r="A2313" s="44">
        <v>2312.0</v>
      </c>
      <c r="B2313" s="44" t="str">
        <f>IFERROR(__xludf.DUMMYFUNCTION("""COMPUTED_VALUE"""),"Periférico de Catia")</f>
        <v>Periférico de Catia</v>
      </c>
      <c r="C2313" s="45" t="str">
        <f>IFERROR(__xludf.DUMMYFUNCTION("""COMPUTED_VALUE"""),"Jesus Guerreiro")</f>
        <v>Jesus Guerreiro</v>
      </c>
      <c r="D2313" s="44">
        <f>IFERROR(__xludf.DUMMYFUNCTION("""COMPUTED_VALUE"""),44.0)</f>
        <v>44</v>
      </c>
      <c r="E2313" s="44" t="str">
        <f>IFERROR(__xludf.DUMMYFUNCTION("""COMPUTED_VALUE"""),"")</f>
        <v/>
      </c>
      <c r="F2313" s="44" t="str">
        <f>IFERROR(__xludf.DUMMYFUNCTION("""COMPUTED_VALUE"""),"")</f>
        <v/>
      </c>
      <c r="G2313" s="44"/>
      <c r="H2313" s="44"/>
      <c r="I2313" s="44" t="str">
        <f>IFERROR(__xludf.DUMMYFUNCTION("""COMPUTED_VALUE"""),"Politrauma Emerg. Nueva (version anterior)")</f>
        <v>Politrauma Emerg. Nueva (version anterior)</v>
      </c>
      <c r="J2313" s="44" t="str">
        <f>IFERROR(__xludf.DUMMYFUNCTION("""COMPUTED_VALUE"""),"")</f>
        <v/>
      </c>
      <c r="K2313" s="42" t="str">
        <f>IFERROR(__xludf.DUMMYFUNCTION("""COMPUTED_VALUE"""),"Periférico de Catia")</f>
        <v>Periférico de Catia</v>
      </c>
    </row>
    <row r="2314">
      <c r="A2314" s="44">
        <v>2313.0</v>
      </c>
      <c r="B2314" s="44" t="str">
        <f>IFERROR(__xludf.DUMMYFUNCTION("""COMPUTED_VALUE"""),"Campo de Golf Playa los Cocos")</f>
        <v>Campo de Golf Playa los Cocos</v>
      </c>
      <c r="C2314" s="45" t="str">
        <f>IFERROR(__xludf.DUMMYFUNCTION("""COMPUTED_VALUE"""),"Jesus Leon")</f>
        <v>Jesus Leon</v>
      </c>
      <c r="D2314" s="44" t="str">
        <f>IFERROR(__xludf.DUMMYFUNCTION("""COMPUTED_VALUE"""),"")</f>
        <v/>
      </c>
      <c r="E2314" s="44" t="str">
        <f>IFERROR(__xludf.DUMMYFUNCTION("""COMPUTED_VALUE"""),"")</f>
        <v/>
      </c>
      <c r="F2314" s="44" t="str">
        <f>IFERROR(__xludf.DUMMYFUNCTION("""COMPUTED_VALUE"""),"")</f>
        <v/>
      </c>
      <c r="G2314" s="44" t="str">
        <f>IFERROR(__xludf.DUMMYFUNCTION("""COMPUTED_VALUE"""),"")</f>
        <v/>
      </c>
      <c r="H2314" s="44" t="str">
        <f>IFERROR(__xludf.DUMMYFUNCTION("""COMPUTED_VALUE"""),"")</f>
        <v/>
      </c>
      <c r="I2314" s="44"/>
      <c r="J2314" s="44" t="str">
        <f>IFERROR(__xludf.DUMMYFUNCTION("""COMPUTED_VALUE"""),"")</f>
        <v/>
      </c>
      <c r="K2314" s="42" t="str">
        <f>IFERROR(__xludf.DUMMYFUNCTION("""COMPUTED_VALUE"""),"Campo de Golf Playa los Cocos")</f>
        <v>Campo de Golf Playa los Cocos</v>
      </c>
    </row>
    <row r="2315">
      <c r="A2315" s="44">
        <v>2314.0</v>
      </c>
      <c r="B2315" s="44" t="str">
        <f>IFERROR(__xludf.DUMMYFUNCTION("""COMPUTED_VALUE"""),"Hospital Domingo Luciani")</f>
        <v>Hospital Domingo Luciani</v>
      </c>
      <c r="C2315" s="45" t="str">
        <f>IFERROR(__xludf.DUMMYFUNCTION("""COMPUTED_VALUE"""),"Jesus Martinez")</f>
        <v>Jesus Martinez</v>
      </c>
      <c r="D2315" s="44">
        <f>IFERROR(__xludf.DUMMYFUNCTION("""COMPUTED_VALUE"""),1.0)</f>
        <v>1</v>
      </c>
      <c r="E2315" s="44" t="str">
        <f>IFERROR(__xludf.DUMMYFUNCTION("""COMPUTED_VALUE"""),"")</f>
        <v/>
      </c>
      <c r="F2315" s="44" t="str">
        <f>IFERROR(__xludf.DUMMYFUNCTION("""COMPUTED_VALUE"""),"")</f>
        <v/>
      </c>
      <c r="G2315" s="44"/>
      <c r="H2315" s="44"/>
      <c r="I2315" s="44"/>
      <c r="J2315" s="44" t="str">
        <f>IFERROR(__xludf.DUMMYFUNCTION("""COMPUTED_VALUE"""),"")</f>
        <v/>
      </c>
      <c r="K2315" s="42" t="str">
        <f>IFERROR(__xludf.DUMMYFUNCTION("""COMPUTED_VALUE"""),"Hospital Domingo Luciani")</f>
        <v>Hospital Domingo Luciani</v>
      </c>
    </row>
    <row r="2316">
      <c r="A2316" s="44">
        <v>2315.0</v>
      </c>
      <c r="B2316" s="44" t="str">
        <f>IFERROR(__xludf.DUMMYFUNCTION("""COMPUTED_VALUE"""),"Hospital Domingo Luciani")</f>
        <v>Hospital Domingo Luciani</v>
      </c>
      <c r="C2316" s="45" t="str">
        <f>IFERROR(__xludf.DUMMYFUNCTION("""COMPUTED_VALUE"""),"Jesús Martinez")</f>
        <v>Jesús Martinez</v>
      </c>
      <c r="D2316" s="44">
        <f>IFERROR(__xludf.DUMMYFUNCTION("""COMPUTED_VALUE"""),1.0)</f>
        <v>1</v>
      </c>
      <c r="E2316" s="44" t="str">
        <f>IFERROR(__xludf.DUMMYFUNCTION("""COMPUTED_VALUE"""),"")</f>
        <v/>
      </c>
      <c r="F2316" s="44" t="str">
        <f>IFERROR(__xludf.DUMMYFUNCTION("""COMPUTED_VALUE"""),"")</f>
        <v/>
      </c>
      <c r="G2316" s="44"/>
      <c r="H2316" s="44"/>
      <c r="I2316" s="44"/>
      <c r="J2316" s="44" t="str">
        <f>IFERROR(__xludf.DUMMYFUNCTION("""COMPUTED_VALUE"""),"")</f>
        <v/>
      </c>
      <c r="K2316" s="42" t="str">
        <f>IFERROR(__xludf.DUMMYFUNCTION("""COMPUTED_VALUE"""),"Hospital Domingo Luciani")</f>
        <v>Hospital Domingo Luciani</v>
      </c>
    </row>
    <row r="2317">
      <c r="A2317" s="44">
        <v>2316.0</v>
      </c>
      <c r="B2317" s="44" t="str">
        <f>IFERROR(__xludf.DUMMYFUNCTION("""COMPUTED_VALUE"""),"Hospital Pérez Carreño")</f>
        <v>Hospital Pérez Carreño</v>
      </c>
      <c r="C2317" s="45" t="str">
        <f>IFERROR(__xludf.DUMMYFUNCTION("""COMPUTED_VALUE"""),"Jesus Ramirez")</f>
        <v>Jesus Ramirez</v>
      </c>
      <c r="D2317" s="44"/>
      <c r="E2317" s="44" t="str">
        <f>IFERROR(__xludf.DUMMYFUNCTION("""COMPUTED_VALUE"""),"")</f>
        <v/>
      </c>
      <c r="F2317" s="44" t="str">
        <f>IFERROR(__xludf.DUMMYFUNCTION("""COMPUTED_VALUE"""),"")</f>
        <v/>
      </c>
      <c r="G2317" s="44" t="str">
        <f>IFERROR(__xludf.DUMMYFUNCTION("""COMPUTED_VALUE"""),"Traumashock ")</f>
        <v>Traumashock </v>
      </c>
      <c r="H2317" s="44" t="str">
        <f>IFERROR(__xludf.DUMMYFUNCTION("""COMPUTED_VALUE"""),"Hospital Miguel Perez Carreño")</f>
        <v>Hospital Miguel Perez Carreño</v>
      </c>
      <c r="I2317" s="44"/>
      <c r="J2317" s="44" t="str">
        <f>IFERROR(__xludf.DUMMYFUNCTION("""COMPUTED_VALUE"""),"26/6/26")</f>
        <v>26/6/26</v>
      </c>
      <c r="K2317" s="42" t="str">
        <f>IFERROR(__xludf.DUMMYFUNCTION("""COMPUTED_VALUE"""),"Hospital Pérez Carreño")</f>
        <v>Hospital Pérez Carreño</v>
      </c>
    </row>
    <row r="2318">
      <c r="A2318" s="44">
        <v>2317.0</v>
      </c>
      <c r="B2318" s="44" t="str">
        <f>IFERROR(__xludf.DUMMYFUNCTION("""COMPUTED_VALUE"""),"Periférico de Catia")</f>
        <v>Periférico de Catia</v>
      </c>
      <c r="C2318" s="45" t="str">
        <f>IFERROR(__xludf.DUMMYFUNCTION("""COMPUTED_VALUE"""),"Jesus Rodriguez")</f>
        <v>Jesus Rodriguez</v>
      </c>
      <c r="D2318" s="44">
        <f>IFERROR(__xludf.DUMMYFUNCTION("""COMPUTED_VALUE"""),28.0)</f>
        <v>28</v>
      </c>
      <c r="E2318" s="44" t="str">
        <f>IFERROR(__xludf.DUMMYFUNCTION("""COMPUTED_VALUE"""),"")</f>
        <v/>
      </c>
      <c r="F2318" s="44" t="str">
        <f>IFERROR(__xludf.DUMMYFUNCTION("""COMPUTED_VALUE"""),"")</f>
        <v/>
      </c>
      <c r="G2318" s="44"/>
      <c r="H2318" s="44"/>
      <c r="I2318" s="44" t="str">
        <f>IFERROR(__xludf.DUMMYFUNCTION("""COMPUTED_VALUE"""),"Politrauma Emerg. Nueva (version anterior)")</f>
        <v>Politrauma Emerg. Nueva (version anterior)</v>
      </c>
      <c r="J2318" s="44" t="str">
        <f>IFERROR(__xludf.DUMMYFUNCTION("""COMPUTED_VALUE"""),"")</f>
        <v/>
      </c>
      <c r="K2318" s="42" t="str">
        <f>IFERROR(__xludf.DUMMYFUNCTION("""COMPUTED_VALUE"""),"Periférico de Catia")</f>
        <v>Periférico de Catia</v>
      </c>
    </row>
    <row r="2319">
      <c r="A2319" s="44">
        <v>2318.0</v>
      </c>
      <c r="B2319" s="44" t="str">
        <f>IFERROR(__xludf.DUMMYFUNCTION("""COMPUTED_VALUE"""),"Periférico de Catia")</f>
        <v>Periférico de Catia</v>
      </c>
      <c r="C2319" s="45" t="str">
        <f>IFERROR(__xludf.DUMMYFUNCTION("""COMPUTED_VALUE"""),"JESUS VEGAS")</f>
        <v>JESUS VEGAS</v>
      </c>
      <c r="D2319" s="44">
        <f>IFERROR(__xludf.DUMMYFUNCTION("""COMPUTED_VALUE"""),27.0)</f>
        <v>27</v>
      </c>
      <c r="E2319" s="44" t="str">
        <f>IFERROR(__xludf.DUMMYFUNCTION("""COMPUTED_VALUE"""),"")</f>
        <v/>
      </c>
      <c r="F2319" s="44" t="str">
        <f>IFERROR(__xludf.DUMMYFUNCTION("""COMPUTED_VALUE"""),"")</f>
        <v/>
      </c>
      <c r="G2319" s="44" t="str">
        <f>IFERROR(__xludf.DUMMYFUNCTION("""COMPUTED_VALUE""")," ")</f>
        <v> </v>
      </c>
      <c r="H2319" s="44" t="str">
        <f>IFERROR(__xludf.DUMMYFUNCTION("""COMPUTED_VALUE"""),"Calle Real Maiquetia bajo")</f>
        <v>Calle Real Maiquetia bajo</v>
      </c>
      <c r="I2319" s="44" t="str">
        <f>IFERROR(__xludf.DUMMYFUNCTION("""COMPUTED_VALUE"""),"TRM")</f>
        <v>TRM</v>
      </c>
      <c r="J2319" s="44" t="str">
        <f>IFERROR(__xludf.DUMMYFUNCTION("""COMPUTED_VALUE"""),"")</f>
        <v/>
      </c>
      <c r="K2319" s="42" t="str">
        <f>IFERROR(__xludf.DUMMYFUNCTION("""COMPUTED_VALUE"""),"Periférico de Catia")</f>
        <v>Periférico de Catia</v>
      </c>
    </row>
    <row r="2320">
      <c r="A2320" s="44">
        <v>2319.0</v>
      </c>
      <c r="B2320" s="44" t="str">
        <f>IFERROR(__xludf.DUMMYFUNCTION("""COMPUTED_VALUE"""),"Periférico de Catia")</f>
        <v>Periférico de Catia</v>
      </c>
      <c r="C2320" s="45" t="str">
        <f>IFERROR(__xludf.DUMMYFUNCTION("""COMPUTED_VALUE"""),"JHNNSON ESTEBAN")</f>
        <v>JHNNSON ESTEBAN</v>
      </c>
      <c r="D2320" s="44">
        <f>IFERROR(__xludf.DUMMYFUNCTION("""COMPUTED_VALUE"""),20.0)</f>
        <v>20</v>
      </c>
      <c r="E2320" s="44" t="str">
        <f>IFERROR(__xludf.DUMMYFUNCTION("""COMPUTED_VALUE"""),"")</f>
        <v/>
      </c>
      <c r="F2320" s="44" t="str">
        <f>IFERROR(__xludf.DUMMYFUNCTION("""COMPUTED_VALUE"""),"")</f>
        <v/>
      </c>
      <c r="G2320" s="44" t="str">
        <f>IFERROR(__xludf.DUMMYFUNCTION("""COMPUTED_VALUE""")," ")</f>
        <v> </v>
      </c>
      <c r="H2320" s="44" t="str">
        <f>IFERROR(__xludf.DUMMYFUNCTION("""COMPUTED_VALUE""")," ")</f>
        <v> </v>
      </c>
      <c r="I2320" s="44" t="str">
        <f>IFERROR(__xludf.DUMMYFUNCTION("""COMPUTED_VALUE"""),"Pareja")</f>
        <v>Pareja</v>
      </c>
      <c r="J2320" s="44" t="str">
        <f>IFERROR(__xludf.DUMMYFUNCTION("""COMPUTED_VALUE"""),"")</f>
        <v/>
      </c>
      <c r="K2320" s="42" t="str">
        <f>IFERROR(__xludf.DUMMYFUNCTION("""COMPUTED_VALUE"""),"Periférico de Catia")</f>
        <v>Periférico de Catia</v>
      </c>
    </row>
    <row r="2321">
      <c r="A2321" s="44">
        <v>2320.0</v>
      </c>
      <c r="B2321" s="44" t="str">
        <f>IFERROR(__xludf.DUMMYFUNCTION("""COMPUTED_VALUE"""),"Seguro Social La Guaira")</f>
        <v>Seguro Social La Guaira</v>
      </c>
      <c r="C2321" s="45" t="str">
        <f>IFERROR(__xludf.DUMMYFUNCTION("""COMPUTED_VALUE"""),"JHOALUI ROSALES")</f>
        <v>JHOALUI ROSALES</v>
      </c>
      <c r="D2321" s="44">
        <f>IFERROR(__xludf.DUMMYFUNCTION("""COMPUTED_VALUE"""),32.0)</f>
        <v>32</v>
      </c>
      <c r="E2321" s="44" t="str">
        <f>IFERROR(__xludf.DUMMYFUNCTION("""COMPUTED_VALUE"""),"")</f>
        <v/>
      </c>
      <c r="F2321" s="44" t="str">
        <f>IFERROR(__xludf.DUMMYFUNCTION("""COMPUTED_VALUE"""),"")</f>
        <v/>
      </c>
      <c r="G2321" s="44" t="str">
        <f>IFERROR(__xludf.DUMMYFUNCTION("""COMPUTED_VALUE""")," ")</f>
        <v> </v>
      </c>
      <c r="H2321" s="44" t="str">
        <f>IFERROR(__xludf.DUMMYFUNCTION("""COMPUTED_VALUE"""),"Macuto")</f>
        <v>Macuto</v>
      </c>
      <c r="I2321" s="44" t="str">
        <f>IFERROR(__xludf.DUMMYFUNCTION("""COMPUTED_VALUE""")," ")</f>
        <v> </v>
      </c>
      <c r="J2321" s="44" t="str">
        <f>IFERROR(__xludf.DUMMYFUNCTION("""COMPUTED_VALUE"""),"")</f>
        <v/>
      </c>
      <c r="K2321" s="42" t="str">
        <f>IFERROR(__xludf.DUMMYFUNCTION("""COMPUTED_VALUE"""),"Seguro Social La Guaira")</f>
        <v>Seguro Social La Guaira</v>
      </c>
    </row>
    <row r="2322">
      <c r="A2322" s="44">
        <v>2321.0</v>
      </c>
      <c r="B2322" s="44" t="str">
        <f>IFERROR(__xludf.DUMMYFUNCTION("""COMPUTED_VALUE"""),"Centro de Acopio Caraballeda")</f>
        <v>Centro de Acopio Caraballeda</v>
      </c>
      <c r="C2322" s="45" t="str">
        <f>IFERROR(__xludf.DUMMYFUNCTION("""COMPUTED_VALUE"""),"JHOAN GARCIA GENDERSON")</f>
        <v>JHOAN GARCIA GENDERSON</v>
      </c>
      <c r="D2322" s="44" t="str">
        <f>IFERROR(__xludf.DUMMYFUNCTION("""COMPUTED_VALUE""")," ")</f>
        <v> </v>
      </c>
      <c r="E2322" s="44" t="str">
        <f>IFERROR(__xludf.DUMMYFUNCTION("""COMPUTED_VALUE"""),"")</f>
        <v/>
      </c>
      <c r="F2322" s="44" t="str">
        <f>IFERROR(__xludf.DUMMYFUNCTION("""COMPUTED_VALUE"""),"")</f>
        <v/>
      </c>
      <c r="G2322" s="44" t="str">
        <f>IFERROR(__xludf.DUMMYFUNCTION("""COMPUTED_VALUE""")," ")</f>
        <v> </v>
      </c>
      <c r="H2322" s="44" t="str">
        <f>IFERROR(__xludf.DUMMYFUNCTION("""COMPUTED_VALUE""")," ")</f>
        <v> </v>
      </c>
      <c r="I2322" s="44" t="str">
        <f>IFERROR(__xludf.DUMMYFUNCTION("""COMPUTED_VALUE"""),"Internado")</f>
        <v>Internado</v>
      </c>
      <c r="J2322" s="44" t="str">
        <f>IFERROR(__xludf.DUMMYFUNCTION("""COMPUTED_VALUE"""),"")</f>
        <v/>
      </c>
      <c r="K2322" s="42" t="str">
        <f>IFERROR(__xludf.DUMMYFUNCTION("""COMPUTED_VALUE"""),"🔍 BUSCAR PACIENTES")</f>
        <v>🔍 BUSCAR PACIENTES</v>
      </c>
    </row>
    <row r="2323">
      <c r="A2323" s="44">
        <v>2322.0</v>
      </c>
      <c r="B2323" s="44" t="str">
        <f>IFERROR(__xludf.DUMMYFUNCTION("""COMPUTED_VALUE"""),"Periférico de Catia")</f>
        <v>Periférico de Catia</v>
      </c>
      <c r="C2323" s="45" t="str">
        <f>IFERROR(__xludf.DUMMYFUNCTION("""COMPUTED_VALUE"""),"JHONSON STEBAN")</f>
        <v>JHONSON STEBAN</v>
      </c>
      <c r="D2323" s="44">
        <f>IFERROR(__xludf.DUMMYFUNCTION("""COMPUTED_VALUE"""),24.0)</f>
        <v>24</v>
      </c>
      <c r="E2323" s="44" t="str">
        <f>IFERROR(__xludf.DUMMYFUNCTION("""COMPUTED_VALUE"""),"")</f>
        <v/>
      </c>
      <c r="F2323" s="44" t="str">
        <f>IFERROR(__xludf.DUMMYFUNCTION("""COMPUTED_VALUE"""),"")</f>
        <v/>
      </c>
      <c r="G2323" s="44" t="str">
        <f>IFERROR(__xludf.DUMMYFUNCTION("""COMPUTED_VALUE""")," ")</f>
        <v> </v>
      </c>
      <c r="H2323" s="44" t="str">
        <f>IFERROR(__xludf.DUMMYFUNCTION("""COMPUTED_VALUE"""),"Playa Grande")</f>
        <v>Playa Grande</v>
      </c>
      <c r="I2323" s="44" t="str">
        <f>IFERROR(__xludf.DUMMYFUNCTION("""COMPUTED_VALUE"""),"TRM")</f>
        <v>TRM</v>
      </c>
      <c r="J2323" s="44" t="str">
        <f>IFERROR(__xludf.DUMMYFUNCTION("""COMPUTED_VALUE"""),"")</f>
        <v/>
      </c>
      <c r="K2323" s="42" t="str">
        <f>IFERROR(__xludf.DUMMYFUNCTION("""COMPUTED_VALUE"""),"Periférico de Catia")</f>
        <v>Periférico de Catia</v>
      </c>
    </row>
    <row r="2324">
      <c r="A2324" s="44">
        <v>2323.0</v>
      </c>
      <c r="B2324" s="44" t="str">
        <f>IFERROR(__xludf.DUMMYFUNCTION("""COMPUTED_VALUE"""),"H. Jose Maria Vargas LG")</f>
        <v>H. Jose Maria Vargas LG</v>
      </c>
      <c r="C2324" s="45" t="str">
        <f>IFERROR(__xludf.DUMMYFUNCTION("""COMPUTED_VALUE"""),"JIMENEZ ALEXANDER")</f>
        <v>JIMENEZ ALEXANDER</v>
      </c>
      <c r="D2324" s="44">
        <f>IFERROR(__xludf.DUMMYFUNCTION("""COMPUTED_VALUE"""),58.0)</f>
        <v>58</v>
      </c>
      <c r="E2324" s="44" t="str">
        <f>IFERROR(__xludf.DUMMYFUNCTION("""COMPUTED_VALUE"""),"")</f>
        <v/>
      </c>
      <c r="F2324" s="44" t="str">
        <f>IFERROR(__xludf.DUMMYFUNCTION("""COMPUTED_VALUE"""),"")</f>
        <v/>
      </c>
      <c r="G2324" s="44" t="str">
        <f>IFERROR(__xludf.DUMMYFUNCTION("""COMPUTED_VALUE""")," ")</f>
        <v> </v>
      </c>
      <c r="H2324" s="44" t="str">
        <f>IFERROR(__xludf.DUMMYFUNCTION("""COMPUTED_VALUE"""),"Los Corales")</f>
        <v>Los Corales</v>
      </c>
      <c r="I2324" s="44" t="str">
        <f>IFERROR(__xludf.DUMMYFUNCTION("""COMPUTED_VALUE""")," ")</f>
        <v> </v>
      </c>
      <c r="J2324" s="44" t="str">
        <f>IFERROR(__xludf.DUMMYFUNCTION("""COMPUTED_VALUE"""),"")</f>
        <v/>
      </c>
      <c r="K2324" s="42" t="str">
        <f>IFERROR(__xludf.DUMMYFUNCTION("""COMPUTED_VALUE"""),"H. Jose Maria Vargas LG")</f>
        <v>H. Jose Maria Vargas LG</v>
      </c>
    </row>
    <row r="2325">
      <c r="A2325" s="44">
        <v>2324.0</v>
      </c>
      <c r="B2325" s="44" t="str">
        <f>IFERROR(__xludf.DUMMYFUNCTION("""COMPUTED_VALUE"""),"Hospital Domingo Luciani")</f>
        <v>Hospital Domingo Luciani</v>
      </c>
      <c r="C2325" s="45" t="str">
        <f>IFERROR(__xludf.DUMMYFUNCTION("""COMPUTED_VALUE"""),"JIMENEZ AXEL")</f>
        <v>JIMENEZ AXEL</v>
      </c>
      <c r="D2325" s="44">
        <f>IFERROR(__xludf.DUMMYFUNCTION("""COMPUTED_VALUE"""),4.0)</f>
        <v>4</v>
      </c>
      <c r="E2325" s="44" t="str">
        <f>IFERROR(__xludf.DUMMYFUNCTION("""COMPUTED_VALUE"""),"")</f>
        <v/>
      </c>
      <c r="F2325" s="44" t="str">
        <f>IFERROR(__xludf.DUMMYFUNCTION("""COMPUTED_VALUE"""),"")</f>
        <v/>
      </c>
      <c r="G2325" s="44" t="str">
        <f>IFERROR(__xludf.DUMMYFUNCTION("""COMPUTED_VALUE""")," ")</f>
        <v> </v>
      </c>
      <c r="H2325" s="44" t="str">
        <f>IFERROR(__xludf.DUMMYFUNCTION("""COMPUTED_VALUE"""),"Los Corales")</f>
        <v>Los Corales</v>
      </c>
      <c r="I2325" s="44" t="str">
        <f>IFERROR(__xludf.DUMMYFUNCTION("""COMPUTED_VALUE"""),"Pediatría – Madre: Mileidi Lopez |  ")</f>
        <v>Pediatría – Madre: Mileidi Lopez |  </v>
      </c>
      <c r="J2325" s="44" t="str">
        <f>IFERROR(__xludf.DUMMYFUNCTION("""COMPUTED_VALUE"""),"")</f>
        <v/>
      </c>
      <c r="K2325" s="42" t="str">
        <f>IFERROR(__xludf.DUMMYFUNCTION("""COMPUTED_VALUE"""),"🔍 BUSCAR PACIENTES")</f>
        <v>🔍 BUSCAR PACIENTES</v>
      </c>
    </row>
    <row r="2326">
      <c r="A2326" s="44">
        <v>2325.0</v>
      </c>
      <c r="B2326" s="44" t="str">
        <f>IFERROR(__xludf.DUMMYFUNCTION("""COMPUTED_VALUE"""),"H. Jose Maria Vargas LG")</f>
        <v>H. Jose Maria Vargas LG</v>
      </c>
      <c r="C2326" s="45" t="str">
        <f>IFERROR(__xludf.DUMMYFUNCTION("""COMPUTED_VALUE"""),"JIMENEZ AXIEL")</f>
        <v>JIMENEZ AXIEL</v>
      </c>
      <c r="D2326" s="44" t="str">
        <f>IFERROR(__xludf.DUMMYFUNCTION("""COMPUTED_VALUE""")," ")</f>
        <v> </v>
      </c>
      <c r="E2326" s="44" t="str">
        <f>IFERROR(__xludf.DUMMYFUNCTION("""COMPUTED_VALUE"""),"")</f>
        <v/>
      </c>
      <c r="F2326" s="44" t="str">
        <f>IFERROR(__xludf.DUMMYFUNCTION("""COMPUTED_VALUE"""),"")</f>
        <v/>
      </c>
      <c r="G2326" s="44" t="str">
        <f>IFERROR(__xludf.DUMMYFUNCTION("""COMPUTED_VALUE""")," ")</f>
        <v> </v>
      </c>
      <c r="H2326" s="44" t="str">
        <f>IFERROR(__xludf.DUMMYFUNCTION("""COMPUTED_VALUE"""),"Los Corales")</f>
        <v>Los Corales</v>
      </c>
      <c r="I2326" s="44" t="str">
        <f>IFERROR(__xludf.DUMMYFUNCTION("""COMPUTED_VALUE""")," ")</f>
        <v> </v>
      </c>
      <c r="J2326" s="44" t="str">
        <f>IFERROR(__xludf.DUMMYFUNCTION("""COMPUTED_VALUE"""),"")</f>
        <v/>
      </c>
      <c r="K2326" s="42" t="str">
        <f>IFERROR(__xludf.DUMMYFUNCTION("""COMPUTED_VALUE"""),"H. Jose Maria Vargas LG")</f>
        <v>H. Jose Maria Vargas LG</v>
      </c>
    </row>
    <row r="2327">
      <c r="A2327" s="44">
        <v>2326.0</v>
      </c>
      <c r="B2327" s="44" t="str">
        <f>IFERROR(__xludf.DUMMYFUNCTION("""COMPUTED_VALUE"""),"Hospital Domingo Luciani")</f>
        <v>Hospital Domingo Luciani</v>
      </c>
      <c r="C2327" s="45" t="str">
        <f>IFERROR(__xludf.DUMMYFUNCTION("""COMPUTED_VALUE"""),"JIMENEZ AXIEL / JIMENEZ AXEL")</f>
        <v>JIMENEZ AXIEL / JIMENEZ AXEL</v>
      </c>
      <c r="D2327" s="44">
        <f>IFERROR(__xludf.DUMMYFUNCTION("""COMPUTED_VALUE"""),4.0)</f>
        <v>4</v>
      </c>
      <c r="E2327" s="44" t="str">
        <f>IFERROR(__xludf.DUMMYFUNCTION("""COMPUTED_VALUE"""),"")</f>
        <v/>
      </c>
      <c r="F2327" s="44" t="str">
        <f>IFERROR(__xludf.DUMMYFUNCTION("""COMPUTED_VALUE"""),"")</f>
        <v/>
      </c>
      <c r="G2327" s="44" t="str">
        <f>IFERROR(__xludf.DUMMYFUNCTION("""COMPUTED_VALUE""")," ")</f>
        <v> </v>
      </c>
      <c r="H2327" s="44" t="str">
        <f>IFERROR(__xludf.DUMMYFUNCTION("""COMPUTED_VALUE""")," ")</f>
        <v> </v>
      </c>
      <c r="I2327" s="44" t="str">
        <f>IFERROR(__xludf.DUMMYFUNCTION("""COMPUTED_VALUE""")," ")</f>
        <v> </v>
      </c>
      <c r="J2327" s="44" t="str">
        <f>IFERROR(__xludf.DUMMYFUNCTION("""COMPUTED_VALUE"""),"")</f>
        <v/>
      </c>
      <c r="K2327" s="42" t="str">
        <f>IFERROR(__xludf.DUMMYFUNCTION("""COMPUTED_VALUE"""),"🔍 BUSCAR PACIENTES")</f>
        <v>🔍 BUSCAR PACIENTES</v>
      </c>
    </row>
    <row r="2328">
      <c r="A2328" s="44">
        <v>2327.0</v>
      </c>
      <c r="B2328" s="44" t="str">
        <f>IFERROR(__xludf.DUMMYFUNCTION("""COMPUTED_VALUE"""),"H. Jose Maria Vargas LG")</f>
        <v>H. Jose Maria Vargas LG</v>
      </c>
      <c r="C2328" s="45" t="str">
        <f>IFERROR(__xludf.DUMMYFUNCTION("""COMPUTED_VALUE"""),"JIMENEZ JUAN CARLOS")</f>
        <v>JIMENEZ JUAN CARLOS</v>
      </c>
      <c r="D2328" s="44">
        <f>IFERROR(__xludf.DUMMYFUNCTION("""COMPUTED_VALUE"""),10.0)</f>
        <v>10</v>
      </c>
      <c r="E2328" s="44" t="str">
        <f>IFERROR(__xludf.DUMMYFUNCTION("""COMPUTED_VALUE"""),"")</f>
        <v/>
      </c>
      <c r="F2328" s="44" t="str">
        <f>IFERROR(__xludf.DUMMYFUNCTION("""COMPUTED_VALUE"""),"")</f>
        <v/>
      </c>
      <c r="G2328" s="44" t="str">
        <f>IFERROR(__xludf.DUMMYFUNCTION("""COMPUTED_VALUE""")," ")</f>
        <v> </v>
      </c>
      <c r="H2328" s="44" t="str">
        <f>IFERROR(__xludf.DUMMYFUNCTION("""COMPUTED_VALUE"""),"Macuto")</f>
        <v>Macuto</v>
      </c>
      <c r="I2328" s="44" t="str">
        <f>IFERROR(__xludf.DUMMYFUNCTION("""COMPUTED_VALUE""")," ")</f>
        <v> </v>
      </c>
      <c r="J2328" s="44" t="str">
        <f>IFERROR(__xludf.DUMMYFUNCTION("""COMPUTED_VALUE"""),"")</f>
        <v/>
      </c>
      <c r="K2328" s="42" t="str">
        <f>IFERROR(__xludf.DUMMYFUNCTION("""COMPUTED_VALUE"""),"H. Jose Maria Vargas LG")</f>
        <v>H. Jose Maria Vargas LG</v>
      </c>
    </row>
    <row r="2329">
      <c r="A2329" s="44">
        <v>2328.0</v>
      </c>
      <c r="B2329" s="44" t="str">
        <f>IFERROR(__xludf.DUMMYFUNCTION("""COMPUTED_VALUE"""),"H. Jose Maria Vargas LG")</f>
        <v>H. Jose Maria Vargas LG</v>
      </c>
      <c r="C2329" s="45" t="str">
        <f>IFERROR(__xludf.DUMMYFUNCTION("""COMPUTED_VALUE"""),"JIMENEZ LEONELA")</f>
        <v>JIMENEZ LEONELA</v>
      </c>
      <c r="D2329" s="44" t="str">
        <f>IFERROR(__xludf.DUMMYFUNCTION("""COMPUTED_VALUE""")," ")</f>
        <v> </v>
      </c>
      <c r="E2329" s="44" t="str">
        <f>IFERROR(__xludf.DUMMYFUNCTION("""COMPUTED_VALUE"""),"")</f>
        <v/>
      </c>
      <c r="F2329" s="44" t="str">
        <f>IFERROR(__xludf.DUMMYFUNCTION("""COMPUTED_VALUE"""),"")</f>
        <v/>
      </c>
      <c r="G2329" s="44" t="str">
        <f>IFERROR(__xludf.DUMMYFUNCTION("""COMPUTED_VALUE""")," ")</f>
        <v> </v>
      </c>
      <c r="H2329" s="44" t="str">
        <f>IFERROR(__xludf.DUMMYFUNCTION("""COMPUTED_VALUE""")," ")</f>
        <v> </v>
      </c>
      <c r="I2329" s="44" t="str">
        <f>IFERROR(__xludf.DUMMYFUNCTION("""COMPUTED_VALUE""")," ")</f>
        <v> </v>
      </c>
      <c r="J2329" s="44" t="str">
        <f>IFERROR(__xludf.DUMMYFUNCTION("""COMPUTED_VALUE"""),"")</f>
        <v/>
      </c>
      <c r="K2329" s="42" t="str">
        <f>IFERROR(__xludf.DUMMYFUNCTION("""COMPUTED_VALUE"""),"H. Jose Maria Vargas LG")</f>
        <v>H. Jose Maria Vargas LG</v>
      </c>
    </row>
    <row r="2330">
      <c r="A2330" s="44">
        <v>2329.0</v>
      </c>
      <c r="B2330" s="44" t="str">
        <f>IFERROR(__xludf.DUMMYFUNCTION("""COMPUTED_VALUE"""),"Hospital Pérez Carreño")</f>
        <v>Hospital Pérez Carreño</v>
      </c>
      <c r="C2330" s="45" t="str">
        <f>IFERROR(__xludf.DUMMYFUNCTION("""COMPUTED_VALUE"""),"Jimenez Mathias")</f>
        <v>Jimenez Mathias</v>
      </c>
      <c r="D2330" s="44" t="str">
        <f>IFERROR(__xludf.DUMMYFUNCTION("""COMPUTED_VALUE"""),"12 años")</f>
        <v>12 años</v>
      </c>
      <c r="E2330" s="44" t="str">
        <f>IFERROR(__xludf.DUMMYFUNCTION("""COMPUTED_VALUE"""),"")</f>
        <v/>
      </c>
      <c r="F2330" s="44" t="str">
        <f>IFERROR(__xludf.DUMMYFUNCTION("""COMPUTED_VALUE"""),"")</f>
        <v/>
      </c>
      <c r="G2330" s="44" t="str">
        <f>IFERROR(__xludf.DUMMYFUNCTION("""COMPUTED_VALUE"""),"Pediatria")</f>
        <v>Pediatria</v>
      </c>
      <c r="H2330" s="44" t="str">
        <f>IFERROR(__xludf.DUMMYFUNCTION("""COMPUTED_VALUE"""),"Hospital Miguel Perez Carreño")</f>
        <v>Hospital Miguel Perez Carreño</v>
      </c>
      <c r="I2330" s="44"/>
      <c r="J2330" s="44" t="str">
        <f>IFERROR(__xludf.DUMMYFUNCTION("""COMPUTED_VALUE"""),"26/6/26")</f>
        <v>26/6/26</v>
      </c>
      <c r="K2330" s="42" t="str">
        <f>IFERROR(__xludf.DUMMYFUNCTION("""COMPUTED_VALUE"""),"Hospital Pérez Carreño")</f>
        <v>Hospital Pérez Carreño</v>
      </c>
    </row>
    <row r="2331">
      <c r="A2331" s="44">
        <v>2330.0</v>
      </c>
      <c r="B2331" s="44" t="str">
        <f>IFERROR(__xludf.DUMMYFUNCTION("""COMPUTED_VALUE"""),"La Guaira Sin Hospital")</f>
        <v>La Guaira Sin Hospital</v>
      </c>
      <c r="C2331" s="45" t="str">
        <f>IFERROR(__xludf.DUMMYFUNCTION("""COMPUTED_VALUE"""),"Jimenez Mathias Alejandro Rangel")</f>
        <v>Jimenez Mathias Alejandro Rangel</v>
      </c>
      <c r="D2331" s="44" t="str">
        <f>IFERROR(__xludf.DUMMYFUNCTION("""COMPUTED_VALUE"""),"")</f>
        <v/>
      </c>
      <c r="E2331" s="44" t="str">
        <f>IFERROR(__xludf.DUMMYFUNCTION("""COMPUTED_VALUE"""),"")</f>
        <v/>
      </c>
      <c r="F2331" s="44" t="str">
        <f>IFERROR(__xludf.DUMMYFUNCTION("""COMPUTED_VALUE"""),"")</f>
        <v/>
      </c>
      <c r="G2331" s="44" t="str">
        <f>IFERROR(__xludf.DUMMYFUNCTION("""COMPUTED_VALUE"""),"")</f>
        <v/>
      </c>
      <c r="H2331" s="44" t="str">
        <f>IFERROR(__xludf.DUMMYFUNCTION("""COMPUTED_VALUE"""),"La Guaira")</f>
        <v>La Guaira</v>
      </c>
      <c r="I2331" s="44" t="str">
        <f>IFERROR(__xludf.DUMMYFUNCTION("""COMPUTED_VALUE"""),"Listas con ubicación")</f>
        <v>Listas con ubicación</v>
      </c>
      <c r="J2331" s="44" t="str">
        <f>IFERROR(__xludf.DUMMYFUNCTION("""COMPUTED_VALUE"""),"")</f>
        <v/>
      </c>
      <c r="K2331" s="42" t="str">
        <f>IFERROR(__xludf.DUMMYFUNCTION("""COMPUTED_VALUE"""),"La Guaira Sin Hospital")</f>
        <v>La Guaira Sin Hospital</v>
      </c>
    </row>
    <row r="2332">
      <c r="A2332" s="44">
        <v>2331.0</v>
      </c>
      <c r="B2332" s="44" t="str">
        <f>IFERROR(__xludf.DUMMYFUNCTION("""COMPUTED_VALUE"""),"Hospital Pérez Carreño")</f>
        <v>Hospital Pérez Carreño</v>
      </c>
      <c r="C2332" s="45" t="str">
        <f>IFERROR(__xludf.DUMMYFUNCTION("""COMPUTED_VALUE"""),"JIMENEZ MATIAS")</f>
        <v>JIMENEZ MATIAS</v>
      </c>
      <c r="D2332" s="44">
        <f>IFERROR(__xludf.DUMMYFUNCTION("""COMPUTED_VALUE"""),13.0)</f>
        <v>13</v>
      </c>
      <c r="E2332" s="44" t="str">
        <f>IFERROR(__xludf.DUMMYFUNCTION("""COMPUTED_VALUE"""),"")</f>
        <v/>
      </c>
      <c r="F2332" s="44" t="str">
        <f>IFERROR(__xludf.DUMMYFUNCTION("""COMPUTED_VALUE"""),"")</f>
        <v/>
      </c>
      <c r="G2332" s="44" t="str">
        <f>IFERROR(__xludf.DUMMYFUNCTION("""COMPUTED_VALUE""")," ")</f>
        <v> </v>
      </c>
      <c r="H2332" s="44" t="str">
        <f>IFERROR(__xludf.DUMMYFUNCTION("""COMPUTED_VALUE""")," ")</f>
        <v> </v>
      </c>
      <c r="I2332" s="44" t="str">
        <f>IFERROR(__xludf.DUMMYFUNCTION("""COMPUTED_VALUE"""),"SIN FAMILIAR – Pediátrico")</f>
        <v>SIN FAMILIAR – Pediátrico</v>
      </c>
      <c r="J2332" s="44" t="str">
        <f>IFERROR(__xludf.DUMMYFUNCTION("""COMPUTED_VALUE"""),"25/06/2026")</f>
        <v>25/06/2026</v>
      </c>
      <c r="K2332" s="42" t="str">
        <f>IFERROR(__xludf.DUMMYFUNCTION("""COMPUTED_VALUE"""),"Hospital Pérez Carreño")</f>
        <v>Hospital Pérez Carreño</v>
      </c>
    </row>
    <row r="2333">
      <c r="A2333" s="44">
        <v>2332.0</v>
      </c>
      <c r="B2333" s="44" t="str">
        <f>IFERROR(__xludf.DUMMYFUNCTION("""COMPUTED_VALUE"""),"Hospital Pérez Carreño")</f>
        <v>Hospital Pérez Carreño</v>
      </c>
      <c r="C2333" s="45" t="str">
        <f>IFERROR(__xludf.DUMMYFUNCTION("""COMPUTED_VALUE"""),"JIMENEZ RANGEL MATHIAS ALEJANDRO")</f>
        <v>JIMENEZ RANGEL MATHIAS ALEJANDRO</v>
      </c>
      <c r="D2333" s="44">
        <f>IFERROR(__xludf.DUMMYFUNCTION("""COMPUTED_VALUE"""),12.0)</f>
        <v>12</v>
      </c>
      <c r="E2333" s="44" t="str">
        <f>IFERROR(__xludf.DUMMYFUNCTION("""COMPUTED_VALUE"""),"")</f>
        <v/>
      </c>
      <c r="F2333" s="44" t="str">
        <f>IFERROR(__xludf.DUMMYFUNCTION("""COMPUTED_VALUE"""),"")</f>
        <v/>
      </c>
      <c r="G2333" s="44" t="str">
        <f>IFERROR(__xludf.DUMMYFUNCTION("""COMPUTED_VALUE""")," ")</f>
        <v> </v>
      </c>
      <c r="H2333" s="44" t="str">
        <f>IFERROR(__xludf.DUMMYFUNCTION("""COMPUTED_VALUE""")," ")</f>
        <v> </v>
      </c>
      <c r="I2333" s="44" t="str">
        <f>IFERROR(__xludf.DUMMYFUNCTION("""COMPUTED_VALUE"""),"Emerg. Pediátrica – La Guaira")</f>
        <v>Emerg. Pediátrica – La Guaira</v>
      </c>
      <c r="J2333" s="44" t="str">
        <f>IFERROR(__xludf.DUMMYFUNCTION("""COMPUTED_VALUE"""),"25/06/2026")</f>
        <v>25/06/2026</v>
      </c>
      <c r="K2333" s="42" t="str">
        <f>IFERROR(__xludf.DUMMYFUNCTION("""COMPUTED_VALUE"""),"Hospital Pérez Carreño")</f>
        <v>Hospital Pérez Carreño</v>
      </c>
    </row>
    <row r="2334">
      <c r="A2334" s="44">
        <v>2333.0</v>
      </c>
      <c r="B2334" s="44" t="str">
        <f>IFERROR(__xludf.DUMMYFUNCTION("""COMPUTED_VALUE"""),"Periférico de Catia")</f>
        <v>Periférico de Catia</v>
      </c>
      <c r="C2334" s="45" t="str">
        <f>IFERROR(__xludf.DUMMYFUNCTION("""COMPUTED_VALUE"""),"Jinderli Cavarca")</f>
        <v>Jinderli Cavarca</v>
      </c>
      <c r="D2334" s="44">
        <f>IFERROR(__xludf.DUMMYFUNCTION("""COMPUTED_VALUE"""),13.0)</f>
        <v>13</v>
      </c>
      <c r="E2334" s="44" t="str">
        <f>IFERROR(__xludf.DUMMYFUNCTION("""COMPUTED_VALUE"""),"")</f>
        <v/>
      </c>
      <c r="F2334" s="44" t="str">
        <f>IFERROR(__xludf.DUMMYFUNCTION("""COMPUTED_VALUE"""),"")</f>
        <v/>
      </c>
      <c r="G2334" s="44"/>
      <c r="H2334" s="44" t="str">
        <f>IFERROR(__xludf.DUMMYFUNCTION("""COMPUTED_VALUE"""),"La Guaira")</f>
        <v>La Guaira</v>
      </c>
      <c r="I2334" s="44" t="str">
        <f>IFERROR(__xludf.DUMMYFUNCTION("""COMPUTED_VALUE"""),"Pediatria. Todos procedentes de La Guaira segun nota del 26/06 7:00am")</f>
        <v>Pediatria. Todos procedentes de La Guaira segun nota del 26/06 7:00am</v>
      </c>
      <c r="J2334" s="44" t="str">
        <f>IFERROR(__xludf.DUMMYFUNCTION("""COMPUTED_VALUE"""),"")</f>
        <v/>
      </c>
      <c r="K2334" s="42" t="str">
        <f>IFERROR(__xludf.DUMMYFUNCTION("""COMPUTED_VALUE"""),"Periférico de Catia")</f>
        <v>Periférico de Catia</v>
      </c>
    </row>
    <row r="2335">
      <c r="A2335" s="44">
        <v>2334.0</v>
      </c>
      <c r="B2335" s="44" t="str">
        <f>IFERROR(__xludf.DUMMYFUNCTION("""COMPUTED_VALUE"""),"Hospital Domingo Luciani")</f>
        <v>Hospital Domingo Luciani</v>
      </c>
      <c r="C2335" s="45" t="str">
        <f>IFERROR(__xludf.DUMMYFUNCTION("""COMPUTED_VALUE"""),"JIVER SAMUEL")</f>
        <v>JIVER SAMUEL</v>
      </c>
      <c r="D2335" s="44">
        <f>IFERROR(__xludf.DUMMYFUNCTION("""COMPUTED_VALUE"""),30.0)</f>
        <v>30</v>
      </c>
      <c r="E2335" s="44" t="str">
        <f>IFERROR(__xludf.DUMMYFUNCTION("""COMPUTED_VALUE"""),"")</f>
        <v/>
      </c>
      <c r="F2335" s="44" t="str">
        <f>IFERROR(__xludf.DUMMYFUNCTION("""COMPUTED_VALUE"""),"")</f>
        <v/>
      </c>
      <c r="G2335" s="44" t="str">
        <f>IFERROR(__xludf.DUMMYFUNCTION("""COMPUTED_VALUE""")," ")</f>
        <v> </v>
      </c>
      <c r="H2335" s="44" t="str">
        <f>IFERROR(__xludf.DUMMYFUNCTION("""COMPUTED_VALUE""")," ")</f>
        <v> </v>
      </c>
      <c r="I2335" s="44" t="str">
        <f>IFERROR(__xludf.DUMMYFUNCTION("""COMPUTED_VALUE"""),"La Guaira – Ingresos 9am")</f>
        <v>La Guaira – Ingresos 9am</v>
      </c>
      <c r="J2335" s="44" t="str">
        <f>IFERROR(__xludf.DUMMYFUNCTION("""COMPUTED_VALUE"""),"")</f>
        <v/>
      </c>
      <c r="K2335" s="42" t="str">
        <f>IFERROR(__xludf.DUMMYFUNCTION("""COMPUTED_VALUE"""),"🔍 BUSCAR PACIENTES")</f>
        <v>🔍 BUSCAR PACIENTES</v>
      </c>
    </row>
    <row r="2336">
      <c r="A2336" s="44">
        <v>2335.0</v>
      </c>
      <c r="B2336" s="44" t="str">
        <f>IFERROR(__xludf.DUMMYFUNCTION("""COMPUTED_VALUE"""),"Campo de Golf Playa los Cocos")</f>
        <v>Campo de Golf Playa los Cocos</v>
      </c>
      <c r="C2336" s="45" t="str">
        <f>IFERROR(__xludf.DUMMYFUNCTION("""COMPUTED_VALUE"""),"Joel Alberto Garcia")</f>
        <v>Joel Alberto Garcia</v>
      </c>
      <c r="D2336" s="44" t="str">
        <f>IFERROR(__xludf.DUMMYFUNCTION("""COMPUTED_VALUE"""),"")</f>
        <v/>
      </c>
      <c r="E2336" s="44" t="str">
        <f>IFERROR(__xludf.DUMMYFUNCTION("""COMPUTED_VALUE"""),"")</f>
        <v/>
      </c>
      <c r="F2336" s="44" t="str">
        <f>IFERROR(__xludf.DUMMYFUNCTION("""COMPUTED_VALUE"""),"")</f>
        <v/>
      </c>
      <c r="G2336" s="44" t="str">
        <f>IFERROR(__xludf.DUMMYFUNCTION("""COMPUTED_VALUE"""),"")</f>
        <v/>
      </c>
      <c r="H2336" s="44" t="str">
        <f>IFERROR(__xludf.DUMMYFUNCTION("""COMPUTED_VALUE"""),"")</f>
        <v/>
      </c>
      <c r="I2336" s="44"/>
      <c r="J2336" s="44" t="str">
        <f>IFERROR(__xludf.DUMMYFUNCTION("""COMPUTED_VALUE"""),"")</f>
        <v/>
      </c>
      <c r="K2336" s="42" t="str">
        <f>IFERROR(__xludf.DUMMYFUNCTION("""COMPUTED_VALUE"""),"Campo de Golf Playa los Cocos")</f>
        <v>Campo de Golf Playa los Cocos</v>
      </c>
    </row>
    <row r="2337">
      <c r="A2337" s="44">
        <v>2336.0</v>
      </c>
      <c r="B2337" s="44" t="str">
        <f>IFERROR(__xludf.DUMMYFUNCTION("""COMPUTED_VALUE"""),"Campo de Golf Playa los Cocos")</f>
        <v>Campo de Golf Playa los Cocos</v>
      </c>
      <c r="C2337" s="45" t="str">
        <f>IFERROR(__xludf.DUMMYFUNCTION("""COMPUTED_VALUE"""),"Joel Guevara")</f>
        <v>Joel Guevara</v>
      </c>
      <c r="D2337" s="44" t="str">
        <f>IFERROR(__xludf.DUMMYFUNCTION("""COMPUTED_VALUE"""),"")</f>
        <v/>
      </c>
      <c r="E2337" s="44" t="str">
        <f>IFERROR(__xludf.DUMMYFUNCTION("""COMPUTED_VALUE"""),"")</f>
        <v/>
      </c>
      <c r="F2337" s="44" t="str">
        <f>IFERROR(__xludf.DUMMYFUNCTION("""COMPUTED_VALUE"""),"")</f>
        <v/>
      </c>
      <c r="G2337" s="44" t="str">
        <f>IFERROR(__xludf.DUMMYFUNCTION("""COMPUTED_VALUE"""),"")</f>
        <v/>
      </c>
      <c r="H2337" s="44" t="str">
        <f>IFERROR(__xludf.DUMMYFUNCTION("""COMPUTED_VALUE"""),"")</f>
        <v/>
      </c>
      <c r="I2337" s="44"/>
      <c r="J2337" s="44" t="str">
        <f>IFERROR(__xludf.DUMMYFUNCTION("""COMPUTED_VALUE"""),"")</f>
        <v/>
      </c>
      <c r="K2337" s="42" t="str">
        <f>IFERROR(__xludf.DUMMYFUNCTION("""COMPUTED_VALUE"""),"Campo de Golf Playa los Cocos")</f>
        <v>Campo de Golf Playa los Cocos</v>
      </c>
    </row>
    <row r="2338">
      <c r="A2338" s="44">
        <v>2337.0</v>
      </c>
      <c r="B2338" s="44" t="str">
        <f>IFERROR(__xludf.DUMMYFUNCTION("""COMPUTED_VALUE"""),"Seguro Social La Guaira")</f>
        <v>Seguro Social La Guaira</v>
      </c>
      <c r="C2338" s="45" t="str">
        <f>IFERROR(__xludf.DUMMYFUNCTION("""COMPUTED_VALUE"""),"JOEL NAKOZA")</f>
        <v>JOEL NAKOZA</v>
      </c>
      <c r="D2338" s="44">
        <f>IFERROR(__xludf.DUMMYFUNCTION("""COMPUTED_VALUE"""),47.0)</f>
        <v>47</v>
      </c>
      <c r="E2338" s="44" t="str">
        <f>IFERROR(__xludf.DUMMYFUNCTION("""COMPUTED_VALUE"""),"")</f>
        <v/>
      </c>
      <c r="F2338" s="44" t="str">
        <f>IFERROR(__xludf.DUMMYFUNCTION("""COMPUTED_VALUE"""),"")</f>
        <v/>
      </c>
      <c r="G2338" s="44" t="str">
        <f>IFERROR(__xludf.DUMMYFUNCTION("""COMPUTED_VALUE""")," ")</f>
        <v> </v>
      </c>
      <c r="H2338" s="44" t="str">
        <f>IFERROR(__xludf.DUMMYFUNCTION("""COMPUTED_VALUE"""),"Tanaguarena")</f>
        <v>Tanaguarena</v>
      </c>
      <c r="I2338" s="44" t="str">
        <f>IFERROR(__xludf.DUMMYFUNCTION("""COMPUTED_VALUE""")," ")</f>
        <v> </v>
      </c>
      <c r="J2338" s="44" t="str">
        <f>IFERROR(__xludf.DUMMYFUNCTION("""COMPUTED_VALUE"""),"")</f>
        <v/>
      </c>
      <c r="K2338" s="42" t="str">
        <f>IFERROR(__xludf.DUMMYFUNCTION("""COMPUTED_VALUE"""),"Seguro Social La Guaira")</f>
        <v>Seguro Social La Guaira</v>
      </c>
    </row>
    <row r="2339">
      <c r="A2339" s="44">
        <v>2338.0</v>
      </c>
      <c r="B2339" s="44" t="str">
        <f>IFERROR(__xludf.DUMMYFUNCTION("""COMPUTED_VALUE"""),"Campo de Golf Playa los Cocos")</f>
        <v>Campo de Golf Playa los Cocos</v>
      </c>
      <c r="C2339" s="45" t="str">
        <f>IFERROR(__xludf.DUMMYFUNCTION("""COMPUTED_VALUE"""),"Joel Ramos")</f>
        <v>Joel Ramos</v>
      </c>
      <c r="D2339" s="44" t="str">
        <f>IFERROR(__xludf.DUMMYFUNCTION("""COMPUTED_VALUE"""),"")</f>
        <v/>
      </c>
      <c r="E2339" s="44" t="str">
        <f>IFERROR(__xludf.DUMMYFUNCTION("""COMPUTED_VALUE"""),"")</f>
        <v/>
      </c>
      <c r="F2339" s="44" t="str">
        <f>IFERROR(__xludf.DUMMYFUNCTION("""COMPUTED_VALUE"""),"")</f>
        <v/>
      </c>
      <c r="G2339" s="44" t="str">
        <f>IFERROR(__xludf.DUMMYFUNCTION("""COMPUTED_VALUE"""),"")</f>
        <v/>
      </c>
      <c r="H2339" s="44" t="str">
        <f>IFERROR(__xludf.DUMMYFUNCTION("""COMPUTED_VALUE"""),"")</f>
        <v/>
      </c>
      <c r="I2339" s="44"/>
      <c r="J2339" s="44" t="str">
        <f>IFERROR(__xludf.DUMMYFUNCTION("""COMPUTED_VALUE"""),"")</f>
        <v/>
      </c>
      <c r="K2339" s="42" t="str">
        <f>IFERROR(__xludf.DUMMYFUNCTION("""COMPUTED_VALUE"""),"Campo de Golf Playa los Cocos")</f>
        <v>Campo de Golf Playa los Cocos</v>
      </c>
    </row>
    <row r="2340">
      <c r="A2340" s="44">
        <v>2339.0</v>
      </c>
      <c r="B2340" s="44" t="str">
        <f>IFERROR(__xludf.DUMMYFUNCTION("""COMPUTED_VALUE"""),"Campo de Golf Playa los Cocos")</f>
        <v>Campo de Golf Playa los Cocos</v>
      </c>
      <c r="C2340" s="45" t="str">
        <f>IFERROR(__xludf.DUMMYFUNCTION("""COMPUTED_VALUE"""),"Johalis Romero")</f>
        <v>Johalis Romero</v>
      </c>
      <c r="D2340" s="44" t="str">
        <f>IFERROR(__xludf.DUMMYFUNCTION("""COMPUTED_VALUE"""),"")</f>
        <v/>
      </c>
      <c r="E2340" s="44" t="str">
        <f>IFERROR(__xludf.DUMMYFUNCTION("""COMPUTED_VALUE"""),"")</f>
        <v/>
      </c>
      <c r="F2340" s="44" t="str">
        <f>IFERROR(__xludf.DUMMYFUNCTION("""COMPUTED_VALUE"""),"")</f>
        <v/>
      </c>
      <c r="G2340" s="44" t="str">
        <f>IFERROR(__xludf.DUMMYFUNCTION("""COMPUTED_VALUE"""),"")</f>
        <v/>
      </c>
      <c r="H2340" s="44" t="str">
        <f>IFERROR(__xludf.DUMMYFUNCTION("""COMPUTED_VALUE"""),"")</f>
        <v/>
      </c>
      <c r="I2340" s="44"/>
      <c r="J2340" s="44" t="str">
        <f>IFERROR(__xludf.DUMMYFUNCTION("""COMPUTED_VALUE"""),"")</f>
        <v/>
      </c>
      <c r="K2340" s="42" t="str">
        <f>IFERROR(__xludf.DUMMYFUNCTION("""COMPUTED_VALUE"""),"Campo de Golf Playa los Cocos")</f>
        <v>Campo de Golf Playa los Cocos</v>
      </c>
    </row>
    <row r="2341">
      <c r="A2341" s="44">
        <v>2340.0</v>
      </c>
      <c r="B2341" s="44" t="str">
        <f>IFERROR(__xludf.DUMMYFUNCTION("""COMPUTED_VALUE"""),"Hospital Domingo Luciani")</f>
        <v>Hospital Domingo Luciani</v>
      </c>
      <c r="C2341" s="45" t="str">
        <f>IFERROR(__xludf.DUMMYFUNCTION("""COMPUTED_VALUE"""),"Johan Martinez")</f>
        <v>Johan Martinez</v>
      </c>
      <c r="D2341" s="44">
        <f>IFERROR(__xludf.DUMMYFUNCTION("""COMPUTED_VALUE"""),16.0)</f>
        <v>16</v>
      </c>
      <c r="E2341" s="44" t="str">
        <f>IFERROR(__xludf.DUMMYFUNCTION("""COMPUTED_VALUE"""),"")</f>
        <v/>
      </c>
      <c r="F2341" s="44" t="str">
        <f>IFERROR(__xludf.DUMMYFUNCTION("""COMPUTED_VALUE"""),"")</f>
        <v/>
      </c>
      <c r="G2341" s="44"/>
      <c r="H2341" s="44"/>
      <c r="I2341" s="44"/>
      <c r="J2341" s="44" t="str">
        <f>IFERROR(__xludf.DUMMYFUNCTION("""COMPUTED_VALUE"""),"")</f>
        <v/>
      </c>
      <c r="K2341" s="42" t="str">
        <f>IFERROR(__xludf.DUMMYFUNCTION("""COMPUTED_VALUE"""),"Hospital Domingo Luciani")</f>
        <v>Hospital Domingo Luciani</v>
      </c>
    </row>
    <row r="2342">
      <c r="A2342" s="44">
        <v>2341.0</v>
      </c>
      <c r="B2342" s="44" t="str">
        <f>IFERROR(__xludf.DUMMYFUNCTION("""COMPUTED_VALUE"""),"Campo de Golf Playa los Cocos")</f>
        <v>Campo de Golf Playa los Cocos</v>
      </c>
      <c r="C2342" s="45" t="str">
        <f>IFERROR(__xludf.DUMMYFUNCTION("""COMPUTED_VALUE"""),"Johandry Sucre")</f>
        <v>Johandry Sucre</v>
      </c>
      <c r="D2342" s="44" t="str">
        <f>IFERROR(__xludf.DUMMYFUNCTION("""COMPUTED_VALUE"""),"")</f>
        <v/>
      </c>
      <c r="E2342" s="44" t="str">
        <f>IFERROR(__xludf.DUMMYFUNCTION("""COMPUTED_VALUE"""),"")</f>
        <v/>
      </c>
      <c r="F2342" s="44" t="str">
        <f>IFERROR(__xludf.DUMMYFUNCTION("""COMPUTED_VALUE"""),"")</f>
        <v/>
      </c>
      <c r="G2342" s="44" t="str">
        <f>IFERROR(__xludf.DUMMYFUNCTION("""COMPUTED_VALUE"""),"")</f>
        <v/>
      </c>
      <c r="H2342" s="44" t="str">
        <f>IFERROR(__xludf.DUMMYFUNCTION("""COMPUTED_VALUE"""),"")</f>
        <v/>
      </c>
      <c r="I2342" s="44"/>
      <c r="J2342" s="44" t="str">
        <f>IFERROR(__xludf.DUMMYFUNCTION("""COMPUTED_VALUE"""),"")</f>
        <v/>
      </c>
      <c r="K2342" s="42" t="str">
        <f>IFERROR(__xludf.DUMMYFUNCTION("""COMPUTED_VALUE"""),"Campo de Golf Playa los Cocos")</f>
        <v>Campo de Golf Playa los Cocos</v>
      </c>
    </row>
    <row r="2343">
      <c r="A2343" s="44">
        <v>2342.0</v>
      </c>
      <c r="B2343" s="44" t="str">
        <f>IFERROR(__xludf.DUMMYFUNCTION("""COMPUTED_VALUE"""),"Campo de Golf Playa los Cocos")</f>
        <v>Campo de Golf Playa los Cocos</v>
      </c>
      <c r="C2343" s="45" t="str">
        <f>IFERROR(__xludf.DUMMYFUNCTION("""COMPUTED_VALUE"""),"Johen Davila")</f>
        <v>Johen Davila</v>
      </c>
      <c r="D2343" s="44" t="str">
        <f>IFERROR(__xludf.DUMMYFUNCTION("""COMPUTED_VALUE"""),"")</f>
        <v/>
      </c>
      <c r="E2343" s="44" t="str">
        <f>IFERROR(__xludf.DUMMYFUNCTION("""COMPUTED_VALUE"""),"")</f>
        <v/>
      </c>
      <c r="F2343" s="44" t="str">
        <f>IFERROR(__xludf.DUMMYFUNCTION("""COMPUTED_VALUE"""),"")</f>
        <v/>
      </c>
      <c r="G2343" s="44" t="str">
        <f>IFERROR(__xludf.DUMMYFUNCTION("""COMPUTED_VALUE"""),"")</f>
        <v/>
      </c>
      <c r="H2343" s="44" t="str">
        <f>IFERROR(__xludf.DUMMYFUNCTION("""COMPUTED_VALUE"""),"")</f>
        <v/>
      </c>
      <c r="I2343" s="44" t="str">
        <f>IFERROR(__xludf.DUMMYFUNCTION("""COMPUTED_VALUE"""),"menor")</f>
        <v>menor</v>
      </c>
      <c r="J2343" s="44" t="str">
        <f>IFERROR(__xludf.DUMMYFUNCTION("""COMPUTED_VALUE"""),"")</f>
        <v/>
      </c>
      <c r="K2343" s="42" t="str">
        <f>IFERROR(__xludf.DUMMYFUNCTION("""COMPUTED_VALUE"""),"Campo de Golf Playa los Cocos")</f>
        <v>Campo de Golf Playa los Cocos</v>
      </c>
    </row>
    <row r="2344">
      <c r="A2344" s="44">
        <v>2343.0</v>
      </c>
      <c r="B2344" s="44" t="str">
        <f>IFERROR(__xludf.DUMMYFUNCTION("""COMPUTED_VALUE"""),"Hospital Domingo Luciani")</f>
        <v>Hospital Domingo Luciani</v>
      </c>
      <c r="C2344" s="45" t="str">
        <f>IFERROR(__xludf.DUMMYFUNCTION("""COMPUTED_VALUE"""),"JOIBER SILVA")</f>
        <v>JOIBER SILVA</v>
      </c>
      <c r="D2344" s="44">
        <f>IFERROR(__xludf.DUMMYFUNCTION("""COMPUTED_VALUE"""),7.0)</f>
        <v>7</v>
      </c>
      <c r="E2344" s="44" t="str">
        <f>IFERROR(__xludf.DUMMYFUNCTION("""COMPUTED_VALUE"""),"")</f>
        <v/>
      </c>
      <c r="F2344" s="44" t="str">
        <f>IFERROR(__xludf.DUMMYFUNCTION("""COMPUTED_VALUE"""),"")</f>
        <v/>
      </c>
      <c r="G2344" s="44" t="str">
        <f>IFERROR(__xludf.DUMMYFUNCTION("""COMPUTED_VALUE""")," ")</f>
        <v> </v>
      </c>
      <c r="H2344" s="44" t="str">
        <f>IFERROR(__xludf.DUMMYFUNCTION("""COMPUTED_VALUE"""),"La Guaira")</f>
        <v>La Guaira</v>
      </c>
      <c r="I2344" s="44" t="str">
        <f>IFERROR(__xludf.DUMMYFUNCTION("""COMPUTED_VALUE"""),"Pediatría")</f>
        <v>Pediatría</v>
      </c>
      <c r="J2344" s="44" t="str">
        <f>IFERROR(__xludf.DUMMYFUNCTION("""COMPUTED_VALUE"""),"")</f>
        <v/>
      </c>
      <c r="K2344" s="42" t="str">
        <f>IFERROR(__xludf.DUMMYFUNCTION("""COMPUTED_VALUE"""),"🔍 BUSCAR PACIENTES")</f>
        <v>🔍 BUSCAR PACIENTES</v>
      </c>
    </row>
    <row r="2345">
      <c r="A2345" s="44">
        <v>2344.0</v>
      </c>
      <c r="B2345" s="44" t="str">
        <f>IFERROR(__xludf.DUMMYFUNCTION("""COMPUTED_VALUE"""),"Hospital Pérez Carreño")</f>
        <v>Hospital Pérez Carreño</v>
      </c>
      <c r="C2345" s="45" t="str">
        <f>IFERROR(__xludf.DUMMYFUNCTION("""COMPUTED_VALUE"""),"Jokan West")</f>
        <v>Jokan West</v>
      </c>
      <c r="D2345" s="44"/>
      <c r="E2345" s="44" t="str">
        <f>IFERROR(__xludf.DUMMYFUNCTION("""COMPUTED_VALUE"""),"")</f>
        <v/>
      </c>
      <c r="F2345" s="44" t="str">
        <f>IFERROR(__xludf.DUMMYFUNCTION("""COMPUTED_VALUE"""),"")</f>
        <v/>
      </c>
      <c r="G2345" s="44" t="str">
        <f>IFERROR(__xludf.DUMMYFUNCTION("""COMPUTED_VALUE"""),"Traslados con destino asignado")</f>
        <v>Traslados con destino asignado</v>
      </c>
      <c r="H2345" s="44" t="str">
        <f>IFERROR(__xludf.DUMMYFUNCTION("""COMPUTED_VALUE"""),"Hospital Miguel Perez Carreño")</f>
        <v>Hospital Miguel Perez Carreño</v>
      </c>
      <c r="I2345" s="44"/>
      <c r="J2345" s="44" t="str">
        <f>IFERROR(__xludf.DUMMYFUNCTION("""COMPUTED_VALUE"""),"26/6/26")</f>
        <v>26/6/26</v>
      </c>
      <c r="K2345" s="42" t="str">
        <f>IFERROR(__xludf.DUMMYFUNCTION("""COMPUTED_VALUE"""),"Hospital Pérez Carreño")</f>
        <v>Hospital Pérez Carreño</v>
      </c>
    </row>
    <row r="2346">
      <c r="A2346" s="44">
        <v>2345.0</v>
      </c>
      <c r="B2346" s="44" t="str">
        <f>IFERROR(__xludf.DUMMYFUNCTION("""COMPUTED_VALUE"""),"Campo de Golf Playa los Cocos")</f>
        <v>Campo de Golf Playa los Cocos</v>
      </c>
      <c r="C2346" s="45" t="str">
        <f>IFERROR(__xludf.DUMMYFUNCTION("""COMPUTED_VALUE"""),"Jonailfer Zerpa")</f>
        <v>Jonailfer Zerpa</v>
      </c>
      <c r="D2346" s="44" t="str">
        <f>IFERROR(__xludf.DUMMYFUNCTION("""COMPUTED_VALUE"""),"")</f>
        <v/>
      </c>
      <c r="E2346" s="44" t="str">
        <f>IFERROR(__xludf.DUMMYFUNCTION("""COMPUTED_VALUE"""),"")</f>
        <v/>
      </c>
      <c r="F2346" s="44" t="str">
        <f>IFERROR(__xludf.DUMMYFUNCTION("""COMPUTED_VALUE"""),"")</f>
        <v/>
      </c>
      <c r="G2346" s="44" t="str">
        <f>IFERROR(__xludf.DUMMYFUNCTION("""COMPUTED_VALUE"""),"")</f>
        <v/>
      </c>
      <c r="H2346" s="44" t="str">
        <f>IFERROR(__xludf.DUMMYFUNCTION("""COMPUTED_VALUE"""),"")</f>
        <v/>
      </c>
      <c r="I2346" s="44"/>
      <c r="J2346" s="44" t="str">
        <f>IFERROR(__xludf.DUMMYFUNCTION("""COMPUTED_VALUE"""),"")</f>
        <v/>
      </c>
      <c r="K2346" s="42" t="str">
        <f>IFERROR(__xludf.DUMMYFUNCTION("""COMPUTED_VALUE"""),"Campo de Golf Playa los Cocos")</f>
        <v>Campo de Golf Playa los Cocos</v>
      </c>
    </row>
    <row r="2347">
      <c r="A2347" s="44">
        <v>2346.0</v>
      </c>
      <c r="B2347" s="44" t="str">
        <f>IFERROR(__xludf.DUMMYFUNCTION("""COMPUTED_VALUE"""),"Seguro Social La Guaira")</f>
        <v>Seguro Social La Guaira</v>
      </c>
      <c r="C2347" s="45" t="str">
        <f>IFERROR(__xludf.DUMMYFUNCTION("""COMPUTED_VALUE"""),"JONATAN ROMERO")</f>
        <v>JONATAN ROMERO</v>
      </c>
      <c r="D2347" s="44">
        <f>IFERROR(__xludf.DUMMYFUNCTION("""COMPUTED_VALUE"""),95.0)</f>
        <v>95</v>
      </c>
      <c r="E2347" s="44" t="str">
        <f>IFERROR(__xludf.DUMMYFUNCTION("""COMPUTED_VALUE"""),"")</f>
        <v/>
      </c>
      <c r="F2347" s="44" t="str">
        <f>IFERROR(__xludf.DUMMYFUNCTION("""COMPUTED_VALUE"""),"")</f>
        <v/>
      </c>
      <c r="G2347" s="44" t="str">
        <f>IFERROR(__xludf.DUMMYFUNCTION("""COMPUTED_VALUE""")," ")</f>
        <v> </v>
      </c>
      <c r="H2347" s="44" t="str">
        <f>IFERROR(__xludf.DUMMYFUNCTION("""COMPUTED_VALUE"""),"Caribe")</f>
        <v>Caribe</v>
      </c>
      <c r="I2347" s="44" t="str">
        <f>IFERROR(__xludf.DUMMYFUNCTION("""COMPUTED_VALUE""")," ")</f>
        <v> </v>
      </c>
      <c r="J2347" s="44" t="str">
        <f>IFERROR(__xludf.DUMMYFUNCTION("""COMPUTED_VALUE"""),"")</f>
        <v/>
      </c>
      <c r="K2347" s="42" t="str">
        <f>IFERROR(__xludf.DUMMYFUNCTION("""COMPUTED_VALUE"""),"Seguro Social La Guaira")</f>
        <v>Seguro Social La Guaira</v>
      </c>
    </row>
    <row r="2348">
      <c r="A2348" s="44">
        <v>2347.0</v>
      </c>
      <c r="B2348" s="44" t="str">
        <f>IFERROR(__xludf.DUMMYFUNCTION("""COMPUTED_VALUE"""),"Campo de Golf Playa los Cocos")</f>
        <v>Campo de Golf Playa los Cocos</v>
      </c>
      <c r="C2348" s="45" t="str">
        <f>IFERROR(__xludf.DUMMYFUNCTION("""COMPUTED_VALUE"""),"Jonny Aparicio")</f>
        <v>Jonny Aparicio</v>
      </c>
      <c r="D2348" s="44" t="str">
        <f>IFERROR(__xludf.DUMMYFUNCTION("""COMPUTED_VALUE"""),"")</f>
        <v/>
      </c>
      <c r="E2348" s="44" t="str">
        <f>IFERROR(__xludf.DUMMYFUNCTION("""COMPUTED_VALUE"""),"")</f>
        <v/>
      </c>
      <c r="F2348" s="44" t="str">
        <f>IFERROR(__xludf.DUMMYFUNCTION("""COMPUTED_VALUE"""),"")</f>
        <v/>
      </c>
      <c r="G2348" s="44" t="str">
        <f>IFERROR(__xludf.DUMMYFUNCTION("""COMPUTED_VALUE"""),"")</f>
        <v/>
      </c>
      <c r="H2348" s="44" t="str">
        <f>IFERROR(__xludf.DUMMYFUNCTION("""COMPUTED_VALUE"""),"")</f>
        <v/>
      </c>
      <c r="I2348" s="44"/>
      <c r="J2348" s="44" t="str">
        <f>IFERROR(__xludf.DUMMYFUNCTION("""COMPUTED_VALUE"""),"")</f>
        <v/>
      </c>
      <c r="K2348" s="42" t="str">
        <f>IFERROR(__xludf.DUMMYFUNCTION("""COMPUTED_VALUE"""),"Campo de Golf Playa los Cocos")</f>
        <v>Campo de Golf Playa los Cocos</v>
      </c>
    </row>
    <row r="2349">
      <c r="A2349" s="44">
        <v>2348.0</v>
      </c>
      <c r="B2349" s="44" t="str">
        <f>IFERROR(__xludf.DUMMYFUNCTION("""COMPUTED_VALUE"""),"Campo de Golf Playa los Cocos")</f>
        <v>Campo de Golf Playa los Cocos</v>
      </c>
      <c r="C2349" s="45" t="str">
        <f>IFERROR(__xludf.DUMMYFUNCTION("""COMPUTED_VALUE"""),"Jorge Delgado")</f>
        <v>Jorge Delgado</v>
      </c>
      <c r="D2349" s="44" t="str">
        <f>IFERROR(__xludf.DUMMYFUNCTION("""COMPUTED_VALUE"""),"")</f>
        <v/>
      </c>
      <c r="E2349" s="44" t="str">
        <f>IFERROR(__xludf.DUMMYFUNCTION("""COMPUTED_VALUE"""),"")</f>
        <v/>
      </c>
      <c r="F2349" s="44" t="str">
        <f>IFERROR(__xludf.DUMMYFUNCTION("""COMPUTED_VALUE"""),"")</f>
        <v/>
      </c>
      <c r="G2349" s="44" t="str">
        <f>IFERROR(__xludf.DUMMYFUNCTION("""COMPUTED_VALUE"""),"")</f>
        <v/>
      </c>
      <c r="H2349" s="44" t="str">
        <f>IFERROR(__xludf.DUMMYFUNCTION("""COMPUTED_VALUE"""),"")</f>
        <v/>
      </c>
      <c r="I2349" s="44"/>
      <c r="J2349" s="44" t="str">
        <f>IFERROR(__xludf.DUMMYFUNCTION("""COMPUTED_VALUE"""),"")</f>
        <v/>
      </c>
      <c r="K2349" s="42" t="str">
        <f>IFERROR(__xludf.DUMMYFUNCTION("""COMPUTED_VALUE"""),"Campo de Golf Playa los Cocos")</f>
        <v>Campo de Golf Playa los Cocos</v>
      </c>
    </row>
    <row r="2350">
      <c r="A2350" s="44">
        <v>2349.0</v>
      </c>
      <c r="B2350" s="44" t="str">
        <f>IFERROR(__xludf.DUMMYFUNCTION("""COMPUTED_VALUE"""),"Hospital Pérez Carreño")</f>
        <v>Hospital Pérez Carreño</v>
      </c>
      <c r="C2350" s="45" t="str">
        <f>IFERROR(__xludf.DUMMYFUNCTION("""COMPUTED_VALUE"""),"JOSCAR PETIT")</f>
        <v>JOSCAR PETIT</v>
      </c>
      <c r="D2350" s="44" t="str">
        <f>IFERROR(__xludf.DUMMYFUNCTION("""COMPUTED_VALUE""")," ")</f>
        <v> </v>
      </c>
      <c r="E2350" s="44" t="str">
        <f>IFERROR(__xludf.DUMMYFUNCTION("""COMPUTED_VALUE"""),"")</f>
        <v/>
      </c>
      <c r="F2350" s="44" t="str">
        <f>IFERROR(__xludf.DUMMYFUNCTION("""COMPUTED_VALUE"""),"")</f>
        <v/>
      </c>
      <c r="G2350" s="44" t="str">
        <f>IFERROR(__xludf.DUMMYFUNCTION("""COMPUTED_VALUE""")," ")</f>
        <v> </v>
      </c>
      <c r="H2350" s="44" t="str">
        <f>IFERROR(__xludf.DUMMYFUNCTION("""COMPUTED_VALUE""")," ")</f>
        <v> </v>
      </c>
      <c r="I2350" s="44" t="str">
        <f>IFERROR(__xludf.DUMMYFUNCTION("""COMPUTED_VALUE"""),"Internado")</f>
        <v>Internado</v>
      </c>
      <c r="J2350" s="44" t="str">
        <f>IFERROR(__xludf.DUMMYFUNCTION("""COMPUTED_VALUE"""),"25/06/2026")</f>
        <v>25/06/2026</v>
      </c>
      <c r="K2350" s="42" t="str">
        <f>IFERROR(__xludf.DUMMYFUNCTION("""COMPUTED_VALUE"""),"Hospital Pérez Carreño")</f>
        <v>Hospital Pérez Carreño</v>
      </c>
    </row>
    <row r="2351">
      <c r="A2351" s="44">
        <v>2350.0</v>
      </c>
      <c r="B2351" s="44" t="str">
        <f>IFERROR(__xludf.DUMMYFUNCTION("""COMPUTED_VALUE"""),"Campo de Golf Playa los Cocos")</f>
        <v>Campo de Golf Playa los Cocos</v>
      </c>
      <c r="C2351" s="45" t="str">
        <f>IFERROR(__xludf.DUMMYFUNCTION("""COMPUTED_VALUE"""),"Jose A. Rodriguez")</f>
        <v>Jose A. Rodriguez</v>
      </c>
      <c r="D2351" s="44" t="str">
        <f>IFERROR(__xludf.DUMMYFUNCTION("""COMPUTED_VALUE"""),"")</f>
        <v/>
      </c>
      <c r="E2351" s="44" t="str">
        <f>IFERROR(__xludf.DUMMYFUNCTION("""COMPUTED_VALUE"""),"")</f>
        <v/>
      </c>
      <c r="F2351" s="44" t="str">
        <f>IFERROR(__xludf.DUMMYFUNCTION("""COMPUTED_VALUE"""),"")</f>
        <v/>
      </c>
      <c r="G2351" s="44" t="str">
        <f>IFERROR(__xludf.DUMMYFUNCTION("""COMPUTED_VALUE"""),"")</f>
        <v/>
      </c>
      <c r="H2351" s="44" t="str">
        <f>IFERROR(__xludf.DUMMYFUNCTION("""COMPUTED_VALUE"""),"")</f>
        <v/>
      </c>
      <c r="I2351" s="44" t="str">
        <f>IFERROR(__xludf.DUMMYFUNCTION("""COMPUTED_VALUE"""),"menor")</f>
        <v>menor</v>
      </c>
      <c r="J2351" s="44" t="str">
        <f>IFERROR(__xludf.DUMMYFUNCTION("""COMPUTED_VALUE"""),"")</f>
        <v/>
      </c>
      <c r="K2351" s="42" t="str">
        <f>IFERROR(__xludf.DUMMYFUNCTION("""COMPUTED_VALUE"""),"Campo de Golf Playa los Cocos")</f>
        <v>Campo de Golf Playa los Cocos</v>
      </c>
    </row>
    <row r="2352">
      <c r="A2352" s="44">
        <v>2351.0</v>
      </c>
      <c r="B2352" s="44" t="str">
        <f>IFERROR(__xludf.DUMMYFUNCTION("""COMPUTED_VALUE"""),"Campo de Golf Playa los Cocos")</f>
        <v>Campo de Golf Playa los Cocos</v>
      </c>
      <c r="C2352" s="45" t="str">
        <f>IFERROR(__xludf.DUMMYFUNCTION("""COMPUTED_VALUE"""),"Jose Araque")</f>
        <v>Jose Araque</v>
      </c>
      <c r="D2352" s="44" t="str">
        <f>IFERROR(__xludf.DUMMYFUNCTION("""COMPUTED_VALUE"""),"")</f>
        <v/>
      </c>
      <c r="E2352" s="44" t="str">
        <f>IFERROR(__xludf.DUMMYFUNCTION("""COMPUTED_VALUE"""),"")</f>
        <v/>
      </c>
      <c r="F2352" s="44" t="str">
        <f>IFERROR(__xludf.DUMMYFUNCTION("""COMPUTED_VALUE"""),"")</f>
        <v/>
      </c>
      <c r="G2352" s="44" t="str">
        <f>IFERROR(__xludf.DUMMYFUNCTION("""COMPUTED_VALUE"""),"")</f>
        <v/>
      </c>
      <c r="H2352" s="44" t="str">
        <f>IFERROR(__xludf.DUMMYFUNCTION("""COMPUTED_VALUE"""),"")</f>
        <v/>
      </c>
      <c r="I2352" s="44"/>
      <c r="J2352" s="44" t="str">
        <f>IFERROR(__xludf.DUMMYFUNCTION("""COMPUTED_VALUE"""),"")</f>
        <v/>
      </c>
      <c r="K2352" s="42" t="str">
        <f>IFERROR(__xludf.DUMMYFUNCTION("""COMPUTED_VALUE"""),"Campo de Golf Playa los Cocos")</f>
        <v>Campo de Golf Playa los Cocos</v>
      </c>
    </row>
    <row r="2353">
      <c r="A2353" s="44">
        <v>2352.0</v>
      </c>
      <c r="B2353" s="44" t="str">
        <f>IFERROR(__xludf.DUMMYFUNCTION("""COMPUTED_VALUE"""),"Periférico de Catia")</f>
        <v>Periférico de Catia</v>
      </c>
      <c r="C2353" s="45" t="str">
        <f>IFERROR(__xludf.DUMMYFUNCTION("""COMPUTED_VALUE"""),"JOSE COFFAIR")</f>
        <v>JOSE COFFAIR</v>
      </c>
      <c r="D2353" s="44">
        <f>IFERROR(__xludf.DUMMYFUNCTION("""COMPUTED_VALUE"""),69.0)</f>
        <v>69</v>
      </c>
      <c r="E2353" s="44" t="str">
        <f>IFERROR(__xludf.DUMMYFUNCTION("""COMPUTED_VALUE"""),"")</f>
        <v/>
      </c>
      <c r="F2353" s="44" t="str">
        <f>IFERROR(__xludf.DUMMYFUNCTION("""COMPUTED_VALUE"""),"")</f>
        <v/>
      </c>
      <c r="G2353" s="44" t="str">
        <f>IFERROR(__xludf.DUMMYFUNCTION("""COMPUTED_VALUE""")," ")</f>
        <v> </v>
      </c>
      <c r="H2353" s="44" t="str">
        <f>IFERROR(__xludf.DUMMYFUNCTION("""COMPUTED_VALUE""")," ")</f>
        <v> </v>
      </c>
      <c r="I2353" s="44" t="str">
        <f>IFERROR(__xludf.DUMMYFUNCTION("""COMPUTED_VALUE"""),"Prepa")</f>
        <v>Prepa</v>
      </c>
      <c r="J2353" s="44" t="str">
        <f>IFERROR(__xludf.DUMMYFUNCTION("""COMPUTED_VALUE"""),"")</f>
        <v/>
      </c>
      <c r="K2353" s="42" t="str">
        <f>IFERROR(__xludf.DUMMYFUNCTION("""COMPUTED_VALUE"""),"Periférico de Catia")</f>
        <v>Periférico de Catia</v>
      </c>
    </row>
    <row r="2354">
      <c r="A2354" s="44">
        <v>2353.0</v>
      </c>
      <c r="B2354" s="44" t="str">
        <f>IFERROR(__xludf.DUMMYFUNCTION("""COMPUTED_VALUE"""),"Periférico de Catia")</f>
        <v>Periférico de Catia</v>
      </c>
      <c r="C2354" s="45" t="str">
        <f>IFERROR(__xludf.DUMMYFUNCTION("""COMPUTED_VALUE"""),"JOSE CORDERO")</f>
        <v>JOSE CORDERO</v>
      </c>
      <c r="D2354" s="44">
        <f>IFERROR(__xludf.DUMMYFUNCTION("""COMPUTED_VALUE"""),28.0)</f>
        <v>28</v>
      </c>
      <c r="E2354" s="44" t="str">
        <f>IFERROR(__xludf.DUMMYFUNCTION("""COMPUTED_VALUE"""),"")</f>
        <v/>
      </c>
      <c r="F2354" s="44" t="str">
        <f>IFERROR(__xludf.DUMMYFUNCTION("""COMPUTED_VALUE"""),"")</f>
        <v/>
      </c>
      <c r="G2354" s="44" t="str">
        <f>IFERROR(__xludf.DUMMYFUNCTION("""COMPUTED_VALUE""")," ")</f>
        <v> </v>
      </c>
      <c r="H2354" s="44" t="str">
        <f>IFERROR(__xludf.DUMMYFUNCTION("""COMPUTED_VALUE"""),"Alta Vista + RAN")</f>
        <v>Alta Vista + RAN</v>
      </c>
      <c r="I2354" s="44" t="str">
        <f>IFERROR(__xludf.DUMMYFUNCTION("""COMPUTED_VALUE"""),"TRM")</f>
        <v>TRM</v>
      </c>
      <c r="J2354" s="44" t="str">
        <f>IFERROR(__xludf.DUMMYFUNCTION("""COMPUTED_VALUE"""),"")</f>
        <v/>
      </c>
      <c r="K2354" s="42" t="str">
        <f>IFERROR(__xludf.DUMMYFUNCTION("""COMPUTED_VALUE"""),"Periférico de Catia")</f>
        <v>Periférico de Catia</v>
      </c>
    </row>
    <row r="2355">
      <c r="A2355" s="44">
        <v>2354.0</v>
      </c>
      <c r="B2355" s="44" t="str">
        <f>IFERROR(__xludf.DUMMYFUNCTION("""COMPUTED_VALUE"""),"Campo de Golf Playa los Cocos")</f>
        <v>Campo de Golf Playa los Cocos</v>
      </c>
      <c r="C2355" s="45" t="str">
        <f>IFERROR(__xludf.DUMMYFUNCTION("""COMPUTED_VALUE"""),"Jose G. Rodriguez")</f>
        <v>Jose G. Rodriguez</v>
      </c>
      <c r="D2355" s="44" t="str">
        <f>IFERROR(__xludf.DUMMYFUNCTION("""COMPUTED_VALUE"""),"")</f>
        <v/>
      </c>
      <c r="E2355" s="44" t="str">
        <f>IFERROR(__xludf.DUMMYFUNCTION("""COMPUTED_VALUE"""),"")</f>
        <v/>
      </c>
      <c r="F2355" s="44" t="str">
        <f>IFERROR(__xludf.DUMMYFUNCTION("""COMPUTED_VALUE"""),"")</f>
        <v/>
      </c>
      <c r="G2355" s="44" t="str">
        <f>IFERROR(__xludf.DUMMYFUNCTION("""COMPUTED_VALUE"""),"")</f>
        <v/>
      </c>
      <c r="H2355" s="44" t="str">
        <f>IFERROR(__xludf.DUMMYFUNCTION("""COMPUTED_VALUE"""),"")</f>
        <v/>
      </c>
      <c r="I2355" s="44" t="str">
        <f>IFERROR(__xludf.DUMMYFUNCTION("""COMPUTED_VALUE"""),"menor")</f>
        <v>menor</v>
      </c>
      <c r="J2355" s="44" t="str">
        <f>IFERROR(__xludf.DUMMYFUNCTION("""COMPUTED_VALUE"""),"")</f>
        <v/>
      </c>
      <c r="K2355" s="42" t="str">
        <f>IFERROR(__xludf.DUMMYFUNCTION("""COMPUTED_VALUE"""),"Campo de Golf Playa los Cocos")</f>
        <v>Campo de Golf Playa los Cocos</v>
      </c>
    </row>
    <row r="2356">
      <c r="A2356" s="44">
        <v>2355.0</v>
      </c>
      <c r="B2356" s="44" t="str">
        <f>IFERROR(__xludf.DUMMYFUNCTION("""COMPUTED_VALUE"""),"Campo de Golf Playa los Cocos")</f>
        <v>Campo de Golf Playa los Cocos</v>
      </c>
      <c r="C2356" s="45" t="str">
        <f>IFERROR(__xludf.DUMMYFUNCTION("""COMPUTED_VALUE"""),"Jose Gregorio Ca.")</f>
        <v>Jose Gregorio Ca.</v>
      </c>
      <c r="D2356" s="44" t="str">
        <f>IFERROR(__xludf.DUMMYFUNCTION("""COMPUTED_VALUE"""),"")</f>
        <v/>
      </c>
      <c r="E2356" s="44" t="str">
        <f>IFERROR(__xludf.DUMMYFUNCTION("""COMPUTED_VALUE"""),"")</f>
        <v/>
      </c>
      <c r="F2356" s="44" t="str">
        <f>IFERROR(__xludf.DUMMYFUNCTION("""COMPUTED_VALUE"""),"")</f>
        <v/>
      </c>
      <c r="G2356" s="44" t="str">
        <f>IFERROR(__xludf.DUMMYFUNCTION("""COMPUTED_VALUE"""),"")</f>
        <v/>
      </c>
      <c r="H2356" s="44" t="str">
        <f>IFERROR(__xludf.DUMMYFUNCTION("""COMPUTED_VALUE"""),"")</f>
        <v/>
      </c>
      <c r="I2356" s="44"/>
      <c r="J2356" s="44" t="str">
        <f>IFERROR(__xludf.DUMMYFUNCTION("""COMPUTED_VALUE"""),"")</f>
        <v/>
      </c>
      <c r="K2356" s="42" t="str">
        <f>IFERROR(__xludf.DUMMYFUNCTION("""COMPUTED_VALUE"""),"Campo de Golf Playa los Cocos")</f>
        <v>Campo de Golf Playa los Cocos</v>
      </c>
    </row>
    <row r="2357">
      <c r="A2357" s="44">
        <v>2356.0</v>
      </c>
      <c r="B2357" s="44" t="str">
        <f>IFERROR(__xludf.DUMMYFUNCTION("""COMPUTED_VALUE"""),"Hospital Pérez Carreño")</f>
        <v>Hospital Pérez Carreño</v>
      </c>
      <c r="C2357" s="45" t="str">
        <f>IFERROR(__xludf.DUMMYFUNCTION("""COMPUTED_VALUE"""),"Jose Luis Sosa")</f>
        <v>Jose Luis Sosa</v>
      </c>
      <c r="D2357" s="44"/>
      <c r="E2357" s="44" t="str">
        <f>IFERROR(__xludf.DUMMYFUNCTION("""COMPUTED_VALUE"""),"")</f>
        <v/>
      </c>
      <c r="F2357" s="44" t="str">
        <f>IFERROR(__xludf.DUMMYFUNCTION("""COMPUTED_VALUE"""),"")</f>
        <v/>
      </c>
      <c r="G2357" s="44" t="str">
        <f>IFERROR(__xludf.DUMMYFUNCTION("""COMPUTED_VALUE"""),"Traumashock ")</f>
        <v>Traumashock </v>
      </c>
      <c r="H2357" s="44" t="str">
        <f>IFERROR(__xludf.DUMMYFUNCTION("""COMPUTED_VALUE"""),"Hospital Miguel Perez Carreño")</f>
        <v>Hospital Miguel Perez Carreño</v>
      </c>
      <c r="I2357" s="44"/>
      <c r="J2357" s="44" t="str">
        <f>IFERROR(__xludf.DUMMYFUNCTION("""COMPUTED_VALUE"""),"26/6/26")</f>
        <v>26/6/26</v>
      </c>
      <c r="K2357" s="42" t="str">
        <f>IFERROR(__xludf.DUMMYFUNCTION("""COMPUTED_VALUE"""),"Hospital Pérez Carreño")</f>
        <v>Hospital Pérez Carreño</v>
      </c>
    </row>
    <row r="2358">
      <c r="A2358" s="44">
        <v>2357.0</v>
      </c>
      <c r="B2358" s="44" t="str">
        <f>IFERROR(__xludf.DUMMYFUNCTION("""COMPUTED_VALUE"""),"Campo de Golf Playa los Cocos")</f>
        <v>Campo de Golf Playa los Cocos</v>
      </c>
      <c r="C2358" s="45" t="str">
        <f>IFERROR(__xludf.DUMMYFUNCTION("""COMPUTED_VALUE"""),"Jose Perez")</f>
        <v>Jose Perez</v>
      </c>
      <c r="D2358" s="44" t="str">
        <f>IFERROR(__xludf.DUMMYFUNCTION("""COMPUTED_VALUE"""),"")</f>
        <v/>
      </c>
      <c r="E2358" s="44" t="str">
        <f>IFERROR(__xludf.DUMMYFUNCTION("""COMPUTED_VALUE"""),"")</f>
        <v/>
      </c>
      <c r="F2358" s="44" t="str">
        <f>IFERROR(__xludf.DUMMYFUNCTION("""COMPUTED_VALUE"""),"")</f>
        <v/>
      </c>
      <c r="G2358" s="44" t="str">
        <f>IFERROR(__xludf.DUMMYFUNCTION("""COMPUTED_VALUE"""),"")</f>
        <v/>
      </c>
      <c r="H2358" s="44" t="str">
        <f>IFERROR(__xludf.DUMMYFUNCTION("""COMPUTED_VALUE"""),"")</f>
        <v/>
      </c>
      <c r="I2358" s="44"/>
      <c r="J2358" s="44" t="str">
        <f>IFERROR(__xludf.DUMMYFUNCTION("""COMPUTED_VALUE"""),"")</f>
        <v/>
      </c>
      <c r="K2358" s="42" t="str">
        <f>IFERROR(__xludf.DUMMYFUNCTION("""COMPUTED_VALUE"""),"Campo de Golf Playa los Cocos")</f>
        <v>Campo de Golf Playa los Cocos</v>
      </c>
    </row>
    <row r="2359">
      <c r="A2359" s="44">
        <v>2358.0</v>
      </c>
      <c r="B2359" s="44" t="str">
        <f>IFERROR(__xludf.DUMMYFUNCTION("""COMPUTED_VALUE"""),"Hospital Domingo Luciani")</f>
        <v>Hospital Domingo Luciani</v>
      </c>
      <c r="C2359" s="45" t="str">
        <f>IFERROR(__xludf.DUMMYFUNCTION("""COMPUTED_VALUE"""),"José Ramires")</f>
        <v>José Ramires</v>
      </c>
      <c r="D2359" s="44">
        <f>IFERROR(__xludf.DUMMYFUNCTION("""COMPUTED_VALUE"""),0.0)</f>
        <v>0</v>
      </c>
      <c r="E2359" s="44" t="str">
        <f>IFERROR(__xludf.DUMMYFUNCTION("""COMPUTED_VALUE"""),"")</f>
        <v/>
      </c>
      <c r="F2359" s="44" t="str">
        <f>IFERROR(__xludf.DUMMYFUNCTION("""COMPUTED_VALUE"""),"")</f>
        <v/>
      </c>
      <c r="G2359" s="44"/>
      <c r="H2359" s="44"/>
      <c r="I2359" s="44"/>
      <c r="J2359" s="44" t="str">
        <f>IFERROR(__xludf.DUMMYFUNCTION("""COMPUTED_VALUE"""),"")</f>
        <v/>
      </c>
      <c r="K2359" s="42" t="str">
        <f>IFERROR(__xludf.DUMMYFUNCTION("""COMPUTED_VALUE"""),"Hospital Domingo Luciani")</f>
        <v>Hospital Domingo Luciani</v>
      </c>
    </row>
    <row r="2360">
      <c r="A2360" s="44">
        <v>2359.0</v>
      </c>
      <c r="B2360" s="44" t="str">
        <f>IFERROR(__xludf.DUMMYFUNCTION("""COMPUTED_VALUE"""),"Periférico de Catia")</f>
        <v>Periférico de Catia</v>
      </c>
      <c r="C2360" s="45" t="str">
        <f>IFERROR(__xludf.DUMMYFUNCTION("""COMPUTED_VALUE"""),"Jose Ramirez")</f>
        <v>Jose Ramirez</v>
      </c>
      <c r="D2360" s="44"/>
      <c r="E2360" s="44" t="str">
        <f>IFERROR(__xludf.DUMMYFUNCTION("""COMPUTED_VALUE"""),"")</f>
        <v/>
      </c>
      <c r="F2360" s="44" t="str">
        <f>IFERROR(__xludf.DUMMYFUNCTION("""COMPUTED_VALUE"""),"")</f>
        <v/>
      </c>
      <c r="G2360" s="44"/>
      <c r="H2360" s="44"/>
      <c r="I2360" s="44" t="str">
        <f>IFERROR(__xludf.DUMMYFUNCTION("""COMPUTED_VALUE"""),"Politrauma (pizarra con anotaciones de ubicacion/estudio: Piso, Rx, Triaje, Trauma)")</f>
        <v>Politrauma (pizarra con anotaciones de ubicacion/estudio: Piso, Rx, Triaje, Trauma)</v>
      </c>
      <c r="J2360" s="44" t="str">
        <f>IFERROR(__xludf.DUMMYFUNCTION("""COMPUTED_VALUE"""),"")</f>
        <v/>
      </c>
      <c r="K2360" s="42" t="str">
        <f>IFERROR(__xludf.DUMMYFUNCTION("""COMPUTED_VALUE"""),"Periférico de Catia")</f>
        <v>Periférico de Catia</v>
      </c>
    </row>
    <row r="2361">
      <c r="A2361" s="44">
        <v>2360.0</v>
      </c>
      <c r="B2361" s="44" t="str">
        <f>IFERROR(__xludf.DUMMYFUNCTION("""COMPUTED_VALUE"""),"Hospital Domingo Luciani")</f>
        <v>Hospital Domingo Luciani</v>
      </c>
      <c r="C2361" s="45" t="str">
        <f>IFERROR(__xludf.DUMMYFUNCTION("""COMPUTED_VALUE"""),"José Ramirez")</f>
        <v>José Ramirez</v>
      </c>
      <c r="D2361" s="44">
        <f>IFERROR(__xludf.DUMMYFUNCTION("""COMPUTED_VALUE"""),37.0)</f>
        <v>37</v>
      </c>
      <c r="E2361" s="44" t="str">
        <f>IFERROR(__xludf.DUMMYFUNCTION("""COMPUTED_VALUE"""),"")</f>
        <v/>
      </c>
      <c r="F2361" s="44" t="str">
        <f>IFERROR(__xludf.DUMMYFUNCTION("""COMPUTED_VALUE"""),"")</f>
        <v/>
      </c>
      <c r="G2361" s="44"/>
      <c r="H2361" s="44"/>
      <c r="I2361" s="44"/>
      <c r="J2361" s="44" t="str">
        <f>IFERROR(__xludf.DUMMYFUNCTION("""COMPUTED_VALUE"""),"")</f>
        <v/>
      </c>
      <c r="K2361" s="42" t="str">
        <f>IFERROR(__xludf.DUMMYFUNCTION("""COMPUTED_VALUE"""),"Hospital Domingo Luciani")</f>
        <v>Hospital Domingo Luciani</v>
      </c>
    </row>
    <row r="2362">
      <c r="A2362" s="44">
        <v>2361.0</v>
      </c>
      <c r="B2362" s="44" t="str">
        <f>IFERROR(__xludf.DUMMYFUNCTION("""COMPUTED_VALUE"""),"Campo de Golf Playa los Cocos")</f>
        <v>Campo de Golf Playa los Cocos</v>
      </c>
      <c r="C2362" s="45" t="str">
        <f>IFERROR(__xludf.DUMMYFUNCTION("""COMPUTED_VALUE"""),"Jose Renott")</f>
        <v>Jose Renott</v>
      </c>
      <c r="D2362" s="44" t="str">
        <f>IFERROR(__xludf.DUMMYFUNCTION("""COMPUTED_VALUE"""),"")</f>
        <v/>
      </c>
      <c r="E2362" s="44" t="str">
        <f>IFERROR(__xludf.DUMMYFUNCTION("""COMPUTED_VALUE"""),"")</f>
        <v/>
      </c>
      <c r="F2362" s="44" t="str">
        <f>IFERROR(__xludf.DUMMYFUNCTION("""COMPUTED_VALUE"""),"")</f>
        <v/>
      </c>
      <c r="G2362" s="44" t="str">
        <f>IFERROR(__xludf.DUMMYFUNCTION("""COMPUTED_VALUE"""),"")</f>
        <v/>
      </c>
      <c r="H2362" s="44" t="str">
        <f>IFERROR(__xludf.DUMMYFUNCTION("""COMPUTED_VALUE"""),"")</f>
        <v/>
      </c>
      <c r="I2362" s="44"/>
      <c r="J2362" s="44" t="str">
        <f>IFERROR(__xludf.DUMMYFUNCTION("""COMPUTED_VALUE"""),"")</f>
        <v/>
      </c>
      <c r="K2362" s="42" t="str">
        <f>IFERROR(__xludf.DUMMYFUNCTION("""COMPUTED_VALUE"""),"Campo de Golf Playa los Cocos")</f>
        <v>Campo de Golf Playa los Cocos</v>
      </c>
    </row>
    <row r="2363">
      <c r="A2363" s="44">
        <v>2362.0</v>
      </c>
      <c r="B2363" s="44" t="str">
        <f>IFERROR(__xludf.DUMMYFUNCTION("""COMPUTED_VALUE"""),"Campo de Golf Playa los Cocos")</f>
        <v>Campo de Golf Playa los Cocos</v>
      </c>
      <c r="C2363" s="45" t="str">
        <f>IFERROR(__xludf.DUMMYFUNCTION("""COMPUTED_VALUE"""),"Jose Rodriguez")</f>
        <v>Jose Rodriguez</v>
      </c>
      <c r="D2363" s="44" t="str">
        <f>IFERROR(__xludf.DUMMYFUNCTION("""COMPUTED_VALUE"""),"")</f>
        <v/>
      </c>
      <c r="E2363" s="44" t="str">
        <f>IFERROR(__xludf.DUMMYFUNCTION("""COMPUTED_VALUE"""),"")</f>
        <v/>
      </c>
      <c r="F2363" s="44" t="str">
        <f>IFERROR(__xludf.DUMMYFUNCTION("""COMPUTED_VALUE"""),"")</f>
        <v/>
      </c>
      <c r="G2363" s="44" t="str">
        <f>IFERROR(__xludf.DUMMYFUNCTION("""COMPUTED_VALUE"""),"")</f>
        <v/>
      </c>
      <c r="H2363" s="44" t="str">
        <f>IFERROR(__xludf.DUMMYFUNCTION("""COMPUTED_VALUE"""),"")</f>
        <v/>
      </c>
      <c r="I2363" s="44"/>
      <c r="J2363" s="44" t="str">
        <f>IFERROR(__xludf.DUMMYFUNCTION("""COMPUTED_VALUE"""),"")</f>
        <v/>
      </c>
      <c r="K2363" s="42" t="str">
        <f>IFERROR(__xludf.DUMMYFUNCTION("""COMPUTED_VALUE"""),"Campo de Golf Playa los Cocos")</f>
        <v>Campo de Golf Playa los Cocos</v>
      </c>
    </row>
    <row r="2364">
      <c r="A2364" s="44">
        <v>2363.0</v>
      </c>
      <c r="B2364" s="44" t="str">
        <f>IFERROR(__xludf.DUMMYFUNCTION("""COMPUTED_VALUE"""),"Hospital Domingo Luciani")</f>
        <v>Hospital Domingo Luciani</v>
      </c>
      <c r="C2364" s="45" t="str">
        <f>IFERROR(__xludf.DUMMYFUNCTION("""COMPUTED_VALUE"""),"Jose Romero")</f>
        <v>Jose Romero</v>
      </c>
      <c r="D2364" s="44">
        <f>IFERROR(__xludf.DUMMYFUNCTION("""COMPUTED_VALUE"""),0.0)</f>
        <v>0</v>
      </c>
      <c r="E2364" s="44" t="str">
        <f>IFERROR(__xludf.DUMMYFUNCTION("""COMPUTED_VALUE"""),"")</f>
        <v/>
      </c>
      <c r="F2364" s="44" t="str">
        <f>IFERROR(__xludf.DUMMYFUNCTION("""COMPUTED_VALUE"""),"")</f>
        <v/>
      </c>
      <c r="G2364" s="44"/>
      <c r="H2364" s="44"/>
      <c r="I2364" s="44"/>
      <c r="J2364" s="44" t="str">
        <f>IFERROR(__xludf.DUMMYFUNCTION("""COMPUTED_VALUE"""),"")</f>
        <v/>
      </c>
      <c r="K2364" s="42" t="str">
        <f>IFERROR(__xludf.DUMMYFUNCTION("""COMPUTED_VALUE"""),"Hospital Domingo Luciani")</f>
        <v>Hospital Domingo Luciani</v>
      </c>
    </row>
    <row r="2365">
      <c r="A2365" s="44">
        <v>2364.0</v>
      </c>
      <c r="B2365" s="44" t="str">
        <f>IFERROR(__xludf.DUMMYFUNCTION("""COMPUTED_VALUE"""),"Hospital Vargas de Caracas")</f>
        <v>Hospital Vargas de Caracas</v>
      </c>
      <c r="C2365" s="45" t="str">
        <f>IFERROR(__xludf.DUMMYFUNCTION("""COMPUTED_VALUE"""),"JOSE ROPAS")</f>
        <v>JOSE ROPAS</v>
      </c>
      <c r="D2365" s="44" t="str">
        <f>IFERROR(__xludf.DUMMYFUNCTION("""COMPUTED_VALUE""")," ")</f>
        <v> </v>
      </c>
      <c r="E2365" s="44" t="str">
        <f>IFERROR(__xludf.DUMMYFUNCTION("""COMPUTED_VALUE"""),"")</f>
        <v/>
      </c>
      <c r="F2365" s="44" t="str">
        <f>IFERROR(__xludf.DUMMYFUNCTION("""COMPUTED_VALUE""")," ")</f>
        <v> </v>
      </c>
      <c r="G2365" s="44" t="str">
        <f>IFERROR(__xludf.DUMMYFUNCTION("""COMPUTED_VALUE"""),"")</f>
        <v/>
      </c>
      <c r="H2365" s="44" t="str">
        <f>IFERROR(__xludf.DUMMYFUNCTION("""COMPUTED_VALUE""")," ")</f>
        <v> </v>
      </c>
      <c r="I2365" s="44" t="str">
        <f>IFERROR(__xludf.DUMMYFUNCTION("""COMPUTED_VALUE""")," ")</f>
        <v> </v>
      </c>
      <c r="J2365" s="44" t="str">
        <f>IFERROR(__xludf.DUMMYFUNCTION("""COMPUTED_VALUE"""),"")</f>
        <v/>
      </c>
      <c r="K2365" s="42" t="str">
        <f>IFERROR(__xludf.DUMMYFUNCTION("""COMPUTED_VALUE"""),"Hospital Vargas de Caracas")</f>
        <v>Hospital Vargas de Caracas</v>
      </c>
    </row>
    <row r="2366">
      <c r="A2366" s="44">
        <v>2365.0</v>
      </c>
      <c r="B2366" s="44" t="str">
        <f>IFERROR(__xludf.DUMMYFUNCTION("""COMPUTED_VALUE"""),"Seguro Social La Guaira")</f>
        <v>Seguro Social La Guaira</v>
      </c>
      <c r="C2366" s="45" t="str">
        <f>IFERROR(__xludf.DUMMYFUNCTION("""COMPUTED_VALUE"""),"JOSE SOSA")</f>
        <v>JOSE SOSA</v>
      </c>
      <c r="D2366" s="44">
        <f>IFERROR(__xludf.DUMMYFUNCTION("""COMPUTED_VALUE"""),40.0)</f>
        <v>40</v>
      </c>
      <c r="E2366" s="44" t="str">
        <f>IFERROR(__xludf.DUMMYFUNCTION("""COMPUTED_VALUE"""),"")</f>
        <v/>
      </c>
      <c r="F2366" s="44" t="str">
        <f>IFERROR(__xludf.DUMMYFUNCTION("""COMPUTED_VALUE"""),"")</f>
        <v/>
      </c>
      <c r="G2366" s="44" t="str">
        <f>IFERROR(__xludf.DUMMYFUNCTION("""COMPUTED_VALUE""")," ")</f>
        <v> </v>
      </c>
      <c r="H2366" s="44" t="str">
        <f>IFERROR(__xludf.DUMMYFUNCTION("""COMPUTED_VALUE"""),"Caraballeda")</f>
        <v>Caraballeda</v>
      </c>
      <c r="I2366" s="44" t="str">
        <f>IFERROR(__xludf.DUMMYFUNCTION("""COMPUTED_VALUE""")," ")</f>
        <v> </v>
      </c>
      <c r="J2366" s="44" t="str">
        <f>IFERROR(__xludf.DUMMYFUNCTION("""COMPUTED_VALUE"""),"")</f>
        <v/>
      </c>
      <c r="K2366" s="42" t="str">
        <f>IFERROR(__xludf.DUMMYFUNCTION("""COMPUTED_VALUE"""),"Seguro Social La Guaira")</f>
        <v>Seguro Social La Guaira</v>
      </c>
    </row>
    <row r="2367">
      <c r="A2367" s="44">
        <v>2366.0</v>
      </c>
      <c r="B2367" s="44" t="str">
        <f>IFERROR(__xludf.DUMMYFUNCTION("""COMPUTED_VALUE"""),"Campo de Golf Playa los Cocos")</f>
        <v>Campo de Golf Playa los Cocos</v>
      </c>
      <c r="C2367" s="45" t="str">
        <f>IFERROR(__xludf.DUMMYFUNCTION("""COMPUTED_VALUE"""),"Jose Torres")</f>
        <v>Jose Torres</v>
      </c>
      <c r="D2367" s="44" t="str">
        <f>IFERROR(__xludf.DUMMYFUNCTION("""COMPUTED_VALUE"""),"")</f>
        <v/>
      </c>
      <c r="E2367" s="44" t="str">
        <f>IFERROR(__xludf.DUMMYFUNCTION("""COMPUTED_VALUE"""),"")</f>
        <v/>
      </c>
      <c r="F2367" s="44" t="str">
        <f>IFERROR(__xludf.DUMMYFUNCTION("""COMPUTED_VALUE"""),"")</f>
        <v/>
      </c>
      <c r="G2367" s="44" t="str">
        <f>IFERROR(__xludf.DUMMYFUNCTION("""COMPUTED_VALUE"""),"")</f>
        <v/>
      </c>
      <c r="H2367" s="44" t="str">
        <f>IFERROR(__xludf.DUMMYFUNCTION("""COMPUTED_VALUE"""),"")</f>
        <v/>
      </c>
      <c r="I2367" s="44"/>
      <c r="J2367" s="44" t="str">
        <f>IFERROR(__xludf.DUMMYFUNCTION("""COMPUTED_VALUE"""),"")</f>
        <v/>
      </c>
      <c r="K2367" s="42" t="str">
        <f>IFERROR(__xludf.DUMMYFUNCTION("""COMPUTED_VALUE"""),"Campo de Golf Playa los Cocos")</f>
        <v>Campo de Golf Playa los Cocos</v>
      </c>
    </row>
    <row r="2368">
      <c r="A2368" s="44">
        <v>2367.0</v>
      </c>
      <c r="B2368" s="44" t="str">
        <f>IFERROR(__xludf.DUMMYFUNCTION("""COMPUTED_VALUE"""),"Campo de Golf Playa los Cocos")</f>
        <v>Campo de Golf Playa los Cocos</v>
      </c>
      <c r="C2368" s="45" t="str">
        <f>IFERROR(__xludf.DUMMYFUNCTION("""COMPUTED_VALUE"""),"Jose Uscategui")</f>
        <v>Jose Uscategui</v>
      </c>
      <c r="D2368" s="44" t="str">
        <f>IFERROR(__xludf.DUMMYFUNCTION("""COMPUTED_VALUE"""),"")</f>
        <v/>
      </c>
      <c r="E2368" s="44" t="str">
        <f>IFERROR(__xludf.DUMMYFUNCTION("""COMPUTED_VALUE"""),"")</f>
        <v/>
      </c>
      <c r="F2368" s="44" t="str">
        <f>IFERROR(__xludf.DUMMYFUNCTION("""COMPUTED_VALUE"""),"")</f>
        <v/>
      </c>
      <c r="G2368" s="44" t="str">
        <f>IFERROR(__xludf.DUMMYFUNCTION("""COMPUTED_VALUE"""),"")</f>
        <v/>
      </c>
      <c r="H2368" s="44" t="str">
        <f>IFERROR(__xludf.DUMMYFUNCTION("""COMPUTED_VALUE"""),"")</f>
        <v/>
      </c>
      <c r="I2368" s="44"/>
      <c r="J2368" s="44" t="str">
        <f>IFERROR(__xludf.DUMMYFUNCTION("""COMPUTED_VALUE"""),"")</f>
        <v/>
      </c>
      <c r="K2368" s="42" t="str">
        <f>IFERROR(__xludf.DUMMYFUNCTION("""COMPUTED_VALUE"""),"Campo de Golf Playa los Cocos")</f>
        <v>Campo de Golf Playa los Cocos</v>
      </c>
    </row>
    <row r="2369">
      <c r="A2369" s="44">
        <v>2368.0</v>
      </c>
      <c r="B2369" s="44" t="str">
        <f>IFERROR(__xludf.DUMMYFUNCTION("""COMPUTED_VALUE"""),"Hospital Pérez Carreño")</f>
        <v>Hospital Pérez Carreño</v>
      </c>
      <c r="C2369" s="45" t="str">
        <f>IFERROR(__xludf.DUMMYFUNCTION("""COMPUTED_VALUE"""),"Jose Uzcategui")</f>
        <v>Jose Uzcategui</v>
      </c>
      <c r="D2369" s="44"/>
      <c r="E2369" s="44" t="str">
        <f>IFERROR(__xludf.DUMMYFUNCTION("""COMPUTED_VALUE"""),"")</f>
        <v/>
      </c>
      <c r="F2369" s="44" t="str">
        <f>IFERROR(__xludf.DUMMYFUNCTION("""COMPUTED_VALUE"""),"")</f>
        <v/>
      </c>
      <c r="G2369" s="44" t="str">
        <f>IFERROR(__xludf.DUMMYFUNCTION("""COMPUTED_VALUE"""),"Traumashock ")</f>
        <v>Traumashock </v>
      </c>
      <c r="H2369" s="44" t="str">
        <f>IFERROR(__xludf.DUMMYFUNCTION("""COMPUTED_VALUE"""),"Hospital Miguel Perez Carreño")</f>
        <v>Hospital Miguel Perez Carreño</v>
      </c>
      <c r="I2369" s="44"/>
      <c r="J2369" s="44" t="str">
        <f>IFERROR(__xludf.DUMMYFUNCTION("""COMPUTED_VALUE"""),"26/6/26")</f>
        <v>26/6/26</v>
      </c>
      <c r="K2369" s="42" t="str">
        <f>IFERROR(__xludf.DUMMYFUNCTION("""COMPUTED_VALUE"""),"Hospital Pérez Carreño")</f>
        <v>Hospital Pérez Carreño</v>
      </c>
    </row>
    <row r="2370">
      <c r="A2370" s="44">
        <v>2369.0</v>
      </c>
      <c r="B2370" s="44" t="str">
        <f>IFERROR(__xludf.DUMMYFUNCTION("""COMPUTED_VALUE"""),"Seguro Social La Guaira")</f>
        <v>Seguro Social La Guaira</v>
      </c>
      <c r="C2370" s="45" t="str">
        <f>IFERROR(__xludf.DUMMYFUNCTION("""COMPUTED_VALUE"""),"JOSE VILLEGA")</f>
        <v>JOSE VILLEGA</v>
      </c>
      <c r="D2370" s="44">
        <f>IFERROR(__xludf.DUMMYFUNCTION("""COMPUTED_VALUE"""),22.0)</f>
        <v>22</v>
      </c>
      <c r="E2370" s="44" t="str">
        <f>IFERROR(__xludf.DUMMYFUNCTION("""COMPUTED_VALUE"""),"")</f>
        <v/>
      </c>
      <c r="F2370" s="44" t="str">
        <f>IFERROR(__xludf.DUMMYFUNCTION("""COMPUTED_VALUE"""),"")</f>
        <v/>
      </c>
      <c r="G2370" s="44" t="str">
        <f>IFERROR(__xludf.DUMMYFUNCTION("""COMPUTED_VALUE""")," ")</f>
        <v> </v>
      </c>
      <c r="H2370" s="44" t="str">
        <f>IFERROR(__xludf.DUMMYFUNCTION("""COMPUTED_VALUE"""),"Caribe")</f>
        <v>Caribe</v>
      </c>
      <c r="I2370" s="44" t="str">
        <f>IFERROR(__xludf.DUMMYFUNCTION("""COMPUTED_VALUE""")," ")</f>
        <v> </v>
      </c>
      <c r="J2370" s="44" t="str">
        <f>IFERROR(__xludf.DUMMYFUNCTION("""COMPUTED_VALUE"""),"")</f>
        <v/>
      </c>
      <c r="K2370" s="42" t="str">
        <f>IFERROR(__xludf.DUMMYFUNCTION("""COMPUTED_VALUE"""),"Seguro Social La Guaira")</f>
        <v>Seguro Social La Guaira</v>
      </c>
    </row>
    <row r="2371">
      <c r="A2371" s="44">
        <v>2370.0</v>
      </c>
      <c r="B2371" s="44" t="str">
        <f>IFERROR(__xludf.DUMMYFUNCTION("""COMPUTED_VALUE"""),"Hospital Vargas de Caracas")</f>
        <v>Hospital Vargas de Caracas</v>
      </c>
      <c r="C2371" s="45" t="str">
        <f>IFERROR(__xludf.DUMMYFUNCTION("""COMPUTED_VALUE"""),"Jose Villegas")</f>
        <v>Jose Villegas</v>
      </c>
      <c r="D2371" s="44"/>
      <c r="E2371" s="44" t="str">
        <f>IFERROR(__xludf.DUMMYFUNCTION("""COMPUTED_VALUE"""),"")</f>
        <v/>
      </c>
      <c r="F2371" s="44"/>
      <c r="G2371" s="44" t="str">
        <f>IFERROR(__xludf.DUMMYFUNCTION("""COMPUTED_VALUE"""),"")</f>
        <v/>
      </c>
      <c r="H2371" s="44"/>
      <c r="I2371" s="44" t="str">
        <f>IFERROR(__xludf.DUMMYFUNCTION("""COMPUTED_VALUE"""),"Nombre tomado de la pizarra de pacientes; no aparece en el formulario con C.I.")</f>
        <v>Nombre tomado de la pizarra de pacientes; no aparece en el formulario con C.I.</v>
      </c>
      <c r="J2371" s="44" t="str">
        <f>IFERROR(__xludf.DUMMYFUNCTION("""COMPUTED_VALUE"""),"")</f>
        <v/>
      </c>
      <c r="K2371" s="42" t="str">
        <f>IFERROR(__xludf.DUMMYFUNCTION("""COMPUTED_VALUE"""),"Hospital Vargas de Caracas")</f>
        <v>Hospital Vargas de Caracas</v>
      </c>
    </row>
    <row r="2372">
      <c r="A2372" s="44">
        <v>2371.0</v>
      </c>
      <c r="B2372" s="44" t="str">
        <f>IFERROR(__xludf.DUMMYFUNCTION("""COMPUTED_VALUE"""),"HOSPITAL VARGAS")</f>
        <v>HOSPITAL VARGAS</v>
      </c>
      <c r="C2372" s="45" t="str">
        <f>IFERROR(__xludf.DUMMYFUNCTION("""COMPUTED_VALUE"""),"José Villegas")</f>
        <v>José Villegas</v>
      </c>
      <c r="D2372" s="44"/>
      <c r="E2372" s="44" t="str">
        <f>IFERROR(__xludf.DUMMYFUNCTION("""COMPUTED_VALUE"""),"")</f>
        <v/>
      </c>
      <c r="F2372" s="44" t="str">
        <f>IFERROR(__xludf.DUMMYFUNCTION("""COMPUTED_VALUE"""),"")</f>
        <v/>
      </c>
      <c r="G2372" s="44" t="str">
        <f>IFERROR(__xludf.DUMMYFUNCTION("""COMPUTED_VALUE"""),"")</f>
        <v/>
      </c>
      <c r="H2372" s="44" t="str">
        <f>IFERROR(__xludf.DUMMYFUNCTION("""COMPUTED_VALUE"""),"")</f>
        <v/>
      </c>
      <c r="I2372" s="44" t="str">
        <f>IFERROR(__xludf.DUMMYFUNCTION("""COMPUTED_VALUE"""),"Herido / atendido")</f>
        <v>Herido / atendido</v>
      </c>
      <c r="J2372" s="44" t="str">
        <f>IFERROR(__xludf.DUMMYFUNCTION("""COMPUTED_VALUE"""),"24.06.2026 ")</f>
        <v>24.06.2026 </v>
      </c>
      <c r="K2372" s="42" t="str">
        <f>IFERROR(__xludf.DUMMYFUNCTION("""COMPUTED_VALUE"""),"HOSPITAL VARGAS")</f>
        <v>HOSPITAL VARGAS</v>
      </c>
    </row>
    <row r="2373">
      <c r="A2373" s="44">
        <v>2372.0</v>
      </c>
      <c r="B2373" s="44" t="str">
        <f>IFERROR(__xludf.DUMMYFUNCTION("""COMPUTED_VALUE"""),"HOSPITAL VARGAS")</f>
        <v>HOSPITAL VARGAS</v>
      </c>
      <c r="C2373" s="45" t="str">
        <f>IFERROR(__xludf.DUMMYFUNCTION("""COMPUTED_VALUE"""),"Josef Hassan")</f>
        <v>Josef Hassan</v>
      </c>
      <c r="D2373" s="44"/>
      <c r="E2373" s="44" t="str">
        <f>IFERROR(__xludf.DUMMYFUNCTION("""COMPUTED_VALUE"""),"")</f>
        <v/>
      </c>
      <c r="F2373" s="44" t="str">
        <f>IFERROR(__xludf.DUMMYFUNCTION("""COMPUTED_VALUE"""),"")</f>
        <v/>
      </c>
      <c r="G2373" s="44" t="str">
        <f>IFERROR(__xludf.DUMMYFUNCTION("""COMPUTED_VALUE"""),"")</f>
        <v/>
      </c>
      <c r="H2373" s="44" t="str">
        <f>IFERROR(__xludf.DUMMYFUNCTION("""COMPUTED_VALUE"""),"")</f>
        <v/>
      </c>
      <c r="I2373" s="44" t="str">
        <f>IFERROR(__xludf.DUMMYFUNCTION("""COMPUTED_VALUE"""),"Herido / atendido")</f>
        <v>Herido / atendido</v>
      </c>
      <c r="J2373" s="44" t="str">
        <f>IFERROR(__xludf.DUMMYFUNCTION("""COMPUTED_VALUE"""),"24.06.2026 ")</f>
        <v>24.06.2026 </v>
      </c>
      <c r="K2373" s="42" t="str">
        <f>IFERROR(__xludf.DUMMYFUNCTION("""COMPUTED_VALUE"""),"HOSPITAL VARGAS")</f>
        <v>HOSPITAL VARGAS</v>
      </c>
    </row>
    <row r="2374">
      <c r="A2374" s="44">
        <v>2373.0</v>
      </c>
      <c r="B2374" s="44" t="str">
        <f>IFERROR(__xludf.DUMMYFUNCTION("""COMPUTED_VALUE"""),"HOSPITAL VARGAS")</f>
        <v>HOSPITAL VARGAS</v>
      </c>
      <c r="C2374" s="45" t="str">
        <f>IFERROR(__xludf.DUMMYFUNCTION("""COMPUTED_VALUE"""),"Josef Hassau")</f>
        <v>Josef Hassau</v>
      </c>
      <c r="D2374" s="44"/>
      <c r="E2374" s="44" t="str">
        <f>IFERROR(__xludf.DUMMYFUNCTION("""COMPUTED_VALUE"""),"")</f>
        <v/>
      </c>
      <c r="F2374" s="44" t="str">
        <f>IFERROR(__xludf.DUMMYFUNCTION("""COMPUTED_VALUE"""),"")</f>
        <v/>
      </c>
      <c r="G2374" s="44" t="str">
        <f>IFERROR(__xludf.DUMMYFUNCTION("""COMPUTED_VALUE"""),"")</f>
        <v/>
      </c>
      <c r="H2374" s="44" t="str">
        <f>IFERROR(__xludf.DUMMYFUNCTION("""COMPUTED_VALUE"""),"")</f>
        <v/>
      </c>
      <c r="I2374" s="44" t="str">
        <f>IFERROR(__xludf.DUMMYFUNCTION("""COMPUTED_VALUE"""),"Herido / atendido")</f>
        <v>Herido / atendido</v>
      </c>
      <c r="J2374" s="44" t="str">
        <f>IFERROR(__xludf.DUMMYFUNCTION("""COMPUTED_VALUE"""),"24.06.2026 ")</f>
        <v>24.06.2026 </v>
      </c>
      <c r="K2374" s="42" t="str">
        <f>IFERROR(__xludf.DUMMYFUNCTION("""COMPUTED_VALUE"""),"HOSPITAL VARGAS")</f>
        <v>HOSPITAL VARGAS</v>
      </c>
    </row>
    <row r="2375">
      <c r="A2375" s="44">
        <v>2374.0</v>
      </c>
      <c r="B2375" s="44" t="str">
        <f>IFERROR(__xludf.DUMMYFUNCTION("""COMPUTED_VALUE"""),"Campo de Golf Playa los Cocos")</f>
        <v>Campo de Golf Playa los Cocos</v>
      </c>
      <c r="C2375" s="45" t="str">
        <f>IFERROR(__xludf.DUMMYFUNCTION("""COMPUTED_VALUE"""),"Josefina Delgado")</f>
        <v>Josefina Delgado</v>
      </c>
      <c r="D2375" s="44" t="str">
        <f>IFERROR(__xludf.DUMMYFUNCTION("""COMPUTED_VALUE"""),"")</f>
        <v/>
      </c>
      <c r="E2375" s="44" t="str">
        <f>IFERROR(__xludf.DUMMYFUNCTION("""COMPUTED_VALUE"""),"")</f>
        <v/>
      </c>
      <c r="F2375" s="44" t="str">
        <f>IFERROR(__xludf.DUMMYFUNCTION("""COMPUTED_VALUE"""),"")</f>
        <v/>
      </c>
      <c r="G2375" s="44" t="str">
        <f>IFERROR(__xludf.DUMMYFUNCTION("""COMPUTED_VALUE"""),"")</f>
        <v/>
      </c>
      <c r="H2375" s="44" t="str">
        <f>IFERROR(__xludf.DUMMYFUNCTION("""COMPUTED_VALUE"""),"")</f>
        <v/>
      </c>
      <c r="I2375" s="44"/>
      <c r="J2375" s="44" t="str">
        <f>IFERROR(__xludf.DUMMYFUNCTION("""COMPUTED_VALUE"""),"")</f>
        <v/>
      </c>
      <c r="K2375" s="42" t="str">
        <f>IFERROR(__xludf.DUMMYFUNCTION("""COMPUTED_VALUE"""),"Campo de Golf Playa los Cocos")</f>
        <v>Campo de Golf Playa los Cocos</v>
      </c>
    </row>
    <row r="2376">
      <c r="A2376" s="44">
        <v>2375.0</v>
      </c>
      <c r="B2376" s="44" t="str">
        <f>IFERROR(__xludf.DUMMYFUNCTION("""COMPUTED_VALUE"""),"HOSPITAL VARGAS")</f>
        <v>HOSPITAL VARGAS</v>
      </c>
      <c r="C2376" s="45" t="str">
        <f>IFERROR(__xludf.DUMMYFUNCTION("""COMPUTED_VALUE"""),"Josefina Guzmán")</f>
        <v>Josefina Guzmán</v>
      </c>
      <c r="D2376" s="44"/>
      <c r="E2376" s="44" t="str">
        <f>IFERROR(__xludf.DUMMYFUNCTION("""COMPUTED_VALUE"""),"")</f>
        <v/>
      </c>
      <c r="F2376" s="44" t="str">
        <f>IFERROR(__xludf.DUMMYFUNCTION("""COMPUTED_VALUE"""),"")</f>
        <v/>
      </c>
      <c r="G2376" s="44" t="str">
        <f>IFERROR(__xludf.DUMMYFUNCTION("""COMPUTED_VALUE"""),"")</f>
        <v/>
      </c>
      <c r="H2376" s="44" t="str">
        <f>IFERROR(__xludf.DUMMYFUNCTION("""COMPUTED_VALUE"""),"")</f>
        <v/>
      </c>
      <c r="I2376" s="44" t="str">
        <f>IFERROR(__xludf.DUMMYFUNCTION("""COMPUTED_VALUE"""),"Herido / atendido")</f>
        <v>Herido / atendido</v>
      </c>
      <c r="J2376" s="44" t="str">
        <f>IFERROR(__xludf.DUMMYFUNCTION("""COMPUTED_VALUE"""),"24.06.2026 ")</f>
        <v>24.06.2026 </v>
      </c>
      <c r="K2376" s="42" t="str">
        <f>IFERROR(__xludf.DUMMYFUNCTION("""COMPUTED_VALUE"""),"HOSPITAL VARGAS")</f>
        <v>HOSPITAL VARGAS</v>
      </c>
    </row>
    <row r="2377">
      <c r="A2377" s="44">
        <v>2376.0</v>
      </c>
      <c r="B2377" s="44" t="str">
        <f>IFERROR(__xludf.DUMMYFUNCTION("""COMPUTED_VALUE"""),"Hospital Domingo Luciani")</f>
        <v>Hospital Domingo Luciani</v>
      </c>
      <c r="C2377" s="45" t="str">
        <f>IFERROR(__xludf.DUMMYFUNCTION("""COMPUTED_VALUE"""),"Josefina Muñez")</f>
        <v>Josefina Muñez</v>
      </c>
      <c r="D2377" s="44">
        <f>IFERROR(__xludf.DUMMYFUNCTION("""COMPUTED_VALUE"""),32.0)</f>
        <v>32</v>
      </c>
      <c r="E2377" s="44" t="str">
        <f>IFERROR(__xludf.DUMMYFUNCTION("""COMPUTED_VALUE"""),"")</f>
        <v/>
      </c>
      <c r="F2377" s="44" t="str">
        <f>IFERROR(__xludf.DUMMYFUNCTION("""COMPUTED_VALUE"""),"")</f>
        <v/>
      </c>
      <c r="G2377" s="44"/>
      <c r="H2377" s="44"/>
      <c r="I2377" s="44"/>
      <c r="J2377" s="44" t="str">
        <f>IFERROR(__xludf.DUMMYFUNCTION("""COMPUTED_VALUE"""),"")</f>
        <v/>
      </c>
      <c r="K2377" s="42" t="str">
        <f>IFERROR(__xludf.DUMMYFUNCTION("""COMPUTED_VALUE"""),"Hospital Domingo Luciani")</f>
        <v>Hospital Domingo Luciani</v>
      </c>
    </row>
    <row r="2378">
      <c r="A2378" s="44">
        <v>2377.0</v>
      </c>
      <c r="B2378" s="44" t="str">
        <f>IFERROR(__xludf.DUMMYFUNCTION("""COMPUTED_VALUE"""),"Hospital Domingo Luciani")</f>
        <v>Hospital Domingo Luciani</v>
      </c>
      <c r="C2378" s="45" t="str">
        <f>IFERROR(__xludf.DUMMYFUNCTION("""COMPUTED_VALUE"""),"JOSEFINA MUÑOZ")</f>
        <v>JOSEFINA MUÑOZ</v>
      </c>
      <c r="D2378" s="44" t="str">
        <f>IFERROR(__xludf.DUMMYFUNCTION("""COMPUTED_VALUE""")," ")</f>
        <v> </v>
      </c>
      <c r="E2378" s="44" t="str">
        <f>IFERROR(__xludf.DUMMYFUNCTION("""COMPUTED_VALUE"""),"")</f>
        <v/>
      </c>
      <c r="F2378" s="44" t="str">
        <f>IFERROR(__xludf.DUMMYFUNCTION("""COMPUTED_VALUE"""),"")</f>
        <v/>
      </c>
      <c r="G2378" s="44" t="str">
        <f>IFERROR(__xludf.DUMMYFUNCTION("""COMPUTED_VALUE""")," ")</f>
        <v> </v>
      </c>
      <c r="H2378" s="44" t="str">
        <f>IFERROR(__xludf.DUMMYFUNCTION("""COMPUTED_VALUE""")," ")</f>
        <v> </v>
      </c>
      <c r="I2378" s="44" t="str">
        <f>IFERROR(__xludf.DUMMYFUNCTION("""COMPUTED_VALUE""")," ")</f>
        <v> </v>
      </c>
      <c r="J2378" s="44" t="str">
        <f>IFERROR(__xludf.DUMMYFUNCTION("""COMPUTED_VALUE"""),"")</f>
        <v/>
      </c>
      <c r="K2378" s="42" t="str">
        <f>IFERROR(__xludf.DUMMYFUNCTION("""COMPUTED_VALUE"""),"🔍 BUSCAR PACIENTES")</f>
        <v>🔍 BUSCAR PACIENTES</v>
      </c>
    </row>
    <row r="2379">
      <c r="A2379" s="44">
        <v>2378.0</v>
      </c>
      <c r="B2379" s="44" t="str">
        <f>IFERROR(__xludf.DUMMYFUNCTION("""COMPUTED_VALUE"""),"Campo de Golf Playa los Cocos")</f>
        <v>Campo de Golf Playa los Cocos</v>
      </c>
      <c r="C2379" s="45" t="str">
        <f>IFERROR(__xludf.DUMMYFUNCTION("""COMPUTED_VALUE"""),"Joselvis Vasquez")</f>
        <v>Joselvis Vasquez</v>
      </c>
      <c r="D2379" s="44" t="str">
        <f>IFERROR(__xludf.DUMMYFUNCTION("""COMPUTED_VALUE"""),"")</f>
        <v/>
      </c>
      <c r="E2379" s="44" t="str">
        <f>IFERROR(__xludf.DUMMYFUNCTION("""COMPUTED_VALUE"""),"")</f>
        <v/>
      </c>
      <c r="F2379" s="44" t="str">
        <f>IFERROR(__xludf.DUMMYFUNCTION("""COMPUTED_VALUE"""),"")</f>
        <v/>
      </c>
      <c r="G2379" s="44" t="str">
        <f>IFERROR(__xludf.DUMMYFUNCTION("""COMPUTED_VALUE"""),"")</f>
        <v/>
      </c>
      <c r="H2379" s="44" t="str">
        <f>IFERROR(__xludf.DUMMYFUNCTION("""COMPUTED_VALUE"""),"")</f>
        <v/>
      </c>
      <c r="I2379" s="44"/>
      <c r="J2379" s="44" t="str">
        <f>IFERROR(__xludf.DUMMYFUNCTION("""COMPUTED_VALUE"""),"")</f>
        <v/>
      </c>
      <c r="K2379" s="42" t="str">
        <f>IFERROR(__xludf.DUMMYFUNCTION("""COMPUTED_VALUE"""),"Campo de Golf Playa los Cocos")</f>
        <v>Campo de Golf Playa los Cocos</v>
      </c>
    </row>
    <row r="2380">
      <c r="A2380" s="44">
        <v>2379.0</v>
      </c>
      <c r="B2380" s="44" t="str">
        <f>IFERROR(__xludf.DUMMYFUNCTION("""COMPUTED_VALUE"""),"Campo de Golf Playa los Cocos")</f>
        <v>Campo de Golf Playa los Cocos</v>
      </c>
      <c r="C2380" s="45" t="str">
        <f>IFERROR(__xludf.DUMMYFUNCTION("""COMPUTED_VALUE"""),"Josemy Vasquez")</f>
        <v>Josemy Vasquez</v>
      </c>
      <c r="D2380" s="44" t="str">
        <f>IFERROR(__xludf.DUMMYFUNCTION("""COMPUTED_VALUE"""),"")</f>
        <v/>
      </c>
      <c r="E2380" s="44" t="str">
        <f>IFERROR(__xludf.DUMMYFUNCTION("""COMPUTED_VALUE"""),"")</f>
        <v/>
      </c>
      <c r="F2380" s="44" t="str">
        <f>IFERROR(__xludf.DUMMYFUNCTION("""COMPUTED_VALUE"""),"")</f>
        <v/>
      </c>
      <c r="G2380" s="44" t="str">
        <f>IFERROR(__xludf.DUMMYFUNCTION("""COMPUTED_VALUE"""),"")</f>
        <v/>
      </c>
      <c r="H2380" s="44" t="str">
        <f>IFERROR(__xludf.DUMMYFUNCTION("""COMPUTED_VALUE"""),"")</f>
        <v/>
      </c>
      <c r="I2380" s="44"/>
      <c r="J2380" s="44" t="str">
        <f>IFERROR(__xludf.DUMMYFUNCTION("""COMPUTED_VALUE"""),"")</f>
        <v/>
      </c>
      <c r="K2380" s="42" t="str">
        <f>IFERROR(__xludf.DUMMYFUNCTION("""COMPUTED_VALUE"""),"Campo de Golf Playa los Cocos")</f>
        <v>Campo de Golf Playa los Cocos</v>
      </c>
    </row>
    <row r="2381">
      <c r="A2381" s="44">
        <v>2380.0</v>
      </c>
      <c r="B2381" s="44" t="str">
        <f>IFERROR(__xludf.DUMMYFUNCTION("""COMPUTED_VALUE"""),"Campo de Golf Playa los Cocos")</f>
        <v>Campo de Golf Playa los Cocos</v>
      </c>
      <c r="C2381" s="45" t="str">
        <f>IFERROR(__xludf.DUMMYFUNCTION("""COMPUTED_VALUE"""),"Josli Coa")</f>
        <v>Josli Coa</v>
      </c>
      <c r="D2381" s="44" t="str">
        <f>IFERROR(__xludf.DUMMYFUNCTION("""COMPUTED_VALUE"""),"")</f>
        <v/>
      </c>
      <c r="E2381" s="44" t="str">
        <f>IFERROR(__xludf.DUMMYFUNCTION("""COMPUTED_VALUE"""),"")</f>
        <v/>
      </c>
      <c r="F2381" s="44" t="str">
        <f>IFERROR(__xludf.DUMMYFUNCTION("""COMPUTED_VALUE"""),"")</f>
        <v/>
      </c>
      <c r="G2381" s="44" t="str">
        <f>IFERROR(__xludf.DUMMYFUNCTION("""COMPUTED_VALUE"""),"")</f>
        <v/>
      </c>
      <c r="H2381" s="44" t="str">
        <f>IFERROR(__xludf.DUMMYFUNCTION("""COMPUTED_VALUE"""),"")</f>
        <v/>
      </c>
      <c r="I2381" s="44"/>
      <c r="J2381" s="44" t="str">
        <f>IFERROR(__xludf.DUMMYFUNCTION("""COMPUTED_VALUE"""),"")</f>
        <v/>
      </c>
      <c r="K2381" s="42" t="str">
        <f>IFERROR(__xludf.DUMMYFUNCTION("""COMPUTED_VALUE"""),"Campo de Golf Playa los Cocos")</f>
        <v>Campo de Golf Playa los Cocos</v>
      </c>
    </row>
    <row r="2382">
      <c r="A2382" s="44">
        <v>2381.0</v>
      </c>
      <c r="B2382" s="44" t="str">
        <f>IFERROR(__xludf.DUMMYFUNCTION("""COMPUTED_VALUE"""),"Campo de Golf Playa los Cocos")</f>
        <v>Campo de Golf Playa los Cocos</v>
      </c>
      <c r="C2382" s="45" t="str">
        <f>IFERROR(__xludf.DUMMYFUNCTION("""COMPUTED_VALUE"""),"Josmaily Silano")</f>
        <v>Josmaily Silano</v>
      </c>
      <c r="D2382" s="44" t="str">
        <f>IFERROR(__xludf.DUMMYFUNCTION("""COMPUTED_VALUE"""),"")</f>
        <v/>
      </c>
      <c r="E2382" s="44" t="str">
        <f>IFERROR(__xludf.DUMMYFUNCTION("""COMPUTED_VALUE"""),"")</f>
        <v/>
      </c>
      <c r="F2382" s="44" t="str">
        <f>IFERROR(__xludf.DUMMYFUNCTION("""COMPUTED_VALUE"""),"")</f>
        <v/>
      </c>
      <c r="G2382" s="44" t="str">
        <f>IFERROR(__xludf.DUMMYFUNCTION("""COMPUTED_VALUE"""),"")</f>
        <v/>
      </c>
      <c r="H2382" s="44" t="str">
        <f>IFERROR(__xludf.DUMMYFUNCTION("""COMPUTED_VALUE"""),"")</f>
        <v/>
      </c>
      <c r="I2382" s="44"/>
      <c r="J2382" s="44" t="str">
        <f>IFERROR(__xludf.DUMMYFUNCTION("""COMPUTED_VALUE"""),"")</f>
        <v/>
      </c>
      <c r="K2382" s="42" t="str">
        <f>IFERROR(__xludf.DUMMYFUNCTION("""COMPUTED_VALUE"""),"Campo de Golf Playa los Cocos")</f>
        <v>Campo de Golf Playa los Cocos</v>
      </c>
    </row>
    <row r="2383">
      <c r="A2383" s="44">
        <v>2382.0</v>
      </c>
      <c r="B2383" s="44" t="str">
        <f>IFERROR(__xludf.DUMMYFUNCTION("""COMPUTED_VALUE"""),"Seguro Social La Guaira")</f>
        <v>Seguro Social La Guaira</v>
      </c>
      <c r="C2383" s="45" t="str">
        <f>IFERROR(__xludf.DUMMYFUNCTION("""COMPUTED_VALUE"""),"JOSNEL CORONEL")</f>
        <v>JOSNEL CORONEL</v>
      </c>
      <c r="D2383" s="44" t="str">
        <f>IFERROR(__xludf.DUMMYFUNCTION("""COMPUTED_VALUE""")," ")</f>
        <v> </v>
      </c>
      <c r="E2383" s="44" t="str">
        <f>IFERROR(__xludf.DUMMYFUNCTION("""COMPUTED_VALUE"""),"")</f>
        <v/>
      </c>
      <c r="F2383" s="44" t="str">
        <f>IFERROR(__xludf.DUMMYFUNCTION("""COMPUTED_VALUE"""),"")</f>
        <v/>
      </c>
      <c r="G2383" s="44" t="str">
        <f>IFERROR(__xludf.DUMMYFUNCTION("""COMPUTED_VALUE""")," ")</f>
        <v> </v>
      </c>
      <c r="H2383" s="44" t="str">
        <f>IFERROR(__xludf.DUMMYFUNCTION("""COMPUTED_VALUE""")," ")</f>
        <v> </v>
      </c>
      <c r="I2383" s="44" t="str">
        <f>IFERROR(__xludf.DUMMYFUNCTION("""COMPUTED_VALUE""")," ")</f>
        <v> </v>
      </c>
      <c r="J2383" s="44" t="str">
        <f>IFERROR(__xludf.DUMMYFUNCTION("""COMPUTED_VALUE"""),"")</f>
        <v/>
      </c>
      <c r="K2383" s="42" t="str">
        <f>IFERROR(__xludf.DUMMYFUNCTION("""COMPUTED_VALUE"""),"Seguro Social La Guaira")</f>
        <v>Seguro Social La Guaira</v>
      </c>
    </row>
    <row r="2384">
      <c r="A2384" s="44">
        <v>2383.0</v>
      </c>
      <c r="B2384" s="44" t="str">
        <f>IFERROR(__xludf.DUMMYFUNCTION("""COMPUTED_VALUE"""),"Seguro Social La Guaira")</f>
        <v>Seguro Social La Guaira</v>
      </c>
      <c r="C2384" s="45" t="str">
        <f>IFERROR(__xludf.DUMMYFUNCTION("""COMPUTED_VALUE"""),"JOSUE ALVAREZ")</f>
        <v>JOSUE ALVAREZ</v>
      </c>
      <c r="D2384" s="44">
        <f>IFERROR(__xludf.DUMMYFUNCTION("""COMPUTED_VALUE"""),42.0)</f>
        <v>42</v>
      </c>
      <c r="E2384" s="44" t="str">
        <f>IFERROR(__xludf.DUMMYFUNCTION("""COMPUTED_VALUE"""),"")</f>
        <v/>
      </c>
      <c r="F2384" s="44" t="str">
        <f>IFERROR(__xludf.DUMMYFUNCTION("""COMPUTED_VALUE"""),"")</f>
        <v/>
      </c>
      <c r="G2384" s="44" t="str">
        <f>IFERROR(__xludf.DUMMYFUNCTION("""COMPUTED_VALUE""")," ")</f>
        <v> </v>
      </c>
      <c r="H2384" s="44" t="str">
        <f>IFERROR(__xludf.DUMMYFUNCTION("""COMPUTED_VALUE"""),"Caribe")</f>
        <v>Caribe</v>
      </c>
      <c r="I2384" s="44" t="str">
        <f>IFERROR(__xludf.DUMMYFUNCTION("""COMPUTED_VALUE""")," ")</f>
        <v> </v>
      </c>
      <c r="J2384" s="44" t="str">
        <f>IFERROR(__xludf.DUMMYFUNCTION("""COMPUTED_VALUE"""),"")</f>
        <v/>
      </c>
      <c r="K2384" s="42" t="str">
        <f>IFERROR(__xludf.DUMMYFUNCTION("""COMPUTED_VALUE"""),"Seguro Social La Guaira")</f>
        <v>Seguro Social La Guaira</v>
      </c>
    </row>
    <row r="2385">
      <c r="A2385" s="44">
        <v>2384.0</v>
      </c>
      <c r="B2385" s="44" t="str">
        <f>IFERROR(__xludf.DUMMYFUNCTION("""COMPUTED_VALUE"""),"Campo de Golf Playa los Cocos")</f>
        <v>Campo de Golf Playa los Cocos</v>
      </c>
      <c r="C2385" s="45" t="str">
        <f>IFERROR(__xludf.DUMMYFUNCTION("""COMPUTED_VALUE"""),"Josue Nieves")</f>
        <v>Josue Nieves</v>
      </c>
      <c r="D2385" s="44" t="str">
        <f>IFERROR(__xludf.DUMMYFUNCTION("""COMPUTED_VALUE"""),"")</f>
        <v/>
      </c>
      <c r="E2385" s="44" t="str">
        <f>IFERROR(__xludf.DUMMYFUNCTION("""COMPUTED_VALUE"""),"")</f>
        <v/>
      </c>
      <c r="F2385" s="44" t="str">
        <f>IFERROR(__xludf.DUMMYFUNCTION("""COMPUTED_VALUE"""),"")</f>
        <v/>
      </c>
      <c r="G2385" s="44" t="str">
        <f>IFERROR(__xludf.DUMMYFUNCTION("""COMPUTED_VALUE"""),"")</f>
        <v/>
      </c>
      <c r="H2385" s="44" t="str">
        <f>IFERROR(__xludf.DUMMYFUNCTION("""COMPUTED_VALUE"""),"")</f>
        <v/>
      </c>
      <c r="I2385" s="44"/>
      <c r="J2385" s="44" t="str">
        <f>IFERROR(__xludf.DUMMYFUNCTION("""COMPUTED_VALUE"""),"")</f>
        <v/>
      </c>
      <c r="K2385" s="42" t="str">
        <f>IFERROR(__xludf.DUMMYFUNCTION("""COMPUTED_VALUE"""),"Campo de Golf Playa los Cocos")</f>
        <v>Campo de Golf Playa los Cocos</v>
      </c>
    </row>
    <row r="2386">
      <c r="A2386" s="44">
        <v>2385.0</v>
      </c>
      <c r="B2386" s="44" t="str">
        <f>IFERROR(__xludf.DUMMYFUNCTION("""COMPUTED_VALUE"""),"Seguro Social La Guaira")</f>
        <v>Seguro Social La Guaira</v>
      </c>
      <c r="C2386" s="45" t="str">
        <f>IFERROR(__xludf.DUMMYFUNCTION("""COMPUTED_VALUE"""),"JUAN CARLOS JIMENEZ")</f>
        <v>JUAN CARLOS JIMENEZ</v>
      </c>
      <c r="D2386" s="44">
        <f>IFERROR(__xludf.DUMMYFUNCTION("""COMPUTED_VALUE"""),10.0)</f>
        <v>10</v>
      </c>
      <c r="E2386" s="44" t="str">
        <f>IFERROR(__xludf.DUMMYFUNCTION("""COMPUTED_VALUE"""),"")</f>
        <v/>
      </c>
      <c r="F2386" s="44" t="str">
        <f>IFERROR(__xludf.DUMMYFUNCTION("""COMPUTED_VALUE"""),"")</f>
        <v/>
      </c>
      <c r="G2386" s="44" t="str">
        <f>IFERROR(__xludf.DUMMYFUNCTION("""COMPUTED_VALUE""")," ")</f>
        <v> </v>
      </c>
      <c r="H2386" s="44" t="str">
        <f>IFERROR(__xludf.DUMMYFUNCTION("""COMPUTED_VALUE"""),"Macuto")</f>
        <v>Macuto</v>
      </c>
      <c r="I2386" s="44" t="str">
        <f>IFERROR(__xludf.DUMMYFUNCTION("""COMPUTED_VALUE""")," ")</f>
        <v> </v>
      </c>
      <c r="J2386" s="44" t="str">
        <f>IFERROR(__xludf.DUMMYFUNCTION("""COMPUTED_VALUE"""),"")</f>
        <v/>
      </c>
      <c r="K2386" s="42" t="str">
        <f>IFERROR(__xludf.DUMMYFUNCTION("""COMPUTED_VALUE"""),"Seguro Social La Guaira")</f>
        <v>Seguro Social La Guaira</v>
      </c>
    </row>
    <row r="2387">
      <c r="A2387" s="44">
        <v>2386.0</v>
      </c>
      <c r="B2387" s="44" t="str">
        <f>IFERROR(__xludf.DUMMYFUNCTION("""COMPUTED_VALUE"""),"HOSPITAL VARGAS")</f>
        <v>HOSPITAL VARGAS</v>
      </c>
      <c r="C2387" s="45" t="str">
        <f>IFERROR(__xludf.DUMMYFUNCTION("""COMPUTED_VALUE"""),"Juan Carlos Posso")</f>
        <v>Juan Carlos Posso</v>
      </c>
      <c r="D2387" s="44"/>
      <c r="E2387" s="44" t="str">
        <f>IFERROR(__xludf.DUMMYFUNCTION("""COMPUTED_VALUE"""),"")</f>
        <v/>
      </c>
      <c r="F2387" s="44" t="str">
        <f>IFERROR(__xludf.DUMMYFUNCTION("""COMPUTED_VALUE"""),"")</f>
        <v/>
      </c>
      <c r="G2387" s="44" t="str">
        <f>IFERROR(__xludf.DUMMYFUNCTION("""COMPUTED_VALUE"""),"")</f>
        <v/>
      </c>
      <c r="H2387" s="44" t="str">
        <f>IFERROR(__xludf.DUMMYFUNCTION("""COMPUTED_VALUE"""),"")</f>
        <v/>
      </c>
      <c r="I2387" s="44" t="str">
        <f>IFERROR(__xludf.DUMMYFUNCTION("""COMPUTED_VALUE"""),"Herido / atendido")</f>
        <v>Herido / atendido</v>
      </c>
      <c r="J2387" s="44" t="str">
        <f>IFERROR(__xludf.DUMMYFUNCTION("""COMPUTED_VALUE"""),"24.06.2026 ")</f>
        <v>24.06.2026 </v>
      </c>
      <c r="K2387" s="42" t="str">
        <f>IFERROR(__xludf.DUMMYFUNCTION("""COMPUTED_VALUE"""),"HOSPITAL VARGAS")</f>
        <v>HOSPITAL VARGAS</v>
      </c>
    </row>
    <row r="2388">
      <c r="A2388" s="44">
        <v>2387.0</v>
      </c>
      <c r="B2388" s="44" t="str">
        <f>IFERROR(__xludf.DUMMYFUNCTION("""COMPUTED_VALUE"""),"Hospital Domingo Luciani")</f>
        <v>Hospital Domingo Luciani</v>
      </c>
      <c r="C2388" s="45" t="str">
        <f>IFERROR(__xludf.DUMMYFUNCTION("""COMPUTED_VALUE"""),"JUAN CASTRO")</f>
        <v>JUAN CASTRO</v>
      </c>
      <c r="D2388" s="44" t="str">
        <f>IFERROR(__xludf.DUMMYFUNCTION("""COMPUTED_VALUE""")," ")</f>
        <v> </v>
      </c>
      <c r="E2388" s="44" t="str">
        <f>IFERROR(__xludf.DUMMYFUNCTION("""COMPUTED_VALUE"""),"")</f>
        <v/>
      </c>
      <c r="F2388" s="44" t="str">
        <f>IFERROR(__xludf.DUMMYFUNCTION("""COMPUTED_VALUE"""),"")</f>
        <v/>
      </c>
      <c r="G2388" s="44" t="str">
        <f>IFERROR(__xludf.DUMMYFUNCTION("""COMPUTED_VALUE""")," ")</f>
        <v> </v>
      </c>
      <c r="H2388" s="44" t="str">
        <f>IFERROR(__xludf.DUMMYFUNCTION("""COMPUTED_VALUE""")," ")</f>
        <v> </v>
      </c>
      <c r="I2388" s="44" t="str">
        <f>IFERROR(__xludf.DUMMYFUNCTION("""COMPUTED_VALUE""")," ")</f>
        <v> </v>
      </c>
      <c r="J2388" s="44" t="str">
        <f>IFERROR(__xludf.DUMMYFUNCTION("""COMPUTED_VALUE"""),"")</f>
        <v/>
      </c>
      <c r="K2388" s="42" t="str">
        <f>IFERROR(__xludf.DUMMYFUNCTION("""COMPUTED_VALUE"""),"🔍 BUSCAR PACIENTES")</f>
        <v>🔍 BUSCAR PACIENTES</v>
      </c>
    </row>
    <row r="2389">
      <c r="A2389" s="44">
        <v>2388.0</v>
      </c>
      <c r="B2389" s="44" t="str">
        <f>IFERROR(__xludf.DUMMYFUNCTION("""COMPUTED_VALUE"""),"Seguro Social La Guaira")</f>
        <v>Seguro Social La Guaira</v>
      </c>
      <c r="C2389" s="45" t="str">
        <f>IFERROR(__xludf.DUMMYFUNCTION("""COMPUTED_VALUE"""),"JUAN WELLY")</f>
        <v>JUAN WELLY</v>
      </c>
      <c r="D2389" s="44" t="str">
        <f>IFERROR(__xludf.DUMMYFUNCTION("""COMPUTED_VALUE""")," ")</f>
        <v> </v>
      </c>
      <c r="E2389" s="44" t="str">
        <f>IFERROR(__xludf.DUMMYFUNCTION("""COMPUTED_VALUE"""),"")</f>
        <v/>
      </c>
      <c r="F2389" s="44" t="str">
        <f>IFERROR(__xludf.DUMMYFUNCTION("""COMPUTED_VALUE"""),"")</f>
        <v/>
      </c>
      <c r="G2389" s="44" t="str">
        <f>IFERROR(__xludf.DUMMYFUNCTION("""COMPUTED_VALUE""")," ")</f>
        <v> </v>
      </c>
      <c r="H2389" s="44" t="str">
        <f>IFERROR(__xludf.DUMMYFUNCTION("""COMPUTED_VALUE"""),"Caribe")</f>
        <v>Caribe</v>
      </c>
      <c r="I2389" s="44" t="str">
        <f>IFERROR(__xludf.DUMMYFUNCTION("""COMPUTED_VALUE""")," ")</f>
        <v> </v>
      </c>
      <c r="J2389" s="44" t="str">
        <f>IFERROR(__xludf.DUMMYFUNCTION("""COMPUTED_VALUE"""),"")</f>
        <v/>
      </c>
      <c r="K2389" s="42" t="str">
        <f>IFERROR(__xludf.DUMMYFUNCTION("""COMPUTED_VALUE"""),"Seguro Social La Guaira")</f>
        <v>Seguro Social La Guaira</v>
      </c>
    </row>
    <row r="2390">
      <c r="A2390" s="44">
        <v>2389.0</v>
      </c>
      <c r="B2390" s="44" t="str">
        <f>IFERROR(__xludf.DUMMYFUNCTION("""COMPUTED_VALUE"""),"HOSPITAL VARGAS")</f>
        <v>HOSPITAL VARGAS</v>
      </c>
      <c r="C2390" s="45" t="str">
        <f>IFERROR(__xludf.DUMMYFUNCTION("""COMPUTED_VALUE"""),"Juana Bautista")</f>
        <v>Juana Bautista</v>
      </c>
      <c r="D2390" s="44"/>
      <c r="E2390" s="44" t="str">
        <f>IFERROR(__xludf.DUMMYFUNCTION("""COMPUTED_VALUE"""),"")</f>
        <v/>
      </c>
      <c r="F2390" s="44" t="str">
        <f>IFERROR(__xludf.DUMMYFUNCTION("""COMPUTED_VALUE"""),"")</f>
        <v/>
      </c>
      <c r="G2390" s="44" t="str">
        <f>IFERROR(__xludf.DUMMYFUNCTION("""COMPUTED_VALUE"""),"")</f>
        <v/>
      </c>
      <c r="H2390" s="44" t="str">
        <f>IFERROR(__xludf.DUMMYFUNCTION("""COMPUTED_VALUE"""),"")</f>
        <v/>
      </c>
      <c r="I2390" s="44" t="str">
        <f>IFERROR(__xludf.DUMMYFUNCTION("""COMPUTED_VALUE"""),"Fallecido")</f>
        <v>Fallecido</v>
      </c>
      <c r="J2390" s="44" t="str">
        <f>IFERROR(__xludf.DUMMYFUNCTION("""COMPUTED_VALUE"""),"24.06.2026 ")</f>
        <v>24.06.2026 </v>
      </c>
      <c r="K2390" s="42" t="str">
        <f>IFERROR(__xludf.DUMMYFUNCTION("""COMPUTED_VALUE"""),"HOSPITAL VARGAS")</f>
        <v>HOSPITAL VARGAS</v>
      </c>
    </row>
    <row r="2391">
      <c r="A2391" s="44">
        <v>2390.0</v>
      </c>
      <c r="B2391" s="44" t="str">
        <f>IFERROR(__xludf.DUMMYFUNCTION("""COMPUTED_VALUE"""),"HOSPITAL VARGAS")</f>
        <v>HOSPITAL VARGAS</v>
      </c>
      <c r="C2391" s="45" t="str">
        <f>IFERROR(__xludf.DUMMYFUNCTION("""COMPUTED_VALUE"""),"Juana Villegas")</f>
        <v>Juana Villegas</v>
      </c>
      <c r="D2391" s="44"/>
      <c r="E2391" s="44" t="str">
        <f>IFERROR(__xludf.DUMMYFUNCTION("""COMPUTED_VALUE"""),"")</f>
        <v/>
      </c>
      <c r="F2391" s="44" t="str">
        <f>IFERROR(__xludf.DUMMYFUNCTION("""COMPUTED_VALUE"""),"")</f>
        <v/>
      </c>
      <c r="G2391" s="44" t="str">
        <f>IFERROR(__xludf.DUMMYFUNCTION("""COMPUTED_VALUE"""),"")</f>
        <v/>
      </c>
      <c r="H2391" s="44" t="str">
        <f>IFERROR(__xludf.DUMMYFUNCTION("""COMPUTED_VALUE"""),"")</f>
        <v/>
      </c>
      <c r="I2391" s="44" t="str">
        <f>IFERROR(__xludf.DUMMYFUNCTION("""COMPUTED_VALUE"""),"Herido / atendido")</f>
        <v>Herido / atendido</v>
      </c>
      <c r="J2391" s="44" t="str">
        <f>IFERROR(__xludf.DUMMYFUNCTION("""COMPUTED_VALUE"""),"24.06.2026 ")</f>
        <v>24.06.2026 </v>
      </c>
      <c r="K2391" s="42" t="str">
        <f>IFERROR(__xludf.DUMMYFUNCTION("""COMPUTED_VALUE"""),"HOSPITAL VARGAS")</f>
        <v>HOSPITAL VARGAS</v>
      </c>
    </row>
    <row r="2392">
      <c r="A2392" s="44">
        <v>2391.0</v>
      </c>
      <c r="B2392" s="44" t="str">
        <f>IFERROR(__xludf.DUMMYFUNCTION("""COMPUTED_VALUE"""),"Campo de Golf Playa los Cocos")</f>
        <v>Campo de Golf Playa los Cocos</v>
      </c>
      <c r="C2392" s="45" t="str">
        <f>IFERROR(__xludf.DUMMYFUNCTION("""COMPUTED_VALUE"""),"Judith Gonzales")</f>
        <v>Judith Gonzales</v>
      </c>
      <c r="D2392" s="44" t="str">
        <f>IFERROR(__xludf.DUMMYFUNCTION("""COMPUTED_VALUE"""),"")</f>
        <v/>
      </c>
      <c r="E2392" s="44" t="str">
        <f>IFERROR(__xludf.DUMMYFUNCTION("""COMPUTED_VALUE"""),"")</f>
        <v/>
      </c>
      <c r="F2392" s="44" t="str">
        <f>IFERROR(__xludf.DUMMYFUNCTION("""COMPUTED_VALUE"""),"")</f>
        <v/>
      </c>
      <c r="G2392" s="44" t="str">
        <f>IFERROR(__xludf.DUMMYFUNCTION("""COMPUTED_VALUE"""),"")</f>
        <v/>
      </c>
      <c r="H2392" s="44" t="str">
        <f>IFERROR(__xludf.DUMMYFUNCTION("""COMPUTED_VALUE"""),"")</f>
        <v/>
      </c>
      <c r="I2392" s="44"/>
      <c r="J2392" s="44" t="str">
        <f>IFERROR(__xludf.DUMMYFUNCTION("""COMPUTED_VALUE"""),"")</f>
        <v/>
      </c>
      <c r="K2392" s="42" t="str">
        <f>IFERROR(__xludf.DUMMYFUNCTION("""COMPUTED_VALUE"""),"Campo de Golf Playa los Cocos")</f>
        <v>Campo de Golf Playa los Cocos</v>
      </c>
    </row>
    <row r="2393">
      <c r="A2393" s="44">
        <v>2392.0</v>
      </c>
      <c r="B2393" s="44" t="str">
        <f>IFERROR(__xludf.DUMMYFUNCTION("""COMPUTED_VALUE"""),"Campo de Golf Playa los Cocos")</f>
        <v>Campo de Golf Playa los Cocos</v>
      </c>
      <c r="C2393" s="45" t="str">
        <f>IFERROR(__xludf.DUMMYFUNCTION("""COMPUTED_VALUE"""),"Julio Cesar")</f>
        <v>Julio Cesar</v>
      </c>
      <c r="D2393" s="44" t="str">
        <f>IFERROR(__xludf.DUMMYFUNCTION("""COMPUTED_VALUE"""),"")</f>
        <v/>
      </c>
      <c r="E2393" s="44" t="str">
        <f>IFERROR(__xludf.DUMMYFUNCTION("""COMPUTED_VALUE"""),"")</f>
        <v/>
      </c>
      <c r="F2393" s="44" t="str">
        <f>IFERROR(__xludf.DUMMYFUNCTION("""COMPUTED_VALUE"""),"")</f>
        <v/>
      </c>
      <c r="G2393" s="44" t="str">
        <f>IFERROR(__xludf.DUMMYFUNCTION("""COMPUTED_VALUE"""),"")</f>
        <v/>
      </c>
      <c r="H2393" s="44" t="str">
        <f>IFERROR(__xludf.DUMMYFUNCTION("""COMPUTED_VALUE"""),"")</f>
        <v/>
      </c>
      <c r="I2393" s="44"/>
      <c r="J2393" s="44" t="str">
        <f>IFERROR(__xludf.DUMMYFUNCTION("""COMPUTED_VALUE"""),"")</f>
        <v/>
      </c>
      <c r="K2393" s="42" t="str">
        <f>IFERROR(__xludf.DUMMYFUNCTION("""COMPUTED_VALUE"""),"Campo de Golf Playa los Cocos")</f>
        <v>Campo de Golf Playa los Cocos</v>
      </c>
    </row>
    <row r="2394">
      <c r="A2394" s="44">
        <v>2393.0</v>
      </c>
      <c r="B2394" s="44" t="str">
        <f>IFERROR(__xludf.DUMMYFUNCTION("""COMPUTED_VALUE"""),"Campo de Golf Playa los Cocos")</f>
        <v>Campo de Golf Playa los Cocos</v>
      </c>
      <c r="C2394" s="45" t="str">
        <f>IFERROR(__xludf.DUMMYFUNCTION("""COMPUTED_VALUE"""),"Julio Santana")</f>
        <v>Julio Santana</v>
      </c>
      <c r="D2394" s="44" t="str">
        <f>IFERROR(__xludf.DUMMYFUNCTION("""COMPUTED_VALUE"""),"")</f>
        <v/>
      </c>
      <c r="E2394" s="44" t="str">
        <f>IFERROR(__xludf.DUMMYFUNCTION("""COMPUTED_VALUE"""),"")</f>
        <v/>
      </c>
      <c r="F2394" s="44" t="str">
        <f>IFERROR(__xludf.DUMMYFUNCTION("""COMPUTED_VALUE"""),"")</f>
        <v/>
      </c>
      <c r="G2394" s="44" t="str">
        <f>IFERROR(__xludf.DUMMYFUNCTION("""COMPUTED_VALUE"""),"")</f>
        <v/>
      </c>
      <c r="H2394" s="44" t="str">
        <f>IFERROR(__xludf.DUMMYFUNCTION("""COMPUTED_VALUE"""),"")</f>
        <v/>
      </c>
      <c r="I2394" s="44"/>
      <c r="J2394" s="44" t="str">
        <f>IFERROR(__xludf.DUMMYFUNCTION("""COMPUTED_VALUE"""),"")</f>
        <v/>
      </c>
      <c r="K2394" s="42" t="str">
        <f>IFERROR(__xludf.DUMMYFUNCTION("""COMPUTED_VALUE"""),"Campo de Golf Playa los Cocos")</f>
        <v>Campo de Golf Playa los Cocos</v>
      </c>
    </row>
    <row r="2395">
      <c r="A2395" s="44">
        <v>2394.0</v>
      </c>
      <c r="B2395" s="44" t="str">
        <f>IFERROR(__xludf.DUMMYFUNCTION("""COMPUTED_VALUE"""),"Periférico de Catia")</f>
        <v>Periférico de Catia</v>
      </c>
      <c r="C2395" s="45" t="str">
        <f>IFERROR(__xludf.DUMMYFUNCTION("""COMPUTED_VALUE"""),"Julio Suarez")</f>
        <v>Julio Suarez</v>
      </c>
      <c r="D2395" s="44"/>
      <c r="E2395" s="44" t="str">
        <f>IFERROR(__xludf.DUMMYFUNCTION("""COMPUTED_VALUE"""),"")</f>
        <v/>
      </c>
      <c r="F2395" s="44" t="str">
        <f>IFERROR(__xludf.DUMMYFUNCTION("""COMPUTED_VALUE"""),"")</f>
        <v/>
      </c>
      <c r="G2395" s="44"/>
      <c r="H2395" s="44"/>
      <c r="I2395" s="44" t="str">
        <f>IFERROR(__xludf.DUMMYFUNCTION("""COMPUTED_VALUE"""),"Nota adicional 8:30pm (mismo grupo Politrauma) (sin edad)")</f>
        <v>Nota adicional 8:30pm (mismo grupo Politrauma) (sin edad)</v>
      </c>
      <c r="J2395" s="44" t="str">
        <f>IFERROR(__xludf.DUMMYFUNCTION("""COMPUTED_VALUE"""),"")</f>
        <v/>
      </c>
      <c r="K2395" s="42" t="str">
        <f>IFERROR(__xludf.DUMMYFUNCTION("""COMPUTED_VALUE"""),"Periférico de Catia")</f>
        <v>Periférico de Catia</v>
      </c>
    </row>
    <row r="2396">
      <c r="A2396" s="44">
        <v>2395.0</v>
      </c>
      <c r="B2396" s="44" t="str">
        <f>IFERROR(__xludf.DUMMYFUNCTION("""COMPUTED_VALUE"""),"Hospital Domingo Luciani")</f>
        <v>Hospital Domingo Luciani</v>
      </c>
      <c r="C2396" s="45" t="str">
        <f>IFERROR(__xludf.DUMMYFUNCTION("""COMPUTED_VALUE"""),"JULL SAMUEL")</f>
        <v>JULL SAMUEL</v>
      </c>
      <c r="D2396" s="44">
        <f>IFERROR(__xludf.DUMMYFUNCTION("""COMPUTED_VALUE"""),25.0)</f>
        <v>25</v>
      </c>
      <c r="E2396" s="44" t="str">
        <f>IFERROR(__xludf.DUMMYFUNCTION("""COMPUTED_VALUE"""),"")</f>
        <v/>
      </c>
      <c r="F2396" s="44" t="str">
        <f>IFERROR(__xludf.DUMMYFUNCTION("""COMPUTED_VALUE"""),"")</f>
        <v/>
      </c>
      <c r="G2396" s="44" t="str">
        <f>IFERROR(__xludf.DUMMYFUNCTION("""COMPUTED_VALUE""")," ")</f>
        <v> </v>
      </c>
      <c r="H2396" s="44" t="str">
        <f>IFERROR(__xludf.DUMMYFUNCTION("""COMPUTED_VALUE""")," ")</f>
        <v> </v>
      </c>
      <c r="I2396" s="44" t="str">
        <f>IFERROR(__xludf.DUMMYFUNCTION("""COMPUTED_VALUE"""),"Internado; POLITRAUMA")</f>
        <v>Internado; POLITRAUMA</v>
      </c>
      <c r="J2396" s="44" t="str">
        <f>IFERROR(__xludf.DUMMYFUNCTION("""COMPUTED_VALUE"""),"")</f>
        <v/>
      </c>
      <c r="K2396" s="42" t="str">
        <f>IFERROR(__xludf.DUMMYFUNCTION("""COMPUTED_VALUE"""),"🔍 BUSCAR PACIENTES")</f>
        <v>🔍 BUSCAR PACIENTES</v>
      </c>
    </row>
    <row r="2397">
      <c r="A2397" s="44">
        <v>2396.0</v>
      </c>
      <c r="B2397" s="44" t="str">
        <f>IFERROR(__xludf.DUMMYFUNCTION("""COMPUTED_VALUE"""),"Seguro Social La Guaira")</f>
        <v>Seguro Social La Guaira</v>
      </c>
      <c r="C2397" s="45" t="str">
        <f>IFERROR(__xludf.DUMMYFUNCTION("""COMPUTED_VALUE"""),"JUNIO CAMACARO")</f>
        <v>JUNIO CAMACARO</v>
      </c>
      <c r="D2397" s="44">
        <f>IFERROR(__xludf.DUMMYFUNCTION("""COMPUTED_VALUE"""),26.0)</f>
        <v>26</v>
      </c>
      <c r="E2397" s="44" t="str">
        <f>IFERROR(__xludf.DUMMYFUNCTION("""COMPUTED_VALUE"""),"")</f>
        <v/>
      </c>
      <c r="F2397" s="44" t="str">
        <f>IFERROR(__xludf.DUMMYFUNCTION("""COMPUTED_VALUE"""),"")</f>
        <v/>
      </c>
      <c r="G2397" s="44" t="str">
        <f>IFERROR(__xludf.DUMMYFUNCTION("""COMPUTED_VALUE""")," ")</f>
        <v> </v>
      </c>
      <c r="H2397" s="44" t="str">
        <f>IFERROR(__xludf.DUMMYFUNCTION("""COMPUTED_VALUE"""),"Naiguata")</f>
        <v>Naiguata</v>
      </c>
      <c r="I2397" s="44" t="str">
        <f>IFERROR(__xludf.DUMMYFUNCTION("""COMPUTED_VALUE""")," ")</f>
        <v> </v>
      </c>
      <c r="J2397" s="44" t="str">
        <f>IFERROR(__xludf.DUMMYFUNCTION("""COMPUTED_VALUE"""),"")</f>
        <v/>
      </c>
      <c r="K2397" s="42" t="str">
        <f>IFERROR(__xludf.DUMMYFUNCTION("""COMPUTED_VALUE"""),"Seguro Social La Guaira")</f>
        <v>Seguro Social La Guaira</v>
      </c>
    </row>
    <row r="2398">
      <c r="A2398" s="44">
        <v>2397.0</v>
      </c>
      <c r="B2398" s="44" t="str">
        <f>IFERROR(__xludf.DUMMYFUNCTION("""COMPUTED_VALUE"""),"Hospital Pérez Carreño")</f>
        <v>Hospital Pérez Carreño</v>
      </c>
      <c r="C2398" s="45" t="str">
        <f>IFERROR(__xludf.DUMMYFUNCTION("""COMPUTED_VALUE"""),"JUNIO T")</f>
        <v>JUNIO T</v>
      </c>
      <c r="D2398" s="44" t="str">
        <f>IFERROR(__xludf.DUMMYFUNCTION("""COMPUTED_VALUE""")," ")</f>
        <v> </v>
      </c>
      <c r="E2398" s="44" t="str">
        <f>IFERROR(__xludf.DUMMYFUNCTION("""COMPUTED_VALUE"""),"")</f>
        <v/>
      </c>
      <c r="F2398" s="44" t="str">
        <f>IFERROR(__xludf.DUMMYFUNCTION("""COMPUTED_VALUE"""),"")</f>
        <v/>
      </c>
      <c r="G2398" s="44" t="str">
        <f>IFERROR(__xludf.DUMMYFUNCTION("""COMPUTED_VALUE""")," ")</f>
        <v> </v>
      </c>
      <c r="H2398" s="44" t="str">
        <f>IFERROR(__xludf.DUMMYFUNCTION("""COMPUTED_VALUE""")," ")</f>
        <v> </v>
      </c>
      <c r="I2398" s="44" t="str">
        <f>IFERROR(__xludf.DUMMYFUNCTION("""COMPUTED_VALUE"""),"Pasillo Asesor; La Guaira")</f>
        <v>Pasillo Asesor; La Guaira</v>
      </c>
      <c r="J2398" s="44" t="str">
        <f>IFERROR(__xludf.DUMMYFUNCTION("""COMPUTED_VALUE"""),"25/06/2026")</f>
        <v>25/06/2026</v>
      </c>
      <c r="K2398" s="42" t="str">
        <f>IFERROR(__xludf.DUMMYFUNCTION("""COMPUTED_VALUE"""),"Hospital Pérez Carreño")</f>
        <v>Hospital Pérez Carreño</v>
      </c>
    </row>
    <row r="2399">
      <c r="A2399" s="44">
        <v>2398.0</v>
      </c>
      <c r="B2399" s="44" t="str">
        <f>IFERROR(__xludf.DUMMYFUNCTION("""COMPUTED_VALUE"""),"Periférico de Catia")</f>
        <v>Periférico de Catia</v>
      </c>
      <c r="C2399" s="45" t="str">
        <f>IFERROR(__xludf.DUMMYFUNCTION("""COMPUTED_VALUE"""),"Kairyn Gonzalez")</f>
        <v>Kairyn Gonzalez</v>
      </c>
      <c r="D2399" s="44"/>
      <c r="E2399" s="44" t="str">
        <f>IFERROR(__xludf.DUMMYFUNCTION("""COMPUTED_VALUE"""),"")</f>
        <v/>
      </c>
      <c r="F2399" s="44" t="str">
        <f>IFERROR(__xludf.DUMMYFUNCTION("""COMPUTED_VALUE"""),"")</f>
        <v/>
      </c>
      <c r="G2399" s="44"/>
      <c r="H2399" s="44"/>
      <c r="I2399" s="44" t="str">
        <f>IFERROR(__xludf.DUMMYFUNCTION("""COMPUTED_VALUE"""),"Nota adicional 8:30pm (mismo grupo Politrauma) (sin edad)")</f>
        <v>Nota adicional 8:30pm (mismo grupo Politrauma) (sin edad)</v>
      </c>
      <c r="J2399" s="44" t="str">
        <f>IFERROR(__xludf.DUMMYFUNCTION("""COMPUTED_VALUE"""),"")</f>
        <v/>
      </c>
      <c r="K2399" s="42" t="str">
        <f>IFERROR(__xludf.DUMMYFUNCTION("""COMPUTED_VALUE"""),"Periférico de Catia")</f>
        <v>Periférico de Catia</v>
      </c>
    </row>
    <row r="2400">
      <c r="A2400" s="44">
        <v>2399.0</v>
      </c>
      <c r="B2400" s="44" t="str">
        <f>IFERROR(__xludf.DUMMYFUNCTION("""COMPUTED_VALUE"""),"Hospital Domingo Luciani")</f>
        <v>Hospital Domingo Luciani</v>
      </c>
      <c r="C2400" s="45" t="str">
        <f>IFERROR(__xludf.DUMMYFUNCTION("""COMPUTED_VALUE"""),"KARINA CABRERA")</f>
        <v>KARINA CABRERA</v>
      </c>
      <c r="D2400" s="44" t="str">
        <f>IFERROR(__xludf.DUMMYFUNCTION("""COMPUTED_VALUE""")," ")</f>
        <v> </v>
      </c>
      <c r="E2400" s="44" t="str">
        <f>IFERROR(__xludf.DUMMYFUNCTION("""COMPUTED_VALUE"""),"")</f>
        <v/>
      </c>
      <c r="F2400" s="44" t="str">
        <f>IFERROR(__xludf.DUMMYFUNCTION("""COMPUTED_VALUE"""),"")</f>
        <v/>
      </c>
      <c r="G2400" s="44" t="str">
        <f>IFERROR(__xludf.DUMMYFUNCTION("""COMPUTED_VALUE""")," ")</f>
        <v> </v>
      </c>
      <c r="H2400" s="44" t="str">
        <f>IFERROR(__xludf.DUMMYFUNCTION("""COMPUTED_VALUE""")," ")</f>
        <v> </v>
      </c>
      <c r="I2400" s="44" t="str">
        <f>IFERROR(__xludf.DUMMYFUNCTION("""COMPUTED_VALUE"""),"Politrauma / Trauma")</f>
        <v>Politrauma / Trauma</v>
      </c>
      <c r="J2400" s="44" t="str">
        <f>IFERROR(__xludf.DUMMYFUNCTION("""COMPUTED_VALUE"""),"")</f>
        <v/>
      </c>
      <c r="K2400" s="42" t="str">
        <f>IFERROR(__xludf.DUMMYFUNCTION("""COMPUTED_VALUE"""),"🔍 BUSCAR PACIENTES")</f>
        <v>🔍 BUSCAR PACIENTES</v>
      </c>
    </row>
    <row r="2401">
      <c r="A2401" s="44">
        <v>2400.0</v>
      </c>
      <c r="B2401" s="44" t="str">
        <f>IFERROR(__xludf.DUMMYFUNCTION("""COMPUTED_VALUE"""),"Periférico de Catia")</f>
        <v>Periférico de Catia</v>
      </c>
      <c r="C2401" s="45" t="str">
        <f>IFERROR(__xludf.DUMMYFUNCTION("""COMPUTED_VALUE"""),"KARLE JEAN")</f>
        <v>KARLE JEAN</v>
      </c>
      <c r="D2401" s="44">
        <f>IFERROR(__xludf.DUMMYFUNCTION("""COMPUTED_VALUE"""),49.0)</f>
        <v>49</v>
      </c>
      <c r="E2401" s="44" t="str">
        <f>IFERROR(__xludf.DUMMYFUNCTION("""COMPUTED_VALUE"""),"")</f>
        <v/>
      </c>
      <c r="F2401" s="44" t="str">
        <f>IFERROR(__xludf.DUMMYFUNCTION("""COMPUTED_VALUE"""),"")</f>
        <v/>
      </c>
      <c r="G2401" s="44" t="str">
        <f>IFERROR(__xludf.DUMMYFUNCTION("""COMPUTED_VALUE""")," ")</f>
        <v> </v>
      </c>
      <c r="H2401" s="44" t="str">
        <f>IFERROR(__xludf.DUMMYFUNCTION("""COMPUTED_VALUE"""),"Barquisimeto")</f>
        <v>Barquisimeto</v>
      </c>
      <c r="I2401" s="44" t="str">
        <f>IFERROR(__xludf.DUMMYFUNCTION("""COMPUTED_VALUE"""),"TRM")</f>
        <v>TRM</v>
      </c>
      <c r="J2401" s="44" t="str">
        <f>IFERROR(__xludf.DUMMYFUNCTION("""COMPUTED_VALUE"""),"")</f>
        <v/>
      </c>
      <c r="K2401" s="42" t="str">
        <f>IFERROR(__xludf.DUMMYFUNCTION("""COMPUTED_VALUE"""),"Periférico de Catia")</f>
        <v>Periférico de Catia</v>
      </c>
    </row>
    <row r="2402">
      <c r="A2402" s="44">
        <v>2401.0</v>
      </c>
      <c r="B2402" s="44" t="str">
        <f>IFERROR(__xludf.DUMMYFUNCTION("""COMPUTED_VALUE"""),"Campo de Golf Playa los Cocos")</f>
        <v>Campo de Golf Playa los Cocos</v>
      </c>
      <c r="C2402" s="45" t="str">
        <f>IFERROR(__xludf.DUMMYFUNCTION("""COMPUTED_VALUE"""),"Katherin Roa")</f>
        <v>Katherin Roa</v>
      </c>
      <c r="D2402" s="44" t="str">
        <f>IFERROR(__xludf.DUMMYFUNCTION("""COMPUTED_VALUE"""),"")</f>
        <v/>
      </c>
      <c r="E2402" s="44" t="str">
        <f>IFERROR(__xludf.DUMMYFUNCTION("""COMPUTED_VALUE"""),"")</f>
        <v/>
      </c>
      <c r="F2402" s="44" t="str">
        <f>IFERROR(__xludf.DUMMYFUNCTION("""COMPUTED_VALUE"""),"")</f>
        <v/>
      </c>
      <c r="G2402" s="44" t="str">
        <f>IFERROR(__xludf.DUMMYFUNCTION("""COMPUTED_VALUE"""),"")</f>
        <v/>
      </c>
      <c r="H2402" s="44" t="str">
        <f>IFERROR(__xludf.DUMMYFUNCTION("""COMPUTED_VALUE"""),"")</f>
        <v/>
      </c>
      <c r="I2402" s="44"/>
      <c r="J2402" s="44" t="str">
        <f>IFERROR(__xludf.DUMMYFUNCTION("""COMPUTED_VALUE"""),"")</f>
        <v/>
      </c>
      <c r="K2402" s="42" t="str">
        <f>IFERROR(__xludf.DUMMYFUNCTION("""COMPUTED_VALUE"""),"Campo de Golf Playa los Cocos")</f>
        <v>Campo de Golf Playa los Cocos</v>
      </c>
    </row>
    <row r="2403">
      <c r="A2403" s="44">
        <v>2402.0</v>
      </c>
      <c r="B2403" s="44" t="str">
        <f>IFERROR(__xludf.DUMMYFUNCTION("""COMPUTED_VALUE"""),"Campo de Golf Playa los Cocos")</f>
        <v>Campo de Golf Playa los Cocos</v>
      </c>
      <c r="C2403" s="45" t="str">
        <f>IFERROR(__xludf.DUMMYFUNCTION("""COMPUTED_VALUE"""),"Katherin Salas")</f>
        <v>Katherin Salas</v>
      </c>
      <c r="D2403" s="44" t="str">
        <f>IFERROR(__xludf.DUMMYFUNCTION("""COMPUTED_VALUE"""),"")</f>
        <v/>
      </c>
      <c r="E2403" s="44" t="str">
        <f>IFERROR(__xludf.DUMMYFUNCTION("""COMPUTED_VALUE"""),"")</f>
        <v/>
      </c>
      <c r="F2403" s="44" t="str">
        <f>IFERROR(__xludf.DUMMYFUNCTION("""COMPUTED_VALUE"""),"")</f>
        <v/>
      </c>
      <c r="G2403" s="44" t="str">
        <f>IFERROR(__xludf.DUMMYFUNCTION("""COMPUTED_VALUE"""),"")</f>
        <v/>
      </c>
      <c r="H2403" s="44" t="str">
        <f>IFERROR(__xludf.DUMMYFUNCTION("""COMPUTED_VALUE"""),"")</f>
        <v/>
      </c>
      <c r="I2403" s="44"/>
      <c r="J2403" s="44" t="str">
        <f>IFERROR(__xludf.DUMMYFUNCTION("""COMPUTED_VALUE"""),"")</f>
        <v/>
      </c>
      <c r="K2403" s="42" t="str">
        <f>IFERROR(__xludf.DUMMYFUNCTION("""COMPUTED_VALUE"""),"Campo de Golf Playa los Cocos")</f>
        <v>Campo de Golf Playa los Cocos</v>
      </c>
    </row>
    <row r="2404">
      <c r="A2404" s="44">
        <v>2403.0</v>
      </c>
      <c r="B2404" s="44" t="str">
        <f>IFERROR(__xludf.DUMMYFUNCTION("""COMPUTED_VALUE"""),"Campo de Golf Playa los Cocos")</f>
        <v>Campo de Golf Playa los Cocos</v>
      </c>
      <c r="C2404" s="45" t="str">
        <f>IFERROR(__xludf.DUMMYFUNCTION("""COMPUTED_VALUE"""),"Katherine Avilan")</f>
        <v>Katherine Avilan</v>
      </c>
      <c r="D2404" s="44" t="str">
        <f>IFERROR(__xludf.DUMMYFUNCTION("""COMPUTED_VALUE"""),"")</f>
        <v/>
      </c>
      <c r="E2404" s="44" t="str">
        <f>IFERROR(__xludf.DUMMYFUNCTION("""COMPUTED_VALUE"""),"")</f>
        <v/>
      </c>
      <c r="F2404" s="44" t="str">
        <f>IFERROR(__xludf.DUMMYFUNCTION("""COMPUTED_VALUE"""),"")</f>
        <v/>
      </c>
      <c r="G2404" s="44" t="str">
        <f>IFERROR(__xludf.DUMMYFUNCTION("""COMPUTED_VALUE"""),"")</f>
        <v/>
      </c>
      <c r="H2404" s="44" t="str">
        <f>IFERROR(__xludf.DUMMYFUNCTION("""COMPUTED_VALUE"""),"")</f>
        <v/>
      </c>
      <c r="I2404" s="44"/>
      <c r="J2404" s="44" t="str">
        <f>IFERROR(__xludf.DUMMYFUNCTION("""COMPUTED_VALUE"""),"")</f>
        <v/>
      </c>
      <c r="K2404" s="42" t="str">
        <f>IFERROR(__xludf.DUMMYFUNCTION("""COMPUTED_VALUE"""),"Campo de Golf Playa los Cocos")</f>
        <v>Campo de Golf Playa los Cocos</v>
      </c>
    </row>
    <row r="2405">
      <c r="A2405" s="44">
        <v>2404.0</v>
      </c>
      <c r="B2405" s="44" t="str">
        <f>IFERROR(__xludf.DUMMYFUNCTION("""COMPUTED_VALUE"""),"HOSPITAL VARGAS")</f>
        <v>HOSPITAL VARGAS</v>
      </c>
      <c r="C2405" s="45" t="str">
        <f>IFERROR(__xludf.DUMMYFUNCTION("""COMPUTED_VALUE"""),"Katiuska Pérez")</f>
        <v>Katiuska Pérez</v>
      </c>
      <c r="D2405" s="44"/>
      <c r="E2405" s="44" t="str">
        <f>IFERROR(__xludf.DUMMYFUNCTION("""COMPUTED_VALUE"""),"")</f>
        <v/>
      </c>
      <c r="F2405" s="44" t="str">
        <f>IFERROR(__xludf.DUMMYFUNCTION("""COMPUTED_VALUE"""),"")</f>
        <v/>
      </c>
      <c r="G2405" s="44" t="str">
        <f>IFERROR(__xludf.DUMMYFUNCTION("""COMPUTED_VALUE"""),"")</f>
        <v/>
      </c>
      <c r="H2405" s="44" t="str">
        <f>IFERROR(__xludf.DUMMYFUNCTION("""COMPUTED_VALUE"""),"")</f>
        <v/>
      </c>
      <c r="I2405" s="44" t="str">
        <f>IFERROR(__xludf.DUMMYFUNCTION("""COMPUTED_VALUE"""),"Herido / atendido")</f>
        <v>Herido / atendido</v>
      </c>
      <c r="J2405" s="44" t="str">
        <f>IFERROR(__xludf.DUMMYFUNCTION("""COMPUTED_VALUE"""),"24.06.2026 ")</f>
        <v>24.06.2026 </v>
      </c>
      <c r="K2405" s="42" t="str">
        <f>IFERROR(__xludf.DUMMYFUNCTION("""COMPUTED_VALUE"""),"HOSPITAL VARGAS")</f>
        <v>HOSPITAL VARGAS</v>
      </c>
    </row>
    <row r="2406">
      <c r="A2406" s="44">
        <v>2405.0</v>
      </c>
      <c r="B2406" s="44" t="str">
        <f>IFERROR(__xludf.DUMMYFUNCTION("""COMPUTED_VALUE"""),"Campo de Golf Playa los Cocos")</f>
        <v>Campo de Golf Playa los Cocos</v>
      </c>
      <c r="C2406" s="45" t="str">
        <f>IFERROR(__xludf.DUMMYFUNCTION("""COMPUTED_VALUE"""),"Katlis Farias")</f>
        <v>Katlis Farias</v>
      </c>
      <c r="D2406" s="44" t="str">
        <f>IFERROR(__xludf.DUMMYFUNCTION("""COMPUTED_VALUE"""),"")</f>
        <v/>
      </c>
      <c r="E2406" s="44" t="str">
        <f>IFERROR(__xludf.DUMMYFUNCTION("""COMPUTED_VALUE"""),"")</f>
        <v/>
      </c>
      <c r="F2406" s="44" t="str">
        <f>IFERROR(__xludf.DUMMYFUNCTION("""COMPUTED_VALUE"""),"")</f>
        <v/>
      </c>
      <c r="G2406" s="44" t="str">
        <f>IFERROR(__xludf.DUMMYFUNCTION("""COMPUTED_VALUE"""),"")</f>
        <v/>
      </c>
      <c r="H2406" s="44" t="str">
        <f>IFERROR(__xludf.DUMMYFUNCTION("""COMPUTED_VALUE"""),"")</f>
        <v/>
      </c>
      <c r="I2406" s="44"/>
      <c r="J2406" s="44" t="str">
        <f>IFERROR(__xludf.DUMMYFUNCTION("""COMPUTED_VALUE"""),"")</f>
        <v/>
      </c>
      <c r="K2406" s="42" t="str">
        <f>IFERROR(__xludf.DUMMYFUNCTION("""COMPUTED_VALUE"""),"Campo de Golf Playa los Cocos")</f>
        <v>Campo de Golf Playa los Cocos</v>
      </c>
    </row>
    <row r="2407">
      <c r="A2407" s="44">
        <v>2406.0</v>
      </c>
      <c r="B2407" s="44" t="str">
        <f>IFERROR(__xludf.DUMMYFUNCTION("""COMPUTED_VALUE"""),"Hospital Pérez Carreño")</f>
        <v>Hospital Pérez Carreño</v>
      </c>
      <c r="C2407" s="45" t="str">
        <f>IFERROR(__xludf.DUMMYFUNCTION("""COMPUTED_VALUE"""),"Keisy Montes")</f>
        <v>Keisy Montes</v>
      </c>
      <c r="D2407" s="44" t="str">
        <f>IFERROR(__xludf.DUMMYFUNCTION("""COMPUTED_VALUE"""),"23 años")</f>
        <v>23 años</v>
      </c>
      <c r="E2407" s="44" t="str">
        <f>IFERROR(__xludf.DUMMYFUNCTION("""COMPUTED_VALUE"""),"")</f>
        <v/>
      </c>
      <c r="F2407" s="44" t="str">
        <f>IFERROR(__xludf.DUMMYFUNCTION("""COMPUTED_VALUE"""),"")</f>
        <v/>
      </c>
      <c r="G2407" s="44" t="str">
        <f>IFERROR(__xludf.DUMMYFUNCTION("""COMPUTED_VALUE"""),"Traumashock ")</f>
        <v>Traumashock </v>
      </c>
      <c r="H2407" s="44" t="str">
        <f>IFERROR(__xludf.DUMMYFUNCTION("""COMPUTED_VALUE"""),"Hospital Miguel Perez Carreño")</f>
        <v>Hospital Miguel Perez Carreño</v>
      </c>
      <c r="I2407" s="44"/>
      <c r="J2407" s="44" t="str">
        <f>IFERROR(__xludf.DUMMYFUNCTION("""COMPUTED_VALUE"""),"26/6/26")</f>
        <v>26/6/26</v>
      </c>
      <c r="K2407" s="42" t="str">
        <f>IFERROR(__xludf.DUMMYFUNCTION("""COMPUTED_VALUE"""),"Hospital Pérez Carreño")</f>
        <v>Hospital Pérez Carreño</v>
      </c>
    </row>
    <row r="2408">
      <c r="A2408" s="44">
        <v>2407.0</v>
      </c>
      <c r="B2408" s="44" t="str">
        <f>IFERROR(__xludf.DUMMYFUNCTION("""COMPUTED_VALUE"""),"Seguro Social La Guaira")</f>
        <v>Seguro Social La Guaira</v>
      </c>
      <c r="C2408" s="45" t="str">
        <f>IFERROR(__xludf.DUMMYFUNCTION("""COMPUTED_VALUE"""),"KEMBELIS UGUETO")</f>
        <v>KEMBELIS UGUETO</v>
      </c>
      <c r="D2408" s="44">
        <f>IFERROR(__xludf.DUMMYFUNCTION("""COMPUTED_VALUE"""),38.0)</f>
        <v>38</v>
      </c>
      <c r="E2408" s="44" t="str">
        <f>IFERROR(__xludf.DUMMYFUNCTION("""COMPUTED_VALUE"""),"")</f>
        <v/>
      </c>
      <c r="F2408" s="44" t="str">
        <f>IFERROR(__xludf.DUMMYFUNCTION("""COMPUTED_VALUE"""),"")</f>
        <v/>
      </c>
      <c r="G2408" s="44" t="str">
        <f>IFERROR(__xludf.DUMMYFUNCTION("""COMPUTED_VALUE""")," ")</f>
        <v> </v>
      </c>
      <c r="H2408" s="44" t="str">
        <f>IFERROR(__xludf.DUMMYFUNCTION("""COMPUTED_VALUE"""),"Corales")</f>
        <v>Corales</v>
      </c>
      <c r="I2408" s="44" t="str">
        <f>IFERROR(__xludf.DUMMYFUNCTION("""COMPUTED_VALUE""")," ")</f>
        <v> </v>
      </c>
      <c r="J2408" s="44" t="str">
        <f>IFERROR(__xludf.DUMMYFUNCTION("""COMPUTED_VALUE"""),"")</f>
        <v/>
      </c>
      <c r="K2408" s="42" t="str">
        <f>IFERROR(__xludf.DUMMYFUNCTION("""COMPUTED_VALUE"""),"Seguro Social La Guaira")</f>
        <v>Seguro Social La Guaira</v>
      </c>
    </row>
    <row r="2409">
      <c r="A2409" s="44">
        <v>2408.0</v>
      </c>
      <c r="B2409" s="44" t="str">
        <f>IFERROR(__xludf.DUMMYFUNCTION("""COMPUTED_VALUE"""),"Campo de Golf Playa los Cocos")</f>
        <v>Campo de Golf Playa los Cocos</v>
      </c>
      <c r="C2409" s="45" t="str">
        <f>IFERROR(__xludf.DUMMYFUNCTION("""COMPUTED_VALUE"""),"Kenedy Renott")</f>
        <v>Kenedy Renott</v>
      </c>
      <c r="D2409" s="44" t="str">
        <f>IFERROR(__xludf.DUMMYFUNCTION("""COMPUTED_VALUE"""),"")</f>
        <v/>
      </c>
      <c r="E2409" s="44" t="str">
        <f>IFERROR(__xludf.DUMMYFUNCTION("""COMPUTED_VALUE"""),"")</f>
        <v/>
      </c>
      <c r="F2409" s="44" t="str">
        <f>IFERROR(__xludf.DUMMYFUNCTION("""COMPUTED_VALUE"""),"")</f>
        <v/>
      </c>
      <c r="G2409" s="44" t="str">
        <f>IFERROR(__xludf.DUMMYFUNCTION("""COMPUTED_VALUE"""),"")</f>
        <v/>
      </c>
      <c r="H2409" s="44" t="str">
        <f>IFERROR(__xludf.DUMMYFUNCTION("""COMPUTED_VALUE"""),"")</f>
        <v/>
      </c>
      <c r="I2409" s="44"/>
      <c r="J2409" s="44" t="str">
        <f>IFERROR(__xludf.DUMMYFUNCTION("""COMPUTED_VALUE"""),"")</f>
        <v/>
      </c>
      <c r="K2409" s="42" t="str">
        <f>IFERROR(__xludf.DUMMYFUNCTION("""COMPUTED_VALUE"""),"Campo de Golf Playa los Cocos")</f>
        <v>Campo de Golf Playa los Cocos</v>
      </c>
    </row>
    <row r="2410">
      <c r="A2410" s="44">
        <v>2409.0</v>
      </c>
      <c r="B2410" s="44" t="str">
        <f>IFERROR(__xludf.DUMMYFUNCTION("""COMPUTED_VALUE"""),"Hospital Pérez Carreño")</f>
        <v>Hospital Pérez Carreño</v>
      </c>
      <c r="C2410" s="45" t="str">
        <f>IFERROR(__xludf.DUMMYFUNCTION("""COMPUTED_VALUE"""),"Kevi Gonzalez")</f>
        <v>Kevi Gonzalez</v>
      </c>
      <c r="D2410" s="44" t="str">
        <f>IFERROR(__xludf.DUMMYFUNCTION("""COMPUTED_VALUE"""),"32 años")</f>
        <v>32 años</v>
      </c>
      <c r="E2410" s="44" t="str">
        <f>IFERROR(__xludf.DUMMYFUNCTION("""COMPUTED_VALUE"""),"")</f>
        <v/>
      </c>
      <c r="F2410" s="44" t="str">
        <f>IFERROR(__xludf.DUMMYFUNCTION("""COMPUTED_VALUE"""),"")</f>
        <v/>
      </c>
      <c r="G2410" s="44" t="str">
        <f>IFERROR(__xludf.DUMMYFUNCTION("""COMPUTED_VALUE"""),"Traumashock ")</f>
        <v>Traumashock </v>
      </c>
      <c r="H2410" s="44" t="str">
        <f>IFERROR(__xludf.DUMMYFUNCTION("""COMPUTED_VALUE"""),"Hospital Miguel Perez Carreño")</f>
        <v>Hospital Miguel Perez Carreño</v>
      </c>
      <c r="I2410" s="44"/>
      <c r="J2410" s="44" t="str">
        <f>IFERROR(__xludf.DUMMYFUNCTION("""COMPUTED_VALUE"""),"26/6/26")</f>
        <v>26/6/26</v>
      </c>
      <c r="K2410" s="42" t="str">
        <f>IFERROR(__xludf.DUMMYFUNCTION("""COMPUTED_VALUE"""),"Hospital Pérez Carreño")</f>
        <v>Hospital Pérez Carreño</v>
      </c>
    </row>
    <row r="2411">
      <c r="A2411" s="44">
        <v>2410.0</v>
      </c>
      <c r="B2411" s="44" t="str">
        <f>IFERROR(__xludf.DUMMYFUNCTION("""COMPUTED_VALUE"""),"HOSPITAL VARGAS")</f>
        <v>HOSPITAL VARGAS</v>
      </c>
      <c r="C2411" s="45" t="str">
        <f>IFERROR(__xludf.DUMMYFUNCTION("""COMPUTED_VALUE"""),"Kiara Antonia Rodrys")</f>
        <v>Kiara Antonia Rodrys</v>
      </c>
      <c r="D2411" s="44"/>
      <c r="E2411" s="44" t="str">
        <f>IFERROR(__xludf.DUMMYFUNCTION("""COMPUTED_VALUE"""),"")</f>
        <v/>
      </c>
      <c r="F2411" s="44" t="str">
        <f>IFERROR(__xludf.DUMMYFUNCTION("""COMPUTED_VALUE"""),"")</f>
        <v/>
      </c>
      <c r="G2411" s="44" t="str">
        <f>IFERROR(__xludf.DUMMYFUNCTION("""COMPUTED_VALUE"""),"")</f>
        <v/>
      </c>
      <c r="H2411" s="44" t="str">
        <f>IFERROR(__xludf.DUMMYFUNCTION("""COMPUTED_VALUE"""),"")</f>
        <v/>
      </c>
      <c r="I2411" s="44" t="str">
        <f>IFERROR(__xludf.DUMMYFUNCTION("""COMPUTED_VALUE"""),"Herido / atendido")</f>
        <v>Herido / atendido</v>
      </c>
      <c r="J2411" s="44" t="str">
        <f>IFERROR(__xludf.DUMMYFUNCTION("""COMPUTED_VALUE"""),"24.06.2026 ")</f>
        <v>24.06.2026 </v>
      </c>
      <c r="K2411" s="42" t="str">
        <f>IFERROR(__xludf.DUMMYFUNCTION("""COMPUTED_VALUE"""),"HOSPITAL VARGAS")</f>
        <v>HOSPITAL VARGAS</v>
      </c>
    </row>
    <row r="2412">
      <c r="A2412" s="44">
        <v>2411.0</v>
      </c>
      <c r="B2412" s="44" t="str">
        <f>IFERROR(__xludf.DUMMYFUNCTION("""COMPUTED_VALUE"""),"HOSPITAL VARGAS")</f>
        <v>HOSPITAL VARGAS</v>
      </c>
      <c r="C2412" s="45" t="str">
        <f>IFERROR(__xludf.DUMMYFUNCTION("""COMPUTED_VALUE"""),"Kiara Rodriguez")</f>
        <v>Kiara Rodriguez</v>
      </c>
      <c r="D2412" s="44"/>
      <c r="E2412" s="44" t="str">
        <f>IFERROR(__xludf.DUMMYFUNCTION("""COMPUTED_VALUE"""),"")</f>
        <v/>
      </c>
      <c r="F2412" s="44" t="str">
        <f>IFERROR(__xludf.DUMMYFUNCTION("""COMPUTED_VALUE"""),"")</f>
        <v/>
      </c>
      <c r="G2412" s="44" t="str">
        <f>IFERROR(__xludf.DUMMYFUNCTION("""COMPUTED_VALUE"""),"")</f>
        <v/>
      </c>
      <c r="H2412" s="44" t="str">
        <f>IFERROR(__xludf.DUMMYFUNCTION("""COMPUTED_VALUE"""),"")</f>
        <v/>
      </c>
      <c r="I2412" s="44" t="str">
        <f>IFERROR(__xludf.DUMMYFUNCTION("""COMPUTED_VALUE"""),"Herido / atendido")</f>
        <v>Herido / atendido</v>
      </c>
      <c r="J2412" s="44" t="str">
        <f>IFERROR(__xludf.DUMMYFUNCTION("""COMPUTED_VALUE"""),"24.06.2026 ")</f>
        <v>24.06.2026 </v>
      </c>
      <c r="K2412" s="42" t="str">
        <f>IFERROR(__xludf.DUMMYFUNCTION("""COMPUTED_VALUE"""),"HOSPITAL VARGAS")</f>
        <v>HOSPITAL VARGAS</v>
      </c>
    </row>
    <row r="2413">
      <c r="A2413" s="44">
        <v>2412.0</v>
      </c>
      <c r="B2413" s="44" t="str">
        <f>IFERROR(__xludf.DUMMYFUNCTION("""COMPUTED_VALUE"""),"La Guaira Sin Hospital")</f>
        <v>La Guaira Sin Hospital</v>
      </c>
      <c r="C2413" s="45" t="str">
        <f>IFERROR(__xludf.DUMMYFUNCTION("""COMPUTED_VALUE"""),"La Rosa Noel")</f>
        <v>La Rosa Noel</v>
      </c>
      <c r="D2413" s="44" t="str">
        <f>IFERROR(__xludf.DUMMYFUNCTION("""COMPUTED_VALUE"""),"")</f>
        <v/>
      </c>
      <c r="E2413" s="44" t="str">
        <f>IFERROR(__xludf.DUMMYFUNCTION("""COMPUTED_VALUE"""),"")</f>
        <v/>
      </c>
      <c r="F2413" s="44" t="str">
        <f>IFERROR(__xludf.DUMMYFUNCTION("""COMPUTED_VALUE"""),"")</f>
        <v/>
      </c>
      <c r="G2413" s="44" t="str">
        <f>IFERROR(__xludf.DUMMYFUNCTION("""COMPUTED_VALUE"""),"")</f>
        <v/>
      </c>
      <c r="H2413" s="44" t="str">
        <f>IFERROR(__xludf.DUMMYFUNCTION("""COMPUTED_VALUE"""),"La Guaira Hotel Eduard Suites")</f>
        <v>La Guaira Hotel Eduard Suites</v>
      </c>
      <c r="I2413" s="44" t="str">
        <f>IFERROR(__xludf.DUMMYFUNCTION("""COMPUTED_VALUE"""),"Listas con ubicación")</f>
        <v>Listas con ubicación</v>
      </c>
      <c r="J2413" s="44" t="str">
        <f>IFERROR(__xludf.DUMMYFUNCTION("""COMPUTED_VALUE"""),"")</f>
        <v/>
      </c>
      <c r="K2413" s="42" t="str">
        <f>IFERROR(__xludf.DUMMYFUNCTION("""COMPUTED_VALUE"""),"La Guaira Sin Hospital")</f>
        <v>La Guaira Sin Hospital</v>
      </c>
    </row>
    <row r="2414">
      <c r="A2414" s="44">
        <v>2413.0</v>
      </c>
      <c r="B2414" s="44" t="str">
        <f>IFERROR(__xludf.DUMMYFUNCTION("""COMPUTED_VALUE"""),"Hospital Pérez Carreño")</f>
        <v>Hospital Pérez Carreño</v>
      </c>
      <c r="C2414" s="45" t="str">
        <f>IFERROR(__xludf.DUMMYFUNCTION("""COMPUTED_VALUE"""),"LA ROSA YOEL")</f>
        <v>LA ROSA YOEL</v>
      </c>
      <c r="D2414" s="44" t="str">
        <f>IFERROR(__xludf.DUMMYFUNCTION("""COMPUTED_VALUE""")," ")</f>
        <v> </v>
      </c>
      <c r="E2414" s="44" t="str">
        <f>IFERROR(__xludf.DUMMYFUNCTION("""COMPUTED_VALUE"""),"")</f>
        <v/>
      </c>
      <c r="F2414" s="44" t="str">
        <f>IFERROR(__xludf.DUMMYFUNCTION("""COMPUTED_VALUE"""),"")</f>
        <v/>
      </c>
      <c r="G2414" s="44" t="str">
        <f>IFERROR(__xludf.DUMMYFUNCTION("""COMPUTED_VALUE""")," ")</f>
        <v> </v>
      </c>
      <c r="H2414" s="44" t="str">
        <f>IFERROR(__xludf.DUMMYFUNCTION("""COMPUTED_VALUE""")," ")</f>
        <v> </v>
      </c>
      <c r="I2414" s="44" t="str">
        <f>IFERROR(__xludf.DUMMYFUNCTION("""COMPUTED_VALUE"""),"Traumashock")</f>
        <v>Traumashock</v>
      </c>
      <c r="J2414" s="44" t="str">
        <f>IFERROR(__xludf.DUMMYFUNCTION("""COMPUTED_VALUE"""),"25/06/2026")</f>
        <v>25/06/2026</v>
      </c>
      <c r="K2414" s="42" t="str">
        <f>IFERROR(__xludf.DUMMYFUNCTION("""COMPUTED_VALUE"""),"Hospital Pérez Carreño")</f>
        <v>Hospital Pérez Carreño</v>
      </c>
    </row>
    <row r="2415">
      <c r="A2415" s="44">
        <v>2414.0</v>
      </c>
      <c r="B2415" s="44" t="str">
        <f>IFERROR(__xludf.DUMMYFUNCTION("""COMPUTED_VALUE"""),"Hospital Pérez Carreño")</f>
        <v>Hospital Pérez Carreño</v>
      </c>
      <c r="C2415" s="45" t="str">
        <f>IFERROR(__xludf.DUMMYFUNCTION("""COMPUTED_VALUE"""),"La Seneo Tatiana")</f>
        <v>La Seneo Tatiana</v>
      </c>
      <c r="D2415" s="44"/>
      <c r="E2415" s="44" t="str">
        <f>IFERROR(__xludf.DUMMYFUNCTION("""COMPUTED_VALUE"""),"")</f>
        <v/>
      </c>
      <c r="F2415" s="44" t="str">
        <f>IFERROR(__xludf.DUMMYFUNCTION("""COMPUTED_VALUE"""),"")</f>
        <v/>
      </c>
      <c r="G2415" s="44" t="str">
        <f>IFERROR(__xludf.DUMMYFUNCTION("""COMPUTED_VALUE"""),"Traslados con destino asignado")</f>
        <v>Traslados con destino asignado</v>
      </c>
      <c r="H2415" s="44" t="str">
        <f>IFERROR(__xludf.DUMMYFUNCTION("""COMPUTED_VALUE"""),"Hospital Miguel Perez Carreño")</f>
        <v>Hospital Miguel Perez Carreño</v>
      </c>
      <c r="I2415" s="44"/>
      <c r="J2415" s="44" t="str">
        <f>IFERROR(__xludf.DUMMYFUNCTION("""COMPUTED_VALUE"""),"26/6/26")</f>
        <v>26/6/26</v>
      </c>
      <c r="K2415" s="42" t="str">
        <f>IFERROR(__xludf.DUMMYFUNCTION("""COMPUTED_VALUE"""),"Hospital Pérez Carreño")</f>
        <v>Hospital Pérez Carreño</v>
      </c>
    </row>
    <row r="2416">
      <c r="A2416" s="44">
        <v>2415.0</v>
      </c>
      <c r="B2416" s="44" t="str">
        <f>IFERROR(__xludf.DUMMYFUNCTION("""COMPUTED_VALUE"""),"Hospital Pérez Carreño")</f>
        <v>Hospital Pérez Carreño</v>
      </c>
      <c r="C2416" s="45" t="str">
        <f>IFERROR(__xludf.DUMMYFUNCTION("""COMPUTED_VALUE"""),"Ladera Elianyelis")</f>
        <v>Ladera Elianyelis</v>
      </c>
      <c r="D2416" s="44" t="str">
        <f>IFERROR(__xludf.DUMMYFUNCTION("""COMPUTED_VALUE"""),"1 año")</f>
        <v>1 año</v>
      </c>
      <c r="E2416" s="44" t="str">
        <f>IFERROR(__xludf.DUMMYFUNCTION("""COMPUTED_VALUE"""),"")</f>
        <v/>
      </c>
      <c r="F2416" s="44" t="str">
        <f>IFERROR(__xludf.DUMMYFUNCTION("""COMPUTED_VALUE"""),"")</f>
        <v/>
      </c>
      <c r="G2416" s="44" t="str">
        <f>IFERROR(__xludf.DUMMYFUNCTION("""COMPUTED_VALUE"""),"Pediatria")</f>
        <v>Pediatria</v>
      </c>
      <c r="H2416" s="44" t="str">
        <f>IFERROR(__xludf.DUMMYFUNCTION("""COMPUTED_VALUE"""),"Hospital Miguel Perez Carreño")</f>
        <v>Hospital Miguel Perez Carreño</v>
      </c>
      <c r="I2416" s="44"/>
      <c r="J2416" s="44" t="str">
        <f>IFERROR(__xludf.DUMMYFUNCTION("""COMPUTED_VALUE"""),"26/6/26")</f>
        <v>26/6/26</v>
      </c>
      <c r="K2416" s="42" t="str">
        <f>IFERROR(__xludf.DUMMYFUNCTION("""COMPUTED_VALUE"""),"Hospital Pérez Carreño")</f>
        <v>Hospital Pérez Carreño</v>
      </c>
    </row>
    <row r="2417">
      <c r="A2417" s="44">
        <v>2416.0</v>
      </c>
      <c r="B2417" s="44" t="str">
        <f>IFERROR(__xludf.DUMMYFUNCTION("""COMPUTED_VALUE"""),"Hospital Pérez Carreño")</f>
        <v>Hospital Pérez Carreño</v>
      </c>
      <c r="C2417" s="45" t="str">
        <f>IFERROR(__xludf.DUMMYFUNCTION("""COMPUTED_VALUE"""),"LADERA ELIAYELIS")</f>
        <v>LADERA ELIAYELIS</v>
      </c>
      <c r="D2417" s="44">
        <f>IFERROR(__xludf.DUMMYFUNCTION("""COMPUTED_VALUE"""),1.0)</f>
        <v>1</v>
      </c>
      <c r="E2417" s="44" t="str">
        <f>IFERROR(__xludf.DUMMYFUNCTION("""COMPUTED_VALUE"""),"")</f>
        <v/>
      </c>
      <c r="F2417" s="44" t="str">
        <f>IFERROR(__xludf.DUMMYFUNCTION("""COMPUTED_VALUE"""),"")</f>
        <v/>
      </c>
      <c r="G2417" s="44" t="str">
        <f>IFERROR(__xludf.DUMMYFUNCTION("""COMPUTED_VALUE""")," ")</f>
        <v> </v>
      </c>
      <c r="H2417" s="44" t="str">
        <f>IFERROR(__xludf.DUMMYFUNCTION("""COMPUTED_VALUE""")," ")</f>
        <v> </v>
      </c>
      <c r="I2417" s="44" t="str">
        <f>IFERROR(__xludf.DUMMYFUNCTION("""COMPUTED_VALUE"""),"Pediatría – Lista alta; Mamá Yosbelis Díaz")</f>
        <v>Pediatría – Lista alta; Mamá Yosbelis Díaz</v>
      </c>
      <c r="J2417" s="44" t="str">
        <f>IFERROR(__xludf.DUMMYFUNCTION("""COMPUTED_VALUE"""),"25/06/2026")</f>
        <v>25/06/2026</v>
      </c>
      <c r="K2417" s="42" t="str">
        <f>IFERROR(__xludf.DUMMYFUNCTION("""COMPUTED_VALUE"""),"Hospital Pérez Carreño")</f>
        <v>Hospital Pérez Carreño</v>
      </c>
    </row>
    <row r="2418">
      <c r="A2418" s="44">
        <v>2417.0</v>
      </c>
      <c r="B2418" s="44" t="str">
        <f>IFERROR(__xludf.DUMMYFUNCTION("""COMPUTED_VALUE"""),"Periférico de Catia")</f>
        <v>Periférico de Catia</v>
      </c>
      <c r="C2418" s="45" t="str">
        <f>IFERROR(__xludf.DUMMYFUNCTION("""COMPUTED_VALUE"""),"LAMA DANIELA")</f>
        <v>LAMA DANIELA</v>
      </c>
      <c r="D2418" s="44">
        <f>IFERROR(__xludf.DUMMYFUNCTION("""COMPUTED_VALUE"""),3.0)</f>
        <v>3</v>
      </c>
      <c r="E2418" s="44" t="str">
        <f>IFERROR(__xludf.DUMMYFUNCTION("""COMPUTED_VALUE"""),"")</f>
        <v/>
      </c>
      <c r="F2418" s="44" t="str">
        <f>IFERROR(__xludf.DUMMYFUNCTION("""COMPUTED_VALUE"""),"")</f>
        <v/>
      </c>
      <c r="G2418" s="44" t="str">
        <f>IFERROR(__xludf.DUMMYFUNCTION("""COMPUTED_VALUE""")," ")</f>
        <v> </v>
      </c>
      <c r="H2418" s="44" t="str">
        <f>IFERROR(__xludf.DUMMYFUNCTION("""COMPUTED_VALUE"""),"3er plan de la Selva")</f>
        <v>3er plan de la Selva</v>
      </c>
      <c r="I2418" s="44" t="str">
        <f>IFERROR(__xludf.DUMMYFUNCTION("""COMPUTED_VALUE""")," ")</f>
        <v> </v>
      </c>
      <c r="J2418" s="44" t="str">
        <f>IFERROR(__xludf.DUMMYFUNCTION("""COMPUTED_VALUE"""),"")</f>
        <v/>
      </c>
      <c r="K2418" s="42" t="str">
        <f>IFERROR(__xludf.DUMMYFUNCTION("""COMPUTED_VALUE"""),"Periférico de Catia")</f>
        <v>Periférico de Catia</v>
      </c>
    </row>
    <row r="2419">
      <c r="A2419" s="44">
        <v>2418.0</v>
      </c>
      <c r="B2419" s="44" t="str">
        <f>IFERROR(__xludf.DUMMYFUNCTION("""COMPUTED_VALUE"""),"H. Jose Maria Vargas LG")</f>
        <v>H. Jose Maria Vargas LG</v>
      </c>
      <c r="C2419" s="45" t="str">
        <f>IFERROR(__xludf.DUMMYFUNCTION("""COMPUTED_VALUE"""),"LANDAETA ARGEMIS")</f>
        <v>LANDAETA ARGEMIS</v>
      </c>
      <c r="D2419" s="44">
        <f>IFERROR(__xludf.DUMMYFUNCTION("""COMPUTED_VALUE"""),21.0)</f>
        <v>21</v>
      </c>
      <c r="E2419" s="44" t="str">
        <f>IFERROR(__xludf.DUMMYFUNCTION("""COMPUTED_VALUE"""),"")</f>
        <v/>
      </c>
      <c r="F2419" s="44" t="str">
        <f>IFERROR(__xludf.DUMMYFUNCTION("""COMPUTED_VALUE"""),"")</f>
        <v/>
      </c>
      <c r="G2419" s="44" t="str">
        <f>IFERROR(__xludf.DUMMYFUNCTION("""COMPUTED_VALUE""")," ")</f>
        <v> </v>
      </c>
      <c r="H2419" s="44" t="str">
        <f>IFERROR(__xludf.DUMMYFUNCTION("""COMPUTED_VALUE"""),"Caribe")</f>
        <v>Caribe</v>
      </c>
      <c r="I2419" s="44" t="str">
        <f>IFERROR(__xludf.DUMMYFUNCTION("""COMPUTED_VALUE""")," ")</f>
        <v> </v>
      </c>
      <c r="J2419" s="44" t="str">
        <f>IFERROR(__xludf.DUMMYFUNCTION("""COMPUTED_VALUE"""),"")</f>
        <v/>
      </c>
      <c r="K2419" s="42" t="str">
        <f>IFERROR(__xludf.DUMMYFUNCTION("""COMPUTED_VALUE"""),"H. Jose Maria Vargas LG")</f>
        <v>H. Jose Maria Vargas LG</v>
      </c>
    </row>
    <row r="2420">
      <c r="A2420" s="44">
        <v>2419.0</v>
      </c>
      <c r="B2420" s="44" t="str">
        <f>IFERROR(__xludf.DUMMYFUNCTION("""COMPUTED_VALUE"""),"Hospital Domingo Luciani")</f>
        <v>Hospital Domingo Luciani</v>
      </c>
      <c r="C2420" s="45" t="str">
        <f>IFERROR(__xludf.DUMMYFUNCTION("""COMPUTED_VALUE"""),"LANDER SEBASTIAN")</f>
        <v>LANDER SEBASTIAN</v>
      </c>
      <c r="D2420" s="44">
        <f>IFERROR(__xludf.DUMMYFUNCTION("""COMPUTED_VALUE"""),71.0)</f>
        <v>71</v>
      </c>
      <c r="E2420" s="44" t="str">
        <f>IFERROR(__xludf.DUMMYFUNCTION("""COMPUTED_VALUE"""),"")</f>
        <v/>
      </c>
      <c r="F2420" s="44" t="str">
        <f>IFERROR(__xludf.DUMMYFUNCTION("""COMPUTED_VALUE"""),"")</f>
        <v/>
      </c>
      <c r="G2420" s="44" t="str">
        <f>IFERROR(__xludf.DUMMYFUNCTION("""COMPUTED_VALUE""")," ")</f>
        <v> </v>
      </c>
      <c r="H2420" s="44" t="str">
        <f>IFERROR(__xludf.DUMMYFUNCTION("""COMPUTED_VALUE""")," ")</f>
        <v> </v>
      </c>
      <c r="I2420" s="44" t="str">
        <f>IFERROR(__xludf.DUMMYFUNCTION("""COMPUTED_VALUE"""),"Quirófano – H")</f>
        <v>Quirófano – H</v>
      </c>
      <c r="J2420" s="44" t="str">
        <f>IFERROR(__xludf.DUMMYFUNCTION("""COMPUTED_VALUE"""),"")</f>
        <v/>
      </c>
      <c r="K2420" s="42" t="str">
        <f>IFERROR(__xludf.DUMMYFUNCTION("""COMPUTED_VALUE"""),"🔍 BUSCAR PACIENTES")</f>
        <v>🔍 BUSCAR PACIENTES</v>
      </c>
    </row>
    <row r="2421">
      <c r="A2421" s="44">
        <v>2420.0</v>
      </c>
      <c r="B2421" s="44" t="str">
        <f>IFERROR(__xludf.DUMMYFUNCTION("""COMPUTED_VALUE"""),"Hospital Domingo Luciani")</f>
        <v>Hospital Domingo Luciani</v>
      </c>
      <c r="C2421" s="45" t="str">
        <f>IFERROR(__xludf.DUMMYFUNCTION("""COMPUTED_VALUE"""),"LANDO SEBASTIAN")</f>
        <v>LANDO SEBASTIAN</v>
      </c>
      <c r="D2421" s="44">
        <f>IFERROR(__xludf.DUMMYFUNCTION("""COMPUTED_VALUE"""),7.0)</f>
        <v>7</v>
      </c>
      <c r="E2421" s="44" t="str">
        <f>IFERROR(__xludf.DUMMYFUNCTION("""COMPUTED_VALUE"""),"")</f>
        <v/>
      </c>
      <c r="F2421" s="44" t="str">
        <f>IFERROR(__xludf.DUMMYFUNCTION("""COMPUTED_VALUE"""),"")</f>
        <v/>
      </c>
      <c r="G2421" s="44" t="str">
        <f>IFERROR(__xludf.DUMMYFUNCTION("""COMPUTED_VALUE""")," ")</f>
        <v> </v>
      </c>
      <c r="H2421" s="44" t="str">
        <f>IFERROR(__xludf.DUMMYFUNCTION("""COMPUTED_VALUE""")," ")</f>
        <v> </v>
      </c>
      <c r="I2421" s="44" t="str">
        <f>IFERROR(__xludf.DUMMYFUNCTION("""COMPUTED_VALUE"""),"CI: 47513650")</f>
        <v>CI: 47513650</v>
      </c>
      <c r="J2421" s="44" t="str">
        <f>IFERROR(__xludf.DUMMYFUNCTION("""COMPUTED_VALUE"""),"")</f>
        <v/>
      </c>
      <c r="K2421" s="42" t="str">
        <f>IFERROR(__xludf.DUMMYFUNCTION("""COMPUTED_VALUE"""),"🔍 BUSCAR PACIENTES")</f>
        <v>🔍 BUSCAR PACIENTES</v>
      </c>
    </row>
    <row r="2422">
      <c r="A2422" s="44">
        <v>2421.0</v>
      </c>
      <c r="B2422" s="44" t="str">
        <f>IFERROR(__xludf.DUMMYFUNCTION("""COMPUTED_VALUE"""),"Campo de Golf Playa los Cocos")</f>
        <v>Campo de Golf Playa los Cocos</v>
      </c>
      <c r="C2422" s="45" t="str">
        <f>IFERROR(__xludf.DUMMYFUNCTION("""COMPUTED_VALUE"""),"Landro Cadenas")</f>
        <v>Landro Cadenas</v>
      </c>
      <c r="D2422" s="44" t="str">
        <f>IFERROR(__xludf.DUMMYFUNCTION("""COMPUTED_VALUE"""),"")</f>
        <v/>
      </c>
      <c r="E2422" s="44" t="str">
        <f>IFERROR(__xludf.DUMMYFUNCTION("""COMPUTED_VALUE"""),"")</f>
        <v/>
      </c>
      <c r="F2422" s="44" t="str">
        <f>IFERROR(__xludf.DUMMYFUNCTION("""COMPUTED_VALUE"""),"")</f>
        <v/>
      </c>
      <c r="G2422" s="44" t="str">
        <f>IFERROR(__xludf.DUMMYFUNCTION("""COMPUTED_VALUE"""),"")</f>
        <v/>
      </c>
      <c r="H2422" s="44" t="str">
        <f>IFERROR(__xludf.DUMMYFUNCTION("""COMPUTED_VALUE"""),"")</f>
        <v/>
      </c>
      <c r="I2422" s="44"/>
      <c r="J2422" s="44" t="str">
        <f>IFERROR(__xludf.DUMMYFUNCTION("""COMPUTED_VALUE"""),"")</f>
        <v/>
      </c>
      <c r="K2422" s="42" t="str">
        <f>IFERROR(__xludf.DUMMYFUNCTION("""COMPUTED_VALUE"""),"Campo de Golf Playa los Cocos")</f>
        <v>Campo de Golf Playa los Cocos</v>
      </c>
    </row>
    <row r="2423">
      <c r="A2423" s="44">
        <v>2422.0</v>
      </c>
      <c r="B2423" s="44" t="str">
        <f>IFERROR(__xludf.DUMMYFUNCTION("""COMPUTED_VALUE"""),"Periférico de Catia")</f>
        <v>Periférico de Catia</v>
      </c>
      <c r="C2423" s="45" t="str">
        <f>IFERROR(__xludf.DUMMYFUNCTION("""COMPUTED_VALUE"""),"LAPEZ NEIBER")</f>
        <v>LAPEZ NEIBER</v>
      </c>
      <c r="D2423" s="44">
        <f>IFERROR(__xludf.DUMMYFUNCTION("""COMPUTED_VALUE"""),34.0)</f>
        <v>34</v>
      </c>
      <c r="E2423" s="44" t="str">
        <f>IFERROR(__xludf.DUMMYFUNCTION("""COMPUTED_VALUE"""),"")</f>
        <v/>
      </c>
      <c r="F2423" s="44" t="str">
        <f>IFERROR(__xludf.DUMMYFUNCTION("""COMPUTED_VALUE"""),"")</f>
        <v/>
      </c>
      <c r="G2423" s="44" t="str">
        <f>IFERROR(__xludf.DUMMYFUNCTION("""COMPUTED_VALUE""")," ")</f>
        <v> </v>
      </c>
      <c r="H2423" s="44" t="str">
        <f>IFERROR(__xludf.DUMMYFUNCTION("""COMPUTED_VALUE""")," ")</f>
        <v> </v>
      </c>
      <c r="I2423" s="44" t="str">
        <f>IFERROR(__xludf.DUMMYFUNCTION("""COMPUTED_VALUE"""),"Sola")</f>
        <v>Sola</v>
      </c>
      <c r="J2423" s="44" t="str">
        <f>IFERROR(__xludf.DUMMYFUNCTION("""COMPUTED_VALUE"""),"")</f>
        <v/>
      </c>
      <c r="K2423" s="42" t="str">
        <f>IFERROR(__xludf.DUMMYFUNCTION("""COMPUTED_VALUE"""),"Periférico de Catia")</f>
        <v>Periférico de Catia</v>
      </c>
    </row>
    <row r="2424">
      <c r="A2424" s="44">
        <v>2423.0</v>
      </c>
      <c r="B2424" s="44" t="str">
        <f>IFERROR(__xludf.DUMMYFUNCTION("""COMPUTED_VALUE"""),"Centro de Acopio Caraballeda")</f>
        <v>Centro de Acopio Caraballeda</v>
      </c>
      <c r="C2424" s="45" t="str">
        <f>IFERROR(__xludf.DUMMYFUNCTION("""COMPUTED_VALUE"""),"LAREZ COROMOTO")</f>
        <v>LAREZ COROMOTO</v>
      </c>
      <c r="D2424" s="44" t="str">
        <f>IFERROR(__xludf.DUMMYFUNCTION("""COMPUTED_VALUE""")," ")</f>
        <v> </v>
      </c>
      <c r="E2424" s="44" t="str">
        <f>IFERROR(__xludf.DUMMYFUNCTION("""COMPUTED_VALUE"""),"")</f>
        <v/>
      </c>
      <c r="F2424" s="44" t="str">
        <f>IFERROR(__xludf.DUMMYFUNCTION("""COMPUTED_VALUE"""),"")</f>
        <v/>
      </c>
      <c r="G2424" s="44" t="str">
        <f>IFERROR(__xludf.DUMMYFUNCTION("""COMPUTED_VALUE""")," ")</f>
        <v> </v>
      </c>
      <c r="H2424" s="44" t="str">
        <f>IFERROR(__xludf.DUMMYFUNCTION("""COMPUTED_VALUE""")," ")</f>
        <v> </v>
      </c>
      <c r="I2424" s="44" t="str">
        <f>IFERROR(__xludf.DUMMYFUNCTION("""COMPUTED_VALUE"""),"Internado; (Menor)")</f>
        <v>Internado; (Menor)</v>
      </c>
      <c r="J2424" s="44" t="str">
        <f>IFERROR(__xludf.DUMMYFUNCTION("""COMPUTED_VALUE"""),"")</f>
        <v/>
      </c>
      <c r="K2424" s="42" t="str">
        <f>IFERROR(__xludf.DUMMYFUNCTION("""COMPUTED_VALUE"""),"🔍 BUSCAR PACIENTES")</f>
        <v>🔍 BUSCAR PACIENTES</v>
      </c>
    </row>
    <row r="2425">
      <c r="A2425" s="44">
        <v>2424.0</v>
      </c>
      <c r="B2425" s="44" t="str">
        <f>IFERROR(__xludf.DUMMYFUNCTION("""COMPUTED_VALUE"""),"Hospital Pérez Carreño")</f>
        <v>Hospital Pérez Carreño</v>
      </c>
      <c r="C2425" s="45" t="str">
        <f>IFERROR(__xludf.DUMMYFUNCTION("""COMPUTED_VALUE"""),"LAREZ GIEL")</f>
        <v>LAREZ GIEL</v>
      </c>
      <c r="D2425" s="44" t="str">
        <f>IFERROR(__xludf.DUMMYFUNCTION("""COMPUTED_VALUE""")," ")</f>
        <v> </v>
      </c>
      <c r="E2425" s="44" t="str">
        <f>IFERROR(__xludf.DUMMYFUNCTION("""COMPUTED_VALUE"""),"")</f>
        <v/>
      </c>
      <c r="F2425" s="44" t="str">
        <f>IFERROR(__xludf.DUMMYFUNCTION("""COMPUTED_VALUE"""),"")</f>
        <v/>
      </c>
      <c r="G2425" s="44" t="str">
        <f>IFERROR(__xludf.DUMMYFUNCTION("""COMPUTED_VALUE""")," ")</f>
        <v> </v>
      </c>
      <c r="H2425" s="44" t="str">
        <f>IFERROR(__xludf.DUMMYFUNCTION("""COMPUTED_VALUE""")," ")</f>
        <v> </v>
      </c>
      <c r="I2425" s="44" t="str">
        <f>IFERROR(__xludf.DUMMYFUNCTION("""COMPUTED_VALUE"""),"Internado")</f>
        <v>Internado</v>
      </c>
      <c r="J2425" s="44" t="str">
        <f>IFERROR(__xludf.DUMMYFUNCTION("""COMPUTED_VALUE"""),"25/06/2026")</f>
        <v>25/06/2026</v>
      </c>
      <c r="K2425" s="42" t="str">
        <f>IFERROR(__xludf.DUMMYFUNCTION("""COMPUTED_VALUE"""),"Hospital Pérez Carreño")</f>
        <v>Hospital Pérez Carreño</v>
      </c>
    </row>
    <row r="2426">
      <c r="A2426" s="44">
        <v>2425.0</v>
      </c>
      <c r="B2426" s="44" t="str">
        <f>IFERROR(__xludf.DUMMYFUNCTION("""COMPUTED_VALUE"""),"Hospital Pérez Carreño")</f>
        <v>Hospital Pérez Carreño</v>
      </c>
      <c r="C2426" s="45" t="str">
        <f>IFERROR(__xludf.DUMMYFUNCTION("""COMPUTED_VALUE"""),"Larez Gilo")</f>
        <v>Larez Gilo</v>
      </c>
      <c r="D2426" s="44"/>
      <c r="E2426" s="44" t="str">
        <f>IFERROR(__xludf.DUMMYFUNCTION("""COMPUTED_VALUE"""),"")</f>
        <v/>
      </c>
      <c r="F2426" s="44" t="str">
        <f>IFERROR(__xludf.DUMMYFUNCTION("""COMPUTED_VALUE"""),"")</f>
        <v/>
      </c>
      <c r="G2426" s="44" t="str">
        <f>IFERROR(__xludf.DUMMYFUNCTION("""COMPUTED_VALUE"""),"Traslados con destino asignado")</f>
        <v>Traslados con destino asignado</v>
      </c>
      <c r="H2426" s="44" t="str">
        <f>IFERROR(__xludf.DUMMYFUNCTION("""COMPUTED_VALUE"""),"Hospital Miguel Perez Carreño")</f>
        <v>Hospital Miguel Perez Carreño</v>
      </c>
      <c r="I2426" s="44"/>
      <c r="J2426" s="44" t="str">
        <f>IFERROR(__xludf.DUMMYFUNCTION("""COMPUTED_VALUE"""),"26/6/26")</f>
        <v>26/6/26</v>
      </c>
      <c r="K2426" s="42" t="str">
        <f>IFERROR(__xludf.DUMMYFUNCTION("""COMPUTED_VALUE"""),"Hospital Pérez Carreño")</f>
        <v>Hospital Pérez Carreño</v>
      </c>
    </row>
    <row r="2427">
      <c r="A2427" s="44">
        <v>2426.0</v>
      </c>
      <c r="B2427" s="44" t="str">
        <f>IFERROR(__xludf.DUMMYFUNCTION("""COMPUTED_VALUE"""),"Hospital Domingo Luciani")</f>
        <v>Hospital Domingo Luciani</v>
      </c>
      <c r="C2427" s="45" t="str">
        <f>IFERROR(__xludf.DUMMYFUNCTION("""COMPUTED_VALUE"""),"LASTRA VISBAL CLARA")</f>
        <v>LASTRA VISBAL CLARA</v>
      </c>
      <c r="D2427" s="44" t="str">
        <f>IFERROR(__xludf.DUMMYFUNCTION("""COMPUTED_VALUE""")," ")</f>
        <v> </v>
      </c>
      <c r="E2427" s="44" t="str">
        <f>IFERROR(__xludf.DUMMYFUNCTION("""COMPUTED_VALUE"""),"")</f>
        <v/>
      </c>
      <c r="F2427" s="44" t="str">
        <f>IFERROR(__xludf.DUMMYFUNCTION("""COMPUTED_VALUE"""),"")</f>
        <v/>
      </c>
      <c r="G2427" s="44" t="str">
        <f>IFERROR(__xludf.DUMMYFUNCTION("""COMPUTED_VALUE""")," ")</f>
        <v> </v>
      </c>
      <c r="H2427" s="44" t="str">
        <f>IFERROR(__xludf.DUMMYFUNCTION("""COMPUTED_VALUE""")," ")</f>
        <v> </v>
      </c>
      <c r="I2427" s="44" t="str">
        <f>IFERROR(__xludf.DUMMYFUNCTION("""COMPUTED_VALUE""")," ")</f>
        <v> </v>
      </c>
      <c r="J2427" s="44" t="str">
        <f>IFERROR(__xludf.DUMMYFUNCTION("""COMPUTED_VALUE"""),"")</f>
        <v/>
      </c>
      <c r="K2427" s="42" t="str">
        <f>IFERROR(__xludf.DUMMYFUNCTION("""COMPUTED_VALUE"""),"🔍 BUSCAR PACIENTES")</f>
        <v>🔍 BUSCAR PACIENTES</v>
      </c>
    </row>
    <row r="2428">
      <c r="A2428" s="44">
        <v>2427.0</v>
      </c>
      <c r="B2428" s="44" t="str">
        <f>IFERROR(__xludf.DUMMYFUNCTION("""COMPUTED_VALUE"""),"Periférico de Catia")</f>
        <v>Periférico de Catia</v>
      </c>
      <c r="C2428" s="45" t="str">
        <f>IFERROR(__xludf.DUMMYFUNCTION("""COMPUTED_VALUE"""),"Lastra Vistal Clara")</f>
        <v>Lastra Vistal Clara</v>
      </c>
      <c r="D2428" s="44"/>
      <c r="E2428" s="44" t="str">
        <f>IFERROR(__xludf.DUMMYFUNCTION("""COMPUTED_VALUE"""),"")</f>
        <v/>
      </c>
      <c r="F2428" s="44" t="str">
        <f>IFERROR(__xludf.DUMMYFUNCTION("""COMPUTED_VALUE"""),"")</f>
        <v/>
      </c>
      <c r="G2428" s="44"/>
      <c r="H2428" s="44"/>
      <c r="I2428" s="44" t="str">
        <f>IFERROR(__xludf.DUMMYFUNCTION("""COMPUTED_VALUE"""),"Politrauma (continuacion, hoja sin edades)")</f>
        <v>Politrauma (continuacion, hoja sin edades)</v>
      </c>
      <c r="J2428" s="44" t="str">
        <f>IFERROR(__xludf.DUMMYFUNCTION("""COMPUTED_VALUE"""),"")</f>
        <v/>
      </c>
      <c r="K2428" s="42" t="str">
        <f>IFERROR(__xludf.DUMMYFUNCTION("""COMPUTED_VALUE"""),"Periférico de Catia")</f>
        <v>Periférico de Catia</v>
      </c>
    </row>
    <row r="2429">
      <c r="A2429" s="44">
        <v>2428.0</v>
      </c>
      <c r="B2429" s="44" t="str">
        <f>IFERROR(__xludf.DUMMYFUNCTION("""COMPUTED_VALUE"""),"Hospital Pérez Carreño")</f>
        <v>Hospital Pérez Carreño</v>
      </c>
      <c r="C2429" s="45" t="str">
        <f>IFERROR(__xludf.DUMMYFUNCTION("""COMPUTED_VALUE"""),"LAUNSETT BURGOS CARLA ANTONIA")</f>
        <v>LAUNSETT BURGOS CARLA ANTONIA</v>
      </c>
      <c r="D2429" s="44" t="str">
        <f>IFERROR(__xludf.DUMMYFUNCTION("""COMPUTED_VALUE""")," ")</f>
        <v> </v>
      </c>
      <c r="E2429" s="44" t="str">
        <f>IFERROR(__xludf.DUMMYFUNCTION("""COMPUTED_VALUE"""),"")</f>
        <v/>
      </c>
      <c r="F2429" s="44" t="str">
        <f>IFERROR(__xludf.DUMMYFUNCTION("""COMPUTED_VALUE"""),"")</f>
        <v/>
      </c>
      <c r="G2429" s="44" t="str">
        <f>IFERROR(__xludf.DUMMYFUNCTION("""COMPUTED_VALUE""")," ")</f>
        <v> </v>
      </c>
      <c r="H2429" s="44" t="str">
        <f>IFERROR(__xludf.DUMMYFUNCTION("""COMPUTED_VALUE""")," ")</f>
        <v> </v>
      </c>
      <c r="I2429" s="44" t="str">
        <f>IFERROR(__xludf.DUMMYFUNCTION("""COMPUTED_VALUE"""),"Internado")</f>
        <v>Internado</v>
      </c>
      <c r="J2429" s="44" t="str">
        <f>IFERROR(__xludf.DUMMYFUNCTION("""COMPUTED_VALUE"""),"25/06/2026")</f>
        <v>25/06/2026</v>
      </c>
      <c r="K2429" s="42" t="str">
        <f>IFERROR(__xludf.DUMMYFUNCTION("""COMPUTED_VALUE"""),"Hospital Pérez Carreño")</f>
        <v>Hospital Pérez Carreño</v>
      </c>
    </row>
    <row r="2430">
      <c r="A2430" s="44">
        <v>2429.0</v>
      </c>
      <c r="B2430" s="44" t="str">
        <f>IFERROR(__xludf.DUMMYFUNCTION("""COMPUTED_VALUE"""),"Hospital Domingo Luciani")</f>
        <v>Hospital Domingo Luciani</v>
      </c>
      <c r="C2430" s="45" t="str">
        <f>IFERROR(__xludf.DUMMYFUNCTION("""COMPUTED_VALUE"""),"LAURA BALAS")</f>
        <v>LAURA BALAS</v>
      </c>
      <c r="D2430" s="44">
        <f>IFERROR(__xludf.DUMMYFUNCTION("""COMPUTED_VALUE"""),33.0)</f>
        <v>33</v>
      </c>
      <c r="E2430" s="44" t="str">
        <f>IFERROR(__xludf.DUMMYFUNCTION("""COMPUTED_VALUE"""),"")</f>
        <v/>
      </c>
      <c r="F2430" s="44" t="str">
        <f>IFERROR(__xludf.DUMMYFUNCTION("""COMPUTED_VALUE"""),"")</f>
        <v/>
      </c>
      <c r="G2430" s="44" t="str">
        <f>IFERROR(__xludf.DUMMYFUNCTION("""COMPUTED_VALUE""")," ")</f>
        <v> </v>
      </c>
      <c r="H2430" s="44" t="str">
        <f>IFERROR(__xludf.DUMMYFUNCTION("""COMPUTED_VALUE""")," ")</f>
        <v> </v>
      </c>
      <c r="I2430" s="44" t="str">
        <f>IFERROR(__xludf.DUMMYFUNCTION("""COMPUTED_VALUE"""),"Politrauma Emerg. Nueva")</f>
        <v>Politrauma Emerg. Nueva</v>
      </c>
      <c r="J2430" s="44" t="str">
        <f>IFERROR(__xludf.DUMMYFUNCTION("""COMPUTED_VALUE"""),"")</f>
        <v/>
      </c>
      <c r="K2430" s="42" t="str">
        <f>IFERROR(__xludf.DUMMYFUNCTION("""COMPUTED_VALUE"""),"🔍 BUSCAR PACIENTES")</f>
        <v>🔍 BUSCAR PACIENTES</v>
      </c>
    </row>
    <row r="2431">
      <c r="A2431" s="44">
        <v>2430.0</v>
      </c>
      <c r="B2431" s="44" t="str">
        <f>IFERROR(__xludf.DUMMYFUNCTION("""COMPUTED_VALUE"""),"H. Jose Maria Vargas LG")</f>
        <v>H. Jose Maria Vargas LG</v>
      </c>
      <c r="C2431" s="45" t="str">
        <f>IFERROR(__xludf.DUMMYFUNCTION("""COMPUTED_VALUE"""),"LAVORCA WILMER")</f>
        <v>LAVORCA WILMER</v>
      </c>
      <c r="D2431" s="44" t="str">
        <f>IFERROR(__xludf.DUMMYFUNCTION("""COMPUTED_VALUE""")," ")</f>
        <v> </v>
      </c>
      <c r="E2431" s="44" t="str">
        <f>IFERROR(__xludf.DUMMYFUNCTION("""COMPUTED_VALUE"""),"")</f>
        <v/>
      </c>
      <c r="F2431" s="44" t="str">
        <f>IFERROR(__xludf.DUMMYFUNCTION("""COMPUTED_VALUE"""),"")</f>
        <v/>
      </c>
      <c r="G2431" s="44" t="str">
        <f>IFERROR(__xludf.DUMMYFUNCTION("""COMPUTED_VALUE""")," ")</f>
        <v> </v>
      </c>
      <c r="H2431" s="44" t="str">
        <f>IFERROR(__xludf.DUMMYFUNCTION("""COMPUTED_VALUE""")," ")</f>
        <v> </v>
      </c>
      <c r="I2431" s="44" t="str">
        <f>IFERROR(__xludf.DUMMYFUNCTION("""COMPUTED_VALUE""")," ")</f>
        <v> </v>
      </c>
      <c r="J2431" s="44" t="str">
        <f>IFERROR(__xludf.DUMMYFUNCTION("""COMPUTED_VALUE"""),"")</f>
        <v/>
      </c>
      <c r="K2431" s="42" t="str">
        <f>IFERROR(__xludf.DUMMYFUNCTION("""COMPUTED_VALUE"""),"H. Jose Maria Vargas LG")</f>
        <v>H. Jose Maria Vargas LG</v>
      </c>
    </row>
    <row r="2432">
      <c r="A2432" s="44">
        <v>2431.0</v>
      </c>
      <c r="B2432" s="44" t="str">
        <f>IFERROR(__xludf.DUMMYFUNCTION("""COMPUTED_VALUE"""),"H. Jose Maria Vargas LG")</f>
        <v>H. Jose Maria Vargas LG</v>
      </c>
      <c r="C2432" s="45" t="str">
        <f>IFERROR(__xludf.DUMMYFUNCTION("""COMPUTED_VALUE"""),"LAYA ANDRES")</f>
        <v>LAYA ANDRES</v>
      </c>
      <c r="D2432" s="44">
        <f>IFERROR(__xludf.DUMMYFUNCTION("""COMPUTED_VALUE"""),25.0)</f>
        <v>25</v>
      </c>
      <c r="E2432" s="44" t="str">
        <f>IFERROR(__xludf.DUMMYFUNCTION("""COMPUTED_VALUE"""),"")</f>
        <v/>
      </c>
      <c r="F2432" s="44" t="str">
        <f>IFERROR(__xludf.DUMMYFUNCTION("""COMPUTED_VALUE"""),"")</f>
        <v/>
      </c>
      <c r="G2432" s="44" t="str">
        <f>IFERROR(__xludf.DUMMYFUNCTION("""COMPUTED_VALUE""")," ")</f>
        <v> </v>
      </c>
      <c r="H2432" s="44" t="str">
        <f>IFERROR(__xludf.DUMMYFUNCTION("""COMPUTED_VALUE""")," ")</f>
        <v> </v>
      </c>
      <c r="I2432" s="44" t="str">
        <f>IFERROR(__xludf.DUMMYFUNCTION("""COMPUTED_VALUE""")," ")</f>
        <v> </v>
      </c>
      <c r="J2432" s="44" t="str">
        <f>IFERROR(__xludf.DUMMYFUNCTION("""COMPUTED_VALUE"""),"")</f>
        <v/>
      </c>
      <c r="K2432" s="42" t="str">
        <f>IFERROR(__xludf.DUMMYFUNCTION("""COMPUTED_VALUE"""),"H. Jose Maria Vargas LG")</f>
        <v>H. Jose Maria Vargas LG</v>
      </c>
    </row>
    <row r="2433">
      <c r="A2433" s="44">
        <v>2432.0</v>
      </c>
      <c r="B2433" s="44" t="str">
        <f>IFERROR(__xludf.DUMMYFUNCTION("""COMPUTED_VALUE"""),"Hospital Vargas de Caracas")</f>
        <v>Hospital Vargas de Caracas</v>
      </c>
      <c r="C2433" s="45" t="str">
        <f>IFERROR(__xludf.DUMMYFUNCTION("""COMPUTED_VALUE"""),"LEAL AMERICA")</f>
        <v>LEAL AMERICA</v>
      </c>
      <c r="D2433" s="44" t="str">
        <f>IFERROR(__xludf.DUMMYFUNCTION("""COMPUTED_VALUE""")," ")</f>
        <v> </v>
      </c>
      <c r="E2433" s="44" t="str">
        <f>IFERROR(__xludf.DUMMYFUNCTION("""COMPUTED_VALUE"""),"")</f>
        <v/>
      </c>
      <c r="F2433" s="44" t="str">
        <f>IFERROR(__xludf.DUMMYFUNCTION("""COMPUTED_VALUE""")," ")</f>
        <v> </v>
      </c>
      <c r="G2433" s="44" t="str">
        <f>IFERROR(__xludf.DUMMYFUNCTION("""COMPUTED_VALUE"""),"")</f>
        <v/>
      </c>
      <c r="H2433" s="44" t="str">
        <f>IFERROR(__xludf.DUMMYFUNCTION("""COMPUTED_VALUE""")," ")</f>
        <v> </v>
      </c>
      <c r="I2433" s="44" t="str">
        <f>IFERROR(__xludf.DUMMYFUNCTION("""COMPUTED_VALUE""")," ")</f>
        <v> </v>
      </c>
      <c r="J2433" s="44" t="str">
        <f>IFERROR(__xludf.DUMMYFUNCTION("""COMPUTED_VALUE"""),"")</f>
        <v/>
      </c>
      <c r="K2433" s="42" t="str">
        <f>IFERROR(__xludf.DUMMYFUNCTION("""COMPUTED_VALUE"""),"Hospital Vargas de Caracas")</f>
        <v>Hospital Vargas de Caracas</v>
      </c>
    </row>
    <row r="2434">
      <c r="A2434" s="44">
        <v>2433.0</v>
      </c>
      <c r="B2434" s="44" t="str">
        <f>IFERROR(__xludf.DUMMYFUNCTION("""COMPUTED_VALUE"""),"Hospital Vargas de Caracas")</f>
        <v>Hospital Vargas de Caracas</v>
      </c>
      <c r="C2434" s="45" t="str">
        <f>IFERROR(__xludf.DUMMYFUNCTION("""COMPUTED_VALUE"""),"LEDEZMA LISETH")</f>
        <v>LEDEZMA LISETH</v>
      </c>
      <c r="D2434" s="44" t="str">
        <f>IFERROR(__xludf.DUMMYFUNCTION("""COMPUTED_VALUE""")," ")</f>
        <v> </v>
      </c>
      <c r="E2434" s="44" t="str">
        <f>IFERROR(__xludf.DUMMYFUNCTION("""COMPUTED_VALUE"""),"")</f>
        <v/>
      </c>
      <c r="F2434" s="44" t="str">
        <f>IFERROR(__xludf.DUMMYFUNCTION("""COMPUTED_VALUE""")," ")</f>
        <v> </v>
      </c>
      <c r="G2434" s="44" t="str">
        <f>IFERROR(__xludf.DUMMYFUNCTION("""COMPUTED_VALUE"""),"")</f>
        <v/>
      </c>
      <c r="H2434" s="44" t="str">
        <f>IFERROR(__xludf.DUMMYFUNCTION("""COMPUTED_VALUE""")," ")</f>
        <v> </v>
      </c>
      <c r="I2434" s="44" t="str">
        <f>IFERROR(__xludf.DUMMYFUNCTION("""COMPUTED_VALUE""")," ")</f>
        <v> </v>
      </c>
      <c r="J2434" s="44" t="str">
        <f>IFERROR(__xludf.DUMMYFUNCTION("""COMPUTED_VALUE"""),"")</f>
        <v/>
      </c>
      <c r="K2434" s="42" t="str">
        <f>IFERROR(__xludf.DUMMYFUNCTION("""COMPUTED_VALUE"""),"Hospital Vargas de Caracas")</f>
        <v>Hospital Vargas de Caracas</v>
      </c>
    </row>
    <row r="2435">
      <c r="A2435" s="44">
        <v>2434.0</v>
      </c>
      <c r="B2435" s="44" t="str">
        <f>IFERROR(__xludf.DUMMYFUNCTION("""COMPUTED_VALUE"""),"Hospital Pérez Carreño")</f>
        <v>Hospital Pérez Carreño</v>
      </c>
      <c r="C2435" s="45" t="str">
        <f>IFERROR(__xludf.DUMMYFUNCTION("""COMPUTED_VALUE"""),"LEMUS MARIA")</f>
        <v>LEMUS MARIA</v>
      </c>
      <c r="D2435" s="44" t="str">
        <f>IFERROR(__xludf.DUMMYFUNCTION("""COMPUTED_VALUE""")," ")</f>
        <v> </v>
      </c>
      <c r="E2435" s="44" t="str">
        <f>IFERROR(__xludf.DUMMYFUNCTION("""COMPUTED_VALUE"""),"")</f>
        <v/>
      </c>
      <c r="F2435" s="44" t="str">
        <f>IFERROR(__xludf.DUMMYFUNCTION("""COMPUTED_VALUE"""),"")</f>
        <v/>
      </c>
      <c r="G2435" s="44" t="str">
        <f>IFERROR(__xludf.DUMMYFUNCTION("""COMPUTED_VALUE""")," ")</f>
        <v> </v>
      </c>
      <c r="H2435" s="44" t="str">
        <f>IFERROR(__xludf.DUMMYFUNCTION("""COMPUTED_VALUE""")," ")</f>
        <v> </v>
      </c>
      <c r="I2435" s="44" t="str">
        <f>IFERROR(__xludf.DUMMYFUNCTION("""COMPUTED_VALUE"""),"Internado")</f>
        <v>Internado</v>
      </c>
      <c r="J2435" s="44" t="str">
        <f>IFERROR(__xludf.DUMMYFUNCTION("""COMPUTED_VALUE"""),"25/06/2026")</f>
        <v>25/06/2026</v>
      </c>
      <c r="K2435" s="42" t="str">
        <f>IFERROR(__xludf.DUMMYFUNCTION("""COMPUTED_VALUE"""),"Hospital Pérez Carreño")</f>
        <v>Hospital Pérez Carreño</v>
      </c>
    </row>
    <row r="2436">
      <c r="A2436" s="44">
        <v>2435.0</v>
      </c>
      <c r="B2436" s="44" t="str">
        <f>IFERROR(__xludf.DUMMYFUNCTION("""COMPUTED_VALUE"""),"Centro de Acopio Caraballeda")</f>
        <v>Centro de Acopio Caraballeda</v>
      </c>
      <c r="C2436" s="45" t="str">
        <f>IFERROR(__xludf.DUMMYFUNCTION("""COMPUTED_VALUE"""),"LEON ANDY")</f>
        <v>LEON ANDY</v>
      </c>
      <c r="D2436" s="44" t="str">
        <f>IFERROR(__xludf.DUMMYFUNCTION("""COMPUTED_VALUE""")," ")</f>
        <v> </v>
      </c>
      <c r="E2436" s="44" t="str">
        <f>IFERROR(__xludf.DUMMYFUNCTION("""COMPUTED_VALUE"""),"")</f>
        <v/>
      </c>
      <c r="F2436" s="44" t="str">
        <f>IFERROR(__xludf.DUMMYFUNCTION("""COMPUTED_VALUE"""),"")</f>
        <v/>
      </c>
      <c r="G2436" s="44" t="str">
        <f>IFERROR(__xludf.DUMMYFUNCTION("""COMPUTED_VALUE""")," ")</f>
        <v> </v>
      </c>
      <c r="H2436" s="44" t="str">
        <f>IFERROR(__xludf.DUMMYFUNCTION("""COMPUTED_VALUE""")," ")</f>
        <v> </v>
      </c>
      <c r="I2436" s="44" t="str">
        <f>IFERROR(__xludf.DUMMYFUNCTION("""COMPUTED_VALUE"""),"Internado")</f>
        <v>Internado</v>
      </c>
      <c r="J2436" s="44" t="str">
        <f>IFERROR(__xludf.DUMMYFUNCTION("""COMPUTED_VALUE"""),"")</f>
        <v/>
      </c>
      <c r="K2436" s="42" t="str">
        <f>IFERROR(__xludf.DUMMYFUNCTION("""COMPUTED_VALUE"""),"🔍 BUSCAR PACIENTES")</f>
        <v>🔍 BUSCAR PACIENTES</v>
      </c>
    </row>
    <row r="2437">
      <c r="A2437" s="44">
        <v>2436.0</v>
      </c>
      <c r="B2437" s="44" t="str">
        <f>IFERROR(__xludf.DUMMYFUNCTION("""COMPUTED_VALUE"""),"Centro de Acopio Caraballeda")</f>
        <v>Centro de Acopio Caraballeda</v>
      </c>
      <c r="C2437" s="45" t="str">
        <f>IFERROR(__xludf.DUMMYFUNCTION("""COMPUTED_VALUE"""),"LEON DANIEL")</f>
        <v>LEON DANIEL</v>
      </c>
      <c r="D2437" s="44" t="str">
        <f>IFERROR(__xludf.DUMMYFUNCTION("""COMPUTED_VALUE""")," ")</f>
        <v> </v>
      </c>
      <c r="E2437" s="44" t="str">
        <f>IFERROR(__xludf.DUMMYFUNCTION("""COMPUTED_VALUE"""),"")</f>
        <v/>
      </c>
      <c r="F2437" s="44" t="str">
        <f>IFERROR(__xludf.DUMMYFUNCTION("""COMPUTED_VALUE"""),"")</f>
        <v/>
      </c>
      <c r="G2437" s="44" t="str">
        <f>IFERROR(__xludf.DUMMYFUNCTION("""COMPUTED_VALUE""")," ")</f>
        <v> </v>
      </c>
      <c r="H2437" s="44" t="str">
        <f>IFERROR(__xludf.DUMMYFUNCTION("""COMPUTED_VALUE""")," ")</f>
        <v> </v>
      </c>
      <c r="I2437" s="44" t="str">
        <f>IFERROR(__xludf.DUMMYFUNCTION("""COMPUTED_VALUE"""),"Internado")</f>
        <v>Internado</v>
      </c>
      <c r="J2437" s="44" t="str">
        <f>IFERROR(__xludf.DUMMYFUNCTION("""COMPUTED_VALUE"""),"")</f>
        <v/>
      </c>
      <c r="K2437" s="42" t="str">
        <f>IFERROR(__xludf.DUMMYFUNCTION("""COMPUTED_VALUE"""),"🔍 BUSCAR PACIENTES")</f>
        <v>🔍 BUSCAR PACIENTES</v>
      </c>
    </row>
    <row r="2438">
      <c r="A2438" s="44">
        <v>2437.0</v>
      </c>
      <c r="B2438" s="44" t="str">
        <f>IFERROR(__xludf.DUMMYFUNCTION("""COMPUTED_VALUE"""),"H. Jose Maria Vargas LG")</f>
        <v>H. Jose Maria Vargas LG</v>
      </c>
      <c r="C2438" s="45" t="str">
        <f>IFERROR(__xludf.DUMMYFUNCTION("""COMPUTED_VALUE"""),"LEON DEIRA")</f>
        <v>LEON DEIRA</v>
      </c>
      <c r="D2438" s="44">
        <f>IFERROR(__xludf.DUMMYFUNCTION("""COMPUTED_VALUE"""),7.0)</f>
        <v>7</v>
      </c>
      <c r="E2438" s="44" t="str">
        <f>IFERROR(__xludf.DUMMYFUNCTION("""COMPUTED_VALUE"""),"")</f>
        <v/>
      </c>
      <c r="F2438" s="44" t="str">
        <f>IFERROR(__xludf.DUMMYFUNCTION("""COMPUTED_VALUE"""),"")</f>
        <v/>
      </c>
      <c r="G2438" s="44" t="str">
        <f>IFERROR(__xludf.DUMMYFUNCTION("""COMPUTED_VALUE""")," ")</f>
        <v> </v>
      </c>
      <c r="H2438" s="44" t="str">
        <f>IFERROR(__xludf.DUMMYFUNCTION("""COMPUTED_VALUE"""),"Playa Grande")</f>
        <v>Playa Grande</v>
      </c>
      <c r="I2438" s="44" t="str">
        <f>IFERROR(__xludf.DUMMYFUNCTION("""COMPUTED_VALUE""")," ")</f>
        <v> </v>
      </c>
      <c r="J2438" s="44" t="str">
        <f>IFERROR(__xludf.DUMMYFUNCTION("""COMPUTED_VALUE"""),"")</f>
        <v/>
      </c>
      <c r="K2438" s="42" t="str">
        <f>IFERROR(__xludf.DUMMYFUNCTION("""COMPUTED_VALUE"""),"H. Jose Maria Vargas LG")</f>
        <v>H. Jose Maria Vargas LG</v>
      </c>
    </row>
    <row r="2439">
      <c r="A2439" s="44">
        <v>2438.0</v>
      </c>
      <c r="B2439" s="44" t="str">
        <f>IFERROR(__xludf.DUMMYFUNCTION("""COMPUTED_VALUE"""),"Centro de Acopio Caraballeda")</f>
        <v>Centro de Acopio Caraballeda</v>
      </c>
      <c r="C2439" s="45" t="str">
        <f>IFERROR(__xludf.DUMMYFUNCTION("""COMPUTED_VALUE"""),"LEON JESUS")</f>
        <v>LEON JESUS</v>
      </c>
      <c r="D2439" s="44" t="str">
        <f>IFERROR(__xludf.DUMMYFUNCTION("""COMPUTED_VALUE""")," ")</f>
        <v> </v>
      </c>
      <c r="E2439" s="44" t="str">
        <f>IFERROR(__xludf.DUMMYFUNCTION("""COMPUTED_VALUE"""),"")</f>
        <v/>
      </c>
      <c r="F2439" s="44" t="str">
        <f>IFERROR(__xludf.DUMMYFUNCTION("""COMPUTED_VALUE"""),"")</f>
        <v/>
      </c>
      <c r="G2439" s="44" t="str">
        <f>IFERROR(__xludf.DUMMYFUNCTION("""COMPUTED_VALUE""")," ")</f>
        <v> </v>
      </c>
      <c r="H2439" s="44" t="str">
        <f>IFERROR(__xludf.DUMMYFUNCTION("""COMPUTED_VALUE""")," ")</f>
        <v> </v>
      </c>
      <c r="I2439" s="44" t="str">
        <f>IFERROR(__xludf.DUMMYFUNCTION("""COMPUTED_VALUE"""),"Internado")</f>
        <v>Internado</v>
      </c>
      <c r="J2439" s="44" t="str">
        <f>IFERROR(__xludf.DUMMYFUNCTION("""COMPUTED_VALUE"""),"")</f>
        <v/>
      </c>
      <c r="K2439" s="42" t="str">
        <f>IFERROR(__xludf.DUMMYFUNCTION("""COMPUTED_VALUE"""),"🔍 BUSCAR PACIENTES")</f>
        <v>🔍 BUSCAR PACIENTES</v>
      </c>
    </row>
    <row r="2440">
      <c r="A2440" s="44">
        <v>2439.0</v>
      </c>
      <c r="B2440" s="44" t="str">
        <f>IFERROR(__xludf.DUMMYFUNCTION("""COMPUTED_VALUE"""),"Centro de Acopio Caraballeda")</f>
        <v>Centro de Acopio Caraballeda</v>
      </c>
      <c r="C2440" s="45" t="str">
        <f>IFERROR(__xludf.DUMMYFUNCTION("""COMPUTED_VALUE"""),"LEON LUDDY")</f>
        <v>LEON LUDDY</v>
      </c>
      <c r="D2440" s="44" t="str">
        <f>IFERROR(__xludf.DUMMYFUNCTION("""COMPUTED_VALUE""")," ")</f>
        <v> </v>
      </c>
      <c r="E2440" s="44" t="str">
        <f>IFERROR(__xludf.DUMMYFUNCTION("""COMPUTED_VALUE"""),"")</f>
        <v/>
      </c>
      <c r="F2440" s="44" t="str">
        <f>IFERROR(__xludf.DUMMYFUNCTION("""COMPUTED_VALUE"""),"")</f>
        <v/>
      </c>
      <c r="G2440" s="44" t="str">
        <f>IFERROR(__xludf.DUMMYFUNCTION("""COMPUTED_VALUE""")," ")</f>
        <v> </v>
      </c>
      <c r="H2440" s="44" t="str">
        <f>IFERROR(__xludf.DUMMYFUNCTION("""COMPUTED_VALUE""")," ")</f>
        <v> </v>
      </c>
      <c r="I2440" s="44" t="str">
        <f>IFERROR(__xludf.DUMMYFUNCTION("""COMPUTED_VALUE"""),"Internado")</f>
        <v>Internado</v>
      </c>
      <c r="J2440" s="44" t="str">
        <f>IFERROR(__xludf.DUMMYFUNCTION("""COMPUTED_VALUE"""),"")</f>
        <v/>
      </c>
      <c r="K2440" s="42" t="str">
        <f>IFERROR(__xludf.DUMMYFUNCTION("""COMPUTED_VALUE"""),"🔍 BUSCAR PACIENTES")</f>
        <v>🔍 BUSCAR PACIENTES</v>
      </c>
    </row>
    <row r="2441">
      <c r="A2441" s="44">
        <v>2440.0</v>
      </c>
      <c r="B2441" s="44" t="str">
        <f>IFERROR(__xludf.DUMMYFUNCTION("""COMPUTED_VALUE"""),"H. Jose Maria Vargas LG")</f>
        <v>H. Jose Maria Vargas LG</v>
      </c>
      <c r="C2441" s="45" t="str">
        <f>IFERROR(__xludf.DUMMYFUNCTION("""COMPUTED_VALUE"""),"LEON MANUEL")</f>
        <v>LEON MANUEL</v>
      </c>
      <c r="D2441" s="44" t="str">
        <f>IFERROR(__xludf.DUMMYFUNCTION("""COMPUTED_VALUE""")," ")</f>
        <v> </v>
      </c>
      <c r="E2441" s="44" t="str">
        <f>IFERROR(__xludf.DUMMYFUNCTION("""COMPUTED_VALUE"""),"")</f>
        <v/>
      </c>
      <c r="F2441" s="44" t="str">
        <f>IFERROR(__xludf.DUMMYFUNCTION("""COMPUTED_VALUE"""),"")</f>
        <v/>
      </c>
      <c r="G2441" s="44" t="str">
        <f>IFERROR(__xludf.DUMMYFUNCTION("""COMPUTED_VALUE""")," ")</f>
        <v> </v>
      </c>
      <c r="H2441" s="44" t="str">
        <f>IFERROR(__xludf.DUMMYFUNCTION("""COMPUTED_VALUE""")," ")</f>
        <v> </v>
      </c>
      <c r="I2441" s="44" t="str">
        <f>IFERROR(__xludf.DUMMYFUNCTION("""COMPUTED_VALUE"""),"Internado")</f>
        <v>Internado</v>
      </c>
      <c r="J2441" s="44" t="str">
        <f>IFERROR(__xludf.DUMMYFUNCTION("""COMPUTED_VALUE"""),"")</f>
        <v/>
      </c>
      <c r="K2441" s="42" t="str">
        <f>IFERROR(__xludf.DUMMYFUNCTION("""COMPUTED_VALUE"""),"H. Jose Maria Vargas LG")</f>
        <v>H. Jose Maria Vargas LG</v>
      </c>
    </row>
    <row r="2442">
      <c r="A2442" s="44">
        <v>2441.0</v>
      </c>
      <c r="B2442" s="44" t="str">
        <f>IFERROR(__xludf.DUMMYFUNCTION("""COMPUTED_VALUE"""),"H. Jose Maria Vargas LG")</f>
        <v>H. Jose Maria Vargas LG</v>
      </c>
      <c r="C2442" s="45" t="str">
        <f>IFERROR(__xludf.DUMMYFUNCTION("""COMPUTED_VALUE"""),"LEON MAYA")</f>
        <v>LEON MAYA</v>
      </c>
      <c r="D2442" s="44">
        <f>IFERROR(__xludf.DUMMYFUNCTION("""COMPUTED_VALUE"""),4.0)</f>
        <v>4</v>
      </c>
      <c r="E2442" s="44" t="str">
        <f>IFERROR(__xludf.DUMMYFUNCTION("""COMPUTED_VALUE"""),"")</f>
        <v/>
      </c>
      <c r="F2442" s="44" t="str">
        <f>IFERROR(__xludf.DUMMYFUNCTION("""COMPUTED_VALUE"""),"")</f>
        <v/>
      </c>
      <c r="G2442" s="44" t="str">
        <f>IFERROR(__xludf.DUMMYFUNCTION("""COMPUTED_VALUE""")," ")</f>
        <v> </v>
      </c>
      <c r="H2442" s="44" t="str">
        <f>IFERROR(__xludf.DUMMYFUNCTION("""COMPUTED_VALUE"""),"Caraballeda")</f>
        <v>Caraballeda</v>
      </c>
      <c r="I2442" s="44" t="str">
        <f>IFERROR(__xludf.DUMMYFUNCTION("""COMPUTED_VALUE""")," ")</f>
        <v> </v>
      </c>
      <c r="J2442" s="44" t="str">
        <f>IFERROR(__xludf.DUMMYFUNCTION("""COMPUTED_VALUE"""),"")</f>
        <v/>
      </c>
      <c r="K2442" s="42" t="str">
        <f>IFERROR(__xludf.DUMMYFUNCTION("""COMPUTED_VALUE"""),"H. Jose Maria Vargas LG")</f>
        <v>H. Jose Maria Vargas LG</v>
      </c>
    </row>
    <row r="2443">
      <c r="A2443" s="44">
        <v>2442.0</v>
      </c>
      <c r="B2443" s="44" t="str">
        <f>IFERROR(__xludf.DUMMYFUNCTION("""COMPUTED_VALUE"""),"Hospital Pérez Carreño")</f>
        <v>Hospital Pérez Carreño</v>
      </c>
      <c r="C2443" s="45" t="str">
        <f>IFERROR(__xludf.DUMMYFUNCTION("""COMPUTED_VALUE"""),"LEON SOPHIA")</f>
        <v>LEON SOPHIA</v>
      </c>
      <c r="D2443" s="44">
        <f>IFERROR(__xludf.DUMMYFUNCTION("""COMPUTED_VALUE"""),6.0)</f>
        <v>6</v>
      </c>
      <c r="E2443" s="44" t="str">
        <f>IFERROR(__xludf.DUMMYFUNCTION("""COMPUTED_VALUE"""),"")</f>
        <v/>
      </c>
      <c r="F2443" s="44" t="str">
        <f>IFERROR(__xludf.DUMMYFUNCTION("""COMPUTED_VALUE"""),"")</f>
        <v/>
      </c>
      <c r="G2443" s="44" t="str">
        <f>IFERROR(__xludf.DUMMYFUNCTION("""COMPUTED_VALUE""")," ")</f>
        <v> </v>
      </c>
      <c r="H2443" s="44" t="str">
        <f>IFERROR(__xludf.DUMMYFUNCTION("""COMPUTED_VALUE""")," ")</f>
        <v> </v>
      </c>
      <c r="I2443" s="44" t="str">
        <f>IFERROR(__xludf.DUMMYFUNCTION("""COMPUTED_VALUE"""),"Emerg. Pediátrica")</f>
        <v>Emerg. Pediátrica</v>
      </c>
      <c r="J2443" s="44" t="str">
        <f>IFERROR(__xludf.DUMMYFUNCTION("""COMPUTED_VALUE"""),"25/06/2026")</f>
        <v>25/06/2026</v>
      </c>
      <c r="K2443" s="42" t="str">
        <f>IFERROR(__xludf.DUMMYFUNCTION("""COMPUTED_VALUE"""),"Hospital Pérez Carreño")</f>
        <v>Hospital Pérez Carreño</v>
      </c>
    </row>
    <row r="2444">
      <c r="A2444" s="44">
        <v>2443.0</v>
      </c>
      <c r="B2444" s="44" t="str">
        <f>IFERROR(__xludf.DUMMYFUNCTION("""COMPUTED_VALUE"""),"Hospital Pérez Carreño")</f>
        <v>Hospital Pérez Carreño</v>
      </c>
      <c r="C2444" s="45" t="str">
        <f>IFERROR(__xludf.DUMMYFUNCTION("""COMPUTED_VALUE"""),"Leon Yulbet")</f>
        <v>Leon Yulbet</v>
      </c>
      <c r="D2444" s="44"/>
      <c r="E2444" s="44" t="str">
        <f>IFERROR(__xludf.DUMMYFUNCTION("""COMPUTED_VALUE"""),"")</f>
        <v/>
      </c>
      <c r="F2444" s="44" t="str">
        <f>IFERROR(__xludf.DUMMYFUNCTION("""COMPUTED_VALUE"""),"")</f>
        <v/>
      </c>
      <c r="G2444" s="44" t="str">
        <f>IFERROR(__xludf.DUMMYFUNCTION("""COMPUTED_VALUE"""),"Traslados con destino asignado")</f>
        <v>Traslados con destino asignado</v>
      </c>
      <c r="H2444" s="44" t="str">
        <f>IFERROR(__xludf.DUMMYFUNCTION("""COMPUTED_VALUE"""),"Hospital Miguel Perez Carreño")</f>
        <v>Hospital Miguel Perez Carreño</v>
      </c>
      <c r="I2444" s="44"/>
      <c r="J2444" s="44" t="str">
        <f>IFERROR(__xludf.DUMMYFUNCTION("""COMPUTED_VALUE"""),"26/6/26")</f>
        <v>26/6/26</v>
      </c>
      <c r="K2444" s="42" t="str">
        <f>IFERROR(__xludf.DUMMYFUNCTION("""COMPUTED_VALUE"""),"Hospital Pérez Carreño")</f>
        <v>Hospital Pérez Carreño</v>
      </c>
    </row>
    <row r="2445">
      <c r="A2445" s="44">
        <v>2444.0</v>
      </c>
      <c r="B2445" s="44" t="str">
        <f>IFERROR(__xludf.DUMMYFUNCTION("""COMPUTED_VALUE"""),"Hospital Pérez Carreño")</f>
        <v>Hospital Pérez Carreño</v>
      </c>
      <c r="C2445" s="45" t="str">
        <f>IFERROR(__xludf.DUMMYFUNCTION("""COMPUTED_VALUE"""),"LEON YULIETH")</f>
        <v>LEON YULIETH</v>
      </c>
      <c r="D2445" s="44">
        <f>IFERROR(__xludf.DUMMYFUNCTION("""COMPUTED_VALUE"""),8.0)</f>
        <v>8</v>
      </c>
      <c r="E2445" s="44" t="str">
        <f>IFERROR(__xludf.DUMMYFUNCTION("""COMPUTED_VALUE"""),"")</f>
        <v/>
      </c>
      <c r="F2445" s="44" t="str">
        <f>IFERROR(__xludf.DUMMYFUNCTION("""COMPUTED_VALUE"""),"")</f>
        <v/>
      </c>
      <c r="G2445" s="44" t="str">
        <f>IFERROR(__xludf.DUMMYFUNCTION("""COMPUTED_VALUE""")," ")</f>
        <v> </v>
      </c>
      <c r="H2445" s="44" t="str">
        <f>IFERROR(__xludf.DUMMYFUNCTION("""COMPUTED_VALUE""")," ")</f>
        <v> </v>
      </c>
      <c r="I2445" s="44" t="str">
        <f>IFERROR(__xludf.DUMMYFUNCTION("""COMPUTED_VALUE"""),"Emerg. Pediátrica")</f>
        <v>Emerg. Pediátrica</v>
      </c>
      <c r="J2445" s="44" t="str">
        <f>IFERROR(__xludf.DUMMYFUNCTION("""COMPUTED_VALUE"""),"25/06/2026")</f>
        <v>25/06/2026</v>
      </c>
      <c r="K2445" s="42" t="str">
        <f>IFERROR(__xludf.DUMMYFUNCTION("""COMPUTED_VALUE"""),"Hospital Pérez Carreño")</f>
        <v>Hospital Pérez Carreño</v>
      </c>
    </row>
    <row r="2446">
      <c r="A2446" s="44">
        <v>2445.0</v>
      </c>
      <c r="B2446" s="44" t="str">
        <f>IFERROR(__xludf.DUMMYFUNCTION("""COMPUTED_VALUE"""),"Campo de Golf Playa los Cocos")</f>
        <v>Campo de Golf Playa los Cocos</v>
      </c>
      <c r="C2446" s="45" t="str">
        <f>IFERROR(__xludf.DUMMYFUNCTION("""COMPUTED_VALUE"""),"Leonardo Ismael Rojas")</f>
        <v>Leonardo Ismael Rojas</v>
      </c>
      <c r="D2446" s="44" t="str">
        <f>IFERROR(__xludf.DUMMYFUNCTION("""COMPUTED_VALUE"""),"")</f>
        <v/>
      </c>
      <c r="E2446" s="44" t="str">
        <f>IFERROR(__xludf.DUMMYFUNCTION("""COMPUTED_VALUE"""),"")</f>
        <v/>
      </c>
      <c r="F2446" s="44" t="str">
        <f>IFERROR(__xludf.DUMMYFUNCTION("""COMPUTED_VALUE"""),"")</f>
        <v/>
      </c>
      <c r="G2446" s="44" t="str">
        <f>IFERROR(__xludf.DUMMYFUNCTION("""COMPUTED_VALUE"""),"")</f>
        <v/>
      </c>
      <c r="H2446" s="44" t="str">
        <f>IFERROR(__xludf.DUMMYFUNCTION("""COMPUTED_VALUE"""),"")</f>
        <v/>
      </c>
      <c r="I2446" s="44" t="str">
        <f>IFERROR(__xludf.DUMMYFUNCTION("""COMPUTED_VALUE"""),"menor")</f>
        <v>menor</v>
      </c>
      <c r="J2446" s="44" t="str">
        <f>IFERROR(__xludf.DUMMYFUNCTION("""COMPUTED_VALUE"""),"")</f>
        <v/>
      </c>
      <c r="K2446" s="42" t="str">
        <f>IFERROR(__xludf.DUMMYFUNCTION("""COMPUTED_VALUE"""),"Campo de Golf Playa los Cocos")</f>
        <v>Campo de Golf Playa los Cocos</v>
      </c>
    </row>
    <row r="2447">
      <c r="A2447" s="44">
        <v>2446.0</v>
      </c>
      <c r="B2447" s="44" t="str">
        <f>IFERROR(__xludf.DUMMYFUNCTION("""COMPUTED_VALUE"""),"Campo de Golf Playa los Cocos")</f>
        <v>Campo de Golf Playa los Cocos</v>
      </c>
      <c r="C2447" s="45" t="str">
        <f>IFERROR(__xludf.DUMMYFUNCTION("""COMPUTED_VALUE"""),"Leonardo Mendoza")</f>
        <v>Leonardo Mendoza</v>
      </c>
      <c r="D2447" s="44" t="str">
        <f>IFERROR(__xludf.DUMMYFUNCTION("""COMPUTED_VALUE"""),"")</f>
        <v/>
      </c>
      <c r="E2447" s="44" t="str">
        <f>IFERROR(__xludf.DUMMYFUNCTION("""COMPUTED_VALUE"""),"")</f>
        <v/>
      </c>
      <c r="F2447" s="44" t="str">
        <f>IFERROR(__xludf.DUMMYFUNCTION("""COMPUTED_VALUE"""),"")</f>
        <v/>
      </c>
      <c r="G2447" s="44" t="str">
        <f>IFERROR(__xludf.DUMMYFUNCTION("""COMPUTED_VALUE"""),"")</f>
        <v/>
      </c>
      <c r="H2447" s="44" t="str">
        <f>IFERROR(__xludf.DUMMYFUNCTION("""COMPUTED_VALUE"""),"")</f>
        <v/>
      </c>
      <c r="I2447" s="44"/>
      <c r="J2447" s="44" t="str">
        <f>IFERROR(__xludf.DUMMYFUNCTION("""COMPUTED_VALUE"""),"")</f>
        <v/>
      </c>
      <c r="K2447" s="42" t="str">
        <f>IFERROR(__xludf.DUMMYFUNCTION("""COMPUTED_VALUE"""),"Campo de Golf Playa los Cocos")</f>
        <v>Campo de Golf Playa los Cocos</v>
      </c>
    </row>
    <row r="2448">
      <c r="A2448" s="44">
        <v>2447.0</v>
      </c>
      <c r="B2448" s="44" t="str">
        <f>IFERROR(__xludf.DUMMYFUNCTION("""COMPUTED_VALUE"""),"Campo de Golf Playa los Cocos")</f>
        <v>Campo de Golf Playa los Cocos</v>
      </c>
      <c r="C2448" s="45" t="str">
        <f>IFERROR(__xludf.DUMMYFUNCTION("""COMPUTED_VALUE"""),"Leonel Mendoza")</f>
        <v>Leonel Mendoza</v>
      </c>
      <c r="D2448" s="44" t="str">
        <f>IFERROR(__xludf.DUMMYFUNCTION("""COMPUTED_VALUE"""),"")</f>
        <v/>
      </c>
      <c r="E2448" s="44" t="str">
        <f>IFERROR(__xludf.DUMMYFUNCTION("""COMPUTED_VALUE"""),"")</f>
        <v/>
      </c>
      <c r="F2448" s="44" t="str">
        <f>IFERROR(__xludf.DUMMYFUNCTION("""COMPUTED_VALUE"""),"")</f>
        <v/>
      </c>
      <c r="G2448" s="44" t="str">
        <f>IFERROR(__xludf.DUMMYFUNCTION("""COMPUTED_VALUE"""),"")</f>
        <v/>
      </c>
      <c r="H2448" s="44" t="str">
        <f>IFERROR(__xludf.DUMMYFUNCTION("""COMPUTED_VALUE"""),"")</f>
        <v/>
      </c>
      <c r="I2448" s="44"/>
      <c r="J2448" s="44" t="str">
        <f>IFERROR(__xludf.DUMMYFUNCTION("""COMPUTED_VALUE"""),"")</f>
        <v/>
      </c>
      <c r="K2448" s="42" t="str">
        <f>IFERROR(__xludf.DUMMYFUNCTION("""COMPUTED_VALUE"""),"Campo de Golf Playa los Cocos")</f>
        <v>Campo de Golf Playa los Cocos</v>
      </c>
    </row>
    <row r="2449">
      <c r="A2449" s="44">
        <v>2448.0</v>
      </c>
      <c r="B2449" s="44" t="str">
        <f>IFERROR(__xludf.DUMMYFUNCTION("""COMPUTED_VALUE"""),"Campo de Golf Playa los Cocos")</f>
        <v>Campo de Golf Playa los Cocos</v>
      </c>
      <c r="C2449" s="45" t="str">
        <f>IFERROR(__xludf.DUMMYFUNCTION("""COMPUTED_VALUE"""),"Leudy Leon")</f>
        <v>Leudy Leon</v>
      </c>
      <c r="D2449" s="44" t="str">
        <f>IFERROR(__xludf.DUMMYFUNCTION("""COMPUTED_VALUE"""),"")</f>
        <v/>
      </c>
      <c r="E2449" s="44" t="str">
        <f>IFERROR(__xludf.DUMMYFUNCTION("""COMPUTED_VALUE"""),"")</f>
        <v/>
      </c>
      <c r="F2449" s="44" t="str">
        <f>IFERROR(__xludf.DUMMYFUNCTION("""COMPUTED_VALUE"""),"")</f>
        <v/>
      </c>
      <c r="G2449" s="44" t="str">
        <f>IFERROR(__xludf.DUMMYFUNCTION("""COMPUTED_VALUE"""),"")</f>
        <v/>
      </c>
      <c r="H2449" s="44" t="str">
        <f>IFERROR(__xludf.DUMMYFUNCTION("""COMPUTED_VALUE"""),"")</f>
        <v/>
      </c>
      <c r="I2449" s="44"/>
      <c r="J2449" s="44" t="str">
        <f>IFERROR(__xludf.DUMMYFUNCTION("""COMPUTED_VALUE"""),"")</f>
        <v/>
      </c>
      <c r="K2449" s="42" t="str">
        <f>IFERROR(__xludf.DUMMYFUNCTION("""COMPUTED_VALUE"""),"Campo de Golf Playa los Cocos")</f>
        <v>Campo de Golf Playa los Cocos</v>
      </c>
    </row>
    <row r="2450">
      <c r="A2450" s="44">
        <v>2449.0</v>
      </c>
      <c r="B2450" s="44" t="str">
        <f>IFERROR(__xludf.DUMMYFUNCTION("""COMPUTED_VALUE"""),"Hospital Domingo Luciani")</f>
        <v>Hospital Domingo Luciani</v>
      </c>
      <c r="C2450" s="45" t="str">
        <f>IFERROR(__xludf.DUMMYFUNCTION("""COMPUTED_VALUE"""),"LEWIN DESMON")</f>
        <v>LEWIN DESMON</v>
      </c>
      <c r="D2450" s="44" t="str">
        <f>IFERROR(__xludf.DUMMYFUNCTION("""COMPUTED_VALUE""")," ")</f>
        <v> </v>
      </c>
      <c r="E2450" s="44" t="str">
        <f>IFERROR(__xludf.DUMMYFUNCTION("""COMPUTED_VALUE"""),"")</f>
        <v/>
      </c>
      <c r="F2450" s="44" t="str">
        <f>IFERROR(__xludf.DUMMYFUNCTION("""COMPUTED_VALUE"""),"")</f>
        <v/>
      </c>
      <c r="G2450" s="44" t="str">
        <f>IFERROR(__xludf.DUMMYFUNCTION("""COMPUTED_VALUE""")," ")</f>
        <v> </v>
      </c>
      <c r="H2450" s="44" t="str">
        <f>IFERROR(__xludf.DUMMYFUNCTION("""COMPUTED_VALUE""")," ")</f>
        <v> </v>
      </c>
      <c r="I2450" s="44" t="str">
        <f>IFERROR(__xludf.DUMMYFUNCTION("""COMPUTED_VALUE"""),"Pediatría")</f>
        <v>Pediatría</v>
      </c>
      <c r="J2450" s="44" t="str">
        <f>IFERROR(__xludf.DUMMYFUNCTION("""COMPUTED_VALUE"""),"")</f>
        <v/>
      </c>
      <c r="K2450" s="42" t="str">
        <f>IFERROR(__xludf.DUMMYFUNCTION("""COMPUTED_VALUE"""),"🔍 BUSCAR PACIENTES")</f>
        <v>🔍 BUSCAR PACIENTES</v>
      </c>
    </row>
    <row r="2451">
      <c r="A2451" s="44">
        <v>2450.0</v>
      </c>
      <c r="B2451" s="44" t="str">
        <f>IFERROR(__xludf.DUMMYFUNCTION("""COMPUTED_VALUE"""),"Hospital Domingo Luciani")</f>
        <v>Hospital Domingo Luciani</v>
      </c>
      <c r="C2451" s="45" t="str">
        <f>IFERROR(__xludf.DUMMYFUNCTION("""COMPUTED_VALUE"""),"Lewin Person")</f>
        <v>Lewin Person</v>
      </c>
      <c r="D2451" s="44">
        <f>IFERROR(__xludf.DUMMYFUNCTION("""COMPUTED_VALUE"""),10.0)</f>
        <v>10</v>
      </c>
      <c r="E2451" s="44" t="str">
        <f>IFERROR(__xludf.DUMMYFUNCTION("""COMPUTED_VALUE"""),"")</f>
        <v/>
      </c>
      <c r="F2451" s="44" t="str">
        <f>IFERROR(__xludf.DUMMYFUNCTION("""COMPUTED_VALUE"""),"")</f>
        <v/>
      </c>
      <c r="G2451" s="44"/>
      <c r="H2451" s="44"/>
      <c r="I2451" s="44"/>
      <c r="J2451" s="44" t="str">
        <f>IFERROR(__xludf.DUMMYFUNCTION("""COMPUTED_VALUE"""),"")</f>
        <v/>
      </c>
      <c r="K2451" s="42" t="str">
        <f>IFERROR(__xludf.DUMMYFUNCTION("""COMPUTED_VALUE"""),"Hospital Domingo Luciani")</f>
        <v>Hospital Domingo Luciani</v>
      </c>
    </row>
    <row r="2452">
      <c r="A2452" s="44">
        <v>2451.0</v>
      </c>
      <c r="B2452" s="44" t="str">
        <f>IFERROR(__xludf.DUMMYFUNCTION("""COMPUTED_VALUE"""),"Hospital Domingo Luciani")</f>
        <v>Hospital Domingo Luciani</v>
      </c>
      <c r="C2452" s="45" t="str">
        <f>IFERROR(__xludf.DUMMYFUNCTION("""COMPUTED_VALUE"""),"LEWIS CALDERA")</f>
        <v>LEWIS CALDERA</v>
      </c>
      <c r="D2452" s="44" t="str">
        <f>IFERROR(__xludf.DUMMYFUNCTION("""COMPUTED_VALUE""")," ")</f>
        <v> </v>
      </c>
      <c r="E2452" s="44" t="str">
        <f>IFERROR(__xludf.DUMMYFUNCTION("""COMPUTED_VALUE"""),"")</f>
        <v/>
      </c>
      <c r="F2452" s="44" t="str">
        <f>IFERROR(__xludf.DUMMYFUNCTION("""COMPUTED_VALUE"""),"")</f>
        <v/>
      </c>
      <c r="G2452" s="44" t="str">
        <f>IFERROR(__xludf.DUMMYFUNCTION("""COMPUTED_VALUE""")," ")</f>
        <v> </v>
      </c>
      <c r="H2452" s="44" t="str">
        <f>IFERROR(__xludf.DUMMYFUNCTION("""COMPUTED_VALUE""")," ")</f>
        <v> </v>
      </c>
      <c r="I2452" s="44" t="str">
        <f>IFERROR(__xludf.DUMMYFUNCTION("""COMPUTED_VALUE""")," ")</f>
        <v> </v>
      </c>
      <c r="J2452" s="44" t="str">
        <f>IFERROR(__xludf.DUMMYFUNCTION("""COMPUTED_VALUE"""),"")</f>
        <v/>
      </c>
      <c r="K2452" s="42" t="str">
        <f>IFERROR(__xludf.DUMMYFUNCTION("""COMPUTED_VALUE"""),"🔍 BUSCAR PACIENTES")</f>
        <v>🔍 BUSCAR PACIENTES</v>
      </c>
    </row>
    <row r="2453">
      <c r="A2453" s="44">
        <v>2452.0</v>
      </c>
      <c r="B2453" s="44" t="str">
        <f>IFERROR(__xludf.DUMMYFUNCTION("""COMPUTED_VALUE"""),"Hospital Domingo Luciani")</f>
        <v>Hospital Domingo Luciani</v>
      </c>
      <c r="C2453" s="45" t="str">
        <f>IFERROR(__xludf.DUMMYFUNCTION("""COMPUTED_VALUE"""),"LEWIS DESMON")</f>
        <v>LEWIS DESMON</v>
      </c>
      <c r="D2453" s="44">
        <f>IFERROR(__xludf.DUMMYFUNCTION("""COMPUTED_VALUE"""),10.0)</f>
        <v>10</v>
      </c>
      <c r="E2453" s="44" t="str">
        <f>IFERROR(__xludf.DUMMYFUNCTION("""COMPUTED_VALUE"""),"")</f>
        <v/>
      </c>
      <c r="F2453" s="44" t="str">
        <f>IFERROR(__xludf.DUMMYFUNCTION("""COMPUTED_VALUE"""),"")</f>
        <v/>
      </c>
      <c r="G2453" s="44" t="str">
        <f>IFERROR(__xludf.DUMMYFUNCTION("""COMPUTED_VALUE""")," ")</f>
        <v> </v>
      </c>
      <c r="H2453" s="44" t="str">
        <f>IFERROR(__xludf.DUMMYFUNCTION("""COMPUTED_VALUE"""),"La Guaira")</f>
        <v>La Guaira</v>
      </c>
      <c r="I2453" s="44" t="str">
        <f>IFERROR(__xludf.DUMMYFUNCTION("""COMPUTED_VALUE"""),"Pediatría – Madre: Elisa Calderon")</f>
        <v>Pediatría – Madre: Elisa Calderon</v>
      </c>
      <c r="J2453" s="44" t="str">
        <f>IFERROR(__xludf.DUMMYFUNCTION("""COMPUTED_VALUE"""),"")</f>
        <v/>
      </c>
      <c r="K2453" s="42" t="str">
        <f>IFERROR(__xludf.DUMMYFUNCTION("""COMPUTED_VALUE"""),"🔍 BUSCAR PACIENTES")</f>
        <v>🔍 BUSCAR PACIENTES</v>
      </c>
    </row>
    <row r="2454">
      <c r="A2454" s="44">
        <v>2453.0</v>
      </c>
      <c r="B2454" s="44" t="str">
        <f>IFERROR(__xludf.DUMMYFUNCTION("""COMPUTED_VALUE"""),"Hospital Domingo Luciani")</f>
        <v>Hospital Domingo Luciani</v>
      </c>
      <c r="C2454" s="45" t="str">
        <f>IFERROR(__xludf.DUMMYFUNCTION("""COMPUTED_VALUE"""),"LEYIBE PEDRA")</f>
        <v>LEYIBE PEDRA</v>
      </c>
      <c r="D2454" s="44" t="str">
        <f>IFERROR(__xludf.DUMMYFUNCTION("""COMPUTED_VALUE""")," ")</f>
        <v> </v>
      </c>
      <c r="E2454" s="44" t="str">
        <f>IFERROR(__xludf.DUMMYFUNCTION("""COMPUTED_VALUE"""),"")</f>
        <v/>
      </c>
      <c r="F2454" s="44" t="str">
        <f>IFERROR(__xludf.DUMMYFUNCTION("""COMPUTED_VALUE"""),"")</f>
        <v/>
      </c>
      <c r="G2454" s="44" t="str">
        <f>IFERROR(__xludf.DUMMYFUNCTION("""COMPUTED_VALUE""")," ")</f>
        <v> </v>
      </c>
      <c r="H2454" s="44" t="str">
        <f>IFERROR(__xludf.DUMMYFUNCTION("""COMPUTED_VALUE""")," ")</f>
        <v> </v>
      </c>
      <c r="I2454" s="44" t="str">
        <f>IFERROR(__xludf.DUMMYFUNCTION("""COMPUTED_VALUE"""),"Nombre incierto")</f>
        <v>Nombre incierto</v>
      </c>
      <c r="J2454" s="44" t="str">
        <f>IFERROR(__xludf.DUMMYFUNCTION("""COMPUTED_VALUE"""),"")</f>
        <v/>
      </c>
      <c r="K2454" s="42" t="str">
        <f>IFERROR(__xludf.DUMMYFUNCTION("""COMPUTED_VALUE"""),"🔍 BUSCAR PACIENTES")</f>
        <v>🔍 BUSCAR PACIENTES</v>
      </c>
    </row>
    <row r="2455">
      <c r="A2455" s="44">
        <v>2454.0</v>
      </c>
      <c r="B2455" s="44" t="str">
        <f>IFERROR(__xludf.DUMMYFUNCTION("""COMPUTED_VALUE"""),"Hospital Universitario de Carac")</f>
        <v>Hospital Universitario de Carac</v>
      </c>
      <c r="C2455" s="45" t="str">
        <f>IFERROR(__xludf.DUMMYFUNCTION("""COMPUTED_VALUE"""),"Lia Silva")</f>
        <v>Lia Silva</v>
      </c>
      <c r="D2455" s="44">
        <f>IFERROR(__xludf.DUMMYFUNCTION("""COMPUTED_VALUE"""),4.0)</f>
        <v>4</v>
      </c>
      <c r="E2455" s="44" t="str">
        <f>IFERROR(__xludf.DUMMYFUNCTION("""COMPUTED_VALUE"""),"")</f>
        <v/>
      </c>
      <c r="F2455" s="44" t="str">
        <f>IFERROR(__xludf.DUMMYFUNCTION("""COMPUTED_VALUE"""),"")</f>
        <v/>
      </c>
      <c r="G2455" s="44"/>
      <c r="H2455" s="44" t="str">
        <f>IFERROR(__xludf.DUMMYFUNCTION("""COMPUTED_VALUE"""),"La Guaira")</f>
        <v>La Guaira</v>
      </c>
      <c r="I2455" s="44" t="str">
        <f>IFERROR(__xludf.DUMMYFUNCTION("""COMPUTED_VALUE"""),"Fallecido")</f>
        <v>Fallecido</v>
      </c>
      <c r="J2455" s="44" t="str">
        <f>IFERROR(__xludf.DUMMYFUNCTION("""COMPUTED_VALUE"""),"")</f>
        <v/>
      </c>
      <c r="K2455" s="42" t="str">
        <f>IFERROR(__xludf.DUMMYFUNCTION("""COMPUTED_VALUE"""),"Hospital Universitario de Carac")</f>
        <v>Hospital Universitario de Carac</v>
      </c>
    </row>
    <row r="2456">
      <c r="A2456" s="44">
        <v>2455.0</v>
      </c>
      <c r="B2456" s="44" t="str">
        <f>IFERROR(__xludf.DUMMYFUNCTION("""COMPUTED_VALUE"""),"Hospital Pérez Carreño")</f>
        <v>Hospital Pérez Carreño</v>
      </c>
      <c r="C2456" s="45" t="str">
        <f>IFERROR(__xludf.DUMMYFUNCTION("""COMPUTED_VALUE"""),"LIAM")</f>
        <v>LIAM</v>
      </c>
      <c r="D2456" s="44">
        <f>IFERROR(__xludf.DUMMYFUNCTION("""COMPUTED_VALUE"""),3.0)</f>
        <v>3</v>
      </c>
      <c r="E2456" s="44" t="str">
        <f>IFERROR(__xludf.DUMMYFUNCTION("""COMPUTED_VALUE"""),"")</f>
        <v/>
      </c>
      <c r="F2456" s="44" t="str">
        <f>IFERROR(__xludf.DUMMYFUNCTION("""COMPUTED_VALUE"""),"")</f>
        <v/>
      </c>
      <c r="G2456" s="44" t="str">
        <f>IFERROR(__xludf.DUMMYFUNCTION("""COMPUTED_VALUE""")," ")</f>
        <v> </v>
      </c>
      <c r="H2456" s="44" t="str">
        <f>IFERROR(__xludf.DUMMYFUNCTION("""COMPUTED_VALUE""")," ")</f>
        <v> </v>
      </c>
      <c r="I2456" s="44" t="str">
        <f>IFERROR(__xludf.DUMMYFUNCTION("""COMPUTED_VALUE"""),"Emerg. Pediátrica – solo nombre")</f>
        <v>Emerg. Pediátrica – solo nombre</v>
      </c>
      <c r="J2456" s="44" t="str">
        <f>IFERROR(__xludf.DUMMYFUNCTION("""COMPUTED_VALUE"""),"25/06/2026")</f>
        <v>25/06/2026</v>
      </c>
      <c r="K2456" s="42" t="str">
        <f>IFERROR(__xludf.DUMMYFUNCTION("""COMPUTED_VALUE"""),"Hospital Pérez Carreño")</f>
        <v>Hospital Pérez Carreño</v>
      </c>
    </row>
    <row r="2457">
      <c r="A2457" s="44">
        <v>2456.0</v>
      </c>
      <c r="B2457" s="44" t="str">
        <f>IFERROR(__xludf.DUMMYFUNCTION("""COMPUTED_VALUE"""),"Campo de Golf Playa los Cocos")</f>
        <v>Campo de Golf Playa los Cocos</v>
      </c>
      <c r="C2457" s="45" t="str">
        <f>IFERROR(__xludf.DUMMYFUNCTION("""COMPUTED_VALUE"""),"Liber Sanchez")</f>
        <v>Liber Sanchez</v>
      </c>
      <c r="D2457" s="44" t="str">
        <f>IFERROR(__xludf.DUMMYFUNCTION("""COMPUTED_VALUE"""),"")</f>
        <v/>
      </c>
      <c r="E2457" s="44" t="str">
        <f>IFERROR(__xludf.DUMMYFUNCTION("""COMPUTED_VALUE"""),"")</f>
        <v/>
      </c>
      <c r="F2457" s="44" t="str">
        <f>IFERROR(__xludf.DUMMYFUNCTION("""COMPUTED_VALUE"""),"")</f>
        <v/>
      </c>
      <c r="G2457" s="44" t="str">
        <f>IFERROR(__xludf.DUMMYFUNCTION("""COMPUTED_VALUE"""),"")</f>
        <v/>
      </c>
      <c r="H2457" s="44" t="str">
        <f>IFERROR(__xludf.DUMMYFUNCTION("""COMPUTED_VALUE"""),"")</f>
        <v/>
      </c>
      <c r="I2457" s="44"/>
      <c r="J2457" s="44" t="str">
        <f>IFERROR(__xludf.DUMMYFUNCTION("""COMPUTED_VALUE"""),"")</f>
        <v/>
      </c>
      <c r="K2457" s="42" t="str">
        <f>IFERROR(__xludf.DUMMYFUNCTION("""COMPUTED_VALUE"""),"Campo de Golf Playa los Cocos")</f>
        <v>Campo de Golf Playa los Cocos</v>
      </c>
    </row>
    <row r="2458">
      <c r="A2458" s="44">
        <v>2457.0</v>
      </c>
      <c r="B2458" s="44" t="str">
        <f>IFERROR(__xludf.DUMMYFUNCTION("""COMPUTED_VALUE"""),"H. Jose Maria Vargas LG")</f>
        <v>H. Jose Maria Vargas LG</v>
      </c>
      <c r="C2458" s="45" t="str">
        <f>IFERROR(__xludf.DUMMYFUNCTION("""COMPUTED_VALUE"""),"LIENDO JOSE")</f>
        <v>LIENDO JOSE</v>
      </c>
      <c r="D2458" s="44" t="str">
        <f>IFERROR(__xludf.DUMMYFUNCTION("""COMPUTED_VALUE""")," ")</f>
        <v> </v>
      </c>
      <c r="E2458" s="44" t="str">
        <f>IFERROR(__xludf.DUMMYFUNCTION("""COMPUTED_VALUE"""),"")</f>
        <v/>
      </c>
      <c r="F2458" s="44" t="str">
        <f>IFERROR(__xludf.DUMMYFUNCTION("""COMPUTED_VALUE"""),"")</f>
        <v/>
      </c>
      <c r="G2458" s="44" t="str">
        <f>IFERROR(__xludf.DUMMYFUNCTION("""COMPUTED_VALUE""")," ")</f>
        <v> </v>
      </c>
      <c r="H2458" s="44" t="str">
        <f>IFERROR(__xludf.DUMMYFUNCTION("""COMPUTED_VALUE""")," ")</f>
        <v> </v>
      </c>
      <c r="I2458" s="44" t="str">
        <f>IFERROR(__xludf.DUMMYFUNCTION("""COMPUTED_VALUE""")," ")</f>
        <v> </v>
      </c>
      <c r="J2458" s="44" t="str">
        <f>IFERROR(__xludf.DUMMYFUNCTION("""COMPUTED_VALUE"""),"")</f>
        <v/>
      </c>
      <c r="K2458" s="42" t="str">
        <f>IFERROR(__xludf.DUMMYFUNCTION("""COMPUTED_VALUE"""),"H. Jose Maria Vargas LG")</f>
        <v>H. Jose Maria Vargas LG</v>
      </c>
    </row>
    <row r="2459">
      <c r="A2459" s="44">
        <v>2458.0</v>
      </c>
      <c r="B2459" s="44" t="str">
        <f>IFERROR(__xludf.DUMMYFUNCTION("""COMPUTED_VALUE"""),"Hospital Pérez Carreño")</f>
        <v>Hospital Pérez Carreño</v>
      </c>
      <c r="C2459" s="45" t="str">
        <f>IFERROR(__xludf.DUMMYFUNCTION("""COMPUTED_VALUE"""),"Ligia Ines Mendoza (Menor)")</f>
        <v>Ligia Ines Mendoza (Menor)</v>
      </c>
      <c r="D2459" s="44" t="str">
        <f>IFERROR(__xludf.DUMMYFUNCTION("""COMPUTED_VALUE"""),"17 años")</f>
        <v>17 años</v>
      </c>
      <c r="E2459" s="44" t="str">
        <f>IFERROR(__xludf.DUMMYFUNCTION("""COMPUTED_VALUE"""),"")</f>
        <v/>
      </c>
      <c r="F2459" s="44" t="str">
        <f>IFERROR(__xludf.DUMMYFUNCTION("""COMPUTED_VALUE"""),"")</f>
        <v/>
      </c>
      <c r="G2459" s="44" t="str">
        <f>IFERROR(__xludf.DUMMYFUNCTION("""COMPUTED_VALUE"""),"Traumashock")</f>
        <v>Traumashock</v>
      </c>
      <c r="H2459" s="44" t="str">
        <f>IFERROR(__xludf.DUMMYFUNCTION("""COMPUTED_VALUE"""),"Hospital Miguel Perez Carreño")</f>
        <v>Hospital Miguel Perez Carreño</v>
      </c>
      <c r="I2459" s="44"/>
      <c r="J2459" s="44" t="str">
        <f>IFERROR(__xludf.DUMMYFUNCTION("""COMPUTED_VALUE"""),"26/6/26")</f>
        <v>26/6/26</v>
      </c>
      <c r="K2459" s="42" t="str">
        <f>IFERROR(__xludf.DUMMYFUNCTION("""COMPUTED_VALUE"""),"Hospital Pérez Carreño")</f>
        <v>Hospital Pérez Carreño</v>
      </c>
    </row>
    <row r="2460">
      <c r="A2460" s="44">
        <v>2459.0</v>
      </c>
      <c r="B2460" s="44" t="str">
        <f>IFERROR(__xludf.DUMMYFUNCTION("""COMPUTED_VALUE"""),"Seguro Social La Guaira")</f>
        <v>Seguro Social La Guaira</v>
      </c>
      <c r="C2460" s="45" t="str">
        <f>IFERROR(__xludf.DUMMYFUNCTION("""COMPUTED_VALUE"""),"LILIBETH GUTIEREZ")</f>
        <v>LILIBETH GUTIEREZ</v>
      </c>
      <c r="D2460" s="44">
        <f>IFERROR(__xludf.DUMMYFUNCTION("""COMPUTED_VALUE"""),43.0)</f>
        <v>43</v>
      </c>
      <c r="E2460" s="44" t="str">
        <f>IFERROR(__xludf.DUMMYFUNCTION("""COMPUTED_VALUE"""),"")</f>
        <v/>
      </c>
      <c r="F2460" s="44" t="str">
        <f>IFERROR(__xludf.DUMMYFUNCTION("""COMPUTED_VALUE"""),"")</f>
        <v/>
      </c>
      <c r="G2460" s="44" t="str">
        <f>IFERROR(__xludf.DUMMYFUNCTION("""COMPUTED_VALUE""")," ")</f>
        <v> </v>
      </c>
      <c r="H2460" s="44" t="str">
        <f>IFERROR(__xludf.DUMMYFUNCTION("""COMPUTED_VALUE"""),"Caribe")</f>
        <v>Caribe</v>
      </c>
      <c r="I2460" s="44" t="str">
        <f>IFERROR(__xludf.DUMMYFUNCTION("""COMPUTED_VALUE""")," ")</f>
        <v> </v>
      </c>
      <c r="J2460" s="44" t="str">
        <f>IFERROR(__xludf.DUMMYFUNCTION("""COMPUTED_VALUE"""),"")</f>
        <v/>
      </c>
      <c r="K2460" s="42" t="str">
        <f>IFERROR(__xludf.DUMMYFUNCTION("""COMPUTED_VALUE"""),"Seguro Social La Guaira")</f>
        <v>Seguro Social La Guaira</v>
      </c>
    </row>
    <row r="2461">
      <c r="A2461" s="44">
        <v>2460.0</v>
      </c>
      <c r="B2461" s="44" t="str">
        <f>IFERROR(__xludf.DUMMYFUNCTION("""COMPUTED_VALUE"""),"Hospital Pérez Carreño")</f>
        <v>Hospital Pérez Carreño</v>
      </c>
      <c r="C2461" s="45" t="str">
        <f>IFERROR(__xludf.DUMMYFUNCTION("""COMPUTED_VALUE"""),"LISBET JAIMEN")</f>
        <v>LISBET JAIMEN</v>
      </c>
      <c r="D2461" s="44" t="str">
        <f>IFERROR(__xludf.DUMMYFUNCTION("""COMPUTED_VALUE""")," ")</f>
        <v> </v>
      </c>
      <c r="E2461" s="44" t="str">
        <f>IFERROR(__xludf.DUMMYFUNCTION("""COMPUTED_VALUE"""),"")</f>
        <v/>
      </c>
      <c r="F2461" s="44" t="str">
        <f>IFERROR(__xludf.DUMMYFUNCTION("""COMPUTED_VALUE"""),"")</f>
        <v/>
      </c>
      <c r="G2461" s="44" t="str">
        <f>IFERROR(__xludf.DUMMYFUNCTION("""COMPUTED_VALUE""")," ")</f>
        <v> </v>
      </c>
      <c r="H2461" s="44" t="str">
        <f>IFERROR(__xludf.DUMMYFUNCTION("""COMPUTED_VALUE""")," ")</f>
        <v> </v>
      </c>
      <c r="I2461" s="44" t="str">
        <f>IFERROR(__xludf.DUMMYFUNCTION("""COMPUTED_VALUE"""),"Traumachok; La Guaira")</f>
        <v>Traumachok; La Guaira</v>
      </c>
      <c r="J2461" s="44" t="str">
        <f>IFERROR(__xludf.DUMMYFUNCTION("""COMPUTED_VALUE"""),"25/06/2026")</f>
        <v>25/06/2026</v>
      </c>
      <c r="K2461" s="42" t="str">
        <f>IFERROR(__xludf.DUMMYFUNCTION("""COMPUTED_VALUE"""),"Hospital Pérez Carreño")</f>
        <v>Hospital Pérez Carreño</v>
      </c>
    </row>
    <row r="2462">
      <c r="A2462" s="44">
        <v>2461.0</v>
      </c>
      <c r="B2462" s="44" t="str">
        <f>IFERROR(__xludf.DUMMYFUNCTION("""COMPUTED_VALUE"""),"Hospital Pérez Carreño")</f>
        <v>Hospital Pérez Carreño</v>
      </c>
      <c r="C2462" s="45" t="str">
        <f>IFERROR(__xludf.DUMMYFUNCTION("""COMPUTED_VALUE"""),"Lisbet Jaimes")</f>
        <v>Lisbet Jaimes</v>
      </c>
      <c r="D2462" s="44"/>
      <c r="E2462" s="44" t="str">
        <f>IFERROR(__xludf.DUMMYFUNCTION("""COMPUTED_VALUE"""),"")</f>
        <v/>
      </c>
      <c r="F2462" s="44" t="str">
        <f>IFERROR(__xludf.DUMMYFUNCTION("""COMPUTED_VALUE"""),"")</f>
        <v/>
      </c>
      <c r="G2462" s="44" t="str">
        <f>IFERROR(__xludf.DUMMYFUNCTION("""COMPUTED_VALUE"""),"Traumashock ")</f>
        <v>Traumashock </v>
      </c>
      <c r="H2462" s="44" t="str">
        <f>IFERROR(__xludf.DUMMYFUNCTION("""COMPUTED_VALUE"""),"Hospital Miguel Perez Carreño")</f>
        <v>Hospital Miguel Perez Carreño</v>
      </c>
      <c r="I2462" s="44"/>
      <c r="J2462" s="44" t="str">
        <f>IFERROR(__xludf.DUMMYFUNCTION("""COMPUTED_VALUE"""),"26/6/26")</f>
        <v>26/6/26</v>
      </c>
      <c r="K2462" s="42" t="str">
        <f>IFERROR(__xludf.DUMMYFUNCTION("""COMPUTED_VALUE"""),"Hospital Pérez Carreño")</f>
        <v>Hospital Pérez Carreño</v>
      </c>
    </row>
    <row r="2463">
      <c r="A2463" s="44">
        <v>2462.0</v>
      </c>
      <c r="B2463" s="44" t="str">
        <f>IFERROR(__xludf.DUMMYFUNCTION("""COMPUTED_VALUE"""),"HOSPITAL VARGAS")</f>
        <v>HOSPITAL VARGAS</v>
      </c>
      <c r="C2463" s="45" t="str">
        <f>IFERROR(__xludf.DUMMYFUNCTION("""COMPUTED_VALUE"""),"Lisbeth Delgado")</f>
        <v>Lisbeth Delgado</v>
      </c>
      <c r="D2463" s="44"/>
      <c r="E2463" s="44" t="str">
        <f>IFERROR(__xludf.DUMMYFUNCTION("""COMPUTED_VALUE"""),"")</f>
        <v/>
      </c>
      <c r="F2463" s="44" t="str">
        <f>IFERROR(__xludf.DUMMYFUNCTION("""COMPUTED_VALUE"""),"")</f>
        <v/>
      </c>
      <c r="G2463" s="44" t="str">
        <f>IFERROR(__xludf.DUMMYFUNCTION("""COMPUTED_VALUE"""),"")</f>
        <v/>
      </c>
      <c r="H2463" s="44" t="str">
        <f>IFERROR(__xludf.DUMMYFUNCTION("""COMPUTED_VALUE"""),"")</f>
        <v/>
      </c>
      <c r="I2463" s="44" t="str">
        <f>IFERROR(__xludf.DUMMYFUNCTION("""COMPUTED_VALUE"""),"Herido / atendido")</f>
        <v>Herido / atendido</v>
      </c>
      <c r="J2463" s="44" t="str">
        <f>IFERROR(__xludf.DUMMYFUNCTION("""COMPUTED_VALUE"""),"24.06.2026 ")</f>
        <v>24.06.2026 </v>
      </c>
      <c r="K2463" s="42" t="str">
        <f>IFERROR(__xludf.DUMMYFUNCTION("""COMPUTED_VALUE"""),"HOSPITAL VARGAS")</f>
        <v>HOSPITAL VARGAS</v>
      </c>
    </row>
    <row r="2464">
      <c r="A2464" s="44">
        <v>2463.0</v>
      </c>
      <c r="B2464" s="44" t="str">
        <f>IFERROR(__xludf.DUMMYFUNCTION("""COMPUTED_VALUE"""),"Hospital Pérez Carreño")</f>
        <v>Hospital Pérez Carreño</v>
      </c>
      <c r="C2464" s="45" t="str">
        <f>IFERROR(__xludf.DUMMYFUNCTION("""COMPUTED_VALUE"""),"Lisbeth Materano")</f>
        <v>Lisbeth Materano</v>
      </c>
      <c r="D2464" s="44"/>
      <c r="E2464" s="44" t="str">
        <f>IFERROR(__xludf.DUMMYFUNCTION("""COMPUTED_VALUE"""),"")</f>
        <v/>
      </c>
      <c r="F2464" s="44" t="str">
        <f>IFERROR(__xludf.DUMMYFUNCTION("""COMPUTED_VALUE"""),"")</f>
        <v/>
      </c>
      <c r="G2464" s="44"/>
      <c r="H2464" s="44"/>
      <c r="I2464" s="44"/>
      <c r="J2464" s="44"/>
      <c r="K2464" s="42" t="str">
        <f>IFERROR(__xludf.DUMMYFUNCTION("""COMPUTED_VALUE"""),"Hospital Pérez Carreño")</f>
        <v>Hospital Pérez Carreño</v>
      </c>
    </row>
    <row r="2465">
      <c r="A2465" s="44">
        <v>2464.0</v>
      </c>
      <c r="B2465" s="44" t="str">
        <f>IFERROR(__xludf.DUMMYFUNCTION("""COMPUTED_VALUE"""),"Hospital Domingo Luciani")</f>
        <v>Hospital Domingo Luciani</v>
      </c>
      <c r="C2465" s="45" t="str">
        <f>IFERROR(__xludf.DUMMYFUNCTION("""COMPUTED_VALUE"""),"LISCANO PEDRO")</f>
        <v>LISCANO PEDRO</v>
      </c>
      <c r="D2465" s="44">
        <f>IFERROR(__xludf.DUMMYFUNCTION("""COMPUTED_VALUE"""),40.0)</f>
        <v>40</v>
      </c>
      <c r="E2465" s="44" t="str">
        <f>IFERROR(__xludf.DUMMYFUNCTION("""COMPUTED_VALUE"""),"")</f>
        <v/>
      </c>
      <c r="F2465" s="44" t="str">
        <f>IFERROR(__xludf.DUMMYFUNCTION("""COMPUTED_VALUE"""),"")</f>
        <v/>
      </c>
      <c r="G2465" s="44" t="str">
        <f>IFERROR(__xludf.DUMMYFUNCTION("""COMPUTED_VALUE""")," ")</f>
        <v> </v>
      </c>
      <c r="H2465" s="44" t="str">
        <f>IFERROR(__xludf.DUMMYFUNCTION("""COMPUTED_VALUE"""),"Cahacaito")</f>
        <v>Cahacaito</v>
      </c>
      <c r="I2465" s="44" t="str">
        <f>IFERROR(__xludf.DUMMYFUNCTION("""COMPUTED_VALUE""")," ")</f>
        <v> </v>
      </c>
      <c r="J2465" s="44" t="str">
        <f>IFERROR(__xludf.DUMMYFUNCTION("""COMPUTED_VALUE"""),"")</f>
        <v/>
      </c>
      <c r="K2465" s="42" t="str">
        <f>IFERROR(__xludf.DUMMYFUNCTION("""COMPUTED_VALUE"""),"🔍 BUSCAR PACIENTES")</f>
        <v>🔍 BUSCAR PACIENTES</v>
      </c>
    </row>
    <row r="2466">
      <c r="A2466" s="44">
        <v>2465.0</v>
      </c>
      <c r="B2466" s="44" t="str">
        <f>IFERROR(__xludf.DUMMYFUNCTION("""COMPUTED_VALUE"""),"Hospital Pérez Carreño")</f>
        <v>Hospital Pérez Carreño</v>
      </c>
      <c r="C2466" s="45" t="str">
        <f>IFERROR(__xludf.DUMMYFUNCTION("""COMPUTED_VALUE"""),"Liseno Wladmir")</f>
        <v>Liseno Wladmir</v>
      </c>
      <c r="D2466" s="44"/>
      <c r="E2466" s="44" t="str">
        <f>IFERROR(__xludf.DUMMYFUNCTION("""COMPUTED_VALUE"""),"")</f>
        <v/>
      </c>
      <c r="F2466" s="44" t="str">
        <f>IFERROR(__xludf.DUMMYFUNCTION("""COMPUTED_VALUE"""),"")</f>
        <v/>
      </c>
      <c r="G2466" s="44" t="str">
        <f>IFERROR(__xludf.DUMMYFUNCTION("""COMPUTED_VALUE"""),"Traslados con destino asignado")</f>
        <v>Traslados con destino asignado</v>
      </c>
      <c r="H2466" s="44" t="str">
        <f>IFERROR(__xludf.DUMMYFUNCTION("""COMPUTED_VALUE"""),"Hospital Miguel Perez Carreño")</f>
        <v>Hospital Miguel Perez Carreño</v>
      </c>
      <c r="I2466" s="44"/>
      <c r="J2466" s="44" t="str">
        <f>IFERROR(__xludf.DUMMYFUNCTION("""COMPUTED_VALUE"""),"26/6/26")</f>
        <v>26/6/26</v>
      </c>
      <c r="K2466" s="42" t="str">
        <f>IFERROR(__xludf.DUMMYFUNCTION("""COMPUTED_VALUE"""),"Hospital Pérez Carreño")</f>
        <v>Hospital Pérez Carreño</v>
      </c>
    </row>
    <row r="2467">
      <c r="A2467" s="44">
        <v>2466.0</v>
      </c>
      <c r="B2467" s="44" t="str">
        <f>IFERROR(__xludf.DUMMYFUNCTION("""COMPUTED_VALUE"""),"Hospital Pérez Carreño")</f>
        <v>Hospital Pérez Carreño</v>
      </c>
      <c r="C2467" s="45" t="str">
        <f>IFERROR(__xludf.DUMMYFUNCTION("""COMPUTED_VALUE"""),"LISERCO BLADIMIR")</f>
        <v>LISERCO BLADIMIR</v>
      </c>
      <c r="D2467" s="44">
        <f>IFERROR(__xludf.DUMMYFUNCTION("""COMPUTED_VALUE"""),80.0)</f>
        <v>80</v>
      </c>
      <c r="E2467" s="44" t="str">
        <f>IFERROR(__xludf.DUMMYFUNCTION("""COMPUTED_VALUE"""),"")</f>
        <v/>
      </c>
      <c r="F2467" s="44" t="str">
        <f>IFERROR(__xludf.DUMMYFUNCTION("""COMPUTED_VALUE"""),"")</f>
        <v/>
      </c>
      <c r="G2467" s="44" t="str">
        <f>IFERROR(__xludf.DUMMYFUNCTION("""COMPUTED_VALUE""")," ")</f>
        <v> </v>
      </c>
      <c r="H2467" s="44" t="str">
        <f>IFERROR(__xludf.DUMMYFUNCTION("""COMPUTED_VALUE""")," ")</f>
        <v> </v>
      </c>
      <c r="I2467" s="44" t="str">
        <f>IFERROR(__xludf.DUMMYFUNCTION("""COMPUTED_VALUE"""),"Traumachok; Guardia")</f>
        <v>Traumachok; Guardia</v>
      </c>
      <c r="J2467" s="44" t="str">
        <f>IFERROR(__xludf.DUMMYFUNCTION("""COMPUTED_VALUE"""),"25/06/2026")</f>
        <v>25/06/2026</v>
      </c>
      <c r="K2467" s="42" t="str">
        <f>IFERROR(__xludf.DUMMYFUNCTION("""COMPUTED_VALUE"""),"Hospital Pérez Carreño")</f>
        <v>Hospital Pérez Carreño</v>
      </c>
    </row>
    <row r="2468">
      <c r="A2468" s="44">
        <v>2467.0</v>
      </c>
      <c r="B2468" s="44" t="str">
        <f>IFERROR(__xludf.DUMMYFUNCTION("""COMPUTED_VALUE"""),"Hospital Pérez Carreño")</f>
        <v>Hospital Pérez Carreño</v>
      </c>
      <c r="C2468" s="45" t="str">
        <f>IFERROR(__xludf.DUMMYFUNCTION("""COMPUTED_VALUE"""),"LISERCO TATIANA")</f>
        <v>LISERCO TATIANA</v>
      </c>
      <c r="D2468" s="44">
        <f>IFERROR(__xludf.DUMMYFUNCTION("""COMPUTED_VALUE"""),53.0)</f>
        <v>53</v>
      </c>
      <c r="E2468" s="44" t="str">
        <f>IFERROR(__xludf.DUMMYFUNCTION("""COMPUTED_VALUE"""),"")</f>
        <v/>
      </c>
      <c r="F2468" s="44" t="str">
        <f>IFERROR(__xludf.DUMMYFUNCTION("""COMPUTED_VALUE"""),"")</f>
        <v/>
      </c>
      <c r="G2468" s="44" t="str">
        <f>IFERROR(__xludf.DUMMYFUNCTION("""COMPUTED_VALUE""")," ")</f>
        <v> </v>
      </c>
      <c r="H2468" s="44" t="str">
        <f>IFERROR(__xludf.DUMMYFUNCTION("""COMPUTED_VALUE""")," ")</f>
        <v> </v>
      </c>
      <c r="I2468" s="44" t="str">
        <f>IFERROR(__xludf.DUMMYFUNCTION("""COMPUTED_VALUE"""),"Traumachok; La Guaira")</f>
        <v>Traumachok; La Guaira</v>
      </c>
      <c r="J2468" s="44" t="str">
        <f>IFERROR(__xludf.DUMMYFUNCTION("""COMPUTED_VALUE"""),"25/06/2026")</f>
        <v>25/06/2026</v>
      </c>
      <c r="K2468" s="42" t="str">
        <f>IFERROR(__xludf.DUMMYFUNCTION("""COMPUTED_VALUE"""),"Hospital Pérez Carreño")</f>
        <v>Hospital Pérez Carreño</v>
      </c>
    </row>
    <row r="2469">
      <c r="A2469" s="44">
        <v>2468.0</v>
      </c>
      <c r="B2469" s="44" t="str">
        <f>IFERROR(__xludf.DUMMYFUNCTION("""COMPUTED_VALUE"""),"HOSPITAL VARGAS")</f>
        <v>HOSPITAL VARGAS</v>
      </c>
      <c r="C2469" s="45" t="str">
        <f>IFERROR(__xludf.DUMMYFUNCTION("""COMPUTED_VALUE"""),"Liseth Ledezma")</f>
        <v>Liseth Ledezma</v>
      </c>
      <c r="D2469" s="44"/>
      <c r="E2469" s="44" t="str">
        <f>IFERROR(__xludf.DUMMYFUNCTION("""COMPUTED_VALUE"""),"")</f>
        <v/>
      </c>
      <c r="F2469" s="44" t="str">
        <f>IFERROR(__xludf.DUMMYFUNCTION("""COMPUTED_VALUE"""),"")</f>
        <v/>
      </c>
      <c r="G2469" s="44" t="str">
        <f>IFERROR(__xludf.DUMMYFUNCTION("""COMPUTED_VALUE"""),"")</f>
        <v/>
      </c>
      <c r="H2469" s="44" t="str">
        <f>IFERROR(__xludf.DUMMYFUNCTION("""COMPUTED_VALUE"""),"")</f>
        <v/>
      </c>
      <c r="I2469" s="44" t="str">
        <f>IFERROR(__xludf.DUMMYFUNCTION("""COMPUTED_VALUE"""),"Herido / atendido")</f>
        <v>Herido / atendido</v>
      </c>
      <c r="J2469" s="44" t="str">
        <f>IFERROR(__xludf.DUMMYFUNCTION("""COMPUTED_VALUE"""),"24.06.2026 ")</f>
        <v>24.06.2026 </v>
      </c>
      <c r="K2469" s="42" t="str">
        <f>IFERROR(__xludf.DUMMYFUNCTION("""COMPUTED_VALUE"""),"HOSPITAL VARGAS")</f>
        <v>HOSPITAL VARGAS</v>
      </c>
    </row>
    <row r="2470">
      <c r="A2470" s="44">
        <v>2469.0</v>
      </c>
      <c r="B2470" s="44" t="str">
        <f>IFERROR(__xludf.DUMMYFUNCTION("""COMPUTED_VALUE"""),"Periférico de Catia")</f>
        <v>Periférico de Catia</v>
      </c>
      <c r="C2470" s="45" t="str">
        <f>IFERROR(__xludf.DUMMYFUNCTION("""COMPUTED_VALUE"""),"LISMEN QUINTAN")</f>
        <v>LISMEN QUINTAN</v>
      </c>
      <c r="D2470" s="44">
        <f>IFERROR(__xludf.DUMMYFUNCTION("""COMPUTED_VALUE"""),68.0)</f>
        <v>68</v>
      </c>
      <c r="E2470" s="44" t="str">
        <f>IFERROR(__xludf.DUMMYFUNCTION("""COMPUTED_VALUE"""),"")</f>
        <v/>
      </c>
      <c r="F2470" s="44" t="str">
        <f>IFERROR(__xludf.DUMMYFUNCTION("""COMPUTED_VALUE"""),"")</f>
        <v/>
      </c>
      <c r="G2470" s="44" t="str">
        <f>IFERROR(__xludf.DUMMYFUNCTION("""COMPUTED_VALUE""")," ")</f>
        <v> </v>
      </c>
      <c r="H2470" s="44" t="str">
        <f>IFERROR(__xludf.DUMMYFUNCTION("""COMPUTED_VALUE"""),"Gramoven Nuevo H.")</f>
        <v>Gramoven Nuevo H.</v>
      </c>
      <c r="I2470" s="44" t="str">
        <f>IFERROR(__xludf.DUMMYFUNCTION("""COMPUTED_VALUE""")," ")</f>
        <v> </v>
      </c>
      <c r="J2470" s="44" t="str">
        <f>IFERROR(__xludf.DUMMYFUNCTION("""COMPUTED_VALUE"""),"")</f>
        <v/>
      </c>
      <c r="K2470" s="42" t="str">
        <f>IFERROR(__xludf.DUMMYFUNCTION("""COMPUTED_VALUE"""),"Periférico de Catia")</f>
        <v>Periférico de Catia</v>
      </c>
    </row>
    <row r="2471">
      <c r="A2471" s="44">
        <v>2470.0</v>
      </c>
      <c r="B2471" s="44" t="str">
        <f>IFERROR(__xludf.DUMMYFUNCTION("""COMPUTED_VALUE"""),"Centro de Acopio Caraballeda")</f>
        <v>Centro de Acopio Caraballeda</v>
      </c>
      <c r="C2471" s="45" t="str">
        <f>IFERROR(__xludf.DUMMYFUNCTION("""COMPUTED_VALUE"""),"LLANES ELIAS")</f>
        <v>LLANES ELIAS</v>
      </c>
      <c r="D2471" s="44" t="str">
        <f>IFERROR(__xludf.DUMMYFUNCTION("""COMPUTED_VALUE""")," ")</f>
        <v> </v>
      </c>
      <c r="E2471" s="44" t="str">
        <f>IFERROR(__xludf.DUMMYFUNCTION("""COMPUTED_VALUE"""),"")</f>
        <v/>
      </c>
      <c r="F2471" s="44" t="str">
        <f>IFERROR(__xludf.DUMMYFUNCTION("""COMPUTED_VALUE"""),"")</f>
        <v/>
      </c>
      <c r="G2471" s="44" t="str">
        <f>IFERROR(__xludf.DUMMYFUNCTION("""COMPUTED_VALUE""")," ")</f>
        <v> </v>
      </c>
      <c r="H2471" s="44" t="str">
        <f>IFERROR(__xludf.DUMMYFUNCTION("""COMPUTED_VALUE""")," ")</f>
        <v> </v>
      </c>
      <c r="I2471" s="44" t="str">
        <f>IFERROR(__xludf.DUMMYFUNCTION("""COMPUTED_VALUE"""),"Internado")</f>
        <v>Internado</v>
      </c>
      <c r="J2471" s="44" t="str">
        <f>IFERROR(__xludf.DUMMYFUNCTION("""COMPUTED_VALUE"""),"")</f>
        <v/>
      </c>
      <c r="K2471" s="42" t="str">
        <f>IFERROR(__xludf.DUMMYFUNCTION("""COMPUTED_VALUE"""),"🔍 BUSCAR PACIENTES")</f>
        <v>🔍 BUSCAR PACIENTES</v>
      </c>
    </row>
    <row r="2472">
      <c r="A2472" s="44">
        <v>2471.0</v>
      </c>
      <c r="B2472" s="44" t="str">
        <f>IFERROR(__xludf.DUMMYFUNCTION("""COMPUTED_VALUE"""),"Cruz Roja")</f>
        <v>Cruz Roja</v>
      </c>
      <c r="C2472" s="45" t="str">
        <f>IFERROR(__xludf.DUMMYFUNCTION("""COMPUTED_VALUE"""),"LLORET LAURA")</f>
        <v>LLORET LAURA</v>
      </c>
      <c r="D2472" s="44">
        <f>IFERROR(__xludf.DUMMYFUNCTION("""COMPUTED_VALUE"""),85.0)</f>
        <v>85</v>
      </c>
      <c r="E2472" s="44" t="str">
        <f>IFERROR(__xludf.DUMMYFUNCTION("""COMPUTED_VALUE"""),"")</f>
        <v/>
      </c>
      <c r="F2472" s="44" t="str">
        <f>IFERROR(__xludf.DUMMYFUNCTION("""COMPUTED_VALUE"""),"")</f>
        <v/>
      </c>
      <c r="G2472" s="44" t="str">
        <f>IFERROR(__xludf.DUMMYFUNCTION("""COMPUTED_VALUE""")," ")</f>
        <v> </v>
      </c>
      <c r="H2472" s="44" t="str">
        <f>IFERROR(__xludf.DUMMYFUNCTION("""COMPUTED_VALUE"""),"La Candelaria")</f>
        <v>La Candelaria</v>
      </c>
      <c r="I2472" s="44" t="str">
        <f>IFERROR(__xludf.DUMMYFUNCTION("""COMPUTED_VALUE""")," ")</f>
        <v> </v>
      </c>
      <c r="J2472" s="44" t="str">
        <f>IFERROR(__xludf.DUMMYFUNCTION("""COMPUTED_VALUE"""),"")</f>
        <v/>
      </c>
      <c r="K2472" s="42" t="str">
        <f>IFERROR(__xludf.DUMMYFUNCTION("""COMPUTED_VALUE"""),"Cruz Roja")</f>
        <v>Cruz Roja</v>
      </c>
    </row>
    <row r="2473">
      <c r="A2473" s="44">
        <v>2472.0</v>
      </c>
      <c r="B2473" s="44" t="str">
        <f>IFERROR(__xludf.DUMMYFUNCTION("""COMPUTED_VALUE"""),"Cruz Roja")</f>
        <v>Cruz Roja</v>
      </c>
      <c r="C2473" s="45" t="str">
        <f>IFERROR(__xludf.DUMMYFUNCTION("""COMPUTED_VALUE"""),"LLORET LILIANA")</f>
        <v>LLORET LILIANA</v>
      </c>
      <c r="D2473" s="44">
        <f>IFERROR(__xludf.DUMMYFUNCTION("""COMPUTED_VALUE"""),59.0)</f>
        <v>59</v>
      </c>
      <c r="E2473" s="44" t="str">
        <f>IFERROR(__xludf.DUMMYFUNCTION("""COMPUTED_VALUE"""),"")</f>
        <v/>
      </c>
      <c r="F2473" s="44" t="str">
        <f>IFERROR(__xludf.DUMMYFUNCTION("""COMPUTED_VALUE"""),"")</f>
        <v/>
      </c>
      <c r="G2473" s="44" t="str">
        <f>IFERROR(__xludf.DUMMYFUNCTION("""COMPUTED_VALUE""")," ")</f>
        <v> </v>
      </c>
      <c r="H2473" s="44" t="str">
        <f>IFERROR(__xludf.DUMMYFUNCTION("""COMPUTED_VALUE"""),"La Candelaria")</f>
        <v>La Candelaria</v>
      </c>
      <c r="I2473" s="44" t="str">
        <f>IFERROR(__xludf.DUMMYFUNCTION("""COMPUTED_VALUE""")," ")</f>
        <v> </v>
      </c>
      <c r="J2473" s="44" t="str">
        <f>IFERROR(__xludf.DUMMYFUNCTION("""COMPUTED_VALUE"""),"")</f>
        <v/>
      </c>
      <c r="K2473" s="42" t="str">
        <f>IFERROR(__xludf.DUMMYFUNCTION("""COMPUTED_VALUE"""),"Cruz Roja")</f>
        <v>Cruz Roja</v>
      </c>
    </row>
    <row r="2474">
      <c r="A2474" s="44">
        <v>2473.0</v>
      </c>
      <c r="B2474" s="44" t="str">
        <f>IFERROR(__xludf.DUMMYFUNCTION("""COMPUTED_VALUE"""),"Hospital Pérez Carreño")</f>
        <v>Hospital Pérez Carreño</v>
      </c>
      <c r="C2474" s="45" t="str">
        <f>IFERROR(__xludf.DUMMYFUNCTION("""COMPUTED_VALUE"""),"LOABEL SONIA MARIA")</f>
        <v>LOABEL SONIA MARIA</v>
      </c>
      <c r="D2474" s="44" t="str">
        <f>IFERROR(__xludf.DUMMYFUNCTION("""COMPUTED_VALUE""")," ")</f>
        <v> </v>
      </c>
      <c r="E2474" s="44" t="str">
        <f>IFERROR(__xludf.DUMMYFUNCTION("""COMPUTED_VALUE"""),"")</f>
        <v/>
      </c>
      <c r="F2474" s="44" t="str">
        <f>IFERROR(__xludf.DUMMYFUNCTION("""COMPUTED_VALUE"""),"")</f>
        <v/>
      </c>
      <c r="G2474" s="44" t="str">
        <f>IFERROR(__xludf.DUMMYFUNCTION("""COMPUTED_VALUE""")," ")</f>
        <v> </v>
      </c>
      <c r="H2474" s="44" t="str">
        <f>IFERROR(__xludf.DUMMYFUNCTION("""COMPUTED_VALUE""")," ")</f>
        <v> </v>
      </c>
      <c r="I2474" s="44" t="str">
        <f>IFERROR(__xludf.DUMMYFUNCTION("""COMPUTED_VALUE"""),"Internado")</f>
        <v>Internado</v>
      </c>
      <c r="J2474" s="44" t="str">
        <f>IFERROR(__xludf.DUMMYFUNCTION("""COMPUTED_VALUE"""),"25/06/2026")</f>
        <v>25/06/2026</v>
      </c>
      <c r="K2474" s="42" t="str">
        <f>IFERROR(__xludf.DUMMYFUNCTION("""COMPUTED_VALUE"""),"Hospital Pérez Carreño")</f>
        <v>Hospital Pérez Carreño</v>
      </c>
    </row>
    <row r="2475">
      <c r="A2475" s="44">
        <v>2474.0</v>
      </c>
      <c r="B2475" s="44" t="str">
        <f>IFERROR(__xludf.DUMMYFUNCTION("""COMPUTED_VALUE"""),"Hospital Pérez Carreño")</f>
        <v>Hospital Pérez Carreño</v>
      </c>
      <c r="C2475" s="45" t="str">
        <f>IFERROR(__xludf.DUMMYFUNCTION("""COMPUTED_VALUE"""),"Loabel Soniz Maria")</f>
        <v>Loabel Soniz Maria</v>
      </c>
      <c r="D2475" s="44"/>
      <c r="E2475" s="44" t="str">
        <f>IFERROR(__xludf.DUMMYFUNCTION("""COMPUTED_VALUE"""),"")</f>
        <v/>
      </c>
      <c r="F2475" s="44" t="str">
        <f>IFERROR(__xludf.DUMMYFUNCTION("""COMPUTED_VALUE"""),"")</f>
        <v/>
      </c>
      <c r="G2475" s="44" t="str">
        <f>IFERROR(__xludf.DUMMYFUNCTION("""COMPUTED_VALUE"""),"Traslados")</f>
        <v>Traslados</v>
      </c>
      <c r="H2475" s="44" t="str">
        <f>IFERROR(__xludf.DUMMYFUNCTION("""COMPUTED_VALUE"""),"Hospital Miguel Perez Carreño")</f>
        <v>Hospital Miguel Perez Carreño</v>
      </c>
      <c r="I2475" s="44"/>
      <c r="J2475" s="44" t="str">
        <f>IFERROR(__xludf.DUMMYFUNCTION("""COMPUTED_VALUE"""),"26/6/26")</f>
        <v>26/6/26</v>
      </c>
      <c r="K2475" s="42" t="str">
        <f>IFERROR(__xludf.DUMMYFUNCTION("""COMPUTED_VALUE"""),"Hospital Pérez Carreño")</f>
        <v>Hospital Pérez Carreño</v>
      </c>
    </row>
    <row r="2476">
      <c r="A2476" s="44">
        <v>2475.0</v>
      </c>
      <c r="B2476" s="44" t="str">
        <f>IFERROR(__xludf.DUMMYFUNCTION("""COMPUTED_VALUE"""),"Centro de Acopio Caraballeda")</f>
        <v>Centro de Acopio Caraballeda</v>
      </c>
      <c r="C2476" s="45" t="str">
        <f>IFERROR(__xludf.DUMMYFUNCTION("""COMPUTED_VALUE"""),"LOPEZ ARIANA")</f>
        <v>LOPEZ ARIANA</v>
      </c>
      <c r="D2476" s="44" t="str">
        <f>IFERROR(__xludf.DUMMYFUNCTION("""COMPUTED_VALUE""")," ")</f>
        <v> </v>
      </c>
      <c r="E2476" s="44" t="str">
        <f>IFERROR(__xludf.DUMMYFUNCTION("""COMPUTED_VALUE"""),"")</f>
        <v/>
      </c>
      <c r="F2476" s="44" t="str">
        <f>IFERROR(__xludf.DUMMYFUNCTION("""COMPUTED_VALUE"""),"")</f>
        <v/>
      </c>
      <c r="G2476" s="44" t="str">
        <f>IFERROR(__xludf.DUMMYFUNCTION("""COMPUTED_VALUE""")," ")</f>
        <v> </v>
      </c>
      <c r="H2476" s="44" t="str">
        <f>IFERROR(__xludf.DUMMYFUNCTION("""COMPUTED_VALUE""")," ")</f>
        <v> </v>
      </c>
      <c r="I2476" s="44" t="str">
        <f>IFERROR(__xludf.DUMMYFUNCTION("""COMPUTED_VALUE"""),"Internado")</f>
        <v>Internado</v>
      </c>
      <c r="J2476" s="44" t="str">
        <f>IFERROR(__xludf.DUMMYFUNCTION("""COMPUTED_VALUE"""),"")</f>
        <v/>
      </c>
      <c r="K2476" s="42" t="str">
        <f>IFERROR(__xludf.DUMMYFUNCTION("""COMPUTED_VALUE"""),"🔍 BUSCAR PACIENTES")</f>
        <v>🔍 BUSCAR PACIENTES</v>
      </c>
    </row>
    <row r="2477">
      <c r="A2477" s="44">
        <v>2476.0</v>
      </c>
      <c r="B2477" s="44" t="str">
        <f>IFERROR(__xludf.DUMMYFUNCTION("""COMPUTED_VALUE"""),"Centro de Acopio Caraballeda")</f>
        <v>Centro de Acopio Caraballeda</v>
      </c>
      <c r="C2477" s="45" t="str">
        <f>IFERROR(__xludf.DUMMYFUNCTION("""COMPUTED_VALUE"""),"LOPEZ CARLOS")</f>
        <v>LOPEZ CARLOS</v>
      </c>
      <c r="D2477" s="44" t="str">
        <f>IFERROR(__xludf.DUMMYFUNCTION("""COMPUTED_VALUE""")," ")</f>
        <v> </v>
      </c>
      <c r="E2477" s="44" t="str">
        <f>IFERROR(__xludf.DUMMYFUNCTION("""COMPUTED_VALUE"""),"")</f>
        <v/>
      </c>
      <c r="F2477" s="44" t="str">
        <f>IFERROR(__xludf.DUMMYFUNCTION("""COMPUTED_VALUE"""),"")</f>
        <v/>
      </c>
      <c r="G2477" s="44" t="str">
        <f>IFERROR(__xludf.DUMMYFUNCTION("""COMPUTED_VALUE""")," ")</f>
        <v> </v>
      </c>
      <c r="H2477" s="44" t="str">
        <f>IFERROR(__xludf.DUMMYFUNCTION("""COMPUTED_VALUE""")," ")</f>
        <v> </v>
      </c>
      <c r="I2477" s="44" t="str">
        <f>IFERROR(__xludf.DUMMYFUNCTION("""COMPUTED_VALUE"""),"Internado")</f>
        <v>Internado</v>
      </c>
      <c r="J2477" s="44" t="str">
        <f>IFERROR(__xludf.DUMMYFUNCTION("""COMPUTED_VALUE"""),"")</f>
        <v/>
      </c>
      <c r="K2477" s="42" t="str">
        <f>IFERROR(__xludf.DUMMYFUNCTION("""COMPUTED_VALUE"""),"🔍 BUSCAR PACIENTES")</f>
        <v>🔍 BUSCAR PACIENTES</v>
      </c>
    </row>
    <row r="2478">
      <c r="A2478" s="44">
        <v>2477.0</v>
      </c>
      <c r="B2478" s="44" t="str">
        <f>IFERROR(__xludf.DUMMYFUNCTION("""COMPUTED_VALUE"""),"Hospital Pérez Carreño")</f>
        <v>Hospital Pérez Carreño</v>
      </c>
      <c r="C2478" s="45" t="str">
        <f>IFERROR(__xludf.DUMMYFUNCTION("""COMPUTED_VALUE"""),"LOPEZ DANIEL")</f>
        <v>LOPEZ DANIEL</v>
      </c>
      <c r="D2478" s="44" t="str">
        <f>IFERROR(__xludf.DUMMYFUNCTION("""COMPUTED_VALUE""")," ")</f>
        <v> </v>
      </c>
      <c r="E2478" s="44" t="str">
        <f>IFERROR(__xludf.DUMMYFUNCTION("""COMPUTED_VALUE"""),"")</f>
        <v/>
      </c>
      <c r="F2478" s="44" t="str">
        <f>IFERROR(__xludf.DUMMYFUNCTION("""COMPUTED_VALUE"""),"")</f>
        <v/>
      </c>
      <c r="G2478" s="44" t="str">
        <f>IFERROR(__xludf.DUMMYFUNCTION("""COMPUTED_VALUE""")," ")</f>
        <v> </v>
      </c>
      <c r="H2478" s="44" t="str">
        <f>IFERROR(__xludf.DUMMYFUNCTION("""COMPUTED_VALUE""")," ")</f>
        <v> </v>
      </c>
      <c r="I2478" s="44" t="str">
        <f>IFERROR(__xludf.DUMMYFUNCTION("""COMPUTED_VALUE"""),"Internado")</f>
        <v>Internado</v>
      </c>
      <c r="J2478" s="44" t="str">
        <f>IFERROR(__xludf.DUMMYFUNCTION("""COMPUTED_VALUE"""),"25/06/2026")</f>
        <v>25/06/2026</v>
      </c>
      <c r="K2478" s="42" t="str">
        <f>IFERROR(__xludf.DUMMYFUNCTION("""COMPUTED_VALUE"""),"Hospital Pérez Carreño")</f>
        <v>Hospital Pérez Carreño</v>
      </c>
    </row>
    <row r="2479">
      <c r="A2479" s="44">
        <v>2478.0</v>
      </c>
      <c r="B2479" s="44" t="str">
        <f>IFERROR(__xludf.DUMMYFUNCTION("""COMPUTED_VALUE"""),"La Guaira Sin Hospital")</f>
        <v>La Guaira Sin Hospital</v>
      </c>
      <c r="C2479" s="45" t="str">
        <f>IFERROR(__xludf.DUMMYFUNCTION("""COMPUTED_VALUE"""),"Lopez Davila Marly Carolina")</f>
        <v>Lopez Davila Marly Carolina</v>
      </c>
      <c r="D2479" s="44" t="str">
        <f>IFERROR(__xludf.DUMMYFUNCTION("""COMPUTED_VALUE"""),"")</f>
        <v/>
      </c>
      <c r="E2479" s="44" t="str">
        <f>IFERROR(__xludf.DUMMYFUNCTION("""COMPUTED_VALUE"""),"")</f>
        <v/>
      </c>
      <c r="F2479" s="44" t="str">
        <f>IFERROR(__xludf.DUMMYFUNCTION("""COMPUTED_VALUE"""),"")</f>
        <v/>
      </c>
      <c r="G2479" s="44" t="str">
        <f>IFERROR(__xludf.DUMMYFUNCTION("""COMPUTED_VALUE"""),"")</f>
        <v/>
      </c>
      <c r="H2479" s="44"/>
      <c r="I2479" s="44" t="str">
        <f>IFERROR(__xludf.DUMMYFUNCTION("""COMPUTED_VALUE"""),"Listas solo con nombre")</f>
        <v>Listas solo con nombre</v>
      </c>
      <c r="J2479" s="44" t="str">
        <f>IFERROR(__xludf.DUMMYFUNCTION("""COMPUTED_VALUE"""),"")</f>
        <v/>
      </c>
      <c r="K2479" s="42" t="str">
        <f>IFERROR(__xludf.DUMMYFUNCTION("""COMPUTED_VALUE"""),"La Guaira Sin Hospital")</f>
        <v>La Guaira Sin Hospital</v>
      </c>
    </row>
    <row r="2480">
      <c r="A2480" s="44">
        <v>2479.0</v>
      </c>
      <c r="B2480" s="44" t="str">
        <f>IFERROR(__xludf.DUMMYFUNCTION("""COMPUTED_VALUE"""),"La Guaira Sin Hospital")</f>
        <v>La Guaira Sin Hospital</v>
      </c>
      <c r="C2480" s="45" t="str">
        <f>IFERROR(__xludf.DUMMYFUNCTION("""COMPUTED_VALUE"""),"Lopez Davila Thais Bernal")</f>
        <v>Lopez Davila Thais Bernal</v>
      </c>
      <c r="D2480" s="44" t="str">
        <f>IFERROR(__xludf.DUMMYFUNCTION("""COMPUTED_VALUE"""),"")</f>
        <v/>
      </c>
      <c r="E2480" s="44" t="str">
        <f>IFERROR(__xludf.DUMMYFUNCTION("""COMPUTED_VALUE"""),"")</f>
        <v/>
      </c>
      <c r="F2480" s="44" t="str">
        <f>IFERROR(__xludf.DUMMYFUNCTION("""COMPUTED_VALUE"""),"")</f>
        <v/>
      </c>
      <c r="G2480" s="44" t="str">
        <f>IFERROR(__xludf.DUMMYFUNCTION("""COMPUTED_VALUE"""),"")</f>
        <v/>
      </c>
      <c r="H2480" s="44"/>
      <c r="I2480" s="44" t="str">
        <f>IFERROR(__xludf.DUMMYFUNCTION("""COMPUTED_VALUE"""),"Listas solo con nombre")</f>
        <v>Listas solo con nombre</v>
      </c>
      <c r="J2480" s="44" t="str">
        <f>IFERROR(__xludf.DUMMYFUNCTION("""COMPUTED_VALUE"""),"")</f>
        <v/>
      </c>
      <c r="K2480" s="42" t="str">
        <f>IFERROR(__xludf.DUMMYFUNCTION("""COMPUTED_VALUE"""),"La Guaira Sin Hospital")</f>
        <v>La Guaira Sin Hospital</v>
      </c>
    </row>
    <row r="2481">
      <c r="A2481" s="44">
        <v>2480.0</v>
      </c>
      <c r="B2481" s="44" t="str">
        <f>IFERROR(__xludf.DUMMYFUNCTION("""COMPUTED_VALUE"""),"Hospital Pérez Carreño")</f>
        <v>Hospital Pérez Carreño</v>
      </c>
      <c r="C2481" s="45" t="str">
        <f>IFERROR(__xludf.DUMMYFUNCTION("""COMPUTED_VALUE"""),"Lopez Davila Thais Bernar")</f>
        <v>Lopez Davila Thais Bernar</v>
      </c>
      <c r="D2481" s="44"/>
      <c r="E2481" s="44" t="str">
        <f>IFERROR(__xludf.DUMMYFUNCTION("""COMPUTED_VALUE"""),"")</f>
        <v/>
      </c>
      <c r="F2481" s="44" t="str">
        <f>IFERROR(__xludf.DUMMYFUNCTION("""COMPUTED_VALUE"""),"")</f>
        <v/>
      </c>
      <c r="G2481" s="44" t="str">
        <f>IFERROR(__xludf.DUMMYFUNCTION("""COMPUTED_VALUE"""),"Traslados")</f>
        <v>Traslados</v>
      </c>
      <c r="H2481" s="44" t="str">
        <f>IFERROR(__xludf.DUMMYFUNCTION("""COMPUTED_VALUE"""),"Hospital Miguel Perez Carreño")</f>
        <v>Hospital Miguel Perez Carreño</v>
      </c>
      <c r="I2481" s="44"/>
      <c r="J2481" s="44" t="str">
        <f>IFERROR(__xludf.DUMMYFUNCTION("""COMPUTED_VALUE"""),"26/6/26")</f>
        <v>26/6/26</v>
      </c>
      <c r="K2481" s="42" t="str">
        <f>IFERROR(__xludf.DUMMYFUNCTION("""COMPUTED_VALUE"""),"Hospital Pérez Carreño")</f>
        <v>Hospital Pérez Carreño</v>
      </c>
    </row>
    <row r="2482">
      <c r="A2482" s="44">
        <v>2481.0</v>
      </c>
      <c r="B2482" s="44" t="str">
        <f>IFERROR(__xludf.DUMMYFUNCTION("""COMPUTED_VALUE"""),"Hospital Pérez Carreño")</f>
        <v>Hospital Pérez Carreño</v>
      </c>
      <c r="C2482" s="45" t="str">
        <f>IFERROR(__xludf.DUMMYFUNCTION("""COMPUTED_VALUE"""),"LOPEZ ELIMAR")</f>
        <v>LOPEZ ELIMAR</v>
      </c>
      <c r="D2482" s="44">
        <f>IFERROR(__xludf.DUMMYFUNCTION("""COMPUTED_VALUE"""),42.0)</f>
        <v>42</v>
      </c>
      <c r="E2482" s="44" t="str">
        <f>IFERROR(__xludf.DUMMYFUNCTION("""COMPUTED_VALUE"""),"")</f>
        <v/>
      </c>
      <c r="F2482" s="44" t="str">
        <f>IFERROR(__xludf.DUMMYFUNCTION("""COMPUTED_VALUE"""),"")</f>
        <v/>
      </c>
      <c r="G2482" s="44" t="str">
        <f>IFERROR(__xludf.DUMMYFUNCTION("""COMPUTED_VALUE""")," ")</f>
        <v> </v>
      </c>
      <c r="H2482" s="44" t="str">
        <f>IFERROR(__xludf.DUMMYFUNCTION("""COMPUTED_VALUE""")," ")</f>
        <v> </v>
      </c>
      <c r="I2482" s="44" t="str">
        <f>IFERROR(__xludf.DUMMYFUNCTION("""COMPUTED_VALUE"""),"Traumashock")</f>
        <v>Traumashock</v>
      </c>
      <c r="J2482" s="44" t="str">
        <f>IFERROR(__xludf.DUMMYFUNCTION("""COMPUTED_VALUE"""),"25/06/2026")</f>
        <v>25/06/2026</v>
      </c>
      <c r="K2482" s="42" t="str">
        <f>IFERROR(__xludf.DUMMYFUNCTION("""COMPUTED_VALUE"""),"Hospital Pérez Carreño")</f>
        <v>Hospital Pérez Carreño</v>
      </c>
    </row>
    <row r="2483">
      <c r="A2483" s="44">
        <v>2482.0</v>
      </c>
      <c r="B2483" s="44" t="str">
        <f>IFERROR(__xludf.DUMMYFUNCTION("""COMPUTED_VALUE"""),"Hospital Pérez Carreño")</f>
        <v>Hospital Pérez Carreño</v>
      </c>
      <c r="C2483" s="45" t="str">
        <f>IFERROR(__xludf.DUMMYFUNCTION("""COMPUTED_VALUE"""),"LOPEZ EMERSON")</f>
        <v>LOPEZ EMERSON</v>
      </c>
      <c r="D2483" s="44" t="str">
        <f>IFERROR(__xludf.DUMMYFUNCTION("""COMPUTED_VALUE""")," ")</f>
        <v> </v>
      </c>
      <c r="E2483" s="44" t="str">
        <f>IFERROR(__xludf.DUMMYFUNCTION("""COMPUTED_VALUE"""),"")</f>
        <v/>
      </c>
      <c r="F2483" s="44" t="str">
        <f>IFERROR(__xludf.DUMMYFUNCTION("""COMPUTED_VALUE"""),"")</f>
        <v/>
      </c>
      <c r="G2483" s="44" t="str">
        <f>IFERROR(__xludf.DUMMYFUNCTION("""COMPUTED_VALUE""")," ")</f>
        <v> </v>
      </c>
      <c r="H2483" s="44" t="str">
        <f>IFERROR(__xludf.DUMMYFUNCTION("""COMPUTED_VALUE""")," ")</f>
        <v> </v>
      </c>
      <c r="I2483" s="44" t="str">
        <f>IFERROR(__xludf.DUMMYFUNCTION("""COMPUTED_VALUE"""),"Internado")</f>
        <v>Internado</v>
      </c>
      <c r="J2483" s="44" t="str">
        <f>IFERROR(__xludf.DUMMYFUNCTION("""COMPUTED_VALUE"""),"25/06/2026")</f>
        <v>25/06/2026</v>
      </c>
      <c r="K2483" s="42" t="str">
        <f>IFERROR(__xludf.DUMMYFUNCTION("""COMPUTED_VALUE"""),"Hospital Pérez Carreño")</f>
        <v>Hospital Pérez Carreño</v>
      </c>
    </row>
    <row r="2484">
      <c r="A2484" s="44">
        <v>2483.0</v>
      </c>
      <c r="B2484" s="44" t="str">
        <f>IFERROR(__xludf.DUMMYFUNCTION("""COMPUTED_VALUE"""),"Hospital Vargas de Caracas")</f>
        <v>Hospital Vargas de Caracas</v>
      </c>
      <c r="C2484" s="45" t="str">
        <f>IFERROR(__xludf.DUMMYFUNCTION("""COMPUTED_VALUE"""),"LOPEZ EMERSON / LOPEZ EMEISON")</f>
        <v>LOPEZ EMERSON / LOPEZ EMEISON</v>
      </c>
      <c r="D2484" s="44" t="str">
        <f>IFERROR(__xludf.DUMMYFUNCTION("""COMPUTED_VALUE""")," ")</f>
        <v> </v>
      </c>
      <c r="E2484" s="44" t="str">
        <f>IFERROR(__xludf.DUMMYFUNCTION("""COMPUTED_VALUE"""),"")</f>
        <v/>
      </c>
      <c r="F2484" s="44" t="str">
        <f>IFERROR(__xludf.DUMMYFUNCTION("""COMPUTED_VALUE""")," ")</f>
        <v> </v>
      </c>
      <c r="G2484" s="44" t="str">
        <f>IFERROR(__xludf.DUMMYFUNCTION("""COMPUTED_VALUE"""),"")</f>
        <v/>
      </c>
      <c r="H2484" s="44" t="str">
        <f>IFERROR(__xludf.DUMMYFUNCTION("""COMPUTED_VALUE""")," ")</f>
        <v> </v>
      </c>
      <c r="I2484" s="44" t="str">
        <f>IFERROR(__xludf.DUMMYFUNCTION("""COMPUTED_VALUE""")," ")</f>
        <v> </v>
      </c>
      <c r="J2484" s="44" t="str">
        <f>IFERROR(__xludf.DUMMYFUNCTION("""COMPUTED_VALUE"""),"")</f>
        <v/>
      </c>
      <c r="K2484" s="42" t="str">
        <f>IFERROR(__xludf.DUMMYFUNCTION("""COMPUTED_VALUE"""),"Hospital Vargas de Caracas")</f>
        <v>Hospital Vargas de Caracas</v>
      </c>
    </row>
    <row r="2485">
      <c r="A2485" s="44">
        <v>2484.0</v>
      </c>
      <c r="B2485" s="44" t="str">
        <f>IFERROR(__xludf.DUMMYFUNCTION("""COMPUTED_VALUE"""),"Hospital Pérez Carreño")</f>
        <v>Hospital Pérez Carreño</v>
      </c>
      <c r="C2485" s="45" t="str">
        <f>IFERROR(__xludf.DUMMYFUNCTION("""COMPUTED_VALUE"""),"LOPEZ FRANLEYDI")</f>
        <v>LOPEZ FRANLEYDI</v>
      </c>
      <c r="D2485" s="44" t="str">
        <f>IFERROR(__xludf.DUMMYFUNCTION("""COMPUTED_VALUE""")," ")</f>
        <v> </v>
      </c>
      <c r="E2485" s="44" t="str">
        <f>IFERROR(__xludf.DUMMYFUNCTION("""COMPUTED_VALUE"""),"")</f>
        <v/>
      </c>
      <c r="F2485" s="44" t="str">
        <f>IFERROR(__xludf.DUMMYFUNCTION("""COMPUTED_VALUE"""),"")</f>
        <v/>
      </c>
      <c r="G2485" s="44" t="str">
        <f>IFERROR(__xludf.DUMMYFUNCTION("""COMPUTED_VALUE""")," ")</f>
        <v> </v>
      </c>
      <c r="H2485" s="44" t="str">
        <f>IFERROR(__xludf.DUMMYFUNCTION("""COMPUTED_VALUE""")," ")</f>
        <v> </v>
      </c>
      <c r="I2485" s="44" t="str">
        <f>IFERROR(__xludf.DUMMYFUNCTION("""COMPUTED_VALUE"""),"TraumaShock")</f>
        <v>TraumaShock</v>
      </c>
      <c r="J2485" s="44" t="str">
        <f>IFERROR(__xludf.DUMMYFUNCTION("""COMPUTED_VALUE"""),"25/06/2026")</f>
        <v>25/06/2026</v>
      </c>
      <c r="K2485" s="42" t="str">
        <f>IFERROR(__xludf.DUMMYFUNCTION("""COMPUTED_VALUE"""),"Hospital Pérez Carreño")</f>
        <v>Hospital Pérez Carreño</v>
      </c>
    </row>
    <row r="2486">
      <c r="A2486" s="44">
        <v>2485.0</v>
      </c>
      <c r="B2486" s="44" t="str">
        <f>IFERROR(__xludf.DUMMYFUNCTION("""COMPUTED_VALUE"""),"Hospital Domingo Luciani")</f>
        <v>Hospital Domingo Luciani</v>
      </c>
      <c r="C2486" s="45" t="str">
        <f>IFERROR(__xludf.DUMMYFUNCTION("""COMPUTED_VALUE"""),"LOPEZ HADDY")</f>
        <v>LOPEZ HADDY</v>
      </c>
      <c r="D2486" s="44">
        <f>IFERROR(__xludf.DUMMYFUNCTION("""COMPUTED_VALUE"""),12.0)</f>
        <v>12</v>
      </c>
      <c r="E2486" s="44" t="str">
        <f>IFERROR(__xludf.DUMMYFUNCTION("""COMPUTED_VALUE"""),"")</f>
        <v/>
      </c>
      <c r="F2486" s="44" t="str">
        <f>IFERROR(__xludf.DUMMYFUNCTION("""COMPUTED_VALUE"""),"")</f>
        <v/>
      </c>
      <c r="G2486" s="44" t="str">
        <f>IFERROR(__xludf.DUMMYFUNCTION("""COMPUTED_VALUE""")," ")</f>
        <v> </v>
      </c>
      <c r="H2486" s="44" t="str">
        <f>IFERROR(__xludf.DUMMYFUNCTION("""COMPUTED_VALUE""")," ")</f>
        <v> </v>
      </c>
      <c r="I2486" s="44" t="str">
        <f>IFERROR(__xludf.DUMMYFUNCTION("""COMPUTED_VALUE""")," ")</f>
        <v> </v>
      </c>
      <c r="J2486" s="44" t="str">
        <f>IFERROR(__xludf.DUMMYFUNCTION("""COMPUTED_VALUE"""),"")</f>
        <v/>
      </c>
      <c r="K2486" s="42" t="str">
        <f>IFERROR(__xludf.DUMMYFUNCTION("""COMPUTED_VALUE"""),"🔍 BUSCAR PACIENTES")</f>
        <v>🔍 BUSCAR PACIENTES</v>
      </c>
    </row>
    <row r="2487">
      <c r="A2487" s="44">
        <v>2486.0</v>
      </c>
      <c r="B2487" s="44" t="str">
        <f>IFERROR(__xludf.DUMMYFUNCTION("""COMPUTED_VALUE"""),"Hospital Domingo Luciani")</f>
        <v>Hospital Domingo Luciani</v>
      </c>
      <c r="C2487" s="45" t="str">
        <f>IFERROR(__xludf.DUMMYFUNCTION("""COMPUTED_VALUE"""),"LOPEZ HADDY F")</f>
        <v>LOPEZ HADDY F</v>
      </c>
      <c r="D2487" s="44">
        <f>IFERROR(__xludf.DUMMYFUNCTION("""COMPUTED_VALUE"""),42.0)</f>
        <v>42</v>
      </c>
      <c r="E2487" s="44" t="str">
        <f>IFERROR(__xludf.DUMMYFUNCTION("""COMPUTED_VALUE"""),"")</f>
        <v/>
      </c>
      <c r="F2487" s="44" t="str">
        <f>IFERROR(__xludf.DUMMYFUNCTION("""COMPUTED_VALUE"""),"")</f>
        <v/>
      </c>
      <c r="G2487" s="44" t="str">
        <f>IFERROR(__xludf.DUMMYFUNCTION("""COMPUTED_VALUE""")," ")</f>
        <v> </v>
      </c>
      <c r="H2487" s="44" t="str">
        <f>IFERROR(__xludf.DUMMYFUNCTION("""COMPUTED_VALUE""")," ")</f>
        <v> </v>
      </c>
      <c r="I2487" s="44" t="str">
        <f>IFERROR(__xludf.DUMMYFUNCTION("""COMPUTED_VALUE""")," ")</f>
        <v> </v>
      </c>
      <c r="J2487" s="44" t="str">
        <f>IFERROR(__xludf.DUMMYFUNCTION("""COMPUTED_VALUE"""),"")</f>
        <v/>
      </c>
      <c r="K2487" s="42" t="str">
        <f>IFERROR(__xludf.DUMMYFUNCTION("""COMPUTED_VALUE"""),"🔍 BUSCAR PACIENTES")</f>
        <v>🔍 BUSCAR PACIENTES</v>
      </c>
    </row>
    <row r="2488">
      <c r="A2488" s="44">
        <v>2487.0</v>
      </c>
      <c r="B2488" s="44" t="str">
        <f>IFERROR(__xludf.DUMMYFUNCTION("""COMPUTED_VALUE"""),"H. Jose Maria Vargas LG")</f>
        <v>H. Jose Maria Vargas LG</v>
      </c>
      <c r="C2488" s="45" t="str">
        <f>IFERROR(__xludf.DUMMYFUNCTION("""COMPUTED_VALUE"""),"LOPEZ HAGADI")</f>
        <v>LOPEZ HAGADI</v>
      </c>
      <c r="D2488" s="44" t="str">
        <f>IFERROR(__xludf.DUMMYFUNCTION("""COMPUTED_VALUE""")," ")</f>
        <v> </v>
      </c>
      <c r="E2488" s="44" t="str">
        <f>IFERROR(__xludf.DUMMYFUNCTION("""COMPUTED_VALUE"""),"")</f>
        <v/>
      </c>
      <c r="F2488" s="44" t="str">
        <f>IFERROR(__xludf.DUMMYFUNCTION("""COMPUTED_VALUE"""),"")</f>
        <v/>
      </c>
      <c r="G2488" s="44" t="str">
        <f>IFERROR(__xludf.DUMMYFUNCTION("""COMPUTED_VALUE""")," ")</f>
        <v> </v>
      </c>
      <c r="H2488" s="44" t="str">
        <f>IFERROR(__xludf.DUMMYFUNCTION("""COMPUTED_VALUE""")," ")</f>
        <v> </v>
      </c>
      <c r="I2488" s="44" t="str">
        <f>IFERROR(__xludf.DUMMYFUNCTION("""COMPUTED_VALUE"""),"Internado")</f>
        <v>Internado</v>
      </c>
      <c r="J2488" s="44" t="str">
        <f>IFERROR(__xludf.DUMMYFUNCTION("""COMPUTED_VALUE"""),"")</f>
        <v/>
      </c>
      <c r="K2488" s="42" t="str">
        <f>IFERROR(__xludf.DUMMYFUNCTION("""COMPUTED_VALUE"""),"H. Jose Maria Vargas LG")</f>
        <v>H. Jose Maria Vargas LG</v>
      </c>
    </row>
    <row r="2489">
      <c r="A2489" s="44">
        <v>2488.0</v>
      </c>
      <c r="B2489" s="44" t="str">
        <f>IFERROR(__xludf.DUMMYFUNCTION("""COMPUTED_VALUE"""),"H. Jose Maria Vargas LG")</f>
        <v>H. Jose Maria Vargas LG</v>
      </c>
      <c r="C2489" s="45" t="str">
        <f>IFERROR(__xludf.DUMMYFUNCTION("""COMPUTED_VALUE"""),"LOPEZ JUAN")</f>
        <v>LOPEZ JUAN</v>
      </c>
      <c r="D2489" s="44" t="str">
        <f>IFERROR(__xludf.DUMMYFUNCTION("""COMPUTED_VALUE""")," ")</f>
        <v> </v>
      </c>
      <c r="E2489" s="44" t="str">
        <f>IFERROR(__xludf.DUMMYFUNCTION("""COMPUTED_VALUE"""),"")</f>
        <v/>
      </c>
      <c r="F2489" s="44" t="str">
        <f>IFERROR(__xludf.DUMMYFUNCTION("""COMPUTED_VALUE"""),"")</f>
        <v/>
      </c>
      <c r="G2489" s="44" t="str">
        <f>IFERROR(__xludf.DUMMYFUNCTION("""COMPUTED_VALUE""")," ")</f>
        <v> </v>
      </c>
      <c r="H2489" s="44" t="str">
        <f>IFERROR(__xludf.DUMMYFUNCTION("""COMPUTED_VALUE""")," ")</f>
        <v> </v>
      </c>
      <c r="I2489" s="44" t="str">
        <f>IFERROR(__xludf.DUMMYFUNCTION("""COMPUTED_VALUE""")," ")</f>
        <v> </v>
      </c>
      <c r="J2489" s="44" t="str">
        <f>IFERROR(__xludf.DUMMYFUNCTION("""COMPUTED_VALUE"""),"")</f>
        <v/>
      </c>
      <c r="K2489" s="42" t="str">
        <f>IFERROR(__xludf.DUMMYFUNCTION("""COMPUTED_VALUE"""),"H. Jose Maria Vargas LG")</f>
        <v>H. Jose Maria Vargas LG</v>
      </c>
    </row>
    <row r="2490">
      <c r="A2490" s="44">
        <v>2489.0</v>
      </c>
      <c r="B2490" s="44" t="str">
        <f>IFERROR(__xludf.DUMMYFUNCTION("""COMPUTED_VALUE"""),"La Guaira Sin Hospital")</f>
        <v>La Guaira Sin Hospital</v>
      </c>
      <c r="C2490" s="45" t="str">
        <f>IFERROR(__xludf.DUMMYFUNCTION("""COMPUTED_VALUE"""),"Lopez Luis Revoredo")</f>
        <v>Lopez Luis Revoredo</v>
      </c>
      <c r="D2490" s="44" t="str">
        <f>IFERROR(__xludf.DUMMYFUNCTION("""COMPUTED_VALUE"""),"")</f>
        <v/>
      </c>
      <c r="E2490" s="44" t="str">
        <f>IFERROR(__xludf.DUMMYFUNCTION("""COMPUTED_VALUE"""),"")</f>
        <v/>
      </c>
      <c r="F2490" s="44" t="str">
        <f>IFERROR(__xludf.DUMMYFUNCTION("""COMPUTED_VALUE"""),"")</f>
        <v/>
      </c>
      <c r="G2490" s="44" t="str">
        <f>IFERROR(__xludf.DUMMYFUNCTION("""COMPUTED_VALUE"""),"")</f>
        <v/>
      </c>
      <c r="H2490" s="44" t="str">
        <f>IFERROR(__xludf.DUMMYFUNCTION("""COMPUTED_VALUE"""),"La Guaira Caraballeda")</f>
        <v>La Guaira Caraballeda</v>
      </c>
      <c r="I2490" s="44" t="str">
        <f>IFERROR(__xludf.DUMMYFUNCTION("""COMPUTED_VALUE"""),"Listas con ubicación")</f>
        <v>Listas con ubicación</v>
      </c>
      <c r="J2490" s="44" t="str">
        <f>IFERROR(__xludf.DUMMYFUNCTION("""COMPUTED_VALUE"""),"")</f>
        <v/>
      </c>
      <c r="K2490" s="42" t="str">
        <f>IFERROR(__xludf.DUMMYFUNCTION("""COMPUTED_VALUE"""),"La Guaira Sin Hospital")</f>
        <v>La Guaira Sin Hospital</v>
      </c>
    </row>
    <row r="2491">
      <c r="A2491" s="44">
        <v>2490.0</v>
      </c>
      <c r="B2491" s="44" t="str">
        <f>IFERROR(__xludf.DUMMYFUNCTION("""COMPUTED_VALUE"""),"Hospital Pérez Carreño")</f>
        <v>Hospital Pérez Carreño</v>
      </c>
      <c r="C2491" s="45" t="str">
        <f>IFERROR(__xludf.DUMMYFUNCTION("""COMPUTED_VALUE"""),"LOPEZ MAILY CAROLINA")</f>
        <v>LOPEZ MAILY CAROLINA</v>
      </c>
      <c r="D2491" s="44" t="str">
        <f>IFERROR(__xludf.DUMMYFUNCTION("""COMPUTED_VALUE""")," ")</f>
        <v> </v>
      </c>
      <c r="E2491" s="44" t="str">
        <f>IFERROR(__xludf.DUMMYFUNCTION("""COMPUTED_VALUE"""),"")</f>
        <v/>
      </c>
      <c r="F2491" s="44" t="str">
        <f>IFERROR(__xludf.DUMMYFUNCTION("""COMPUTED_VALUE"""),"")</f>
        <v/>
      </c>
      <c r="G2491" s="44" t="str">
        <f>IFERROR(__xludf.DUMMYFUNCTION("""COMPUTED_VALUE""")," ")</f>
        <v> </v>
      </c>
      <c r="H2491" s="44" t="str">
        <f>IFERROR(__xludf.DUMMYFUNCTION("""COMPUTED_VALUE""")," ")</f>
        <v> </v>
      </c>
      <c r="I2491" s="44" t="str">
        <f>IFERROR(__xludf.DUMMYFUNCTION("""COMPUTED_VALUE"""),"Traumashock")</f>
        <v>Traumashock</v>
      </c>
      <c r="J2491" s="44" t="str">
        <f>IFERROR(__xludf.DUMMYFUNCTION("""COMPUTED_VALUE"""),"25/06/2026")</f>
        <v>25/06/2026</v>
      </c>
      <c r="K2491" s="42" t="str">
        <f>IFERROR(__xludf.DUMMYFUNCTION("""COMPUTED_VALUE"""),"Hospital Pérez Carreño")</f>
        <v>Hospital Pérez Carreño</v>
      </c>
    </row>
    <row r="2492">
      <c r="A2492" s="44">
        <v>2491.0</v>
      </c>
      <c r="B2492" s="44" t="str">
        <f>IFERROR(__xludf.DUMMYFUNCTION("""COMPUTED_VALUE"""),"Periférico de Catia")</f>
        <v>Periférico de Catia</v>
      </c>
      <c r="C2492" s="45" t="str">
        <f>IFERROR(__xludf.DUMMYFUNCTION("""COMPUTED_VALUE"""),"LOPEZ MARIOLY")</f>
        <v>LOPEZ MARIOLY</v>
      </c>
      <c r="D2492" s="44">
        <f>IFERROR(__xludf.DUMMYFUNCTION("""COMPUTED_VALUE"""),44.0)</f>
        <v>44</v>
      </c>
      <c r="E2492" s="44" t="str">
        <f>IFERROR(__xludf.DUMMYFUNCTION("""COMPUTED_VALUE"""),"")</f>
        <v/>
      </c>
      <c r="F2492" s="44" t="str">
        <f>IFERROR(__xludf.DUMMYFUNCTION("""COMPUTED_VALUE"""),"")</f>
        <v/>
      </c>
      <c r="G2492" s="44" t="str">
        <f>IFERROR(__xludf.DUMMYFUNCTION("""COMPUTED_VALUE""")," ")</f>
        <v> </v>
      </c>
      <c r="H2492" s="44" t="str">
        <f>IFERROR(__xludf.DUMMYFUNCTION("""COMPUTED_VALUE""")," ")</f>
        <v> </v>
      </c>
      <c r="I2492" s="44" t="str">
        <f>IFERROR(__xludf.DUMMYFUNCTION("""COMPUTED_VALUE""")," ")</f>
        <v> </v>
      </c>
      <c r="J2492" s="44" t="str">
        <f>IFERROR(__xludf.DUMMYFUNCTION("""COMPUTED_VALUE"""),"")</f>
        <v/>
      </c>
      <c r="K2492" s="42" t="str">
        <f>IFERROR(__xludf.DUMMYFUNCTION("""COMPUTED_VALUE"""),"Periférico de Catia")</f>
        <v>Periférico de Catia</v>
      </c>
    </row>
    <row r="2493">
      <c r="A2493" s="44">
        <v>2492.0</v>
      </c>
      <c r="B2493" s="44" t="str">
        <f>IFERROR(__xludf.DUMMYFUNCTION("""COMPUTED_VALUE"""),"H. Jose Maria Vargas LG")</f>
        <v>H. Jose Maria Vargas LG</v>
      </c>
      <c r="C2493" s="45" t="str">
        <f>IFERROR(__xludf.DUMMYFUNCTION("""COMPUTED_VALUE"""),"LOPEZ MARLIN")</f>
        <v>LOPEZ MARLIN</v>
      </c>
      <c r="D2493" s="44" t="str">
        <f>IFERROR(__xludf.DUMMYFUNCTION("""COMPUTED_VALUE""")," ")</f>
        <v> </v>
      </c>
      <c r="E2493" s="44" t="str">
        <f>IFERROR(__xludf.DUMMYFUNCTION("""COMPUTED_VALUE"""),"")</f>
        <v/>
      </c>
      <c r="F2493" s="44" t="str">
        <f>IFERROR(__xludf.DUMMYFUNCTION("""COMPUTED_VALUE"""),"")</f>
        <v/>
      </c>
      <c r="G2493" s="44" t="str">
        <f>IFERROR(__xludf.DUMMYFUNCTION("""COMPUTED_VALUE""")," ")</f>
        <v> </v>
      </c>
      <c r="H2493" s="44" t="str">
        <f>IFERROR(__xludf.DUMMYFUNCTION("""COMPUTED_VALUE""")," ")</f>
        <v> </v>
      </c>
      <c r="I2493" s="44" t="str">
        <f>IFERROR(__xludf.DUMMYFUNCTION("""COMPUTED_VALUE""")," ")</f>
        <v> </v>
      </c>
      <c r="J2493" s="44" t="str">
        <f>IFERROR(__xludf.DUMMYFUNCTION("""COMPUTED_VALUE"""),"")</f>
        <v/>
      </c>
      <c r="K2493" s="42" t="str">
        <f>IFERROR(__xludf.DUMMYFUNCTION("""COMPUTED_VALUE"""),"H. Jose Maria Vargas LG")</f>
        <v>H. Jose Maria Vargas LG</v>
      </c>
    </row>
    <row r="2494">
      <c r="A2494" s="44">
        <v>2493.0</v>
      </c>
      <c r="B2494" s="44" t="str">
        <f>IFERROR(__xludf.DUMMYFUNCTION("""COMPUTED_VALUE"""),"Hospital Vargas de Caracas")</f>
        <v>Hospital Vargas de Caracas</v>
      </c>
      <c r="C2494" s="45" t="str">
        <f>IFERROR(__xludf.DUMMYFUNCTION("""COMPUTED_VALUE"""),"LOPEZ NAZARETH")</f>
        <v>LOPEZ NAZARETH</v>
      </c>
      <c r="D2494" s="44" t="str">
        <f>IFERROR(__xludf.DUMMYFUNCTION("""COMPUTED_VALUE""")," ")</f>
        <v> </v>
      </c>
      <c r="E2494" s="44" t="str">
        <f>IFERROR(__xludf.DUMMYFUNCTION("""COMPUTED_VALUE"""),"")</f>
        <v/>
      </c>
      <c r="F2494" s="44" t="str">
        <f>IFERROR(__xludf.DUMMYFUNCTION("""COMPUTED_VALUE""")," ")</f>
        <v> </v>
      </c>
      <c r="G2494" s="44" t="str">
        <f>IFERROR(__xludf.DUMMYFUNCTION("""COMPUTED_VALUE"""),"")</f>
        <v/>
      </c>
      <c r="H2494" s="44" t="str">
        <f>IFERROR(__xludf.DUMMYFUNCTION("""COMPUTED_VALUE"""),"Guaira")</f>
        <v>Guaira</v>
      </c>
      <c r="I2494" s="44" t="str">
        <f>IFERROR(__xludf.DUMMYFUNCTION("""COMPUTED_VALUE""")," ")</f>
        <v> </v>
      </c>
      <c r="J2494" s="44" t="str">
        <f>IFERROR(__xludf.DUMMYFUNCTION("""COMPUTED_VALUE"""),"")</f>
        <v/>
      </c>
      <c r="K2494" s="42" t="str">
        <f>IFERROR(__xludf.DUMMYFUNCTION("""COMPUTED_VALUE"""),"Hospital Vargas de Caracas")</f>
        <v>Hospital Vargas de Caracas</v>
      </c>
    </row>
    <row r="2495">
      <c r="A2495" s="44">
        <v>2494.0</v>
      </c>
      <c r="B2495" s="44" t="str">
        <f>IFERROR(__xludf.DUMMYFUNCTION("""COMPUTED_VALUE"""),"Periférico de Catia")</f>
        <v>Periférico de Catia</v>
      </c>
      <c r="C2495" s="45" t="str">
        <f>IFERROR(__xludf.DUMMYFUNCTION("""COMPUTED_VALUE"""),"LOPEZ NEIBER")</f>
        <v>LOPEZ NEIBER</v>
      </c>
      <c r="D2495" s="44">
        <f>IFERROR(__xludf.DUMMYFUNCTION("""COMPUTED_VALUE"""),29.0)</f>
        <v>29</v>
      </c>
      <c r="E2495" s="44" t="str">
        <f>IFERROR(__xludf.DUMMYFUNCTION("""COMPUTED_VALUE"""),"")</f>
        <v/>
      </c>
      <c r="F2495" s="44" t="str">
        <f>IFERROR(__xludf.DUMMYFUNCTION("""COMPUTED_VALUE"""),"")</f>
        <v/>
      </c>
      <c r="G2495" s="44" t="str">
        <f>IFERROR(__xludf.DUMMYFUNCTION("""COMPUTED_VALUE""")," ")</f>
        <v> </v>
      </c>
      <c r="H2495" s="44" t="str">
        <f>IFERROR(__xludf.DUMMYFUNCTION("""COMPUTED_VALUE"""),"Pto. Caribe")</f>
        <v>Pto. Caribe</v>
      </c>
      <c r="I2495" s="44" t="str">
        <f>IFERROR(__xludf.DUMMYFUNCTION("""COMPUTED_VALUE""")," ")</f>
        <v> </v>
      </c>
      <c r="J2495" s="44" t="str">
        <f>IFERROR(__xludf.DUMMYFUNCTION("""COMPUTED_VALUE"""),"")</f>
        <v/>
      </c>
      <c r="K2495" s="42" t="str">
        <f>IFERROR(__xludf.DUMMYFUNCTION("""COMPUTED_VALUE"""),"Periférico de Catia")</f>
        <v>Periférico de Catia</v>
      </c>
    </row>
    <row r="2496">
      <c r="A2496" s="44">
        <v>2495.0</v>
      </c>
      <c r="B2496" s="44" t="str">
        <f>IFERROR(__xludf.DUMMYFUNCTION("""COMPUTED_VALUE"""),"Periférico de Catia")</f>
        <v>Periférico de Catia</v>
      </c>
      <c r="C2496" s="45" t="str">
        <f>IFERROR(__xludf.DUMMYFUNCTION("""COMPUTED_VALUE"""),"LOPEZ NEIBOY")</f>
        <v>LOPEZ NEIBOY</v>
      </c>
      <c r="D2496" s="44">
        <f>IFERROR(__xludf.DUMMYFUNCTION("""COMPUTED_VALUE"""),22.0)</f>
        <v>22</v>
      </c>
      <c r="E2496" s="44" t="str">
        <f>IFERROR(__xludf.DUMMYFUNCTION("""COMPUTED_VALUE"""),"")</f>
        <v/>
      </c>
      <c r="F2496" s="44" t="str">
        <f>IFERROR(__xludf.DUMMYFUNCTION("""COMPUTED_VALUE"""),"")</f>
        <v/>
      </c>
      <c r="G2496" s="44" t="str">
        <f>IFERROR(__xludf.DUMMYFUNCTION("""COMPUTED_VALUE""")," ")</f>
        <v> </v>
      </c>
      <c r="H2496" s="44" t="str">
        <f>IFERROR(__xludf.DUMMYFUNCTION("""COMPUTED_VALUE"""),"Pio Caído")</f>
        <v>Pio Caído</v>
      </c>
      <c r="I2496" s="44" t="str">
        <f>IFERROR(__xludf.DUMMYFUNCTION("""COMPUTED_VALUE""")," ")</f>
        <v> </v>
      </c>
      <c r="J2496" s="44" t="str">
        <f>IFERROR(__xludf.DUMMYFUNCTION("""COMPUTED_VALUE"""),"")</f>
        <v/>
      </c>
      <c r="K2496" s="42" t="str">
        <f>IFERROR(__xludf.DUMMYFUNCTION("""COMPUTED_VALUE"""),"Periférico de Catia")</f>
        <v>Periférico de Catia</v>
      </c>
    </row>
    <row r="2497">
      <c r="A2497" s="44">
        <v>2496.0</v>
      </c>
      <c r="B2497" s="44" t="str">
        <f>IFERROR(__xludf.DUMMYFUNCTION("""COMPUTED_VALUE"""),"Hospital Vargas de Caracas")</f>
        <v>Hospital Vargas de Caracas</v>
      </c>
      <c r="C2497" s="45" t="str">
        <f>IFERROR(__xludf.DUMMYFUNCTION("""COMPUTED_VALUE"""),"LOPEZ OSMARY")</f>
        <v>LOPEZ OSMARY</v>
      </c>
      <c r="D2497" s="44" t="str">
        <f>IFERROR(__xludf.DUMMYFUNCTION("""COMPUTED_VALUE""")," ")</f>
        <v> </v>
      </c>
      <c r="E2497" s="44" t="str">
        <f>IFERROR(__xludf.DUMMYFUNCTION("""COMPUTED_VALUE"""),"")</f>
        <v/>
      </c>
      <c r="F2497" s="44" t="str">
        <f>IFERROR(__xludf.DUMMYFUNCTION("""COMPUTED_VALUE""")," ")</f>
        <v> </v>
      </c>
      <c r="G2497" s="44" t="str">
        <f>IFERROR(__xludf.DUMMYFUNCTION("""COMPUTED_VALUE"""),"")</f>
        <v/>
      </c>
      <c r="H2497" s="44" t="str">
        <f>IFERROR(__xludf.DUMMYFUNCTION("""COMPUTED_VALUE""")," ")</f>
        <v> </v>
      </c>
      <c r="I2497" s="44" t="str">
        <f>IFERROR(__xludf.DUMMYFUNCTION("""COMPUTED_VALUE""")," ")</f>
        <v> </v>
      </c>
      <c r="J2497" s="44" t="str">
        <f>IFERROR(__xludf.DUMMYFUNCTION("""COMPUTED_VALUE"""),"")</f>
        <v/>
      </c>
      <c r="K2497" s="42" t="str">
        <f>IFERROR(__xludf.DUMMYFUNCTION("""COMPUTED_VALUE"""),"Hospital Vargas de Caracas")</f>
        <v>Hospital Vargas de Caracas</v>
      </c>
    </row>
    <row r="2498">
      <c r="A2498" s="44">
        <v>2497.0</v>
      </c>
      <c r="B2498" s="44" t="str">
        <f>IFERROR(__xludf.DUMMYFUNCTION("""COMPUTED_VALUE"""),"Hospital Pérez Carreño")</f>
        <v>Hospital Pérez Carreño</v>
      </c>
      <c r="C2498" s="45" t="str">
        <f>IFERROR(__xludf.DUMMYFUNCTION("""COMPUTED_VALUE"""),"LOPEZ REVOREDO LUIS")</f>
        <v>LOPEZ REVOREDO LUIS</v>
      </c>
      <c r="D2498" s="44" t="str">
        <f>IFERROR(__xludf.DUMMYFUNCTION("""COMPUTED_VALUE""")," ")</f>
        <v> </v>
      </c>
      <c r="E2498" s="44" t="str">
        <f>IFERROR(__xludf.DUMMYFUNCTION("""COMPUTED_VALUE"""),"")</f>
        <v/>
      </c>
      <c r="F2498" s="44" t="str">
        <f>IFERROR(__xludf.DUMMYFUNCTION("""COMPUTED_VALUE"""),"")</f>
        <v/>
      </c>
      <c r="G2498" s="44" t="str">
        <f>IFERROR(__xludf.DUMMYFUNCTION("""COMPUTED_VALUE""")," ")</f>
        <v> </v>
      </c>
      <c r="H2498" s="44" t="str">
        <f>IFERROR(__xludf.DUMMYFUNCTION("""COMPUTED_VALUE""")," ")</f>
        <v> </v>
      </c>
      <c r="I2498" s="44" t="str">
        <f>IFERROR(__xludf.DUMMYFUNCTION("""COMPUTED_VALUE"""),"Internado")</f>
        <v>Internado</v>
      </c>
      <c r="J2498" s="44" t="str">
        <f>IFERROR(__xludf.DUMMYFUNCTION("""COMPUTED_VALUE"""),"25/06/2026")</f>
        <v>25/06/2026</v>
      </c>
      <c r="K2498" s="42" t="str">
        <f>IFERROR(__xludf.DUMMYFUNCTION("""COMPUTED_VALUE"""),"Hospital Pérez Carreño")</f>
        <v>Hospital Pérez Carreño</v>
      </c>
    </row>
    <row r="2499">
      <c r="A2499" s="44">
        <v>2498.0</v>
      </c>
      <c r="B2499" s="44" t="str">
        <f>IFERROR(__xludf.DUMMYFUNCTION("""COMPUTED_VALUE"""),"H. Jose Maria Vargas LG")</f>
        <v>H. Jose Maria Vargas LG</v>
      </c>
      <c r="C2499" s="45" t="str">
        <f>IFERROR(__xludf.DUMMYFUNCTION("""COMPUTED_VALUE"""),"LOPEZ TAIRY")</f>
        <v>LOPEZ TAIRY</v>
      </c>
      <c r="D2499" s="44" t="str">
        <f>IFERROR(__xludf.DUMMYFUNCTION("""COMPUTED_VALUE""")," ")</f>
        <v> </v>
      </c>
      <c r="E2499" s="44" t="str">
        <f>IFERROR(__xludf.DUMMYFUNCTION("""COMPUTED_VALUE"""),"")</f>
        <v/>
      </c>
      <c r="F2499" s="44" t="str">
        <f>IFERROR(__xludf.DUMMYFUNCTION("""COMPUTED_VALUE"""),"")</f>
        <v/>
      </c>
      <c r="G2499" s="44" t="str">
        <f>IFERROR(__xludf.DUMMYFUNCTION("""COMPUTED_VALUE""")," ")</f>
        <v> </v>
      </c>
      <c r="H2499" s="44" t="str">
        <f>IFERROR(__xludf.DUMMYFUNCTION("""COMPUTED_VALUE""")," ")</f>
        <v> </v>
      </c>
      <c r="I2499" s="44" t="str">
        <f>IFERROR(__xludf.DUMMYFUNCTION("""COMPUTED_VALUE""")," ")</f>
        <v> </v>
      </c>
      <c r="J2499" s="44" t="str">
        <f>IFERROR(__xludf.DUMMYFUNCTION("""COMPUTED_VALUE"""),"")</f>
        <v/>
      </c>
      <c r="K2499" s="42" t="str">
        <f>IFERROR(__xludf.DUMMYFUNCTION("""COMPUTED_VALUE"""),"H. Jose Maria Vargas LG")</f>
        <v>H. Jose Maria Vargas LG</v>
      </c>
    </row>
    <row r="2500">
      <c r="A2500" s="44">
        <v>2499.0</v>
      </c>
      <c r="B2500" s="44" t="str">
        <f>IFERROR(__xludf.DUMMYFUNCTION("""COMPUTED_VALUE"""),"Hospital Pérez Carreño")</f>
        <v>Hospital Pérez Carreño</v>
      </c>
      <c r="C2500" s="45" t="str">
        <f>IFERROR(__xludf.DUMMYFUNCTION("""COMPUTED_VALUE"""),"LOPEZ TAIVY")</f>
        <v>LOPEZ TAIVY</v>
      </c>
      <c r="D2500" s="44" t="str">
        <f>IFERROR(__xludf.DUMMYFUNCTION("""COMPUTED_VALUE""")," ")</f>
        <v> </v>
      </c>
      <c r="E2500" s="44" t="str">
        <f>IFERROR(__xludf.DUMMYFUNCTION("""COMPUTED_VALUE"""),"")</f>
        <v/>
      </c>
      <c r="F2500" s="44" t="str">
        <f>IFERROR(__xludf.DUMMYFUNCTION("""COMPUTED_VALUE"""),"")</f>
        <v/>
      </c>
      <c r="G2500" s="44" t="str">
        <f>IFERROR(__xludf.DUMMYFUNCTION("""COMPUTED_VALUE""")," ")</f>
        <v> </v>
      </c>
      <c r="H2500" s="44" t="str">
        <f>IFERROR(__xludf.DUMMYFUNCTION("""COMPUTED_VALUE""")," ")</f>
        <v> </v>
      </c>
      <c r="I2500" s="44" t="str">
        <f>IFERROR(__xludf.DUMMYFUNCTION("""COMPUTED_VALUE"""),"Traumachok – Cirugía Observación; Qx; La Guaira")</f>
        <v>Traumachok – Cirugía Observación; Qx; La Guaira</v>
      </c>
      <c r="J2500" s="44" t="str">
        <f>IFERROR(__xludf.DUMMYFUNCTION("""COMPUTED_VALUE"""),"25/06/2026")</f>
        <v>25/06/2026</v>
      </c>
      <c r="K2500" s="42" t="str">
        <f>IFERROR(__xludf.DUMMYFUNCTION("""COMPUTED_VALUE"""),"Hospital Pérez Carreño")</f>
        <v>Hospital Pérez Carreño</v>
      </c>
    </row>
    <row r="2501">
      <c r="A2501" s="44">
        <v>2500.0</v>
      </c>
      <c r="B2501" s="44" t="str">
        <f>IFERROR(__xludf.DUMMYFUNCTION("""COMPUTED_VALUE"""),"Centro de Acopio Caraballeda")</f>
        <v>Centro de Acopio Caraballeda</v>
      </c>
      <c r="C2501" s="45" t="str">
        <f>IFERROR(__xludf.DUMMYFUNCTION("""COMPUTED_VALUE"""),"LOPEZ WILBELYS")</f>
        <v>LOPEZ WILBELYS</v>
      </c>
      <c r="D2501" s="44" t="str">
        <f>IFERROR(__xludf.DUMMYFUNCTION("""COMPUTED_VALUE""")," ")</f>
        <v> </v>
      </c>
      <c r="E2501" s="44" t="str">
        <f>IFERROR(__xludf.DUMMYFUNCTION("""COMPUTED_VALUE"""),"")</f>
        <v/>
      </c>
      <c r="F2501" s="44" t="str">
        <f>IFERROR(__xludf.DUMMYFUNCTION("""COMPUTED_VALUE"""),"")</f>
        <v/>
      </c>
      <c r="G2501" s="44" t="str">
        <f>IFERROR(__xludf.DUMMYFUNCTION("""COMPUTED_VALUE""")," ")</f>
        <v> </v>
      </c>
      <c r="H2501" s="44" t="str">
        <f>IFERROR(__xludf.DUMMYFUNCTION("""COMPUTED_VALUE""")," ")</f>
        <v> </v>
      </c>
      <c r="I2501" s="44" t="str">
        <f>IFERROR(__xludf.DUMMYFUNCTION("""COMPUTED_VALUE"""),"Internado")</f>
        <v>Internado</v>
      </c>
      <c r="J2501" s="44" t="str">
        <f>IFERROR(__xludf.DUMMYFUNCTION("""COMPUTED_VALUE"""),"")</f>
        <v/>
      </c>
      <c r="K2501" s="42" t="str">
        <f>IFERROR(__xludf.DUMMYFUNCTION("""COMPUTED_VALUE"""),"🔍 BUSCAR PACIENTES")</f>
        <v>🔍 BUSCAR PACIENTES</v>
      </c>
    </row>
    <row r="2502">
      <c r="A2502" s="44">
        <v>2501.0</v>
      </c>
      <c r="B2502" s="44" t="str">
        <f>IFERROR(__xludf.DUMMYFUNCTION("""COMPUTED_VALUE"""),"Centro de Acopio Caraballeda")</f>
        <v>Centro de Acopio Caraballeda</v>
      </c>
      <c r="C2502" s="45" t="str">
        <f>IFERROR(__xludf.DUMMYFUNCTION("""COMPUTED_VALUE"""),"LOPEZ WILLIANS")</f>
        <v>LOPEZ WILLIANS</v>
      </c>
      <c r="D2502" s="44" t="str">
        <f>IFERROR(__xludf.DUMMYFUNCTION("""COMPUTED_VALUE""")," ")</f>
        <v> </v>
      </c>
      <c r="E2502" s="44" t="str">
        <f>IFERROR(__xludf.DUMMYFUNCTION("""COMPUTED_VALUE"""),"")</f>
        <v/>
      </c>
      <c r="F2502" s="44" t="str">
        <f>IFERROR(__xludf.DUMMYFUNCTION("""COMPUTED_VALUE"""),"")</f>
        <v/>
      </c>
      <c r="G2502" s="44" t="str">
        <f>IFERROR(__xludf.DUMMYFUNCTION("""COMPUTED_VALUE""")," ")</f>
        <v> </v>
      </c>
      <c r="H2502" s="44" t="str">
        <f>IFERROR(__xludf.DUMMYFUNCTION("""COMPUTED_VALUE""")," ")</f>
        <v> </v>
      </c>
      <c r="I2502" s="44" t="str">
        <f>IFERROR(__xludf.DUMMYFUNCTION("""COMPUTED_VALUE"""),"Internado")</f>
        <v>Internado</v>
      </c>
      <c r="J2502" s="44" t="str">
        <f>IFERROR(__xludf.DUMMYFUNCTION("""COMPUTED_VALUE"""),"")</f>
        <v/>
      </c>
      <c r="K2502" s="42" t="str">
        <f>IFERROR(__xludf.DUMMYFUNCTION("""COMPUTED_VALUE"""),"🔍 BUSCAR PACIENTES")</f>
        <v>🔍 BUSCAR PACIENTES</v>
      </c>
    </row>
    <row r="2503">
      <c r="A2503" s="44">
        <v>2502.0</v>
      </c>
      <c r="B2503" s="44" t="str">
        <f>IFERROR(__xludf.DUMMYFUNCTION("""COMPUTED_VALUE"""),"Campo de Golf Playa los Cocos")</f>
        <v>Campo de Golf Playa los Cocos</v>
      </c>
      <c r="C2503" s="45" t="str">
        <f>IFERROR(__xludf.DUMMYFUNCTION("""COMPUTED_VALUE"""),"Loreangel Galindez")</f>
        <v>Loreangel Galindez</v>
      </c>
      <c r="D2503" s="44" t="str">
        <f>IFERROR(__xludf.DUMMYFUNCTION("""COMPUTED_VALUE"""),"")</f>
        <v/>
      </c>
      <c r="E2503" s="44" t="str">
        <f>IFERROR(__xludf.DUMMYFUNCTION("""COMPUTED_VALUE"""),"")</f>
        <v/>
      </c>
      <c r="F2503" s="44" t="str">
        <f>IFERROR(__xludf.DUMMYFUNCTION("""COMPUTED_VALUE"""),"")</f>
        <v/>
      </c>
      <c r="G2503" s="44" t="str">
        <f>IFERROR(__xludf.DUMMYFUNCTION("""COMPUTED_VALUE"""),"")</f>
        <v/>
      </c>
      <c r="H2503" s="44" t="str">
        <f>IFERROR(__xludf.DUMMYFUNCTION("""COMPUTED_VALUE"""),"")</f>
        <v/>
      </c>
      <c r="I2503" s="44"/>
      <c r="J2503" s="44" t="str">
        <f>IFERROR(__xludf.DUMMYFUNCTION("""COMPUTED_VALUE"""),"")</f>
        <v/>
      </c>
      <c r="K2503" s="42" t="str">
        <f>IFERROR(__xludf.DUMMYFUNCTION("""COMPUTED_VALUE"""),"Campo de Golf Playa los Cocos")</f>
        <v>Campo de Golf Playa los Cocos</v>
      </c>
    </row>
    <row r="2504">
      <c r="A2504" s="44">
        <v>2503.0</v>
      </c>
      <c r="B2504" s="44" t="str">
        <f>IFERROR(__xludf.DUMMYFUNCTION("""COMPUTED_VALUE"""),"Campo de Golf Playa los Cocos")</f>
        <v>Campo de Golf Playa los Cocos</v>
      </c>
      <c r="C2504" s="45" t="str">
        <f>IFERROR(__xludf.DUMMYFUNCTION("""COMPUTED_VALUE"""),"Loreany Galindez")</f>
        <v>Loreany Galindez</v>
      </c>
      <c r="D2504" s="44" t="str">
        <f>IFERROR(__xludf.DUMMYFUNCTION("""COMPUTED_VALUE"""),"")</f>
        <v/>
      </c>
      <c r="E2504" s="44" t="str">
        <f>IFERROR(__xludf.DUMMYFUNCTION("""COMPUTED_VALUE"""),"")</f>
        <v/>
      </c>
      <c r="F2504" s="44" t="str">
        <f>IFERROR(__xludf.DUMMYFUNCTION("""COMPUTED_VALUE"""),"")</f>
        <v/>
      </c>
      <c r="G2504" s="44" t="str">
        <f>IFERROR(__xludf.DUMMYFUNCTION("""COMPUTED_VALUE"""),"")</f>
        <v/>
      </c>
      <c r="H2504" s="44" t="str">
        <f>IFERROR(__xludf.DUMMYFUNCTION("""COMPUTED_VALUE"""),"")</f>
        <v/>
      </c>
      <c r="I2504" s="44" t="str">
        <f>IFERROR(__xludf.DUMMYFUNCTION("""COMPUTED_VALUE"""),"menor")</f>
        <v>menor</v>
      </c>
      <c r="J2504" s="44" t="str">
        <f>IFERROR(__xludf.DUMMYFUNCTION("""COMPUTED_VALUE"""),"")</f>
        <v/>
      </c>
      <c r="K2504" s="42" t="str">
        <f>IFERROR(__xludf.DUMMYFUNCTION("""COMPUTED_VALUE"""),"Campo de Golf Playa los Cocos")</f>
        <v>Campo de Golf Playa los Cocos</v>
      </c>
    </row>
    <row r="2505">
      <c r="A2505" s="44">
        <v>2504.0</v>
      </c>
      <c r="B2505" s="44" t="str">
        <f>IFERROR(__xludf.DUMMYFUNCTION("""COMPUTED_VALUE"""),"Hospital Domingo Luciani")</f>
        <v>Hospital Domingo Luciani</v>
      </c>
      <c r="C2505" s="45" t="str">
        <f>IFERROR(__xludf.DUMMYFUNCTION("""COMPUTED_VALUE"""),"louis Caldera")</f>
        <v>louis Caldera</v>
      </c>
      <c r="D2505" s="44">
        <f>IFERROR(__xludf.DUMMYFUNCTION("""COMPUTED_VALUE"""),105.0)</f>
        <v>105</v>
      </c>
      <c r="E2505" s="44" t="str">
        <f>IFERROR(__xludf.DUMMYFUNCTION("""COMPUTED_VALUE"""),"")</f>
        <v/>
      </c>
      <c r="F2505" s="44" t="str">
        <f>IFERROR(__xludf.DUMMYFUNCTION("""COMPUTED_VALUE"""),"")</f>
        <v/>
      </c>
      <c r="G2505" s="44"/>
      <c r="H2505" s="44"/>
      <c r="I2505" s="44"/>
      <c r="J2505" s="44" t="str">
        <f>IFERROR(__xludf.DUMMYFUNCTION("""COMPUTED_VALUE"""),"")</f>
        <v/>
      </c>
      <c r="K2505" s="42" t="str">
        <f>IFERROR(__xludf.DUMMYFUNCTION("""COMPUTED_VALUE"""),"Hospital Domingo Luciani")</f>
        <v>Hospital Domingo Luciani</v>
      </c>
    </row>
    <row r="2506">
      <c r="A2506" s="44">
        <v>2505.0</v>
      </c>
      <c r="B2506" s="44" t="str">
        <f>IFERROR(__xludf.DUMMYFUNCTION("""COMPUTED_VALUE"""),"Campo de Golf Playa los Cocos")</f>
        <v>Campo de Golf Playa los Cocos</v>
      </c>
      <c r="C2506" s="45" t="str">
        <f>IFERROR(__xludf.DUMMYFUNCTION("""COMPUTED_VALUE"""),"Lourdes Ramos")</f>
        <v>Lourdes Ramos</v>
      </c>
      <c r="D2506" s="44" t="str">
        <f>IFERROR(__xludf.DUMMYFUNCTION("""COMPUTED_VALUE"""),"")</f>
        <v/>
      </c>
      <c r="E2506" s="44" t="str">
        <f>IFERROR(__xludf.DUMMYFUNCTION("""COMPUTED_VALUE"""),"")</f>
        <v/>
      </c>
      <c r="F2506" s="44" t="str">
        <f>IFERROR(__xludf.DUMMYFUNCTION("""COMPUTED_VALUE"""),"")</f>
        <v/>
      </c>
      <c r="G2506" s="44" t="str">
        <f>IFERROR(__xludf.DUMMYFUNCTION("""COMPUTED_VALUE"""),"")</f>
        <v/>
      </c>
      <c r="H2506" s="44" t="str">
        <f>IFERROR(__xludf.DUMMYFUNCTION("""COMPUTED_VALUE"""),"")</f>
        <v/>
      </c>
      <c r="I2506" s="44"/>
      <c r="J2506" s="44" t="str">
        <f>IFERROR(__xludf.DUMMYFUNCTION("""COMPUTED_VALUE"""),"")</f>
        <v/>
      </c>
      <c r="K2506" s="42" t="str">
        <f>IFERROR(__xludf.DUMMYFUNCTION("""COMPUTED_VALUE"""),"Campo de Golf Playa los Cocos")</f>
        <v>Campo de Golf Playa los Cocos</v>
      </c>
    </row>
    <row r="2507">
      <c r="A2507" s="44">
        <v>2506.0</v>
      </c>
      <c r="B2507" s="44" t="str">
        <f>IFERROR(__xludf.DUMMYFUNCTION("""COMPUTED_VALUE"""),"La Guaira Sin Hospital")</f>
        <v>La Guaira Sin Hospital</v>
      </c>
      <c r="C2507" s="45" t="str">
        <f>IFERROR(__xludf.DUMMYFUNCTION("""COMPUTED_VALUE"""),"Loyo Andres")</f>
        <v>Loyo Andres</v>
      </c>
      <c r="D2507" s="44" t="str">
        <f>IFERROR(__xludf.DUMMYFUNCTION("""COMPUTED_VALUE"""),"")</f>
        <v/>
      </c>
      <c r="E2507" s="44" t="str">
        <f>IFERROR(__xludf.DUMMYFUNCTION("""COMPUTED_VALUE"""),"")</f>
        <v/>
      </c>
      <c r="F2507" s="44" t="str">
        <f>IFERROR(__xludf.DUMMYFUNCTION("""COMPUTED_VALUE"""),"")</f>
        <v/>
      </c>
      <c r="G2507" s="44" t="str">
        <f>IFERROR(__xludf.DUMMYFUNCTION("""COMPUTED_VALUE"""),"")</f>
        <v/>
      </c>
      <c r="H2507" s="44" t="str">
        <f>IFERROR(__xludf.DUMMYFUNCTION("""COMPUTED_VALUE"""),"La Guaira - Caribe")</f>
        <v>La Guaira - Caribe</v>
      </c>
      <c r="I2507" s="44" t="str">
        <f>IFERROR(__xludf.DUMMYFUNCTION("""COMPUTED_VALUE"""),"Listas con ubicación")</f>
        <v>Listas con ubicación</v>
      </c>
      <c r="J2507" s="44" t="str">
        <f>IFERROR(__xludf.DUMMYFUNCTION("""COMPUTED_VALUE"""),"")</f>
        <v/>
      </c>
      <c r="K2507" s="42" t="str">
        <f>IFERROR(__xludf.DUMMYFUNCTION("""COMPUTED_VALUE"""),"La Guaira Sin Hospital")</f>
        <v>La Guaira Sin Hospital</v>
      </c>
    </row>
    <row r="2508">
      <c r="A2508" s="44">
        <v>2507.0</v>
      </c>
      <c r="B2508" s="44" t="str">
        <f>IFERROR(__xludf.DUMMYFUNCTION("""COMPUTED_VALUE"""),"Hospital Domingo Luciani")</f>
        <v>Hospital Domingo Luciani</v>
      </c>
      <c r="C2508" s="45" t="str">
        <f>IFERROR(__xludf.DUMMYFUNCTION("""COMPUTED_VALUE"""),"LOYO CLARA")</f>
        <v>LOYO CLARA</v>
      </c>
      <c r="D2508" s="44" t="str">
        <f>IFERROR(__xludf.DUMMYFUNCTION("""COMPUTED_VALUE""")," ")</f>
        <v> </v>
      </c>
      <c r="E2508" s="44" t="str">
        <f>IFERROR(__xludf.DUMMYFUNCTION("""COMPUTED_VALUE"""),"")</f>
        <v/>
      </c>
      <c r="F2508" s="44" t="str">
        <f>IFERROR(__xludf.DUMMYFUNCTION("""COMPUTED_VALUE"""),"")</f>
        <v/>
      </c>
      <c r="G2508" s="44" t="str">
        <f>IFERROR(__xludf.DUMMYFUNCTION("""COMPUTED_VALUE""")," ")</f>
        <v> </v>
      </c>
      <c r="H2508" s="44" t="str">
        <f>IFERROR(__xludf.DUMMYFUNCTION("""COMPUTED_VALUE""")," ")</f>
        <v> </v>
      </c>
      <c r="I2508" s="44" t="str">
        <f>IFERROR(__xludf.DUMMYFUNCTION("""COMPUTED_VALUE""")," ")</f>
        <v> </v>
      </c>
      <c r="J2508" s="44" t="str">
        <f>IFERROR(__xludf.DUMMYFUNCTION("""COMPUTED_VALUE"""),"")</f>
        <v/>
      </c>
      <c r="K2508" s="42" t="str">
        <f>IFERROR(__xludf.DUMMYFUNCTION("""COMPUTED_VALUE"""),"🔍 BUSCAR PACIENTES")</f>
        <v>🔍 BUSCAR PACIENTES</v>
      </c>
    </row>
    <row r="2509">
      <c r="A2509" s="44">
        <v>2508.0</v>
      </c>
      <c r="B2509" s="44" t="str">
        <f>IFERROR(__xludf.DUMMYFUNCTION("""COMPUTED_VALUE"""),"Hospital Pérez Carreño")</f>
        <v>Hospital Pérez Carreño</v>
      </c>
      <c r="C2509" s="45" t="str">
        <f>IFERROR(__xludf.DUMMYFUNCTION("""COMPUTED_VALUE"""),"Lozada Belkys Marinda")</f>
        <v>Lozada Belkys Marinda</v>
      </c>
      <c r="D2509" s="44"/>
      <c r="E2509" s="44" t="str">
        <f>IFERROR(__xludf.DUMMYFUNCTION("""COMPUTED_VALUE"""),"")</f>
        <v/>
      </c>
      <c r="F2509" s="44" t="str">
        <f>IFERROR(__xludf.DUMMYFUNCTION("""COMPUTED_VALUE"""),"")</f>
        <v/>
      </c>
      <c r="G2509" s="44" t="str">
        <f>IFERROR(__xludf.DUMMYFUNCTION("""COMPUTED_VALUE"""),"Traslados con destino asignado")</f>
        <v>Traslados con destino asignado</v>
      </c>
      <c r="H2509" s="44" t="str">
        <f>IFERROR(__xludf.DUMMYFUNCTION("""COMPUTED_VALUE"""),"Hospital Miguel Perez Carreño")</f>
        <v>Hospital Miguel Perez Carreño</v>
      </c>
      <c r="I2509" s="44"/>
      <c r="J2509" s="44" t="str">
        <f>IFERROR(__xludf.DUMMYFUNCTION("""COMPUTED_VALUE"""),"26/6/26")</f>
        <v>26/6/26</v>
      </c>
      <c r="K2509" s="42" t="str">
        <f>IFERROR(__xludf.DUMMYFUNCTION("""COMPUTED_VALUE"""),"Hospital Pérez Carreño")</f>
        <v>Hospital Pérez Carreño</v>
      </c>
    </row>
    <row r="2510">
      <c r="A2510" s="44">
        <v>2509.0</v>
      </c>
      <c r="B2510" s="44" t="str">
        <f>IFERROR(__xludf.DUMMYFUNCTION("""COMPUTED_VALUE"""),"Hospital Pérez Carreño")</f>
        <v>Hospital Pérez Carreño</v>
      </c>
      <c r="C2510" s="45" t="str">
        <f>IFERROR(__xludf.DUMMYFUNCTION("""COMPUTED_VALUE"""),"LOZO SIER")</f>
        <v>LOZO SIER</v>
      </c>
      <c r="D2510" s="44">
        <f>IFERROR(__xludf.DUMMYFUNCTION("""COMPUTED_VALUE"""),14.0)</f>
        <v>14</v>
      </c>
      <c r="E2510" s="44" t="str">
        <f>IFERROR(__xludf.DUMMYFUNCTION("""COMPUTED_VALUE"""),"")</f>
        <v/>
      </c>
      <c r="F2510" s="44" t="str">
        <f>IFERROR(__xludf.DUMMYFUNCTION("""COMPUTED_VALUE"""),"")</f>
        <v/>
      </c>
      <c r="G2510" s="44" t="str">
        <f>IFERROR(__xludf.DUMMYFUNCTION("""COMPUTED_VALUE""")," ")</f>
        <v> </v>
      </c>
      <c r="H2510" s="44" t="str">
        <f>IFERROR(__xludf.DUMMYFUNCTION("""COMPUTED_VALUE""")," ")</f>
        <v> </v>
      </c>
      <c r="I2510" s="44" t="str">
        <f>IFERROR(__xludf.DUMMYFUNCTION("""COMPUTED_VALUE"""),"Internado")</f>
        <v>Internado</v>
      </c>
      <c r="J2510" s="44" t="str">
        <f>IFERROR(__xludf.DUMMYFUNCTION("""COMPUTED_VALUE"""),"25/06/2026")</f>
        <v>25/06/2026</v>
      </c>
      <c r="K2510" s="42" t="str">
        <f>IFERROR(__xludf.DUMMYFUNCTION("""COMPUTED_VALUE"""),"Hospital Pérez Carreño")</f>
        <v>Hospital Pérez Carreño</v>
      </c>
    </row>
    <row r="2511">
      <c r="A2511" s="44">
        <v>2510.0</v>
      </c>
      <c r="B2511" s="44" t="str">
        <f>IFERROR(__xludf.DUMMYFUNCTION("""COMPUTED_VALUE"""),"Hospital Universitario de Carac")</f>
        <v>Hospital Universitario de Carac</v>
      </c>
      <c r="C2511" s="45" t="str">
        <f>IFERROR(__xludf.DUMMYFUNCTION("""COMPUTED_VALUE"""),"LUCERO INDIRA / INDINA")</f>
        <v>LUCERO INDIRA / INDINA</v>
      </c>
      <c r="D2511" s="44">
        <f>IFERROR(__xludf.DUMMYFUNCTION("""COMPUTED_VALUE"""),46.0)</f>
        <v>46</v>
      </c>
      <c r="E2511" s="44" t="str">
        <f>IFERROR(__xludf.DUMMYFUNCTION("""COMPUTED_VALUE"""),"")</f>
        <v/>
      </c>
      <c r="F2511" s="44" t="str">
        <f>IFERROR(__xludf.DUMMYFUNCTION("""COMPUTED_VALUE"""),"")</f>
        <v/>
      </c>
      <c r="G2511" s="44" t="str">
        <f>IFERROR(__xludf.DUMMYFUNCTION("""COMPUTED_VALUE""")," ")</f>
        <v> </v>
      </c>
      <c r="H2511" s="44" t="str">
        <f>IFERROR(__xludf.DUMMYFUNCTION("""COMPUTED_VALUE""")," ")</f>
        <v> </v>
      </c>
      <c r="I2511" s="44" t="str">
        <f>IFERROR(__xludf.DUMMYFUNCTION("""COMPUTED_VALUE"""),"Emergencia Med 1 – Fx cab. fémur izq y rodilla izq")</f>
        <v>Emergencia Med 1 – Fx cab. fémur izq y rodilla izq</v>
      </c>
      <c r="J2511" s="44" t="str">
        <f>IFERROR(__xludf.DUMMYFUNCTION("""COMPUTED_VALUE"""),"")</f>
        <v/>
      </c>
      <c r="K2511" s="42" t="str">
        <f>IFERROR(__xludf.DUMMYFUNCTION("""COMPUTED_VALUE"""),"Hospital Universitario de Carac")</f>
        <v>Hospital Universitario de Carac</v>
      </c>
    </row>
    <row r="2512">
      <c r="A2512" s="44">
        <v>2511.0</v>
      </c>
      <c r="B2512" s="44" t="str">
        <f>IFERROR(__xludf.DUMMYFUNCTION("""COMPUTED_VALUE"""),"Hospital Domingo Luciani")</f>
        <v>Hospital Domingo Luciani</v>
      </c>
      <c r="C2512" s="45" t="str">
        <f>IFERROR(__xludf.DUMMYFUNCTION("""COMPUTED_VALUE"""),"Lucia Caldera")</f>
        <v>Lucia Caldera</v>
      </c>
      <c r="D2512" s="44">
        <f>IFERROR(__xludf.DUMMYFUNCTION("""COMPUTED_VALUE"""),105.0)</f>
        <v>105</v>
      </c>
      <c r="E2512" s="44" t="str">
        <f>IFERROR(__xludf.DUMMYFUNCTION("""COMPUTED_VALUE"""),"")</f>
        <v/>
      </c>
      <c r="F2512" s="44" t="str">
        <f>IFERROR(__xludf.DUMMYFUNCTION("""COMPUTED_VALUE"""),"")</f>
        <v/>
      </c>
      <c r="G2512" s="44"/>
      <c r="H2512" s="44"/>
      <c r="I2512" s="44"/>
      <c r="J2512" s="44" t="str">
        <f>IFERROR(__xludf.DUMMYFUNCTION("""COMPUTED_VALUE"""),"")</f>
        <v/>
      </c>
      <c r="K2512" s="42" t="str">
        <f>IFERROR(__xludf.DUMMYFUNCTION("""COMPUTED_VALUE"""),"Hospital Domingo Luciani")</f>
        <v>Hospital Domingo Luciani</v>
      </c>
    </row>
    <row r="2513">
      <c r="A2513" s="44">
        <v>2512.0</v>
      </c>
      <c r="B2513" s="44" t="str">
        <f>IFERROR(__xludf.DUMMYFUNCTION("""COMPUTED_VALUE"""),"Hospital Domingo Luciani")</f>
        <v>Hospital Domingo Luciani</v>
      </c>
      <c r="C2513" s="45" t="str">
        <f>IFERROR(__xludf.DUMMYFUNCTION("""COMPUTED_VALUE"""),"Lucia Castillo")</f>
        <v>Lucia Castillo</v>
      </c>
      <c r="D2513" s="44">
        <f>IFERROR(__xludf.DUMMYFUNCTION("""COMPUTED_VALUE"""),0.0)</f>
        <v>0</v>
      </c>
      <c r="E2513" s="44" t="str">
        <f>IFERROR(__xludf.DUMMYFUNCTION("""COMPUTED_VALUE"""),"")</f>
        <v/>
      </c>
      <c r="F2513" s="44" t="str">
        <f>IFERROR(__xludf.DUMMYFUNCTION("""COMPUTED_VALUE"""),"")</f>
        <v/>
      </c>
      <c r="G2513" s="44"/>
      <c r="H2513" s="44"/>
      <c r="I2513" s="44"/>
      <c r="J2513" s="44" t="str">
        <f>IFERROR(__xludf.DUMMYFUNCTION("""COMPUTED_VALUE"""),"")</f>
        <v/>
      </c>
      <c r="K2513" s="42" t="str">
        <f>IFERROR(__xludf.DUMMYFUNCTION("""COMPUTED_VALUE"""),"Hospital Domingo Luciani")</f>
        <v>Hospital Domingo Luciani</v>
      </c>
    </row>
    <row r="2514">
      <c r="A2514" s="44">
        <v>2513.0</v>
      </c>
      <c r="B2514" s="44" t="str">
        <f>IFERROR(__xludf.DUMMYFUNCTION("""COMPUTED_VALUE"""),"Hospital Domingo Luciani")</f>
        <v>Hospital Domingo Luciani</v>
      </c>
      <c r="C2514" s="45" t="str">
        <f>IFERROR(__xludf.DUMMYFUNCTION("""COMPUTED_VALUE"""),"LUCY DE CASTILLO")</f>
        <v>LUCY DE CASTILLO</v>
      </c>
      <c r="D2514" s="44">
        <f>IFERROR(__xludf.DUMMYFUNCTION("""COMPUTED_VALUE"""),48.0)</f>
        <v>48</v>
      </c>
      <c r="E2514" s="44" t="str">
        <f>IFERROR(__xludf.DUMMYFUNCTION("""COMPUTED_VALUE"""),"")</f>
        <v/>
      </c>
      <c r="F2514" s="44" t="str">
        <f>IFERROR(__xludf.DUMMYFUNCTION("""COMPUTED_VALUE"""),"")</f>
        <v/>
      </c>
      <c r="G2514" s="44" t="str">
        <f>IFERROR(__xludf.DUMMYFUNCTION("""COMPUTED_VALUE""")," ")</f>
        <v> </v>
      </c>
      <c r="H2514" s="44" t="str">
        <f>IFERROR(__xludf.DUMMYFUNCTION("""COMPUTED_VALUE""")," ")</f>
        <v> </v>
      </c>
      <c r="I2514" s="44" t="str">
        <f>IFERROR(__xludf.DUMMYFUNCTION("""COMPUTED_VALUE""")," ")</f>
        <v> </v>
      </c>
      <c r="J2514" s="44" t="str">
        <f>IFERROR(__xludf.DUMMYFUNCTION("""COMPUTED_VALUE"""),"")</f>
        <v/>
      </c>
      <c r="K2514" s="42" t="str">
        <f>IFERROR(__xludf.DUMMYFUNCTION("""COMPUTED_VALUE"""),"🔍 BUSCAR PACIENTES")</f>
        <v>🔍 BUSCAR PACIENTES</v>
      </c>
    </row>
    <row r="2515">
      <c r="A2515" s="44">
        <v>2514.0</v>
      </c>
      <c r="B2515" s="44" t="str">
        <f>IFERROR(__xludf.DUMMYFUNCTION("""COMPUTED_VALUE"""),"Hospital Pérez Carreño")</f>
        <v>Hospital Pérez Carreño</v>
      </c>
      <c r="C2515" s="45" t="str">
        <f>IFERROR(__xludf.DUMMYFUNCTION("""COMPUTED_VALUE"""),"LUCY VALERIA")</f>
        <v>LUCY VALERIA</v>
      </c>
      <c r="D2515" s="44" t="str">
        <f>IFERROR(__xludf.DUMMYFUNCTION("""COMPUTED_VALUE""")," ")</f>
        <v> </v>
      </c>
      <c r="E2515" s="44" t="str">
        <f>IFERROR(__xludf.DUMMYFUNCTION("""COMPUTED_VALUE"""),"")</f>
        <v/>
      </c>
      <c r="F2515" s="44" t="str">
        <f>IFERROR(__xludf.DUMMYFUNCTION("""COMPUTED_VALUE"""),"")</f>
        <v/>
      </c>
      <c r="G2515" s="44" t="str">
        <f>IFERROR(__xludf.DUMMYFUNCTION("""COMPUTED_VALUE""")," ")</f>
        <v> </v>
      </c>
      <c r="H2515" s="44" t="str">
        <f>IFERROR(__xludf.DUMMYFUNCTION("""COMPUTED_VALUE""")," ")</f>
        <v> </v>
      </c>
      <c r="I2515" s="44" t="str">
        <f>IFERROR(__xludf.DUMMYFUNCTION("""COMPUTED_VALUE"""),"Internado")</f>
        <v>Internado</v>
      </c>
      <c r="J2515" s="44" t="str">
        <f>IFERROR(__xludf.DUMMYFUNCTION("""COMPUTED_VALUE"""),"25/06/2026")</f>
        <v>25/06/2026</v>
      </c>
      <c r="K2515" s="42" t="str">
        <f>IFERROR(__xludf.DUMMYFUNCTION("""COMPUTED_VALUE"""),"Hospital Pérez Carreño")</f>
        <v>Hospital Pérez Carreño</v>
      </c>
    </row>
    <row r="2516">
      <c r="A2516" s="44">
        <v>2515.0</v>
      </c>
      <c r="B2516" s="44" t="str">
        <f>IFERROR(__xludf.DUMMYFUNCTION("""COMPUTED_VALUE"""),"HOSPITAL VARGAS")</f>
        <v>HOSPITAL VARGAS</v>
      </c>
      <c r="C2516" s="45" t="str">
        <f>IFERROR(__xludf.DUMMYFUNCTION("""COMPUTED_VALUE"""),"Luis Castellano")</f>
        <v>Luis Castellano</v>
      </c>
      <c r="D2516" s="44"/>
      <c r="E2516" s="44" t="str">
        <f>IFERROR(__xludf.DUMMYFUNCTION("""COMPUTED_VALUE"""),"")</f>
        <v/>
      </c>
      <c r="F2516" s="44" t="str">
        <f>IFERROR(__xludf.DUMMYFUNCTION("""COMPUTED_VALUE"""),"")</f>
        <v/>
      </c>
      <c r="G2516" s="44" t="str">
        <f>IFERROR(__xludf.DUMMYFUNCTION("""COMPUTED_VALUE"""),"")</f>
        <v/>
      </c>
      <c r="H2516" s="44" t="str">
        <f>IFERROR(__xludf.DUMMYFUNCTION("""COMPUTED_VALUE"""),"")</f>
        <v/>
      </c>
      <c r="I2516" s="44" t="str">
        <f>IFERROR(__xludf.DUMMYFUNCTION("""COMPUTED_VALUE"""),"Herido / atendido")</f>
        <v>Herido / atendido</v>
      </c>
      <c r="J2516" s="44" t="str">
        <f>IFERROR(__xludf.DUMMYFUNCTION("""COMPUTED_VALUE"""),"24.06.2026 ")</f>
        <v>24.06.2026 </v>
      </c>
      <c r="K2516" s="42" t="str">
        <f>IFERROR(__xludf.DUMMYFUNCTION("""COMPUTED_VALUE"""),"HOSPITAL VARGAS")</f>
        <v>HOSPITAL VARGAS</v>
      </c>
    </row>
    <row r="2517">
      <c r="A2517" s="44">
        <v>2516.0</v>
      </c>
      <c r="B2517" s="44" t="str">
        <f>IFERROR(__xludf.DUMMYFUNCTION("""COMPUTED_VALUE"""),"Campo de Golf Playa los Cocos")</f>
        <v>Campo de Golf Playa los Cocos</v>
      </c>
      <c r="C2517" s="45" t="str">
        <f>IFERROR(__xludf.DUMMYFUNCTION("""COMPUTED_VALUE"""),"Luis Diaz")</f>
        <v>Luis Diaz</v>
      </c>
      <c r="D2517" s="44" t="str">
        <f>IFERROR(__xludf.DUMMYFUNCTION("""COMPUTED_VALUE"""),"")</f>
        <v/>
      </c>
      <c r="E2517" s="44" t="str">
        <f>IFERROR(__xludf.DUMMYFUNCTION("""COMPUTED_VALUE"""),"")</f>
        <v/>
      </c>
      <c r="F2517" s="44" t="str">
        <f>IFERROR(__xludf.DUMMYFUNCTION("""COMPUTED_VALUE"""),"")</f>
        <v/>
      </c>
      <c r="G2517" s="44" t="str">
        <f>IFERROR(__xludf.DUMMYFUNCTION("""COMPUTED_VALUE"""),"")</f>
        <v/>
      </c>
      <c r="H2517" s="44" t="str">
        <f>IFERROR(__xludf.DUMMYFUNCTION("""COMPUTED_VALUE"""),"")</f>
        <v/>
      </c>
      <c r="I2517" s="44"/>
      <c r="J2517" s="44" t="str">
        <f>IFERROR(__xludf.DUMMYFUNCTION("""COMPUTED_VALUE"""),"")</f>
        <v/>
      </c>
      <c r="K2517" s="42" t="str">
        <f>IFERROR(__xludf.DUMMYFUNCTION("""COMPUTED_VALUE"""),"Campo de Golf Playa los Cocos")</f>
        <v>Campo de Golf Playa los Cocos</v>
      </c>
    </row>
    <row r="2518">
      <c r="A2518" s="44">
        <v>2517.0</v>
      </c>
      <c r="B2518" s="44" t="str">
        <f>IFERROR(__xludf.DUMMYFUNCTION("""COMPUTED_VALUE"""),"HOSPITAL VARGAS")</f>
        <v>HOSPITAL VARGAS</v>
      </c>
      <c r="C2518" s="45" t="str">
        <f>IFERROR(__xludf.DUMMYFUNCTION("""COMPUTED_VALUE"""),"Luis José Trébol")</f>
        <v>Luis José Trébol</v>
      </c>
      <c r="D2518" s="44"/>
      <c r="E2518" s="44" t="str">
        <f>IFERROR(__xludf.DUMMYFUNCTION("""COMPUTED_VALUE"""),"")</f>
        <v/>
      </c>
      <c r="F2518" s="44" t="str">
        <f>IFERROR(__xludf.DUMMYFUNCTION("""COMPUTED_VALUE"""),"")</f>
        <v/>
      </c>
      <c r="G2518" s="44" t="str">
        <f>IFERROR(__xludf.DUMMYFUNCTION("""COMPUTED_VALUE"""),"")</f>
        <v/>
      </c>
      <c r="H2518" s="44" t="str">
        <f>IFERROR(__xludf.DUMMYFUNCTION("""COMPUTED_VALUE"""),"")</f>
        <v/>
      </c>
      <c r="I2518" s="44" t="str">
        <f>IFERROR(__xludf.DUMMYFUNCTION("""COMPUTED_VALUE"""),"Herido / atendido")</f>
        <v>Herido / atendido</v>
      </c>
      <c r="J2518" s="44" t="str">
        <f>IFERROR(__xludf.DUMMYFUNCTION("""COMPUTED_VALUE"""),"24.06.2026 ")</f>
        <v>24.06.2026 </v>
      </c>
      <c r="K2518" s="42" t="str">
        <f>IFERROR(__xludf.DUMMYFUNCTION("""COMPUTED_VALUE"""),"HOSPITAL VARGAS")</f>
        <v>HOSPITAL VARGAS</v>
      </c>
    </row>
    <row r="2519">
      <c r="A2519" s="44">
        <v>2518.0</v>
      </c>
      <c r="B2519" s="44" t="str">
        <f>IFERROR(__xludf.DUMMYFUNCTION("""COMPUTED_VALUE"""),"Hospital Pérez Carreño")</f>
        <v>Hospital Pérez Carreño</v>
      </c>
      <c r="C2519" s="45" t="str">
        <f>IFERROR(__xludf.DUMMYFUNCTION("""COMPUTED_VALUE"""),"Luis Martinez")</f>
        <v>Luis Martinez</v>
      </c>
      <c r="D2519" s="44"/>
      <c r="E2519" s="44" t="str">
        <f>IFERROR(__xludf.DUMMYFUNCTION("""COMPUTED_VALUE"""),"")</f>
        <v/>
      </c>
      <c r="F2519" s="44" t="str">
        <f>IFERROR(__xludf.DUMMYFUNCTION("""COMPUTED_VALUE"""),"")</f>
        <v/>
      </c>
      <c r="G2519" s="44" t="str">
        <f>IFERROR(__xludf.DUMMYFUNCTION("""COMPUTED_VALUE"""),"Traumashock ")</f>
        <v>Traumashock </v>
      </c>
      <c r="H2519" s="44" t="str">
        <f>IFERROR(__xludf.DUMMYFUNCTION("""COMPUTED_VALUE"""),"Hospital Miguel Perez Carreño")</f>
        <v>Hospital Miguel Perez Carreño</v>
      </c>
      <c r="I2519" s="44"/>
      <c r="J2519" s="44" t="str">
        <f>IFERROR(__xludf.DUMMYFUNCTION("""COMPUTED_VALUE"""),"26/6/26")</f>
        <v>26/6/26</v>
      </c>
      <c r="K2519" s="42" t="str">
        <f>IFERROR(__xludf.DUMMYFUNCTION("""COMPUTED_VALUE"""),"Hospital Pérez Carreño")</f>
        <v>Hospital Pérez Carreño</v>
      </c>
    </row>
    <row r="2520">
      <c r="A2520" s="44">
        <v>2519.0</v>
      </c>
      <c r="B2520" s="44" t="str">
        <f>IFERROR(__xludf.DUMMYFUNCTION("""COMPUTED_VALUE"""),"Campo de Golf Playa los Cocos")</f>
        <v>Campo de Golf Playa los Cocos</v>
      </c>
      <c r="C2520" s="45" t="str">
        <f>IFERROR(__xludf.DUMMYFUNCTION("""COMPUTED_VALUE"""),"Luis Planas")</f>
        <v>Luis Planas</v>
      </c>
      <c r="D2520" s="44" t="str">
        <f>IFERROR(__xludf.DUMMYFUNCTION("""COMPUTED_VALUE"""),"")</f>
        <v/>
      </c>
      <c r="E2520" s="44" t="str">
        <f>IFERROR(__xludf.DUMMYFUNCTION("""COMPUTED_VALUE"""),"")</f>
        <v/>
      </c>
      <c r="F2520" s="44" t="str">
        <f>IFERROR(__xludf.DUMMYFUNCTION("""COMPUTED_VALUE"""),"")</f>
        <v/>
      </c>
      <c r="G2520" s="44" t="str">
        <f>IFERROR(__xludf.DUMMYFUNCTION("""COMPUTED_VALUE"""),"")</f>
        <v/>
      </c>
      <c r="H2520" s="44" t="str">
        <f>IFERROR(__xludf.DUMMYFUNCTION("""COMPUTED_VALUE"""),"")</f>
        <v/>
      </c>
      <c r="I2520" s="44"/>
      <c r="J2520" s="44" t="str">
        <f>IFERROR(__xludf.DUMMYFUNCTION("""COMPUTED_VALUE"""),"")</f>
        <v/>
      </c>
      <c r="K2520" s="42" t="str">
        <f>IFERROR(__xludf.DUMMYFUNCTION("""COMPUTED_VALUE"""),"Campo de Golf Playa los Cocos")</f>
        <v>Campo de Golf Playa los Cocos</v>
      </c>
    </row>
    <row r="2521">
      <c r="A2521" s="44">
        <v>2520.0</v>
      </c>
      <c r="B2521" s="44" t="str">
        <f>IFERROR(__xludf.DUMMYFUNCTION("""COMPUTED_VALUE"""),"Seguro Social La Guaira")</f>
        <v>Seguro Social La Guaira</v>
      </c>
      <c r="C2521" s="45" t="str">
        <f>IFERROR(__xludf.DUMMYFUNCTION("""COMPUTED_VALUE"""),"LUIS RODRIGUEZ")</f>
        <v>LUIS RODRIGUEZ</v>
      </c>
      <c r="D2521" s="44">
        <f>IFERROR(__xludf.DUMMYFUNCTION("""COMPUTED_VALUE"""),31.0)</f>
        <v>31</v>
      </c>
      <c r="E2521" s="44" t="str">
        <f>IFERROR(__xludf.DUMMYFUNCTION("""COMPUTED_VALUE"""),"")</f>
        <v/>
      </c>
      <c r="F2521" s="44" t="str">
        <f>IFERROR(__xludf.DUMMYFUNCTION("""COMPUTED_VALUE"""),"")</f>
        <v/>
      </c>
      <c r="G2521" s="44" t="str">
        <f>IFERROR(__xludf.DUMMYFUNCTION("""COMPUTED_VALUE""")," ")</f>
        <v> </v>
      </c>
      <c r="H2521" s="44" t="str">
        <f>IFERROR(__xludf.DUMMYFUNCTION("""COMPUTED_VALUE"""),"Caraballeda")</f>
        <v>Caraballeda</v>
      </c>
      <c r="I2521" s="44" t="str">
        <f>IFERROR(__xludf.DUMMYFUNCTION("""COMPUTED_VALUE""")," ")</f>
        <v> </v>
      </c>
      <c r="J2521" s="44" t="str">
        <f>IFERROR(__xludf.DUMMYFUNCTION("""COMPUTED_VALUE"""),"")</f>
        <v/>
      </c>
      <c r="K2521" s="42" t="str">
        <f>IFERROR(__xludf.DUMMYFUNCTION("""COMPUTED_VALUE"""),"Seguro Social La Guaira")</f>
        <v>Seguro Social La Guaira</v>
      </c>
    </row>
    <row r="2522">
      <c r="A2522" s="44">
        <v>2521.0</v>
      </c>
      <c r="B2522" s="44" t="str">
        <f>IFERROR(__xludf.DUMMYFUNCTION("""COMPUTED_VALUE"""),"Campo de Golf Playa los Cocos")</f>
        <v>Campo de Golf Playa los Cocos</v>
      </c>
      <c r="C2522" s="45" t="str">
        <f>IFERROR(__xludf.DUMMYFUNCTION("""COMPUTED_VALUE"""),"Luis Rosales")</f>
        <v>Luis Rosales</v>
      </c>
      <c r="D2522" s="44" t="str">
        <f>IFERROR(__xludf.DUMMYFUNCTION("""COMPUTED_VALUE"""),"")</f>
        <v/>
      </c>
      <c r="E2522" s="44" t="str">
        <f>IFERROR(__xludf.DUMMYFUNCTION("""COMPUTED_VALUE"""),"")</f>
        <v/>
      </c>
      <c r="F2522" s="44" t="str">
        <f>IFERROR(__xludf.DUMMYFUNCTION("""COMPUTED_VALUE"""),"")</f>
        <v/>
      </c>
      <c r="G2522" s="44" t="str">
        <f>IFERROR(__xludf.DUMMYFUNCTION("""COMPUTED_VALUE"""),"")</f>
        <v/>
      </c>
      <c r="H2522" s="44" t="str">
        <f>IFERROR(__xludf.DUMMYFUNCTION("""COMPUTED_VALUE"""),"")</f>
        <v/>
      </c>
      <c r="I2522" s="44"/>
      <c r="J2522" s="44" t="str">
        <f>IFERROR(__xludf.DUMMYFUNCTION("""COMPUTED_VALUE"""),"")</f>
        <v/>
      </c>
      <c r="K2522" s="42" t="str">
        <f>IFERROR(__xludf.DUMMYFUNCTION("""COMPUTED_VALUE"""),"Campo de Golf Playa los Cocos")</f>
        <v>Campo de Golf Playa los Cocos</v>
      </c>
    </row>
    <row r="2523">
      <c r="A2523" s="44">
        <v>2522.0</v>
      </c>
      <c r="B2523" s="44" t="str">
        <f>IFERROR(__xludf.DUMMYFUNCTION("""COMPUTED_VALUE"""),"Hospital Domingo Luciani")</f>
        <v>Hospital Domingo Luciani</v>
      </c>
      <c r="C2523" s="45" t="str">
        <f>IFERROR(__xludf.DUMMYFUNCTION("""COMPUTED_VALUE"""),"Luis Vasquez")</f>
        <v>Luis Vasquez</v>
      </c>
      <c r="D2523" s="44">
        <f>IFERROR(__xludf.DUMMYFUNCTION("""COMPUTED_VALUE"""),77.0)</f>
        <v>77</v>
      </c>
      <c r="E2523" s="44" t="str">
        <f>IFERROR(__xludf.DUMMYFUNCTION("""COMPUTED_VALUE"""),"")</f>
        <v/>
      </c>
      <c r="F2523" s="44" t="str">
        <f>IFERROR(__xludf.DUMMYFUNCTION("""COMPUTED_VALUE"""),"")</f>
        <v/>
      </c>
      <c r="G2523" s="44"/>
      <c r="H2523" s="44"/>
      <c r="I2523" s="44"/>
      <c r="J2523" s="44" t="str">
        <f>IFERROR(__xludf.DUMMYFUNCTION("""COMPUTED_VALUE"""),"")</f>
        <v/>
      </c>
      <c r="K2523" s="42" t="str">
        <f>IFERROR(__xludf.DUMMYFUNCTION("""COMPUTED_VALUE"""),"Hospital Domingo Luciani")</f>
        <v>Hospital Domingo Luciani</v>
      </c>
    </row>
    <row r="2524">
      <c r="A2524" s="44">
        <v>2523.0</v>
      </c>
      <c r="B2524" s="44" t="str">
        <f>IFERROR(__xludf.DUMMYFUNCTION("""COMPUTED_VALUE"""),"Hospital Domingo Luciani")</f>
        <v>Hospital Domingo Luciani</v>
      </c>
      <c r="C2524" s="45" t="str">
        <f>IFERROR(__xludf.DUMMYFUNCTION("""COMPUTED_VALUE"""),"Luis Vásquez")</f>
        <v>Luis Vásquez</v>
      </c>
      <c r="D2524" s="44">
        <f>IFERROR(__xludf.DUMMYFUNCTION("""COMPUTED_VALUE"""),77.0)</f>
        <v>77</v>
      </c>
      <c r="E2524" s="44" t="str">
        <f>IFERROR(__xludf.DUMMYFUNCTION("""COMPUTED_VALUE"""),"")</f>
        <v/>
      </c>
      <c r="F2524" s="44" t="str">
        <f>IFERROR(__xludf.DUMMYFUNCTION("""COMPUTED_VALUE"""),"")</f>
        <v/>
      </c>
      <c r="G2524" s="44"/>
      <c r="H2524" s="44"/>
      <c r="I2524" s="44"/>
      <c r="J2524" s="44" t="str">
        <f>IFERROR(__xludf.DUMMYFUNCTION("""COMPUTED_VALUE"""),"")</f>
        <v/>
      </c>
      <c r="K2524" s="42" t="str">
        <f>IFERROR(__xludf.DUMMYFUNCTION("""COMPUTED_VALUE"""),"Hospital Domingo Luciani")</f>
        <v>Hospital Domingo Luciani</v>
      </c>
    </row>
    <row r="2525">
      <c r="A2525" s="44">
        <v>2524.0</v>
      </c>
      <c r="B2525" s="44" t="str">
        <f>IFERROR(__xludf.DUMMYFUNCTION("""COMPUTED_VALUE"""),"Hospital Pérez Carreño")</f>
        <v>Hospital Pérez Carreño</v>
      </c>
      <c r="C2525" s="45" t="str">
        <f>IFERROR(__xludf.DUMMYFUNCTION("""COMPUTED_VALUE"""),"LUJANO ELIAS")</f>
        <v>LUJANO ELIAS</v>
      </c>
      <c r="D2525" s="44" t="str">
        <f>IFERROR(__xludf.DUMMYFUNCTION("""COMPUTED_VALUE""")," ")</f>
        <v> </v>
      </c>
      <c r="E2525" s="44" t="str">
        <f>IFERROR(__xludf.DUMMYFUNCTION("""COMPUTED_VALUE"""),"")</f>
        <v/>
      </c>
      <c r="F2525" s="44" t="str">
        <f>IFERROR(__xludf.DUMMYFUNCTION("""COMPUTED_VALUE"""),"")</f>
        <v/>
      </c>
      <c r="G2525" s="44" t="str">
        <f>IFERROR(__xludf.DUMMYFUNCTION("""COMPUTED_VALUE""")," ")</f>
        <v> </v>
      </c>
      <c r="H2525" s="44" t="str">
        <f>IFERROR(__xludf.DUMMYFUNCTION("""COMPUTED_VALUE""")," ")</f>
        <v> </v>
      </c>
      <c r="I2525" s="44" t="str">
        <f>IFERROR(__xludf.DUMMYFUNCTION("""COMPUTED_VALUE"""),"Internado")</f>
        <v>Internado</v>
      </c>
      <c r="J2525" s="44" t="str">
        <f>IFERROR(__xludf.DUMMYFUNCTION("""COMPUTED_VALUE"""),"25/06/2026")</f>
        <v>25/06/2026</v>
      </c>
      <c r="K2525" s="42" t="str">
        <f>IFERROR(__xludf.DUMMYFUNCTION("""COMPUTED_VALUE"""),"Hospital Pérez Carreño")</f>
        <v>Hospital Pérez Carreño</v>
      </c>
    </row>
    <row r="2526">
      <c r="A2526" s="44">
        <v>2525.0</v>
      </c>
      <c r="B2526" s="44" t="str">
        <f>IFERROR(__xludf.DUMMYFUNCTION("""COMPUTED_VALUE"""),"Hospital Pérez Carreño")</f>
        <v>Hospital Pérez Carreño</v>
      </c>
      <c r="C2526" s="45" t="str">
        <f>IFERROR(__xludf.DUMMYFUNCTION("""COMPUTED_VALUE"""),"LUJANO GLOCES")</f>
        <v>LUJANO GLOCES</v>
      </c>
      <c r="D2526" s="44">
        <f>IFERROR(__xludf.DUMMYFUNCTION("""COMPUTED_VALUE"""),10.0)</f>
        <v>10</v>
      </c>
      <c r="E2526" s="44" t="str">
        <f>IFERROR(__xludf.DUMMYFUNCTION("""COMPUTED_VALUE"""),"")</f>
        <v/>
      </c>
      <c r="F2526" s="44" t="str">
        <f>IFERROR(__xludf.DUMMYFUNCTION("""COMPUTED_VALUE"""),"")</f>
        <v/>
      </c>
      <c r="G2526" s="44" t="str">
        <f>IFERROR(__xludf.DUMMYFUNCTION("""COMPUTED_VALUE""")," ")</f>
        <v> </v>
      </c>
      <c r="H2526" s="44" t="str">
        <f>IFERROR(__xludf.DUMMYFUNCTION("""COMPUTED_VALUE""")," ")</f>
        <v> </v>
      </c>
      <c r="I2526" s="44" t="str">
        <f>IFERROR(__xludf.DUMMYFUNCTION("""COMPUTED_VALUE"""),"Emerg. Pediátrica – Catia La Mar")</f>
        <v>Emerg. Pediátrica – Catia La Mar</v>
      </c>
      <c r="J2526" s="44" t="str">
        <f>IFERROR(__xludf.DUMMYFUNCTION("""COMPUTED_VALUE"""),"25/06/2026")</f>
        <v>25/06/2026</v>
      </c>
      <c r="K2526" s="42" t="str">
        <f>IFERROR(__xludf.DUMMYFUNCTION("""COMPUTED_VALUE"""),"Hospital Pérez Carreño")</f>
        <v>Hospital Pérez Carreño</v>
      </c>
    </row>
    <row r="2527">
      <c r="A2527" s="44">
        <v>2526.0</v>
      </c>
      <c r="B2527" s="44" t="str">
        <f>IFERROR(__xludf.DUMMYFUNCTION("""COMPUTED_VALUE"""),"H. Jose Maria Vargas LG")</f>
        <v>H. Jose Maria Vargas LG</v>
      </c>
      <c r="C2527" s="45" t="str">
        <f>IFERROR(__xludf.DUMMYFUNCTION("""COMPUTED_VALUE"""),"LUNA ELIA")</f>
        <v>LUNA ELIA</v>
      </c>
      <c r="D2527" s="44">
        <f>IFERROR(__xludf.DUMMYFUNCTION("""COMPUTED_VALUE"""),16.0)</f>
        <v>16</v>
      </c>
      <c r="E2527" s="44" t="str">
        <f>IFERROR(__xludf.DUMMYFUNCTION("""COMPUTED_VALUE"""),"")</f>
        <v/>
      </c>
      <c r="F2527" s="44" t="str">
        <f>IFERROR(__xludf.DUMMYFUNCTION("""COMPUTED_VALUE"""),"")</f>
        <v/>
      </c>
      <c r="G2527" s="44" t="str">
        <f>IFERROR(__xludf.DUMMYFUNCTION("""COMPUTED_VALUE""")," ")</f>
        <v> </v>
      </c>
      <c r="H2527" s="44" t="str">
        <f>IFERROR(__xludf.DUMMYFUNCTION("""COMPUTED_VALUE"""),"Los Corales")</f>
        <v>Los Corales</v>
      </c>
      <c r="I2527" s="44" t="str">
        <f>IFERROR(__xludf.DUMMYFUNCTION("""COMPUTED_VALUE""")," ")</f>
        <v> </v>
      </c>
      <c r="J2527" s="44" t="str">
        <f>IFERROR(__xludf.DUMMYFUNCTION("""COMPUTED_VALUE"""),"")</f>
        <v/>
      </c>
      <c r="K2527" s="42" t="str">
        <f>IFERROR(__xludf.DUMMYFUNCTION("""COMPUTED_VALUE"""),"H. Jose Maria Vargas LG")</f>
        <v>H. Jose Maria Vargas LG</v>
      </c>
    </row>
    <row r="2528">
      <c r="A2528" s="44">
        <v>2527.0</v>
      </c>
      <c r="B2528" s="44" t="str">
        <f>IFERROR(__xludf.DUMMYFUNCTION("""COMPUTED_VALUE"""),"H. Jose Maria Vargas LG")</f>
        <v>H. Jose Maria Vargas LG</v>
      </c>
      <c r="C2528" s="45" t="str">
        <f>IFERROR(__xludf.DUMMYFUNCTION("""COMPUTED_VALUE"""),"LUNA EYLIN")</f>
        <v>LUNA EYLIN</v>
      </c>
      <c r="D2528" s="44" t="str">
        <f>IFERROR(__xludf.DUMMYFUNCTION("""COMPUTED_VALUE""")," ")</f>
        <v> </v>
      </c>
      <c r="E2528" s="44" t="str">
        <f>IFERROR(__xludf.DUMMYFUNCTION("""COMPUTED_VALUE"""),"")</f>
        <v/>
      </c>
      <c r="F2528" s="44" t="str">
        <f>IFERROR(__xludf.DUMMYFUNCTION("""COMPUTED_VALUE"""),"")</f>
        <v/>
      </c>
      <c r="G2528" s="44" t="str">
        <f>IFERROR(__xludf.DUMMYFUNCTION("""COMPUTED_VALUE""")," ")</f>
        <v> </v>
      </c>
      <c r="H2528" s="44" t="str">
        <f>IFERROR(__xludf.DUMMYFUNCTION("""COMPUTED_VALUE""")," ")</f>
        <v> </v>
      </c>
      <c r="I2528" s="44" t="str">
        <f>IFERROR(__xludf.DUMMYFUNCTION("""COMPUTED_VALUE""")," ")</f>
        <v> </v>
      </c>
      <c r="J2528" s="44" t="str">
        <f>IFERROR(__xludf.DUMMYFUNCTION("""COMPUTED_VALUE"""),"")</f>
        <v/>
      </c>
      <c r="K2528" s="42" t="str">
        <f>IFERROR(__xludf.DUMMYFUNCTION("""COMPUTED_VALUE"""),"H. Jose Maria Vargas LG")</f>
        <v>H. Jose Maria Vargas LG</v>
      </c>
    </row>
    <row r="2529">
      <c r="A2529" s="44">
        <v>2528.0</v>
      </c>
      <c r="B2529" s="44" t="str">
        <f>IFERROR(__xludf.DUMMYFUNCTION("""COMPUTED_VALUE"""),"Hospital Vargas de Caracas")</f>
        <v>Hospital Vargas de Caracas</v>
      </c>
      <c r="C2529" s="45" t="str">
        <f>IFERROR(__xludf.DUMMYFUNCTION("""COMPUTED_VALUE"""),"LUQUE ERICK")</f>
        <v>LUQUE ERICK</v>
      </c>
      <c r="D2529" s="44" t="str">
        <f>IFERROR(__xludf.DUMMYFUNCTION("""COMPUTED_VALUE""")," ")</f>
        <v> </v>
      </c>
      <c r="E2529" s="44" t="str">
        <f>IFERROR(__xludf.DUMMYFUNCTION("""COMPUTED_VALUE"""),"")</f>
        <v/>
      </c>
      <c r="F2529" s="44" t="str">
        <f>IFERROR(__xludf.DUMMYFUNCTION("""COMPUTED_VALUE""")," ")</f>
        <v> </v>
      </c>
      <c r="G2529" s="44" t="str">
        <f>IFERROR(__xludf.DUMMYFUNCTION("""COMPUTED_VALUE"""),"")</f>
        <v/>
      </c>
      <c r="H2529" s="44" t="str">
        <f>IFERROR(__xludf.DUMMYFUNCTION("""COMPUTED_VALUE""")," ")</f>
        <v> </v>
      </c>
      <c r="I2529" s="44" t="str">
        <f>IFERROR(__xludf.DUMMYFUNCTION("""COMPUTED_VALUE""")," ")</f>
        <v> </v>
      </c>
      <c r="J2529" s="44" t="str">
        <f>IFERROR(__xludf.DUMMYFUNCTION("""COMPUTED_VALUE"""),"")</f>
        <v/>
      </c>
      <c r="K2529" s="42" t="str">
        <f>IFERROR(__xludf.DUMMYFUNCTION("""COMPUTED_VALUE"""),"Hospital Vargas de Caracas")</f>
        <v>Hospital Vargas de Caracas</v>
      </c>
    </row>
    <row r="2530">
      <c r="A2530" s="44">
        <v>2529.0</v>
      </c>
      <c r="B2530" s="44" t="str">
        <f>IFERROR(__xludf.DUMMYFUNCTION("""COMPUTED_VALUE"""),"Hospital Domingo Luciani")</f>
        <v>Hospital Domingo Luciani</v>
      </c>
      <c r="C2530" s="45" t="str">
        <f>IFERROR(__xludf.DUMMYFUNCTION("""COMPUTED_VALUE"""),"LURE TORRES")</f>
        <v>LURE TORRES</v>
      </c>
      <c r="D2530" s="44" t="str">
        <f>IFERROR(__xludf.DUMMYFUNCTION("""COMPUTED_VALUE""")," ")</f>
        <v> </v>
      </c>
      <c r="E2530" s="44" t="str">
        <f>IFERROR(__xludf.DUMMYFUNCTION("""COMPUTED_VALUE"""),"")</f>
        <v/>
      </c>
      <c r="F2530" s="44" t="str">
        <f>IFERROR(__xludf.DUMMYFUNCTION("""COMPUTED_VALUE"""),"")</f>
        <v/>
      </c>
      <c r="G2530" s="44" t="str">
        <f>IFERROR(__xludf.DUMMYFUNCTION("""COMPUTED_VALUE""")," ")</f>
        <v> </v>
      </c>
      <c r="H2530" s="44" t="str">
        <f>IFERROR(__xludf.DUMMYFUNCTION("""COMPUTED_VALUE""")," ")</f>
        <v> </v>
      </c>
      <c r="I2530" s="44" t="str">
        <f>IFERROR(__xludf.DUMMYFUNCTION("""COMPUTED_VALUE"""),"Internado; Vc Pediatría")</f>
        <v>Internado; Vc Pediatría</v>
      </c>
      <c r="J2530" s="44" t="str">
        <f>IFERROR(__xludf.DUMMYFUNCTION("""COMPUTED_VALUE"""),"")</f>
        <v/>
      </c>
      <c r="K2530" s="42" t="str">
        <f>IFERROR(__xludf.DUMMYFUNCTION("""COMPUTED_VALUE"""),"🔍 BUSCAR PACIENTES")</f>
        <v>🔍 BUSCAR PACIENTES</v>
      </c>
    </row>
    <row r="2531">
      <c r="A2531" s="44">
        <v>2530.0</v>
      </c>
      <c r="B2531" s="44" t="str">
        <f>IFERROR(__xludf.DUMMYFUNCTION("""COMPUTED_VALUE"""),"Hospital Domingo Luciani")</f>
        <v>Hospital Domingo Luciani</v>
      </c>
      <c r="C2531" s="45" t="str">
        <f>IFERROR(__xludf.DUMMYFUNCTION("""COMPUTED_VALUE"""),"Lusana Ordaz")</f>
        <v>Lusana Ordaz</v>
      </c>
      <c r="D2531" s="44">
        <f>IFERROR(__xludf.DUMMYFUNCTION("""COMPUTED_VALUE"""),58.0)</f>
        <v>58</v>
      </c>
      <c r="E2531" s="44" t="str">
        <f>IFERROR(__xludf.DUMMYFUNCTION("""COMPUTED_VALUE"""),"")</f>
        <v/>
      </c>
      <c r="F2531" s="44" t="str">
        <f>IFERROR(__xludf.DUMMYFUNCTION("""COMPUTED_VALUE"""),"")</f>
        <v/>
      </c>
      <c r="G2531" s="44"/>
      <c r="H2531" s="44"/>
      <c r="I2531" s="44"/>
      <c r="J2531" s="44" t="str">
        <f>IFERROR(__xludf.DUMMYFUNCTION("""COMPUTED_VALUE"""),"")</f>
        <v/>
      </c>
      <c r="K2531" s="42" t="str">
        <f>IFERROR(__xludf.DUMMYFUNCTION("""COMPUTED_VALUE"""),"Hospital Domingo Luciani")</f>
        <v>Hospital Domingo Luciani</v>
      </c>
    </row>
    <row r="2532">
      <c r="A2532" s="44">
        <v>2531.0</v>
      </c>
      <c r="B2532" s="44" t="str">
        <f>IFERROR(__xludf.DUMMYFUNCTION("""COMPUTED_VALUE"""),"Hospital Pérez Carreño")</f>
        <v>Hospital Pérez Carreño</v>
      </c>
      <c r="C2532" s="45" t="str">
        <f>IFERROR(__xludf.DUMMYFUNCTION("""COMPUTED_VALUE"""),"Luyano Elsn")</f>
        <v>Luyano Elsn</v>
      </c>
      <c r="D2532" s="44"/>
      <c r="E2532" s="44" t="str">
        <f>IFERROR(__xludf.DUMMYFUNCTION("""COMPUTED_VALUE"""),"")</f>
        <v/>
      </c>
      <c r="F2532" s="44" t="str">
        <f>IFERROR(__xludf.DUMMYFUNCTION("""COMPUTED_VALUE"""),"")</f>
        <v/>
      </c>
      <c r="G2532" s="44" t="str">
        <f>IFERROR(__xludf.DUMMYFUNCTION("""COMPUTED_VALUE"""),"Traslados con destino asignado")</f>
        <v>Traslados con destino asignado</v>
      </c>
      <c r="H2532" s="44" t="str">
        <f>IFERROR(__xludf.DUMMYFUNCTION("""COMPUTED_VALUE"""),"Hospital Miguel Perez Carreño")</f>
        <v>Hospital Miguel Perez Carreño</v>
      </c>
      <c r="I2532" s="44"/>
      <c r="J2532" s="44" t="str">
        <f>IFERROR(__xludf.DUMMYFUNCTION("""COMPUTED_VALUE"""),"26/6/26")</f>
        <v>26/6/26</v>
      </c>
      <c r="K2532" s="42" t="str">
        <f>IFERROR(__xludf.DUMMYFUNCTION("""COMPUTED_VALUE"""),"Hospital Pérez Carreño")</f>
        <v>Hospital Pérez Carreño</v>
      </c>
    </row>
    <row r="2533">
      <c r="A2533" s="44">
        <v>2532.0</v>
      </c>
      <c r="B2533" s="44" t="str">
        <f>IFERROR(__xludf.DUMMYFUNCTION("""COMPUTED_VALUE"""),"Periférico de Catia")</f>
        <v>Periférico de Catia</v>
      </c>
      <c r="C2533" s="45" t="str">
        <f>IFERROR(__xludf.DUMMYFUNCTION("""COMPUTED_VALUE"""),"MAA GONZALEZ")</f>
        <v>MAA GONZALEZ</v>
      </c>
      <c r="D2533" s="44">
        <f>IFERROR(__xludf.DUMMYFUNCTION("""COMPUTED_VALUE"""),67.0)</f>
        <v>67</v>
      </c>
      <c r="E2533" s="44" t="str">
        <f>IFERROR(__xludf.DUMMYFUNCTION("""COMPUTED_VALUE"""),"")</f>
        <v/>
      </c>
      <c r="F2533" s="44" t="str">
        <f>IFERROR(__xludf.DUMMYFUNCTION("""COMPUTED_VALUE"""),"")</f>
        <v/>
      </c>
      <c r="G2533" s="44" t="str">
        <f>IFERROR(__xludf.DUMMYFUNCTION("""COMPUTED_VALUE""")," ")</f>
        <v> </v>
      </c>
      <c r="H2533" s="44" t="str">
        <f>IFERROR(__xludf.DUMMYFUNCTION("""COMPUTED_VALUE""")," ")</f>
        <v> </v>
      </c>
      <c r="I2533" s="44" t="str">
        <f>IFERROR(__xludf.DUMMYFUNCTION("""COMPUTED_VALUE"""),"Solo")</f>
        <v>Solo</v>
      </c>
      <c r="J2533" s="44" t="str">
        <f>IFERROR(__xludf.DUMMYFUNCTION("""COMPUTED_VALUE"""),"")</f>
        <v/>
      </c>
      <c r="K2533" s="42" t="str">
        <f>IFERROR(__xludf.DUMMYFUNCTION("""COMPUTED_VALUE"""),"Periférico de Catia")</f>
        <v>Periférico de Catia</v>
      </c>
    </row>
    <row r="2534">
      <c r="A2534" s="44">
        <v>2533.0</v>
      </c>
      <c r="B2534" s="44" t="str">
        <f>IFERROR(__xludf.DUMMYFUNCTION("""COMPUTED_VALUE"""),"Hospital Domingo Luciani")</f>
        <v>Hospital Domingo Luciani</v>
      </c>
      <c r="C2534" s="45" t="str">
        <f>IFERROR(__xludf.DUMMYFUNCTION("""COMPUTED_VALUE"""),"MACHADO ANABELLA")</f>
        <v>MACHADO ANABELLA</v>
      </c>
      <c r="D2534" s="44">
        <f>IFERROR(__xludf.DUMMYFUNCTION("""COMPUTED_VALUE"""),9.0)</f>
        <v>9</v>
      </c>
      <c r="E2534" s="44" t="str">
        <f>IFERROR(__xludf.DUMMYFUNCTION("""COMPUTED_VALUE"""),"")</f>
        <v/>
      </c>
      <c r="F2534" s="44" t="str">
        <f>IFERROR(__xludf.DUMMYFUNCTION("""COMPUTED_VALUE"""),"")</f>
        <v/>
      </c>
      <c r="G2534" s="44" t="str">
        <f>IFERROR(__xludf.DUMMYFUNCTION("""COMPUTED_VALUE""")," ")</f>
        <v> </v>
      </c>
      <c r="H2534" s="44" t="str">
        <f>IFERROR(__xludf.DUMMYFUNCTION("""COMPUTED_VALUE""")," ")</f>
        <v> </v>
      </c>
      <c r="I2534" s="44" t="str">
        <f>IFERROR(__xludf.DUMMYFUNCTION("""COMPUTED_VALUE""")," ")</f>
        <v> </v>
      </c>
      <c r="J2534" s="44" t="str">
        <f>IFERROR(__xludf.DUMMYFUNCTION("""COMPUTED_VALUE"""),"")</f>
        <v/>
      </c>
      <c r="K2534" s="42" t="str">
        <f>IFERROR(__xludf.DUMMYFUNCTION("""COMPUTED_VALUE"""),"🔍 BUSCAR PACIENTES")</f>
        <v>🔍 BUSCAR PACIENTES</v>
      </c>
    </row>
    <row r="2535">
      <c r="A2535" s="44">
        <v>2534.0</v>
      </c>
      <c r="B2535" s="44" t="str">
        <f>IFERROR(__xludf.DUMMYFUNCTION("""COMPUTED_VALUE"""),"Hospital Domingo Luciani")</f>
        <v>Hospital Domingo Luciani</v>
      </c>
      <c r="C2535" s="45" t="str">
        <f>IFERROR(__xludf.DUMMYFUNCTION("""COMPUTED_VALUE"""),"MACHADO ANARELLA")</f>
        <v>MACHADO ANARELLA</v>
      </c>
      <c r="D2535" s="44">
        <f>IFERROR(__xludf.DUMMYFUNCTION("""COMPUTED_VALUE"""),9.0)</f>
        <v>9</v>
      </c>
      <c r="E2535" s="44" t="str">
        <f>IFERROR(__xludf.DUMMYFUNCTION("""COMPUTED_VALUE"""),"")</f>
        <v/>
      </c>
      <c r="F2535" s="44" t="str">
        <f>IFERROR(__xludf.DUMMYFUNCTION("""COMPUTED_VALUE"""),"")</f>
        <v/>
      </c>
      <c r="G2535" s="44" t="str">
        <f>IFERROR(__xludf.DUMMYFUNCTION("""COMPUTED_VALUE""")," ")</f>
        <v> </v>
      </c>
      <c r="H2535" s="44" t="str">
        <f>IFERROR(__xludf.DUMMYFUNCTION("""COMPUTED_VALUE"""),"LaGuaira")</f>
        <v>LaGuaira</v>
      </c>
      <c r="I2535" s="44" t="str">
        <f>IFERROR(__xludf.DUMMYFUNCTION("""COMPUTED_VALUE""")," ")</f>
        <v> </v>
      </c>
      <c r="J2535" s="44" t="str">
        <f>IFERROR(__xludf.DUMMYFUNCTION("""COMPUTED_VALUE"""),"")</f>
        <v/>
      </c>
      <c r="K2535" s="42" t="str">
        <f>IFERROR(__xludf.DUMMYFUNCTION("""COMPUTED_VALUE"""),"🔍 BUSCAR PACIENTES")</f>
        <v>🔍 BUSCAR PACIENTES</v>
      </c>
    </row>
    <row r="2536">
      <c r="A2536" s="44">
        <v>2535.0</v>
      </c>
      <c r="B2536" s="44" t="str">
        <f>IFERROR(__xludf.DUMMYFUNCTION("""COMPUTED_VALUE"""),"Hospital Domingo Luciani")</f>
        <v>Hospital Domingo Luciani</v>
      </c>
      <c r="C2536" s="45" t="str">
        <f>IFERROR(__xludf.DUMMYFUNCTION("""COMPUTED_VALUE"""),"MACHADO ANARELLA / MACHADO ANARELA")</f>
        <v>MACHADO ANARELLA / MACHADO ANARELA</v>
      </c>
      <c r="D2536" s="44">
        <f>IFERROR(__xludf.DUMMYFUNCTION("""COMPUTED_VALUE"""),9.0)</f>
        <v>9</v>
      </c>
      <c r="E2536" s="44" t="str">
        <f>IFERROR(__xludf.DUMMYFUNCTION("""COMPUTED_VALUE"""),"")</f>
        <v/>
      </c>
      <c r="F2536" s="44" t="str">
        <f>IFERROR(__xludf.DUMMYFUNCTION("""COMPUTED_VALUE"""),"")</f>
        <v/>
      </c>
      <c r="G2536" s="44" t="str">
        <f>IFERROR(__xludf.DUMMYFUNCTION("""COMPUTED_VALUE""")," ")</f>
        <v> </v>
      </c>
      <c r="H2536" s="44" t="str">
        <f>IFERROR(__xludf.DUMMYFUNCTION("""COMPUTED_VALUE""")," ")</f>
        <v> </v>
      </c>
      <c r="I2536" s="44" t="str">
        <f>IFERROR(__xludf.DUMMYFUNCTION("""COMPUTED_VALUE""")," ")</f>
        <v> </v>
      </c>
      <c r="J2536" s="44" t="str">
        <f>IFERROR(__xludf.DUMMYFUNCTION("""COMPUTED_VALUE"""),"")</f>
        <v/>
      </c>
      <c r="K2536" s="42" t="str">
        <f>IFERROR(__xludf.DUMMYFUNCTION("""COMPUTED_VALUE"""),"🔍 BUSCAR PACIENTES")</f>
        <v>🔍 BUSCAR PACIENTES</v>
      </c>
    </row>
    <row r="2537">
      <c r="A2537" s="44">
        <v>2536.0</v>
      </c>
      <c r="B2537" s="44" t="str">
        <f>IFERROR(__xludf.DUMMYFUNCTION("""COMPUTED_VALUE"""),"Cruz Roja")</f>
        <v>Cruz Roja</v>
      </c>
      <c r="C2537" s="45" t="str">
        <f>IFERROR(__xludf.DUMMYFUNCTION("""COMPUTED_VALUE"""),"MACHADO CARMEN")</f>
        <v>MACHADO CARMEN</v>
      </c>
      <c r="D2537" s="44">
        <f>IFERROR(__xludf.DUMMYFUNCTION("""COMPUTED_VALUE"""),77.0)</f>
        <v>77</v>
      </c>
      <c r="E2537" s="44" t="str">
        <f>IFERROR(__xludf.DUMMYFUNCTION("""COMPUTED_VALUE"""),"")</f>
        <v/>
      </c>
      <c r="F2537" s="44" t="str">
        <f>IFERROR(__xludf.DUMMYFUNCTION("""COMPUTED_VALUE"""),"")</f>
        <v/>
      </c>
      <c r="G2537" s="44" t="str">
        <f>IFERROR(__xludf.DUMMYFUNCTION("""COMPUTED_VALUE""")," ")</f>
        <v> </v>
      </c>
      <c r="H2537" s="44" t="str">
        <f>IFERROR(__xludf.DUMMYFUNCTION("""COMPUTED_VALUE"""),"La Candelaria")</f>
        <v>La Candelaria</v>
      </c>
      <c r="I2537" s="44" t="str">
        <f>IFERROR(__xludf.DUMMYFUNCTION("""COMPUTED_VALUE""")," ")</f>
        <v> </v>
      </c>
      <c r="J2537" s="44" t="str">
        <f>IFERROR(__xludf.DUMMYFUNCTION("""COMPUTED_VALUE"""),"")</f>
        <v/>
      </c>
      <c r="K2537" s="42" t="str">
        <f>IFERROR(__xludf.DUMMYFUNCTION("""COMPUTED_VALUE"""),"Cruz Roja")</f>
        <v>Cruz Roja</v>
      </c>
    </row>
    <row r="2538">
      <c r="A2538" s="44">
        <v>2537.0</v>
      </c>
      <c r="B2538" s="44" t="str">
        <f>IFERROR(__xludf.DUMMYFUNCTION("""COMPUTED_VALUE"""),"Hospital Pérez Carreño")</f>
        <v>Hospital Pérez Carreño</v>
      </c>
      <c r="C2538" s="45" t="str">
        <f>IFERROR(__xludf.DUMMYFUNCTION("""COMPUTED_VALUE"""),"Macondo Lis")</f>
        <v>Macondo Lis</v>
      </c>
      <c r="D2538" s="44"/>
      <c r="E2538" s="44" t="str">
        <f>IFERROR(__xludf.DUMMYFUNCTION("""COMPUTED_VALUE"""),"")</f>
        <v/>
      </c>
      <c r="F2538" s="44" t="str">
        <f>IFERROR(__xludf.DUMMYFUNCTION("""COMPUTED_VALUE"""),"")</f>
        <v/>
      </c>
      <c r="G2538" s="44" t="str">
        <f>IFERROR(__xludf.DUMMYFUNCTION("""COMPUTED_VALUE"""),"Traslados con destino asignado")</f>
        <v>Traslados con destino asignado</v>
      </c>
      <c r="H2538" s="44" t="str">
        <f>IFERROR(__xludf.DUMMYFUNCTION("""COMPUTED_VALUE"""),"Hospital Miguel Perez Carreño")</f>
        <v>Hospital Miguel Perez Carreño</v>
      </c>
      <c r="I2538" s="44"/>
      <c r="J2538" s="44" t="str">
        <f>IFERROR(__xludf.DUMMYFUNCTION("""COMPUTED_VALUE"""),"26/6/26")</f>
        <v>26/6/26</v>
      </c>
      <c r="K2538" s="42" t="str">
        <f>IFERROR(__xludf.DUMMYFUNCTION("""COMPUTED_VALUE"""),"Hospital Pérez Carreño")</f>
        <v>Hospital Pérez Carreño</v>
      </c>
    </row>
    <row r="2539">
      <c r="A2539" s="44">
        <v>2538.0</v>
      </c>
      <c r="B2539" s="44" t="str">
        <f>IFERROR(__xludf.DUMMYFUNCTION("""COMPUTED_VALUE"""),"Periférico de Catia")</f>
        <v>Periférico de Catia</v>
      </c>
      <c r="C2539" s="45" t="str">
        <f>IFERROR(__xludf.DUMMYFUNCTION("""COMPUTED_VALUE"""),"MADDEN YALETZY")</f>
        <v>MADDEN YALETZY</v>
      </c>
      <c r="D2539" s="44">
        <f>IFERROR(__xludf.DUMMYFUNCTION("""COMPUTED_VALUE"""),45.0)</f>
        <v>45</v>
      </c>
      <c r="E2539" s="44" t="str">
        <f>IFERROR(__xludf.DUMMYFUNCTION("""COMPUTED_VALUE"""),"")</f>
        <v/>
      </c>
      <c r="F2539" s="44" t="str">
        <f>IFERROR(__xludf.DUMMYFUNCTION("""COMPUTED_VALUE"""),"")</f>
        <v/>
      </c>
      <c r="G2539" s="44" t="str">
        <f>IFERROR(__xludf.DUMMYFUNCTION("""COMPUTED_VALUE""")," ")</f>
        <v> </v>
      </c>
      <c r="H2539" s="44" t="str">
        <f>IFERROR(__xludf.DUMMYFUNCTION("""COMPUTED_VALUE""")," ")</f>
        <v> </v>
      </c>
      <c r="I2539" s="44" t="str">
        <f>IFERROR(__xludf.DUMMYFUNCTION("""COMPUTED_VALUE"""),"Sola")</f>
        <v>Sola</v>
      </c>
      <c r="J2539" s="44" t="str">
        <f>IFERROR(__xludf.DUMMYFUNCTION("""COMPUTED_VALUE"""),"")</f>
        <v/>
      </c>
      <c r="K2539" s="42" t="str">
        <f>IFERROR(__xludf.DUMMYFUNCTION("""COMPUTED_VALUE"""),"Periférico de Catia")</f>
        <v>Periférico de Catia</v>
      </c>
    </row>
    <row r="2540">
      <c r="A2540" s="44">
        <v>2539.0</v>
      </c>
      <c r="B2540" s="44" t="str">
        <f>IFERROR(__xludf.DUMMYFUNCTION("""COMPUTED_VALUE"""),"Periférico de Catia")</f>
        <v>Periférico de Catia</v>
      </c>
      <c r="C2540" s="45" t="str">
        <f>IFERROR(__xludf.DUMMYFUNCTION("""COMPUTED_VALUE"""),"MADNO VALKETZ")</f>
        <v>MADNO VALKETZ</v>
      </c>
      <c r="D2540" s="44">
        <f>IFERROR(__xludf.DUMMYFUNCTION("""COMPUTED_VALUE"""),44.0)</f>
        <v>44</v>
      </c>
      <c r="E2540" s="44" t="str">
        <f>IFERROR(__xludf.DUMMYFUNCTION("""COMPUTED_VALUE"""),"")</f>
        <v/>
      </c>
      <c r="F2540" s="44" t="str">
        <f>IFERROR(__xludf.DUMMYFUNCTION("""COMPUTED_VALUE"""),"")</f>
        <v/>
      </c>
      <c r="G2540" s="44" t="str">
        <f>IFERROR(__xludf.DUMMYFUNCTION("""COMPUTED_VALUE""")," ")</f>
        <v> </v>
      </c>
      <c r="H2540" s="44" t="str">
        <f>IFERROR(__xludf.DUMMYFUNCTION("""COMPUTED_VALUE""")," ")</f>
        <v> </v>
      </c>
      <c r="I2540" s="44" t="str">
        <f>IFERROR(__xludf.DUMMYFUNCTION("""COMPUTED_VALUE"""),"Sola")</f>
        <v>Sola</v>
      </c>
      <c r="J2540" s="44" t="str">
        <f>IFERROR(__xludf.DUMMYFUNCTION("""COMPUTED_VALUE"""),"")</f>
        <v/>
      </c>
      <c r="K2540" s="42" t="str">
        <f>IFERROR(__xludf.DUMMYFUNCTION("""COMPUTED_VALUE"""),"Periférico de Catia")</f>
        <v>Periférico de Catia</v>
      </c>
    </row>
    <row r="2541">
      <c r="A2541" s="44">
        <v>2540.0</v>
      </c>
      <c r="B2541" s="44" t="str">
        <f>IFERROR(__xludf.DUMMYFUNCTION("""COMPUTED_VALUE"""),"Campo de Golf Playa los Cocos")</f>
        <v>Campo de Golf Playa los Cocos</v>
      </c>
      <c r="C2541" s="45" t="str">
        <f>IFERROR(__xludf.DUMMYFUNCTION("""COMPUTED_VALUE"""),"Magali Cabrera")</f>
        <v>Magali Cabrera</v>
      </c>
      <c r="D2541" s="44" t="str">
        <f>IFERROR(__xludf.DUMMYFUNCTION("""COMPUTED_VALUE"""),"")</f>
        <v/>
      </c>
      <c r="E2541" s="44" t="str">
        <f>IFERROR(__xludf.DUMMYFUNCTION("""COMPUTED_VALUE"""),"")</f>
        <v/>
      </c>
      <c r="F2541" s="44" t="str">
        <f>IFERROR(__xludf.DUMMYFUNCTION("""COMPUTED_VALUE"""),"")</f>
        <v/>
      </c>
      <c r="G2541" s="44" t="str">
        <f>IFERROR(__xludf.DUMMYFUNCTION("""COMPUTED_VALUE"""),"")</f>
        <v/>
      </c>
      <c r="H2541" s="44" t="str">
        <f>IFERROR(__xludf.DUMMYFUNCTION("""COMPUTED_VALUE"""),"")</f>
        <v/>
      </c>
      <c r="I2541" s="44"/>
      <c r="J2541" s="44" t="str">
        <f>IFERROR(__xludf.DUMMYFUNCTION("""COMPUTED_VALUE"""),"")</f>
        <v/>
      </c>
      <c r="K2541" s="42" t="str">
        <f>IFERROR(__xludf.DUMMYFUNCTION("""COMPUTED_VALUE"""),"Campo de Golf Playa los Cocos")</f>
        <v>Campo de Golf Playa los Cocos</v>
      </c>
    </row>
    <row r="2542">
      <c r="A2542" s="44">
        <v>2541.0</v>
      </c>
      <c r="B2542" s="44" t="str">
        <f>IFERROR(__xludf.DUMMYFUNCTION("""COMPUTED_VALUE"""),"HOSPITAL VARGAS")</f>
        <v>HOSPITAL VARGAS</v>
      </c>
      <c r="C2542" s="45" t="str">
        <f>IFERROR(__xludf.DUMMYFUNCTION("""COMPUTED_VALUE"""),"Magdalena Rodríguez")</f>
        <v>Magdalena Rodríguez</v>
      </c>
      <c r="D2542" s="44"/>
      <c r="E2542" s="44" t="str">
        <f>IFERROR(__xludf.DUMMYFUNCTION("""COMPUTED_VALUE"""),"")</f>
        <v/>
      </c>
      <c r="F2542" s="44" t="str">
        <f>IFERROR(__xludf.DUMMYFUNCTION("""COMPUTED_VALUE"""),"")</f>
        <v/>
      </c>
      <c r="G2542" s="44" t="str">
        <f>IFERROR(__xludf.DUMMYFUNCTION("""COMPUTED_VALUE"""),"")</f>
        <v/>
      </c>
      <c r="H2542" s="44" t="str">
        <f>IFERROR(__xludf.DUMMYFUNCTION("""COMPUTED_VALUE"""),"")</f>
        <v/>
      </c>
      <c r="I2542" s="44" t="str">
        <f>IFERROR(__xludf.DUMMYFUNCTION("""COMPUTED_VALUE"""),"Herido / atendido")</f>
        <v>Herido / atendido</v>
      </c>
      <c r="J2542" s="44" t="str">
        <f>IFERROR(__xludf.DUMMYFUNCTION("""COMPUTED_VALUE"""),"24.06.2026 ")</f>
        <v>24.06.2026 </v>
      </c>
      <c r="K2542" s="42" t="str">
        <f>IFERROR(__xludf.DUMMYFUNCTION("""COMPUTED_VALUE"""),"HOSPITAL VARGAS")</f>
        <v>HOSPITAL VARGAS</v>
      </c>
    </row>
    <row r="2543">
      <c r="A2543" s="44">
        <v>2542.0</v>
      </c>
      <c r="B2543" s="44" t="str">
        <f>IFERROR(__xludf.DUMMYFUNCTION("""COMPUTED_VALUE"""),"Hospital Pérez Carreño")</f>
        <v>Hospital Pérez Carreño</v>
      </c>
      <c r="C2543" s="45" t="str">
        <f>IFERROR(__xludf.DUMMYFUNCTION("""COMPUTED_VALUE"""),"Mahtriam Maulette")</f>
        <v>Mahtriam Maulette</v>
      </c>
      <c r="D2543" s="44"/>
      <c r="E2543" s="44" t="str">
        <f>IFERROR(__xludf.DUMMYFUNCTION("""COMPUTED_VALUE"""),"")</f>
        <v/>
      </c>
      <c r="F2543" s="44" t="str">
        <f>IFERROR(__xludf.DUMMYFUNCTION("""COMPUTED_VALUE"""),"")</f>
        <v/>
      </c>
      <c r="G2543" s="44" t="str">
        <f>IFERROR(__xludf.DUMMYFUNCTION("""COMPUTED_VALUE"""),"Traslados con destino asignado")</f>
        <v>Traslados con destino asignado</v>
      </c>
      <c r="H2543" s="44" t="str">
        <f>IFERROR(__xludf.DUMMYFUNCTION("""COMPUTED_VALUE"""),"Hospital Miguel Perez Carreño")</f>
        <v>Hospital Miguel Perez Carreño</v>
      </c>
      <c r="I2543" s="44"/>
      <c r="J2543" s="44" t="str">
        <f>IFERROR(__xludf.DUMMYFUNCTION("""COMPUTED_VALUE"""),"26/6/26")</f>
        <v>26/6/26</v>
      </c>
      <c r="K2543" s="42" t="str">
        <f>IFERROR(__xludf.DUMMYFUNCTION("""COMPUTED_VALUE"""),"Hospital Pérez Carreño")</f>
        <v>Hospital Pérez Carreño</v>
      </c>
    </row>
    <row r="2544">
      <c r="A2544" s="44">
        <v>2543.0</v>
      </c>
      <c r="B2544" s="44" t="str">
        <f>IFERROR(__xludf.DUMMYFUNCTION("""COMPUTED_VALUE"""),"Seguro Social La Guaira")</f>
        <v>Seguro Social La Guaira</v>
      </c>
      <c r="C2544" s="45" t="str">
        <f>IFERROR(__xludf.DUMMYFUNCTION("""COMPUTED_VALUE"""),"MAIKEL TOSCABE")</f>
        <v>MAIKEL TOSCABE</v>
      </c>
      <c r="D2544" s="44" t="str">
        <f>IFERROR(__xludf.DUMMYFUNCTION("""COMPUTED_VALUE""")," ")</f>
        <v> </v>
      </c>
      <c r="E2544" s="44" t="str">
        <f>IFERROR(__xludf.DUMMYFUNCTION("""COMPUTED_VALUE"""),"")</f>
        <v/>
      </c>
      <c r="F2544" s="44" t="str">
        <f>IFERROR(__xludf.DUMMYFUNCTION("""COMPUTED_VALUE"""),"")</f>
        <v/>
      </c>
      <c r="G2544" s="44" t="str">
        <f>IFERROR(__xludf.DUMMYFUNCTION("""COMPUTED_VALUE""")," ")</f>
        <v> </v>
      </c>
      <c r="H2544" s="44" t="str">
        <f>IFERROR(__xludf.DUMMYFUNCTION("""COMPUTED_VALUE"""),"Brisas del Aeropuerto")</f>
        <v>Brisas del Aeropuerto</v>
      </c>
      <c r="I2544" s="44" t="str">
        <f>IFERROR(__xludf.DUMMYFUNCTION("""COMPUTED_VALUE""")," ")</f>
        <v> </v>
      </c>
      <c r="J2544" s="44" t="str">
        <f>IFERROR(__xludf.DUMMYFUNCTION("""COMPUTED_VALUE"""),"")</f>
        <v/>
      </c>
      <c r="K2544" s="42" t="str">
        <f>IFERROR(__xludf.DUMMYFUNCTION("""COMPUTED_VALUE"""),"Seguro Social La Guaira")</f>
        <v>Seguro Social La Guaira</v>
      </c>
    </row>
    <row r="2545">
      <c r="A2545" s="44">
        <v>2544.0</v>
      </c>
      <c r="B2545" s="44" t="str">
        <f>IFERROR(__xludf.DUMMYFUNCTION("""COMPUTED_VALUE"""),"Hospital Pérez Carreño")</f>
        <v>Hospital Pérez Carreño</v>
      </c>
      <c r="C2545" s="45" t="str">
        <f>IFERROR(__xludf.DUMMYFUNCTION("""COMPUTED_VALUE"""),"Maily Lopez")</f>
        <v>Maily Lopez</v>
      </c>
      <c r="D2545" s="44"/>
      <c r="E2545" s="44" t="str">
        <f>IFERROR(__xludf.DUMMYFUNCTION("""COMPUTED_VALUE"""),"")</f>
        <v/>
      </c>
      <c r="F2545" s="44" t="str">
        <f>IFERROR(__xludf.DUMMYFUNCTION("""COMPUTED_VALUE"""),"")</f>
        <v/>
      </c>
      <c r="G2545" s="44" t="str">
        <f>IFERROR(__xludf.DUMMYFUNCTION("""COMPUTED_VALUE"""),"Traumashock ")</f>
        <v>Traumashock </v>
      </c>
      <c r="H2545" s="44" t="str">
        <f>IFERROR(__xludf.DUMMYFUNCTION("""COMPUTED_VALUE"""),"Hospital Miguel Perez Carreño")</f>
        <v>Hospital Miguel Perez Carreño</v>
      </c>
      <c r="I2545" s="44"/>
      <c r="J2545" s="44" t="str">
        <f>IFERROR(__xludf.DUMMYFUNCTION("""COMPUTED_VALUE"""),"26/6/26")</f>
        <v>26/6/26</v>
      </c>
      <c r="K2545" s="42" t="str">
        <f>IFERROR(__xludf.DUMMYFUNCTION("""COMPUTED_VALUE"""),"Hospital Pérez Carreño")</f>
        <v>Hospital Pérez Carreño</v>
      </c>
    </row>
    <row r="2546">
      <c r="A2546" s="44">
        <v>2545.0</v>
      </c>
      <c r="B2546" s="44" t="str">
        <f>IFERROR(__xludf.DUMMYFUNCTION("""COMPUTED_VALUE"""),"Hospital Domingo Luciani")</f>
        <v>Hospital Domingo Luciani</v>
      </c>
      <c r="C2546" s="45" t="str">
        <f>IFERROR(__xludf.DUMMYFUNCTION("""COMPUTED_VALUE"""),"MAJANO JOSE")</f>
        <v>MAJANO JOSE</v>
      </c>
      <c r="D2546" s="44">
        <f>IFERROR(__xludf.DUMMYFUNCTION("""COMPUTED_VALUE"""),26.0)</f>
        <v>26</v>
      </c>
      <c r="E2546" s="44" t="str">
        <f>IFERROR(__xludf.DUMMYFUNCTION("""COMPUTED_VALUE"""),"")</f>
        <v/>
      </c>
      <c r="F2546" s="44" t="str">
        <f>IFERROR(__xludf.DUMMYFUNCTION("""COMPUTED_VALUE"""),"")</f>
        <v/>
      </c>
      <c r="G2546" s="44" t="str">
        <f>IFERROR(__xludf.DUMMYFUNCTION("""COMPUTED_VALUE""")," ")</f>
        <v> </v>
      </c>
      <c r="H2546" s="44" t="str">
        <f>IFERROR(__xludf.DUMMYFUNCTION("""COMPUTED_VALUE""")," ")</f>
        <v> </v>
      </c>
      <c r="I2546" s="44" t="str">
        <f>IFERROR(__xludf.DUMMYFUNCTION("""COMPUTED_VALUE"""),"La Guaira – Ingresos 9am")</f>
        <v>La Guaira – Ingresos 9am</v>
      </c>
      <c r="J2546" s="44" t="str">
        <f>IFERROR(__xludf.DUMMYFUNCTION("""COMPUTED_VALUE"""),"")</f>
        <v/>
      </c>
      <c r="K2546" s="42" t="str">
        <f>IFERROR(__xludf.DUMMYFUNCTION("""COMPUTED_VALUE"""),"🔍 BUSCAR PACIENTES")</f>
        <v>🔍 BUSCAR PACIENTES</v>
      </c>
    </row>
    <row r="2547">
      <c r="A2547" s="44">
        <v>2546.0</v>
      </c>
      <c r="B2547" s="44" t="str">
        <f>IFERROR(__xludf.DUMMYFUNCTION("""COMPUTED_VALUE"""),"Hospital Pérez Carreño")</f>
        <v>Hospital Pérez Carreño</v>
      </c>
      <c r="C2547" s="45" t="str">
        <f>IFERROR(__xludf.DUMMYFUNCTION("""COMPUTED_VALUE"""),"MAKTERIAN MARIESTE")</f>
        <v>MAKTERIAN MARIESTE</v>
      </c>
      <c r="D2547" s="44">
        <f>IFERROR(__xludf.DUMMYFUNCTION("""COMPUTED_VALUE"""),67.0)</f>
        <v>67</v>
      </c>
      <c r="E2547" s="44" t="str">
        <f>IFERROR(__xludf.DUMMYFUNCTION("""COMPUTED_VALUE"""),"")</f>
        <v/>
      </c>
      <c r="F2547" s="44" t="str">
        <f>IFERROR(__xludf.DUMMYFUNCTION("""COMPUTED_VALUE"""),"")</f>
        <v/>
      </c>
      <c r="G2547" s="44" t="str">
        <f>IFERROR(__xludf.DUMMYFUNCTION("""COMPUTED_VALUE""")," ")</f>
        <v> </v>
      </c>
      <c r="H2547" s="44" t="str">
        <f>IFERROR(__xludf.DUMMYFUNCTION("""COMPUTED_VALUE""")," ")</f>
        <v> </v>
      </c>
      <c r="I2547" s="44" t="str">
        <f>IFERROR(__xludf.DUMMYFUNCTION("""COMPUTED_VALUE"""),"Traumachok; La Guaira")</f>
        <v>Traumachok; La Guaira</v>
      </c>
      <c r="J2547" s="44" t="str">
        <f>IFERROR(__xludf.DUMMYFUNCTION("""COMPUTED_VALUE"""),"25/06/2026")</f>
        <v>25/06/2026</v>
      </c>
      <c r="K2547" s="42" t="str">
        <f>IFERROR(__xludf.DUMMYFUNCTION("""COMPUTED_VALUE"""),"Hospital Pérez Carreño")</f>
        <v>Hospital Pérez Carreño</v>
      </c>
    </row>
    <row r="2548">
      <c r="A2548" s="44">
        <v>2547.0</v>
      </c>
      <c r="B2548" s="44" t="str">
        <f>IFERROR(__xludf.DUMMYFUNCTION("""COMPUTED_VALUE"""),"Hospital Pérez Carreño")</f>
        <v>Hospital Pérez Carreño</v>
      </c>
      <c r="C2548" s="45" t="str">
        <f>IFERROR(__xludf.DUMMYFUNCTION("""COMPUTED_VALUE"""),"MALAVE ALANI")</f>
        <v>MALAVE ALANI</v>
      </c>
      <c r="D2548" s="44">
        <f>IFERROR(__xludf.DUMMYFUNCTION("""COMPUTED_VALUE"""),4.0)</f>
        <v>4</v>
      </c>
      <c r="E2548" s="44" t="str">
        <f>IFERROR(__xludf.DUMMYFUNCTION("""COMPUTED_VALUE"""),"")</f>
        <v/>
      </c>
      <c r="F2548" s="44" t="str">
        <f>IFERROR(__xludf.DUMMYFUNCTION("""COMPUTED_VALUE"""),"")</f>
        <v/>
      </c>
      <c r="G2548" s="44" t="str">
        <f>IFERROR(__xludf.DUMMYFUNCTION("""COMPUTED_VALUE""")," ")</f>
        <v> </v>
      </c>
      <c r="H2548" s="44" t="str">
        <f>IFERROR(__xludf.DUMMYFUNCTION("""COMPUTED_VALUE""")," ")</f>
        <v> </v>
      </c>
      <c r="I2548" s="44" t="str">
        <f>IFERROR(__xludf.DUMMYFUNCTION("""COMPUTED_VALUE"""),"Emerg. Pediátrica – La Guaira | Pediatría – Lista alta; Prima Daniela Villareal / Valery Cordero")</f>
        <v>Emerg. Pediátrica – La Guaira | Pediatría – Lista alta; Prima Daniela Villareal / Valery Cordero</v>
      </c>
      <c r="J2548" s="44" t="str">
        <f>IFERROR(__xludf.DUMMYFUNCTION("""COMPUTED_VALUE"""),"25/06/2026")</f>
        <v>25/06/2026</v>
      </c>
      <c r="K2548" s="42" t="str">
        <f>IFERROR(__xludf.DUMMYFUNCTION("""COMPUTED_VALUE"""),"Hospital Pérez Carreño")</f>
        <v>Hospital Pérez Carreño</v>
      </c>
    </row>
    <row r="2549">
      <c r="A2549" s="44">
        <v>2548.0</v>
      </c>
      <c r="B2549" s="44" t="str">
        <f>IFERROR(__xludf.DUMMYFUNCTION("""COMPUTED_VALUE"""),"Hospital Pérez Carreño")</f>
        <v>Hospital Pérez Carreño</v>
      </c>
      <c r="C2549" s="45" t="str">
        <f>IFERROR(__xludf.DUMMYFUNCTION("""COMPUTED_VALUE"""),"MALAVE ALFONSO SAMARA VALENTINA")</f>
        <v>MALAVE ALFONSO SAMARA VALENTINA</v>
      </c>
      <c r="D2549" s="44" t="str">
        <f>IFERROR(__xludf.DUMMYFUNCTION("""COMPUTED_VALUE""")," ")</f>
        <v> </v>
      </c>
      <c r="E2549" s="44" t="str">
        <f>IFERROR(__xludf.DUMMYFUNCTION("""COMPUTED_VALUE"""),"")</f>
        <v/>
      </c>
      <c r="F2549" s="44" t="str">
        <f>IFERROR(__xludf.DUMMYFUNCTION("""COMPUTED_VALUE"""),"")</f>
        <v/>
      </c>
      <c r="G2549" s="44" t="str">
        <f>IFERROR(__xludf.DUMMYFUNCTION("""COMPUTED_VALUE""")," ")</f>
        <v> </v>
      </c>
      <c r="H2549" s="44" t="str">
        <f>IFERROR(__xludf.DUMMYFUNCTION("""COMPUTED_VALUE""")," ")</f>
        <v> </v>
      </c>
      <c r="I2549" s="44" t="str">
        <f>IFERROR(__xludf.DUMMYFUNCTION("""COMPUTED_VALUE"""),"Internado")</f>
        <v>Internado</v>
      </c>
      <c r="J2549" s="44" t="str">
        <f>IFERROR(__xludf.DUMMYFUNCTION("""COMPUTED_VALUE"""),"25/06/2026")</f>
        <v>25/06/2026</v>
      </c>
      <c r="K2549" s="42" t="str">
        <f>IFERROR(__xludf.DUMMYFUNCTION("""COMPUTED_VALUE"""),"Hospital Pérez Carreño")</f>
        <v>Hospital Pérez Carreño</v>
      </c>
    </row>
    <row r="2550">
      <c r="A2550" s="44">
        <v>2549.0</v>
      </c>
      <c r="B2550" s="44" t="str">
        <f>IFERROR(__xludf.DUMMYFUNCTION("""COMPUTED_VALUE"""),"Hospital Pérez Carreño")</f>
        <v>Hospital Pérez Carreño</v>
      </c>
      <c r="C2550" s="45" t="str">
        <f>IFERROR(__xludf.DUMMYFUNCTION("""COMPUTED_VALUE"""),"Malave Cordero Alani Isabela")</f>
        <v>Malave Cordero Alani Isabela</v>
      </c>
      <c r="D2550" s="44"/>
      <c r="E2550" s="44" t="str">
        <f>IFERROR(__xludf.DUMMYFUNCTION("""COMPUTED_VALUE"""),"")</f>
        <v/>
      </c>
      <c r="F2550" s="44" t="str">
        <f>IFERROR(__xludf.DUMMYFUNCTION("""COMPUTED_VALUE"""),"")</f>
        <v/>
      </c>
      <c r="G2550" s="44" t="str">
        <f>IFERROR(__xludf.DUMMYFUNCTION("""COMPUTED_VALUE"""),"Traslados con destino asignado")</f>
        <v>Traslados con destino asignado</v>
      </c>
      <c r="H2550" s="44" t="str">
        <f>IFERROR(__xludf.DUMMYFUNCTION("""COMPUTED_VALUE"""),"Hospital Miguel Perez Carreño")</f>
        <v>Hospital Miguel Perez Carreño</v>
      </c>
      <c r="I2550" s="44"/>
      <c r="J2550" s="44" t="str">
        <f>IFERROR(__xludf.DUMMYFUNCTION("""COMPUTED_VALUE"""),"26/6/26")</f>
        <v>26/6/26</v>
      </c>
      <c r="K2550" s="42" t="str">
        <f>IFERROR(__xludf.DUMMYFUNCTION("""COMPUTED_VALUE"""),"Hospital Pérez Carreño")</f>
        <v>Hospital Pérez Carreño</v>
      </c>
    </row>
    <row r="2551">
      <c r="A2551" s="44">
        <v>2550.0</v>
      </c>
      <c r="B2551" s="44" t="str">
        <f>IFERROR(__xludf.DUMMYFUNCTION("""COMPUTED_VALUE"""),"Hospital Pérez Carreño")</f>
        <v>Hospital Pérez Carreño</v>
      </c>
      <c r="C2551" s="45" t="str">
        <f>IFERROR(__xludf.DUMMYFUNCTION("""COMPUTED_VALUE"""),"MALAVE SAMA")</f>
        <v>MALAVE SAMA</v>
      </c>
      <c r="D2551" s="44">
        <f>IFERROR(__xludf.DUMMYFUNCTION("""COMPUTED_VALUE"""),10.0)</f>
        <v>10</v>
      </c>
      <c r="E2551" s="44" t="str">
        <f>IFERROR(__xludf.DUMMYFUNCTION("""COMPUTED_VALUE"""),"")</f>
        <v/>
      </c>
      <c r="F2551" s="44" t="str">
        <f>IFERROR(__xludf.DUMMYFUNCTION("""COMPUTED_VALUE"""),"")</f>
        <v/>
      </c>
      <c r="G2551" s="44" t="str">
        <f>IFERROR(__xludf.DUMMYFUNCTION("""COMPUTED_VALUE""")," ")</f>
        <v> </v>
      </c>
      <c r="H2551" s="44" t="str">
        <f>IFERROR(__xludf.DUMMYFUNCTION("""COMPUTED_VALUE""")," ")</f>
        <v> </v>
      </c>
      <c r="I2551" s="44" t="str">
        <f>IFERROR(__xludf.DUMMYFUNCTION("""COMPUTED_VALUE"""),"SIN FAMILIAR – Pediátrico")</f>
        <v>SIN FAMILIAR – Pediátrico</v>
      </c>
      <c r="J2551" s="44" t="str">
        <f>IFERROR(__xludf.DUMMYFUNCTION("""COMPUTED_VALUE"""),"25/06/2026")</f>
        <v>25/06/2026</v>
      </c>
      <c r="K2551" s="42" t="str">
        <f>IFERROR(__xludf.DUMMYFUNCTION("""COMPUTED_VALUE"""),"Hospital Pérez Carreño")</f>
        <v>Hospital Pérez Carreño</v>
      </c>
    </row>
    <row r="2552">
      <c r="A2552" s="44">
        <v>2551.0</v>
      </c>
      <c r="B2552" s="44" t="str">
        <f>IFERROR(__xludf.DUMMYFUNCTION("""COMPUTED_VALUE"""),"Hospital Pérez Carreño")</f>
        <v>Hospital Pérez Carreño</v>
      </c>
      <c r="C2552" s="45" t="str">
        <f>IFERROR(__xludf.DUMMYFUNCTION("""COMPUTED_VALUE"""),"MALAVE TAMARA")</f>
        <v>MALAVE TAMARA</v>
      </c>
      <c r="D2552" s="44" t="str">
        <f>IFERROR(__xludf.DUMMYFUNCTION("""COMPUTED_VALUE""")," ")</f>
        <v> </v>
      </c>
      <c r="E2552" s="44" t="str">
        <f>IFERROR(__xludf.DUMMYFUNCTION("""COMPUTED_VALUE"""),"")</f>
        <v/>
      </c>
      <c r="F2552" s="44" t="str">
        <f>IFERROR(__xludf.DUMMYFUNCTION("""COMPUTED_VALUE"""),"")</f>
        <v/>
      </c>
      <c r="G2552" s="44" t="str">
        <f>IFERROR(__xludf.DUMMYFUNCTION("""COMPUTED_VALUE""")," ")</f>
        <v> </v>
      </c>
      <c r="H2552" s="44" t="str">
        <f>IFERROR(__xludf.DUMMYFUNCTION("""COMPUTED_VALUE""")," ")</f>
        <v> </v>
      </c>
      <c r="I2552" s="44" t="str">
        <f>IFERROR(__xludf.DUMMYFUNCTION("""COMPUTED_VALUE"""),"Internado")</f>
        <v>Internado</v>
      </c>
      <c r="J2552" s="44" t="str">
        <f>IFERROR(__xludf.DUMMYFUNCTION("""COMPUTED_VALUE"""),"25/06/2026")</f>
        <v>25/06/2026</v>
      </c>
      <c r="K2552" s="42" t="str">
        <f>IFERROR(__xludf.DUMMYFUNCTION("""COMPUTED_VALUE"""),"Hospital Pérez Carreño")</f>
        <v>Hospital Pérez Carreño</v>
      </c>
    </row>
    <row r="2553">
      <c r="A2553" s="44">
        <v>2552.0</v>
      </c>
      <c r="B2553" s="44" t="str">
        <f>IFERROR(__xludf.DUMMYFUNCTION("""COMPUTED_VALUE"""),"H. Jose Maria Vargas LG")</f>
        <v>H. Jose Maria Vargas LG</v>
      </c>
      <c r="C2553" s="45" t="str">
        <f>IFERROR(__xludf.DUMMYFUNCTION("""COMPUTED_VALUE"""),"MALAVE XIOMARA")</f>
        <v>MALAVE XIOMARA</v>
      </c>
      <c r="D2553" s="44" t="str">
        <f>IFERROR(__xludf.DUMMYFUNCTION("""COMPUTED_VALUE""")," ")</f>
        <v> </v>
      </c>
      <c r="E2553" s="44" t="str">
        <f>IFERROR(__xludf.DUMMYFUNCTION("""COMPUTED_VALUE"""),"")</f>
        <v/>
      </c>
      <c r="F2553" s="44" t="str">
        <f>IFERROR(__xludf.DUMMYFUNCTION("""COMPUTED_VALUE"""),"")</f>
        <v/>
      </c>
      <c r="G2553" s="44" t="str">
        <f>IFERROR(__xludf.DUMMYFUNCTION("""COMPUTED_VALUE""")," ")</f>
        <v> </v>
      </c>
      <c r="H2553" s="44" t="str">
        <f>IFERROR(__xludf.DUMMYFUNCTION("""COMPUTED_VALUE""")," ")</f>
        <v> </v>
      </c>
      <c r="I2553" s="44" t="str">
        <f>IFERROR(__xludf.DUMMYFUNCTION("""COMPUTED_VALUE"""),"Internado")</f>
        <v>Internado</v>
      </c>
      <c r="J2553" s="44" t="str">
        <f>IFERROR(__xludf.DUMMYFUNCTION("""COMPUTED_VALUE"""),"")</f>
        <v/>
      </c>
      <c r="K2553" s="42" t="str">
        <f>IFERROR(__xludf.DUMMYFUNCTION("""COMPUTED_VALUE"""),"H. Jose Maria Vargas LG")</f>
        <v>H. Jose Maria Vargas LG</v>
      </c>
    </row>
    <row r="2554">
      <c r="A2554" s="44">
        <v>2553.0</v>
      </c>
      <c r="B2554" s="44" t="str">
        <f>IFERROR(__xludf.DUMMYFUNCTION("""COMPUTED_VALUE"""),"Hospital Domingo Luciani")</f>
        <v>Hospital Domingo Luciani</v>
      </c>
      <c r="C2554" s="45" t="str">
        <f>IFERROR(__xludf.DUMMYFUNCTION("""COMPUTED_VALUE"""),"MAMUD HALABI")</f>
        <v>MAMUD HALABI</v>
      </c>
      <c r="D2554" s="44">
        <f>IFERROR(__xludf.DUMMYFUNCTION("""COMPUTED_VALUE"""),56.0)</f>
        <v>56</v>
      </c>
      <c r="E2554" s="44" t="str">
        <f>IFERROR(__xludf.DUMMYFUNCTION("""COMPUTED_VALUE"""),"")</f>
        <v/>
      </c>
      <c r="F2554" s="44" t="str">
        <f>IFERROR(__xludf.DUMMYFUNCTION("""COMPUTED_VALUE"""),"")</f>
        <v/>
      </c>
      <c r="G2554" s="44" t="str">
        <f>IFERROR(__xludf.DUMMYFUNCTION("""COMPUTED_VALUE""")," ")</f>
        <v> </v>
      </c>
      <c r="H2554" s="44" t="str">
        <f>IFERROR(__xludf.DUMMYFUNCTION("""COMPUTED_VALUE""")," ")</f>
        <v> </v>
      </c>
      <c r="I2554" s="44" t="str">
        <f>IFERROR(__xludf.DUMMYFUNCTION("""COMPUTED_VALUE"""),"Trauma")</f>
        <v>Trauma</v>
      </c>
      <c r="J2554" s="44" t="str">
        <f>IFERROR(__xludf.DUMMYFUNCTION("""COMPUTED_VALUE"""),"")</f>
        <v/>
      </c>
      <c r="K2554" s="42" t="str">
        <f>IFERROR(__xludf.DUMMYFUNCTION("""COMPUTED_VALUE"""),"🔍 BUSCAR PACIENTES")</f>
        <v>🔍 BUSCAR PACIENTES</v>
      </c>
    </row>
    <row r="2555">
      <c r="A2555" s="44">
        <v>2554.0</v>
      </c>
      <c r="B2555" s="44" t="str">
        <f>IFERROR(__xludf.DUMMYFUNCTION("""COMPUTED_VALUE"""),"Hospital Pérez Carreño")</f>
        <v>Hospital Pérez Carreño</v>
      </c>
      <c r="C2555" s="45" t="str">
        <f>IFERROR(__xludf.DUMMYFUNCTION("""COMPUTED_VALUE"""),"Mandy Yusleidy")</f>
        <v>Mandy Yusleidy</v>
      </c>
      <c r="D2555" s="44" t="str">
        <f>IFERROR(__xludf.DUMMYFUNCTION("""COMPUTED_VALUE"""),"8 años")</f>
        <v>8 años</v>
      </c>
      <c r="E2555" s="44" t="str">
        <f>IFERROR(__xludf.DUMMYFUNCTION("""COMPUTED_VALUE"""),"")</f>
        <v/>
      </c>
      <c r="F2555" s="44" t="str">
        <f>IFERROR(__xludf.DUMMYFUNCTION("""COMPUTED_VALUE"""),"")</f>
        <v/>
      </c>
      <c r="G2555" s="44" t="str">
        <f>IFERROR(__xludf.DUMMYFUNCTION("""COMPUTED_VALUE"""),"Pediatria")</f>
        <v>Pediatria</v>
      </c>
      <c r="H2555" s="44" t="str">
        <f>IFERROR(__xludf.DUMMYFUNCTION("""COMPUTED_VALUE"""),"Hospital Miguel Perez Carreño")</f>
        <v>Hospital Miguel Perez Carreño</v>
      </c>
      <c r="I2555" s="44"/>
      <c r="J2555" s="44" t="str">
        <f>IFERROR(__xludf.DUMMYFUNCTION("""COMPUTED_VALUE"""),"26/6/26")</f>
        <v>26/6/26</v>
      </c>
      <c r="K2555" s="42" t="str">
        <f>IFERROR(__xludf.DUMMYFUNCTION("""COMPUTED_VALUE"""),"Hospital Pérez Carreño")</f>
        <v>Hospital Pérez Carreño</v>
      </c>
    </row>
    <row r="2556">
      <c r="A2556" s="44">
        <v>2555.0</v>
      </c>
      <c r="B2556" s="44" t="str">
        <f>IFERROR(__xludf.DUMMYFUNCTION("""COMPUTED_VALUE"""),"Campo de Golf Playa los Cocos")</f>
        <v>Campo de Golf Playa los Cocos</v>
      </c>
      <c r="C2556" s="45" t="str">
        <f>IFERROR(__xludf.DUMMYFUNCTION("""COMPUTED_VALUE"""),"Manuel Castillo")</f>
        <v>Manuel Castillo</v>
      </c>
      <c r="D2556" s="44" t="str">
        <f>IFERROR(__xludf.DUMMYFUNCTION("""COMPUTED_VALUE"""),"")</f>
        <v/>
      </c>
      <c r="E2556" s="44" t="str">
        <f>IFERROR(__xludf.DUMMYFUNCTION("""COMPUTED_VALUE"""),"")</f>
        <v/>
      </c>
      <c r="F2556" s="44" t="str">
        <f>IFERROR(__xludf.DUMMYFUNCTION("""COMPUTED_VALUE"""),"")</f>
        <v/>
      </c>
      <c r="G2556" s="44" t="str">
        <f>IFERROR(__xludf.DUMMYFUNCTION("""COMPUTED_VALUE"""),"")</f>
        <v/>
      </c>
      <c r="H2556" s="44" t="str">
        <f>IFERROR(__xludf.DUMMYFUNCTION("""COMPUTED_VALUE"""),"")</f>
        <v/>
      </c>
      <c r="I2556" s="44"/>
      <c r="J2556" s="44" t="str">
        <f>IFERROR(__xludf.DUMMYFUNCTION("""COMPUTED_VALUE"""),"")</f>
        <v/>
      </c>
      <c r="K2556" s="42" t="str">
        <f>IFERROR(__xludf.DUMMYFUNCTION("""COMPUTED_VALUE"""),"Campo de Golf Playa los Cocos")</f>
        <v>Campo de Golf Playa los Cocos</v>
      </c>
    </row>
    <row r="2557">
      <c r="A2557" s="44">
        <v>2556.0</v>
      </c>
      <c r="B2557" s="44" t="str">
        <f>IFERROR(__xludf.DUMMYFUNCTION("""COMPUTED_VALUE"""),"Hospital Domingo Luciani")</f>
        <v>Hospital Domingo Luciani</v>
      </c>
      <c r="C2557" s="45" t="str">
        <f>IFERROR(__xludf.DUMMYFUNCTION("""COMPUTED_VALUE"""),"Manuel Oduber")</f>
        <v>Manuel Oduber</v>
      </c>
      <c r="D2557" s="44">
        <f>IFERROR(__xludf.DUMMYFUNCTION("""COMPUTED_VALUE"""),38.0)</f>
        <v>38</v>
      </c>
      <c r="E2557" s="44" t="str">
        <f>IFERROR(__xludf.DUMMYFUNCTION("""COMPUTED_VALUE"""),"")</f>
        <v/>
      </c>
      <c r="F2557" s="44" t="str">
        <f>IFERROR(__xludf.DUMMYFUNCTION("""COMPUTED_VALUE"""),"")</f>
        <v/>
      </c>
      <c r="G2557" s="44"/>
      <c r="H2557" s="44"/>
      <c r="I2557" s="44"/>
      <c r="J2557" s="44" t="str">
        <f>IFERROR(__xludf.DUMMYFUNCTION("""COMPUTED_VALUE"""),"")</f>
        <v/>
      </c>
      <c r="K2557" s="42" t="str">
        <f>IFERROR(__xludf.DUMMYFUNCTION("""COMPUTED_VALUE"""),"Hospital Domingo Luciani")</f>
        <v>Hospital Domingo Luciani</v>
      </c>
    </row>
    <row r="2558">
      <c r="A2558" s="44">
        <v>2557.0</v>
      </c>
      <c r="B2558" s="44" t="str">
        <f>IFERROR(__xludf.DUMMYFUNCTION("""COMPUTED_VALUE"""),"H. Jose Maria Vargas LG")</f>
        <v>H. Jose Maria Vargas LG</v>
      </c>
      <c r="C2558" s="45" t="str">
        <f>IFERROR(__xludf.DUMMYFUNCTION("""COMPUTED_VALUE"""),"MANUELIS")</f>
        <v>MANUELIS</v>
      </c>
      <c r="D2558" s="44" t="str">
        <f>IFERROR(__xludf.DUMMYFUNCTION("""COMPUTED_VALUE""")," ")</f>
        <v> </v>
      </c>
      <c r="E2558" s="44" t="str">
        <f>IFERROR(__xludf.DUMMYFUNCTION("""COMPUTED_VALUE"""),"")</f>
        <v/>
      </c>
      <c r="F2558" s="44" t="str">
        <f>IFERROR(__xludf.DUMMYFUNCTION("""COMPUTED_VALUE"""),"")</f>
        <v/>
      </c>
      <c r="G2558" s="44" t="str">
        <f>IFERROR(__xludf.DUMMYFUNCTION("""COMPUTED_VALUE""")," ")</f>
        <v> </v>
      </c>
      <c r="H2558" s="44" t="str">
        <f>IFERROR(__xludf.DUMMYFUNCTION("""COMPUTED_VALUE""")," ")</f>
        <v> </v>
      </c>
      <c r="I2558" s="44" t="str">
        <f>IFERROR(__xludf.DUMMYFUNCTION("""COMPUTED_VALUE""")," ")</f>
        <v> </v>
      </c>
      <c r="J2558" s="44" t="str">
        <f>IFERROR(__xludf.DUMMYFUNCTION("""COMPUTED_VALUE"""),"")</f>
        <v/>
      </c>
      <c r="K2558" s="42" t="str">
        <f>IFERROR(__xludf.DUMMYFUNCTION("""COMPUTED_VALUE"""),"H. Jose Maria Vargas LG")</f>
        <v>H. Jose Maria Vargas LG</v>
      </c>
    </row>
    <row r="2559">
      <c r="A2559" s="44">
        <v>2558.0</v>
      </c>
      <c r="B2559" s="44" t="str">
        <f>IFERROR(__xludf.DUMMYFUNCTION("""COMPUTED_VALUE"""),"Hospital Pérez Carreño")</f>
        <v>Hospital Pérez Carreño</v>
      </c>
      <c r="C2559" s="45" t="str">
        <f>IFERROR(__xludf.DUMMYFUNCTION("""COMPUTED_VALUE"""),"Maoly Delgado")</f>
        <v>Maoly Delgado</v>
      </c>
      <c r="D2559" s="44"/>
      <c r="E2559" s="44" t="str">
        <f>IFERROR(__xludf.DUMMYFUNCTION("""COMPUTED_VALUE"""),"")</f>
        <v/>
      </c>
      <c r="F2559" s="44" t="str">
        <f>IFERROR(__xludf.DUMMYFUNCTION("""COMPUTED_VALUE"""),"")</f>
        <v/>
      </c>
      <c r="G2559" s="44" t="str">
        <f>IFERROR(__xludf.DUMMYFUNCTION("""COMPUTED_VALUE"""),"Traumashock ")</f>
        <v>Traumashock </v>
      </c>
      <c r="H2559" s="44" t="str">
        <f>IFERROR(__xludf.DUMMYFUNCTION("""COMPUTED_VALUE"""),"Hospital Miguel Perez Carreño")</f>
        <v>Hospital Miguel Perez Carreño</v>
      </c>
      <c r="I2559" s="44"/>
      <c r="J2559" s="44" t="str">
        <f>IFERROR(__xludf.DUMMYFUNCTION("""COMPUTED_VALUE"""),"26/6/26")</f>
        <v>26/6/26</v>
      </c>
      <c r="K2559" s="42" t="str">
        <f>IFERROR(__xludf.DUMMYFUNCTION("""COMPUTED_VALUE"""),"Hospital Pérez Carreño")</f>
        <v>Hospital Pérez Carreño</v>
      </c>
    </row>
    <row r="2560">
      <c r="A2560" s="44">
        <v>2559.0</v>
      </c>
      <c r="B2560" s="44" t="str">
        <f>IFERROR(__xludf.DUMMYFUNCTION("""COMPUTED_VALUE"""),"Hospital Domingo Luciani")</f>
        <v>Hospital Domingo Luciani</v>
      </c>
      <c r="C2560" s="45" t="str">
        <f>IFERROR(__xludf.DUMMYFUNCTION("""COMPUTED_VALUE"""),"MARABITO JOSEANI")</f>
        <v>MARABITO JOSEANI</v>
      </c>
      <c r="D2560" s="44">
        <f>IFERROR(__xludf.DUMMYFUNCTION("""COMPUTED_VALUE"""),32.0)</f>
        <v>32</v>
      </c>
      <c r="E2560" s="44" t="str">
        <f>IFERROR(__xludf.DUMMYFUNCTION("""COMPUTED_VALUE"""),"")</f>
        <v/>
      </c>
      <c r="F2560" s="44" t="str">
        <f>IFERROR(__xludf.DUMMYFUNCTION("""COMPUTED_VALUE"""),"")</f>
        <v/>
      </c>
      <c r="G2560" s="44" t="str">
        <f>IFERROR(__xludf.DUMMYFUNCTION("""COMPUTED_VALUE""")," ")</f>
        <v> </v>
      </c>
      <c r="H2560" s="44" t="str">
        <f>IFERROR(__xludf.DUMMYFUNCTION("""COMPUTED_VALUE""")," ")</f>
        <v> </v>
      </c>
      <c r="I2560" s="44" t="str">
        <f>IFERROR(__xludf.DUMMYFUNCTION("""COMPUTED_VALUE""")," ")</f>
        <v> </v>
      </c>
      <c r="J2560" s="44" t="str">
        <f>IFERROR(__xludf.DUMMYFUNCTION("""COMPUTED_VALUE"""),"")</f>
        <v/>
      </c>
      <c r="K2560" s="42" t="str">
        <f>IFERROR(__xludf.DUMMYFUNCTION("""COMPUTED_VALUE"""),"🔍 BUSCAR PACIENTES")</f>
        <v>🔍 BUSCAR PACIENTES</v>
      </c>
    </row>
    <row r="2561">
      <c r="A2561" s="44">
        <v>2560.0</v>
      </c>
      <c r="B2561" s="44" t="str">
        <f>IFERROR(__xludf.DUMMYFUNCTION("""COMPUTED_VALUE"""),"Hospital Domingo Luciani")</f>
        <v>Hospital Domingo Luciani</v>
      </c>
      <c r="C2561" s="45" t="str">
        <f>IFERROR(__xludf.DUMMYFUNCTION("""COMPUTED_VALUE"""),"MARABITO JOSEANI / MARABITO JOSCANI")</f>
        <v>MARABITO JOSEANI / MARABITO JOSCANI</v>
      </c>
      <c r="D2561" s="44">
        <f>IFERROR(__xludf.DUMMYFUNCTION("""COMPUTED_VALUE"""),32.0)</f>
        <v>32</v>
      </c>
      <c r="E2561" s="44" t="str">
        <f>IFERROR(__xludf.DUMMYFUNCTION("""COMPUTED_VALUE"""),"")</f>
        <v/>
      </c>
      <c r="F2561" s="44" t="str">
        <f>IFERROR(__xludf.DUMMYFUNCTION("""COMPUTED_VALUE"""),"")</f>
        <v/>
      </c>
      <c r="G2561" s="44" t="str">
        <f>IFERROR(__xludf.DUMMYFUNCTION("""COMPUTED_VALUE""")," ")</f>
        <v> </v>
      </c>
      <c r="H2561" s="44" t="str">
        <f>IFERROR(__xludf.DUMMYFUNCTION("""COMPUTED_VALUE""")," ")</f>
        <v> </v>
      </c>
      <c r="I2561" s="44" t="str">
        <f>IFERROR(__xludf.DUMMYFUNCTION("""COMPUTED_VALUE""")," ")</f>
        <v> </v>
      </c>
      <c r="J2561" s="44" t="str">
        <f>IFERROR(__xludf.DUMMYFUNCTION("""COMPUTED_VALUE"""),"")</f>
        <v/>
      </c>
      <c r="K2561" s="42" t="str">
        <f>IFERROR(__xludf.DUMMYFUNCTION("""COMPUTED_VALUE"""),"🔍 BUSCAR PACIENTES")</f>
        <v>🔍 BUSCAR PACIENTES</v>
      </c>
    </row>
    <row r="2562">
      <c r="A2562" s="44">
        <v>2561.0</v>
      </c>
      <c r="B2562" s="44" t="str">
        <f>IFERROR(__xludf.DUMMYFUNCTION("""COMPUTED_VALUE"""),"Campo de Golf Playa los Cocos")</f>
        <v>Campo de Golf Playa los Cocos</v>
      </c>
      <c r="C2562" s="45" t="str">
        <f>IFERROR(__xludf.DUMMYFUNCTION("""COMPUTED_VALUE"""),"Marbelys Iriarte")</f>
        <v>Marbelys Iriarte</v>
      </c>
      <c r="D2562" s="44" t="str">
        <f>IFERROR(__xludf.DUMMYFUNCTION("""COMPUTED_VALUE"""),"")</f>
        <v/>
      </c>
      <c r="E2562" s="44" t="str">
        <f>IFERROR(__xludf.DUMMYFUNCTION("""COMPUTED_VALUE"""),"")</f>
        <v/>
      </c>
      <c r="F2562" s="44" t="str">
        <f>IFERROR(__xludf.DUMMYFUNCTION("""COMPUTED_VALUE"""),"")</f>
        <v/>
      </c>
      <c r="G2562" s="44" t="str">
        <f>IFERROR(__xludf.DUMMYFUNCTION("""COMPUTED_VALUE"""),"")</f>
        <v/>
      </c>
      <c r="H2562" s="44" t="str">
        <f>IFERROR(__xludf.DUMMYFUNCTION("""COMPUTED_VALUE"""),"")</f>
        <v/>
      </c>
      <c r="I2562" s="44"/>
      <c r="J2562" s="44" t="str">
        <f>IFERROR(__xludf.DUMMYFUNCTION("""COMPUTED_VALUE"""),"")</f>
        <v/>
      </c>
      <c r="K2562" s="42" t="str">
        <f>IFERROR(__xludf.DUMMYFUNCTION("""COMPUTED_VALUE"""),"Campo de Golf Playa los Cocos")</f>
        <v>Campo de Golf Playa los Cocos</v>
      </c>
    </row>
    <row r="2563">
      <c r="A2563" s="44">
        <v>2562.0</v>
      </c>
      <c r="B2563" s="44" t="str">
        <f>IFERROR(__xludf.DUMMYFUNCTION("""COMPUTED_VALUE"""),"Hospital Domingo Luciani")</f>
        <v>Hospital Domingo Luciani</v>
      </c>
      <c r="C2563" s="45" t="str">
        <f>IFERROR(__xludf.DUMMYFUNCTION("""COMPUTED_VALUE"""),"MARCANO KATIUSKA")</f>
        <v>MARCANO KATIUSKA</v>
      </c>
      <c r="D2563" s="44">
        <f>IFERROR(__xludf.DUMMYFUNCTION("""COMPUTED_VALUE"""),56.0)</f>
        <v>56</v>
      </c>
      <c r="E2563" s="44" t="str">
        <f>IFERROR(__xludf.DUMMYFUNCTION("""COMPUTED_VALUE"""),"")</f>
        <v/>
      </c>
      <c r="F2563" s="44" t="str">
        <f>IFERROR(__xludf.DUMMYFUNCTION("""COMPUTED_VALUE"""),"")</f>
        <v/>
      </c>
      <c r="G2563" s="44" t="str">
        <f>IFERROR(__xludf.DUMMYFUNCTION("""COMPUTED_VALUE""")," ")</f>
        <v> </v>
      </c>
      <c r="H2563" s="44" t="str">
        <f>IFERROR(__xludf.DUMMYFUNCTION("""COMPUTED_VALUE""")," ")</f>
        <v> </v>
      </c>
      <c r="I2563" s="44" t="str">
        <f>IFERROR(__xludf.DUMMYFUNCTION("""COMPUTED_VALUE""")," ")</f>
        <v> </v>
      </c>
      <c r="J2563" s="44" t="str">
        <f>IFERROR(__xludf.DUMMYFUNCTION("""COMPUTED_VALUE"""),"")</f>
        <v/>
      </c>
      <c r="K2563" s="42" t="str">
        <f>IFERROR(__xludf.DUMMYFUNCTION("""COMPUTED_VALUE"""),"🔍 BUSCAR PACIENTES")</f>
        <v>🔍 BUSCAR PACIENTES</v>
      </c>
    </row>
    <row r="2564">
      <c r="A2564" s="44">
        <v>2563.0</v>
      </c>
      <c r="B2564" s="44" t="str">
        <f>IFERROR(__xludf.DUMMYFUNCTION("""COMPUTED_VALUE"""),"Hospital Domingo Luciani")</f>
        <v>Hospital Domingo Luciani</v>
      </c>
      <c r="C2564" s="45" t="str">
        <f>IFERROR(__xludf.DUMMYFUNCTION("""COMPUTED_VALUE"""),"MARCANO ROSA")</f>
        <v>MARCANO ROSA</v>
      </c>
      <c r="D2564" s="44" t="str">
        <f>IFERROR(__xludf.DUMMYFUNCTION("""COMPUTED_VALUE""")," ")</f>
        <v> </v>
      </c>
      <c r="E2564" s="44" t="str">
        <f>IFERROR(__xludf.DUMMYFUNCTION("""COMPUTED_VALUE"""),"")</f>
        <v/>
      </c>
      <c r="F2564" s="44" t="str">
        <f>IFERROR(__xludf.DUMMYFUNCTION("""COMPUTED_VALUE"""),"")</f>
        <v/>
      </c>
      <c r="G2564" s="44" t="str">
        <f>IFERROR(__xludf.DUMMYFUNCTION("""COMPUTED_VALUE""")," ")</f>
        <v> </v>
      </c>
      <c r="H2564" s="44" t="str">
        <f>IFERROR(__xludf.DUMMYFUNCTION("""COMPUTED_VALUE""")," ")</f>
        <v> </v>
      </c>
      <c r="I2564" s="44" t="str">
        <f>IFERROR(__xludf.DUMMYFUNCTION("""COMPUTED_VALUE"""),"Internado")</f>
        <v>Internado</v>
      </c>
      <c r="J2564" s="44" t="str">
        <f>IFERROR(__xludf.DUMMYFUNCTION("""COMPUTED_VALUE"""),"")</f>
        <v/>
      </c>
      <c r="K2564" s="42" t="str">
        <f>IFERROR(__xludf.DUMMYFUNCTION("""COMPUTED_VALUE"""),"🔍 BUSCAR PACIENTES")</f>
        <v>🔍 BUSCAR PACIENTES</v>
      </c>
    </row>
    <row r="2565">
      <c r="A2565" s="44">
        <v>2564.0</v>
      </c>
      <c r="B2565" s="44" t="str">
        <f>IFERROR(__xludf.DUMMYFUNCTION("""COMPUTED_VALUE"""),"H. Jose Maria Vargas LG")</f>
        <v>H. Jose Maria Vargas LG</v>
      </c>
      <c r="C2565" s="45" t="str">
        <f>IFERROR(__xludf.DUMMYFUNCTION("""COMPUTED_VALUE"""),"MARCANO SORIELIS")</f>
        <v>MARCANO SORIELIS</v>
      </c>
      <c r="D2565" s="44">
        <f>IFERROR(__xludf.DUMMYFUNCTION("""COMPUTED_VALUE"""),14.0)</f>
        <v>14</v>
      </c>
      <c r="E2565" s="44" t="str">
        <f>IFERROR(__xludf.DUMMYFUNCTION("""COMPUTED_VALUE"""),"")</f>
        <v/>
      </c>
      <c r="F2565" s="44" t="str">
        <f>IFERROR(__xludf.DUMMYFUNCTION("""COMPUTED_VALUE"""),"")</f>
        <v/>
      </c>
      <c r="G2565" s="44" t="str">
        <f>IFERROR(__xludf.DUMMYFUNCTION("""COMPUTED_VALUE""")," ")</f>
        <v> </v>
      </c>
      <c r="H2565" s="44" t="str">
        <f>IFERROR(__xludf.DUMMYFUNCTION("""COMPUTED_VALUE"""),"Tanaguarena")</f>
        <v>Tanaguarena</v>
      </c>
      <c r="I2565" s="44" t="str">
        <f>IFERROR(__xludf.DUMMYFUNCTION("""COMPUTED_VALUE""")," ")</f>
        <v> </v>
      </c>
      <c r="J2565" s="44" t="str">
        <f>IFERROR(__xludf.DUMMYFUNCTION("""COMPUTED_VALUE"""),"")</f>
        <v/>
      </c>
      <c r="K2565" s="42" t="str">
        <f>IFERROR(__xludf.DUMMYFUNCTION("""COMPUTED_VALUE"""),"H. Jose Maria Vargas LG")</f>
        <v>H. Jose Maria Vargas LG</v>
      </c>
    </row>
    <row r="2566">
      <c r="A2566" s="44">
        <v>2565.0</v>
      </c>
      <c r="B2566" s="44" t="str">
        <f>IFERROR(__xludf.DUMMYFUNCTION("""COMPUTED_VALUE"""),"Centro de Acopio Caraballeda")</f>
        <v>Centro de Acopio Caraballeda</v>
      </c>
      <c r="C2566" s="45" t="str">
        <f>IFERROR(__xludf.DUMMYFUNCTION("""COMPUTED_VALUE"""),"MARCANO YELITZA")</f>
        <v>MARCANO YELITZA</v>
      </c>
      <c r="D2566" s="44" t="str">
        <f>IFERROR(__xludf.DUMMYFUNCTION("""COMPUTED_VALUE""")," ")</f>
        <v> </v>
      </c>
      <c r="E2566" s="44" t="str">
        <f>IFERROR(__xludf.DUMMYFUNCTION("""COMPUTED_VALUE"""),"")</f>
        <v/>
      </c>
      <c r="F2566" s="44" t="str">
        <f>IFERROR(__xludf.DUMMYFUNCTION("""COMPUTED_VALUE"""),"")</f>
        <v/>
      </c>
      <c r="G2566" s="44" t="str">
        <f>IFERROR(__xludf.DUMMYFUNCTION("""COMPUTED_VALUE""")," ")</f>
        <v> </v>
      </c>
      <c r="H2566" s="44" t="str">
        <f>IFERROR(__xludf.DUMMYFUNCTION("""COMPUTED_VALUE""")," ")</f>
        <v> </v>
      </c>
      <c r="I2566" s="44" t="str">
        <f>IFERROR(__xludf.DUMMYFUNCTION("""COMPUTED_VALUE"""),"Internado")</f>
        <v>Internado</v>
      </c>
      <c r="J2566" s="44" t="str">
        <f>IFERROR(__xludf.DUMMYFUNCTION("""COMPUTED_VALUE"""),"")</f>
        <v/>
      </c>
      <c r="K2566" s="42" t="str">
        <f>IFERROR(__xludf.DUMMYFUNCTION("""COMPUTED_VALUE"""),"🔍 BUSCAR PACIENTES")</f>
        <v>🔍 BUSCAR PACIENTES</v>
      </c>
    </row>
    <row r="2567">
      <c r="A2567" s="44">
        <v>2566.0</v>
      </c>
      <c r="B2567" s="44" t="str">
        <f>IFERROR(__xludf.DUMMYFUNCTION("""COMPUTED_VALUE"""),"Campo de Golf Playa los Cocos")</f>
        <v>Campo de Golf Playa los Cocos</v>
      </c>
      <c r="C2567" s="45" t="str">
        <f>IFERROR(__xludf.DUMMYFUNCTION("""COMPUTED_VALUE"""),"Marco Palao")</f>
        <v>Marco Palao</v>
      </c>
      <c r="D2567" s="44" t="str">
        <f>IFERROR(__xludf.DUMMYFUNCTION("""COMPUTED_VALUE"""),"")</f>
        <v/>
      </c>
      <c r="E2567" s="44" t="str">
        <f>IFERROR(__xludf.DUMMYFUNCTION("""COMPUTED_VALUE"""),"")</f>
        <v/>
      </c>
      <c r="F2567" s="44" t="str">
        <f>IFERROR(__xludf.DUMMYFUNCTION("""COMPUTED_VALUE"""),"")</f>
        <v/>
      </c>
      <c r="G2567" s="44" t="str">
        <f>IFERROR(__xludf.DUMMYFUNCTION("""COMPUTED_VALUE"""),"")</f>
        <v/>
      </c>
      <c r="H2567" s="44" t="str">
        <f>IFERROR(__xludf.DUMMYFUNCTION("""COMPUTED_VALUE"""),"")</f>
        <v/>
      </c>
      <c r="I2567" s="44"/>
      <c r="J2567" s="44" t="str">
        <f>IFERROR(__xludf.DUMMYFUNCTION("""COMPUTED_VALUE"""),"")</f>
        <v/>
      </c>
      <c r="K2567" s="42" t="str">
        <f>IFERROR(__xludf.DUMMYFUNCTION("""COMPUTED_VALUE"""),"Campo de Golf Playa los Cocos")</f>
        <v>Campo de Golf Playa los Cocos</v>
      </c>
    </row>
    <row r="2568">
      <c r="A2568" s="44">
        <v>2567.0</v>
      </c>
      <c r="B2568" s="44" t="str">
        <f>IFERROR(__xludf.DUMMYFUNCTION("""COMPUTED_VALUE"""),"Hospital Pérez Carreño")</f>
        <v>Hospital Pérez Carreño</v>
      </c>
      <c r="C2568" s="45" t="str">
        <f>IFERROR(__xludf.DUMMYFUNCTION("""COMPUTED_VALUE"""),"MARCO REINA")</f>
        <v>MARCO REINA</v>
      </c>
      <c r="D2568" s="44">
        <f>IFERROR(__xludf.DUMMYFUNCTION("""COMPUTED_VALUE"""),49.0)</f>
        <v>49</v>
      </c>
      <c r="E2568" s="44" t="str">
        <f>IFERROR(__xludf.DUMMYFUNCTION("""COMPUTED_VALUE"""),"")</f>
        <v/>
      </c>
      <c r="F2568" s="44" t="str">
        <f>IFERROR(__xludf.DUMMYFUNCTION("""COMPUTED_VALUE"""),"")</f>
        <v/>
      </c>
      <c r="G2568" s="44" t="str">
        <f>IFERROR(__xludf.DUMMYFUNCTION("""COMPUTED_VALUE""")," ")</f>
        <v> </v>
      </c>
      <c r="H2568" s="44" t="str">
        <f>IFERROR(__xludf.DUMMYFUNCTION("""COMPUTED_VALUE""")," ")</f>
        <v> </v>
      </c>
      <c r="I2568" s="44" t="str">
        <f>IFERROR(__xludf.DUMMYFUNCTION("""COMPUTED_VALUE"""),"Piso 3 – FALLECIDO; La Guaira")</f>
        <v>Piso 3 – FALLECIDO; La Guaira</v>
      </c>
      <c r="J2568" s="44" t="str">
        <f>IFERROR(__xludf.DUMMYFUNCTION("""COMPUTED_VALUE"""),"25/06/2026")</f>
        <v>25/06/2026</v>
      </c>
      <c r="K2568" s="42" t="str">
        <f>IFERROR(__xludf.DUMMYFUNCTION("""COMPUTED_VALUE"""),"Hospital Pérez Carreño")</f>
        <v>Hospital Pérez Carreño</v>
      </c>
    </row>
    <row r="2569">
      <c r="A2569" s="44">
        <v>2568.0</v>
      </c>
      <c r="B2569" s="44" t="str">
        <f>IFERROR(__xludf.DUMMYFUNCTION("""COMPUTED_VALUE"""),"Campo de Golf Playa los Cocos")</f>
        <v>Campo de Golf Playa los Cocos</v>
      </c>
      <c r="C2569" s="45" t="str">
        <f>IFERROR(__xludf.DUMMYFUNCTION("""COMPUTED_VALUE"""),"Marcos Planas")</f>
        <v>Marcos Planas</v>
      </c>
      <c r="D2569" s="44" t="str">
        <f>IFERROR(__xludf.DUMMYFUNCTION("""COMPUTED_VALUE"""),"")</f>
        <v/>
      </c>
      <c r="E2569" s="44" t="str">
        <f>IFERROR(__xludf.DUMMYFUNCTION("""COMPUTED_VALUE"""),"")</f>
        <v/>
      </c>
      <c r="F2569" s="44" t="str">
        <f>IFERROR(__xludf.DUMMYFUNCTION("""COMPUTED_VALUE"""),"")</f>
        <v/>
      </c>
      <c r="G2569" s="44" t="str">
        <f>IFERROR(__xludf.DUMMYFUNCTION("""COMPUTED_VALUE"""),"")</f>
        <v/>
      </c>
      <c r="H2569" s="44" t="str">
        <f>IFERROR(__xludf.DUMMYFUNCTION("""COMPUTED_VALUE"""),"")</f>
        <v/>
      </c>
      <c r="I2569" s="44"/>
      <c r="J2569" s="44" t="str">
        <f>IFERROR(__xludf.DUMMYFUNCTION("""COMPUTED_VALUE"""),"")</f>
        <v/>
      </c>
      <c r="K2569" s="42" t="str">
        <f>IFERROR(__xludf.DUMMYFUNCTION("""COMPUTED_VALUE"""),"Campo de Golf Playa los Cocos")</f>
        <v>Campo de Golf Playa los Cocos</v>
      </c>
    </row>
    <row r="2570">
      <c r="A2570" s="44">
        <v>2569.0</v>
      </c>
      <c r="B2570" s="44" t="str">
        <f>IFERROR(__xludf.DUMMYFUNCTION("""COMPUTED_VALUE"""),"Campo de Golf Playa los Cocos")</f>
        <v>Campo de Golf Playa los Cocos</v>
      </c>
      <c r="C2570" s="45" t="str">
        <f>IFERROR(__xludf.DUMMYFUNCTION("""COMPUTED_VALUE"""),"Mari Briceno")</f>
        <v>Mari Briceno</v>
      </c>
      <c r="D2570" s="44" t="str">
        <f>IFERROR(__xludf.DUMMYFUNCTION("""COMPUTED_VALUE"""),"")</f>
        <v/>
      </c>
      <c r="E2570" s="44" t="str">
        <f>IFERROR(__xludf.DUMMYFUNCTION("""COMPUTED_VALUE"""),"")</f>
        <v/>
      </c>
      <c r="F2570" s="44" t="str">
        <f>IFERROR(__xludf.DUMMYFUNCTION("""COMPUTED_VALUE"""),"")</f>
        <v/>
      </c>
      <c r="G2570" s="44" t="str">
        <f>IFERROR(__xludf.DUMMYFUNCTION("""COMPUTED_VALUE"""),"")</f>
        <v/>
      </c>
      <c r="H2570" s="44" t="str">
        <f>IFERROR(__xludf.DUMMYFUNCTION("""COMPUTED_VALUE"""),"")</f>
        <v/>
      </c>
      <c r="I2570" s="44"/>
      <c r="J2570" s="44" t="str">
        <f>IFERROR(__xludf.DUMMYFUNCTION("""COMPUTED_VALUE"""),"")</f>
        <v/>
      </c>
      <c r="K2570" s="42" t="str">
        <f>IFERROR(__xludf.DUMMYFUNCTION("""COMPUTED_VALUE"""),"Campo de Golf Playa los Cocos")</f>
        <v>Campo de Golf Playa los Cocos</v>
      </c>
    </row>
    <row r="2571">
      <c r="A2571" s="44">
        <v>2570.0</v>
      </c>
      <c r="B2571" s="44" t="str">
        <f>IFERROR(__xludf.DUMMYFUNCTION("""COMPUTED_VALUE"""),"HOSPITAL VARGAS")</f>
        <v>HOSPITAL VARGAS</v>
      </c>
      <c r="C2571" s="45" t="str">
        <f>IFERROR(__xludf.DUMMYFUNCTION("""COMPUTED_VALUE"""),"Maria A. Báez")</f>
        <v>Maria A. Báez</v>
      </c>
      <c r="D2571" s="44"/>
      <c r="E2571" s="44" t="str">
        <f>IFERROR(__xludf.DUMMYFUNCTION("""COMPUTED_VALUE"""),"")</f>
        <v/>
      </c>
      <c r="F2571" s="44" t="str">
        <f>IFERROR(__xludf.DUMMYFUNCTION("""COMPUTED_VALUE"""),"")</f>
        <v/>
      </c>
      <c r="G2571" s="44" t="str">
        <f>IFERROR(__xludf.DUMMYFUNCTION("""COMPUTED_VALUE"""),"")</f>
        <v/>
      </c>
      <c r="H2571" s="44" t="str">
        <f>IFERROR(__xludf.DUMMYFUNCTION("""COMPUTED_VALUE"""),"")</f>
        <v/>
      </c>
      <c r="I2571" s="44" t="str">
        <f>IFERROR(__xludf.DUMMYFUNCTION("""COMPUTED_VALUE"""),"Herido / atendido")</f>
        <v>Herido / atendido</v>
      </c>
      <c r="J2571" s="44" t="str">
        <f>IFERROR(__xludf.DUMMYFUNCTION("""COMPUTED_VALUE"""),"24.06.2026 ")</f>
        <v>24.06.2026 </v>
      </c>
      <c r="K2571" s="42" t="str">
        <f>IFERROR(__xludf.DUMMYFUNCTION("""COMPUTED_VALUE"""),"HOSPITAL VARGAS")</f>
        <v>HOSPITAL VARGAS</v>
      </c>
    </row>
    <row r="2572">
      <c r="A2572" s="44">
        <v>2571.0</v>
      </c>
      <c r="B2572" s="44" t="str">
        <f>IFERROR(__xludf.DUMMYFUNCTION("""COMPUTED_VALUE"""),"Hospital Pérez Carreño")</f>
        <v>Hospital Pérez Carreño</v>
      </c>
      <c r="C2572" s="45" t="str">
        <f>IFERROR(__xludf.DUMMYFUNCTION("""COMPUTED_VALUE"""),"Maria Albarran")</f>
        <v>Maria Albarran</v>
      </c>
      <c r="D2572" s="44"/>
      <c r="E2572" s="44" t="str">
        <f>IFERROR(__xludf.DUMMYFUNCTION("""COMPUTED_VALUE"""),"")</f>
        <v/>
      </c>
      <c r="F2572" s="44" t="str">
        <f>IFERROR(__xludf.DUMMYFUNCTION("""COMPUTED_VALUE"""),"")</f>
        <v/>
      </c>
      <c r="G2572" s="44" t="str">
        <f>IFERROR(__xludf.DUMMYFUNCTION("""COMPUTED_VALUE"""),"Traumashock ")</f>
        <v>Traumashock </v>
      </c>
      <c r="H2572" s="44" t="str">
        <f>IFERROR(__xludf.DUMMYFUNCTION("""COMPUTED_VALUE"""),"Hospital Miguel Perez Carreño")</f>
        <v>Hospital Miguel Perez Carreño</v>
      </c>
      <c r="I2572" s="44"/>
      <c r="J2572" s="44" t="str">
        <f>IFERROR(__xludf.DUMMYFUNCTION("""COMPUTED_VALUE"""),"26/6/26")</f>
        <v>26/6/26</v>
      </c>
      <c r="K2572" s="42" t="str">
        <f>IFERROR(__xludf.DUMMYFUNCTION("""COMPUTED_VALUE"""),"Hospital Pérez Carreño")</f>
        <v>Hospital Pérez Carreño</v>
      </c>
    </row>
    <row r="2573">
      <c r="A2573" s="44">
        <v>2572.0</v>
      </c>
      <c r="B2573" s="44" t="str">
        <f>IFERROR(__xludf.DUMMYFUNCTION("""COMPUTED_VALUE"""),"Hospital Pérez Carreño")</f>
        <v>Hospital Pérez Carreño</v>
      </c>
      <c r="C2573" s="45" t="str">
        <f>IFERROR(__xludf.DUMMYFUNCTION("""COMPUTED_VALUE"""),"Maria Andrade")</f>
        <v>Maria Andrade</v>
      </c>
      <c r="D2573" s="44" t="str">
        <f>IFERROR(__xludf.DUMMYFUNCTION("""COMPUTED_VALUE"""),"62 años")</f>
        <v>62 años</v>
      </c>
      <c r="E2573" s="44" t="str">
        <f>IFERROR(__xludf.DUMMYFUNCTION("""COMPUTED_VALUE"""),"")</f>
        <v/>
      </c>
      <c r="F2573" s="44" t="str">
        <f>IFERROR(__xludf.DUMMYFUNCTION("""COMPUTED_VALUE"""),"")</f>
        <v/>
      </c>
      <c r="G2573" s="44" t="str">
        <f>IFERROR(__xludf.DUMMYFUNCTION("""COMPUTED_VALUE"""),"Traumashock")</f>
        <v>Traumashock</v>
      </c>
      <c r="H2573" s="44" t="str">
        <f>IFERROR(__xludf.DUMMYFUNCTION("""COMPUTED_VALUE"""),"Hospital Miguel Perez Carreño")</f>
        <v>Hospital Miguel Perez Carreño</v>
      </c>
      <c r="I2573" s="44"/>
      <c r="J2573" s="44" t="str">
        <f>IFERROR(__xludf.DUMMYFUNCTION("""COMPUTED_VALUE"""),"26/6/26")</f>
        <v>26/6/26</v>
      </c>
      <c r="K2573" s="42" t="str">
        <f>IFERROR(__xludf.DUMMYFUNCTION("""COMPUTED_VALUE"""),"Hospital Pérez Carreño")</f>
        <v>Hospital Pérez Carreño</v>
      </c>
    </row>
    <row r="2574">
      <c r="A2574" s="44">
        <v>2573.0</v>
      </c>
      <c r="B2574" s="44" t="str">
        <f>IFERROR(__xludf.DUMMYFUNCTION("""COMPUTED_VALUE"""),"Hospital Pérez Carreño")</f>
        <v>Hospital Pérez Carreño</v>
      </c>
      <c r="C2574" s="45" t="str">
        <f>IFERROR(__xludf.DUMMYFUNCTION("""COMPUTED_VALUE"""),"Maria Araque")</f>
        <v>Maria Araque</v>
      </c>
      <c r="D2574" s="44"/>
      <c r="E2574" s="44" t="str">
        <f>IFERROR(__xludf.DUMMYFUNCTION("""COMPUTED_VALUE"""),"")</f>
        <v/>
      </c>
      <c r="F2574" s="44" t="str">
        <f>IFERROR(__xludf.DUMMYFUNCTION("""COMPUTED_VALUE"""),"")</f>
        <v/>
      </c>
      <c r="G2574" s="44" t="str">
        <f>IFERROR(__xludf.DUMMYFUNCTION("""COMPUTED_VALUE"""),"Traumashock ")</f>
        <v>Traumashock </v>
      </c>
      <c r="H2574" s="44" t="str">
        <f>IFERROR(__xludf.DUMMYFUNCTION("""COMPUTED_VALUE"""),"Hospital Miguel Perez Carreño")</f>
        <v>Hospital Miguel Perez Carreño</v>
      </c>
      <c r="I2574" s="44"/>
      <c r="J2574" s="44" t="str">
        <f>IFERROR(__xludf.DUMMYFUNCTION("""COMPUTED_VALUE"""),"26/6/26")</f>
        <v>26/6/26</v>
      </c>
      <c r="K2574" s="42" t="str">
        <f>IFERROR(__xludf.DUMMYFUNCTION("""COMPUTED_VALUE"""),"Hospital Pérez Carreño")</f>
        <v>Hospital Pérez Carreño</v>
      </c>
    </row>
    <row r="2575">
      <c r="A2575" s="44">
        <v>2574.0</v>
      </c>
      <c r="B2575" s="44" t="str">
        <f>IFERROR(__xludf.DUMMYFUNCTION("""COMPUTED_VALUE"""),"Periférico de Catia")</f>
        <v>Periférico de Catia</v>
      </c>
      <c r="C2575" s="45" t="str">
        <f>IFERROR(__xludf.DUMMYFUNCTION("""COMPUTED_VALUE"""),"Maria Castañeda (4)")</f>
        <v>Maria Castañeda (4)</v>
      </c>
      <c r="D2575" s="44"/>
      <c r="E2575" s="44" t="str">
        <f>IFERROR(__xludf.DUMMYFUNCTION("""COMPUTED_VALUE"""),"")</f>
        <v/>
      </c>
      <c r="F2575" s="44" t="str">
        <f>IFERROR(__xludf.DUMMYFUNCTION("""COMPUTED_VALUE"""),"")</f>
        <v/>
      </c>
      <c r="G2575" s="44"/>
      <c r="H2575" s="44"/>
      <c r="I2575" s="44" t="str">
        <f>IFERROR(__xludf.DUMMYFUNCTION("""COMPUTED_VALUE"""),"Politrauma (pizarra con anotaciones de ubicacion/estudio: Piso, Rx, Triaje, Trauma) — contacto de referencia: hermana, telefono 0212 873 3207")</f>
        <v>Politrauma (pizarra con anotaciones de ubicacion/estudio: Piso, Rx, Triaje, Trauma) — contacto de referencia: hermana, telefono 0212 873 3207</v>
      </c>
      <c r="J2575" s="44" t="str">
        <f>IFERROR(__xludf.DUMMYFUNCTION("""COMPUTED_VALUE"""),"")</f>
        <v/>
      </c>
      <c r="K2575" s="42" t="str">
        <f>IFERROR(__xludf.DUMMYFUNCTION("""COMPUTED_VALUE"""),"Periférico de Catia")</f>
        <v>Periférico de Catia</v>
      </c>
    </row>
    <row r="2576">
      <c r="A2576" s="44">
        <v>2575.0</v>
      </c>
      <c r="B2576" s="44" t="str">
        <f>IFERROR(__xludf.DUMMYFUNCTION("""COMPUTED_VALUE"""),"Periférico de Catia")</f>
        <v>Periférico de Catia</v>
      </c>
      <c r="C2576" s="45" t="str">
        <f>IFERROR(__xludf.DUMMYFUNCTION("""COMPUTED_VALUE"""),"MARIA DITAZ JONNY")</f>
        <v>MARIA DITAZ JONNY</v>
      </c>
      <c r="D2576" s="44">
        <f>IFERROR(__xludf.DUMMYFUNCTION("""COMPUTED_VALUE"""),12.0)</f>
        <v>12</v>
      </c>
      <c r="E2576" s="44" t="str">
        <f>IFERROR(__xludf.DUMMYFUNCTION("""COMPUTED_VALUE"""),"")</f>
        <v/>
      </c>
      <c r="F2576" s="44" t="str">
        <f>IFERROR(__xludf.DUMMYFUNCTION("""COMPUTED_VALUE"""),"")</f>
        <v/>
      </c>
      <c r="G2576" s="44" t="str">
        <f>IFERROR(__xludf.DUMMYFUNCTION("""COMPUTED_VALUE""")," ")</f>
        <v> </v>
      </c>
      <c r="H2576" s="44" t="str">
        <f>IFERROR(__xludf.DUMMYFUNCTION("""COMPUTED_VALUE""")," ")</f>
        <v> </v>
      </c>
      <c r="I2576" s="44" t="str">
        <f>IFERROR(__xludf.DUMMYFUNCTION("""COMPUTED_VALUE"""),"Amiga")</f>
        <v>Amiga</v>
      </c>
      <c r="J2576" s="44" t="str">
        <f>IFERROR(__xludf.DUMMYFUNCTION("""COMPUTED_VALUE"""),"")</f>
        <v/>
      </c>
      <c r="K2576" s="42" t="str">
        <f>IFERROR(__xludf.DUMMYFUNCTION("""COMPUTED_VALUE"""),"Periférico de Catia")</f>
        <v>Periférico de Catia</v>
      </c>
    </row>
    <row r="2577">
      <c r="A2577" s="44">
        <v>2576.0</v>
      </c>
      <c r="B2577" s="44" t="str">
        <f>IFERROR(__xludf.DUMMYFUNCTION("""COMPUTED_VALUE"""),"Campo de Golf Playa los Cocos")</f>
        <v>Campo de Golf Playa los Cocos</v>
      </c>
      <c r="C2577" s="45" t="str">
        <f>IFERROR(__xludf.DUMMYFUNCTION("""COMPUTED_VALUE"""),"Maria Elena Caldero")</f>
        <v>Maria Elena Caldero</v>
      </c>
      <c r="D2577" s="44" t="str">
        <f>IFERROR(__xludf.DUMMYFUNCTION("""COMPUTED_VALUE"""),"")</f>
        <v/>
      </c>
      <c r="E2577" s="44" t="str">
        <f>IFERROR(__xludf.DUMMYFUNCTION("""COMPUTED_VALUE"""),"")</f>
        <v/>
      </c>
      <c r="F2577" s="44" t="str">
        <f>IFERROR(__xludf.DUMMYFUNCTION("""COMPUTED_VALUE"""),"")</f>
        <v/>
      </c>
      <c r="G2577" s="44" t="str">
        <f>IFERROR(__xludf.DUMMYFUNCTION("""COMPUTED_VALUE"""),"")</f>
        <v/>
      </c>
      <c r="H2577" s="44" t="str">
        <f>IFERROR(__xludf.DUMMYFUNCTION("""COMPUTED_VALUE"""),"")</f>
        <v/>
      </c>
      <c r="I2577" s="44"/>
      <c r="J2577" s="44" t="str">
        <f>IFERROR(__xludf.DUMMYFUNCTION("""COMPUTED_VALUE"""),"")</f>
        <v/>
      </c>
      <c r="K2577" s="42" t="str">
        <f>IFERROR(__xludf.DUMMYFUNCTION("""COMPUTED_VALUE"""),"Campo de Golf Playa los Cocos")</f>
        <v>Campo de Golf Playa los Cocos</v>
      </c>
    </row>
    <row r="2578">
      <c r="A2578" s="44">
        <v>2577.0</v>
      </c>
      <c r="B2578" s="44" t="str">
        <f>IFERROR(__xludf.DUMMYFUNCTION("""COMPUTED_VALUE"""),"HOSPITAL VARGAS")</f>
        <v>HOSPITAL VARGAS</v>
      </c>
      <c r="C2578" s="45" t="str">
        <f>IFERROR(__xludf.DUMMYFUNCTION("""COMPUTED_VALUE"""),"María Elena Rodríguez")</f>
        <v>María Elena Rodríguez</v>
      </c>
      <c r="D2578" s="44"/>
      <c r="E2578" s="44" t="str">
        <f>IFERROR(__xludf.DUMMYFUNCTION("""COMPUTED_VALUE"""),"")</f>
        <v/>
      </c>
      <c r="F2578" s="44" t="str">
        <f>IFERROR(__xludf.DUMMYFUNCTION("""COMPUTED_VALUE"""),"")</f>
        <v/>
      </c>
      <c r="G2578" s="44" t="str">
        <f>IFERROR(__xludf.DUMMYFUNCTION("""COMPUTED_VALUE"""),"")</f>
        <v/>
      </c>
      <c r="H2578" s="44" t="str">
        <f>IFERROR(__xludf.DUMMYFUNCTION("""COMPUTED_VALUE"""),"")</f>
        <v/>
      </c>
      <c r="I2578" s="44" t="str">
        <f>IFERROR(__xludf.DUMMYFUNCTION("""COMPUTED_VALUE"""),"Herido / atendido")</f>
        <v>Herido / atendido</v>
      </c>
      <c r="J2578" s="44" t="str">
        <f>IFERROR(__xludf.DUMMYFUNCTION("""COMPUTED_VALUE"""),"24.06.2026 ")</f>
        <v>24.06.2026 </v>
      </c>
      <c r="K2578" s="42" t="str">
        <f>IFERROR(__xludf.DUMMYFUNCTION("""COMPUTED_VALUE"""),"HOSPITAL VARGAS")</f>
        <v>HOSPITAL VARGAS</v>
      </c>
    </row>
    <row r="2579">
      <c r="A2579" s="44">
        <v>2578.0</v>
      </c>
      <c r="B2579" s="44" t="str">
        <f>IFERROR(__xludf.DUMMYFUNCTION("""COMPUTED_VALUE"""),"Hospital Vargas de Caracas")</f>
        <v>Hospital Vargas de Caracas</v>
      </c>
      <c r="C2579" s="45" t="str">
        <f>IFERROR(__xludf.DUMMYFUNCTION("""COMPUTED_VALUE"""),"MARIA ELENA SANTA")</f>
        <v>MARIA ELENA SANTA</v>
      </c>
      <c r="D2579" s="44" t="str">
        <f>IFERROR(__xludf.DUMMYFUNCTION("""COMPUTED_VALUE""")," ")</f>
        <v> </v>
      </c>
      <c r="E2579" s="44" t="str">
        <f>IFERROR(__xludf.DUMMYFUNCTION("""COMPUTED_VALUE"""),"")</f>
        <v/>
      </c>
      <c r="F2579" s="44" t="str">
        <f>IFERROR(__xludf.DUMMYFUNCTION("""COMPUTED_VALUE""")," ")</f>
        <v> </v>
      </c>
      <c r="G2579" s="44" t="str">
        <f>IFERROR(__xludf.DUMMYFUNCTION("""COMPUTED_VALUE"""),"")</f>
        <v/>
      </c>
      <c r="H2579" s="44" t="str">
        <f>IFERROR(__xludf.DUMMYFUNCTION("""COMPUTED_VALUE"""),"San Bernardino")</f>
        <v>San Bernardino</v>
      </c>
      <c r="I2579" s="44" t="str">
        <f>IFERROR(__xludf.DUMMYFUNCTION("""COMPUTED_VALUE""")," ")</f>
        <v> </v>
      </c>
      <c r="J2579" s="44" t="str">
        <f>IFERROR(__xludf.DUMMYFUNCTION("""COMPUTED_VALUE"""),"")</f>
        <v/>
      </c>
      <c r="K2579" s="42" t="str">
        <f>IFERROR(__xludf.DUMMYFUNCTION("""COMPUTED_VALUE"""),"Hospital Vargas de Caracas")</f>
        <v>Hospital Vargas de Caracas</v>
      </c>
    </row>
    <row r="2580">
      <c r="A2580" s="44">
        <v>2579.0</v>
      </c>
      <c r="B2580" s="44" t="str">
        <f>IFERROR(__xludf.DUMMYFUNCTION("""COMPUTED_VALUE"""),"Hospital Vargas de Caracas")</f>
        <v>Hospital Vargas de Caracas</v>
      </c>
      <c r="C2580" s="45" t="str">
        <f>IFERROR(__xludf.DUMMYFUNCTION("""COMPUTED_VALUE"""),"Maria Elena Santana")</f>
        <v>Maria Elena Santana</v>
      </c>
      <c r="D2580" s="44"/>
      <c r="E2580" s="44" t="str">
        <f>IFERROR(__xludf.DUMMYFUNCTION("""COMPUTED_VALUE"""),"")</f>
        <v/>
      </c>
      <c r="F2580" s="44"/>
      <c r="G2580" s="44" t="str">
        <f>IFERROR(__xludf.DUMMYFUNCTION("""COMPUTED_VALUE"""),"")</f>
        <v/>
      </c>
      <c r="H2580" s="44"/>
      <c r="I2580" s="44" t="str">
        <f>IFERROR(__xludf.DUMMYFUNCTION("""COMPUTED_VALUE"""),"Nombre tomado de la pizarra de pacientes; no aparece en el formulario con C.I.")</f>
        <v>Nombre tomado de la pizarra de pacientes; no aparece en el formulario con C.I.</v>
      </c>
      <c r="J2580" s="44" t="str">
        <f>IFERROR(__xludf.DUMMYFUNCTION("""COMPUTED_VALUE"""),"")</f>
        <v/>
      </c>
      <c r="K2580" s="42" t="str">
        <f>IFERROR(__xludf.DUMMYFUNCTION("""COMPUTED_VALUE"""),"Hospital Vargas de Caracas")</f>
        <v>Hospital Vargas de Caracas</v>
      </c>
    </row>
    <row r="2581">
      <c r="A2581" s="44">
        <v>2580.0</v>
      </c>
      <c r="B2581" s="44" t="str">
        <f>IFERROR(__xludf.DUMMYFUNCTION("""COMPUTED_VALUE"""),"HOSPITAL VARGAS")</f>
        <v>HOSPITAL VARGAS</v>
      </c>
      <c r="C2581" s="45" t="str">
        <f>IFERROR(__xludf.DUMMYFUNCTION("""COMPUTED_VALUE"""),"María Elena Santana")</f>
        <v>María Elena Santana</v>
      </c>
      <c r="D2581" s="44"/>
      <c r="E2581" s="44" t="str">
        <f>IFERROR(__xludf.DUMMYFUNCTION("""COMPUTED_VALUE"""),"")</f>
        <v/>
      </c>
      <c r="F2581" s="44" t="str">
        <f>IFERROR(__xludf.DUMMYFUNCTION("""COMPUTED_VALUE"""),"")</f>
        <v/>
      </c>
      <c r="G2581" s="44" t="str">
        <f>IFERROR(__xludf.DUMMYFUNCTION("""COMPUTED_VALUE"""),"")</f>
        <v/>
      </c>
      <c r="H2581" s="44" t="str">
        <f>IFERROR(__xludf.DUMMYFUNCTION("""COMPUTED_VALUE"""),"")</f>
        <v/>
      </c>
      <c r="I2581" s="44" t="str">
        <f>IFERROR(__xludf.DUMMYFUNCTION("""COMPUTED_VALUE"""),"Herido / atendido")</f>
        <v>Herido / atendido</v>
      </c>
      <c r="J2581" s="44" t="str">
        <f>IFERROR(__xludf.DUMMYFUNCTION("""COMPUTED_VALUE"""),"24.06.2026 ")</f>
        <v>24.06.2026 </v>
      </c>
      <c r="K2581" s="42" t="str">
        <f>IFERROR(__xludf.DUMMYFUNCTION("""COMPUTED_VALUE"""),"HOSPITAL VARGAS")</f>
        <v>HOSPITAL VARGAS</v>
      </c>
    </row>
    <row r="2582">
      <c r="A2582" s="44">
        <v>2581.0</v>
      </c>
      <c r="B2582" s="44" t="str">
        <f>IFERROR(__xludf.DUMMYFUNCTION("""COMPUTED_VALUE"""),"Periférico de Catia")</f>
        <v>Periférico de Catia</v>
      </c>
      <c r="C2582" s="45" t="str">
        <f>IFERROR(__xludf.DUMMYFUNCTION("""COMPUTED_VALUE"""),"MARIA FIGUEROA")</f>
        <v>MARIA FIGUEROA</v>
      </c>
      <c r="D2582" s="44">
        <f>IFERROR(__xludf.DUMMYFUNCTION("""COMPUTED_VALUE"""),51.0)</f>
        <v>51</v>
      </c>
      <c r="E2582" s="44" t="str">
        <f>IFERROR(__xludf.DUMMYFUNCTION("""COMPUTED_VALUE"""),"")</f>
        <v/>
      </c>
      <c r="F2582" s="44" t="str">
        <f>IFERROR(__xludf.DUMMYFUNCTION("""COMPUTED_VALUE"""),"")</f>
        <v/>
      </c>
      <c r="G2582" s="44" t="str">
        <f>IFERROR(__xludf.DUMMYFUNCTION("""COMPUTED_VALUE""")," ")</f>
        <v> </v>
      </c>
      <c r="H2582" s="44" t="str">
        <f>IFERROR(__xludf.DUMMYFUNCTION("""COMPUTED_VALUE"""),"Calle Real Los Flores")</f>
        <v>Calle Real Los Flores</v>
      </c>
      <c r="I2582" s="44" t="str">
        <f>IFERROR(__xludf.DUMMYFUNCTION("""COMPUTED_VALUE"""),"TRM")</f>
        <v>TRM</v>
      </c>
      <c r="J2582" s="44" t="str">
        <f>IFERROR(__xludf.DUMMYFUNCTION("""COMPUTED_VALUE"""),"")</f>
        <v/>
      </c>
      <c r="K2582" s="42" t="str">
        <f>IFERROR(__xludf.DUMMYFUNCTION("""COMPUTED_VALUE"""),"Periférico de Catia")</f>
        <v>Periférico de Catia</v>
      </c>
    </row>
    <row r="2583">
      <c r="A2583" s="44">
        <v>2582.0</v>
      </c>
      <c r="B2583" s="44" t="str">
        <f>IFERROR(__xludf.DUMMYFUNCTION("""COMPUTED_VALUE"""),"Periférico de Catia")</f>
        <v>Periférico de Catia</v>
      </c>
      <c r="C2583" s="45" t="str">
        <f>IFERROR(__xludf.DUMMYFUNCTION("""COMPUTED_VALUE"""),"MARIA HABANA")</f>
        <v>MARIA HABANA</v>
      </c>
      <c r="D2583" s="44">
        <f>IFERROR(__xludf.DUMMYFUNCTION("""COMPUTED_VALUE"""),50.0)</f>
        <v>50</v>
      </c>
      <c r="E2583" s="44" t="str">
        <f>IFERROR(__xludf.DUMMYFUNCTION("""COMPUTED_VALUE"""),"")</f>
        <v/>
      </c>
      <c r="F2583" s="44" t="str">
        <f>IFERROR(__xludf.DUMMYFUNCTION("""COMPUTED_VALUE"""),"")</f>
        <v/>
      </c>
      <c r="G2583" s="44" t="str">
        <f>IFERROR(__xludf.DUMMYFUNCTION("""COMPUTED_VALUE""")," ")</f>
        <v> </v>
      </c>
      <c r="H2583" s="44" t="str">
        <f>IFERROR(__xludf.DUMMYFUNCTION("""COMPUTED_VALUE"""),"Caracas, La Guaira")</f>
        <v>Caracas, La Guaira</v>
      </c>
      <c r="I2583" s="44" t="str">
        <f>IFERROR(__xludf.DUMMYFUNCTION("""COMPUTED_VALUE"""),"Emerg. TRM")</f>
        <v>Emerg. TRM</v>
      </c>
      <c r="J2583" s="44" t="str">
        <f>IFERROR(__xludf.DUMMYFUNCTION("""COMPUTED_VALUE"""),"")</f>
        <v/>
      </c>
      <c r="K2583" s="42" t="str">
        <f>IFERROR(__xludf.DUMMYFUNCTION("""COMPUTED_VALUE"""),"Periférico de Catia")</f>
        <v>Periférico de Catia</v>
      </c>
    </row>
    <row r="2584">
      <c r="A2584" s="44">
        <v>2583.0</v>
      </c>
      <c r="B2584" s="44" t="str">
        <f>IFERROR(__xludf.DUMMYFUNCTION("""COMPUTED_VALUE"""),"Seguro Social La Guaira")</f>
        <v>Seguro Social La Guaira</v>
      </c>
      <c r="C2584" s="45" t="str">
        <f>IFERROR(__xludf.DUMMYFUNCTION("""COMPUTED_VALUE"""),"MARIA HERNANDEZ")</f>
        <v>MARIA HERNANDEZ</v>
      </c>
      <c r="D2584" s="44" t="str">
        <f>IFERROR(__xludf.DUMMYFUNCTION("""COMPUTED_VALUE""")," ")</f>
        <v> </v>
      </c>
      <c r="E2584" s="44" t="str">
        <f>IFERROR(__xludf.DUMMYFUNCTION("""COMPUTED_VALUE"""),"")</f>
        <v/>
      </c>
      <c r="F2584" s="44" t="str">
        <f>IFERROR(__xludf.DUMMYFUNCTION("""COMPUTED_VALUE"""),"")</f>
        <v/>
      </c>
      <c r="G2584" s="44" t="str">
        <f>IFERROR(__xludf.DUMMYFUNCTION("""COMPUTED_VALUE""")," ")</f>
        <v> </v>
      </c>
      <c r="H2584" s="44" t="str">
        <f>IFERROR(__xludf.DUMMYFUNCTION("""COMPUTED_VALUE"""),"Camuri Chico")</f>
        <v>Camuri Chico</v>
      </c>
      <c r="I2584" s="44" t="str">
        <f>IFERROR(__xludf.DUMMYFUNCTION("""COMPUTED_VALUE""")," ")</f>
        <v> </v>
      </c>
      <c r="J2584" s="44" t="str">
        <f>IFERROR(__xludf.DUMMYFUNCTION("""COMPUTED_VALUE"""),"")</f>
        <v/>
      </c>
      <c r="K2584" s="42" t="str">
        <f>IFERROR(__xludf.DUMMYFUNCTION("""COMPUTED_VALUE"""),"Seguro Social La Guaira")</f>
        <v>Seguro Social La Guaira</v>
      </c>
    </row>
    <row r="2585">
      <c r="A2585" s="44">
        <v>2584.0</v>
      </c>
      <c r="B2585" s="44" t="str">
        <f>IFERROR(__xludf.DUMMYFUNCTION("""COMPUTED_VALUE"""),"Hospital Pérez Carreño")</f>
        <v>Hospital Pérez Carreño</v>
      </c>
      <c r="C2585" s="45" t="str">
        <f>IFERROR(__xludf.DUMMYFUNCTION("""COMPUTED_VALUE"""),"Maria Mayorca")</f>
        <v>Maria Mayorca</v>
      </c>
      <c r="D2585" s="44"/>
      <c r="E2585" s="44" t="str">
        <f>IFERROR(__xludf.DUMMYFUNCTION("""COMPUTED_VALUE"""),"")</f>
        <v/>
      </c>
      <c r="F2585" s="44" t="str">
        <f>IFERROR(__xludf.DUMMYFUNCTION("""COMPUTED_VALUE"""),"")</f>
        <v/>
      </c>
      <c r="G2585" s="44" t="str">
        <f>IFERROR(__xludf.DUMMYFUNCTION("""COMPUTED_VALUE"""),"Traumashock ")</f>
        <v>Traumashock </v>
      </c>
      <c r="H2585" s="44" t="str">
        <f>IFERROR(__xludf.DUMMYFUNCTION("""COMPUTED_VALUE"""),"Hospital Miguel Perez Carreño")</f>
        <v>Hospital Miguel Perez Carreño</v>
      </c>
      <c r="I2585" s="44"/>
      <c r="J2585" s="44" t="str">
        <f>IFERROR(__xludf.DUMMYFUNCTION("""COMPUTED_VALUE"""),"26/6/26")</f>
        <v>26/6/26</v>
      </c>
      <c r="K2585" s="42" t="str">
        <f>IFERROR(__xludf.DUMMYFUNCTION("""COMPUTED_VALUE"""),"Hospital Pérez Carreño")</f>
        <v>Hospital Pérez Carreño</v>
      </c>
    </row>
    <row r="2586">
      <c r="A2586" s="44">
        <v>2585.0</v>
      </c>
      <c r="B2586" s="44" t="str">
        <f>IFERROR(__xludf.DUMMYFUNCTION("""COMPUTED_VALUE"""),"Campo de Golf Playa los Cocos")</f>
        <v>Campo de Golf Playa los Cocos</v>
      </c>
      <c r="C2586" s="45" t="str">
        <f>IFERROR(__xludf.DUMMYFUNCTION("""COMPUTED_VALUE"""),"Maria Montilla")</f>
        <v>Maria Montilla</v>
      </c>
      <c r="D2586" s="44" t="str">
        <f>IFERROR(__xludf.DUMMYFUNCTION("""COMPUTED_VALUE"""),"")</f>
        <v/>
      </c>
      <c r="E2586" s="44" t="str">
        <f>IFERROR(__xludf.DUMMYFUNCTION("""COMPUTED_VALUE"""),"")</f>
        <v/>
      </c>
      <c r="F2586" s="44" t="str">
        <f>IFERROR(__xludf.DUMMYFUNCTION("""COMPUTED_VALUE"""),"")</f>
        <v/>
      </c>
      <c r="G2586" s="44" t="str">
        <f>IFERROR(__xludf.DUMMYFUNCTION("""COMPUTED_VALUE"""),"")</f>
        <v/>
      </c>
      <c r="H2586" s="44" t="str">
        <f>IFERROR(__xludf.DUMMYFUNCTION("""COMPUTED_VALUE"""),"")</f>
        <v/>
      </c>
      <c r="I2586" s="44"/>
      <c r="J2586" s="44" t="str">
        <f>IFERROR(__xludf.DUMMYFUNCTION("""COMPUTED_VALUE"""),"")</f>
        <v/>
      </c>
      <c r="K2586" s="42" t="str">
        <f>IFERROR(__xludf.DUMMYFUNCTION("""COMPUTED_VALUE"""),"Campo de Golf Playa los Cocos")</f>
        <v>Campo de Golf Playa los Cocos</v>
      </c>
    </row>
    <row r="2587">
      <c r="A2587" s="44">
        <v>2586.0</v>
      </c>
      <c r="B2587" s="44" t="str">
        <f>IFERROR(__xludf.DUMMYFUNCTION("""COMPUTED_VALUE"""),"Hospital Universitario de Carac")</f>
        <v>Hospital Universitario de Carac</v>
      </c>
      <c r="C2587" s="45" t="str">
        <f>IFERROR(__xludf.DUMMYFUNCTION("""COMPUTED_VALUE"""),"Maria Mosquera")</f>
        <v>Maria Mosquera</v>
      </c>
      <c r="D2587" s="44">
        <f>IFERROR(__xludf.DUMMYFUNCTION("""COMPUTED_VALUE"""),18.0)</f>
        <v>18</v>
      </c>
      <c r="E2587" s="44" t="str">
        <f>IFERROR(__xludf.DUMMYFUNCTION("""COMPUTED_VALUE"""),"")</f>
        <v/>
      </c>
      <c r="F2587" s="44" t="str">
        <f>IFERROR(__xludf.DUMMYFUNCTION("""COMPUTED_VALUE"""),"")</f>
        <v/>
      </c>
      <c r="G2587" s="44"/>
      <c r="H2587" s="44" t="str">
        <f>IFERROR(__xludf.DUMMYFUNCTION("""COMPUTED_VALUE"""),"La Guaira")</f>
        <v>La Guaira</v>
      </c>
      <c r="I2587" s="44" t="str">
        <f>IFERROR(__xludf.DUMMYFUNCTION("""COMPUTED_VALUE"""),"Fallecio al ingreso")</f>
        <v>Fallecio al ingreso</v>
      </c>
      <c r="J2587" s="44" t="str">
        <f>IFERROR(__xludf.DUMMYFUNCTION("""COMPUTED_VALUE"""),"")</f>
        <v/>
      </c>
      <c r="K2587" s="42" t="str">
        <f>IFERROR(__xludf.DUMMYFUNCTION("""COMPUTED_VALUE"""),"Hospital Universitario de Carac")</f>
        <v>Hospital Universitario de Carac</v>
      </c>
    </row>
    <row r="2588">
      <c r="A2588" s="44">
        <v>2587.0</v>
      </c>
      <c r="B2588" s="44" t="str">
        <f>IFERROR(__xludf.DUMMYFUNCTION("""COMPUTED_VALUE"""),"HOSPITAL VARGAS")</f>
        <v>HOSPITAL VARGAS</v>
      </c>
      <c r="C2588" s="45" t="str">
        <f>IFERROR(__xludf.DUMMYFUNCTION("""COMPUTED_VALUE"""),"Maria Olivares")</f>
        <v>Maria Olivares</v>
      </c>
      <c r="D2588" s="44"/>
      <c r="E2588" s="44" t="str">
        <f>IFERROR(__xludf.DUMMYFUNCTION("""COMPUTED_VALUE"""),"")</f>
        <v/>
      </c>
      <c r="F2588" s="44" t="str">
        <f>IFERROR(__xludf.DUMMYFUNCTION("""COMPUTED_VALUE"""),"")</f>
        <v/>
      </c>
      <c r="G2588" s="44" t="str">
        <f>IFERROR(__xludf.DUMMYFUNCTION("""COMPUTED_VALUE"""),"")</f>
        <v/>
      </c>
      <c r="H2588" s="44" t="str">
        <f>IFERROR(__xludf.DUMMYFUNCTION("""COMPUTED_VALUE"""),"")</f>
        <v/>
      </c>
      <c r="I2588" s="44" t="str">
        <f>IFERROR(__xludf.DUMMYFUNCTION("""COMPUTED_VALUE"""),"Herido / atendido")</f>
        <v>Herido / atendido</v>
      </c>
      <c r="J2588" s="44" t="str">
        <f>IFERROR(__xludf.DUMMYFUNCTION("""COMPUTED_VALUE"""),"24.06.2026 ")</f>
        <v>24.06.2026 </v>
      </c>
      <c r="K2588" s="42" t="str">
        <f>IFERROR(__xludf.DUMMYFUNCTION("""COMPUTED_VALUE"""),"HOSPITAL VARGAS")</f>
        <v>HOSPITAL VARGAS</v>
      </c>
    </row>
    <row r="2589">
      <c r="A2589" s="44">
        <v>2588.0</v>
      </c>
      <c r="B2589" s="44" t="str">
        <f>IFERROR(__xludf.DUMMYFUNCTION("""COMPUTED_VALUE"""),"Campo de Golf Playa los Cocos")</f>
        <v>Campo de Golf Playa los Cocos</v>
      </c>
      <c r="C2589" s="45" t="str">
        <f>IFERROR(__xludf.DUMMYFUNCTION("""COMPUTED_VALUE"""),"Maria Perez")</f>
        <v>Maria Perez</v>
      </c>
      <c r="D2589" s="44" t="str">
        <f>IFERROR(__xludf.DUMMYFUNCTION("""COMPUTED_VALUE"""),"")</f>
        <v/>
      </c>
      <c r="E2589" s="44" t="str">
        <f>IFERROR(__xludf.DUMMYFUNCTION("""COMPUTED_VALUE"""),"")</f>
        <v/>
      </c>
      <c r="F2589" s="44" t="str">
        <f>IFERROR(__xludf.DUMMYFUNCTION("""COMPUTED_VALUE"""),"")</f>
        <v/>
      </c>
      <c r="G2589" s="44" t="str">
        <f>IFERROR(__xludf.DUMMYFUNCTION("""COMPUTED_VALUE"""),"")</f>
        <v/>
      </c>
      <c r="H2589" s="44" t="str">
        <f>IFERROR(__xludf.DUMMYFUNCTION("""COMPUTED_VALUE"""),"")</f>
        <v/>
      </c>
      <c r="I2589" s="44" t="str">
        <f>IFERROR(__xludf.DUMMYFUNCTION("""COMPUTED_VALUE"""),"menor")</f>
        <v>menor</v>
      </c>
      <c r="J2589" s="44" t="str">
        <f>IFERROR(__xludf.DUMMYFUNCTION("""COMPUTED_VALUE"""),"")</f>
        <v/>
      </c>
      <c r="K2589" s="42" t="str">
        <f>IFERROR(__xludf.DUMMYFUNCTION("""COMPUTED_VALUE"""),"Campo de Golf Playa los Cocos")</f>
        <v>Campo de Golf Playa los Cocos</v>
      </c>
    </row>
    <row r="2590">
      <c r="A2590" s="44">
        <v>2589.0</v>
      </c>
      <c r="B2590" s="44" t="str">
        <f>IFERROR(__xludf.DUMMYFUNCTION("""COMPUTED_VALUE"""),"Hospital Vargas de Caracas")</f>
        <v>Hospital Vargas de Caracas</v>
      </c>
      <c r="C2590" s="45" t="str">
        <f>IFERROR(__xludf.DUMMYFUNCTION("""COMPUTED_VALUE"""),"Maria Pimentel")</f>
        <v>Maria Pimentel</v>
      </c>
      <c r="D2590" s="44"/>
      <c r="E2590" s="44" t="str">
        <f>IFERROR(__xludf.DUMMYFUNCTION("""COMPUTED_VALUE"""),"")</f>
        <v/>
      </c>
      <c r="F2590" s="44"/>
      <c r="G2590" s="44" t="str">
        <f>IFERROR(__xludf.DUMMYFUNCTION("""COMPUTED_VALUE"""),"")</f>
        <v/>
      </c>
      <c r="H2590" s="44"/>
      <c r="I2590" s="44"/>
      <c r="J2590" s="44" t="str">
        <f>IFERROR(__xludf.DUMMYFUNCTION("""COMPUTED_VALUE"""),"")</f>
        <v/>
      </c>
      <c r="K2590" s="42" t="str">
        <f>IFERROR(__xludf.DUMMYFUNCTION("""COMPUTED_VALUE"""),"Hospital Vargas de Caracas")</f>
        <v>Hospital Vargas de Caracas</v>
      </c>
    </row>
    <row r="2591">
      <c r="A2591" s="44">
        <v>2590.0</v>
      </c>
      <c r="B2591" s="44" t="str">
        <f>IFERROR(__xludf.DUMMYFUNCTION("""COMPUTED_VALUE"""),"HOSPITAL VARGAS")</f>
        <v>HOSPITAL VARGAS</v>
      </c>
      <c r="C2591" s="45" t="str">
        <f>IFERROR(__xludf.DUMMYFUNCTION("""COMPUTED_VALUE"""),"María Pimentel")</f>
        <v>María Pimentel</v>
      </c>
      <c r="D2591" s="44"/>
      <c r="E2591" s="44" t="str">
        <f>IFERROR(__xludf.DUMMYFUNCTION("""COMPUTED_VALUE"""),"")</f>
        <v/>
      </c>
      <c r="F2591" s="44" t="str">
        <f>IFERROR(__xludf.DUMMYFUNCTION("""COMPUTED_VALUE"""),"")</f>
        <v/>
      </c>
      <c r="G2591" s="44" t="str">
        <f>IFERROR(__xludf.DUMMYFUNCTION("""COMPUTED_VALUE"""),"")</f>
        <v/>
      </c>
      <c r="H2591" s="44" t="str">
        <f>IFERROR(__xludf.DUMMYFUNCTION("""COMPUTED_VALUE"""),"")</f>
        <v/>
      </c>
      <c r="I2591" s="44" t="str">
        <f>IFERROR(__xludf.DUMMYFUNCTION("""COMPUTED_VALUE"""),"Herido / atendido")</f>
        <v>Herido / atendido</v>
      </c>
      <c r="J2591" s="44" t="str">
        <f>IFERROR(__xludf.DUMMYFUNCTION("""COMPUTED_VALUE"""),"24.06.2026 ")</f>
        <v>24.06.2026 </v>
      </c>
      <c r="K2591" s="42" t="str">
        <f>IFERROR(__xludf.DUMMYFUNCTION("""COMPUTED_VALUE"""),"HOSPITAL VARGAS")</f>
        <v>HOSPITAL VARGAS</v>
      </c>
    </row>
    <row r="2592">
      <c r="A2592" s="44">
        <v>2591.0</v>
      </c>
      <c r="B2592" s="44" t="str">
        <f>IFERROR(__xludf.DUMMYFUNCTION("""COMPUTED_VALUE"""),"Hospital Vargas de Caracas")</f>
        <v>Hospital Vargas de Caracas</v>
      </c>
      <c r="C2592" s="45" t="str">
        <f>IFERROR(__xludf.DUMMYFUNCTION("""COMPUTED_VALUE"""),"MARIA QUINTANA")</f>
        <v>MARIA QUINTANA</v>
      </c>
      <c r="D2592" s="44" t="str">
        <f>IFERROR(__xludf.DUMMYFUNCTION("""COMPUTED_VALUE""")," ")</f>
        <v> </v>
      </c>
      <c r="E2592" s="44" t="str">
        <f>IFERROR(__xludf.DUMMYFUNCTION("""COMPUTED_VALUE"""),"")</f>
        <v/>
      </c>
      <c r="F2592" s="44" t="str">
        <f>IFERROR(__xludf.DUMMYFUNCTION("""COMPUTED_VALUE""")," ")</f>
        <v> </v>
      </c>
      <c r="G2592" s="44" t="str">
        <f>IFERROR(__xludf.DUMMYFUNCTION("""COMPUTED_VALUE"""),"")</f>
        <v/>
      </c>
      <c r="H2592" s="44" t="str">
        <f>IFERROR(__xludf.DUMMYFUNCTION("""COMPUTED_VALUE"""),"Guaira")</f>
        <v>Guaira</v>
      </c>
      <c r="I2592" s="44" t="str">
        <f>IFERROR(__xludf.DUMMYFUNCTION("""COMPUTED_VALUE""")," ")</f>
        <v> </v>
      </c>
      <c r="J2592" s="44" t="str">
        <f>IFERROR(__xludf.DUMMYFUNCTION("""COMPUTED_VALUE"""),"")</f>
        <v/>
      </c>
      <c r="K2592" s="42" t="str">
        <f>IFERROR(__xludf.DUMMYFUNCTION("""COMPUTED_VALUE"""),"Hospital Vargas de Caracas")</f>
        <v>Hospital Vargas de Caracas</v>
      </c>
    </row>
    <row r="2593">
      <c r="A2593" s="44">
        <v>2592.0</v>
      </c>
      <c r="B2593" s="44" t="str">
        <f>IFERROR(__xludf.DUMMYFUNCTION("""COMPUTED_VALUE"""),"HOSPITAL VARGAS")</f>
        <v>HOSPITAL VARGAS</v>
      </c>
      <c r="C2593" s="45" t="str">
        <f>IFERROR(__xludf.DUMMYFUNCTION("""COMPUTED_VALUE"""),"Maria Santana")</f>
        <v>Maria Santana</v>
      </c>
      <c r="D2593" s="44"/>
      <c r="E2593" s="44" t="str">
        <f>IFERROR(__xludf.DUMMYFUNCTION("""COMPUTED_VALUE"""),"")</f>
        <v/>
      </c>
      <c r="F2593" s="44" t="str">
        <f>IFERROR(__xludf.DUMMYFUNCTION("""COMPUTED_VALUE"""),"")</f>
        <v/>
      </c>
      <c r="G2593" s="44" t="str">
        <f>IFERROR(__xludf.DUMMYFUNCTION("""COMPUTED_VALUE"""),"")</f>
        <v/>
      </c>
      <c r="H2593" s="44" t="str">
        <f>IFERROR(__xludf.DUMMYFUNCTION("""COMPUTED_VALUE"""),"")</f>
        <v/>
      </c>
      <c r="I2593" s="44" t="str">
        <f>IFERROR(__xludf.DUMMYFUNCTION("""COMPUTED_VALUE"""),"Herido / atendido")</f>
        <v>Herido / atendido</v>
      </c>
      <c r="J2593" s="44" t="str">
        <f>IFERROR(__xludf.DUMMYFUNCTION("""COMPUTED_VALUE"""),"24.06.2026 ")</f>
        <v>24.06.2026 </v>
      </c>
      <c r="K2593" s="42" t="str">
        <f>IFERROR(__xludf.DUMMYFUNCTION("""COMPUTED_VALUE"""),"HOSPITAL VARGAS")</f>
        <v>HOSPITAL VARGAS</v>
      </c>
    </row>
    <row r="2594">
      <c r="A2594" s="44">
        <v>2593.0</v>
      </c>
      <c r="B2594" s="44" t="str">
        <f>IFERROR(__xludf.DUMMYFUNCTION("""COMPUTED_VALUE"""),"HOSPITAL VARGAS")</f>
        <v>HOSPITAL VARGAS</v>
      </c>
      <c r="C2594" s="45" t="str">
        <f>IFERROR(__xludf.DUMMYFUNCTION("""COMPUTED_VALUE"""),"María Totumo")</f>
        <v>María Totumo</v>
      </c>
      <c r="D2594" s="44"/>
      <c r="E2594" s="44" t="str">
        <f>IFERROR(__xludf.DUMMYFUNCTION("""COMPUTED_VALUE"""),"")</f>
        <v/>
      </c>
      <c r="F2594" s="44" t="str">
        <f>IFERROR(__xludf.DUMMYFUNCTION("""COMPUTED_VALUE"""),"")</f>
        <v/>
      </c>
      <c r="G2594" s="44" t="str">
        <f>IFERROR(__xludf.DUMMYFUNCTION("""COMPUTED_VALUE"""),"")</f>
        <v/>
      </c>
      <c r="H2594" s="44" t="str">
        <f>IFERROR(__xludf.DUMMYFUNCTION("""COMPUTED_VALUE"""),"")</f>
        <v/>
      </c>
      <c r="I2594" s="44" t="str">
        <f>IFERROR(__xludf.DUMMYFUNCTION("""COMPUTED_VALUE"""),"Fallecido")</f>
        <v>Fallecido</v>
      </c>
      <c r="J2594" s="44" t="str">
        <f>IFERROR(__xludf.DUMMYFUNCTION("""COMPUTED_VALUE"""),"24.06.2026 ")</f>
        <v>24.06.2026 </v>
      </c>
      <c r="K2594" s="42" t="str">
        <f>IFERROR(__xludf.DUMMYFUNCTION("""COMPUTED_VALUE"""),"HOSPITAL VARGAS")</f>
        <v>HOSPITAL VARGAS</v>
      </c>
    </row>
    <row r="2595">
      <c r="A2595" s="44">
        <v>2594.0</v>
      </c>
      <c r="B2595" s="44" t="str">
        <f>IFERROR(__xludf.DUMMYFUNCTION("""COMPUTED_VALUE"""),"Periférico de Catia")</f>
        <v>Periférico de Catia</v>
      </c>
      <c r="C2595" s="45" t="str">
        <f>IFERROR(__xludf.DUMMYFUNCTION("""COMPUTED_VALUE"""),"MARIA VALENTA")</f>
        <v>MARIA VALENTA</v>
      </c>
      <c r="D2595" s="44">
        <f>IFERROR(__xludf.DUMMYFUNCTION("""COMPUTED_VALUE"""),49.0)</f>
        <v>49</v>
      </c>
      <c r="E2595" s="44" t="str">
        <f>IFERROR(__xludf.DUMMYFUNCTION("""COMPUTED_VALUE"""),"")</f>
        <v/>
      </c>
      <c r="F2595" s="44" t="str">
        <f>IFERROR(__xludf.DUMMYFUNCTION("""COMPUTED_VALUE"""),"")</f>
        <v/>
      </c>
      <c r="G2595" s="44" t="str">
        <f>IFERROR(__xludf.DUMMYFUNCTION("""COMPUTED_VALUE""")," ")</f>
        <v> </v>
      </c>
      <c r="H2595" s="44" t="str">
        <f>IFERROR(__xludf.DUMMYFUNCTION("""COMPUTED_VALUE""")," ")</f>
        <v> </v>
      </c>
      <c r="I2595" s="44" t="str">
        <f>IFERROR(__xludf.DUMMYFUNCTION("""COMPUTED_VALUE"""),"Solo")</f>
        <v>Solo</v>
      </c>
      <c r="J2595" s="44" t="str">
        <f>IFERROR(__xludf.DUMMYFUNCTION("""COMPUTED_VALUE"""),"")</f>
        <v/>
      </c>
      <c r="K2595" s="42" t="str">
        <f>IFERROR(__xludf.DUMMYFUNCTION("""COMPUTED_VALUE"""),"Periférico de Catia")</f>
        <v>Periférico de Catia</v>
      </c>
    </row>
    <row r="2596">
      <c r="A2596" s="44">
        <v>2595.0</v>
      </c>
      <c r="B2596" s="44" t="str">
        <f>IFERROR(__xludf.DUMMYFUNCTION("""COMPUTED_VALUE"""),"Seguro Social La Guaira")</f>
        <v>Seguro Social La Guaira</v>
      </c>
      <c r="C2596" s="45" t="str">
        <f>IFERROR(__xludf.DUMMYFUNCTION("""COMPUTED_VALUE"""),"MARIA VIEDRA")</f>
        <v>MARIA VIEDRA</v>
      </c>
      <c r="D2596" s="44">
        <f>IFERROR(__xludf.DUMMYFUNCTION("""COMPUTED_VALUE"""),64.0)</f>
        <v>64</v>
      </c>
      <c r="E2596" s="44" t="str">
        <f>IFERROR(__xludf.DUMMYFUNCTION("""COMPUTED_VALUE"""),"")</f>
        <v/>
      </c>
      <c r="F2596" s="44" t="str">
        <f>IFERROR(__xludf.DUMMYFUNCTION("""COMPUTED_VALUE"""),"")</f>
        <v/>
      </c>
      <c r="G2596" s="44" t="str">
        <f>IFERROR(__xludf.DUMMYFUNCTION("""COMPUTED_VALUE""")," ")</f>
        <v> </v>
      </c>
      <c r="H2596" s="44" t="str">
        <f>IFERROR(__xludf.DUMMYFUNCTION("""COMPUTED_VALUE"""),"Corales")</f>
        <v>Corales</v>
      </c>
      <c r="I2596" s="44" t="str">
        <f>IFERROR(__xludf.DUMMYFUNCTION("""COMPUTED_VALUE""")," ")</f>
        <v> </v>
      </c>
      <c r="J2596" s="44" t="str">
        <f>IFERROR(__xludf.DUMMYFUNCTION("""COMPUTED_VALUE"""),"")</f>
        <v/>
      </c>
      <c r="K2596" s="42" t="str">
        <f>IFERROR(__xludf.DUMMYFUNCTION("""COMPUTED_VALUE"""),"Seguro Social La Guaira")</f>
        <v>Seguro Social La Guaira</v>
      </c>
    </row>
    <row r="2597">
      <c r="A2597" s="44">
        <v>2596.0</v>
      </c>
      <c r="B2597" s="44" t="str">
        <f>IFERROR(__xludf.DUMMYFUNCTION("""COMPUTED_VALUE"""),"HOSPITAL VARGAS")</f>
        <v>HOSPITAL VARGAS</v>
      </c>
      <c r="C2597" s="45" t="str">
        <f>IFERROR(__xludf.DUMMYFUNCTION("""COMPUTED_VALUE"""),"Maria Vielma")</f>
        <v>Maria Vielma</v>
      </c>
      <c r="D2597" s="44"/>
      <c r="E2597" s="44" t="str">
        <f>IFERROR(__xludf.DUMMYFUNCTION("""COMPUTED_VALUE"""),"")</f>
        <v/>
      </c>
      <c r="F2597" s="44" t="str">
        <f>IFERROR(__xludf.DUMMYFUNCTION("""COMPUTED_VALUE"""),"")</f>
        <v/>
      </c>
      <c r="G2597" s="44" t="str">
        <f>IFERROR(__xludf.DUMMYFUNCTION("""COMPUTED_VALUE"""),"")</f>
        <v/>
      </c>
      <c r="H2597" s="44" t="str">
        <f>IFERROR(__xludf.DUMMYFUNCTION("""COMPUTED_VALUE"""),"")</f>
        <v/>
      </c>
      <c r="I2597" s="44" t="str">
        <f>IFERROR(__xludf.DUMMYFUNCTION("""COMPUTED_VALUE"""),"Herido / atendido")</f>
        <v>Herido / atendido</v>
      </c>
      <c r="J2597" s="44" t="str">
        <f>IFERROR(__xludf.DUMMYFUNCTION("""COMPUTED_VALUE"""),"24.06.2026 ")</f>
        <v>24.06.2026 </v>
      </c>
      <c r="K2597" s="42" t="str">
        <f>IFERROR(__xludf.DUMMYFUNCTION("""COMPUTED_VALUE"""),"HOSPITAL VARGAS")</f>
        <v>HOSPITAL VARGAS</v>
      </c>
    </row>
    <row r="2598">
      <c r="A2598" s="44">
        <v>2597.0</v>
      </c>
      <c r="B2598" s="44" t="str">
        <f>IFERROR(__xludf.DUMMYFUNCTION("""COMPUTED_VALUE"""),"Periférico de Catia")</f>
        <v>Periférico de Catia</v>
      </c>
      <c r="C2598" s="45" t="str">
        <f>IFERROR(__xludf.DUMMYFUNCTION("""COMPUTED_VALUE"""),"MARIA ZABALA")</f>
        <v>MARIA ZABALA</v>
      </c>
      <c r="D2598" s="44">
        <f>IFERROR(__xludf.DUMMYFUNCTION("""COMPUTED_VALUE"""),69.0)</f>
        <v>69</v>
      </c>
      <c r="E2598" s="44" t="str">
        <f>IFERROR(__xludf.DUMMYFUNCTION("""COMPUTED_VALUE"""),"")</f>
        <v/>
      </c>
      <c r="F2598" s="44" t="str">
        <f>IFERROR(__xludf.DUMMYFUNCTION("""COMPUTED_VALUE"""),"")</f>
        <v/>
      </c>
      <c r="G2598" s="44" t="str">
        <f>IFERROR(__xludf.DUMMYFUNCTION("""COMPUTED_VALUE""")," ")</f>
        <v> </v>
      </c>
      <c r="H2598" s="44" t="str">
        <f>IFERROR(__xludf.DUMMYFUNCTION("""COMPUTED_VALUE""")," ")</f>
        <v> </v>
      </c>
      <c r="I2598" s="44" t="str">
        <f>IFERROR(__xludf.DUMMYFUNCTION("""COMPUTED_VALUE"""),"Solo")</f>
        <v>Solo</v>
      </c>
      <c r="J2598" s="44" t="str">
        <f>IFERROR(__xludf.DUMMYFUNCTION("""COMPUTED_VALUE"""),"")</f>
        <v/>
      </c>
      <c r="K2598" s="42" t="str">
        <f>IFERROR(__xludf.DUMMYFUNCTION("""COMPUTED_VALUE"""),"Periférico de Catia")</f>
        <v>Periférico de Catia</v>
      </c>
    </row>
    <row r="2599">
      <c r="A2599" s="44">
        <v>2598.0</v>
      </c>
      <c r="B2599" s="44" t="str">
        <f>IFERROR(__xludf.DUMMYFUNCTION("""COMPUTED_VALUE"""),"Periférico de Catia")</f>
        <v>Periférico de Catia</v>
      </c>
      <c r="C2599" s="45" t="str">
        <f>IFERROR(__xludf.DUMMYFUNCTION("""COMPUTED_VALUE"""),"MARIA ZABEN")</f>
        <v>MARIA ZABEN</v>
      </c>
      <c r="D2599" s="44">
        <f>IFERROR(__xludf.DUMMYFUNCTION("""COMPUTED_VALUE"""),69.0)</f>
        <v>69</v>
      </c>
      <c r="E2599" s="44" t="str">
        <f>IFERROR(__xludf.DUMMYFUNCTION("""COMPUTED_VALUE"""),"")</f>
        <v/>
      </c>
      <c r="F2599" s="44" t="str">
        <f>IFERROR(__xludf.DUMMYFUNCTION("""COMPUTED_VALUE"""),"")</f>
        <v/>
      </c>
      <c r="G2599" s="44" t="str">
        <f>IFERROR(__xludf.DUMMYFUNCTION("""COMPUTED_VALUE""")," ")</f>
        <v> </v>
      </c>
      <c r="H2599" s="44" t="str">
        <f>IFERROR(__xludf.DUMMYFUNCTION("""COMPUTED_VALUE""")," ")</f>
        <v> </v>
      </c>
      <c r="I2599" s="44" t="str">
        <f>IFERROR(__xludf.DUMMYFUNCTION("""COMPUTED_VALUE"""),"Solo")</f>
        <v>Solo</v>
      </c>
      <c r="J2599" s="44" t="str">
        <f>IFERROR(__xludf.DUMMYFUNCTION("""COMPUTED_VALUE"""),"")</f>
        <v/>
      </c>
      <c r="K2599" s="42" t="str">
        <f>IFERROR(__xludf.DUMMYFUNCTION("""COMPUTED_VALUE"""),"Periférico de Catia")</f>
        <v>Periférico de Catia</v>
      </c>
    </row>
    <row r="2600">
      <c r="A2600" s="44">
        <v>2599.0</v>
      </c>
      <c r="B2600" s="44" t="str">
        <f>IFERROR(__xludf.DUMMYFUNCTION("""COMPUTED_VALUE"""),"Hospital Domingo Luciani")</f>
        <v>Hospital Domingo Luciani</v>
      </c>
      <c r="C2600" s="45" t="str">
        <f>IFERROR(__xludf.DUMMYFUNCTION("""COMPUTED_VALUE"""),"MARIANGEL MUÑON")</f>
        <v>MARIANGEL MUÑON</v>
      </c>
      <c r="D2600" s="44">
        <f>IFERROR(__xludf.DUMMYFUNCTION("""COMPUTED_VALUE"""),59.0)</f>
        <v>59</v>
      </c>
      <c r="E2600" s="44" t="str">
        <f>IFERROR(__xludf.DUMMYFUNCTION("""COMPUTED_VALUE"""),"")</f>
        <v/>
      </c>
      <c r="F2600" s="44" t="str">
        <f>IFERROR(__xludf.DUMMYFUNCTION("""COMPUTED_VALUE"""),"")</f>
        <v/>
      </c>
      <c r="G2600" s="44" t="str">
        <f>IFERROR(__xludf.DUMMYFUNCTION("""COMPUTED_VALUE""")," ")</f>
        <v> </v>
      </c>
      <c r="H2600" s="44" t="str">
        <f>IFERROR(__xludf.DUMMYFUNCTION("""COMPUTED_VALUE""")," ")</f>
        <v> </v>
      </c>
      <c r="I2600" s="44" t="str">
        <f>IFERROR(__xludf.DUMMYFUNCTION("""COMPUTED_VALUE""")," ")</f>
        <v> </v>
      </c>
      <c r="J2600" s="44" t="str">
        <f>IFERROR(__xludf.DUMMYFUNCTION("""COMPUTED_VALUE"""),"")</f>
        <v/>
      </c>
      <c r="K2600" s="42" t="str">
        <f>IFERROR(__xludf.DUMMYFUNCTION("""COMPUTED_VALUE"""),"🔍 BUSCAR PACIENTES")</f>
        <v>🔍 BUSCAR PACIENTES</v>
      </c>
    </row>
    <row r="2601">
      <c r="A2601" s="44">
        <v>2600.0</v>
      </c>
      <c r="B2601" s="44" t="str">
        <f>IFERROR(__xludf.DUMMYFUNCTION("""COMPUTED_VALUE"""),"Campo de Golf Playa los Cocos")</f>
        <v>Campo de Golf Playa los Cocos</v>
      </c>
      <c r="C2601" s="45" t="str">
        <f>IFERROR(__xludf.DUMMYFUNCTION("""COMPUTED_VALUE"""),"Mariannys Arangoren")</f>
        <v>Mariannys Arangoren</v>
      </c>
      <c r="D2601" s="44" t="str">
        <f>IFERROR(__xludf.DUMMYFUNCTION("""COMPUTED_VALUE"""),"")</f>
        <v/>
      </c>
      <c r="E2601" s="44" t="str">
        <f>IFERROR(__xludf.DUMMYFUNCTION("""COMPUTED_VALUE"""),"")</f>
        <v/>
      </c>
      <c r="F2601" s="44" t="str">
        <f>IFERROR(__xludf.DUMMYFUNCTION("""COMPUTED_VALUE"""),"")</f>
        <v/>
      </c>
      <c r="G2601" s="44" t="str">
        <f>IFERROR(__xludf.DUMMYFUNCTION("""COMPUTED_VALUE"""),"")</f>
        <v/>
      </c>
      <c r="H2601" s="44" t="str">
        <f>IFERROR(__xludf.DUMMYFUNCTION("""COMPUTED_VALUE"""),"")</f>
        <v/>
      </c>
      <c r="I2601" s="44"/>
      <c r="J2601" s="44" t="str">
        <f>IFERROR(__xludf.DUMMYFUNCTION("""COMPUTED_VALUE"""),"")</f>
        <v/>
      </c>
      <c r="K2601" s="42" t="str">
        <f>IFERROR(__xludf.DUMMYFUNCTION("""COMPUTED_VALUE"""),"Campo de Golf Playa los Cocos")</f>
        <v>Campo de Golf Playa los Cocos</v>
      </c>
    </row>
    <row r="2602">
      <c r="A2602" s="44">
        <v>2601.0</v>
      </c>
      <c r="B2602" s="44" t="str">
        <f>IFERROR(__xludf.DUMMYFUNCTION("""COMPUTED_VALUE"""),"Periférico de Catia")</f>
        <v>Periférico de Catia</v>
      </c>
      <c r="C2602" s="45" t="str">
        <f>IFERROR(__xludf.DUMMYFUNCTION("""COMPUTED_VALUE"""),"MARIE BAMBA")</f>
        <v>MARIE BAMBA</v>
      </c>
      <c r="D2602" s="44">
        <f>IFERROR(__xludf.DUMMYFUNCTION("""COMPUTED_VALUE"""),27.0)</f>
        <v>27</v>
      </c>
      <c r="E2602" s="44" t="str">
        <f>IFERROR(__xludf.DUMMYFUNCTION("""COMPUTED_VALUE"""),"")</f>
        <v/>
      </c>
      <c r="F2602" s="44" t="str">
        <f>IFERROR(__xludf.DUMMYFUNCTION("""COMPUTED_VALUE"""),"")</f>
        <v/>
      </c>
      <c r="G2602" s="44" t="str">
        <f>IFERROR(__xludf.DUMMYFUNCTION("""COMPUTED_VALUE""")," ")</f>
        <v> </v>
      </c>
      <c r="H2602" s="44" t="str">
        <f>IFERROR(__xludf.DUMMYFUNCTION("""COMPUTED_VALUE""")," ")</f>
        <v> </v>
      </c>
      <c r="I2602" s="44" t="str">
        <f>IFERROR(__xludf.DUMMYFUNCTION("""COMPUTED_VALUE"""),"Solo")</f>
        <v>Solo</v>
      </c>
      <c r="J2602" s="44" t="str">
        <f>IFERROR(__xludf.DUMMYFUNCTION("""COMPUTED_VALUE"""),"")</f>
        <v/>
      </c>
      <c r="K2602" s="42" t="str">
        <f>IFERROR(__xludf.DUMMYFUNCTION("""COMPUTED_VALUE"""),"Periférico de Catia")</f>
        <v>Periférico de Catia</v>
      </c>
    </row>
    <row r="2603">
      <c r="A2603" s="44">
        <v>2602.0</v>
      </c>
      <c r="B2603" s="44" t="str">
        <f>IFERROR(__xludf.DUMMYFUNCTION("""COMPUTED_VALUE"""),"Periférico de Catia")</f>
        <v>Periférico de Catia</v>
      </c>
      <c r="C2603" s="45" t="str">
        <f>IFERROR(__xludf.DUMMYFUNCTION("""COMPUTED_VALUE"""),"MARIE ZEAN")</f>
        <v>MARIE ZEAN</v>
      </c>
      <c r="D2603" s="44">
        <f>IFERROR(__xludf.DUMMYFUNCTION("""COMPUTED_VALUE"""),49.0)</f>
        <v>49</v>
      </c>
      <c r="E2603" s="44" t="str">
        <f>IFERROR(__xludf.DUMMYFUNCTION("""COMPUTED_VALUE"""),"")</f>
        <v/>
      </c>
      <c r="F2603" s="44" t="str">
        <f>IFERROR(__xludf.DUMMYFUNCTION("""COMPUTED_VALUE"""),"")</f>
        <v/>
      </c>
      <c r="G2603" s="44" t="str">
        <f>IFERROR(__xludf.DUMMYFUNCTION("""COMPUTED_VALUE""")," ")</f>
        <v> </v>
      </c>
      <c r="H2603" s="44" t="str">
        <f>IFERROR(__xludf.DUMMYFUNCTION("""COMPUTED_VALUE""")," ")</f>
        <v> </v>
      </c>
      <c r="I2603" s="44" t="str">
        <f>IFERROR(__xludf.DUMMYFUNCTION("""COMPUTED_VALUE"""),"Zolo")</f>
        <v>Zolo</v>
      </c>
      <c r="J2603" s="44" t="str">
        <f>IFERROR(__xludf.DUMMYFUNCTION("""COMPUTED_VALUE"""),"")</f>
        <v/>
      </c>
      <c r="K2603" s="42" t="str">
        <f>IFERROR(__xludf.DUMMYFUNCTION("""COMPUTED_VALUE"""),"Periférico de Catia")</f>
        <v>Periférico de Catia</v>
      </c>
    </row>
    <row r="2604">
      <c r="A2604" s="44">
        <v>2603.0</v>
      </c>
      <c r="B2604" s="44" t="str">
        <f>IFERROR(__xludf.DUMMYFUNCTION("""COMPUTED_VALUE"""),"Campo de Golf Playa los Cocos")</f>
        <v>Campo de Golf Playa los Cocos</v>
      </c>
      <c r="C2604" s="45" t="str">
        <f>IFERROR(__xludf.DUMMYFUNCTION("""COMPUTED_VALUE"""),"Marielui Monasterio")</f>
        <v>Marielui Monasterio</v>
      </c>
      <c r="D2604" s="44" t="str">
        <f>IFERROR(__xludf.DUMMYFUNCTION("""COMPUTED_VALUE"""),"")</f>
        <v/>
      </c>
      <c r="E2604" s="44" t="str">
        <f>IFERROR(__xludf.DUMMYFUNCTION("""COMPUTED_VALUE"""),"")</f>
        <v/>
      </c>
      <c r="F2604" s="44" t="str">
        <f>IFERROR(__xludf.DUMMYFUNCTION("""COMPUTED_VALUE"""),"")</f>
        <v/>
      </c>
      <c r="G2604" s="44" t="str">
        <f>IFERROR(__xludf.DUMMYFUNCTION("""COMPUTED_VALUE"""),"")</f>
        <v/>
      </c>
      <c r="H2604" s="44" t="str">
        <f>IFERROR(__xludf.DUMMYFUNCTION("""COMPUTED_VALUE"""),"")</f>
        <v/>
      </c>
      <c r="I2604" s="44"/>
      <c r="J2604" s="44" t="str">
        <f>IFERROR(__xludf.DUMMYFUNCTION("""COMPUTED_VALUE"""),"")</f>
        <v/>
      </c>
      <c r="K2604" s="42" t="str">
        <f>IFERROR(__xludf.DUMMYFUNCTION("""COMPUTED_VALUE"""),"Campo de Golf Playa los Cocos")</f>
        <v>Campo de Golf Playa los Cocos</v>
      </c>
    </row>
    <row r="2605">
      <c r="A2605" s="44">
        <v>2604.0</v>
      </c>
      <c r="B2605" s="44" t="str">
        <f>IFERROR(__xludf.DUMMYFUNCTION("""COMPUTED_VALUE"""),"Campo de Golf Playa los Cocos")</f>
        <v>Campo de Golf Playa los Cocos</v>
      </c>
      <c r="C2605" s="45" t="str">
        <f>IFERROR(__xludf.DUMMYFUNCTION("""COMPUTED_VALUE"""),"Marilyn Pugarita")</f>
        <v>Marilyn Pugarita</v>
      </c>
      <c r="D2605" s="44" t="str">
        <f>IFERROR(__xludf.DUMMYFUNCTION("""COMPUTED_VALUE"""),"")</f>
        <v/>
      </c>
      <c r="E2605" s="44" t="str">
        <f>IFERROR(__xludf.DUMMYFUNCTION("""COMPUTED_VALUE"""),"")</f>
        <v/>
      </c>
      <c r="F2605" s="44" t="str">
        <f>IFERROR(__xludf.DUMMYFUNCTION("""COMPUTED_VALUE"""),"")</f>
        <v/>
      </c>
      <c r="G2605" s="44" t="str">
        <f>IFERROR(__xludf.DUMMYFUNCTION("""COMPUTED_VALUE"""),"")</f>
        <v/>
      </c>
      <c r="H2605" s="44" t="str">
        <f>IFERROR(__xludf.DUMMYFUNCTION("""COMPUTED_VALUE"""),"")</f>
        <v/>
      </c>
      <c r="I2605" s="44"/>
      <c r="J2605" s="44" t="str">
        <f>IFERROR(__xludf.DUMMYFUNCTION("""COMPUTED_VALUE"""),"")</f>
        <v/>
      </c>
      <c r="K2605" s="42" t="str">
        <f>IFERROR(__xludf.DUMMYFUNCTION("""COMPUTED_VALUE"""),"Campo de Golf Playa los Cocos")</f>
        <v>Campo de Golf Playa los Cocos</v>
      </c>
    </row>
    <row r="2606">
      <c r="A2606" s="44">
        <v>2605.0</v>
      </c>
      <c r="B2606" s="44" t="str">
        <f>IFERROR(__xludf.DUMMYFUNCTION("""COMPUTED_VALUE"""),"H. Jose Maria Vargas LG")</f>
        <v>H. Jose Maria Vargas LG</v>
      </c>
      <c r="C2606" s="45" t="str">
        <f>IFERROR(__xludf.DUMMYFUNCTION("""COMPUTED_VALUE"""),"MARIN ANAIS")</f>
        <v>MARIN ANAIS</v>
      </c>
      <c r="D2606" s="44" t="str">
        <f>IFERROR(__xludf.DUMMYFUNCTION("""COMPUTED_VALUE""")," ")</f>
        <v> </v>
      </c>
      <c r="E2606" s="44" t="str">
        <f>IFERROR(__xludf.DUMMYFUNCTION("""COMPUTED_VALUE"""),"")</f>
        <v/>
      </c>
      <c r="F2606" s="44" t="str">
        <f>IFERROR(__xludf.DUMMYFUNCTION("""COMPUTED_VALUE"""),"")</f>
        <v/>
      </c>
      <c r="G2606" s="44" t="str">
        <f>IFERROR(__xludf.DUMMYFUNCTION("""COMPUTED_VALUE""")," ")</f>
        <v> </v>
      </c>
      <c r="H2606" s="44" t="str">
        <f>IFERROR(__xludf.DUMMYFUNCTION("""COMPUTED_VALUE""")," ")</f>
        <v> </v>
      </c>
      <c r="I2606" s="44" t="str">
        <f>IFERROR(__xludf.DUMMYFUNCTION("""COMPUTED_VALUE""")," ")</f>
        <v> </v>
      </c>
      <c r="J2606" s="44" t="str">
        <f>IFERROR(__xludf.DUMMYFUNCTION("""COMPUTED_VALUE"""),"")</f>
        <v/>
      </c>
      <c r="K2606" s="42" t="str">
        <f>IFERROR(__xludf.DUMMYFUNCTION("""COMPUTED_VALUE"""),"H. Jose Maria Vargas LG")</f>
        <v>H. Jose Maria Vargas LG</v>
      </c>
    </row>
    <row r="2607">
      <c r="A2607" s="44">
        <v>2606.0</v>
      </c>
      <c r="B2607" s="44" t="str">
        <f>IFERROR(__xludf.DUMMYFUNCTION("""COMPUTED_VALUE"""),"Hospital Pérez Carreño")</f>
        <v>Hospital Pérez Carreño</v>
      </c>
      <c r="C2607" s="45" t="str">
        <f>IFERROR(__xludf.DUMMYFUNCTION("""COMPUTED_VALUE"""),"MARIN TOVA VALESKA")</f>
        <v>MARIN TOVA VALESKA</v>
      </c>
      <c r="D2607" s="44" t="str">
        <f>IFERROR(__xludf.DUMMYFUNCTION("""COMPUTED_VALUE""")," ")</f>
        <v> </v>
      </c>
      <c r="E2607" s="44" t="str">
        <f>IFERROR(__xludf.DUMMYFUNCTION("""COMPUTED_VALUE"""),"")</f>
        <v/>
      </c>
      <c r="F2607" s="44" t="str">
        <f>IFERROR(__xludf.DUMMYFUNCTION("""COMPUTED_VALUE"""),"")</f>
        <v/>
      </c>
      <c r="G2607" s="44" t="str">
        <f>IFERROR(__xludf.DUMMYFUNCTION("""COMPUTED_VALUE""")," ")</f>
        <v> </v>
      </c>
      <c r="H2607" s="44" t="str">
        <f>IFERROR(__xludf.DUMMYFUNCTION("""COMPUTED_VALUE""")," ")</f>
        <v> </v>
      </c>
      <c r="I2607" s="44" t="str">
        <f>IFERROR(__xludf.DUMMYFUNCTION("""COMPUTED_VALUE"""),"Internado; Traumatología
Pasillo de ascensor")</f>
        <v>Internado; Traumatología
Pasillo de ascensor</v>
      </c>
      <c r="J2607" s="44" t="str">
        <f>IFERROR(__xludf.DUMMYFUNCTION("""COMPUTED_VALUE"""),"25/06/2026")</f>
        <v>25/06/2026</v>
      </c>
      <c r="K2607" s="42" t="str">
        <f>IFERROR(__xludf.DUMMYFUNCTION("""COMPUTED_VALUE"""),"Hospital Pérez Carreño")</f>
        <v>Hospital Pérez Carreño</v>
      </c>
    </row>
    <row r="2608">
      <c r="A2608" s="44">
        <v>2607.0</v>
      </c>
      <c r="B2608" s="44" t="str">
        <f>IFERROR(__xludf.DUMMYFUNCTION("""COMPUTED_VALUE"""),"Hospital Pérez Carreño")</f>
        <v>Hospital Pérez Carreño</v>
      </c>
      <c r="C2608" s="45" t="str">
        <f>IFERROR(__xludf.DUMMYFUNCTION("""COMPUTED_VALUE"""),"Mariño Amilcar")</f>
        <v>Mariño Amilcar</v>
      </c>
      <c r="D2608" s="44"/>
      <c r="E2608" s="44" t="str">
        <f>IFERROR(__xludf.DUMMYFUNCTION("""COMPUTED_VALUE"""),"")</f>
        <v/>
      </c>
      <c r="F2608" s="44" t="str">
        <f>IFERROR(__xludf.DUMMYFUNCTION("""COMPUTED_VALUE"""),"")</f>
        <v/>
      </c>
      <c r="G2608" s="44" t="str">
        <f>IFERROR(__xludf.DUMMYFUNCTION("""COMPUTED_VALUE"""),"Traslados con destino asignado")</f>
        <v>Traslados con destino asignado</v>
      </c>
      <c r="H2608" s="44" t="str">
        <f>IFERROR(__xludf.DUMMYFUNCTION("""COMPUTED_VALUE"""),"Hospital Miguel Perez Carreño")</f>
        <v>Hospital Miguel Perez Carreño</v>
      </c>
      <c r="I2608" s="44"/>
      <c r="J2608" s="44" t="str">
        <f>IFERROR(__xludf.DUMMYFUNCTION("""COMPUTED_VALUE"""),"26/6/26")</f>
        <v>26/6/26</v>
      </c>
      <c r="K2608" s="42" t="str">
        <f>IFERROR(__xludf.DUMMYFUNCTION("""COMPUTED_VALUE"""),"Hospital Pérez Carreño")</f>
        <v>Hospital Pérez Carreño</v>
      </c>
    </row>
    <row r="2609">
      <c r="A2609" s="44">
        <v>2608.0</v>
      </c>
      <c r="B2609" s="44" t="str">
        <f>IFERROR(__xludf.DUMMYFUNCTION("""COMPUTED_VALUE"""),"Campo de Golf Playa los Cocos")</f>
        <v>Campo de Golf Playa los Cocos</v>
      </c>
      <c r="C2609" s="45" t="str">
        <f>IFERROR(__xludf.DUMMYFUNCTION("""COMPUTED_VALUE"""),"Mariolimar Benitez")</f>
        <v>Mariolimar Benitez</v>
      </c>
      <c r="D2609" s="44" t="str">
        <f>IFERROR(__xludf.DUMMYFUNCTION("""COMPUTED_VALUE"""),"")</f>
        <v/>
      </c>
      <c r="E2609" s="44" t="str">
        <f>IFERROR(__xludf.DUMMYFUNCTION("""COMPUTED_VALUE"""),"")</f>
        <v/>
      </c>
      <c r="F2609" s="44" t="str">
        <f>IFERROR(__xludf.DUMMYFUNCTION("""COMPUTED_VALUE"""),"")</f>
        <v/>
      </c>
      <c r="G2609" s="44" t="str">
        <f>IFERROR(__xludf.DUMMYFUNCTION("""COMPUTED_VALUE"""),"")</f>
        <v/>
      </c>
      <c r="H2609" s="44" t="str">
        <f>IFERROR(__xludf.DUMMYFUNCTION("""COMPUTED_VALUE"""),"")</f>
        <v/>
      </c>
      <c r="I2609" s="44"/>
      <c r="J2609" s="44" t="str">
        <f>IFERROR(__xludf.DUMMYFUNCTION("""COMPUTED_VALUE"""),"")</f>
        <v/>
      </c>
      <c r="K2609" s="42" t="str">
        <f>IFERROR(__xludf.DUMMYFUNCTION("""COMPUTED_VALUE"""),"Campo de Golf Playa los Cocos")</f>
        <v>Campo de Golf Playa los Cocos</v>
      </c>
    </row>
    <row r="2610">
      <c r="A2610" s="44">
        <v>2609.0</v>
      </c>
      <c r="B2610" s="44" t="str">
        <f>IFERROR(__xludf.DUMMYFUNCTION("""COMPUTED_VALUE"""),"Seguro Social La Guaira")</f>
        <v>Seguro Social La Guaira</v>
      </c>
      <c r="C2610" s="45" t="str">
        <f>IFERROR(__xludf.DUMMYFUNCTION("""COMPUTED_VALUE"""),"MARITZA HERNANDEZ")</f>
        <v>MARITZA HERNANDEZ</v>
      </c>
      <c r="D2610" s="44" t="str">
        <f>IFERROR(__xludf.DUMMYFUNCTION("""COMPUTED_VALUE""")," ")</f>
        <v> </v>
      </c>
      <c r="E2610" s="44" t="str">
        <f>IFERROR(__xludf.DUMMYFUNCTION("""COMPUTED_VALUE"""),"")</f>
        <v/>
      </c>
      <c r="F2610" s="44" t="str">
        <f>IFERROR(__xludf.DUMMYFUNCTION("""COMPUTED_VALUE"""),"")</f>
        <v/>
      </c>
      <c r="G2610" s="44" t="str">
        <f>IFERROR(__xludf.DUMMYFUNCTION("""COMPUTED_VALUE""")," ")</f>
        <v> </v>
      </c>
      <c r="H2610" s="44" t="str">
        <f>IFERROR(__xludf.DUMMYFUNCTION("""COMPUTED_VALUE""")," ")</f>
        <v> </v>
      </c>
      <c r="I2610" s="44" t="str">
        <f>IFERROR(__xludf.DUMMYFUNCTION("""COMPUTED_VALUE""")," ")</f>
        <v> </v>
      </c>
      <c r="J2610" s="44" t="str">
        <f>IFERROR(__xludf.DUMMYFUNCTION("""COMPUTED_VALUE"""),"")</f>
        <v/>
      </c>
      <c r="K2610" s="42" t="str">
        <f>IFERROR(__xludf.DUMMYFUNCTION("""COMPUTED_VALUE"""),"Seguro Social La Guaira")</f>
        <v>Seguro Social La Guaira</v>
      </c>
    </row>
    <row r="2611">
      <c r="A2611" s="44">
        <v>2610.0</v>
      </c>
      <c r="B2611" s="44" t="str">
        <f>IFERROR(__xludf.DUMMYFUNCTION("""COMPUTED_VALUE"""),"Seguro Social La Guaira")</f>
        <v>Seguro Social La Guaira</v>
      </c>
      <c r="C2611" s="45" t="str">
        <f>IFERROR(__xludf.DUMMYFUNCTION("""COMPUTED_VALUE"""),"MARIXA HERNANDEZ")</f>
        <v>MARIXA HERNANDEZ</v>
      </c>
      <c r="D2611" s="44">
        <f>IFERROR(__xludf.DUMMYFUNCTION("""COMPUTED_VALUE"""),70.0)</f>
        <v>70</v>
      </c>
      <c r="E2611" s="44" t="str">
        <f>IFERROR(__xludf.DUMMYFUNCTION("""COMPUTED_VALUE"""),"")</f>
        <v/>
      </c>
      <c r="F2611" s="44" t="str">
        <f>IFERROR(__xludf.DUMMYFUNCTION("""COMPUTED_VALUE"""),"")</f>
        <v/>
      </c>
      <c r="G2611" s="44" t="str">
        <f>IFERROR(__xludf.DUMMYFUNCTION("""COMPUTED_VALUE""")," ")</f>
        <v> </v>
      </c>
      <c r="H2611" s="44" t="str">
        <f>IFERROR(__xludf.DUMMYFUNCTION("""COMPUTED_VALUE"""),"Caribe")</f>
        <v>Caribe</v>
      </c>
      <c r="I2611" s="44" t="str">
        <f>IFERROR(__xludf.DUMMYFUNCTION("""COMPUTED_VALUE""")," ")</f>
        <v> </v>
      </c>
      <c r="J2611" s="44" t="str">
        <f>IFERROR(__xludf.DUMMYFUNCTION("""COMPUTED_VALUE"""),"")</f>
        <v/>
      </c>
      <c r="K2611" s="42" t="str">
        <f>IFERROR(__xludf.DUMMYFUNCTION("""COMPUTED_VALUE"""),"Seguro Social La Guaira")</f>
        <v>Seguro Social La Guaira</v>
      </c>
    </row>
    <row r="2612">
      <c r="A2612" s="44">
        <v>2611.0</v>
      </c>
      <c r="B2612" s="44" t="str">
        <f>IFERROR(__xludf.DUMMYFUNCTION("""COMPUTED_VALUE"""),"Campo de Golf Playa los Cocos")</f>
        <v>Campo de Golf Playa los Cocos</v>
      </c>
      <c r="C2612" s="45" t="str">
        <f>IFERROR(__xludf.DUMMYFUNCTION("""COMPUTED_VALUE"""),"Marlene Andrade")</f>
        <v>Marlene Andrade</v>
      </c>
      <c r="D2612" s="44" t="str">
        <f>IFERROR(__xludf.DUMMYFUNCTION("""COMPUTED_VALUE"""),"")</f>
        <v/>
      </c>
      <c r="E2612" s="44" t="str">
        <f>IFERROR(__xludf.DUMMYFUNCTION("""COMPUTED_VALUE"""),"")</f>
        <v/>
      </c>
      <c r="F2612" s="44" t="str">
        <f>IFERROR(__xludf.DUMMYFUNCTION("""COMPUTED_VALUE"""),"")</f>
        <v/>
      </c>
      <c r="G2612" s="44" t="str">
        <f>IFERROR(__xludf.DUMMYFUNCTION("""COMPUTED_VALUE"""),"")</f>
        <v/>
      </c>
      <c r="H2612" s="44" t="str">
        <f>IFERROR(__xludf.DUMMYFUNCTION("""COMPUTED_VALUE"""),"")</f>
        <v/>
      </c>
      <c r="I2612" s="44"/>
      <c r="J2612" s="44" t="str">
        <f>IFERROR(__xludf.DUMMYFUNCTION("""COMPUTED_VALUE"""),"")</f>
        <v/>
      </c>
      <c r="K2612" s="42" t="str">
        <f>IFERROR(__xludf.DUMMYFUNCTION("""COMPUTED_VALUE"""),"Campo de Golf Playa los Cocos")</f>
        <v>Campo de Golf Playa los Cocos</v>
      </c>
    </row>
    <row r="2613">
      <c r="A2613" s="44">
        <v>2612.0</v>
      </c>
      <c r="B2613" s="44" t="str">
        <f>IFERROR(__xludf.DUMMYFUNCTION("""COMPUTED_VALUE"""),"Hospital Pérez Carreño")</f>
        <v>Hospital Pérez Carreño</v>
      </c>
      <c r="C2613" s="45" t="str">
        <f>IFERROR(__xludf.DUMMYFUNCTION("""COMPUTED_VALUE"""),"Marlene Avendaño")</f>
        <v>Marlene Avendaño</v>
      </c>
      <c r="D2613" s="44"/>
      <c r="E2613" s="44" t="str">
        <f>IFERROR(__xludf.DUMMYFUNCTION("""COMPUTED_VALUE"""),"")</f>
        <v/>
      </c>
      <c r="F2613" s="44" t="str">
        <f>IFERROR(__xludf.DUMMYFUNCTION("""COMPUTED_VALUE"""),"")</f>
        <v/>
      </c>
      <c r="G2613" s="44" t="str">
        <f>IFERROR(__xludf.DUMMYFUNCTION("""COMPUTED_VALUE"""),"Traumashock ")</f>
        <v>Traumashock </v>
      </c>
      <c r="H2613" s="44" t="str">
        <f>IFERROR(__xludf.DUMMYFUNCTION("""COMPUTED_VALUE"""),"Hospital Miguel Perez Carreño")</f>
        <v>Hospital Miguel Perez Carreño</v>
      </c>
      <c r="I2613" s="44"/>
      <c r="J2613" s="44" t="str">
        <f>IFERROR(__xludf.DUMMYFUNCTION("""COMPUTED_VALUE"""),"26/6/26")</f>
        <v>26/6/26</v>
      </c>
      <c r="K2613" s="42" t="str">
        <f>IFERROR(__xludf.DUMMYFUNCTION("""COMPUTED_VALUE"""),"Hospital Pérez Carreño")</f>
        <v>Hospital Pérez Carreño</v>
      </c>
    </row>
    <row r="2614">
      <c r="A2614" s="44">
        <v>2613.0</v>
      </c>
      <c r="B2614" s="44" t="str">
        <f>IFERROR(__xludf.DUMMYFUNCTION("""COMPUTED_VALUE"""),"HOSPITAL VARGAS")</f>
        <v>HOSPITAL VARGAS</v>
      </c>
      <c r="C2614" s="45" t="str">
        <f>IFERROR(__xludf.DUMMYFUNCTION("""COMPUTED_VALUE"""),"Marlene Suárez")</f>
        <v>Marlene Suárez</v>
      </c>
      <c r="D2614" s="44"/>
      <c r="E2614" s="44" t="str">
        <f>IFERROR(__xludf.DUMMYFUNCTION("""COMPUTED_VALUE"""),"")</f>
        <v/>
      </c>
      <c r="F2614" s="44" t="str">
        <f>IFERROR(__xludf.DUMMYFUNCTION("""COMPUTED_VALUE"""),"")</f>
        <v/>
      </c>
      <c r="G2614" s="44" t="str">
        <f>IFERROR(__xludf.DUMMYFUNCTION("""COMPUTED_VALUE"""),"")</f>
        <v/>
      </c>
      <c r="H2614" s="44" t="str">
        <f>IFERROR(__xludf.DUMMYFUNCTION("""COMPUTED_VALUE"""),"")</f>
        <v/>
      </c>
      <c r="I2614" s="44" t="str">
        <f>IFERROR(__xludf.DUMMYFUNCTION("""COMPUTED_VALUE"""),"Herido / atendido")</f>
        <v>Herido / atendido</v>
      </c>
      <c r="J2614" s="44" t="str">
        <f>IFERROR(__xludf.DUMMYFUNCTION("""COMPUTED_VALUE"""),"24.06.2026 ")</f>
        <v>24.06.2026 </v>
      </c>
      <c r="K2614" s="42" t="str">
        <f>IFERROR(__xludf.DUMMYFUNCTION("""COMPUTED_VALUE"""),"HOSPITAL VARGAS")</f>
        <v>HOSPITAL VARGAS</v>
      </c>
    </row>
    <row r="2615">
      <c r="A2615" s="44">
        <v>2614.0</v>
      </c>
      <c r="B2615" s="44" t="str">
        <f>IFERROR(__xludf.DUMMYFUNCTION("""COMPUTED_VALUE"""),"Periférico de Catia")</f>
        <v>Periférico de Catia</v>
      </c>
      <c r="C2615" s="45" t="str">
        <f>IFERROR(__xludf.DUMMYFUNCTION("""COMPUTED_VALUE"""),"MARLENE TERAN")</f>
        <v>MARLENE TERAN</v>
      </c>
      <c r="D2615" s="44">
        <f>IFERROR(__xludf.DUMMYFUNCTION("""COMPUTED_VALUE"""),22.0)</f>
        <v>22</v>
      </c>
      <c r="E2615" s="44" t="str">
        <f>IFERROR(__xludf.DUMMYFUNCTION("""COMPUTED_VALUE"""),"")</f>
        <v/>
      </c>
      <c r="F2615" s="44" t="str">
        <f>IFERROR(__xludf.DUMMYFUNCTION("""COMPUTED_VALUE"""),"")</f>
        <v/>
      </c>
      <c r="G2615" s="44" t="str">
        <f>IFERROR(__xludf.DUMMYFUNCTION("""COMPUTED_VALUE""")," ")</f>
        <v> </v>
      </c>
      <c r="H2615" s="44" t="str">
        <f>IFERROR(__xludf.DUMMYFUNCTION("""COMPUTED_VALUE"""),"3er Plan de la Selva")</f>
        <v>3er Plan de la Selva</v>
      </c>
      <c r="I2615" s="44" t="str">
        <f>IFERROR(__xludf.DUMMYFUNCTION("""COMPUTED_VALUE""")," ")</f>
        <v> </v>
      </c>
      <c r="J2615" s="44" t="str">
        <f>IFERROR(__xludf.DUMMYFUNCTION("""COMPUTED_VALUE"""),"")</f>
        <v/>
      </c>
      <c r="K2615" s="42" t="str">
        <f>IFERROR(__xludf.DUMMYFUNCTION("""COMPUTED_VALUE"""),"Periférico de Catia")</f>
        <v>Periférico de Catia</v>
      </c>
    </row>
    <row r="2616">
      <c r="A2616" s="44">
        <v>2615.0</v>
      </c>
      <c r="B2616" s="44" t="str">
        <f>IFERROR(__xludf.DUMMYFUNCTION("""COMPUTED_VALUE"""),"Hospital Vargas de Caracas")</f>
        <v>Hospital Vargas de Caracas</v>
      </c>
      <c r="C2616" s="45" t="str">
        <f>IFERROR(__xludf.DUMMYFUNCTION("""COMPUTED_VALUE"""),"MARQUES DEYORELIS")</f>
        <v>MARQUES DEYORELIS</v>
      </c>
      <c r="D2616" s="44" t="str">
        <f>IFERROR(__xludf.DUMMYFUNCTION("""COMPUTED_VALUE""")," ")</f>
        <v> </v>
      </c>
      <c r="E2616" s="44" t="str">
        <f>IFERROR(__xludf.DUMMYFUNCTION("""COMPUTED_VALUE"""),"")</f>
        <v/>
      </c>
      <c r="F2616" s="44" t="str">
        <f>IFERROR(__xludf.DUMMYFUNCTION("""COMPUTED_VALUE""")," ")</f>
        <v> </v>
      </c>
      <c r="G2616" s="44" t="str">
        <f>IFERROR(__xludf.DUMMYFUNCTION("""COMPUTED_VALUE"""),"")</f>
        <v/>
      </c>
      <c r="H2616" s="44" t="str">
        <f>IFERROR(__xludf.DUMMYFUNCTION("""COMPUTED_VALUE""")," ")</f>
        <v> </v>
      </c>
      <c r="I2616" s="44" t="str">
        <f>IFERROR(__xludf.DUMMYFUNCTION("""COMPUTED_VALUE""")," ")</f>
        <v> </v>
      </c>
      <c r="J2616" s="44" t="str">
        <f>IFERROR(__xludf.DUMMYFUNCTION("""COMPUTED_VALUE"""),"")</f>
        <v/>
      </c>
      <c r="K2616" s="42" t="str">
        <f>IFERROR(__xludf.DUMMYFUNCTION("""COMPUTED_VALUE"""),"Hospital Vargas de Caracas")</f>
        <v>Hospital Vargas de Caracas</v>
      </c>
    </row>
    <row r="2617">
      <c r="A2617" s="44">
        <v>2616.0</v>
      </c>
      <c r="B2617" s="44" t="str">
        <f>IFERROR(__xludf.DUMMYFUNCTION("""COMPUTED_VALUE"""),"Hospital Vargas de Caracas")</f>
        <v>Hospital Vargas de Caracas</v>
      </c>
      <c r="C2617" s="45" t="str">
        <f>IFERROR(__xludf.DUMMYFUNCTION("""COMPUTED_VALUE"""),"MARQUEZ CESAR")</f>
        <v>MARQUEZ CESAR</v>
      </c>
      <c r="D2617" s="44" t="str">
        <f>IFERROR(__xludf.DUMMYFUNCTION("""COMPUTED_VALUE""")," ")</f>
        <v> </v>
      </c>
      <c r="E2617" s="44" t="str">
        <f>IFERROR(__xludf.DUMMYFUNCTION("""COMPUTED_VALUE"""),"")</f>
        <v/>
      </c>
      <c r="F2617" s="44" t="str">
        <f>IFERROR(__xludf.DUMMYFUNCTION("""COMPUTED_VALUE""")," ")</f>
        <v> </v>
      </c>
      <c r="G2617" s="44" t="str">
        <f>IFERROR(__xludf.DUMMYFUNCTION("""COMPUTED_VALUE"""),"")</f>
        <v/>
      </c>
      <c r="H2617" s="44" t="str">
        <f>IFERROR(__xludf.DUMMYFUNCTION("""COMPUTED_VALUE""")," ")</f>
        <v> </v>
      </c>
      <c r="I2617" s="44" t="str">
        <f>IFERROR(__xludf.DUMMYFUNCTION("""COMPUTED_VALUE""")," ")</f>
        <v> </v>
      </c>
      <c r="J2617" s="44" t="str">
        <f>IFERROR(__xludf.DUMMYFUNCTION("""COMPUTED_VALUE"""),"")</f>
        <v/>
      </c>
      <c r="K2617" s="42" t="str">
        <f>IFERROR(__xludf.DUMMYFUNCTION("""COMPUTED_VALUE"""),"Hospital Vargas de Caracas")</f>
        <v>Hospital Vargas de Caracas</v>
      </c>
    </row>
    <row r="2618">
      <c r="A2618" s="44">
        <v>2617.0</v>
      </c>
      <c r="B2618" s="44" t="str">
        <f>IFERROR(__xludf.DUMMYFUNCTION("""COMPUTED_VALUE"""),"Hospital Pérez Carreño")</f>
        <v>Hospital Pérez Carreño</v>
      </c>
      <c r="C2618" s="45" t="str">
        <f>IFERROR(__xludf.DUMMYFUNCTION("""COMPUTED_VALUE"""),"MARQUEZ ROBERTH")</f>
        <v>MARQUEZ ROBERTH</v>
      </c>
      <c r="D2618" s="44">
        <f>IFERROR(__xludf.DUMMYFUNCTION("""COMPUTED_VALUE"""),21.0)</f>
        <v>21</v>
      </c>
      <c r="E2618" s="44" t="str">
        <f>IFERROR(__xludf.DUMMYFUNCTION("""COMPUTED_VALUE"""),"")</f>
        <v/>
      </c>
      <c r="F2618" s="44" t="str">
        <f>IFERROR(__xludf.DUMMYFUNCTION("""COMPUTED_VALUE"""),"")</f>
        <v/>
      </c>
      <c r="G2618" s="44" t="str">
        <f>IFERROR(__xludf.DUMMYFUNCTION("""COMPUTED_VALUE""")," ")</f>
        <v> </v>
      </c>
      <c r="H2618" s="44" t="str">
        <f>IFERROR(__xludf.DUMMYFUNCTION("""COMPUTED_VALUE""")," ")</f>
        <v> </v>
      </c>
      <c r="I2618" s="44" t="str">
        <f>IFERROR(__xludf.DUMMYFUNCTION("""COMPUTED_VALUE"""),"Traumachok; La Guaira")</f>
        <v>Traumachok; La Guaira</v>
      </c>
      <c r="J2618" s="44" t="str">
        <f>IFERROR(__xludf.DUMMYFUNCTION("""COMPUTED_VALUE"""),"25/06/2026")</f>
        <v>25/06/2026</v>
      </c>
      <c r="K2618" s="42" t="str">
        <f>IFERROR(__xludf.DUMMYFUNCTION("""COMPUTED_VALUE"""),"Hospital Pérez Carreño")</f>
        <v>Hospital Pérez Carreño</v>
      </c>
    </row>
    <row r="2619">
      <c r="A2619" s="44">
        <v>2618.0</v>
      </c>
      <c r="B2619" s="44" t="str">
        <f>IFERROR(__xludf.DUMMYFUNCTION("""COMPUTED_VALUE"""),"Centro de Acopio Caraballeda")</f>
        <v>Centro de Acopio Caraballeda</v>
      </c>
      <c r="C2619" s="45" t="str">
        <f>IFERROR(__xludf.DUMMYFUNCTION("""COMPUTED_VALUE"""),"MARQUEZ ROSA")</f>
        <v>MARQUEZ ROSA</v>
      </c>
      <c r="D2619" s="44" t="str">
        <f>IFERROR(__xludf.DUMMYFUNCTION("""COMPUTED_VALUE""")," ")</f>
        <v> </v>
      </c>
      <c r="E2619" s="44" t="str">
        <f>IFERROR(__xludf.DUMMYFUNCTION("""COMPUTED_VALUE"""),"")</f>
        <v/>
      </c>
      <c r="F2619" s="44" t="str">
        <f>IFERROR(__xludf.DUMMYFUNCTION("""COMPUTED_VALUE"""),"")</f>
        <v/>
      </c>
      <c r="G2619" s="44" t="str">
        <f>IFERROR(__xludf.DUMMYFUNCTION("""COMPUTED_VALUE""")," ")</f>
        <v> </v>
      </c>
      <c r="H2619" s="44" t="str">
        <f>IFERROR(__xludf.DUMMYFUNCTION("""COMPUTED_VALUE""")," ")</f>
        <v> </v>
      </c>
      <c r="I2619" s="44" t="str">
        <f>IFERROR(__xludf.DUMMYFUNCTION("""COMPUTED_VALUE"""),"Internado")</f>
        <v>Internado</v>
      </c>
      <c r="J2619" s="44" t="str">
        <f>IFERROR(__xludf.DUMMYFUNCTION("""COMPUTED_VALUE"""),"")</f>
        <v/>
      </c>
      <c r="K2619" s="42" t="str">
        <f>IFERROR(__xludf.DUMMYFUNCTION("""COMPUTED_VALUE"""),"🔍 BUSCAR PACIENTES")</f>
        <v>🔍 BUSCAR PACIENTES</v>
      </c>
    </row>
    <row r="2620">
      <c r="A2620" s="44">
        <v>2619.0</v>
      </c>
      <c r="B2620" s="44" t="str">
        <f>IFERROR(__xludf.DUMMYFUNCTION("""COMPUTED_VALUE"""),"Centro de Acopio Caraballeda")</f>
        <v>Centro de Acopio Caraballeda</v>
      </c>
      <c r="C2620" s="45" t="str">
        <f>IFERROR(__xludf.DUMMYFUNCTION("""COMPUTED_VALUE"""),"MARQUEZ ROSELY")</f>
        <v>MARQUEZ ROSELY</v>
      </c>
      <c r="D2620" s="44" t="str">
        <f>IFERROR(__xludf.DUMMYFUNCTION("""COMPUTED_VALUE""")," ")</f>
        <v> </v>
      </c>
      <c r="E2620" s="44" t="str">
        <f>IFERROR(__xludf.DUMMYFUNCTION("""COMPUTED_VALUE"""),"")</f>
        <v/>
      </c>
      <c r="F2620" s="44" t="str">
        <f>IFERROR(__xludf.DUMMYFUNCTION("""COMPUTED_VALUE"""),"")</f>
        <v/>
      </c>
      <c r="G2620" s="44" t="str">
        <f>IFERROR(__xludf.DUMMYFUNCTION("""COMPUTED_VALUE""")," ")</f>
        <v> </v>
      </c>
      <c r="H2620" s="44" t="str">
        <f>IFERROR(__xludf.DUMMYFUNCTION("""COMPUTED_VALUE""")," ")</f>
        <v> </v>
      </c>
      <c r="I2620" s="44" t="str">
        <f>IFERROR(__xludf.DUMMYFUNCTION("""COMPUTED_VALUE"""),"Internado")</f>
        <v>Internado</v>
      </c>
      <c r="J2620" s="44" t="str">
        <f>IFERROR(__xludf.DUMMYFUNCTION("""COMPUTED_VALUE"""),"")</f>
        <v/>
      </c>
      <c r="K2620" s="42" t="str">
        <f>IFERROR(__xludf.DUMMYFUNCTION("""COMPUTED_VALUE"""),"🔍 BUSCAR PACIENTES")</f>
        <v>🔍 BUSCAR PACIENTES</v>
      </c>
    </row>
    <row r="2621">
      <c r="A2621" s="44">
        <v>2620.0</v>
      </c>
      <c r="B2621" s="44" t="str">
        <f>IFERROR(__xludf.DUMMYFUNCTION("""COMPUTED_VALUE"""),"Hospital Vargas de Caracas")</f>
        <v>Hospital Vargas de Caracas</v>
      </c>
      <c r="C2621" s="45" t="str">
        <f>IFERROR(__xludf.DUMMYFUNCTION("""COMPUTED_VALUE"""),"MARRERO CRISMARLY")</f>
        <v>MARRERO CRISMARLY</v>
      </c>
      <c r="D2621" s="44" t="str">
        <f>IFERROR(__xludf.DUMMYFUNCTION("""COMPUTED_VALUE""")," ")</f>
        <v> </v>
      </c>
      <c r="E2621" s="44" t="str">
        <f>IFERROR(__xludf.DUMMYFUNCTION("""COMPUTED_VALUE"""),"")</f>
        <v/>
      </c>
      <c r="F2621" s="44" t="str">
        <f>IFERROR(__xludf.DUMMYFUNCTION("""COMPUTED_VALUE""")," ")</f>
        <v> </v>
      </c>
      <c r="G2621" s="44" t="str">
        <f>IFERROR(__xludf.DUMMYFUNCTION("""COMPUTED_VALUE"""),"")</f>
        <v/>
      </c>
      <c r="H2621" s="44" t="str">
        <f>IFERROR(__xludf.DUMMYFUNCTION("""COMPUTED_VALUE""")," ")</f>
        <v> </v>
      </c>
      <c r="I2621" s="44" t="str">
        <f>IFERROR(__xludf.DUMMYFUNCTION("""COMPUTED_VALUE""")," ")</f>
        <v> </v>
      </c>
      <c r="J2621" s="44" t="str">
        <f>IFERROR(__xludf.DUMMYFUNCTION("""COMPUTED_VALUE"""),"")</f>
        <v/>
      </c>
      <c r="K2621" s="42" t="str">
        <f>IFERROR(__xludf.DUMMYFUNCTION("""COMPUTED_VALUE"""),"Hospital Vargas de Caracas")</f>
        <v>Hospital Vargas de Caracas</v>
      </c>
    </row>
    <row r="2622">
      <c r="A2622" s="44">
        <v>2621.0</v>
      </c>
      <c r="B2622" s="44" t="str">
        <f>IFERROR(__xludf.DUMMYFUNCTION("""COMPUTED_VALUE"""),"Hospital Pérez Carreño")</f>
        <v>Hospital Pérez Carreño</v>
      </c>
      <c r="C2622" s="45" t="str">
        <f>IFERROR(__xludf.DUMMYFUNCTION("""COMPUTED_VALUE"""),"MARTINEZ CLARIANGELA")</f>
        <v>MARTINEZ CLARIANGELA</v>
      </c>
      <c r="D2622" s="44">
        <f>IFERROR(__xludf.DUMMYFUNCTION("""COMPUTED_VALUE"""),30.0)</f>
        <v>30</v>
      </c>
      <c r="E2622" s="44" t="str">
        <f>IFERROR(__xludf.DUMMYFUNCTION("""COMPUTED_VALUE"""),"")</f>
        <v/>
      </c>
      <c r="F2622" s="44" t="str">
        <f>IFERROR(__xludf.DUMMYFUNCTION("""COMPUTED_VALUE"""),"")</f>
        <v/>
      </c>
      <c r="G2622" s="44" t="str">
        <f>IFERROR(__xludf.DUMMYFUNCTION("""COMPUTED_VALUE""")," ")</f>
        <v> </v>
      </c>
      <c r="H2622" s="44" t="str">
        <f>IFERROR(__xludf.DUMMYFUNCTION("""COMPUTED_VALUE""")," ")</f>
        <v> </v>
      </c>
      <c r="I2622" s="44" t="str">
        <f>IFERROR(__xludf.DUMMYFUNCTION("""COMPUTED_VALUE"""),"Piso 3 – Traumachok; La Guaira")</f>
        <v>Piso 3 – Traumachok; La Guaira</v>
      </c>
      <c r="J2622" s="44" t="str">
        <f>IFERROR(__xludf.DUMMYFUNCTION("""COMPUTED_VALUE"""),"25/06/2026")</f>
        <v>25/06/2026</v>
      </c>
      <c r="K2622" s="42" t="str">
        <f>IFERROR(__xludf.DUMMYFUNCTION("""COMPUTED_VALUE"""),"Hospital Pérez Carreño")</f>
        <v>Hospital Pérez Carreño</v>
      </c>
    </row>
    <row r="2623">
      <c r="A2623" s="44">
        <v>2622.0</v>
      </c>
      <c r="B2623" s="44" t="str">
        <f>IFERROR(__xludf.DUMMYFUNCTION("""COMPUTED_VALUE"""),"H. Jose Maria Vargas LG")</f>
        <v>H. Jose Maria Vargas LG</v>
      </c>
      <c r="C2623" s="45" t="str">
        <f>IFERROR(__xludf.DUMMYFUNCTION("""COMPUTED_VALUE"""),"MARTINEZ DANICA")</f>
        <v>MARTINEZ DANICA</v>
      </c>
      <c r="D2623" s="44">
        <f>IFERROR(__xludf.DUMMYFUNCTION("""COMPUTED_VALUE"""),42.0)</f>
        <v>42</v>
      </c>
      <c r="E2623" s="44" t="str">
        <f>IFERROR(__xludf.DUMMYFUNCTION("""COMPUTED_VALUE"""),"")</f>
        <v/>
      </c>
      <c r="F2623" s="44" t="str">
        <f>IFERROR(__xludf.DUMMYFUNCTION("""COMPUTED_VALUE"""),"")</f>
        <v/>
      </c>
      <c r="G2623" s="44" t="str">
        <f>IFERROR(__xludf.DUMMYFUNCTION("""COMPUTED_VALUE""")," ")</f>
        <v> </v>
      </c>
      <c r="H2623" s="44" t="str">
        <f>IFERROR(__xludf.DUMMYFUNCTION("""COMPUTED_VALUE"""),"Caribe")</f>
        <v>Caribe</v>
      </c>
      <c r="I2623" s="44" t="str">
        <f>IFERROR(__xludf.DUMMYFUNCTION("""COMPUTED_VALUE""")," ")</f>
        <v> </v>
      </c>
      <c r="J2623" s="44" t="str">
        <f>IFERROR(__xludf.DUMMYFUNCTION("""COMPUTED_VALUE"""),"")</f>
        <v/>
      </c>
      <c r="K2623" s="42" t="str">
        <f>IFERROR(__xludf.DUMMYFUNCTION("""COMPUTED_VALUE"""),"H. Jose Maria Vargas LG")</f>
        <v>H. Jose Maria Vargas LG</v>
      </c>
    </row>
    <row r="2624">
      <c r="A2624" s="44">
        <v>2623.0</v>
      </c>
      <c r="B2624" s="44" t="str">
        <f>IFERROR(__xludf.DUMMYFUNCTION("""COMPUTED_VALUE"""),"Centro de Acopio Caraballeda")</f>
        <v>Centro de Acopio Caraballeda</v>
      </c>
      <c r="C2624" s="45" t="str">
        <f>IFERROR(__xludf.DUMMYFUNCTION("""COMPUTED_VALUE"""),"MARTINEZ DANIEL")</f>
        <v>MARTINEZ DANIEL</v>
      </c>
      <c r="D2624" s="44" t="str">
        <f>IFERROR(__xludf.DUMMYFUNCTION("""COMPUTED_VALUE""")," ")</f>
        <v> </v>
      </c>
      <c r="E2624" s="44" t="str">
        <f>IFERROR(__xludf.DUMMYFUNCTION("""COMPUTED_VALUE"""),"")</f>
        <v/>
      </c>
      <c r="F2624" s="44" t="str">
        <f>IFERROR(__xludf.DUMMYFUNCTION("""COMPUTED_VALUE"""),"")</f>
        <v/>
      </c>
      <c r="G2624" s="44" t="str">
        <f>IFERROR(__xludf.DUMMYFUNCTION("""COMPUTED_VALUE""")," ")</f>
        <v> </v>
      </c>
      <c r="H2624" s="44" t="str">
        <f>IFERROR(__xludf.DUMMYFUNCTION("""COMPUTED_VALUE""")," ")</f>
        <v> </v>
      </c>
      <c r="I2624" s="44" t="str">
        <f>IFERROR(__xludf.DUMMYFUNCTION("""COMPUTED_VALUE"""),"Internado")</f>
        <v>Internado</v>
      </c>
      <c r="J2624" s="44" t="str">
        <f>IFERROR(__xludf.DUMMYFUNCTION("""COMPUTED_VALUE"""),"")</f>
        <v/>
      </c>
      <c r="K2624" s="42" t="str">
        <f>IFERROR(__xludf.DUMMYFUNCTION("""COMPUTED_VALUE"""),"🔍 BUSCAR PACIENTES")</f>
        <v>🔍 BUSCAR PACIENTES</v>
      </c>
    </row>
    <row r="2625">
      <c r="A2625" s="44">
        <v>2624.0</v>
      </c>
      <c r="B2625" s="44" t="str">
        <f>IFERROR(__xludf.DUMMYFUNCTION("""COMPUTED_VALUE"""),"Centro de Acopio Caraballeda")</f>
        <v>Centro de Acopio Caraballeda</v>
      </c>
      <c r="C2625" s="45" t="str">
        <f>IFERROR(__xludf.DUMMYFUNCTION("""COMPUTED_VALUE"""),"MARTINEZ ELIESER")</f>
        <v>MARTINEZ ELIESER</v>
      </c>
      <c r="D2625" s="44" t="str">
        <f>IFERROR(__xludf.DUMMYFUNCTION("""COMPUTED_VALUE""")," ")</f>
        <v> </v>
      </c>
      <c r="E2625" s="44" t="str">
        <f>IFERROR(__xludf.DUMMYFUNCTION("""COMPUTED_VALUE"""),"")</f>
        <v/>
      </c>
      <c r="F2625" s="44" t="str">
        <f>IFERROR(__xludf.DUMMYFUNCTION("""COMPUTED_VALUE"""),"")</f>
        <v/>
      </c>
      <c r="G2625" s="44" t="str">
        <f>IFERROR(__xludf.DUMMYFUNCTION("""COMPUTED_VALUE""")," ")</f>
        <v> </v>
      </c>
      <c r="H2625" s="44" t="str">
        <f>IFERROR(__xludf.DUMMYFUNCTION("""COMPUTED_VALUE""")," ")</f>
        <v> </v>
      </c>
      <c r="I2625" s="44" t="str">
        <f>IFERROR(__xludf.DUMMYFUNCTION("""COMPUTED_VALUE"""),"Internado")</f>
        <v>Internado</v>
      </c>
      <c r="J2625" s="44" t="str">
        <f>IFERROR(__xludf.DUMMYFUNCTION("""COMPUTED_VALUE"""),"")</f>
        <v/>
      </c>
      <c r="K2625" s="42" t="str">
        <f>IFERROR(__xludf.DUMMYFUNCTION("""COMPUTED_VALUE"""),"🔍 BUSCAR PACIENTES")</f>
        <v>🔍 BUSCAR PACIENTES</v>
      </c>
    </row>
    <row r="2626">
      <c r="A2626" s="44">
        <v>2625.0</v>
      </c>
      <c r="B2626" s="44" t="str">
        <f>IFERROR(__xludf.DUMMYFUNCTION("""COMPUTED_VALUE"""),"Clínica El Ávila")</f>
        <v>Clínica El Ávila</v>
      </c>
      <c r="C2626" s="45" t="str">
        <f>IFERROR(__xludf.DUMMYFUNCTION("""COMPUTED_VALUE"""),"MARTINEZ ERIK")</f>
        <v>MARTINEZ ERIK</v>
      </c>
      <c r="D2626" s="44" t="str">
        <f>IFERROR(__xludf.DUMMYFUNCTION("""COMPUTED_VALUE""")," ")</f>
        <v> </v>
      </c>
      <c r="E2626" s="44" t="str">
        <f>IFERROR(__xludf.DUMMYFUNCTION("""COMPUTED_VALUE"""),"")</f>
        <v/>
      </c>
      <c r="F2626" s="44" t="str">
        <f>IFERROR(__xludf.DUMMYFUNCTION("""COMPUTED_VALUE"""),"")</f>
        <v/>
      </c>
      <c r="G2626" s="44" t="str">
        <f>IFERROR(__xludf.DUMMYFUNCTION("""COMPUTED_VALUE""")," ")</f>
        <v> </v>
      </c>
      <c r="H2626" s="44" t="str">
        <f>IFERROR(__xludf.DUMMYFUNCTION("""COMPUTED_VALUE""")," ")</f>
        <v> </v>
      </c>
      <c r="I2626" s="44" t="str">
        <f>IFERROR(__xludf.DUMMYFUNCTION("""COMPUTED_VALUE""")," ")</f>
        <v> </v>
      </c>
      <c r="J2626" s="44" t="str">
        <f>IFERROR(__xludf.DUMMYFUNCTION("""COMPUTED_VALUE"""),"")</f>
        <v/>
      </c>
      <c r="K2626" s="42" t="str">
        <f>IFERROR(__xludf.DUMMYFUNCTION("""COMPUTED_VALUE"""),"Clínica El Ávila")</f>
        <v>Clínica El Ávila</v>
      </c>
    </row>
    <row r="2627">
      <c r="A2627" s="44">
        <v>2626.0</v>
      </c>
      <c r="B2627" s="44" t="str">
        <f>IFERROR(__xludf.DUMMYFUNCTION("""COMPUTED_VALUE"""),"Hospital Pérez Carreño")</f>
        <v>Hospital Pérez Carreño</v>
      </c>
      <c r="C2627" s="45" t="str">
        <f>IFERROR(__xludf.DUMMYFUNCTION("""COMPUTED_VALUE"""),"Martinez Flores Clarangela")</f>
        <v>Martinez Flores Clarangela</v>
      </c>
      <c r="D2627" s="44"/>
      <c r="E2627" s="44" t="str">
        <f>IFERROR(__xludf.DUMMYFUNCTION("""COMPUTED_VALUE"""),"")</f>
        <v/>
      </c>
      <c r="F2627" s="44" t="str">
        <f>IFERROR(__xludf.DUMMYFUNCTION("""COMPUTED_VALUE"""),"")</f>
        <v/>
      </c>
      <c r="G2627" s="44" t="str">
        <f>IFERROR(__xludf.DUMMYFUNCTION("""COMPUTED_VALUE"""),"Traslados con destino asignado")</f>
        <v>Traslados con destino asignado</v>
      </c>
      <c r="H2627" s="44" t="str">
        <f>IFERROR(__xludf.DUMMYFUNCTION("""COMPUTED_VALUE"""),"Hospital Miguel Perez Carreño")</f>
        <v>Hospital Miguel Perez Carreño</v>
      </c>
      <c r="I2627" s="44"/>
      <c r="J2627" s="44" t="str">
        <f>IFERROR(__xludf.DUMMYFUNCTION("""COMPUTED_VALUE"""),"26/6/26")</f>
        <v>26/6/26</v>
      </c>
      <c r="K2627" s="42" t="str">
        <f>IFERROR(__xludf.DUMMYFUNCTION("""COMPUTED_VALUE"""),"Hospital Pérez Carreño")</f>
        <v>Hospital Pérez Carreño</v>
      </c>
    </row>
    <row r="2628">
      <c r="A2628" s="44">
        <v>2627.0</v>
      </c>
      <c r="B2628" s="44" t="str">
        <f>IFERROR(__xludf.DUMMYFUNCTION("""COMPUTED_VALUE"""),"Hospital Pérez Carreño")</f>
        <v>Hospital Pérez Carreño</v>
      </c>
      <c r="C2628" s="45" t="str">
        <f>IFERROR(__xludf.DUMMYFUNCTION("""COMPUTED_VALUE"""),"MARTINEZ GABRIEL")</f>
        <v>MARTINEZ GABRIEL</v>
      </c>
      <c r="D2628" s="44" t="str">
        <f>IFERROR(__xludf.DUMMYFUNCTION("""COMPUTED_VALUE""")," ")</f>
        <v> </v>
      </c>
      <c r="E2628" s="44" t="str">
        <f>IFERROR(__xludf.DUMMYFUNCTION("""COMPUTED_VALUE"""),"")</f>
        <v/>
      </c>
      <c r="F2628" s="44" t="str">
        <f>IFERROR(__xludf.DUMMYFUNCTION("""COMPUTED_VALUE"""),"")</f>
        <v/>
      </c>
      <c r="G2628" s="44" t="str">
        <f>IFERROR(__xludf.DUMMYFUNCTION("""COMPUTED_VALUE""")," ")</f>
        <v> </v>
      </c>
      <c r="H2628" s="44" t="str">
        <f>IFERROR(__xludf.DUMMYFUNCTION("""COMPUTED_VALUE""")," ")</f>
        <v> </v>
      </c>
      <c r="I2628" s="44" t="str">
        <f>IFERROR(__xludf.DUMMYFUNCTION("""COMPUTED_VALUE""")," ")</f>
        <v> </v>
      </c>
      <c r="J2628" s="44" t="str">
        <f>IFERROR(__xludf.DUMMYFUNCTION("""COMPUTED_VALUE"""),"25/06/2026")</f>
        <v>25/06/2026</v>
      </c>
      <c r="K2628" s="42" t="str">
        <f>IFERROR(__xludf.DUMMYFUNCTION("""COMPUTED_VALUE"""),"Hospital Pérez Carreño")</f>
        <v>Hospital Pérez Carreño</v>
      </c>
    </row>
    <row r="2629">
      <c r="A2629" s="44">
        <v>2628.0</v>
      </c>
      <c r="B2629" s="44" t="str">
        <f>IFERROR(__xludf.DUMMYFUNCTION("""COMPUTED_VALUE"""),"Hospital Domingo Luciani")</f>
        <v>Hospital Domingo Luciani</v>
      </c>
      <c r="C2629" s="45" t="str">
        <f>IFERROR(__xludf.DUMMYFUNCTION("""COMPUTED_VALUE"""),"MARTINEZ ISAAC")</f>
        <v>MARTINEZ ISAAC</v>
      </c>
      <c r="D2629" s="44">
        <f>IFERROR(__xludf.DUMMYFUNCTION("""COMPUTED_VALUE"""),10.0)</f>
        <v>10</v>
      </c>
      <c r="E2629" s="44" t="str">
        <f>IFERROR(__xludf.DUMMYFUNCTION("""COMPUTED_VALUE"""),"")</f>
        <v/>
      </c>
      <c r="F2629" s="44" t="str">
        <f>IFERROR(__xludf.DUMMYFUNCTION("""COMPUTED_VALUE"""),"")</f>
        <v/>
      </c>
      <c r="G2629" s="44" t="str">
        <f>IFERROR(__xludf.DUMMYFUNCTION("""COMPUTED_VALUE""")," ")</f>
        <v> </v>
      </c>
      <c r="H2629" s="44" t="str">
        <f>IFERROR(__xludf.DUMMYFUNCTION("""COMPUTED_VALUE""")," ")</f>
        <v> </v>
      </c>
      <c r="I2629" s="44" t="str">
        <f>IFERROR(__xludf.DUMMYFUNCTION("""COMPUTED_VALUE"""),"Quirófano")</f>
        <v>Quirófano</v>
      </c>
      <c r="J2629" s="44" t="str">
        <f>IFERROR(__xludf.DUMMYFUNCTION("""COMPUTED_VALUE"""),"")</f>
        <v/>
      </c>
      <c r="K2629" s="42" t="str">
        <f>IFERROR(__xludf.DUMMYFUNCTION("""COMPUTED_VALUE"""),"🔍 BUSCAR PACIENTES")</f>
        <v>🔍 BUSCAR PACIENTES</v>
      </c>
    </row>
    <row r="2630">
      <c r="A2630" s="44">
        <v>2629.0</v>
      </c>
      <c r="B2630" s="44" t="str">
        <f>IFERROR(__xludf.DUMMYFUNCTION("""COMPUTED_VALUE"""),"Hospital Pérez Carreño")</f>
        <v>Hospital Pérez Carreño</v>
      </c>
      <c r="C2630" s="45" t="str">
        <f>IFERROR(__xludf.DUMMYFUNCTION("""COMPUTED_VALUE"""),"MARTINEZ JAIKER")</f>
        <v>MARTINEZ JAIKER</v>
      </c>
      <c r="D2630" s="44">
        <f>IFERROR(__xludf.DUMMYFUNCTION("""COMPUTED_VALUE"""),8.0)</f>
        <v>8</v>
      </c>
      <c r="E2630" s="44" t="str">
        <f>IFERROR(__xludf.DUMMYFUNCTION("""COMPUTED_VALUE"""),"")</f>
        <v/>
      </c>
      <c r="F2630" s="44" t="str">
        <f>IFERROR(__xludf.DUMMYFUNCTION("""COMPUTED_VALUE"""),"")</f>
        <v/>
      </c>
      <c r="G2630" s="44" t="str">
        <f>IFERROR(__xludf.DUMMYFUNCTION("""COMPUTED_VALUE""")," ")</f>
        <v> </v>
      </c>
      <c r="H2630" s="44" t="str">
        <f>IFERROR(__xludf.DUMMYFUNCTION("""COMPUTED_VALUE""")," ")</f>
        <v> </v>
      </c>
      <c r="I2630" s="44" t="str">
        <f>IFERROR(__xludf.DUMMYFUNCTION("""COMPUTED_VALUE"""),"Pediatría – Mamá: Génesis Martínez")</f>
        <v>Pediatría – Mamá: Génesis Martínez</v>
      </c>
      <c r="J2630" s="44" t="str">
        <f>IFERROR(__xludf.DUMMYFUNCTION("""COMPUTED_VALUE"""),"25/06/2026")</f>
        <v>25/06/2026</v>
      </c>
      <c r="K2630" s="42" t="str">
        <f>IFERROR(__xludf.DUMMYFUNCTION("""COMPUTED_VALUE"""),"Hospital Pérez Carreño")</f>
        <v>Hospital Pérez Carreño</v>
      </c>
    </row>
    <row r="2631">
      <c r="A2631" s="44">
        <v>2630.0</v>
      </c>
      <c r="B2631" s="44" t="str">
        <f>IFERROR(__xludf.DUMMYFUNCTION("""COMPUTED_VALUE"""),"Hospital Domingo Luciani")</f>
        <v>Hospital Domingo Luciani</v>
      </c>
      <c r="C2631" s="45" t="str">
        <f>IFERROR(__xludf.DUMMYFUNCTION("""COMPUTED_VALUE"""),"MARTINEZ JESUS")</f>
        <v>MARTINEZ JESUS</v>
      </c>
      <c r="D2631" s="44">
        <f>IFERROR(__xludf.DUMMYFUNCTION("""COMPUTED_VALUE"""),7.0)</f>
        <v>7</v>
      </c>
      <c r="E2631" s="44" t="str">
        <f>IFERROR(__xludf.DUMMYFUNCTION("""COMPUTED_VALUE"""),"")</f>
        <v/>
      </c>
      <c r="F2631" s="44" t="str">
        <f>IFERROR(__xludf.DUMMYFUNCTION("""COMPUTED_VALUE"""),"")</f>
        <v/>
      </c>
      <c r="G2631" s="44" t="str">
        <f>IFERROR(__xludf.DUMMYFUNCTION("""COMPUTED_VALUE""")," ")</f>
        <v> </v>
      </c>
      <c r="H2631" s="44" t="str">
        <f>IFERROR(__xludf.DUMMYFUNCTION("""COMPUTED_VALUE""")," ")</f>
        <v> </v>
      </c>
      <c r="I2631" s="44" t="str">
        <f>IFERROR(__xludf.DUMMYFUNCTION("""COMPUTED_VALUE"""),"Quirófano")</f>
        <v>Quirófano</v>
      </c>
      <c r="J2631" s="44" t="str">
        <f>IFERROR(__xludf.DUMMYFUNCTION("""COMPUTED_VALUE"""),"")</f>
        <v/>
      </c>
      <c r="K2631" s="42" t="str">
        <f>IFERROR(__xludf.DUMMYFUNCTION("""COMPUTED_VALUE"""),"🔍 BUSCAR PACIENTES")</f>
        <v>🔍 BUSCAR PACIENTES</v>
      </c>
    </row>
    <row r="2632">
      <c r="A2632" s="44">
        <v>2631.0</v>
      </c>
      <c r="B2632" s="44" t="str">
        <f>IFERROR(__xludf.DUMMYFUNCTION("""COMPUTED_VALUE"""),"Hospital Domingo Luciani")</f>
        <v>Hospital Domingo Luciani</v>
      </c>
      <c r="C2632" s="45" t="str">
        <f>IFERROR(__xludf.DUMMYFUNCTION("""COMPUTED_VALUE"""),"MARTINEZ JOAN")</f>
        <v>MARTINEZ JOAN</v>
      </c>
      <c r="D2632" s="44">
        <f>IFERROR(__xludf.DUMMYFUNCTION("""COMPUTED_VALUE"""),10.0)</f>
        <v>10</v>
      </c>
      <c r="E2632" s="44" t="str">
        <f>IFERROR(__xludf.DUMMYFUNCTION("""COMPUTED_VALUE"""),"")</f>
        <v/>
      </c>
      <c r="F2632" s="44" t="str">
        <f>IFERROR(__xludf.DUMMYFUNCTION("""COMPUTED_VALUE"""),"")</f>
        <v/>
      </c>
      <c r="G2632" s="44" t="str">
        <f>IFERROR(__xludf.DUMMYFUNCTION("""COMPUTED_VALUE""")," ")</f>
        <v> </v>
      </c>
      <c r="H2632" s="44" t="str">
        <f>IFERROR(__xludf.DUMMYFUNCTION("""COMPUTED_VALUE""")," ")</f>
        <v> </v>
      </c>
      <c r="I2632" s="44" t="str">
        <f>IFERROR(__xludf.DUMMYFUNCTION("""COMPUTED_VALUE"""),"Pediatría |  ")</f>
        <v>Pediatría |  </v>
      </c>
      <c r="J2632" s="44" t="str">
        <f>IFERROR(__xludf.DUMMYFUNCTION("""COMPUTED_VALUE"""),"")</f>
        <v/>
      </c>
      <c r="K2632" s="42" t="str">
        <f>IFERROR(__xludf.DUMMYFUNCTION("""COMPUTED_VALUE"""),"🔍 BUSCAR PACIENTES")</f>
        <v>🔍 BUSCAR PACIENTES</v>
      </c>
    </row>
    <row r="2633">
      <c r="A2633" s="44">
        <v>2632.0</v>
      </c>
      <c r="B2633" s="44" t="str">
        <f>IFERROR(__xludf.DUMMYFUNCTION("""COMPUTED_VALUE"""),"Periférico de Catia")</f>
        <v>Periférico de Catia</v>
      </c>
      <c r="C2633" s="45" t="str">
        <f>IFERROR(__xludf.DUMMYFUNCTION("""COMPUTED_VALUE"""),"Martinez Johan")</f>
        <v>Martinez Johan</v>
      </c>
      <c r="D2633" s="44">
        <f>IFERROR(__xludf.DUMMYFUNCTION("""COMPUTED_VALUE"""),10.0)</f>
        <v>10</v>
      </c>
      <c r="E2633" s="44" t="str">
        <f>IFERROR(__xludf.DUMMYFUNCTION("""COMPUTED_VALUE"""),"")</f>
        <v/>
      </c>
      <c r="F2633" s="44" t="str">
        <f>IFERROR(__xludf.DUMMYFUNCTION("""COMPUTED_VALUE"""),"")</f>
        <v/>
      </c>
      <c r="G2633" s="44"/>
      <c r="H2633" s="44"/>
      <c r="I2633" s="44" t="str">
        <f>IFERROR(__xludf.DUMMYFUNCTION("""COMPUTED_VALUE"""),"Lista adicional (pizarra extensa sin titulo de sala especifico)")</f>
        <v>Lista adicional (pizarra extensa sin titulo de sala especifico)</v>
      </c>
      <c r="J2633" s="44" t="str">
        <f>IFERROR(__xludf.DUMMYFUNCTION("""COMPUTED_VALUE"""),"")</f>
        <v/>
      </c>
      <c r="K2633" s="42" t="str">
        <f>IFERROR(__xludf.DUMMYFUNCTION("""COMPUTED_VALUE"""),"Periférico de Catia")</f>
        <v>Periférico de Catia</v>
      </c>
    </row>
    <row r="2634">
      <c r="A2634" s="44">
        <v>2633.0</v>
      </c>
      <c r="B2634" s="44" t="str">
        <f>IFERROR(__xludf.DUMMYFUNCTION("""COMPUTED_VALUE"""),"Hospital Domingo Luciani")</f>
        <v>Hospital Domingo Luciani</v>
      </c>
      <c r="C2634" s="45" t="str">
        <f>IFERROR(__xludf.DUMMYFUNCTION("""COMPUTED_VALUE"""),"MARTINEZ JOHAN ISAAC")</f>
        <v>MARTINEZ JOHAN ISAAC</v>
      </c>
      <c r="D2634" s="44">
        <f>IFERROR(__xludf.DUMMYFUNCTION("""COMPUTED_VALUE"""),10.0)</f>
        <v>10</v>
      </c>
      <c r="E2634" s="44" t="str">
        <f>IFERROR(__xludf.DUMMYFUNCTION("""COMPUTED_VALUE"""),"")</f>
        <v/>
      </c>
      <c r="F2634" s="44" t="str">
        <f>IFERROR(__xludf.DUMMYFUNCTION("""COMPUTED_VALUE"""),"")</f>
        <v/>
      </c>
      <c r="G2634" s="44" t="str">
        <f>IFERROR(__xludf.DUMMYFUNCTION("""COMPUTED_VALUE""")," ")</f>
        <v> </v>
      </c>
      <c r="H2634" s="44" t="str">
        <f>IFERROR(__xludf.DUMMYFUNCTION("""COMPUTED_VALUE"""),"La Guaira")</f>
        <v>La Guaira</v>
      </c>
      <c r="I2634" s="44" t="str">
        <f>IFERROR(__xludf.DUMMYFUNCTION("""COMPUTED_VALUE"""),"Pediatría – Padre: Carmen Midy")</f>
        <v>Pediatría – Padre: Carmen Midy</v>
      </c>
      <c r="J2634" s="44" t="str">
        <f>IFERROR(__xludf.DUMMYFUNCTION("""COMPUTED_VALUE"""),"")</f>
        <v/>
      </c>
      <c r="K2634" s="42" t="str">
        <f>IFERROR(__xludf.DUMMYFUNCTION("""COMPUTED_VALUE"""),"🔍 BUSCAR PACIENTES")</f>
        <v>🔍 BUSCAR PACIENTES</v>
      </c>
    </row>
    <row r="2635">
      <c r="A2635" s="44">
        <v>2634.0</v>
      </c>
      <c r="B2635" s="44" t="str">
        <f>IFERROR(__xludf.DUMMYFUNCTION("""COMPUTED_VALUE"""),"Hospital Pérez Carreño")</f>
        <v>Hospital Pérez Carreño</v>
      </c>
      <c r="C2635" s="45" t="str">
        <f>IFERROR(__xludf.DUMMYFUNCTION("""COMPUTED_VALUE"""),"Martinez Jyaitel")</f>
        <v>Martinez Jyaitel</v>
      </c>
      <c r="D2635" s="44" t="str">
        <f>IFERROR(__xludf.DUMMYFUNCTION("""COMPUTED_VALUE"""),"8 años")</f>
        <v>8 años</v>
      </c>
      <c r="E2635" s="44" t="str">
        <f>IFERROR(__xludf.DUMMYFUNCTION("""COMPUTED_VALUE"""),"")</f>
        <v/>
      </c>
      <c r="F2635" s="44" t="str">
        <f>IFERROR(__xludf.DUMMYFUNCTION("""COMPUTED_VALUE"""),"")</f>
        <v/>
      </c>
      <c r="G2635" s="44" t="str">
        <f>IFERROR(__xludf.DUMMYFUNCTION("""COMPUTED_VALUE"""),"Pediatria")</f>
        <v>Pediatria</v>
      </c>
      <c r="H2635" s="44" t="str">
        <f>IFERROR(__xludf.DUMMYFUNCTION("""COMPUTED_VALUE"""),"Hospital Miguel Perez Carreño")</f>
        <v>Hospital Miguel Perez Carreño</v>
      </c>
      <c r="I2635" s="44"/>
      <c r="J2635" s="44" t="str">
        <f>IFERROR(__xludf.DUMMYFUNCTION("""COMPUTED_VALUE"""),"26/6/26")</f>
        <v>26/6/26</v>
      </c>
      <c r="K2635" s="42" t="str">
        <f>IFERROR(__xludf.DUMMYFUNCTION("""COMPUTED_VALUE"""),"Hospital Pérez Carreño")</f>
        <v>Hospital Pérez Carreño</v>
      </c>
    </row>
    <row r="2636">
      <c r="A2636" s="44">
        <v>2635.0</v>
      </c>
      <c r="B2636" s="44" t="str">
        <f>IFERROR(__xludf.DUMMYFUNCTION("""COMPUTED_VALUE"""),"Hospital Pérez Carreño")</f>
        <v>Hospital Pérez Carreño</v>
      </c>
      <c r="C2636" s="45" t="str">
        <f>IFERROR(__xludf.DUMMYFUNCTION("""COMPUTED_VALUE"""),"MARTINEZ LUIS")</f>
        <v>MARTINEZ LUIS</v>
      </c>
      <c r="D2636" s="44" t="str">
        <f>IFERROR(__xludf.DUMMYFUNCTION("""COMPUTED_VALUE""")," ")</f>
        <v> </v>
      </c>
      <c r="E2636" s="44" t="str">
        <f>IFERROR(__xludf.DUMMYFUNCTION("""COMPUTED_VALUE"""),"")</f>
        <v/>
      </c>
      <c r="F2636" s="44" t="str">
        <f>IFERROR(__xludf.DUMMYFUNCTION("""COMPUTED_VALUE"""),"")</f>
        <v/>
      </c>
      <c r="G2636" s="44" t="str">
        <f>IFERROR(__xludf.DUMMYFUNCTION("""COMPUTED_VALUE""")," ")</f>
        <v> </v>
      </c>
      <c r="H2636" s="44" t="str">
        <f>IFERROR(__xludf.DUMMYFUNCTION("""COMPUTED_VALUE""")," ")</f>
        <v> </v>
      </c>
      <c r="I2636" s="44" t="str">
        <f>IFERROR(__xludf.DUMMYFUNCTION("""COMPUTED_VALUE"""),"Traumashock")</f>
        <v>Traumashock</v>
      </c>
      <c r="J2636" s="44" t="str">
        <f>IFERROR(__xludf.DUMMYFUNCTION("""COMPUTED_VALUE"""),"25/06/2026")</f>
        <v>25/06/2026</v>
      </c>
      <c r="K2636" s="42" t="str">
        <f>IFERROR(__xludf.DUMMYFUNCTION("""COMPUTED_VALUE"""),"Hospital Pérez Carreño")</f>
        <v>Hospital Pérez Carreño</v>
      </c>
    </row>
    <row r="2637">
      <c r="A2637" s="44">
        <v>2636.0</v>
      </c>
      <c r="B2637" s="44" t="str">
        <f>IFERROR(__xludf.DUMMYFUNCTION("""COMPUTED_VALUE"""),"Hospital Pérez Carreño")</f>
        <v>Hospital Pérez Carreño</v>
      </c>
      <c r="C2637" s="45" t="str">
        <f>IFERROR(__xludf.DUMMYFUNCTION("""COMPUTED_VALUE"""),"Martinez Madiuska")</f>
        <v>Martinez Madiuska</v>
      </c>
      <c r="D2637" s="44"/>
      <c r="E2637" s="44" t="str">
        <f>IFERROR(__xludf.DUMMYFUNCTION("""COMPUTED_VALUE"""),"")</f>
        <v/>
      </c>
      <c r="F2637" s="44" t="str">
        <f>IFERROR(__xludf.DUMMYFUNCTION("""COMPUTED_VALUE"""),"")</f>
        <v/>
      </c>
      <c r="G2637" s="44" t="str">
        <f>IFERROR(__xludf.DUMMYFUNCTION("""COMPUTED_VALUE"""),"Traslados con destino asignado")</f>
        <v>Traslados con destino asignado</v>
      </c>
      <c r="H2637" s="44" t="str">
        <f>IFERROR(__xludf.DUMMYFUNCTION("""COMPUTED_VALUE"""),"Hospital Miguel Perez Carreño")</f>
        <v>Hospital Miguel Perez Carreño</v>
      </c>
      <c r="I2637" s="44"/>
      <c r="J2637" s="44" t="str">
        <f>IFERROR(__xludf.DUMMYFUNCTION("""COMPUTED_VALUE"""),"26/6/26")</f>
        <v>26/6/26</v>
      </c>
      <c r="K2637" s="42" t="str">
        <f>IFERROR(__xludf.DUMMYFUNCTION("""COMPUTED_VALUE"""),"Hospital Pérez Carreño")</f>
        <v>Hospital Pérez Carreño</v>
      </c>
    </row>
    <row r="2638">
      <c r="A2638" s="44">
        <v>2637.0</v>
      </c>
      <c r="B2638" s="44" t="str">
        <f>IFERROR(__xludf.DUMMYFUNCTION("""COMPUTED_VALUE"""),"Hospital Pérez Carreño")</f>
        <v>Hospital Pérez Carreño</v>
      </c>
      <c r="C2638" s="45" t="str">
        <f>IFERROR(__xludf.DUMMYFUNCTION("""COMPUTED_VALUE"""),"Martinez Marinez Marlyn Margarita")</f>
        <v>Martinez Marinez Marlyn Margarita</v>
      </c>
      <c r="D2638" s="44"/>
      <c r="E2638" s="44" t="str">
        <f>IFERROR(__xludf.DUMMYFUNCTION("""COMPUTED_VALUE"""),"")</f>
        <v/>
      </c>
      <c r="F2638" s="44" t="str">
        <f>IFERROR(__xludf.DUMMYFUNCTION("""COMPUTED_VALUE"""),"")</f>
        <v/>
      </c>
      <c r="G2638" s="44" t="str">
        <f>IFERROR(__xludf.DUMMYFUNCTION("""COMPUTED_VALUE"""),"Traslados")</f>
        <v>Traslados</v>
      </c>
      <c r="H2638" s="44" t="str">
        <f>IFERROR(__xludf.DUMMYFUNCTION("""COMPUTED_VALUE"""),"Hospital Miguel Perez Carreño")</f>
        <v>Hospital Miguel Perez Carreño</v>
      </c>
      <c r="I2638" s="44"/>
      <c r="J2638" s="44" t="str">
        <f>IFERROR(__xludf.DUMMYFUNCTION("""COMPUTED_VALUE"""),"26/6/26")</f>
        <v>26/6/26</v>
      </c>
      <c r="K2638" s="42" t="str">
        <f>IFERROR(__xludf.DUMMYFUNCTION("""COMPUTED_VALUE"""),"Hospital Pérez Carreño")</f>
        <v>Hospital Pérez Carreño</v>
      </c>
    </row>
    <row r="2639">
      <c r="A2639" s="44">
        <v>2638.0</v>
      </c>
      <c r="B2639" s="44" t="str">
        <f>IFERROR(__xludf.DUMMYFUNCTION("""COMPUTED_VALUE"""),"Hospital Pérez Carreño")</f>
        <v>Hospital Pérez Carreño</v>
      </c>
      <c r="C2639" s="45" t="str">
        <f>IFERROR(__xludf.DUMMYFUNCTION("""COMPUTED_VALUE"""),"MARTINEZ MARTINES EDUARDO RAFAEL")</f>
        <v>MARTINEZ MARTINES EDUARDO RAFAEL</v>
      </c>
      <c r="D2639" s="44" t="str">
        <f>IFERROR(__xludf.DUMMYFUNCTION("""COMPUTED_VALUE""")," ")</f>
        <v> </v>
      </c>
      <c r="E2639" s="44" t="str">
        <f>IFERROR(__xludf.DUMMYFUNCTION("""COMPUTED_VALUE"""),"")</f>
        <v/>
      </c>
      <c r="F2639" s="44" t="str">
        <f>IFERROR(__xludf.DUMMYFUNCTION("""COMPUTED_VALUE"""),"")</f>
        <v/>
      </c>
      <c r="G2639" s="44" t="str">
        <f>IFERROR(__xludf.DUMMYFUNCTION("""COMPUTED_VALUE""")," ")</f>
        <v> </v>
      </c>
      <c r="H2639" s="44" t="str">
        <f>IFERROR(__xludf.DUMMYFUNCTION("""COMPUTED_VALUE""")," ")</f>
        <v> </v>
      </c>
      <c r="I2639" s="44" t="str">
        <f>IFERROR(__xludf.DUMMYFUNCTION("""COMPUTED_VALUE"""),"Internado")</f>
        <v>Internado</v>
      </c>
      <c r="J2639" s="44" t="str">
        <f>IFERROR(__xludf.DUMMYFUNCTION("""COMPUTED_VALUE"""),"25/06/2026")</f>
        <v>25/06/2026</v>
      </c>
      <c r="K2639" s="42" t="str">
        <f>IFERROR(__xludf.DUMMYFUNCTION("""COMPUTED_VALUE"""),"Hospital Pérez Carreño")</f>
        <v>Hospital Pérez Carreño</v>
      </c>
    </row>
    <row r="2640">
      <c r="A2640" s="44">
        <v>2639.0</v>
      </c>
      <c r="B2640" s="44" t="str">
        <f>IFERROR(__xludf.DUMMYFUNCTION("""COMPUTED_VALUE"""),"Hospital Pérez Carreño")</f>
        <v>Hospital Pérez Carreño</v>
      </c>
      <c r="C2640" s="45" t="str">
        <f>IFERROR(__xludf.DUMMYFUNCTION("""COMPUTED_VALUE"""),"Martinez Martinez Eduardo Rafael")</f>
        <v>Martinez Martinez Eduardo Rafael</v>
      </c>
      <c r="D2640" s="44"/>
      <c r="E2640" s="44" t="str">
        <f>IFERROR(__xludf.DUMMYFUNCTION("""COMPUTED_VALUE"""),"")</f>
        <v/>
      </c>
      <c r="F2640" s="44" t="str">
        <f>IFERROR(__xludf.DUMMYFUNCTION("""COMPUTED_VALUE"""),"")</f>
        <v/>
      </c>
      <c r="G2640" s="44" t="str">
        <f>IFERROR(__xludf.DUMMYFUNCTION("""COMPUTED_VALUE"""),"Traslados")</f>
        <v>Traslados</v>
      </c>
      <c r="H2640" s="44" t="str">
        <f>IFERROR(__xludf.DUMMYFUNCTION("""COMPUTED_VALUE"""),"Hospital Miguel Perez Carreño")</f>
        <v>Hospital Miguel Perez Carreño</v>
      </c>
      <c r="I2640" s="44"/>
      <c r="J2640" s="44" t="str">
        <f>IFERROR(__xludf.DUMMYFUNCTION("""COMPUTED_VALUE"""),"26/6/26")</f>
        <v>26/6/26</v>
      </c>
      <c r="K2640" s="42" t="str">
        <f>IFERROR(__xludf.DUMMYFUNCTION("""COMPUTED_VALUE"""),"Hospital Pérez Carreño")</f>
        <v>Hospital Pérez Carreño</v>
      </c>
    </row>
    <row r="2641">
      <c r="A2641" s="44">
        <v>2640.0</v>
      </c>
      <c r="B2641" s="44" t="str">
        <f>IFERROR(__xludf.DUMMYFUNCTION("""COMPUTED_VALUE"""),"La Guaira Sin Hospital")</f>
        <v>La Guaira Sin Hospital</v>
      </c>
      <c r="C2641" s="45" t="str">
        <f>IFERROR(__xludf.DUMMYFUNCTION("""COMPUTED_VALUE"""),"Martinez Martinez Marlyn Margarita")</f>
        <v>Martinez Martinez Marlyn Margarita</v>
      </c>
      <c r="D2641" s="44" t="str">
        <f>IFERROR(__xludf.DUMMYFUNCTION("""COMPUTED_VALUE"""),"")</f>
        <v/>
      </c>
      <c r="E2641" s="44" t="str">
        <f>IFERROR(__xludf.DUMMYFUNCTION("""COMPUTED_VALUE"""),"")</f>
        <v/>
      </c>
      <c r="F2641" s="44" t="str">
        <f>IFERROR(__xludf.DUMMYFUNCTION("""COMPUTED_VALUE"""),"")</f>
        <v/>
      </c>
      <c r="G2641" s="44" t="str">
        <f>IFERROR(__xludf.DUMMYFUNCTION("""COMPUTED_VALUE"""),"")</f>
        <v/>
      </c>
      <c r="H2641" s="44"/>
      <c r="I2641" s="44" t="str">
        <f>IFERROR(__xludf.DUMMYFUNCTION("""COMPUTED_VALUE"""),"Listas solo con nombre")</f>
        <v>Listas solo con nombre</v>
      </c>
      <c r="J2641" s="44" t="str">
        <f>IFERROR(__xludf.DUMMYFUNCTION("""COMPUTED_VALUE"""),"")</f>
        <v/>
      </c>
      <c r="K2641" s="42" t="str">
        <f>IFERROR(__xludf.DUMMYFUNCTION("""COMPUTED_VALUE"""),"La Guaira Sin Hospital")</f>
        <v>La Guaira Sin Hospital</v>
      </c>
    </row>
    <row r="2642">
      <c r="A2642" s="44">
        <v>2641.0</v>
      </c>
      <c r="B2642" s="44" t="str">
        <f>IFERROR(__xludf.DUMMYFUNCTION("""COMPUTED_VALUE"""),"Hospital Pérez Carreño")</f>
        <v>Hospital Pérez Carreño</v>
      </c>
      <c r="C2642" s="45" t="str">
        <f>IFERROR(__xludf.DUMMYFUNCTION("""COMPUTED_VALUE"""),"MARTINEZ MARTINEZ MORLYN MARGARITA")</f>
        <v>MARTINEZ MARTINEZ MORLYN MARGARITA</v>
      </c>
      <c r="D2642" s="44" t="str">
        <f>IFERROR(__xludf.DUMMYFUNCTION("""COMPUTED_VALUE""")," ")</f>
        <v> </v>
      </c>
      <c r="E2642" s="44" t="str">
        <f>IFERROR(__xludf.DUMMYFUNCTION("""COMPUTED_VALUE"""),"")</f>
        <v/>
      </c>
      <c r="F2642" s="44" t="str">
        <f>IFERROR(__xludf.DUMMYFUNCTION("""COMPUTED_VALUE"""),"")</f>
        <v/>
      </c>
      <c r="G2642" s="44" t="str">
        <f>IFERROR(__xludf.DUMMYFUNCTION("""COMPUTED_VALUE""")," ")</f>
        <v> </v>
      </c>
      <c r="H2642" s="44" t="str">
        <f>IFERROR(__xludf.DUMMYFUNCTION("""COMPUTED_VALUE""")," ")</f>
        <v> </v>
      </c>
      <c r="I2642" s="44" t="str">
        <f>IFERROR(__xludf.DUMMYFUNCTION("""COMPUTED_VALUE"""),"Internado")</f>
        <v>Internado</v>
      </c>
      <c r="J2642" s="44" t="str">
        <f>IFERROR(__xludf.DUMMYFUNCTION("""COMPUTED_VALUE"""),"25/06/2026")</f>
        <v>25/06/2026</v>
      </c>
      <c r="K2642" s="42" t="str">
        <f>IFERROR(__xludf.DUMMYFUNCTION("""COMPUTED_VALUE"""),"Hospital Pérez Carreño")</f>
        <v>Hospital Pérez Carreño</v>
      </c>
    </row>
    <row r="2643">
      <c r="A2643" s="44">
        <v>2642.0</v>
      </c>
      <c r="B2643" s="44" t="str">
        <f>IFERROR(__xludf.DUMMYFUNCTION("""COMPUTED_VALUE"""),"Centro de Acopio Caraballeda")</f>
        <v>Centro de Acopio Caraballeda</v>
      </c>
      <c r="C2643" s="45" t="str">
        <f>IFERROR(__xludf.DUMMYFUNCTION("""COMPUTED_VALUE"""),"MARTINEZ MARY")</f>
        <v>MARTINEZ MARY</v>
      </c>
      <c r="D2643" s="44" t="str">
        <f>IFERROR(__xludf.DUMMYFUNCTION("""COMPUTED_VALUE""")," ")</f>
        <v> </v>
      </c>
      <c r="E2643" s="44" t="str">
        <f>IFERROR(__xludf.DUMMYFUNCTION("""COMPUTED_VALUE"""),"")</f>
        <v/>
      </c>
      <c r="F2643" s="44" t="str">
        <f>IFERROR(__xludf.DUMMYFUNCTION("""COMPUTED_VALUE"""),"")</f>
        <v/>
      </c>
      <c r="G2643" s="44" t="str">
        <f>IFERROR(__xludf.DUMMYFUNCTION("""COMPUTED_VALUE""")," ")</f>
        <v> </v>
      </c>
      <c r="H2643" s="44" t="str">
        <f>IFERROR(__xludf.DUMMYFUNCTION("""COMPUTED_VALUE""")," ")</f>
        <v> </v>
      </c>
      <c r="I2643" s="44" t="str">
        <f>IFERROR(__xludf.DUMMYFUNCTION("""COMPUTED_VALUE"""),"Internado")</f>
        <v>Internado</v>
      </c>
      <c r="J2643" s="44" t="str">
        <f>IFERROR(__xludf.DUMMYFUNCTION("""COMPUTED_VALUE"""),"")</f>
        <v/>
      </c>
      <c r="K2643" s="42" t="str">
        <f>IFERROR(__xludf.DUMMYFUNCTION("""COMPUTED_VALUE"""),"🔍 BUSCAR PACIENTES")</f>
        <v>🔍 BUSCAR PACIENTES</v>
      </c>
    </row>
    <row r="2644">
      <c r="A2644" s="44">
        <v>2643.0</v>
      </c>
      <c r="B2644" s="44" t="str">
        <f>IFERROR(__xludf.DUMMYFUNCTION("""COMPUTED_VALUE"""),"Centro de Acopio Caraballeda")</f>
        <v>Centro de Acopio Caraballeda</v>
      </c>
      <c r="C2644" s="45" t="str">
        <f>IFERROR(__xludf.DUMMYFUNCTION("""COMPUTED_VALUE"""),"MARTINEZ MYKEDERLYN")</f>
        <v>MARTINEZ MYKEDERLYN</v>
      </c>
      <c r="D2644" s="44" t="str">
        <f>IFERROR(__xludf.DUMMYFUNCTION("""COMPUTED_VALUE""")," ")</f>
        <v> </v>
      </c>
      <c r="E2644" s="44" t="str">
        <f>IFERROR(__xludf.DUMMYFUNCTION("""COMPUTED_VALUE"""),"")</f>
        <v/>
      </c>
      <c r="F2644" s="44" t="str">
        <f>IFERROR(__xludf.DUMMYFUNCTION("""COMPUTED_VALUE"""),"")</f>
        <v/>
      </c>
      <c r="G2644" s="44" t="str">
        <f>IFERROR(__xludf.DUMMYFUNCTION("""COMPUTED_VALUE""")," ")</f>
        <v> </v>
      </c>
      <c r="H2644" s="44" t="str">
        <f>IFERROR(__xludf.DUMMYFUNCTION("""COMPUTED_VALUE""")," ")</f>
        <v> </v>
      </c>
      <c r="I2644" s="44" t="str">
        <f>IFERROR(__xludf.DUMMYFUNCTION("""COMPUTED_VALUE"""),"Internado")</f>
        <v>Internado</v>
      </c>
      <c r="J2644" s="44" t="str">
        <f>IFERROR(__xludf.DUMMYFUNCTION("""COMPUTED_VALUE"""),"")</f>
        <v/>
      </c>
      <c r="K2644" s="42" t="str">
        <f>IFERROR(__xludf.DUMMYFUNCTION("""COMPUTED_VALUE"""),"🔍 BUSCAR PACIENTES")</f>
        <v>🔍 BUSCAR PACIENTES</v>
      </c>
    </row>
    <row r="2645">
      <c r="A2645" s="44">
        <v>2644.0</v>
      </c>
      <c r="B2645" s="44" t="str">
        <f>IFERROR(__xludf.DUMMYFUNCTION("""COMPUTED_VALUE"""),"Centro de Acopio Caraballeda")</f>
        <v>Centro de Acopio Caraballeda</v>
      </c>
      <c r="C2645" s="45" t="str">
        <f>IFERROR(__xludf.DUMMYFUNCTION("""COMPUTED_VALUE"""),"MARTINEZ SONI")</f>
        <v>MARTINEZ SONI</v>
      </c>
      <c r="D2645" s="44" t="str">
        <f>IFERROR(__xludf.DUMMYFUNCTION("""COMPUTED_VALUE""")," ")</f>
        <v> </v>
      </c>
      <c r="E2645" s="44" t="str">
        <f>IFERROR(__xludf.DUMMYFUNCTION("""COMPUTED_VALUE"""),"")</f>
        <v/>
      </c>
      <c r="F2645" s="44" t="str">
        <f>IFERROR(__xludf.DUMMYFUNCTION("""COMPUTED_VALUE"""),"")</f>
        <v/>
      </c>
      <c r="G2645" s="44" t="str">
        <f>IFERROR(__xludf.DUMMYFUNCTION("""COMPUTED_VALUE""")," ")</f>
        <v> </v>
      </c>
      <c r="H2645" s="44" t="str">
        <f>IFERROR(__xludf.DUMMYFUNCTION("""COMPUTED_VALUE""")," ")</f>
        <v> </v>
      </c>
      <c r="I2645" s="44" t="str">
        <f>IFERROR(__xludf.DUMMYFUNCTION("""COMPUTED_VALUE"""),"Internado")</f>
        <v>Internado</v>
      </c>
      <c r="J2645" s="44" t="str">
        <f>IFERROR(__xludf.DUMMYFUNCTION("""COMPUTED_VALUE"""),"")</f>
        <v/>
      </c>
      <c r="K2645" s="42" t="str">
        <f>IFERROR(__xludf.DUMMYFUNCTION("""COMPUTED_VALUE"""),"🔍 BUSCAR PACIENTES")</f>
        <v>🔍 BUSCAR PACIENTES</v>
      </c>
    </row>
    <row r="2646">
      <c r="A2646" s="44">
        <v>2645.0</v>
      </c>
      <c r="B2646" s="44" t="str">
        <f>IFERROR(__xludf.DUMMYFUNCTION("""COMPUTED_VALUE"""),"La Guaira Sin Hospital")</f>
        <v>La Guaira Sin Hospital</v>
      </c>
      <c r="C2646" s="45" t="str">
        <f>IFERROR(__xludf.DUMMYFUNCTION("""COMPUTED_VALUE"""),"Martinez Wilian Jose")</f>
        <v>Martinez Wilian Jose</v>
      </c>
      <c r="D2646" s="44" t="str">
        <f>IFERROR(__xludf.DUMMYFUNCTION("""COMPUTED_VALUE"""),"")</f>
        <v/>
      </c>
      <c r="E2646" s="44" t="str">
        <f>IFERROR(__xludf.DUMMYFUNCTION("""COMPUTED_VALUE"""),"")</f>
        <v/>
      </c>
      <c r="F2646" s="44" t="str">
        <f>IFERROR(__xludf.DUMMYFUNCTION("""COMPUTED_VALUE"""),"")</f>
        <v/>
      </c>
      <c r="G2646" s="44" t="str">
        <f>IFERROR(__xludf.DUMMYFUNCTION("""COMPUTED_VALUE"""),"")</f>
        <v/>
      </c>
      <c r="H2646" s="44" t="str">
        <f>IFERROR(__xludf.DUMMYFUNCTION("""COMPUTED_VALUE"""),"Costa La Mar")</f>
        <v>Costa La Mar</v>
      </c>
      <c r="I2646" s="44" t="str">
        <f>IFERROR(__xludf.DUMMYFUNCTION("""COMPUTED_VALUE"""),"Listas con ubicación")</f>
        <v>Listas con ubicación</v>
      </c>
      <c r="J2646" s="44" t="str">
        <f>IFERROR(__xludf.DUMMYFUNCTION("""COMPUTED_VALUE"""),"")</f>
        <v/>
      </c>
      <c r="K2646" s="42" t="str">
        <f>IFERROR(__xludf.DUMMYFUNCTION("""COMPUTED_VALUE"""),"La Guaira Sin Hospital")</f>
        <v>La Guaira Sin Hospital</v>
      </c>
    </row>
    <row r="2647">
      <c r="A2647" s="44">
        <v>2646.0</v>
      </c>
      <c r="B2647" s="44" t="str">
        <f>IFERROR(__xludf.DUMMYFUNCTION("""COMPUTED_VALUE"""),"Centro de Acopio Caraballeda")</f>
        <v>Centro de Acopio Caraballeda</v>
      </c>
      <c r="C2647" s="45" t="str">
        <f>IFERROR(__xludf.DUMMYFUNCTION("""COMPUTED_VALUE"""),"MARTINEZ YAJAIRA")</f>
        <v>MARTINEZ YAJAIRA</v>
      </c>
      <c r="D2647" s="44" t="str">
        <f>IFERROR(__xludf.DUMMYFUNCTION("""COMPUTED_VALUE""")," ")</f>
        <v> </v>
      </c>
      <c r="E2647" s="44" t="str">
        <f>IFERROR(__xludf.DUMMYFUNCTION("""COMPUTED_VALUE"""),"")</f>
        <v/>
      </c>
      <c r="F2647" s="44" t="str">
        <f>IFERROR(__xludf.DUMMYFUNCTION("""COMPUTED_VALUE"""),"")</f>
        <v/>
      </c>
      <c r="G2647" s="44" t="str">
        <f>IFERROR(__xludf.DUMMYFUNCTION("""COMPUTED_VALUE""")," ")</f>
        <v> </v>
      </c>
      <c r="H2647" s="44" t="str">
        <f>IFERROR(__xludf.DUMMYFUNCTION("""COMPUTED_VALUE""")," ")</f>
        <v> </v>
      </c>
      <c r="I2647" s="44" t="str">
        <f>IFERROR(__xludf.DUMMYFUNCTION("""COMPUTED_VALUE"""),"Internado")</f>
        <v>Internado</v>
      </c>
      <c r="J2647" s="44" t="str">
        <f>IFERROR(__xludf.DUMMYFUNCTION("""COMPUTED_VALUE"""),"")</f>
        <v/>
      </c>
      <c r="K2647" s="42" t="str">
        <f>IFERROR(__xludf.DUMMYFUNCTION("""COMPUTED_VALUE"""),"🔍 BUSCAR PACIENTES")</f>
        <v>🔍 BUSCAR PACIENTES</v>
      </c>
    </row>
    <row r="2648">
      <c r="A2648" s="44">
        <v>2647.0</v>
      </c>
      <c r="B2648" s="44" t="str">
        <f>IFERROR(__xludf.DUMMYFUNCTION("""COMPUTED_VALUE"""),"Periférico de Catia")</f>
        <v>Periférico de Catia</v>
      </c>
      <c r="C2648" s="45" t="str">
        <f>IFERROR(__xludf.DUMMYFUNCTION("""COMPUTED_VALUE"""),"MARTINEZ YAMILITH")</f>
        <v>MARTINEZ YAMILITH</v>
      </c>
      <c r="D2648" s="44">
        <f>IFERROR(__xludf.DUMMYFUNCTION("""COMPUTED_VALUE"""),30.0)</f>
        <v>30</v>
      </c>
      <c r="E2648" s="44" t="str">
        <f>IFERROR(__xludf.DUMMYFUNCTION("""COMPUTED_VALUE"""),"")</f>
        <v/>
      </c>
      <c r="F2648" s="44" t="str">
        <f>IFERROR(__xludf.DUMMYFUNCTION("""COMPUTED_VALUE"""),"")</f>
        <v/>
      </c>
      <c r="G2648" s="44" t="str">
        <f>IFERROR(__xludf.DUMMYFUNCTION("""COMPUTED_VALUE""")," ")</f>
        <v> </v>
      </c>
      <c r="H2648" s="44" t="str">
        <f>IFERROR(__xludf.DUMMYFUNCTION("""COMPUTED_VALUE"""),"Se. Grativia")</f>
        <v>Se. Grativia</v>
      </c>
      <c r="I2648" s="44" t="str">
        <f>IFERROR(__xludf.DUMMYFUNCTION("""COMPUTED_VALUE""")," ")</f>
        <v> </v>
      </c>
      <c r="J2648" s="44" t="str">
        <f>IFERROR(__xludf.DUMMYFUNCTION("""COMPUTED_VALUE"""),"")</f>
        <v/>
      </c>
      <c r="K2648" s="42" t="str">
        <f>IFERROR(__xludf.DUMMYFUNCTION("""COMPUTED_VALUE"""),"Periférico de Catia")</f>
        <v>Periférico de Catia</v>
      </c>
    </row>
    <row r="2649">
      <c r="A2649" s="44">
        <v>2648.0</v>
      </c>
      <c r="B2649" s="44" t="str">
        <f>IFERROR(__xludf.DUMMYFUNCTION("""COMPUTED_VALUE"""),"Centro de Acopio Caraballeda")</f>
        <v>Centro de Acopio Caraballeda</v>
      </c>
      <c r="C2649" s="45" t="str">
        <f>IFERROR(__xludf.DUMMYFUNCTION("""COMPUTED_VALUE"""),"MARTINEZ YORFAN")</f>
        <v>MARTINEZ YORFAN</v>
      </c>
      <c r="D2649" s="44" t="str">
        <f>IFERROR(__xludf.DUMMYFUNCTION("""COMPUTED_VALUE""")," ")</f>
        <v> </v>
      </c>
      <c r="E2649" s="44" t="str">
        <f>IFERROR(__xludf.DUMMYFUNCTION("""COMPUTED_VALUE"""),"")</f>
        <v/>
      </c>
      <c r="F2649" s="44" t="str">
        <f>IFERROR(__xludf.DUMMYFUNCTION("""COMPUTED_VALUE"""),"")</f>
        <v/>
      </c>
      <c r="G2649" s="44" t="str">
        <f>IFERROR(__xludf.DUMMYFUNCTION("""COMPUTED_VALUE""")," ")</f>
        <v> </v>
      </c>
      <c r="H2649" s="44" t="str">
        <f>IFERROR(__xludf.DUMMYFUNCTION("""COMPUTED_VALUE""")," ")</f>
        <v> </v>
      </c>
      <c r="I2649" s="44" t="str">
        <f>IFERROR(__xludf.DUMMYFUNCTION("""COMPUTED_VALUE"""),"Internado")</f>
        <v>Internado</v>
      </c>
      <c r="J2649" s="44" t="str">
        <f>IFERROR(__xludf.DUMMYFUNCTION("""COMPUTED_VALUE"""),"")</f>
        <v/>
      </c>
      <c r="K2649" s="42" t="str">
        <f>IFERROR(__xludf.DUMMYFUNCTION("""COMPUTED_VALUE"""),"🔍 BUSCAR PACIENTES")</f>
        <v>🔍 BUSCAR PACIENTES</v>
      </c>
    </row>
    <row r="2650">
      <c r="A2650" s="44">
        <v>2649.0</v>
      </c>
      <c r="B2650" s="44" t="str">
        <f>IFERROR(__xludf.DUMMYFUNCTION("""COMPUTED_VALUE"""),"Centro de Acopio Caraballeda")</f>
        <v>Centro de Acopio Caraballeda</v>
      </c>
      <c r="C2650" s="45" t="str">
        <f>IFERROR(__xludf.DUMMYFUNCTION("""COMPUTED_VALUE"""),"MARVAL IGNAMARY")</f>
        <v>MARVAL IGNAMARY</v>
      </c>
      <c r="D2650" s="44" t="str">
        <f>IFERROR(__xludf.DUMMYFUNCTION("""COMPUTED_VALUE""")," ")</f>
        <v> </v>
      </c>
      <c r="E2650" s="44" t="str">
        <f>IFERROR(__xludf.DUMMYFUNCTION("""COMPUTED_VALUE"""),"")</f>
        <v/>
      </c>
      <c r="F2650" s="44" t="str">
        <f>IFERROR(__xludf.DUMMYFUNCTION("""COMPUTED_VALUE"""),"")</f>
        <v/>
      </c>
      <c r="G2650" s="44" t="str">
        <f>IFERROR(__xludf.DUMMYFUNCTION("""COMPUTED_VALUE""")," ")</f>
        <v> </v>
      </c>
      <c r="H2650" s="44" t="str">
        <f>IFERROR(__xludf.DUMMYFUNCTION("""COMPUTED_VALUE""")," ")</f>
        <v> </v>
      </c>
      <c r="I2650" s="44" t="str">
        <f>IFERROR(__xludf.DUMMYFUNCTION("""COMPUTED_VALUE"""),"Internado")</f>
        <v>Internado</v>
      </c>
      <c r="J2650" s="44" t="str">
        <f>IFERROR(__xludf.DUMMYFUNCTION("""COMPUTED_VALUE"""),"")</f>
        <v/>
      </c>
      <c r="K2650" s="42" t="str">
        <f>IFERROR(__xludf.DUMMYFUNCTION("""COMPUTED_VALUE"""),"🔍 BUSCAR PACIENTES")</f>
        <v>🔍 BUSCAR PACIENTES</v>
      </c>
    </row>
    <row r="2651">
      <c r="A2651" s="44">
        <v>2650.0</v>
      </c>
      <c r="B2651" s="44" t="str">
        <f>IFERROR(__xludf.DUMMYFUNCTION("""COMPUTED_VALUE"""),"Periférico de Catia")</f>
        <v>Periférico de Catia</v>
      </c>
      <c r="C2651" s="45" t="str">
        <f>IFERROR(__xludf.DUMMYFUNCTION("""COMPUTED_VALUE"""),"MARY DURON")</f>
        <v>MARY DURON</v>
      </c>
      <c r="D2651" s="44">
        <f>IFERROR(__xludf.DUMMYFUNCTION("""COMPUTED_VALUE"""),56.0)</f>
        <v>56</v>
      </c>
      <c r="E2651" s="44" t="str">
        <f>IFERROR(__xludf.DUMMYFUNCTION("""COMPUTED_VALUE"""),"")</f>
        <v/>
      </c>
      <c r="F2651" s="44" t="str">
        <f>IFERROR(__xludf.DUMMYFUNCTION("""COMPUTED_VALUE"""),"")</f>
        <v/>
      </c>
      <c r="G2651" s="44" t="str">
        <f>IFERROR(__xludf.DUMMYFUNCTION("""COMPUTED_VALUE""")," ")</f>
        <v> </v>
      </c>
      <c r="H2651" s="44" t="str">
        <f>IFERROR(__xludf.DUMMYFUNCTION("""COMPUTED_VALUE"""),"Ciudad Tiuna Torre 1")</f>
        <v>Ciudad Tiuna Torre 1</v>
      </c>
      <c r="I2651" s="44" t="str">
        <f>IFERROR(__xludf.DUMMYFUNCTION("""COMPUTED_VALUE""")," ")</f>
        <v> </v>
      </c>
      <c r="J2651" s="44" t="str">
        <f>IFERROR(__xludf.DUMMYFUNCTION("""COMPUTED_VALUE"""),"")</f>
        <v/>
      </c>
      <c r="K2651" s="42" t="str">
        <f>IFERROR(__xludf.DUMMYFUNCTION("""COMPUTED_VALUE"""),"Periférico de Catia")</f>
        <v>Periférico de Catia</v>
      </c>
    </row>
    <row r="2652">
      <c r="A2652" s="44">
        <v>2651.0</v>
      </c>
      <c r="B2652" s="44" t="str">
        <f>IFERROR(__xludf.DUMMYFUNCTION("""COMPUTED_VALUE"""),"Periférico de Catia")</f>
        <v>Periférico de Catia</v>
      </c>
      <c r="C2652" s="45" t="str">
        <f>IFERROR(__xludf.DUMMYFUNCTION("""COMPUTED_VALUE"""),"MARY DURÓN")</f>
        <v>MARY DURÓN</v>
      </c>
      <c r="D2652" s="44">
        <f>IFERROR(__xludf.DUMMYFUNCTION("""COMPUTED_VALUE"""),36.0)</f>
        <v>36</v>
      </c>
      <c r="E2652" s="44" t="str">
        <f>IFERROR(__xludf.DUMMYFUNCTION("""COMPUTED_VALUE"""),"")</f>
        <v/>
      </c>
      <c r="F2652" s="44" t="str">
        <f>IFERROR(__xludf.DUMMYFUNCTION("""COMPUTED_VALUE"""),"")</f>
        <v/>
      </c>
      <c r="G2652" s="44" t="str">
        <f>IFERROR(__xludf.DUMMYFUNCTION("""COMPUTED_VALUE""")," ")</f>
        <v> </v>
      </c>
      <c r="H2652" s="44" t="str">
        <f>IFERROR(__xludf.DUMMYFUNCTION("""COMPUTED_VALUE""")," ")</f>
        <v> </v>
      </c>
      <c r="I2652" s="44" t="str">
        <f>IFERROR(__xludf.DUMMYFUNCTION("""COMPUTED_VALUE""")," ")</f>
        <v> </v>
      </c>
      <c r="J2652" s="44" t="str">
        <f>IFERROR(__xludf.DUMMYFUNCTION("""COMPUTED_VALUE"""),"")</f>
        <v/>
      </c>
      <c r="K2652" s="42" t="str">
        <f>IFERROR(__xludf.DUMMYFUNCTION("""COMPUTED_VALUE"""),"Periférico de Catia")</f>
        <v>Periférico de Catia</v>
      </c>
    </row>
    <row r="2653">
      <c r="A2653" s="44">
        <v>2652.0</v>
      </c>
      <c r="B2653" s="44" t="str">
        <f>IFERROR(__xludf.DUMMYFUNCTION("""COMPUTED_VALUE"""),"Campo de Golf Playa los Cocos")</f>
        <v>Campo de Golf Playa los Cocos</v>
      </c>
      <c r="C2653" s="45" t="str">
        <f>IFERROR(__xludf.DUMMYFUNCTION("""COMPUTED_VALUE"""),"Mary Martinez")</f>
        <v>Mary Martinez</v>
      </c>
      <c r="D2653" s="44" t="str">
        <f>IFERROR(__xludf.DUMMYFUNCTION("""COMPUTED_VALUE"""),"")</f>
        <v/>
      </c>
      <c r="E2653" s="44" t="str">
        <f>IFERROR(__xludf.DUMMYFUNCTION("""COMPUTED_VALUE"""),"")</f>
        <v/>
      </c>
      <c r="F2653" s="44" t="str">
        <f>IFERROR(__xludf.DUMMYFUNCTION("""COMPUTED_VALUE"""),"")</f>
        <v/>
      </c>
      <c r="G2653" s="44" t="str">
        <f>IFERROR(__xludf.DUMMYFUNCTION("""COMPUTED_VALUE"""),"")</f>
        <v/>
      </c>
      <c r="H2653" s="44" t="str">
        <f>IFERROR(__xludf.DUMMYFUNCTION("""COMPUTED_VALUE"""),"")</f>
        <v/>
      </c>
      <c r="I2653" s="44"/>
      <c r="J2653" s="44" t="str">
        <f>IFERROR(__xludf.DUMMYFUNCTION("""COMPUTED_VALUE"""),"")</f>
        <v/>
      </c>
      <c r="K2653" s="42" t="str">
        <f>IFERROR(__xludf.DUMMYFUNCTION("""COMPUTED_VALUE"""),"Campo de Golf Playa los Cocos")</f>
        <v>Campo de Golf Playa los Cocos</v>
      </c>
    </row>
    <row r="2654">
      <c r="A2654" s="44">
        <v>2653.0</v>
      </c>
      <c r="B2654" s="44" t="str">
        <f>IFERROR(__xludf.DUMMYFUNCTION("""COMPUTED_VALUE"""),"Periférico de Catia")</f>
        <v>Periférico de Catia</v>
      </c>
      <c r="C2654" s="45" t="str">
        <f>IFERROR(__xludf.DUMMYFUNCTION("""COMPUTED_VALUE"""),"MARY YEPES")</f>
        <v>MARY YEPES</v>
      </c>
      <c r="D2654" s="44">
        <f>IFERROR(__xludf.DUMMYFUNCTION("""COMPUTED_VALUE"""),45.0)</f>
        <v>45</v>
      </c>
      <c r="E2654" s="44" t="str">
        <f>IFERROR(__xludf.DUMMYFUNCTION("""COMPUTED_VALUE"""),"")</f>
        <v/>
      </c>
      <c r="F2654" s="44" t="str">
        <f>IFERROR(__xludf.DUMMYFUNCTION("""COMPUTED_VALUE"""),"")</f>
        <v/>
      </c>
      <c r="G2654" s="44" t="str">
        <f>IFERROR(__xludf.DUMMYFUNCTION("""COMPUTED_VALUE""")," ")</f>
        <v> </v>
      </c>
      <c r="H2654" s="44" t="str">
        <f>IFERROR(__xludf.DUMMYFUNCTION("""COMPUTED_VALUE""")," ")</f>
        <v> </v>
      </c>
      <c r="I2654" s="44" t="str">
        <f>IFERROR(__xludf.DUMMYFUNCTION("""COMPUTED_VALUE"""),"Hermana")</f>
        <v>Hermana</v>
      </c>
      <c r="J2654" s="44" t="str">
        <f>IFERROR(__xludf.DUMMYFUNCTION("""COMPUTED_VALUE"""),"")</f>
        <v/>
      </c>
      <c r="K2654" s="42" t="str">
        <f>IFERROR(__xludf.DUMMYFUNCTION("""COMPUTED_VALUE"""),"Periférico de Catia")</f>
        <v>Periférico de Catia</v>
      </c>
    </row>
    <row r="2655">
      <c r="A2655" s="44">
        <v>2654.0</v>
      </c>
      <c r="B2655" s="44" t="str">
        <f>IFERROR(__xludf.DUMMYFUNCTION("""COMPUTED_VALUE"""),"Periférico de Catia")</f>
        <v>Periférico de Catia</v>
      </c>
      <c r="C2655" s="45" t="str">
        <f>IFERROR(__xludf.DUMMYFUNCTION("""COMPUTED_VALUE"""),"MARY YEPEZ")</f>
        <v>MARY YEPEZ</v>
      </c>
      <c r="D2655" s="44">
        <f>IFERROR(__xludf.DUMMYFUNCTION("""COMPUTED_VALUE"""),30.0)</f>
        <v>30</v>
      </c>
      <c r="E2655" s="44" t="str">
        <f>IFERROR(__xludf.DUMMYFUNCTION("""COMPUTED_VALUE"""),"")</f>
        <v/>
      </c>
      <c r="F2655" s="44" t="str">
        <f>IFERROR(__xludf.DUMMYFUNCTION("""COMPUTED_VALUE"""),"")</f>
        <v/>
      </c>
      <c r="G2655" s="44" t="str">
        <f>IFERROR(__xludf.DUMMYFUNCTION("""COMPUTED_VALUE""")," ")</f>
        <v> </v>
      </c>
      <c r="H2655" s="44" t="str">
        <f>IFERROR(__xludf.DUMMYFUNCTION("""COMPUTED_VALUE"""),"Magallanes")</f>
        <v>Magallanes</v>
      </c>
      <c r="I2655" s="44" t="str">
        <f>IFERROR(__xludf.DUMMYFUNCTION("""COMPUTED_VALUE""")," ")</f>
        <v> </v>
      </c>
      <c r="J2655" s="44" t="str">
        <f>IFERROR(__xludf.DUMMYFUNCTION("""COMPUTED_VALUE"""),"")</f>
        <v/>
      </c>
      <c r="K2655" s="42" t="str">
        <f>IFERROR(__xludf.DUMMYFUNCTION("""COMPUTED_VALUE"""),"Periférico de Catia")</f>
        <v>Periférico de Catia</v>
      </c>
    </row>
    <row r="2656">
      <c r="A2656" s="44">
        <v>2655.0</v>
      </c>
      <c r="B2656" s="44" t="str">
        <f>IFERROR(__xludf.DUMMYFUNCTION("""COMPUTED_VALUE"""),"HOSPITAL VARGAS")</f>
        <v>HOSPITAL VARGAS</v>
      </c>
      <c r="C2656" s="45" t="str">
        <f>IFERROR(__xludf.DUMMYFUNCTION("""COMPUTED_VALUE"""),"Maryenis Díaz")</f>
        <v>Maryenis Díaz</v>
      </c>
      <c r="D2656" s="44"/>
      <c r="E2656" s="44" t="str">
        <f>IFERROR(__xludf.DUMMYFUNCTION("""COMPUTED_VALUE"""),"")</f>
        <v/>
      </c>
      <c r="F2656" s="44" t="str">
        <f>IFERROR(__xludf.DUMMYFUNCTION("""COMPUTED_VALUE"""),"")</f>
        <v/>
      </c>
      <c r="G2656" s="44" t="str">
        <f>IFERROR(__xludf.DUMMYFUNCTION("""COMPUTED_VALUE"""),"")</f>
        <v/>
      </c>
      <c r="H2656" s="44" t="str">
        <f>IFERROR(__xludf.DUMMYFUNCTION("""COMPUTED_VALUE"""),"")</f>
        <v/>
      </c>
      <c r="I2656" s="44" t="str">
        <f>IFERROR(__xludf.DUMMYFUNCTION("""COMPUTED_VALUE"""),"Herido / atendido")</f>
        <v>Herido / atendido</v>
      </c>
      <c r="J2656" s="44" t="str">
        <f>IFERROR(__xludf.DUMMYFUNCTION("""COMPUTED_VALUE"""),"24.06.2026 ")</f>
        <v>24.06.2026 </v>
      </c>
      <c r="K2656" s="42" t="str">
        <f>IFERROR(__xludf.DUMMYFUNCTION("""COMPUTED_VALUE"""),"HOSPITAL VARGAS")</f>
        <v>HOSPITAL VARGAS</v>
      </c>
    </row>
    <row r="2657">
      <c r="A2657" s="44">
        <v>2656.0</v>
      </c>
      <c r="B2657" s="44" t="str">
        <f>IFERROR(__xludf.DUMMYFUNCTION("""COMPUTED_VALUE"""),"Hospital Vargas de Caracas")</f>
        <v>Hospital Vargas de Caracas</v>
      </c>
      <c r="C2657" s="45" t="str">
        <f>IFERROR(__xludf.DUMMYFUNCTION("""COMPUTED_VALUE"""),"MARYONE ELITA / MARYORE ELITA")</f>
        <v>MARYONE ELITA / MARYORE ELITA</v>
      </c>
      <c r="D2657" s="44" t="str">
        <f>IFERROR(__xludf.DUMMYFUNCTION("""COMPUTED_VALUE""")," ")</f>
        <v> </v>
      </c>
      <c r="E2657" s="44" t="str">
        <f>IFERROR(__xludf.DUMMYFUNCTION("""COMPUTED_VALUE"""),"")</f>
        <v/>
      </c>
      <c r="F2657" s="44" t="str">
        <f>IFERROR(__xludf.DUMMYFUNCTION("""COMPUTED_VALUE""")," ")</f>
        <v> </v>
      </c>
      <c r="G2657" s="44" t="str">
        <f>IFERROR(__xludf.DUMMYFUNCTION("""COMPUTED_VALUE"""),"")</f>
        <v/>
      </c>
      <c r="H2657" s="44" t="str">
        <f>IFERROR(__xludf.DUMMYFUNCTION("""COMPUTED_VALUE""")," ")</f>
        <v> </v>
      </c>
      <c r="I2657" s="44" t="str">
        <f>IFERROR(__xludf.DUMMYFUNCTION("""COMPUTED_VALUE""")," ")</f>
        <v> </v>
      </c>
      <c r="J2657" s="44" t="str">
        <f>IFERROR(__xludf.DUMMYFUNCTION("""COMPUTED_VALUE"""),"")</f>
        <v/>
      </c>
      <c r="K2657" s="42" t="str">
        <f>IFERROR(__xludf.DUMMYFUNCTION("""COMPUTED_VALUE"""),"Hospital Vargas de Caracas")</f>
        <v>Hospital Vargas de Caracas</v>
      </c>
    </row>
    <row r="2658">
      <c r="A2658" s="44">
        <v>2657.0</v>
      </c>
      <c r="B2658" s="44" t="str">
        <f>IFERROR(__xludf.DUMMYFUNCTION("""COMPUTED_VALUE"""),"HOSPITAL VARGAS")</f>
        <v>HOSPITAL VARGAS</v>
      </c>
      <c r="C2658" s="45" t="str">
        <f>IFERROR(__xludf.DUMMYFUNCTION("""COMPUTED_VALUE"""),"Maryori Figueroa")</f>
        <v>Maryori Figueroa</v>
      </c>
      <c r="D2658" s="44"/>
      <c r="E2658" s="44" t="str">
        <f>IFERROR(__xludf.DUMMYFUNCTION("""COMPUTED_VALUE"""),"")</f>
        <v/>
      </c>
      <c r="F2658" s="44" t="str">
        <f>IFERROR(__xludf.DUMMYFUNCTION("""COMPUTED_VALUE"""),"")</f>
        <v/>
      </c>
      <c r="G2658" s="44" t="str">
        <f>IFERROR(__xludf.DUMMYFUNCTION("""COMPUTED_VALUE"""),"")</f>
        <v/>
      </c>
      <c r="H2658" s="44" t="str">
        <f>IFERROR(__xludf.DUMMYFUNCTION("""COMPUTED_VALUE"""),"")</f>
        <v/>
      </c>
      <c r="I2658" s="44" t="str">
        <f>IFERROR(__xludf.DUMMYFUNCTION("""COMPUTED_VALUE"""),"Herido / atendido")</f>
        <v>Herido / atendido</v>
      </c>
      <c r="J2658" s="44" t="str">
        <f>IFERROR(__xludf.DUMMYFUNCTION("""COMPUTED_VALUE"""),"24.06.2026 ")</f>
        <v>24.06.2026 </v>
      </c>
      <c r="K2658" s="42" t="str">
        <f>IFERROR(__xludf.DUMMYFUNCTION("""COMPUTED_VALUE"""),"HOSPITAL VARGAS")</f>
        <v>HOSPITAL VARGAS</v>
      </c>
    </row>
    <row r="2659">
      <c r="A2659" s="44">
        <v>2658.0</v>
      </c>
      <c r="B2659" s="44" t="str">
        <f>IFERROR(__xludf.DUMMYFUNCTION("""COMPUTED_VALUE"""),"Hospital Vargas de Caracas")</f>
        <v>Hospital Vargas de Caracas</v>
      </c>
      <c r="C2659" s="45" t="str">
        <f>IFERROR(__xludf.DUMMYFUNCTION("""COMPUTED_VALUE"""),"MASCULINO SIN IDENTIFICAR")</f>
        <v>MASCULINO SIN IDENTIFICAR</v>
      </c>
      <c r="D2659" s="44" t="str">
        <f>IFERROR(__xludf.DUMMYFUNCTION("""COMPUTED_VALUE""")," ")</f>
        <v> </v>
      </c>
      <c r="E2659" s="44" t="str">
        <f>IFERROR(__xludf.DUMMYFUNCTION("""COMPUTED_VALUE"""),"")</f>
        <v/>
      </c>
      <c r="F2659" s="44" t="str">
        <f>IFERROR(__xludf.DUMMYFUNCTION("""COMPUTED_VALUE""")," ")</f>
        <v> </v>
      </c>
      <c r="G2659" s="44" t="str">
        <f>IFERROR(__xludf.DUMMYFUNCTION("""COMPUTED_VALUE"""),"")</f>
        <v/>
      </c>
      <c r="H2659" s="44" t="str">
        <f>IFERROR(__xludf.DUMMYFUNCTION("""COMPUTED_VALUE""")," ")</f>
        <v> </v>
      </c>
      <c r="I2659" s="44" t="str">
        <f>IFERROR(__xludf.DUMMYFUNCTION("""COMPUTED_VALUE"""),"⚠ FALLECIDO – Sin identificar")</f>
        <v>⚠ FALLECIDO – Sin identificar</v>
      </c>
      <c r="J2659" s="44" t="str">
        <f>IFERROR(__xludf.DUMMYFUNCTION("""COMPUTED_VALUE"""),"")</f>
        <v/>
      </c>
      <c r="K2659" s="42" t="str">
        <f>IFERROR(__xludf.DUMMYFUNCTION("""COMPUTED_VALUE"""),"Hospital Vargas de Caracas")</f>
        <v>Hospital Vargas de Caracas</v>
      </c>
    </row>
    <row r="2660">
      <c r="A2660" s="44">
        <v>2659.0</v>
      </c>
      <c r="B2660" s="44" t="str">
        <f>IFERROR(__xludf.DUMMYFUNCTION("""COMPUTED_VALUE"""),"Hospital Dr. José Gregorio Hern")</f>
        <v>Hospital Dr. José Gregorio Hern</v>
      </c>
      <c r="C2660" s="45" t="str">
        <f>IFERROR(__xludf.DUMMYFUNCTION("""COMPUTED_VALUE"""),"MATA YOALBERT")</f>
        <v>MATA YOALBERT</v>
      </c>
      <c r="D2660" s="44">
        <f>IFERROR(__xludf.DUMMYFUNCTION("""COMPUTED_VALUE"""),7.0)</f>
        <v>7</v>
      </c>
      <c r="E2660" s="44" t="str">
        <f>IFERROR(__xludf.DUMMYFUNCTION("""COMPUTED_VALUE"""),"")</f>
        <v/>
      </c>
      <c r="F2660" s="44" t="str">
        <f>IFERROR(__xludf.DUMMYFUNCTION("""COMPUTED_VALUE"""),"")</f>
        <v/>
      </c>
      <c r="G2660" s="44" t="str">
        <f>IFERROR(__xludf.DUMMYFUNCTION("""COMPUTED_VALUE""")," ")</f>
        <v> </v>
      </c>
      <c r="H2660" s="44" t="str">
        <f>IFERROR(__xludf.DUMMYFUNCTION("""COMPUTED_VALUE"""),"Playa Grande")</f>
        <v>Playa Grande</v>
      </c>
      <c r="I2660" s="44" t="str">
        <f>IFERROR(__xludf.DUMMYFUNCTION("""COMPUTED_VALUE""")," ")</f>
        <v> </v>
      </c>
      <c r="J2660" s="44" t="str">
        <f>IFERROR(__xludf.DUMMYFUNCTION("""COMPUTED_VALUE"""),"")</f>
        <v/>
      </c>
      <c r="K2660" s="42" t="str">
        <f>IFERROR(__xludf.DUMMYFUNCTION("""COMPUTED_VALUE"""),"Hospital Dr. José Gregorio Hern")</f>
        <v>Hospital Dr. José Gregorio Hern</v>
      </c>
    </row>
    <row r="2661">
      <c r="A2661" s="44">
        <v>2660.0</v>
      </c>
      <c r="B2661" s="44" t="str">
        <f>IFERROR(__xludf.DUMMYFUNCTION("""COMPUTED_VALUE"""),"Hospital Pérez Carreño")</f>
        <v>Hospital Pérez Carreño</v>
      </c>
      <c r="C2661" s="45" t="str">
        <f>IFERROR(__xludf.DUMMYFUNCTION("""COMPUTED_VALUE"""),"MATERANO ELIZABETH")</f>
        <v>MATERANO ELIZABETH</v>
      </c>
      <c r="D2661" s="44">
        <f>IFERROR(__xludf.DUMMYFUNCTION("""COMPUTED_VALUE"""),3.0)</f>
        <v>3</v>
      </c>
      <c r="E2661" s="44" t="str">
        <f>IFERROR(__xludf.DUMMYFUNCTION("""COMPUTED_VALUE"""),"")</f>
        <v/>
      </c>
      <c r="F2661" s="44" t="str">
        <f>IFERROR(__xludf.DUMMYFUNCTION("""COMPUTED_VALUE"""),"")</f>
        <v/>
      </c>
      <c r="G2661" s="44" t="str">
        <f>IFERROR(__xludf.DUMMYFUNCTION("""COMPUTED_VALUE""")," ")</f>
        <v> </v>
      </c>
      <c r="H2661" s="44" t="str">
        <f>IFERROR(__xludf.DUMMYFUNCTION("""COMPUTED_VALUE""")," ")</f>
        <v> </v>
      </c>
      <c r="I2661" s="44" t="str">
        <f>IFERROR(__xludf.DUMMYFUNCTION("""COMPUTED_VALUE"""),"Pediatría – Lista alta; Tíos Gabriel Materano / Jasmín Ramos | Emerg. Pediátrica")</f>
        <v>Pediatría – Lista alta; Tíos Gabriel Materano / Jasmín Ramos | Emerg. Pediátrica</v>
      </c>
      <c r="J2661" s="44" t="str">
        <f>IFERROR(__xludf.DUMMYFUNCTION("""COMPUTED_VALUE"""),"25/06/2026")</f>
        <v>25/06/2026</v>
      </c>
      <c r="K2661" s="42" t="str">
        <f>IFERROR(__xludf.DUMMYFUNCTION("""COMPUTED_VALUE"""),"Hospital Pérez Carreño")</f>
        <v>Hospital Pérez Carreño</v>
      </c>
    </row>
    <row r="2662">
      <c r="A2662" s="44">
        <v>2661.0</v>
      </c>
      <c r="B2662" s="44" t="str">
        <f>IFERROR(__xludf.DUMMYFUNCTION("""COMPUTED_VALUE"""),"Campo de Golf Playa los Cocos")</f>
        <v>Campo de Golf Playa los Cocos</v>
      </c>
      <c r="C2662" s="45" t="str">
        <f>IFERROR(__xludf.DUMMYFUNCTION("""COMPUTED_VALUE"""),"Mathias Vasquez")</f>
        <v>Mathias Vasquez</v>
      </c>
      <c r="D2662" s="44" t="str">
        <f>IFERROR(__xludf.DUMMYFUNCTION("""COMPUTED_VALUE"""),"")</f>
        <v/>
      </c>
      <c r="E2662" s="44" t="str">
        <f>IFERROR(__xludf.DUMMYFUNCTION("""COMPUTED_VALUE"""),"")</f>
        <v/>
      </c>
      <c r="F2662" s="44" t="str">
        <f>IFERROR(__xludf.DUMMYFUNCTION("""COMPUTED_VALUE"""),"")</f>
        <v/>
      </c>
      <c r="G2662" s="44" t="str">
        <f>IFERROR(__xludf.DUMMYFUNCTION("""COMPUTED_VALUE"""),"")</f>
        <v/>
      </c>
      <c r="H2662" s="44" t="str">
        <f>IFERROR(__xludf.DUMMYFUNCTION("""COMPUTED_VALUE"""),"")</f>
        <v/>
      </c>
      <c r="I2662" s="44"/>
      <c r="J2662" s="44" t="str">
        <f>IFERROR(__xludf.DUMMYFUNCTION("""COMPUTED_VALUE"""),"")</f>
        <v/>
      </c>
      <c r="K2662" s="42" t="str">
        <f>IFERROR(__xludf.DUMMYFUNCTION("""COMPUTED_VALUE"""),"Campo de Golf Playa los Cocos")</f>
        <v>Campo de Golf Playa los Cocos</v>
      </c>
    </row>
    <row r="2663">
      <c r="A2663" s="44">
        <v>2662.0</v>
      </c>
      <c r="B2663" s="44" t="str">
        <f>IFERROR(__xludf.DUMMYFUNCTION("""COMPUTED_VALUE"""),"Hospital Pérez Carreño")</f>
        <v>Hospital Pérez Carreño</v>
      </c>
      <c r="C2663" s="45" t="str">
        <f>IFERROR(__xludf.DUMMYFUNCTION("""COMPUTED_VALUE"""),"Mathiel Jimenez")</f>
        <v>Mathiel Jimenez</v>
      </c>
      <c r="D2663" s="44" t="str">
        <f>IFERROR(__xludf.DUMMYFUNCTION("""COMPUTED_VALUE"""),"La Guaira")</f>
        <v>La Guaira</v>
      </c>
      <c r="E2663" s="44" t="str">
        <f>IFERROR(__xludf.DUMMYFUNCTION("""COMPUTED_VALUE"""),"")</f>
        <v/>
      </c>
      <c r="F2663" s="44" t="str">
        <f>IFERROR(__xludf.DUMMYFUNCTION("""COMPUTED_VALUE"""),"")</f>
        <v/>
      </c>
      <c r="G2663" s="44"/>
      <c r="H2663" s="44"/>
      <c r="I2663" s="44"/>
      <c r="J2663" s="44"/>
      <c r="K2663" s="42" t="str">
        <f>IFERROR(__xludf.DUMMYFUNCTION("""COMPUTED_VALUE"""),"Hospital Pérez Carreño")</f>
        <v>Hospital Pérez Carreño</v>
      </c>
    </row>
    <row r="2664">
      <c r="A2664" s="44">
        <v>2663.0</v>
      </c>
      <c r="B2664" s="44" t="str">
        <f>IFERROR(__xludf.DUMMYFUNCTION("""COMPUTED_VALUE"""),"Hospital Pérez Carreño")</f>
        <v>Hospital Pérez Carreño</v>
      </c>
      <c r="C2664" s="45" t="str">
        <f>IFERROR(__xludf.DUMMYFUNCTION("""COMPUTED_VALUE"""),"Matia Jimenez")</f>
        <v>Matia Jimenez</v>
      </c>
      <c r="D2664" s="44" t="str">
        <f>IFERROR(__xludf.DUMMYFUNCTION("""COMPUTED_VALUE"""),"12 años")</f>
        <v>12 años</v>
      </c>
      <c r="E2664" s="44" t="str">
        <f>IFERROR(__xludf.DUMMYFUNCTION("""COMPUTED_VALUE"""),"")</f>
        <v/>
      </c>
      <c r="F2664" s="44" t="str">
        <f>IFERROR(__xludf.DUMMYFUNCTION("""COMPUTED_VALUE"""),"")</f>
        <v/>
      </c>
      <c r="G2664" s="44" t="str">
        <f>IFERROR(__xludf.DUMMYFUNCTION("""COMPUTED_VALUE"""),"Pediatria")</f>
        <v>Pediatria</v>
      </c>
      <c r="H2664" s="44" t="str">
        <f>IFERROR(__xludf.DUMMYFUNCTION("""COMPUTED_VALUE"""),"Hospital Miguel Perez Carreño")</f>
        <v>Hospital Miguel Perez Carreño</v>
      </c>
      <c r="I2664" s="44"/>
      <c r="J2664" s="44" t="str">
        <f>IFERROR(__xludf.DUMMYFUNCTION("""COMPUTED_VALUE"""),"26/6/26")</f>
        <v>26/6/26</v>
      </c>
      <c r="K2664" s="42" t="str">
        <f>IFERROR(__xludf.DUMMYFUNCTION("""COMPUTED_VALUE"""),"Hospital Pérez Carreño")</f>
        <v>Hospital Pérez Carreño</v>
      </c>
    </row>
    <row r="2665">
      <c r="A2665" s="44">
        <v>2664.0</v>
      </c>
      <c r="B2665" s="44" t="str">
        <f>IFERROR(__xludf.DUMMYFUNCTION("""COMPUTED_VALUE"""),"Hospital Pérez Carreño")</f>
        <v>Hospital Pérez Carreño</v>
      </c>
      <c r="C2665" s="45" t="str">
        <f>IFERROR(__xludf.DUMMYFUNCTION("""COMPUTED_VALUE"""),"MATÍAS JIMÉNEZ")</f>
        <v>MATÍAS JIMÉNEZ</v>
      </c>
      <c r="D2665" s="44">
        <f>IFERROR(__xludf.DUMMYFUNCTION("""COMPUTED_VALUE"""),13.0)</f>
        <v>13</v>
      </c>
      <c r="E2665" s="44" t="str">
        <f>IFERROR(__xludf.DUMMYFUNCTION("""COMPUTED_VALUE"""),"")</f>
        <v/>
      </c>
      <c r="F2665" s="44" t="str">
        <f>IFERROR(__xludf.DUMMYFUNCTION("""COMPUTED_VALUE"""),"")</f>
        <v/>
      </c>
      <c r="G2665" s="44" t="str">
        <f>IFERROR(__xludf.DUMMYFUNCTION("""COMPUTED_VALUE""")," ")</f>
        <v> </v>
      </c>
      <c r="H2665" s="44" t="str">
        <f>IFERROR(__xludf.DUMMYFUNCTION("""COMPUTED_VALUE""")," ")</f>
        <v> </v>
      </c>
      <c r="I2665" s="44" t="str">
        <f>IFERROR(__xludf.DUMMYFUNCTION("""COMPUTED_VALUE""")," ")</f>
        <v> </v>
      </c>
      <c r="J2665" s="44" t="str">
        <f>IFERROR(__xludf.DUMMYFUNCTION("""COMPUTED_VALUE"""),"25/06/2026")</f>
        <v>25/06/2026</v>
      </c>
      <c r="K2665" s="42" t="str">
        <f>IFERROR(__xludf.DUMMYFUNCTION("""COMPUTED_VALUE"""),"Hospital Pérez Carreño")</f>
        <v>Hospital Pérez Carreño</v>
      </c>
    </row>
    <row r="2666">
      <c r="A2666" s="44">
        <v>2665.0</v>
      </c>
      <c r="B2666" s="44" t="str">
        <f>IFERROR(__xludf.DUMMYFUNCTION("""COMPUTED_VALUE"""),"Hospital Vargas de Caracas")</f>
        <v>Hospital Vargas de Caracas</v>
      </c>
      <c r="C2666" s="45" t="str">
        <f>IFERROR(__xludf.DUMMYFUNCTION("""COMPUTED_VALUE"""),"MATOS YAMILETH")</f>
        <v>MATOS YAMILETH</v>
      </c>
      <c r="D2666" s="44" t="str">
        <f>IFERROR(__xludf.DUMMYFUNCTION("""COMPUTED_VALUE""")," ")</f>
        <v> </v>
      </c>
      <c r="E2666" s="44" t="str">
        <f>IFERROR(__xludf.DUMMYFUNCTION("""COMPUTED_VALUE"""),"")</f>
        <v/>
      </c>
      <c r="F2666" s="44" t="str">
        <f>IFERROR(__xludf.DUMMYFUNCTION("""COMPUTED_VALUE""")," ")</f>
        <v> </v>
      </c>
      <c r="G2666" s="44" t="str">
        <f>IFERROR(__xludf.DUMMYFUNCTION("""COMPUTED_VALUE"""),"")</f>
        <v/>
      </c>
      <c r="H2666" s="44" t="str">
        <f>IFERROR(__xludf.DUMMYFUNCTION("""COMPUTED_VALUE""")," ")</f>
        <v> </v>
      </c>
      <c r="I2666" s="44" t="str">
        <f>IFERROR(__xludf.DUMMYFUNCTION("""COMPUTED_VALUE"""),"Pacientes x Sismo Edo La Guaira")</f>
        <v>Pacientes x Sismo Edo La Guaira</v>
      </c>
      <c r="J2666" s="44" t="str">
        <f>IFERROR(__xludf.DUMMYFUNCTION("""COMPUTED_VALUE"""),"")</f>
        <v/>
      </c>
      <c r="K2666" s="42" t="str">
        <f>IFERROR(__xludf.DUMMYFUNCTION("""COMPUTED_VALUE"""),"Hospital Vargas de Caracas")</f>
        <v>Hospital Vargas de Caracas</v>
      </c>
    </row>
    <row r="2667">
      <c r="A2667" s="44">
        <v>2666.0</v>
      </c>
      <c r="B2667" s="44" t="str">
        <f>IFERROR(__xludf.DUMMYFUNCTION("""COMPUTED_VALUE"""),"Hospital Pérez Carreño")</f>
        <v>Hospital Pérez Carreño</v>
      </c>
      <c r="C2667" s="45" t="str">
        <f>IFERROR(__xludf.DUMMYFUNCTION("""COMPUTED_VALUE"""),"Mattoq Vilca Jose")</f>
        <v>Mattoq Vilca Jose</v>
      </c>
      <c r="D2667" s="44"/>
      <c r="E2667" s="44" t="str">
        <f>IFERROR(__xludf.DUMMYFUNCTION("""COMPUTED_VALUE"""),"")</f>
        <v/>
      </c>
      <c r="F2667" s="44" t="str">
        <f>IFERROR(__xludf.DUMMYFUNCTION("""COMPUTED_VALUE"""),"")</f>
        <v/>
      </c>
      <c r="G2667" s="44" t="str">
        <f>IFERROR(__xludf.DUMMYFUNCTION("""COMPUTED_VALUE"""),"Traslados con destino asignado")</f>
        <v>Traslados con destino asignado</v>
      </c>
      <c r="H2667" s="44" t="str">
        <f>IFERROR(__xludf.DUMMYFUNCTION("""COMPUTED_VALUE"""),"Hospital Miguel Perez Carreño")</f>
        <v>Hospital Miguel Perez Carreño</v>
      </c>
      <c r="I2667" s="44"/>
      <c r="J2667" s="44" t="str">
        <f>IFERROR(__xludf.DUMMYFUNCTION("""COMPUTED_VALUE"""),"26/6/26")</f>
        <v>26/6/26</v>
      </c>
      <c r="K2667" s="42" t="str">
        <f>IFERROR(__xludf.DUMMYFUNCTION("""COMPUTED_VALUE"""),"Hospital Pérez Carreño")</f>
        <v>Hospital Pérez Carreño</v>
      </c>
    </row>
    <row r="2668">
      <c r="A2668" s="44">
        <v>2667.0</v>
      </c>
      <c r="B2668" s="44" t="str">
        <f>IFERROR(__xludf.DUMMYFUNCTION("""COMPUTED_VALUE"""),"Hospital Domingo Luciani")</f>
        <v>Hospital Domingo Luciani</v>
      </c>
      <c r="C2668" s="45" t="str">
        <f>IFERROR(__xludf.DUMMYFUNCTION("""COMPUTED_VALUE"""),"MAUBIOS DIAZ")</f>
        <v>MAUBIOS DIAZ</v>
      </c>
      <c r="D2668" s="44">
        <f>IFERROR(__xludf.DUMMYFUNCTION("""COMPUTED_VALUE"""),51.0)</f>
        <v>51</v>
      </c>
      <c r="E2668" s="44" t="str">
        <f>IFERROR(__xludf.DUMMYFUNCTION("""COMPUTED_VALUE"""),"")</f>
        <v/>
      </c>
      <c r="F2668" s="44" t="str">
        <f>IFERROR(__xludf.DUMMYFUNCTION("""COMPUTED_VALUE"""),"")</f>
        <v/>
      </c>
      <c r="G2668" s="44" t="str">
        <f>IFERROR(__xludf.DUMMYFUNCTION("""COMPUTED_VALUE""")," ")</f>
        <v> </v>
      </c>
      <c r="H2668" s="44" t="str">
        <f>IFERROR(__xludf.DUMMYFUNCTION("""COMPUTED_VALUE""")," ")</f>
        <v> </v>
      </c>
      <c r="I2668" s="44" t="str">
        <f>IFERROR(__xludf.DUMMYFUNCTION("""COMPUTED_VALUE"""),"Politrauma Emerg. Nueva")</f>
        <v>Politrauma Emerg. Nueva</v>
      </c>
      <c r="J2668" s="44" t="str">
        <f>IFERROR(__xludf.DUMMYFUNCTION("""COMPUTED_VALUE"""),"")</f>
        <v/>
      </c>
      <c r="K2668" s="42" t="str">
        <f>IFERROR(__xludf.DUMMYFUNCTION("""COMPUTED_VALUE"""),"🔍 BUSCAR PACIENTES")</f>
        <v>🔍 BUSCAR PACIENTES</v>
      </c>
    </row>
    <row r="2669">
      <c r="A2669" s="44">
        <v>2668.0</v>
      </c>
      <c r="B2669" s="44" t="str">
        <f>IFERROR(__xludf.DUMMYFUNCTION("""COMPUTED_VALUE"""),"Hospital Vargas de Caracas")</f>
        <v>Hospital Vargas de Caracas</v>
      </c>
      <c r="C2669" s="45" t="str">
        <f>IFERROR(__xludf.DUMMYFUNCTION("""COMPUTED_VALUE"""),"Maura Gonzalez")</f>
        <v>Maura Gonzalez</v>
      </c>
      <c r="D2669" s="44"/>
      <c r="E2669" s="44" t="str">
        <f>IFERROR(__xludf.DUMMYFUNCTION("""COMPUTED_VALUE"""),"")</f>
        <v/>
      </c>
      <c r="F2669" s="44"/>
      <c r="G2669" s="44" t="str">
        <f>IFERROR(__xludf.DUMMYFUNCTION("""COMPUTED_VALUE"""),"")</f>
        <v/>
      </c>
      <c r="H2669" s="44"/>
      <c r="I2669" s="44" t="str">
        <f>IFERROR(__xludf.DUMMYFUNCTION("""COMPUTED_VALUE"""),"Nombre tomado de la pizarra de pacientes; no aparece en el formulario con C.I.")</f>
        <v>Nombre tomado de la pizarra de pacientes; no aparece en el formulario con C.I.</v>
      </c>
      <c r="J2669" s="44" t="str">
        <f>IFERROR(__xludf.DUMMYFUNCTION("""COMPUTED_VALUE"""),"")</f>
        <v/>
      </c>
      <c r="K2669" s="42" t="str">
        <f>IFERROR(__xludf.DUMMYFUNCTION("""COMPUTED_VALUE"""),"Hospital Vargas de Caracas")</f>
        <v>Hospital Vargas de Caracas</v>
      </c>
    </row>
    <row r="2670">
      <c r="A2670" s="44">
        <v>2669.0</v>
      </c>
      <c r="B2670" s="44" t="str">
        <f>IFERROR(__xludf.DUMMYFUNCTION("""COMPUTED_VALUE"""),"HOSPITAL VARGAS")</f>
        <v>HOSPITAL VARGAS</v>
      </c>
      <c r="C2670" s="45" t="str">
        <f>IFERROR(__xludf.DUMMYFUNCTION("""COMPUTED_VALUE"""),"Maura González")</f>
        <v>Maura González</v>
      </c>
      <c r="D2670" s="44"/>
      <c r="E2670" s="44" t="str">
        <f>IFERROR(__xludf.DUMMYFUNCTION("""COMPUTED_VALUE"""),"")</f>
        <v/>
      </c>
      <c r="F2670" s="44" t="str">
        <f>IFERROR(__xludf.DUMMYFUNCTION("""COMPUTED_VALUE"""),"")</f>
        <v/>
      </c>
      <c r="G2670" s="44" t="str">
        <f>IFERROR(__xludf.DUMMYFUNCTION("""COMPUTED_VALUE"""),"")</f>
        <v/>
      </c>
      <c r="H2670" s="44" t="str">
        <f>IFERROR(__xludf.DUMMYFUNCTION("""COMPUTED_VALUE"""),"")</f>
        <v/>
      </c>
      <c r="I2670" s="44" t="str">
        <f>IFERROR(__xludf.DUMMYFUNCTION("""COMPUTED_VALUE"""),"Herido / atendido")</f>
        <v>Herido / atendido</v>
      </c>
      <c r="J2670" s="44" t="str">
        <f>IFERROR(__xludf.DUMMYFUNCTION("""COMPUTED_VALUE"""),"24.06.2026 ")</f>
        <v>24.06.2026 </v>
      </c>
      <c r="K2670" s="42" t="str">
        <f>IFERROR(__xludf.DUMMYFUNCTION("""COMPUTED_VALUE"""),"HOSPITAL VARGAS")</f>
        <v>HOSPITAL VARGAS</v>
      </c>
    </row>
    <row r="2671">
      <c r="A2671" s="44">
        <v>2670.0</v>
      </c>
      <c r="B2671" s="44" t="str">
        <f>IFERROR(__xludf.DUMMYFUNCTION("""COMPUTED_VALUE"""),"Hospital Domingo Luciani")</f>
        <v>Hospital Domingo Luciani</v>
      </c>
      <c r="C2671" s="45" t="str">
        <f>IFERROR(__xludf.DUMMYFUNCTION("""COMPUTED_VALUE"""),"MAURO VEQUIOLA")</f>
        <v>MAURO VEQUIOLA</v>
      </c>
      <c r="D2671" s="44">
        <f>IFERROR(__xludf.DUMMYFUNCTION("""COMPUTED_VALUE"""),55.0)</f>
        <v>55</v>
      </c>
      <c r="E2671" s="44" t="str">
        <f>IFERROR(__xludf.DUMMYFUNCTION("""COMPUTED_VALUE"""),"")</f>
        <v/>
      </c>
      <c r="F2671" s="44" t="str">
        <f>IFERROR(__xludf.DUMMYFUNCTION("""COMPUTED_VALUE"""),"")</f>
        <v/>
      </c>
      <c r="G2671" s="44" t="str">
        <f>IFERROR(__xludf.DUMMYFUNCTION("""COMPUTED_VALUE""")," ")</f>
        <v> </v>
      </c>
      <c r="H2671" s="44" t="str">
        <f>IFERROR(__xludf.DUMMYFUNCTION("""COMPUTED_VALUE""")," ")</f>
        <v> </v>
      </c>
      <c r="I2671" s="44" t="str">
        <f>IFERROR(__xludf.DUMMYFUNCTION("""COMPUTED_VALUE"""),"Internado")</f>
        <v>Internado</v>
      </c>
      <c r="J2671" s="44" t="str">
        <f>IFERROR(__xludf.DUMMYFUNCTION("""COMPUTED_VALUE"""),"")</f>
        <v/>
      </c>
      <c r="K2671" s="42" t="str">
        <f>IFERROR(__xludf.DUMMYFUNCTION("""COMPUTED_VALUE"""),"🔍 BUSCAR PACIENTES")</f>
        <v>🔍 BUSCAR PACIENTES</v>
      </c>
    </row>
    <row r="2672">
      <c r="A2672" s="44">
        <v>2671.0</v>
      </c>
      <c r="B2672" s="44" t="str">
        <f>IFERROR(__xludf.DUMMYFUNCTION("""COMPUTED_VALUE"""),"Periférico de Catia")</f>
        <v>Periférico de Catia</v>
      </c>
      <c r="C2672" s="45" t="str">
        <f>IFERROR(__xludf.DUMMYFUNCTION("""COMPUTED_VALUE"""),"MAVAR HEIVERSON")</f>
        <v>MAVAR HEIVERSON</v>
      </c>
      <c r="D2672" s="44">
        <f>IFERROR(__xludf.DUMMYFUNCTION("""COMPUTED_VALUE"""),15.0)</f>
        <v>15</v>
      </c>
      <c r="E2672" s="44" t="str">
        <f>IFERROR(__xludf.DUMMYFUNCTION("""COMPUTED_VALUE"""),"")</f>
        <v/>
      </c>
      <c r="F2672" s="44" t="str">
        <f>IFERROR(__xludf.DUMMYFUNCTION("""COMPUTED_VALUE"""),"")</f>
        <v/>
      </c>
      <c r="G2672" s="44" t="str">
        <f>IFERROR(__xludf.DUMMYFUNCTION("""COMPUTED_VALUE""")," ")</f>
        <v> </v>
      </c>
      <c r="H2672" s="44" t="str">
        <f>IFERROR(__xludf.DUMMYFUNCTION("""COMPUTED_VALUE"""),"Los Frailes de Cata #18 C/ Carmen")</f>
        <v>Los Frailes de Cata #18 C/ Carmen</v>
      </c>
      <c r="I2672" s="44" t="str">
        <f>IFERROR(__xludf.DUMMYFUNCTION("""COMPUTED_VALUE""")," ")</f>
        <v> </v>
      </c>
      <c r="J2672" s="44" t="str">
        <f>IFERROR(__xludf.DUMMYFUNCTION("""COMPUTED_VALUE"""),"")</f>
        <v/>
      </c>
      <c r="K2672" s="42" t="str">
        <f>IFERROR(__xludf.DUMMYFUNCTION("""COMPUTED_VALUE"""),"Periférico de Catia")</f>
        <v>Periférico de Catia</v>
      </c>
    </row>
    <row r="2673">
      <c r="A2673" s="44">
        <v>2672.0</v>
      </c>
      <c r="B2673" s="44" t="str">
        <f>IFERROR(__xludf.DUMMYFUNCTION("""COMPUTED_VALUE"""),"Hospital Pérez Carreño")</f>
        <v>Hospital Pérez Carreño</v>
      </c>
      <c r="C2673" s="45" t="str">
        <f>IFERROR(__xludf.DUMMYFUNCTION("""COMPUTED_VALUE"""),"MAXIMILIANO CHIRINOS")</f>
        <v>MAXIMILIANO CHIRINOS</v>
      </c>
      <c r="D2673" s="44">
        <f>IFERROR(__xludf.DUMMYFUNCTION("""COMPUTED_VALUE"""),6.0)</f>
        <v>6</v>
      </c>
      <c r="E2673" s="44" t="str">
        <f>IFERROR(__xludf.DUMMYFUNCTION("""COMPUTED_VALUE"""),"")</f>
        <v/>
      </c>
      <c r="F2673" s="44" t="str">
        <f>IFERROR(__xludf.DUMMYFUNCTION("""COMPUTED_VALUE"""),"")</f>
        <v/>
      </c>
      <c r="G2673" s="44" t="str">
        <f>IFERROR(__xludf.DUMMYFUNCTION("""COMPUTED_VALUE""")," ")</f>
        <v> </v>
      </c>
      <c r="H2673" s="44" t="str">
        <f>IFERROR(__xludf.DUMMYFUNCTION("""COMPUTED_VALUE""")," ")</f>
        <v> </v>
      </c>
      <c r="I2673" s="44" t="str">
        <f>IFERROR(__xludf.DUMMYFUNCTION("""COMPUTED_VALUE""")," ")</f>
        <v> </v>
      </c>
      <c r="J2673" s="44" t="str">
        <f>IFERROR(__xludf.DUMMYFUNCTION("""COMPUTED_VALUE"""),"25/06/2026")</f>
        <v>25/06/2026</v>
      </c>
      <c r="K2673" s="42" t="str">
        <f>IFERROR(__xludf.DUMMYFUNCTION("""COMPUTED_VALUE"""),"Hospital Pérez Carreño")</f>
        <v>Hospital Pérez Carreño</v>
      </c>
    </row>
    <row r="2674">
      <c r="A2674" s="44">
        <v>2673.0</v>
      </c>
      <c r="B2674" s="44" t="str">
        <f>IFERROR(__xludf.DUMMYFUNCTION("""COMPUTED_VALUE"""),"Seguro Social La Guaira")</f>
        <v>Seguro Social La Guaira</v>
      </c>
      <c r="C2674" s="45" t="str">
        <f>IFERROR(__xludf.DUMMYFUNCTION("""COMPUTED_VALUE"""),"MAYA LEON")</f>
        <v>MAYA LEON</v>
      </c>
      <c r="D2674" s="44">
        <f>IFERROR(__xludf.DUMMYFUNCTION("""COMPUTED_VALUE"""),4.0)</f>
        <v>4</v>
      </c>
      <c r="E2674" s="44" t="str">
        <f>IFERROR(__xludf.DUMMYFUNCTION("""COMPUTED_VALUE"""),"")</f>
        <v/>
      </c>
      <c r="F2674" s="44" t="str">
        <f>IFERROR(__xludf.DUMMYFUNCTION("""COMPUTED_VALUE"""),"")</f>
        <v/>
      </c>
      <c r="G2674" s="44" t="str">
        <f>IFERROR(__xludf.DUMMYFUNCTION("""COMPUTED_VALUE""")," ")</f>
        <v> </v>
      </c>
      <c r="H2674" s="44" t="str">
        <f>IFERROR(__xludf.DUMMYFUNCTION("""COMPUTED_VALUE"""),"Caraballeda")</f>
        <v>Caraballeda</v>
      </c>
      <c r="I2674" s="44" t="str">
        <f>IFERROR(__xludf.DUMMYFUNCTION("""COMPUTED_VALUE""")," ")</f>
        <v> </v>
      </c>
      <c r="J2674" s="44" t="str">
        <f>IFERROR(__xludf.DUMMYFUNCTION("""COMPUTED_VALUE"""),"")</f>
        <v/>
      </c>
      <c r="K2674" s="42" t="str">
        <f>IFERROR(__xludf.DUMMYFUNCTION("""COMPUTED_VALUE"""),"Seguro Social La Guaira")</f>
        <v>Seguro Social La Guaira</v>
      </c>
    </row>
    <row r="2675">
      <c r="A2675" s="44">
        <v>2674.0</v>
      </c>
      <c r="B2675" s="44" t="str">
        <f>IFERROR(__xludf.DUMMYFUNCTION("""COMPUTED_VALUE"""),"Campo de Golf Playa los Cocos")</f>
        <v>Campo de Golf Playa los Cocos</v>
      </c>
      <c r="C2675" s="45" t="str">
        <f>IFERROR(__xludf.DUMMYFUNCTION("""COMPUTED_VALUE"""),"Mayderlyn Martinez")</f>
        <v>Mayderlyn Martinez</v>
      </c>
      <c r="D2675" s="44" t="str">
        <f>IFERROR(__xludf.DUMMYFUNCTION("""COMPUTED_VALUE"""),"")</f>
        <v/>
      </c>
      <c r="E2675" s="44" t="str">
        <f>IFERROR(__xludf.DUMMYFUNCTION("""COMPUTED_VALUE"""),"")</f>
        <v/>
      </c>
      <c r="F2675" s="44" t="str">
        <f>IFERROR(__xludf.DUMMYFUNCTION("""COMPUTED_VALUE"""),"")</f>
        <v/>
      </c>
      <c r="G2675" s="44" t="str">
        <f>IFERROR(__xludf.DUMMYFUNCTION("""COMPUTED_VALUE"""),"")</f>
        <v/>
      </c>
      <c r="H2675" s="44" t="str">
        <f>IFERROR(__xludf.DUMMYFUNCTION("""COMPUTED_VALUE"""),"")</f>
        <v/>
      </c>
      <c r="I2675" s="44"/>
      <c r="J2675" s="44" t="str">
        <f>IFERROR(__xludf.DUMMYFUNCTION("""COMPUTED_VALUE"""),"")</f>
        <v/>
      </c>
      <c r="K2675" s="42" t="str">
        <f>IFERROR(__xludf.DUMMYFUNCTION("""COMPUTED_VALUE"""),"Campo de Golf Playa los Cocos")</f>
        <v>Campo de Golf Playa los Cocos</v>
      </c>
    </row>
    <row r="2676">
      <c r="A2676" s="44">
        <v>2675.0</v>
      </c>
      <c r="B2676" s="44" t="str">
        <f>IFERROR(__xludf.DUMMYFUNCTION("""COMPUTED_VALUE"""),"HOSPITAL VARGAS")</f>
        <v>HOSPITAL VARGAS</v>
      </c>
      <c r="C2676" s="45" t="str">
        <f>IFERROR(__xludf.DUMMYFUNCTION("""COMPUTED_VALUE"""),"Mayeris Figueroa")</f>
        <v>Mayeris Figueroa</v>
      </c>
      <c r="D2676" s="44"/>
      <c r="E2676" s="44" t="str">
        <f>IFERROR(__xludf.DUMMYFUNCTION("""COMPUTED_VALUE"""),"")</f>
        <v/>
      </c>
      <c r="F2676" s="44" t="str">
        <f>IFERROR(__xludf.DUMMYFUNCTION("""COMPUTED_VALUE"""),"")</f>
        <v/>
      </c>
      <c r="G2676" s="44" t="str">
        <f>IFERROR(__xludf.DUMMYFUNCTION("""COMPUTED_VALUE"""),"")</f>
        <v/>
      </c>
      <c r="H2676" s="44" t="str">
        <f>IFERROR(__xludf.DUMMYFUNCTION("""COMPUTED_VALUE"""),"")</f>
        <v/>
      </c>
      <c r="I2676" s="44" t="str">
        <f>IFERROR(__xludf.DUMMYFUNCTION("""COMPUTED_VALUE"""),"Herido / atendido")</f>
        <v>Herido / atendido</v>
      </c>
      <c r="J2676" s="44" t="str">
        <f>IFERROR(__xludf.DUMMYFUNCTION("""COMPUTED_VALUE"""),"24.06.2026 ")</f>
        <v>24.06.2026 </v>
      </c>
      <c r="K2676" s="42" t="str">
        <f>IFERROR(__xludf.DUMMYFUNCTION("""COMPUTED_VALUE"""),"HOSPITAL VARGAS")</f>
        <v>HOSPITAL VARGAS</v>
      </c>
    </row>
    <row r="2677">
      <c r="A2677" s="44">
        <v>2676.0</v>
      </c>
      <c r="B2677" s="44" t="str">
        <f>IFERROR(__xludf.DUMMYFUNCTION("""COMPUTED_VALUE"""),"HOSPITAL VARGAS")</f>
        <v>HOSPITAL VARGAS</v>
      </c>
      <c r="C2677" s="45" t="str">
        <f>IFERROR(__xludf.DUMMYFUNCTION("""COMPUTED_VALUE"""),"Mayernis Diaz")</f>
        <v>Mayernis Diaz</v>
      </c>
      <c r="D2677" s="44"/>
      <c r="E2677" s="44" t="str">
        <f>IFERROR(__xludf.DUMMYFUNCTION("""COMPUTED_VALUE"""),"")</f>
        <v/>
      </c>
      <c r="F2677" s="44" t="str">
        <f>IFERROR(__xludf.DUMMYFUNCTION("""COMPUTED_VALUE"""),"")</f>
        <v/>
      </c>
      <c r="G2677" s="44" t="str">
        <f>IFERROR(__xludf.DUMMYFUNCTION("""COMPUTED_VALUE"""),"")</f>
        <v/>
      </c>
      <c r="H2677" s="44" t="str">
        <f>IFERROR(__xludf.DUMMYFUNCTION("""COMPUTED_VALUE"""),"")</f>
        <v/>
      </c>
      <c r="I2677" s="44" t="str">
        <f>IFERROR(__xludf.DUMMYFUNCTION("""COMPUTED_VALUE"""),"Herido / atendido")</f>
        <v>Herido / atendido</v>
      </c>
      <c r="J2677" s="44" t="str">
        <f>IFERROR(__xludf.DUMMYFUNCTION("""COMPUTED_VALUE"""),"24.06.2026 ")</f>
        <v>24.06.2026 </v>
      </c>
      <c r="K2677" s="42" t="str">
        <f>IFERROR(__xludf.DUMMYFUNCTION("""COMPUTED_VALUE"""),"HOSPITAL VARGAS")</f>
        <v>HOSPITAL VARGAS</v>
      </c>
    </row>
    <row r="2678">
      <c r="A2678" s="44">
        <v>2677.0</v>
      </c>
      <c r="B2678" s="44" t="str">
        <f>IFERROR(__xludf.DUMMYFUNCTION("""COMPUTED_VALUE"""),"Periférico de Catia")</f>
        <v>Periférico de Catia</v>
      </c>
      <c r="C2678" s="45" t="str">
        <f>IFERROR(__xludf.DUMMYFUNCTION("""COMPUTED_VALUE"""),"MAYOR HENDERSON")</f>
        <v>MAYOR HENDERSON</v>
      </c>
      <c r="D2678" s="44">
        <f>IFERROR(__xludf.DUMMYFUNCTION("""COMPUTED_VALUE"""),15.0)</f>
        <v>15</v>
      </c>
      <c r="E2678" s="44" t="str">
        <f>IFERROR(__xludf.DUMMYFUNCTION("""COMPUTED_VALUE"""),"")</f>
        <v/>
      </c>
      <c r="F2678" s="44" t="str">
        <f>IFERROR(__xludf.DUMMYFUNCTION("""COMPUTED_VALUE"""),"")</f>
        <v/>
      </c>
      <c r="G2678" s="44" t="str">
        <f>IFERROR(__xludf.DUMMYFUNCTION("""COMPUTED_VALUE""")," ")</f>
        <v> </v>
      </c>
      <c r="H2678" s="44" t="str">
        <f>IFERROR(__xludf.DUMMYFUNCTION("""COMPUTED_VALUE""")," ")</f>
        <v> </v>
      </c>
      <c r="I2678" s="44" t="str">
        <f>IFERROR(__xludf.DUMMYFUNCTION("""COMPUTED_VALUE""")," ")</f>
        <v> </v>
      </c>
      <c r="J2678" s="44" t="str">
        <f>IFERROR(__xludf.DUMMYFUNCTION("""COMPUTED_VALUE"""),"")</f>
        <v/>
      </c>
      <c r="K2678" s="42" t="str">
        <f>IFERROR(__xludf.DUMMYFUNCTION("""COMPUTED_VALUE"""),"Periférico de Catia")</f>
        <v>Periférico de Catia</v>
      </c>
    </row>
    <row r="2679">
      <c r="A2679" s="44">
        <v>2678.0</v>
      </c>
      <c r="B2679" s="44" t="str">
        <f>IFERROR(__xludf.DUMMYFUNCTION("""COMPUTED_VALUE"""),"Hospital Pérez Carreño")</f>
        <v>Hospital Pérez Carreño</v>
      </c>
      <c r="C2679" s="45" t="str">
        <f>IFERROR(__xludf.DUMMYFUNCTION("""COMPUTED_VALUE"""),"Mayora Angelica")</f>
        <v>Mayora Angelica</v>
      </c>
      <c r="D2679" s="44"/>
      <c r="E2679" s="44" t="str">
        <f>IFERROR(__xludf.DUMMYFUNCTION("""COMPUTED_VALUE"""),"")</f>
        <v/>
      </c>
      <c r="F2679" s="44" t="str">
        <f>IFERROR(__xludf.DUMMYFUNCTION("""COMPUTED_VALUE"""),"")</f>
        <v/>
      </c>
      <c r="G2679" s="44" t="str">
        <f>IFERROR(__xludf.DUMMYFUNCTION("""COMPUTED_VALUE"""),"Traslados con destino asignado")</f>
        <v>Traslados con destino asignado</v>
      </c>
      <c r="H2679" s="44" t="str">
        <f>IFERROR(__xludf.DUMMYFUNCTION("""COMPUTED_VALUE"""),"Hospital Miguel Perez Carreño")</f>
        <v>Hospital Miguel Perez Carreño</v>
      </c>
      <c r="I2679" s="44"/>
      <c r="J2679" s="44" t="str">
        <f>IFERROR(__xludf.DUMMYFUNCTION("""COMPUTED_VALUE"""),"26/6/26")</f>
        <v>26/6/26</v>
      </c>
      <c r="K2679" s="42" t="str">
        <f>IFERROR(__xludf.DUMMYFUNCTION("""COMPUTED_VALUE"""),"Hospital Pérez Carreño")</f>
        <v>Hospital Pérez Carreño</v>
      </c>
    </row>
    <row r="2680">
      <c r="A2680" s="44">
        <v>2679.0</v>
      </c>
      <c r="B2680" s="44" t="str">
        <f>IFERROR(__xludf.DUMMYFUNCTION("""COMPUTED_VALUE"""),"H. Jose Maria Vargas LG")</f>
        <v>H. Jose Maria Vargas LG</v>
      </c>
      <c r="C2680" s="45" t="str">
        <f>IFERROR(__xludf.DUMMYFUNCTION("""COMPUTED_VALUE"""),"MAYORA FANNY")</f>
        <v>MAYORA FANNY</v>
      </c>
      <c r="D2680" s="44" t="str">
        <f>IFERROR(__xludf.DUMMYFUNCTION("""COMPUTED_VALUE""")," ")</f>
        <v> </v>
      </c>
      <c r="E2680" s="44" t="str">
        <f>IFERROR(__xludf.DUMMYFUNCTION("""COMPUTED_VALUE"""),"")</f>
        <v/>
      </c>
      <c r="F2680" s="44" t="str">
        <f>IFERROR(__xludf.DUMMYFUNCTION("""COMPUTED_VALUE"""),"")</f>
        <v/>
      </c>
      <c r="G2680" s="44" t="str">
        <f>IFERROR(__xludf.DUMMYFUNCTION("""COMPUTED_VALUE""")," ")</f>
        <v> </v>
      </c>
      <c r="H2680" s="44" t="str">
        <f>IFERROR(__xludf.DUMMYFUNCTION("""COMPUTED_VALUE""")," ")</f>
        <v> </v>
      </c>
      <c r="I2680" s="44" t="str">
        <f>IFERROR(__xludf.DUMMYFUNCTION("""COMPUTED_VALUE""")," ")</f>
        <v> </v>
      </c>
      <c r="J2680" s="44" t="str">
        <f>IFERROR(__xludf.DUMMYFUNCTION("""COMPUTED_VALUE"""),"")</f>
        <v/>
      </c>
      <c r="K2680" s="42" t="str">
        <f>IFERROR(__xludf.DUMMYFUNCTION("""COMPUTED_VALUE"""),"H. Jose Maria Vargas LG")</f>
        <v>H. Jose Maria Vargas LG</v>
      </c>
    </row>
    <row r="2681">
      <c r="A2681" s="44">
        <v>2680.0</v>
      </c>
      <c r="B2681" s="44" t="str">
        <f>IFERROR(__xludf.DUMMYFUNCTION("""COMPUTED_VALUE"""),"Hospital Pérez Carreño")</f>
        <v>Hospital Pérez Carreño</v>
      </c>
      <c r="C2681" s="45" t="str">
        <f>IFERROR(__xludf.DUMMYFUNCTION("""COMPUTED_VALUE"""),"MAYORA MARIA")</f>
        <v>MAYORA MARIA</v>
      </c>
      <c r="D2681" s="44" t="str">
        <f>IFERROR(__xludf.DUMMYFUNCTION("""COMPUTED_VALUE""")," ")</f>
        <v> </v>
      </c>
      <c r="E2681" s="44" t="str">
        <f>IFERROR(__xludf.DUMMYFUNCTION("""COMPUTED_VALUE"""),"")</f>
        <v/>
      </c>
      <c r="F2681" s="44" t="str">
        <f>IFERROR(__xludf.DUMMYFUNCTION("""COMPUTED_VALUE"""),"")</f>
        <v/>
      </c>
      <c r="G2681" s="44" t="str">
        <f>IFERROR(__xludf.DUMMYFUNCTION("""COMPUTED_VALUE""")," ")</f>
        <v> </v>
      </c>
      <c r="H2681" s="44" t="str">
        <f>IFERROR(__xludf.DUMMYFUNCTION("""COMPUTED_VALUE""")," ")</f>
        <v> </v>
      </c>
      <c r="I2681" s="44" t="str">
        <f>IFERROR(__xludf.DUMMYFUNCTION("""COMPUTED_VALUE"""),"Traumashock – Embarazada")</f>
        <v>Traumashock – Embarazada</v>
      </c>
      <c r="J2681" s="44" t="str">
        <f>IFERROR(__xludf.DUMMYFUNCTION("""COMPUTED_VALUE"""),"25/06/2026")</f>
        <v>25/06/2026</v>
      </c>
      <c r="K2681" s="42" t="str">
        <f>IFERROR(__xludf.DUMMYFUNCTION("""COMPUTED_VALUE"""),"Hospital Pérez Carreño")</f>
        <v>Hospital Pérez Carreño</v>
      </c>
    </row>
    <row r="2682">
      <c r="A2682" s="44">
        <v>2681.0</v>
      </c>
      <c r="B2682" s="44" t="str">
        <f>IFERROR(__xludf.DUMMYFUNCTION("""COMPUTED_VALUE"""),"H. Jose Maria Vargas LG")</f>
        <v>H. Jose Maria Vargas LG</v>
      </c>
      <c r="C2682" s="45" t="str">
        <f>IFERROR(__xludf.DUMMYFUNCTION("""COMPUTED_VALUE"""),"MAYORA YOLANDA")</f>
        <v>MAYORA YOLANDA</v>
      </c>
      <c r="D2682" s="44" t="str">
        <f>IFERROR(__xludf.DUMMYFUNCTION("""COMPUTED_VALUE""")," ")</f>
        <v> </v>
      </c>
      <c r="E2682" s="44" t="str">
        <f>IFERROR(__xludf.DUMMYFUNCTION("""COMPUTED_VALUE"""),"")</f>
        <v/>
      </c>
      <c r="F2682" s="44" t="str">
        <f>IFERROR(__xludf.DUMMYFUNCTION("""COMPUTED_VALUE"""),"")</f>
        <v/>
      </c>
      <c r="G2682" s="44" t="str">
        <f>IFERROR(__xludf.DUMMYFUNCTION("""COMPUTED_VALUE""")," ")</f>
        <v> </v>
      </c>
      <c r="H2682" s="44" t="str">
        <f>IFERROR(__xludf.DUMMYFUNCTION("""COMPUTED_VALUE""")," ")</f>
        <v> </v>
      </c>
      <c r="I2682" s="44" t="str">
        <f>IFERROR(__xludf.DUMMYFUNCTION("""COMPUTED_VALUE""")," ")</f>
        <v> </v>
      </c>
      <c r="J2682" s="44" t="str">
        <f>IFERROR(__xludf.DUMMYFUNCTION("""COMPUTED_VALUE"""),"")</f>
        <v/>
      </c>
      <c r="K2682" s="42" t="str">
        <f>IFERROR(__xludf.DUMMYFUNCTION("""COMPUTED_VALUE"""),"H. Jose Maria Vargas LG")</f>
        <v>H. Jose Maria Vargas LG</v>
      </c>
    </row>
    <row r="2683">
      <c r="A2683" s="44">
        <v>2682.0</v>
      </c>
      <c r="B2683" s="44" t="str">
        <f>IFERROR(__xludf.DUMMYFUNCTION("""COMPUTED_VALUE"""),"Hospital Domingo Luciani")</f>
        <v>Hospital Domingo Luciani</v>
      </c>
      <c r="C2683" s="45" t="str">
        <f>IFERROR(__xludf.DUMMYFUNCTION("""COMPUTED_VALUE"""),"MAYORCA DAVID")</f>
        <v>MAYORCA DAVID</v>
      </c>
      <c r="D2683" s="44">
        <f>IFERROR(__xludf.DUMMYFUNCTION("""COMPUTED_VALUE"""),26.0)</f>
        <v>26</v>
      </c>
      <c r="E2683" s="44" t="str">
        <f>IFERROR(__xludf.DUMMYFUNCTION("""COMPUTED_VALUE"""),"")</f>
        <v/>
      </c>
      <c r="F2683" s="44" t="str">
        <f>IFERROR(__xludf.DUMMYFUNCTION("""COMPUTED_VALUE"""),"")</f>
        <v/>
      </c>
      <c r="G2683" s="44" t="str">
        <f>IFERROR(__xludf.DUMMYFUNCTION("""COMPUTED_VALUE""")," ")</f>
        <v> </v>
      </c>
      <c r="H2683" s="44" t="str">
        <f>IFERROR(__xludf.DUMMYFUNCTION("""COMPUTED_VALUE""")," ")</f>
        <v> </v>
      </c>
      <c r="I2683" s="44" t="str">
        <f>IFERROR(__xludf.DUMMYFUNCTION("""COMPUTED_VALUE"""),"Politrauma – La Guaira")</f>
        <v>Politrauma – La Guaira</v>
      </c>
      <c r="J2683" s="44" t="str">
        <f>IFERROR(__xludf.DUMMYFUNCTION("""COMPUTED_VALUE"""),"")</f>
        <v/>
      </c>
      <c r="K2683" s="42" t="str">
        <f>IFERROR(__xludf.DUMMYFUNCTION("""COMPUTED_VALUE"""),"🔍 BUSCAR PACIENTES")</f>
        <v>🔍 BUSCAR PACIENTES</v>
      </c>
    </row>
    <row r="2684">
      <c r="A2684" s="44">
        <v>2683.0</v>
      </c>
      <c r="B2684" s="44" t="str">
        <f>IFERROR(__xludf.DUMMYFUNCTION("""COMPUTED_VALUE"""),"H. Jose Maria Vargas LG")</f>
        <v>H. Jose Maria Vargas LG</v>
      </c>
      <c r="C2684" s="45" t="str">
        <f>IFERROR(__xludf.DUMMYFUNCTION("""COMPUTED_VALUE"""),"MAYORCA FANNYS")</f>
        <v>MAYORCA FANNYS</v>
      </c>
      <c r="D2684" s="44" t="str">
        <f>IFERROR(__xludf.DUMMYFUNCTION("""COMPUTED_VALUE""")," ")</f>
        <v> </v>
      </c>
      <c r="E2684" s="44" t="str">
        <f>IFERROR(__xludf.DUMMYFUNCTION("""COMPUTED_VALUE"""),"")</f>
        <v/>
      </c>
      <c r="F2684" s="44" t="str">
        <f>IFERROR(__xludf.DUMMYFUNCTION("""COMPUTED_VALUE"""),"")</f>
        <v/>
      </c>
      <c r="G2684" s="44" t="str">
        <f>IFERROR(__xludf.DUMMYFUNCTION("""COMPUTED_VALUE""")," ")</f>
        <v> </v>
      </c>
      <c r="H2684" s="44" t="str">
        <f>IFERROR(__xludf.DUMMYFUNCTION("""COMPUTED_VALUE""")," ")</f>
        <v> </v>
      </c>
      <c r="I2684" s="44" t="str">
        <f>IFERROR(__xludf.DUMMYFUNCTION("""COMPUTED_VALUE""")," ")</f>
        <v> </v>
      </c>
      <c r="J2684" s="44" t="str">
        <f>IFERROR(__xludf.DUMMYFUNCTION("""COMPUTED_VALUE"""),"")</f>
        <v/>
      </c>
      <c r="K2684" s="42" t="str">
        <f>IFERROR(__xludf.DUMMYFUNCTION("""COMPUTED_VALUE"""),"H. Jose Maria Vargas LG")</f>
        <v>H. Jose Maria Vargas LG</v>
      </c>
    </row>
    <row r="2685">
      <c r="A2685" s="44">
        <v>2684.0</v>
      </c>
      <c r="B2685" s="44" t="str">
        <f>IFERROR(__xludf.DUMMYFUNCTION("""COMPUTED_VALUE"""),"Hospital Domingo Luciani")</f>
        <v>Hospital Domingo Luciani</v>
      </c>
      <c r="C2685" s="45" t="str">
        <f>IFERROR(__xludf.DUMMYFUNCTION("""COMPUTED_VALUE"""),"MAYORCA JESUS")</f>
        <v>MAYORCA JESUS</v>
      </c>
      <c r="D2685" s="44">
        <f>IFERROR(__xludf.DUMMYFUNCTION("""COMPUTED_VALUE"""),26.0)</f>
        <v>26</v>
      </c>
      <c r="E2685" s="44" t="str">
        <f>IFERROR(__xludf.DUMMYFUNCTION("""COMPUTED_VALUE"""),"")</f>
        <v/>
      </c>
      <c r="F2685" s="44" t="str">
        <f>IFERROR(__xludf.DUMMYFUNCTION("""COMPUTED_VALUE"""),"")</f>
        <v/>
      </c>
      <c r="G2685" s="44" t="str">
        <f>IFERROR(__xludf.DUMMYFUNCTION("""COMPUTED_VALUE""")," ")</f>
        <v> </v>
      </c>
      <c r="H2685" s="44" t="str">
        <f>IFERROR(__xludf.DUMMYFUNCTION("""COMPUTED_VALUE"""),"La Guaira")</f>
        <v>La Guaira</v>
      </c>
      <c r="I2685" s="44" t="str">
        <f>IFERROR(__xludf.DUMMYFUNCTION("""COMPUTED_VALUE"""),"Ingresos 6am-9:20pm")</f>
        <v>Ingresos 6am-9:20pm</v>
      </c>
      <c r="J2685" s="44" t="str">
        <f>IFERROR(__xludf.DUMMYFUNCTION("""COMPUTED_VALUE"""),"")</f>
        <v/>
      </c>
      <c r="K2685" s="42" t="str">
        <f>IFERROR(__xludf.DUMMYFUNCTION("""COMPUTED_VALUE"""),"🔍 BUSCAR PACIENTES")</f>
        <v>🔍 BUSCAR PACIENTES</v>
      </c>
    </row>
    <row r="2686">
      <c r="A2686" s="44">
        <v>2685.0</v>
      </c>
      <c r="B2686" s="44" t="str">
        <f>IFERROR(__xludf.DUMMYFUNCTION("""COMPUTED_VALUE"""),"Hospital Pérez Carreño")</f>
        <v>Hospital Pérez Carreño</v>
      </c>
      <c r="C2686" s="45" t="str">
        <f>IFERROR(__xludf.DUMMYFUNCTION("""COMPUTED_VALUE"""),"MEDICHIA DIEGO")</f>
        <v>MEDICHIA DIEGO</v>
      </c>
      <c r="D2686" s="44" t="str">
        <f>IFERROR(__xludf.DUMMYFUNCTION("""COMPUTED_VALUE""")," ")</f>
        <v> </v>
      </c>
      <c r="E2686" s="44" t="str">
        <f>IFERROR(__xludf.DUMMYFUNCTION("""COMPUTED_VALUE"""),"")</f>
        <v/>
      </c>
      <c r="F2686" s="44" t="str">
        <f>IFERROR(__xludf.DUMMYFUNCTION("""COMPUTED_VALUE"""),"")</f>
        <v/>
      </c>
      <c r="G2686" s="44" t="str">
        <f>IFERROR(__xludf.DUMMYFUNCTION("""COMPUTED_VALUE""")," ")</f>
        <v> </v>
      </c>
      <c r="H2686" s="44" t="str">
        <f>IFERROR(__xludf.DUMMYFUNCTION("""COMPUTED_VALUE""")," ")</f>
        <v> </v>
      </c>
      <c r="I2686" s="44" t="str">
        <f>IFERROR(__xludf.DUMMYFUNCTION("""COMPUTED_VALUE"""),"Traumashock")</f>
        <v>Traumashock</v>
      </c>
      <c r="J2686" s="44" t="str">
        <f>IFERROR(__xludf.DUMMYFUNCTION("""COMPUTED_VALUE"""),"25/06/2026")</f>
        <v>25/06/2026</v>
      </c>
      <c r="K2686" s="42" t="str">
        <f>IFERROR(__xludf.DUMMYFUNCTION("""COMPUTED_VALUE"""),"Hospital Pérez Carreño")</f>
        <v>Hospital Pérez Carreño</v>
      </c>
    </row>
    <row r="2687">
      <c r="A2687" s="44">
        <v>2686.0</v>
      </c>
      <c r="B2687" s="44" t="str">
        <f>IFERROR(__xludf.DUMMYFUNCTION("""COMPUTED_VALUE"""),"Centro de Acopio Caraballeda")</f>
        <v>Centro de Acopio Caraballeda</v>
      </c>
      <c r="C2687" s="45" t="str">
        <f>IFERROR(__xludf.DUMMYFUNCTION("""COMPUTED_VALUE"""),"MEDINA ALBERT")</f>
        <v>MEDINA ALBERT</v>
      </c>
      <c r="D2687" s="44" t="str">
        <f>IFERROR(__xludf.DUMMYFUNCTION("""COMPUTED_VALUE""")," ")</f>
        <v> </v>
      </c>
      <c r="E2687" s="44" t="str">
        <f>IFERROR(__xludf.DUMMYFUNCTION("""COMPUTED_VALUE"""),"")</f>
        <v/>
      </c>
      <c r="F2687" s="44" t="str">
        <f>IFERROR(__xludf.DUMMYFUNCTION("""COMPUTED_VALUE"""),"")</f>
        <v/>
      </c>
      <c r="G2687" s="44" t="str">
        <f>IFERROR(__xludf.DUMMYFUNCTION("""COMPUTED_VALUE""")," ")</f>
        <v> </v>
      </c>
      <c r="H2687" s="44" t="str">
        <f>IFERROR(__xludf.DUMMYFUNCTION("""COMPUTED_VALUE""")," ")</f>
        <v> </v>
      </c>
      <c r="I2687" s="44" t="str">
        <f>IFERROR(__xludf.DUMMYFUNCTION("""COMPUTED_VALUE"""),"Internado")</f>
        <v>Internado</v>
      </c>
      <c r="J2687" s="44" t="str">
        <f>IFERROR(__xludf.DUMMYFUNCTION("""COMPUTED_VALUE"""),"")</f>
        <v/>
      </c>
      <c r="K2687" s="42" t="str">
        <f>IFERROR(__xludf.DUMMYFUNCTION("""COMPUTED_VALUE"""),"🔍 BUSCAR PACIENTES")</f>
        <v>🔍 BUSCAR PACIENTES</v>
      </c>
    </row>
    <row r="2688">
      <c r="A2688" s="44">
        <v>2687.0</v>
      </c>
      <c r="B2688" s="44" t="str">
        <f>IFERROR(__xludf.DUMMYFUNCTION("""COMPUTED_VALUE"""),"Centro de Acopio Caraballeda")</f>
        <v>Centro de Acopio Caraballeda</v>
      </c>
      <c r="C2688" s="45" t="str">
        <f>IFERROR(__xludf.DUMMYFUNCTION("""COMPUTED_VALUE"""),"MEDINA ALEXANDER")</f>
        <v>MEDINA ALEXANDER</v>
      </c>
      <c r="D2688" s="44" t="str">
        <f>IFERROR(__xludf.DUMMYFUNCTION("""COMPUTED_VALUE""")," ")</f>
        <v> </v>
      </c>
      <c r="E2688" s="44" t="str">
        <f>IFERROR(__xludf.DUMMYFUNCTION("""COMPUTED_VALUE"""),"")</f>
        <v/>
      </c>
      <c r="F2688" s="44" t="str">
        <f>IFERROR(__xludf.DUMMYFUNCTION("""COMPUTED_VALUE"""),"")</f>
        <v/>
      </c>
      <c r="G2688" s="44" t="str">
        <f>IFERROR(__xludf.DUMMYFUNCTION("""COMPUTED_VALUE""")," ")</f>
        <v> </v>
      </c>
      <c r="H2688" s="44" t="str">
        <f>IFERROR(__xludf.DUMMYFUNCTION("""COMPUTED_VALUE""")," ")</f>
        <v> </v>
      </c>
      <c r="I2688" s="44" t="str">
        <f>IFERROR(__xludf.DUMMYFUNCTION("""COMPUTED_VALUE"""),"Internado")</f>
        <v>Internado</v>
      </c>
      <c r="J2688" s="44" t="str">
        <f>IFERROR(__xludf.DUMMYFUNCTION("""COMPUTED_VALUE"""),"")</f>
        <v/>
      </c>
      <c r="K2688" s="42" t="str">
        <f>IFERROR(__xludf.DUMMYFUNCTION("""COMPUTED_VALUE"""),"🔍 BUSCAR PACIENTES")</f>
        <v>🔍 BUSCAR PACIENTES</v>
      </c>
    </row>
    <row r="2689">
      <c r="A2689" s="44">
        <v>2688.0</v>
      </c>
      <c r="B2689" s="44" t="str">
        <f>IFERROR(__xludf.DUMMYFUNCTION("""COMPUTED_VALUE"""),"La Guaira Sin Hospital")</f>
        <v>La Guaira Sin Hospital</v>
      </c>
      <c r="C2689" s="45" t="str">
        <f>IFERROR(__xludf.DUMMYFUNCTION("""COMPUTED_VALUE"""),"Medina Almando")</f>
        <v>Medina Almando</v>
      </c>
      <c r="D2689" s="44" t="str">
        <f>IFERROR(__xludf.DUMMYFUNCTION("""COMPUTED_VALUE"""),"")</f>
        <v/>
      </c>
      <c r="E2689" s="44" t="str">
        <f>IFERROR(__xludf.DUMMYFUNCTION("""COMPUTED_VALUE"""),"")</f>
        <v/>
      </c>
      <c r="F2689" s="44" t="str">
        <f>IFERROR(__xludf.DUMMYFUNCTION("""COMPUTED_VALUE"""),"")</f>
        <v/>
      </c>
      <c r="G2689" s="44" t="str">
        <f>IFERROR(__xludf.DUMMYFUNCTION("""COMPUTED_VALUE"""),"")</f>
        <v/>
      </c>
      <c r="H2689" s="44" t="str">
        <f>IFERROR(__xludf.DUMMYFUNCTION("""COMPUTED_VALUE"""),"La Guaira Playa Grande")</f>
        <v>La Guaira Playa Grande</v>
      </c>
      <c r="I2689" s="44" t="str">
        <f>IFERROR(__xludf.DUMMYFUNCTION("""COMPUTED_VALUE"""),"Listas con ubicación")</f>
        <v>Listas con ubicación</v>
      </c>
      <c r="J2689" s="44" t="str">
        <f>IFERROR(__xludf.DUMMYFUNCTION("""COMPUTED_VALUE"""),"")</f>
        <v/>
      </c>
      <c r="K2689" s="42" t="str">
        <f>IFERROR(__xludf.DUMMYFUNCTION("""COMPUTED_VALUE"""),"La Guaira Sin Hospital")</f>
        <v>La Guaira Sin Hospital</v>
      </c>
    </row>
    <row r="2690">
      <c r="A2690" s="44">
        <v>2689.0</v>
      </c>
      <c r="B2690" s="44" t="str">
        <f>IFERROR(__xludf.DUMMYFUNCTION("""COMPUTED_VALUE"""),"Hospital Pérez Carreño")</f>
        <v>Hospital Pérez Carreño</v>
      </c>
      <c r="C2690" s="45" t="str">
        <f>IFERROR(__xludf.DUMMYFUNCTION("""COMPUTED_VALUE"""),"Medina Almondo")</f>
        <v>Medina Almondo</v>
      </c>
      <c r="D2690" s="44"/>
      <c r="E2690" s="44" t="str">
        <f>IFERROR(__xludf.DUMMYFUNCTION("""COMPUTED_VALUE"""),"")</f>
        <v/>
      </c>
      <c r="F2690" s="44" t="str">
        <f>IFERROR(__xludf.DUMMYFUNCTION("""COMPUTED_VALUE"""),"")</f>
        <v/>
      </c>
      <c r="G2690" s="44" t="str">
        <f>IFERROR(__xludf.DUMMYFUNCTION("""COMPUTED_VALUE"""),"Traslados con destino asignado")</f>
        <v>Traslados con destino asignado</v>
      </c>
      <c r="H2690" s="44" t="str">
        <f>IFERROR(__xludf.DUMMYFUNCTION("""COMPUTED_VALUE"""),"Hospital Miguel Perez Carreño")</f>
        <v>Hospital Miguel Perez Carreño</v>
      </c>
      <c r="I2690" s="44"/>
      <c r="J2690" s="44" t="str">
        <f>IFERROR(__xludf.DUMMYFUNCTION("""COMPUTED_VALUE"""),"26/6/26")</f>
        <v>26/6/26</v>
      </c>
      <c r="K2690" s="42" t="str">
        <f>IFERROR(__xludf.DUMMYFUNCTION("""COMPUTED_VALUE"""),"Hospital Pérez Carreño")</f>
        <v>Hospital Pérez Carreño</v>
      </c>
    </row>
    <row r="2691">
      <c r="A2691" s="44">
        <v>2690.0</v>
      </c>
      <c r="B2691" s="44" t="str">
        <f>IFERROR(__xludf.DUMMYFUNCTION("""COMPUTED_VALUE"""),"Hospital Pérez Carreño")</f>
        <v>Hospital Pérez Carreño</v>
      </c>
      <c r="C2691" s="45" t="str">
        <f>IFERROR(__xludf.DUMMYFUNCTION("""COMPUTED_VALUE"""),"Medina Diego Alejandro Sofia")</f>
        <v>Medina Diego Alejandro Sofia</v>
      </c>
      <c r="D2691" s="44"/>
      <c r="E2691" s="44" t="str">
        <f>IFERROR(__xludf.DUMMYFUNCTION("""COMPUTED_VALUE"""),"")</f>
        <v/>
      </c>
      <c r="F2691" s="44" t="str">
        <f>IFERROR(__xludf.DUMMYFUNCTION("""COMPUTED_VALUE"""),"")</f>
        <v/>
      </c>
      <c r="G2691" s="44" t="str">
        <f>IFERROR(__xludf.DUMMYFUNCTION("""COMPUTED_VALUE"""),"Traslados")</f>
        <v>Traslados</v>
      </c>
      <c r="H2691" s="44" t="str">
        <f>IFERROR(__xludf.DUMMYFUNCTION("""COMPUTED_VALUE"""),"Hospital Miguel Perez Carreño")</f>
        <v>Hospital Miguel Perez Carreño</v>
      </c>
      <c r="I2691" s="44"/>
      <c r="J2691" s="44" t="str">
        <f>IFERROR(__xludf.DUMMYFUNCTION("""COMPUTED_VALUE"""),"26/6/26")</f>
        <v>26/6/26</v>
      </c>
      <c r="K2691" s="42" t="str">
        <f>IFERROR(__xludf.DUMMYFUNCTION("""COMPUTED_VALUE"""),"Hospital Pérez Carreño")</f>
        <v>Hospital Pérez Carreño</v>
      </c>
    </row>
    <row r="2692">
      <c r="A2692" s="44">
        <v>2691.0</v>
      </c>
      <c r="B2692" s="44" t="str">
        <f>IFERROR(__xludf.DUMMYFUNCTION("""COMPUTED_VALUE"""),"Hospital Pérez Carreño")</f>
        <v>Hospital Pérez Carreño</v>
      </c>
      <c r="C2692" s="45" t="str">
        <f>IFERROR(__xludf.DUMMYFUNCTION("""COMPUTED_VALUE"""),"MEDINA HERNANDEZ HANSER")</f>
        <v>MEDINA HERNANDEZ HANSER</v>
      </c>
      <c r="D2692" s="44" t="str">
        <f>IFERROR(__xludf.DUMMYFUNCTION("""COMPUTED_VALUE""")," ")</f>
        <v> </v>
      </c>
      <c r="E2692" s="44" t="str">
        <f>IFERROR(__xludf.DUMMYFUNCTION("""COMPUTED_VALUE"""),"")</f>
        <v/>
      </c>
      <c r="F2692" s="44" t="str">
        <f>IFERROR(__xludf.DUMMYFUNCTION("""COMPUTED_VALUE"""),"")</f>
        <v/>
      </c>
      <c r="G2692" s="44" t="str">
        <f>IFERROR(__xludf.DUMMYFUNCTION("""COMPUTED_VALUE""")," ")</f>
        <v> </v>
      </c>
      <c r="H2692" s="44" t="str">
        <f>IFERROR(__xludf.DUMMYFUNCTION("""COMPUTED_VALUE""")," ")</f>
        <v> </v>
      </c>
      <c r="I2692" s="44" t="str">
        <f>IFERROR(__xludf.DUMMYFUNCTION("""COMPUTED_VALUE"""),"Internado")</f>
        <v>Internado</v>
      </c>
      <c r="J2692" s="44" t="str">
        <f>IFERROR(__xludf.DUMMYFUNCTION("""COMPUTED_VALUE"""),"25/06/2026")</f>
        <v>25/06/2026</v>
      </c>
      <c r="K2692" s="42" t="str">
        <f>IFERROR(__xludf.DUMMYFUNCTION("""COMPUTED_VALUE"""),"Hospital Pérez Carreño")</f>
        <v>Hospital Pérez Carreño</v>
      </c>
    </row>
    <row r="2693">
      <c r="A2693" s="44">
        <v>2692.0</v>
      </c>
      <c r="B2693" s="44" t="str">
        <f>IFERROR(__xludf.DUMMYFUNCTION("""COMPUTED_VALUE"""),"Hospital Pérez Carreño")</f>
        <v>Hospital Pérez Carreño</v>
      </c>
      <c r="C2693" s="45" t="str">
        <f>IFERROR(__xludf.DUMMYFUNCTION("""COMPUTED_VALUE"""),"Medina Hernandez Hanzer")</f>
        <v>Medina Hernandez Hanzer</v>
      </c>
      <c r="D2693" s="44"/>
      <c r="E2693" s="44" t="str">
        <f>IFERROR(__xludf.DUMMYFUNCTION("""COMPUTED_VALUE"""),"")</f>
        <v/>
      </c>
      <c r="F2693" s="44" t="str">
        <f>IFERROR(__xludf.DUMMYFUNCTION("""COMPUTED_VALUE"""),"")</f>
        <v/>
      </c>
      <c r="G2693" s="44" t="str">
        <f>IFERROR(__xludf.DUMMYFUNCTION("""COMPUTED_VALUE"""),"Traslados")</f>
        <v>Traslados</v>
      </c>
      <c r="H2693" s="44" t="str">
        <f>IFERROR(__xludf.DUMMYFUNCTION("""COMPUTED_VALUE"""),"Hospital Miguel Perez Carreño")</f>
        <v>Hospital Miguel Perez Carreño</v>
      </c>
      <c r="I2693" s="44"/>
      <c r="J2693" s="44" t="str">
        <f>IFERROR(__xludf.DUMMYFUNCTION("""COMPUTED_VALUE"""),"26/6/26")</f>
        <v>26/6/26</v>
      </c>
      <c r="K2693" s="42" t="str">
        <f>IFERROR(__xludf.DUMMYFUNCTION("""COMPUTED_VALUE"""),"Hospital Pérez Carreño")</f>
        <v>Hospital Pérez Carreño</v>
      </c>
    </row>
    <row r="2694">
      <c r="A2694" s="44">
        <v>2693.0</v>
      </c>
      <c r="B2694" s="44" t="str">
        <f>IFERROR(__xludf.DUMMYFUNCTION("""COMPUTED_VALUE"""),"Hospital Universitario de Carac")</f>
        <v>Hospital Universitario de Carac</v>
      </c>
      <c r="C2694" s="45" t="str">
        <f>IFERROR(__xludf.DUMMYFUNCTION("""COMPUTED_VALUE"""),"MEDINA JOSE")</f>
        <v>MEDINA JOSE</v>
      </c>
      <c r="D2694" s="44" t="str">
        <f>IFERROR(__xludf.DUMMYFUNCTION("""COMPUTED_VALUE""")," ")</f>
        <v> </v>
      </c>
      <c r="E2694" s="44" t="str">
        <f>IFERROR(__xludf.DUMMYFUNCTION("""COMPUTED_VALUE"""),"")</f>
        <v/>
      </c>
      <c r="F2694" s="44" t="str">
        <f>IFERROR(__xludf.DUMMYFUNCTION("""COMPUTED_VALUE"""),"")</f>
        <v/>
      </c>
      <c r="G2694" s="44" t="str">
        <f>IFERROR(__xludf.DUMMYFUNCTION("""COMPUTED_VALUE""")," ")</f>
        <v> </v>
      </c>
      <c r="H2694" s="44" t="str">
        <f>IFERROR(__xludf.DUMMYFUNCTION("""COMPUTED_VALUE""")," ")</f>
        <v> </v>
      </c>
      <c r="I2694" s="44" t="str">
        <f>IFERROR(__xludf.DUMMYFUNCTION("""COMPUTED_VALUE"""),"Emergencia Med 2 – Fx tibia derecha; Subir piso 5; Internado")</f>
        <v>Emergencia Med 2 – Fx tibia derecha; Subir piso 5; Internado</v>
      </c>
      <c r="J2694" s="44" t="str">
        <f>IFERROR(__xludf.DUMMYFUNCTION("""COMPUTED_VALUE"""),"")</f>
        <v/>
      </c>
      <c r="K2694" s="42" t="str">
        <f>IFERROR(__xludf.DUMMYFUNCTION("""COMPUTED_VALUE"""),"Hospital Universitario de Carac")</f>
        <v>Hospital Universitario de Carac</v>
      </c>
    </row>
    <row r="2695">
      <c r="A2695" s="44">
        <v>2694.0</v>
      </c>
      <c r="B2695" s="44" t="str">
        <f>IFERROR(__xludf.DUMMYFUNCTION("""COMPUTED_VALUE"""),"Centro de Acopio Caraballeda")</f>
        <v>Centro de Acopio Caraballeda</v>
      </c>
      <c r="C2695" s="45" t="str">
        <f>IFERROR(__xludf.DUMMYFUNCTION("""COMPUTED_VALUE"""),"MEDINA O DARWIN")</f>
        <v>MEDINA O DARWIN</v>
      </c>
      <c r="D2695" s="44" t="str">
        <f>IFERROR(__xludf.DUMMYFUNCTION("""COMPUTED_VALUE""")," ")</f>
        <v> </v>
      </c>
      <c r="E2695" s="44" t="str">
        <f>IFERROR(__xludf.DUMMYFUNCTION("""COMPUTED_VALUE"""),"")</f>
        <v/>
      </c>
      <c r="F2695" s="44" t="str">
        <f>IFERROR(__xludf.DUMMYFUNCTION("""COMPUTED_VALUE"""),"")</f>
        <v/>
      </c>
      <c r="G2695" s="44" t="str">
        <f>IFERROR(__xludf.DUMMYFUNCTION("""COMPUTED_VALUE""")," ")</f>
        <v> </v>
      </c>
      <c r="H2695" s="44" t="str">
        <f>IFERROR(__xludf.DUMMYFUNCTION("""COMPUTED_VALUE""")," ")</f>
        <v> </v>
      </c>
      <c r="I2695" s="44" t="str">
        <f>IFERROR(__xludf.DUMMYFUNCTION("""COMPUTED_VALUE"""),"Internado")</f>
        <v>Internado</v>
      </c>
      <c r="J2695" s="44" t="str">
        <f>IFERROR(__xludf.DUMMYFUNCTION("""COMPUTED_VALUE"""),"")</f>
        <v/>
      </c>
      <c r="K2695" s="42" t="str">
        <f>IFERROR(__xludf.DUMMYFUNCTION("""COMPUTED_VALUE"""),"🔍 BUSCAR PACIENTES")</f>
        <v>🔍 BUSCAR PACIENTES</v>
      </c>
    </row>
    <row r="2696">
      <c r="A2696" s="44">
        <v>2695.0</v>
      </c>
      <c r="B2696" s="44" t="str">
        <f>IFERROR(__xludf.DUMMYFUNCTION("""COMPUTED_VALUE"""),"Hospital Pérez Carreño")</f>
        <v>Hospital Pérez Carreño</v>
      </c>
      <c r="C2696" s="45" t="str">
        <f>IFERROR(__xludf.DUMMYFUNCTION("""COMPUTED_VALUE"""),"Medina Orcasitas Leovicia Sofia")</f>
        <v>Medina Orcasitas Leovicia Sofia</v>
      </c>
      <c r="D2696" s="44"/>
      <c r="E2696" s="44" t="str">
        <f>IFERROR(__xludf.DUMMYFUNCTION("""COMPUTED_VALUE"""),"")</f>
        <v/>
      </c>
      <c r="F2696" s="44" t="str">
        <f>IFERROR(__xludf.DUMMYFUNCTION("""COMPUTED_VALUE"""),"")</f>
        <v/>
      </c>
      <c r="G2696" s="44" t="str">
        <f>IFERROR(__xludf.DUMMYFUNCTION("""COMPUTED_VALUE"""),"Traslados")</f>
        <v>Traslados</v>
      </c>
      <c r="H2696" s="44" t="str">
        <f>IFERROR(__xludf.DUMMYFUNCTION("""COMPUTED_VALUE"""),"Hospital Miguel Perez Carreño")</f>
        <v>Hospital Miguel Perez Carreño</v>
      </c>
      <c r="I2696" s="44"/>
      <c r="J2696" s="44" t="str">
        <f>IFERROR(__xludf.DUMMYFUNCTION("""COMPUTED_VALUE"""),"26/6/26")</f>
        <v>26/6/26</v>
      </c>
      <c r="K2696" s="42" t="str">
        <f>IFERROR(__xludf.DUMMYFUNCTION("""COMPUTED_VALUE"""),"Hospital Pérez Carreño")</f>
        <v>Hospital Pérez Carreño</v>
      </c>
    </row>
    <row r="2697">
      <c r="A2697" s="44">
        <v>2696.0</v>
      </c>
      <c r="B2697" s="44" t="str">
        <f>IFERROR(__xludf.DUMMYFUNCTION("""COMPUTED_VALUE"""),"Hospital Pérez Carreño")</f>
        <v>Hospital Pérez Carreño</v>
      </c>
      <c r="C2697" s="45" t="str">
        <f>IFERROR(__xludf.DUMMYFUNCTION("""COMPUTED_VALUE"""),"MEDINA PARRA FERNANDO JOSE")</f>
        <v>MEDINA PARRA FERNANDO JOSE</v>
      </c>
      <c r="D2697" s="44">
        <f>IFERROR(__xludf.DUMMYFUNCTION("""COMPUTED_VALUE"""),5.0)</f>
        <v>5</v>
      </c>
      <c r="E2697" s="44" t="str">
        <f>IFERROR(__xludf.DUMMYFUNCTION("""COMPUTED_VALUE"""),"")</f>
        <v/>
      </c>
      <c r="F2697" s="44" t="str">
        <f>IFERROR(__xludf.DUMMYFUNCTION("""COMPUTED_VALUE"""),"")</f>
        <v/>
      </c>
      <c r="G2697" s="44" t="str">
        <f>IFERROR(__xludf.DUMMYFUNCTION("""COMPUTED_VALUE""")," ")</f>
        <v> </v>
      </c>
      <c r="H2697" s="44" t="str">
        <f>IFERROR(__xludf.DUMMYFUNCTION("""COMPUTED_VALUE""")," ")</f>
        <v> </v>
      </c>
      <c r="I2697" s="44" t="str">
        <f>IFERROR(__xludf.DUMMYFUNCTION("""COMPUTED_VALUE"""),"Pediatría")</f>
        <v>Pediatría</v>
      </c>
      <c r="J2697" s="44" t="str">
        <f>IFERROR(__xludf.DUMMYFUNCTION("""COMPUTED_VALUE"""),"25/06/2026")</f>
        <v>25/06/2026</v>
      </c>
      <c r="K2697" s="42" t="str">
        <f>IFERROR(__xludf.DUMMYFUNCTION("""COMPUTED_VALUE"""),"Hospital Pérez Carreño")</f>
        <v>Hospital Pérez Carreño</v>
      </c>
    </row>
    <row r="2698">
      <c r="A2698" s="44">
        <v>2697.0</v>
      </c>
      <c r="B2698" s="44" t="str">
        <f>IFERROR(__xludf.DUMMYFUNCTION("""COMPUTED_VALUE"""),"Hospital Vargas de Caracas")</f>
        <v>Hospital Vargas de Caracas</v>
      </c>
      <c r="C2698" s="45" t="str">
        <f>IFERROR(__xludf.DUMMYFUNCTION("""COMPUTED_VALUE"""),"MEDINA REINA")</f>
        <v>MEDINA REINA</v>
      </c>
      <c r="D2698" s="44" t="str">
        <f>IFERROR(__xludf.DUMMYFUNCTION("""COMPUTED_VALUE""")," ")</f>
        <v> </v>
      </c>
      <c r="E2698" s="44" t="str">
        <f>IFERROR(__xludf.DUMMYFUNCTION("""COMPUTED_VALUE"""),"")</f>
        <v/>
      </c>
      <c r="F2698" s="44" t="str">
        <f>IFERROR(__xludf.DUMMYFUNCTION("""COMPUTED_VALUE""")," ")</f>
        <v> </v>
      </c>
      <c r="G2698" s="44" t="str">
        <f>IFERROR(__xludf.DUMMYFUNCTION("""COMPUTED_VALUE"""),"")</f>
        <v/>
      </c>
      <c r="H2698" s="44" t="str">
        <f>IFERROR(__xludf.DUMMYFUNCTION("""COMPUTED_VALUE""")," ")</f>
        <v> </v>
      </c>
      <c r="I2698" s="44" t="str">
        <f>IFERROR(__xludf.DUMMYFUNCTION("""COMPUTED_VALUE""")," ")</f>
        <v> </v>
      </c>
      <c r="J2698" s="44" t="str">
        <f>IFERROR(__xludf.DUMMYFUNCTION("""COMPUTED_VALUE"""),"")</f>
        <v/>
      </c>
      <c r="K2698" s="42" t="str">
        <f>IFERROR(__xludf.DUMMYFUNCTION("""COMPUTED_VALUE"""),"Hospital Vargas de Caracas")</f>
        <v>Hospital Vargas de Caracas</v>
      </c>
    </row>
    <row r="2699">
      <c r="A2699" s="44">
        <v>2698.0</v>
      </c>
      <c r="B2699" s="44" t="str">
        <f>IFERROR(__xludf.DUMMYFUNCTION("""COMPUTED_VALUE"""),"Hospital Pérez Carreño")</f>
        <v>Hospital Pérez Carreño</v>
      </c>
      <c r="C2699" s="45" t="str">
        <f>IFERROR(__xludf.DUMMYFUNCTION("""COMPUTED_VALUE"""),"MEDINE AZUAJE MARIA SOFIA")</f>
        <v>MEDINE AZUAJE MARIA SOFIA</v>
      </c>
      <c r="D2699" s="44" t="str">
        <f>IFERROR(__xludf.DUMMYFUNCTION("""COMPUTED_VALUE""")," ")</f>
        <v> </v>
      </c>
      <c r="E2699" s="44" t="str">
        <f>IFERROR(__xludf.DUMMYFUNCTION("""COMPUTED_VALUE"""),"")</f>
        <v/>
      </c>
      <c r="F2699" s="44" t="str">
        <f>IFERROR(__xludf.DUMMYFUNCTION("""COMPUTED_VALUE"""),"")</f>
        <v/>
      </c>
      <c r="G2699" s="44" t="str">
        <f>IFERROR(__xludf.DUMMYFUNCTION("""COMPUTED_VALUE""")," ")</f>
        <v> </v>
      </c>
      <c r="H2699" s="44" t="str">
        <f>IFERROR(__xludf.DUMMYFUNCTION("""COMPUTED_VALUE""")," ")</f>
        <v> </v>
      </c>
      <c r="I2699" s="44" t="str">
        <f>IFERROR(__xludf.DUMMYFUNCTION("""COMPUTED_VALUE"""),"Internado")</f>
        <v>Internado</v>
      </c>
      <c r="J2699" s="44" t="str">
        <f>IFERROR(__xludf.DUMMYFUNCTION("""COMPUTED_VALUE"""),"25/06/2026")</f>
        <v>25/06/2026</v>
      </c>
      <c r="K2699" s="42" t="str">
        <f>IFERROR(__xludf.DUMMYFUNCTION("""COMPUTED_VALUE"""),"Hospital Pérez Carreño")</f>
        <v>Hospital Pérez Carreño</v>
      </c>
    </row>
    <row r="2700">
      <c r="A2700" s="44">
        <v>2699.0</v>
      </c>
      <c r="B2700" s="44" t="str">
        <f>IFERROR(__xludf.DUMMYFUNCTION("""COMPUTED_VALUE"""),"Hospital Pérez Carreño")</f>
        <v>Hospital Pérez Carreño</v>
      </c>
      <c r="C2700" s="45" t="str">
        <f>IFERROR(__xludf.DUMMYFUNCTION("""COMPUTED_VALUE"""),"MELENDE DEISI")</f>
        <v>MELENDE DEISI</v>
      </c>
      <c r="D2700" s="44" t="str">
        <f>IFERROR(__xludf.DUMMYFUNCTION("""COMPUTED_VALUE""")," ")</f>
        <v> </v>
      </c>
      <c r="E2700" s="44" t="str">
        <f>IFERROR(__xludf.DUMMYFUNCTION("""COMPUTED_VALUE"""),"")</f>
        <v/>
      </c>
      <c r="F2700" s="44" t="str">
        <f>IFERROR(__xludf.DUMMYFUNCTION("""COMPUTED_VALUE"""),"")</f>
        <v/>
      </c>
      <c r="G2700" s="44" t="str">
        <f>IFERROR(__xludf.DUMMYFUNCTION("""COMPUTED_VALUE""")," ")</f>
        <v> </v>
      </c>
      <c r="H2700" s="44" t="str">
        <f>IFERROR(__xludf.DUMMYFUNCTION("""COMPUTED_VALUE""")," ")</f>
        <v> </v>
      </c>
      <c r="I2700" s="44" t="str">
        <f>IFERROR(__xludf.DUMMYFUNCTION("""COMPUTED_VALUE"""),"Traumachok – Triaje; La Guaira")</f>
        <v>Traumachok – Triaje; La Guaira</v>
      </c>
      <c r="J2700" s="44" t="str">
        <f>IFERROR(__xludf.DUMMYFUNCTION("""COMPUTED_VALUE"""),"25/06/2026")</f>
        <v>25/06/2026</v>
      </c>
      <c r="K2700" s="42" t="str">
        <f>IFERROR(__xludf.DUMMYFUNCTION("""COMPUTED_VALUE"""),"Hospital Pérez Carreño")</f>
        <v>Hospital Pérez Carreño</v>
      </c>
    </row>
    <row r="2701">
      <c r="A2701" s="44">
        <v>2700.0</v>
      </c>
      <c r="B2701" s="44" t="str">
        <f>IFERROR(__xludf.DUMMYFUNCTION("""COMPUTED_VALUE"""),"Hospital Pérez Carreño")</f>
        <v>Hospital Pérez Carreño</v>
      </c>
      <c r="C2701" s="45" t="str">
        <f>IFERROR(__xludf.DUMMYFUNCTION("""COMPUTED_VALUE"""),"MELENDE OLEIDY")</f>
        <v>MELENDE OLEIDY</v>
      </c>
      <c r="D2701" s="44" t="str">
        <f>IFERROR(__xludf.DUMMYFUNCTION("""COMPUTED_VALUE""")," ")</f>
        <v> </v>
      </c>
      <c r="E2701" s="44" t="str">
        <f>IFERROR(__xludf.DUMMYFUNCTION("""COMPUTED_VALUE"""),"")</f>
        <v/>
      </c>
      <c r="F2701" s="44" t="str">
        <f>IFERROR(__xludf.DUMMYFUNCTION("""COMPUTED_VALUE"""),"")</f>
        <v/>
      </c>
      <c r="G2701" s="44" t="str">
        <f>IFERROR(__xludf.DUMMYFUNCTION("""COMPUTED_VALUE""")," ")</f>
        <v> </v>
      </c>
      <c r="H2701" s="44" t="str">
        <f>IFERROR(__xludf.DUMMYFUNCTION("""COMPUTED_VALUE""")," ")</f>
        <v> </v>
      </c>
      <c r="I2701" s="44" t="str">
        <f>IFERROR(__xludf.DUMMYFUNCTION("""COMPUTED_VALUE"""),"Traumatología – Traumachok; La Guaira")</f>
        <v>Traumatología – Traumachok; La Guaira</v>
      </c>
      <c r="J2701" s="44" t="str">
        <f>IFERROR(__xludf.DUMMYFUNCTION("""COMPUTED_VALUE"""),"25/06/2026")</f>
        <v>25/06/2026</v>
      </c>
      <c r="K2701" s="42" t="str">
        <f>IFERROR(__xludf.DUMMYFUNCTION("""COMPUTED_VALUE"""),"Hospital Pérez Carreño")</f>
        <v>Hospital Pérez Carreño</v>
      </c>
    </row>
    <row r="2702">
      <c r="A2702" s="44">
        <v>2701.0</v>
      </c>
      <c r="B2702" s="44" t="str">
        <f>IFERROR(__xludf.DUMMYFUNCTION("""COMPUTED_VALUE"""),"Hospital Pérez Carreño")</f>
        <v>Hospital Pérez Carreño</v>
      </c>
      <c r="C2702" s="45" t="str">
        <f>IFERROR(__xludf.DUMMYFUNCTION("""COMPUTED_VALUE"""),"MELENDES PASTRAN CLEINYS ALEJANDRA")</f>
        <v>MELENDES PASTRAN CLEINYS ALEJANDRA</v>
      </c>
      <c r="D2702" s="44" t="str">
        <f>IFERROR(__xludf.DUMMYFUNCTION("""COMPUTED_VALUE""")," ")</f>
        <v> </v>
      </c>
      <c r="E2702" s="44" t="str">
        <f>IFERROR(__xludf.DUMMYFUNCTION("""COMPUTED_VALUE"""),"")</f>
        <v/>
      </c>
      <c r="F2702" s="44" t="str">
        <f>IFERROR(__xludf.DUMMYFUNCTION("""COMPUTED_VALUE"""),"")</f>
        <v/>
      </c>
      <c r="G2702" s="44" t="str">
        <f>IFERROR(__xludf.DUMMYFUNCTION("""COMPUTED_VALUE""")," ")</f>
        <v> </v>
      </c>
      <c r="H2702" s="44" t="str">
        <f>IFERROR(__xludf.DUMMYFUNCTION("""COMPUTED_VALUE""")," ")</f>
        <v> </v>
      </c>
      <c r="I2702" s="44" t="str">
        <f>IFERROR(__xludf.DUMMYFUNCTION("""COMPUTED_VALUE"""),"Internado")</f>
        <v>Internado</v>
      </c>
      <c r="J2702" s="44" t="str">
        <f>IFERROR(__xludf.DUMMYFUNCTION("""COMPUTED_VALUE"""),"25/06/2026")</f>
        <v>25/06/2026</v>
      </c>
      <c r="K2702" s="42" t="str">
        <f>IFERROR(__xludf.DUMMYFUNCTION("""COMPUTED_VALUE"""),"Hospital Pérez Carreño")</f>
        <v>Hospital Pérez Carreño</v>
      </c>
    </row>
    <row r="2703">
      <c r="A2703" s="44">
        <v>2702.0</v>
      </c>
      <c r="B2703" s="44" t="str">
        <f>IFERROR(__xludf.DUMMYFUNCTION("""COMPUTED_VALUE"""),"Hospital Pérez Carreño")</f>
        <v>Hospital Pérez Carreño</v>
      </c>
      <c r="C2703" s="45" t="str">
        <f>IFERROR(__xludf.DUMMYFUNCTION("""COMPUTED_VALUE"""),"MELENDEZ OLEINI")</f>
        <v>MELENDEZ OLEINI</v>
      </c>
      <c r="D2703" s="44" t="str">
        <f>IFERROR(__xludf.DUMMYFUNCTION("""COMPUTED_VALUE""")," ")</f>
        <v> </v>
      </c>
      <c r="E2703" s="44" t="str">
        <f>IFERROR(__xludf.DUMMYFUNCTION("""COMPUTED_VALUE"""),"")</f>
        <v/>
      </c>
      <c r="F2703" s="44" t="str">
        <f>IFERROR(__xludf.DUMMYFUNCTION("""COMPUTED_VALUE"""),"")</f>
        <v/>
      </c>
      <c r="G2703" s="44" t="str">
        <f>IFERROR(__xludf.DUMMYFUNCTION("""COMPUTED_VALUE""")," ")</f>
        <v> </v>
      </c>
      <c r="H2703" s="44" t="str">
        <f>IFERROR(__xludf.DUMMYFUNCTION("""COMPUTED_VALUE""")," ")</f>
        <v> </v>
      </c>
      <c r="I2703" s="44" t="str">
        <f>IFERROR(__xludf.DUMMYFUNCTION("""COMPUTED_VALUE"""),"Traumashock")</f>
        <v>Traumashock</v>
      </c>
      <c r="J2703" s="44" t="str">
        <f>IFERROR(__xludf.DUMMYFUNCTION("""COMPUTED_VALUE"""),"25/06/2026")</f>
        <v>25/06/2026</v>
      </c>
      <c r="K2703" s="42" t="str">
        <f>IFERROR(__xludf.DUMMYFUNCTION("""COMPUTED_VALUE"""),"Hospital Pérez Carreño")</f>
        <v>Hospital Pérez Carreño</v>
      </c>
    </row>
    <row r="2704">
      <c r="A2704" s="44">
        <v>2703.0</v>
      </c>
      <c r="B2704" s="44" t="str">
        <f>IFERROR(__xludf.DUMMYFUNCTION("""COMPUTED_VALUE"""),"Hospital Pérez Carreño")</f>
        <v>Hospital Pérez Carreño</v>
      </c>
      <c r="C2704" s="45" t="str">
        <f>IFERROR(__xludf.DUMMYFUNCTION("""COMPUTED_VALUE"""),"MELENDEZ OLIANYELI")</f>
        <v>MELENDEZ OLIANYELI</v>
      </c>
      <c r="D2704" s="44">
        <f>IFERROR(__xludf.DUMMYFUNCTION("""COMPUTED_VALUE"""),6.0)</f>
        <v>6</v>
      </c>
      <c r="E2704" s="44" t="str">
        <f>IFERROR(__xludf.DUMMYFUNCTION("""COMPUTED_VALUE"""),"")</f>
        <v/>
      </c>
      <c r="F2704" s="44" t="str">
        <f>IFERROR(__xludf.DUMMYFUNCTION("""COMPUTED_VALUE"""),"")</f>
        <v/>
      </c>
      <c r="G2704" s="44" t="str">
        <f>IFERROR(__xludf.DUMMYFUNCTION("""COMPUTED_VALUE""")," ")</f>
        <v> </v>
      </c>
      <c r="H2704" s="44" t="str">
        <f>IFERROR(__xludf.DUMMYFUNCTION("""COMPUTED_VALUE""")," ")</f>
        <v> </v>
      </c>
      <c r="I2704" s="44" t="str">
        <f>IFERROR(__xludf.DUMMYFUNCTION("""COMPUTED_VALUE"""),"Emerg. Pediátrica – La Guaira")</f>
        <v>Emerg. Pediátrica – La Guaira</v>
      </c>
      <c r="J2704" s="44" t="str">
        <f>IFERROR(__xludf.DUMMYFUNCTION("""COMPUTED_VALUE"""),"25/06/2026")</f>
        <v>25/06/2026</v>
      </c>
      <c r="K2704" s="42" t="str">
        <f>IFERROR(__xludf.DUMMYFUNCTION("""COMPUTED_VALUE"""),"Hospital Pérez Carreño")</f>
        <v>Hospital Pérez Carreño</v>
      </c>
    </row>
    <row r="2705">
      <c r="A2705" s="44">
        <v>2704.0</v>
      </c>
      <c r="B2705" s="44" t="str">
        <f>IFERROR(__xludf.DUMMYFUNCTION("""COMPUTED_VALUE"""),"Hospital Pérez Carreño")</f>
        <v>Hospital Pérez Carreño</v>
      </c>
      <c r="C2705" s="45" t="str">
        <f>IFERROR(__xludf.DUMMYFUNCTION("""COMPUTED_VALUE"""),"Melendez Pastran Cleinys Bigundre")</f>
        <v>Melendez Pastran Cleinys Bigundre</v>
      </c>
      <c r="D2705" s="44"/>
      <c r="E2705" s="44" t="str">
        <f>IFERROR(__xludf.DUMMYFUNCTION("""COMPUTED_VALUE"""),"")</f>
        <v/>
      </c>
      <c r="F2705" s="44" t="str">
        <f>IFERROR(__xludf.DUMMYFUNCTION("""COMPUTED_VALUE"""),"")</f>
        <v/>
      </c>
      <c r="G2705" s="44" t="str">
        <f>IFERROR(__xludf.DUMMYFUNCTION("""COMPUTED_VALUE"""),"Traslados con destino asignado")</f>
        <v>Traslados con destino asignado</v>
      </c>
      <c r="H2705" s="44" t="str">
        <f>IFERROR(__xludf.DUMMYFUNCTION("""COMPUTED_VALUE"""),"Hospital Miguel Perez Carreño")</f>
        <v>Hospital Miguel Perez Carreño</v>
      </c>
      <c r="I2705" s="44"/>
      <c r="J2705" s="44" t="str">
        <f>IFERROR(__xludf.DUMMYFUNCTION("""COMPUTED_VALUE"""),"26/6/26")</f>
        <v>26/6/26</v>
      </c>
      <c r="K2705" s="42" t="str">
        <f>IFERROR(__xludf.DUMMYFUNCTION("""COMPUTED_VALUE"""),"Hospital Pérez Carreño")</f>
        <v>Hospital Pérez Carreño</v>
      </c>
    </row>
    <row r="2706">
      <c r="A2706" s="44">
        <v>2705.0</v>
      </c>
      <c r="B2706" s="44" t="str">
        <f>IFERROR(__xludf.DUMMYFUNCTION("""COMPUTED_VALUE"""),"H. Jose Maria Vargas LG")</f>
        <v>H. Jose Maria Vargas LG</v>
      </c>
      <c r="C2706" s="45" t="str">
        <f>IFERROR(__xludf.DUMMYFUNCTION("""COMPUTED_VALUE"""),"MENDEZ ALEJANDRA")</f>
        <v>MENDEZ ALEJANDRA</v>
      </c>
      <c r="D2706" s="44" t="str">
        <f>IFERROR(__xludf.DUMMYFUNCTION("""COMPUTED_VALUE""")," ")</f>
        <v> </v>
      </c>
      <c r="E2706" s="44" t="str">
        <f>IFERROR(__xludf.DUMMYFUNCTION("""COMPUTED_VALUE"""),"")</f>
        <v/>
      </c>
      <c r="F2706" s="44" t="str">
        <f>IFERROR(__xludf.DUMMYFUNCTION("""COMPUTED_VALUE"""),"")</f>
        <v/>
      </c>
      <c r="G2706" s="44" t="str">
        <f>IFERROR(__xludf.DUMMYFUNCTION("""COMPUTED_VALUE""")," ")</f>
        <v> </v>
      </c>
      <c r="H2706" s="44" t="str">
        <f>IFERROR(__xludf.DUMMYFUNCTION("""COMPUTED_VALUE""")," ")</f>
        <v> </v>
      </c>
      <c r="I2706" s="44" t="str">
        <f>IFERROR(__xludf.DUMMYFUNCTION("""COMPUTED_VALUE""")," ")</f>
        <v> </v>
      </c>
      <c r="J2706" s="44" t="str">
        <f>IFERROR(__xludf.DUMMYFUNCTION("""COMPUTED_VALUE"""),"")</f>
        <v/>
      </c>
      <c r="K2706" s="42" t="str">
        <f>IFERROR(__xludf.DUMMYFUNCTION("""COMPUTED_VALUE"""),"H. Jose Maria Vargas LG")</f>
        <v>H. Jose Maria Vargas LG</v>
      </c>
    </row>
    <row r="2707">
      <c r="A2707" s="44">
        <v>2706.0</v>
      </c>
      <c r="B2707" s="44" t="str">
        <f>IFERROR(__xludf.DUMMYFUNCTION("""COMPUTED_VALUE"""),"Hospital Domingo Luciani")</f>
        <v>Hospital Domingo Luciani</v>
      </c>
      <c r="C2707" s="45" t="str">
        <f>IFERROR(__xludf.DUMMYFUNCTION("""COMPUTED_VALUE"""),"MENDEZ YESIRE")</f>
        <v>MENDEZ YESIRE</v>
      </c>
      <c r="D2707" s="44">
        <f>IFERROR(__xludf.DUMMYFUNCTION("""COMPUTED_VALUE"""),24.0)</f>
        <v>24</v>
      </c>
      <c r="E2707" s="44" t="str">
        <f>IFERROR(__xludf.DUMMYFUNCTION("""COMPUTED_VALUE"""),"")</f>
        <v/>
      </c>
      <c r="F2707" s="44" t="str">
        <f>IFERROR(__xludf.DUMMYFUNCTION("""COMPUTED_VALUE"""),"")</f>
        <v/>
      </c>
      <c r="G2707" s="44" t="str">
        <f>IFERROR(__xludf.DUMMYFUNCTION("""COMPUTED_VALUE""")," ")</f>
        <v> </v>
      </c>
      <c r="H2707" s="44" t="str">
        <f>IFERROR(__xludf.DUMMYFUNCTION("""COMPUTED_VALUE""")," ")</f>
        <v> </v>
      </c>
      <c r="I2707" s="44" t="str">
        <f>IFERROR(__xludf.DUMMYFUNCTION("""COMPUTED_VALUE""")," ")</f>
        <v> </v>
      </c>
      <c r="J2707" s="44" t="str">
        <f>IFERROR(__xludf.DUMMYFUNCTION("""COMPUTED_VALUE"""),"")</f>
        <v/>
      </c>
      <c r="K2707" s="42" t="str">
        <f>IFERROR(__xludf.DUMMYFUNCTION("""COMPUTED_VALUE"""),"🔍 BUSCAR PACIENTES")</f>
        <v>🔍 BUSCAR PACIENTES</v>
      </c>
    </row>
    <row r="2708">
      <c r="A2708" s="44">
        <v>2707.0</v>
      </c>
      <c r="B2708" s="44" t="str">
        <f>IFERROR(__xludf.DUMMYFUNCTION("""COMPUTED_VALUE"""),"Hospital Pérez Carreño")</f>
        <v>Hospital Pérez Carreño</v>
      </c>
      <c r="C2708" s="45" t="str">
        <f>IFERROR(__xludf.DUMMYFUNCTION("""COMPUTED_VALUE"""),"Mendez Yoinelis")</f>
        <v>Mendez Yoinelis</v>
      </c>
      <c r="D2708" s="44" t="str">
        <f>IFERROR(__xludf.DUMMYFUNCTION("""COMPUTED_VALUE"""),"11 años")</f>
        <v>11 años</v>
      </c>
      <c r="E2708" s="44" t="str">
        <f>IFERROR(__xludf.DUMMYFUNCTION("""COMPUTED_VALUE"""),"")</f>
        <v/>
      </c>
      <c r="F2708" s="44" t="str">
        <f>IFERROR(__xludf.DUMMYFUNCTION("""COMPUTED_VALUE"""),"")</f>
        <v/>
      </c>
      <c r="G2708" s="44" t="str">
        <f>IFERROR(__xludf.DUMMYFUNCTION("""COMPUTED_VALUE"""),"Pediatria")</f>
        <v>Pediatria</v>
      </c>
      <c r="H2708" s="44" t="str">
        <f>IFERROR(__xludf.DUMMYFUNCTION("""COMPUTED_VALUE"""),"Hospital Miguel Perez Carreño")</f>
        <v>Hospital Miguel Perez Carreño</v>
      </c>
      <c r="I2708" s="44"/>
      <c r="J2708" s="44" t="str">
        <f>IFERROR(__xludf.DUMMYFUNCTION("""COMPUTED_VALUE"""),"26/6/26")</f>
        <v>26/6/26</v>
      </c>
      <c r="K2708" s="42" t="str">
        <f>IFERROR(__xludf.DUMMYFUNCTION("""COMPUTED_VALUE"""),"Hospital Pérez Carreño")</f>
        <v>Hospital Pérez Carreño</v>
      </c>
    </row>
    <row r="2709">
      <c r="A2709" s="44">
        <v>2708.0</v>
      </c>
      <c r="B2709" s="44" t="str">
        <f>IFERROR(__xludf.DUMMYFUNCTION("""COMPUTED_VALUE"""),"Hospital Pérez Carreño")</f>
        <v>Hospital Pérez Carreño</v>
      </c>
      <c r="C2709" s="45" t="str">
        <f>IFERROR(__xludf.DUMMYFUNCTION("""COMPUTED_VALUE"""),"MENDEZ YOLIAMER")</f>
        <v>MENDEZ YOLIAMER</v>
      </c>
      <c r="D2709" s="44" t="str">
        <f>IFERROR(__xludf.DUMMYFUNCTION("""COMPUTED_VALUE""")," ")</f>
        <v> </v>
      </c>
      <c r="E2709" s="44" t="str">
        <f>IFERROR(__xludf.DUMMYFUNCTION("""COMPUTED_VALUE"""),"")</f>
        <v/>
      </c>
      <c r="F2709" s="44" t="str">
        <f>IFERROR(__xludf.DUMMYFUNCTION("""COMPUTED_VALUE"""),"")</f>
        <v/>
      </c>
      <c r="G2709" s="44" t="str">
        <f>IFERROR(__xludf.DUMMYFUNCTION("""COMPUTED_VALUE""")," ")</f>
        <v> </v>
      </c>
      <c r="H2709" s="44" t="str">
        <f>IFERROR(__xludf.DUMMYFUNCTION("""COMPUTED_VALUE""")," ")</f>
        <v> </v>
      </c>
      <c r="I2709" s="44" t="str">
        <f>IFERROR(__xludf.DUMMYFUNCTION("""COMPUTED_VALUE"""),"Internado")</f>
        <v>Internado</v>
      </c>
      <c r="J2709" s="44" t="str">
        <f>IFERROR(__xludf.DUMMYFUNCTION("""COMPUTED_VALUE"""),"25/06/2026")</f>
        <v>25/06/2026</v>
      </c>
      <c r="K2709" s="42" t="str">
        <f>IFERROR(__xludf.DUMMYFUNCTION("""COMPUTED_VALUE"""),"Hospital Pérez Carreño")</f>
        <v>Hospital Pérez Carreño</v>
      </c>
    </row>
    <row r="2710">
      <c r="A2710" s="44">
        <v>2709.0</v>
      </c>
      <c r="B2710" s="44" t="str">
        <f>IFERROR(__xludf.DUMMYFUNCTION("""COMPUTED_VALUE"""),"La Guaira Sin Hospital")</f>
        <v>La Guaira Sin Hospital</v>
      </c>
      <c r="C2710" s="45" t="str">
        <f>IFERROR(__xludf.DUMMYFUNCTION("""COMPUTED_VALUE"""),"Mendez Yolimar")</f>
        <v>Mendez Yolimar</v>
      </c>
      <c r="D2710" s="44" t="str">
        <f>IFERROR(__xludf.DUMMYFUNCTION("""COMPUTED_VALUE"""),"")</f>
        <v/>
      </c>
      <c r="E2710" s="44" t="str">
        <f>IFERROR(__xludf.DUMMYFUNCTION("""COMPUTED_VALUE"""),"")</f>
        <v/>
      </c>
      <c r="F2710" s="44" t="str">
        <f>IFERROR(__xludf.DUMMYFUNCTION("""COMPUTED_VALUE"""),"")</f>
        <v/>
      </c>
      <c r="G2710" s="44" t="str">
        <f>IFERROR(__xludf.DUMMYFUNCTION("""COMPUTED_VALUE"""),"")</f>
        <v/>
      </c>
      <c r="H2710" s="44" t="str">
        <f>IFERROR(__xludf.DUMMYFUNCTION("""COMPUTED_VALUE"""),"Catia La Mar")</f>
        <v>Catia La Mar</v>
      </c>
      <c r="I2710" s="44" t="str">
        <f>IFERROR(__xludf.DUMMYFUNCTION("""COMPUTED_VALUE"""),"Listas con ubicación")</f>
        <v>Listas con ubicación</v>
      </c>
      <c r="J2710" s="44" t="str">
        <f>IFERROR(__xludf.DUMMYFUNCTION("""COMPUTED_VALUE"""),"")</f>
        <v/>
      </c>
      <c r="K2710" s="42" t="str">
        <f>IFERROR(__xludf.DUMMYFUNCTION("""COMPUTED_VALUE"""),"La Guaira Sin Hospital")</f>
        <v>La Guaira Sin Hospital</v>
      </c>
    </row>
    <row r="2711">
      <c r="A2711" s="44">
        <v>2710.0</v>
      </c>
      <c r="B2711" s="44" t="str">
        <f>IFERROR(__xludf.DUMMYFUNCTION("""COMPUTED_VALUE"""),"Hospital Pérez Carreño")</f>
        <v>Hospital Pérez Carreño</v>
      </c>
      <c r="C2711" s="45" t="str">
        <f>IFERROR(__xludf.DUMMYFUNCTION("""COMPUTED_VALUE"""),"MENDEZ YONEIDY / MENDEZ YOSNEIDY")</f>
        <v>MENDEZ YONEIDY / MENDEZ YOSNEIDY</v>
      </c>
      <c r="D2711" s="44">
        <f>IFERROR(__xludf.DUMMYFUNCTION("""COMPUTED_VALUE"""),11.0)</f>
        <v>11</v>
      </c>
      <c r="E2711" s="44" t="str">
        <f>IFERROR(__xludf.DUMMYFUNCTION("""COMPUTED_VALUE"""),"")</f>
        <v/>
      </c>
      <c r="F2711" s="44" t="str">
        <f>IFERROR(__xludf.DUMMYFUNCTION("""COMPUTED_VALUE"""),"")</f>
        <v/>
      </c>
      <c r="G2711" s="44" t="str">
        <f>IFERROR(__xludf.DUMMYFUNCTION("""COMPUTED_VALUE""")," ")</f>
        <v> </v>
      </c>
      <c r="H2711" s="44" t="str">
        <f>IFERROR(__xludf.DUMMYFUNCTION("""COMPUTED_VALUE""")," ")</f>
        <v> </v>
      </c>
      <c r="I2711" s="44" t="str">
        <f>IFERROR(__xludf.DUMMYFUNCTION("""COMPUTED_VALUE"""),"Emerg. Pediátrica – Tanaguarena")</f>
        <v>Emerg. Pediátrica – Tanaguarena</v>
      </c>
      <c r="J2711" s="44" t="str">
        <f>IFERROR(__xludf.DUMMYFUNCTION("""COMPUTED_VALUE"""),"25/06/2026")</f>
        <v>25/06/2026</v>
      </c>
      <c r="K2711" s="42" t="str">
        <f>IFERROR(__xludf.DUMMYFUNCTION("""COMPUTED_VALUE"""),"Hospital Pérez Carreño")</f>
        <v>Hospital Pérez Carreño</v>
      </c>
    </row>
    <row r="2712">
      <c r="A2712" s="44">
        <v>2711.0</v>
      </c>
      <c r="B2712" s="44" t="str">
        <f>IFERROR(__xludf.DUMMYFUNCTION("""COMPUTED_VALUE"""),"Hospital Pérez Carreño")</f>
        <v>Hospital Pérez Carreño</v>
      </c>
      <c r="C2712" s="45" t="str">
        <f>IFERROR(__xludf.DUMMYFUNCTION("""COMPUTED_VALUE"""),"MENDEZ YOSNEIDY")</f>
        <v>MENDEZ YOSNEIDY</v>
      </c>
      <c r="D2712" s="44">
        <f>IFERROR(__xludf.DUMMYFUNCTION("""COMPUTED_VALUE"""),11.0)</f>
        <v>11</v>
      </c>
      <c r="E2712" s="44" t="str">
        <f>IFERROR(__xludf.DUMMYFUNCTION("""COMPUTED_VALUE"""),"")</f>
        <v/>
      </c>
      <c r="F2712" s="44" t="str">
        <f>IFERROR(__xludf.DUMMYFUNCTION("""COMPUTED_VALUE"""),"")</f>
        <v/>
      </c>
      <c r="G2712" s="44" t="str">
        <f>IFERROR(__xludf.DUMMYFUNCTION("""COMPUTED_VALUE""")," ")</f>
        <v> </v>
      </c>
      <c r="H2712" s="44" t="str">
        <f>IFERROR(__xludf.DUMMYFUNCTION("""COMPUTED_VALUE""")," ")</f>
        <v> </v>
      </c>
      <c r="I2712" s="44" t="str">
        <f>IFERROR(__xludf.DUMMYFUNCTION("""COMPUTED_VALUE"""),"Pediatría – Lista alta; Papá")</f>
        <v>Pediatría – Lista alta; Papá</v>
      </c>
      <c r="J2712" s="44" t="str">
        <f>IFERROR(__xludf.DUMMYFUNCTION("""COMPUTED_VALUE"""),"25/06/2026")</f>
        <v>25/06/2026</v>
      </c>
      <c r="K2712" s="42" t="str">
        <f>IFERROR(__xludf.DUMMYFUNCTION("""COMPUTED_VALUE"""),"Hospital Pérez Carreño")</f>
        <v>Hospital Pérez Carreño</v>
      </c>
    </row>
    <row r="2713">
      <c r="A2713" s="44">
        <v>2712.0</v>
      </c>
      <c r="B2713" s="44" t="str">
        <f>IFERROR(__xludf.DUMMYFUNCTION("""COMPUTED_VALUE"""),"La Guaira Sin Hospital")</f>
        <v>La Guaira Sin Hospital</v>
      </c>
      <c r="C2713" s="45" t="str">
        <f>IFERROR(__xludf.DUMMYFUNCTION("""COMPUTED_VALUE"""),"Mendoza Anderson")</f>
        <v>Mendoza Anderson</v>
      </c>
      <c r="D2713" s="44" t="str">
        <f>IFERROR(__xludf.DUMMYFUNCTION("""COMPUTED_VALUE"""),"")</f>
        <v/>
      </c>
      <c r="E2713" s="44" t="str">
        <f>IFERROR(__xludf.DUMMYFUNCTION("""COMPUTED_VALUE"""),"")</f>
        <v/>
      </c>
      <c r="F2713" s="44" t="str">
        <f>IFERROR(__xludf.DUMMYFUNCTION("""COMPUTED_VALUE"""),"")</f>
        <v/>
      </c>
      <c r="G2713" s="44" t="str">
        <f>IFERROR(__xludf.DUMMYFUNCTION("""COMPUTED_VALUE"""),"")</f>
        <v/>
      </c>
      <c r="H2713" s="44" t="str">
        <f>IFERROR(__xludf.DUMMYFUNCTION("""COMPUTED_VALUE"""),"Plaza Grande La Guaira")</f>
        <v>Plaza Grande La Guaira</v>
      </c>
      <c r="I2713" s="44" t="str">
        <f>IFERROR(__xludf.DUMMYFUNCTION("""COMPUTED_VALUE"""),"Listas con ubicación")</f>
        <v>Listas con ubicación</v>
      </c>
      <c r="J2713" s="44" t="str">
        <f>IFERROR(__xludf.DUMMYFUNCTION("""COMPUTED_VALUE"""),"")</f>
        <v/>
      </c>
      <c r="K2713" s="42" t="str">
        <f>IFERROR(__xludf.DUMMYFUNCTION("""COMPUTED_VALUE"""),"La Guaira Sin Hospital")</f>
        <v>La Guaira Sin Hospital</v>
      </c>
    </row>
    <row r="2714">
      <c r="A2714" s="44">
        <v>2713.0</v>
      </c>
      <c r="B2714" s="44" t="str">
        <f>IFERROR(__xludf.DUMMYFUNCTION("""COMPUTED_VALUE"""),"Centro de Acopio Caraballeda")</f>
        <v>Centro de Acopio Caraballeda</v>
      </c>
      <c r="C2714" s="45" t="str">
        <f>IFERROR(__xludf.DUMMYFUNCTION("""COMPUTED_VALUE"""),"MENDOZA DANILO")</f>
        <v>MENDOZA DANILO</v>
      </c>
      <c r="D2714" s="44" t="str">
        <f>IFERROR(__xludf.DUMMYFUNCTION("""COMPUTED_VALUE""")," ")</f>
        <v> </v>
      </c>
      <c r="E2714" s="44" t="str">
        <f>IFERROR(__xludf.DUMMYFUNCTION("""COMPUTED_VALUE"""),"")</f>
        <v/>
      </c>
      <c r="F2714" s="44" t="str">
        <f>IFERROR(__xludf.DUMMYFUNCTION("""COMPUTED_VALUE"""),"")</f>
        <v/>
      </c>
      <c r="G2714" s="44" t="str">
        <f>IFERROR(__xludf.DUMMYFUNCTION("""COMPUTED_VALUE""")," ")</f>
        <v> </v>
      </c>
      <c r="H2714" s="44" t="str">
        <f>IFERROR(__xludf.DUMMYFUNCTION("""COMPUTED_VALUE""")," ")</f>
        <v> </v>
      </c>
      <c r="I2714" s="44" t="str">
        <f>IFERROR(__xludf.DUMMYFUNCTION("""COMPUTED_VALUE"""),"Internado")</f>
        <v>Internado</v>
      </c>
      <c r="J2714" s="44" t="str">
        <f>IFERROR(__xludf.DUMMYFUNCTION("""COMPUTED_VALUE"""),"")</f>
        <v/>
      </c>
      <c r="K2714" s="42" t="str">
        <f>IFERROR(__xludf.DUMMYFUNCTION("""COMPUTED_VALUE"""),"🔍 BUSCAR PACIENTES")</f>
        <v>🔍 BUSCAR PACIENTES</v>
      </c>
    </row>
    <row r="2715">
      <c r="A2715" s="44">
        <v>2714.0</v>
      </c>
      <c r="B2715" s="44" t="str">
        <f>IFERROR(__xludf.DUMMYFUNCTION("""COMPUTED_VALUE"""),"Centro de Acopio Caraballeda")</f>
        <v>Centro de Acopio Caraballeda</v>
      </c>
      <c r="C2715" s="45" t="str">
        <f>IFERROR(__xludf.DUMMYFUNCTION("""COMPUTED_VALUE"""),"MENDOZA LEONARDO")</f>
        <v>MENDOZA LEONARDO</v>
      </c>
      <c r="D2715" s="44" t="str">
        <f>IFERROR(__xludf.DUMMYFUNCTION("""COMPUTED_VALUE""")," ")</f>
        <v> </v>
      </c>
      <c r="E2715" s="44" t="str">
        <f>IFERROR(__xludf.DUMMYFUNCTION("""COMPUTED_VALUE"""),"")</f>
        <v/>
      </c>
      <c r="F2715" s="44" t="str">
        <f>IFERROR(__xludf.DUMMYFUNCTION("""COMPUTED_VALUE"""),"")</f>
        <v/>
      </c>
      <c r="G2715" s="44" t="str">
        <f>IFERROR(__xludf.DUMMYFUNCTION("""COMPUTED_VALUE""")," ")</f>
        <v> </v>
      </c>
      <c r="H2715" s="44" t="str">
        <f>IFERROR(__xludf.DUMMYFUNCTION("""COMPUTED_VALUE""")," ")</f>
        <v> </v>
      </c>
      <c r="I2715" s="44" t="str">
        <f>IFERROR(__xludf.DUMMYFUNCTION("""COMPUTED_VALUE"""),"Internado")</f>
        <v>Internado</v>
      </c>
      <c r="J2715" s="44" t="str">
        <f>IFERROR(__xludf.DUMMYFUNCTION("""COMPUTED_VALUE"""),"")</f>
        <v/>
      </c>
      <c r="K2715" s="42" t="str">
        <f>IFERROR(__xludf.DUMMYFUNCTION("""COMPUTED_VALUE"""),"🔍 BUSCAR PACIENTES")</f>
        <v>🔍 BUSCAR PACIENTES</v>
      </c>
    </row>
    <row r="2716">
      <c r="A2716" s="44">
        <v>2715.0</v>
      </c>
      <c r="B2716" s="44" t="str">
        <f>IFERROR(__xludf.DUMMYFUNCTION("""COMPUTED_VALUE"""),"Centro de Acopio Caraballeda")</f>
        <v>Centro de Acopio Caraballeda</v>
      </c>
      <c r="C2716" s="45" t="str">
        <f>IFERROR(__xludf.DUMMYFUNCTION("""COMPUTED_VALUE"""),"MENDOZA LEONEL")</f>
        <v>MENDOZA LEONEL</v>
      </c>
      <c r="D2716" s="44" t="str">
        <f>IFERROR(__xludf.DUMMYFUNCTION("""COMPUTED_VALUE""")," ")</f>
        <v> </v>
      </c>
      <c r="E2716" s="44" t="str">
        <f>IFERROR(__xludf.DUMMYFUNCTION("""COMPUTED_VALUE"""),"")</f>
        <v/>
      </c>
      <c r="F2716" s="44" t="str">
        <f>IFERROR(__xludf.DUMMYFUNCTION("""COMPUTED_VALUE"""),"")</f>
        <v/>
      </c>
      <c r="G2716" s="44" t="str">
        <f>IFERROR(__xludf.DUMMYFUNCTION("""COMPUTED_VALUE""")," ")</f>
        <v> </v>
      </c>
      <c r="H2716" s="44" t="str">
        <f>IFERROR(__xludf.DUMMYFUNCTION("""COMPUTED_VALUE""")," ")</f>
        <v> </v>
      </c>
      <c r="I2716" s="44" t="str">
        <f>IFERROR(__xludf.DUMMYFUNCTION("""COMPUTED_VALUE"""),"Internado")</f>
        <v>Internado</v>
      </c>
      <c r="J2716" s="44" t="str">
        <f>IFERROR(__xludf.DUMMYFUNCTION("""COMPUTED_VALUE"""),"")</f>
        <v/>
      </c>
      <c r="K2716" s="42" t="str">
        <f>IFERROR(__xludf.DUMMYFUNCTION("""COMPUTED_VALUE"""),"🔍 BUSCAR PACIENTES")</f>
        <v>🔍 BUSCAR PACIENTES</v>
      </c>
    </row>
    <row r="2717">
      <c r="A2717" s="44">
        <v>2716.0</v>
      </c>
      <c r="B2717" s="44" t="str">
        <f>IFERROR(__xludf.DUMMYFUNCTION("""COMPUTED_VALUE"""),"Hospital Pérez Carreño")</f>
        <v>Hospital Pérez Carreño</v>
      </c>
      <c r="C2717" s="45" t="str">
        <f>IFERROR(__xludf.DUMMYFUNCTION("""COMPUTED_VALUE"""),"MENDOZA LIGIA INES")</f>
        <v>MENDOZA LIGIA INES</v>
      </c>
      <c r="D2717" s="44">
        <f>IFERROR(__xludf.DUMMYFUNCTION("""COMPUTED_VALUE"""),17.0)</f>
        <v>17</v>
      </c>
      <c r="E2717" s="44" t="str">
        <f>IFERROR(__xludf.DUMMYFUNCTION("""COMPUTED_VALUE"""),"")</f>
        <v/>
      </c>
      <c r="F2717" s="44" t="str">
        <f>IFERROR(__xludf.DUMMYFUNCTION("""COMPUTED_VALUE"""),"")</f>
        <v/>
      </c>
      <c r="G2717" s="44" t="str">
        <f>IFERROR(__xludf.DUMMYFUNCTION("""COMPUTED_VALUE""")," ")</f>
        <v> </v>
      </c>
      <c r="H2717" s="44" t="str">
        <f>IFERROR(__xludf.DUMMYFUNCTION("""COMPUTED_VALUE""")," ")</f>
        <v> </v>
      </c>
      <c r="I2717" s="44" t="str">
        <f>IFERROR(__xludf.DUMMYFUNCTION("""COMPUTED_VALUE"""),"Piso 3 – Traumachok; La Guaira; menor")</f>
        <v>Piso 3 – Traumachok; La Guaira; menor</v>
      </c>
      <c r="J2717" s="44" t="str">
        <f>IFERROR(__xludf.DUMMYFUNCTION("""COMPUTED_VALUE"""),"25/06/2026")</f>
        <v>25/06/2026</v>
      </c>
      <c r="K2717" s="42" t="str">
        <f>IFERROR(__xludf.DUMMYFUNCTION("""COMPUTED_VALUE"""),"Hospital Pérez Carreño")</f>
        <v>Hospital Pérez Carreño</v>
      </c>
    </row>
    <row r="2718">
      <c r="A2718" s="44">
        <v>2717.0</v>
      </c>
      <c r="B2718" s="44" t="str">
        <f>IFERROR(__xludf.DUMMYFUNCTION("""COMPUTED_VALUE"""),"Hospital Pérez Carreño")</f>
        <v>Hospital Pérez Carreño</v>
      </c>
      <c r="C2718" s="45" t="str">
        <f>IFERROR(__xludf.DUMMYFUNCTION("""COMPUTED_VALUE"""),"MENDOZA LUZ")</f>
        <v>MENDOZA LUZ</v>
      </c>
      <c r="D2718" s="44" t="str">
        <f>IFERROR(__xludf.DUMMYFUNCTION("""COMPUTED_VALUE""")," ")</f>
        <v> </v>
      </c>
      <c r="E2718" s="44" t="str">
        <f>IFERROR(__xludf.DUMMYFUNCTION("""COMPUTED_VALUE"""),"")</f>
        <v/>
      </c>
      <c r="F2718" s="44" t="str">
        <f>IFERROR(__xludf.DUMMYFUNCTION("""COMPUTED_VALUE"""),"")</f>
        <v/>
      </c>
      <c r="G2718" s="44" t="str">
        <f>IFERROR(__xludf.DUMMYFUNCTION("""COMPUTED_VALUE""")," ")</f>
        <v> </v>
      </c>
      <c r="H2718" s="44" t="str">
        <f>IFERROR(__xludf.DUMMYFUNCTION("""COMPUTED_VALUE""")," ")</f>
        <v> </v>
      </c>
      <c r="I2718" s="44" t="str">
        <f>IFERROR(__xludf.DUMMYFUNCTION("""COMPUTED_VALUE"""),"Internado")</f>
        <v>Internado</v>
      </c>
      <c r="J2718" s="44" t="str">
        <f>IFERROR(__xludf.DUMMYFUNCTION("""COMPUTED_VALUE"""),"25/06/2026")</f>
        <v>25/06/2026</v>
      </c>
      <c r="K2718" s="42" t="str">
        <f>IFERROR(__xludf.DUMMYFUNCTION("""COMPUTED_VALUE"""),"Hospital Pérez Carreño")</f>
        <v>Hospital Pérez Carreño</v>
      </c>
    </row>
    <row r="2719">
      <c r="A2719" s="44">
        <v>2718.0</v>
      </c>
      <c r="B2719" s="44" t="str">
        <f>IFERROR(__xludf.DUMMYFUNCTION("""COMPUTED_VALUE"""),"Centro de Acopio Caraballeda")</f>
        <v>Centro de Acopio Caraballeda</v>
      </c>
      <c r="C2719" s="45" t="str">
        <f>IFERROR(__xludf.DUMMYFUNCTION("""COMPUTED_VALUE"""),"MENDOZA (MENOR) ARIANI")</f>
        <v>MENDOZA (MENOR) ARIANI</v>
      </c>
      <c r="D2719" s="44" t="str">
        <f>IFERROR(__xludf.DUMMYFUNCTION("""COMPUTED_VALUE""")," ")</f>
        <v> </v>
      </c>
      <c r="E2719" s="44" t="str">
        <f>IFERROR(__xludf.DUMMYFUNCTION("""COMPUTED_VALUE"""),"")</f>
        <v/>
      </c>
      <c r="F2719" s="44" t="str">
        <f>IFERROR(__xludf.DUMMYFUNCTION("""COMPUTED_VALUE"""),"")</f>
        <v/>
      </c>
      <c r="G2719" s="44" t="str">
        <f>IFERROR(__xludf.DUMMYFUNCTION("""COMPUTED_VALUE""")," ")</f>
        <v> </v>
      </c>
      <c r="H2719" s="44" t="str">
        <f>IFERROR(__xludf.DUMMYFUNCTION("""COMPUTED_VALUE""")," ")</f>
        <v> </v>
      </c>
      <c r="I2719" s="44" t="str">
        <f>IFERROR(__xludf.DUMMYFUNCTION("""COMPUTED_VALUE"""),"Internado")</f>
        <v>Internado</v>
      </c>
      <c r="J2719" s="44" t="str">
        <f>IFERROR(__xludf.DUMMYFUNCTION("""COMPUTED_VALUE"""),"")</f>
        <v/>
      </c>
      <c r="K2719" s="42" t="str">
        <f>IFERROR(__xludf.DUMMYFUNCTION("""COMPUTED_VALUE"""),"🔍 BUSCAR PACIENTES")</f>
        <v>🔍 BUSCAR PACIENTES</v>
      </c>
    </row>
    <row r="2720">
      <c r="A2720" s="44">
        <v>2719.0</v>
      </c>
      <c r="B2720" s="44" t="str">
        <f>IFERROR(__xludf.DUMMYFUNCTION("""COMPUTED_VALUE"""),"Hospital Pérez Carreño")</f>
        <v>Hospital Pérez Carreño</v>
      </c>
      <c r="C2720" s="45" t="str">
        <f>IFERROR(__xludf.DUMMYFUNCTION("""COMPUTED_VALUE"""),"Mendoza Molinar")</f>
        <v>Mendoza Molinar</v>
      </c>
      <c r="D2720" s="44"/>
      <c r="E2720" s="44" t="str">
        <f>IFERROR(__xludf.DUMMYFUNCTION("""COMPUTED_VALUE"""),"")</f>
        <v/>
      </c>
      <c r="F2720" s="44" t="str">
        <f>IFERROR(__xludf.DUMMYFUNCTION("""COMPUTED_VALUE"""),"")</f>
        <v/>
      </c>
      <c r="G2720" s="44" t="str">
        <f>IFERROR(__xludf.DUMMYFUNCTION("""COMPUTED_VALUE"""),"Traslados con destino asignado")</f>
        <v>Traslados con destino asignado</v>
      </c>
      <c r="H2720" s="44" t="str">
        <f>IFERROR(__xludf.DUMMYFUNCTION("""COMPUTED_VALUE"""),"Hospital Miguel Perez Carreño")</f>
        <v>Hospital Miguel Perez Carreño</v>
      </c>
      <c r="I2720" s="44"/>
      <c r="J2720" s="44" t="str">
        <f>IFERROR(__xludf.DUMMYFUNCTION("""COMPUTED_VALUE"""),"26/6/26")</f>
        <v>26/6/26</v>
      </c>
      <c r="K2720" s="42" t="str">
        <f>IFERROR(__xludf.DUMMYFUNCTION("""COMPUTED_VALUE"""),"Hospital Pérez Carreño")</f>
        <v>Hospital Pérez Carreño</v>
      </c>
    </row>
    <row r="2721">
      <c r="A2721" s="44">
        <v>2720.0</v>
      </c>
      <c r="B2721" s="44" t="str">
        <f>IFERROR(__xludf.DUMMYFUNCTION("""COMPUTED_VALUE"""),"Hospital Pérez Carreño")</f>
        <v>Hospital Pérez Carreño</v>
      </c>
      <c r="C2721" s="45" t="str">
        <f>IFERROR(__xludf.DUMMYFUNCTION("""COMPUTED_VALUE"""),"Mendoza Nerva Vejia")</f>
        <v>Mendoza Nerva Vejia</v>
      </c>
      <c r="D2721" s="44"/>
      <c r="E2721" s="44" t="str">
        <f>IFERROR(__xludf.DUMMYFUNCTION("""COMPUTED_VALUE"""),"")</f>
        <v/>
      </c>
      <c r="F2721" s="44" t="str">
        <f>IFERROR(__xludf.DUMMYFUNCTION("""COMPUTED_VALUE"""),"")</f>
        <v/>
      </c>
      <c r="G2721" s="44" t="str">
        <f>IFERROR(__xludf.DUMMYFUNCTION("""COMPUTED_VALUE"""),"Traslados con destino asignado")</f>
        <v>Traslados con destino asignado</v>
      </c>
      <c r="H2721" s="44" t="str">
        <f>IFERROR(__xludf.DUMMYFUNCTION("""COMPUTED_VALUE"""),"Hospital Miguel Perez Carreño")</f>
        <v>Hospital Miguel Perez Carreño</v>
      </c>
      <c r="I2721" s="44"/>
      <c r="J2721" s="44" t="str">
        <f>IFERROR(__xludf.DUMMYFUNCTION("""COMPUTED_VALUE"""),"26/6/26")</f>
        <v>26/6/26</v>
      </c>
      <c r="K2721" s="42" t="str">
        <f>IFERROR(__xludf.DUMMYFUNCTION("""COMPUTED_VALUE"""),"Hospital Pérez Carreño")</f>
        <v>Hospital Pérez Carreño</v>
      </c>
    </row>
    <row r="2722">
      <c r="A2722" s="44">
        <v>2721.0</v>
      </c>
      <c r="B2722" s="44" t="str">
        <f>IFERROR(__xludf.DUMMYFUNCTION("""COMPUTED_VALUE"""),"Centro de Acopio Caraballeda")</f>
        <v>Centro de Acopio Caraballeda</v>
      </c>
      <c r="C2722" s="45" t="str">
        <f>IFERROR(__xludf.DUMMYFUNCTION("""COMPUTED_VALUE"""),"MENDOZA PAOLA")</f>
        <v>MENDOZA PAOLA</v>
      </c>
      <c r="D2722" s="44" t="str">
        <f>IFERROR(__xludf.DUMMYFUNCTION("""COMPUTED_VALUE""")," ")</f>
        <v> </v>
      </c>
      <c r="E2722" s="44" t="str">
        <f>IFERROR(__xludf.DUMMYFUNCTION("""COMPUTED_VALUE"""),"")</f>
        <v/>
      </c>
      <c r="F2722" s="44" t="str">
        <f>IFERROR(__xludf.DUMMYFUNCTION("""COMPUTED_VALUE"""),"")</f>
        <v/>
      </c>
      <c r="G2722" s="44" t="str">
        <f>IFERROR(__xludf.DUMMYFUNCTION("""COMPUTED_VALUE""")," ")</f>
        <v> </v>
      </c>
      <c r="H2722" s="44" t="str">
        <f>IFERROR(__xludf.DUMMYFUNCTION("""COMPUTED_VALUE""")," ")</f>
        <v> </v>
      </c>
      <c r="I2722" s="44" t="str">
        <f>IFERROR(__xludf.DUMMYFUNCTION("""COMPUTED_VALUE"""),"Internado")</f>
        <v>Internado</v>
      </c>
      <c r="J2722" s="44" t="str">
        <f>IFERROR(__xludf.DUMMYFUNCTION("""COMPUTED_VALUE"""),"")</f>
        <v/>
      </c>
      <c r="K2722" s="42" t="str">
        <f>IFERROR(__xludf.DUMMYFUNCTION("""COMPUTED_VALUE"""),"🔍 BUSCAR PACIENTES")</f>
        <v>🔍 BUSCAR PACIENTES</v>
      </c>
    </row>
    <row r="2723">
      <c r="A2723" s="44">
        <v>2722.0</v>
      </c>
      <c r="B2723" s="44" t="str">
        <f>IFERROR(__xludf.DUMMYFUNCTION("""COMPUTED_VALUE"""),"Hospital Pérez Carreño")</f>
        <v>Hospital Pérez Carreño</v>
      </c>
      <c r="C2723" s="45" t="str">
        <f>IFERROR(__xludf.DUMMYFUNCTION("""COMPUTED_VALUE"""),"MENDOZA SEBASTIAN")</f>
        <v>MENDOZA SEBASTIAN</v>
      </c>
      <c r="D2723" s="44">
        <f>IFERROR(__xludf.DUMMYFUNCTION("""COMPUTED_VALUE"""),13.0)</f>
        <v>13</v>
      </c>
      <c r="E2723" s="44" t="str">
        <f>IFERROR(__xludf.DUMMYFUNCTION("""COMPUTED_VALUE"""),"")</f>
        <v/>
      </c>
      <c r="F2723" s="44" t="str">
        <f>IFERROR(__xludf.DUMMYFUNCTION("""COMPUTED_VALUE"""),"")</f>
        <v/>
      </c>
      <c r="G2723" s="44" t="str">
        <f>IFERROR(__xludf.DUMMYFUNCTION("""COMPUTED_VALUE""")," ")</f>
        <v> </v>
      </c>
      <c r="H2723" s="44" t="str">
        <f>IFERROR(__xludf.DUMMYFUNCTION("""COMPUTED_VALUE""")," ")</f>
        <v> </v>
      </c>
      <c r="I2723" s="44" t="str">
        <f>IFERROR(__xludf.DUMMYFUNCTION("""COMPUTED_VALUE"""),"Traumachok – Traumatología; La Guaira")</f>
        <v>Traumachok – Traumatología; La Guaira</v>
      </c>
      <c r="J2723" s="44" t="str">
        <f>IFERROR(__xludf.DUMMYFUNCTION("""COMPUTED_VALUE"""),"25/06/2026")</f>
        <v>25/06/2026</v>
      </c>
      <c r="K2723" s="42" t="str">
        <f>IFERROR(__xludf.DUMMYFUNCTION("""COMPUTED_VALUE"""),"Hospital Pérez Carreño")</f>
        <v>Hospital Pérez Carreño</v>
      </c>
    </row>
    <row r="2724">
      <c r="A2724" s="44">
        <v>2723.0</v>
      </c>
      <c r="B2724" s="44" t="str">
        <f>IFERROR(__xludf.DUMMYFUNCTION("""COMPUTED_VALUE"""),"Centro de Acopio Caraballeda")</f>
        <v>Centro de Acopio Caraballeda</v>
      </c>
      <c r="C2724" s="45" t="str">
        <f>IFERROR(__xludf.DUMMYFUNCTION("""COMPUTED_VALUE"""),"MENDOZA VIVIANA")</f>
        <v>MENDOZA VIVIANA</v>
      </c>
      <c r="D2724" s="44" t="str">
        <f>IFERROR(__xludf.DUMMYFUNCTION("""COMPUTED_VALUE""")," ")</f>
        <v> </v>
      </c>
      <c r="E2724" s="44" t="str">
        <f>IFERROR(__xludf.DUMMYFUNCTION("""COMPUTED_VALUE"""),"")</f>
        <v/>
      </c>
      <c r="F2724" s="44" t="str">
        <f>IFERROR(__xludf.DUMMYFUNCTION("""COMPUTED_VALUE"""),"")</f>
        <v/>
      </c>
      <c r="G2724" s="44" t="str">
        <f>IFERROR(__xludf.DUMMYFUNCTION("""COMPUTED_VALUE""")," ")</f>
        <v> </v>
      </c>
      <c r="H2724" s="44" t="str">
        <f>IFERROR(__xludf.DUMMYFUNCTION("""COMPUTED_VALUE""")," ")</f>
        <v> </v>
      </c>
      <c r="I2724" s="44" t="str">
        <f>IFERROR(__xludf.DUMMYFUNCTION("""COMPUTED_VALUE"""),"Internado")</f>
        <v>Internado</v>
      </c>
      <c r="J2724" s="44" t="str">
        <f>IFERROR(__xludf.DUMMYFUNCTION("""COMPUTED_VALUE"""),"")</f>
        <v/>
      </c>
      <c r="K2724" s="42" t="str">
        <f>IFERROR(__xludf.DUMMYFUNCTION("""COMPUTED_VALUE"""),"🔍 BUSCAR PACIENTES")</f>
        <v>🔍 BUSCAR PACIENTES</v>
      </c>
    </row>
    <row r="2725">
      <c r="A2725" s="44">
        <v>2724.0</v>
      </c>
      <c r="B2725" s="44" t="str">
        <f>IFERROR(__xludf.DUMMYFUNCTION("""COMPUTED_VALUE"""),"Hospital Domingo Luciani")</f>
        <v>Hospital Domingo Luciani</v>
      </c>
      <c r="C2725" s="45" t="str">
        <f>IFERROR(__xludf.DUMMYFUNCTION("""COMPUTED_VALUE"""),"Menen Esquinuel")</f>
        <v>Menen Esquinuel</v>
      </c>
      <c r="D2725" s="44">
        <f>IFERROR(__xludf.DUMMYFUNCTION("""COMPUTED_VALUE"""),59.0)</f>
        <v>59</v>
      </c>
      <c r="E2725" s="44" t="str">
        <f>IFERROR(__xludf.DUMMYFUNCTION("""COMPUTED_VALUE"""),"")</f>
        <v/>
      </c>
      <c r="F2725" s="44" t="str">
        <f>IFERROR(__xludf.DUMMYFUNCTION("""COMPUTED_VALUE"""),"")</f>
        <v/>
      </c>
      <c r="G2725" s="44"/>
      <c r="H2725" s="44"/>
      <c r="I2725" s="44"/>
      <c r="J2725" s="44" t="str">
        <f>IFERROR(__xludf.DUMMYFUNCTION("""COMPUTED_VALUE"""),"")</f>
        <v/>
      </c>
      <c r="K2725" s="42" t="str">
        <f>IFERROR(__xludf.DUMMYFUNCTION("""COMPUTED_VALUE"""),"Hospital Domingo Luciani")</f>
        <v>Hospital Domingo Luciani</v>
      </c>
    </row>
    <row r="2726">
      <c r="A2726" s="44">
        <v>2725.0</v>
      </c>
      <c r="B2726" s="44" t="str">
        <f>IFERROR(__xludf.DUMMYFUNCTION("""COMPUTED_VALUE"""),"Periférico de Catia")</f>
        <v>Periférico de Catia</v>
      </c>
      <c r="C2726" s="45" t="str">
        <f>IFERROR(__xludf.DUMMYFUNCTION("""COMPUTED_VALUE"""),"MENIS NUÑEZ")</f>
        <v>MENIS NUÑEZ</v>
      </c>
      <c r="D2726" s="44">
        <f>IFERROR(__xludf.DUMMYFUNCTION("""COMPUTED_VALUE"""),34.0)</f>
        <v>34</v>
      </c>
      <c r="E2726" s="44" t="str">
        <f>IFERROR(__xludf.DUMMYFUNCTION("""COMPUTED_VALUE"""),"")</f>
        <v/>
      </c>
      <c r="F2726" s="44" t="str">
        <f>IFERROR(__xludf.DUMMYFUNCTION("""COMPUTED_VALUE"""),"")</f>
        <v/>
      </c>
      <c r="G2726" s="44" t="str">
        <f>IFERROR(__xludf.DUMMYFUNCTION("""COMPUTED_VALUE""")," ")</f>
        <v> </v>
      </c>
      <c r="H2726" s="44" t="str">
        <f>IFERROR(__xludf.DUMMYFUNCTION("""COMPUTED_VALUE""")," ")</f>
        <v> </v>
      </c>
      <c r="I2726" s="44" t="str">
        <f>IFERROR(__xludf.DUMMYFUNCTION("""COMPUTED_VALUE"""),"Amiga")</f>
        <v>Amiga</v>
      </c>
      <c r="J2726" s="44" t="str">
        <f>IFERROR(__xludf.DUMMYFUNCTION("""COMPUTED_VALUE"""),"")</f>
        <v/>
      </c>
      <c r="K2726" s="42" t="str">
        <f>IFERROR(__xludf.DUMMYFUNCTION("""COMPUTED_VALUE"""),"Periférico de Catia")</f>
        <v>Periférico de Catia</v>
      </c>
    </row>
    <row r="2727">
      <c r="A2727" s="44">
        <v>2726.0</v>
      </c>
      <c r="B2727" s="44" t="str">
        <f>IFERROR(__xludf.DUMMYFUNCTION("""COMPUTED_VALUE"""),"H. Jose Maria Vargas LG")</f>
        <v>H. Jose Maria Vargas LG</v>
      </c>
      <c r="C2727" s="45" t="str">
        <f>IFERROR(__xludf.DUMMYFUNCTION("""COMPUTED_VALUE"""),"MERA LOURDES")</f>
        <v>MERA LOURDES</v>
      </c>
      <c r="D2727" s="44" t="str">
        <f>IFERROR(__xludf.DUMMYFUNCTION("""COMPUTED_VALUE""")," ")</f>
        <v> </v>
      </c>
      <c r="E2727" s="44" t="str">
        <f>IFERROR(__xludf.DUMMYFUNCTION("""COMPUTED_VALUE"""),"")</f>
        <v/>
      </c>
      <c r="F2727" s="44" t="str">
        <f>IFERROR(__xludf.DUMMYFUNCTION("""COMPUTED_VALUE"""),"")</f>
        <v/>
      </c>
      <c r="G2727" s="44" t="str">
        <f>IFERROR(__xludf.DUMMYFUNCTION("""COMPUTED_VALUE""")," ")</f>
        <v> </v>
      </c>
      <c r="H2727" s="44" t="str">
        <f>IFERROR(__xludf.DUMMYFUNCTION("""COMPUTED_VALUE""")," ")</f>
        <v> </v>
      </c>
      <c r="I2727" s="44" t="str">
        <f>IFERROR(__xludf.DUMMYFUNCTION("""COMPUTED_VALUE""")," ")</f>
        <v> </v>
      </c>
      <c r="J2727" s="44" t="str">
        <f>IFERROR(__xludf.DUMMYFUNCTION("""COMPUTED_VALUE"""),"")</f>
        <v/>
      </c>
      <c r="K2727" s="42" t="str">
        <f>IFERROR(__xludf.DUMMYFUNCTION("""COMPUTED_VALUE"""),"H. Jose Maria Vargas LG")</f>
        <v>H. Jose Maria Vargas LG</v>
      </c>
    </row>
    <row r="2728">
      <c r="A2728" s="44">
        <v>2727.0</v>
      </c>
      <c r="B2728" s="44" t="str">
        <f>IFERROR(__xludf.DUMMYFUNCTION("""COMPUTED_VALUE"""),"Campo de Golf Playa los Cocos")</f>
        <v>Campo de Golf Playa los Cocos</v>
      </c>
      <c r="C2728" s="45" t="str">
        <f>IFERROR(__xludf.DUMMYFUNCTION("""COMPUTED_VALUE"""),"Mercedes Pernia")</f>
        <v>Mercedes Pernia</v>
      </c>
      <c r="D2728" s="44" t="str">
        <f>IFERROR(__xludf.DUMMYFUNCTION("""COMPUTED_VALUE"""),"")</f>
        <v/>
      </c>
      <c r="E2728" s="44" t="str">
        <f>IFERROR(__xludf.DUMMYFUNCTION("""COMPUTED_VALUE"""),"")</f>
        <v/>
      </c>
      <c r="F2728" s="44" t="str">
        <f>IFERROR(__xludf.DUMMYFUNCTION("""COMPUTED_VALUE"""),"")</f>
        <v/>
      </c>
      <c r="G2728" s="44" t="str">
        <f>IFERROR(__xludf.DUMMYFUNCTION("""COMPUTED_VALUE"""),"")</f>
        <v/>
      </c>
      <c r="H2728" s="44" t="str">
        <f>IFERROR(__xludf.DUMMYFUNCTION("""COMPUTED_VALUE"""),"")</f>
        <v/>
      </c>
      <c r="I2728" s="44"/>
      <c r="J2728" s="44" t="str">
        <f>IFERROR(__xludf.DUMMYFUNCTION("""COMPUTED_VALUE"""),"")</f>
        <v/>
      </c>
      <c r="K2728" s="42" t="str">
        <f>IFERROR(__xludf.DUMMYFUNCTION("""COMPUTED_VALUE"""),"Campo de Golf Playa los Cocos")</f>
        <v>Campo de Golf Playa los Cocos</v>
      </c>
    </row>
    <row r="2729">
      <c r="A2729" s="44">
        <v>2728.0</v>
      </c>
      <c r="B2729" s="44" t="str">
        <f>IFERROR(__xludf.DUMMYFUNCTION("""COMPUTED_VALUE"""),"Hospital Pérez Carreño")</f>
        <v>Hospital Pérez Carreño</v>
      </c>
      <c r="C2729" s="45" t="str">
        <f>IFERROR(__xludf.DUMMYFUNCTION("""COMPUTED_VALUE"""),"MERIA YOLIBY")</f>
        <v>MERIA YOLIBY</v>
      </c>
      <c r="D2729" s="44" t="str">
        <f>IFERROR(__xludf.DUMMYFUNCTION("""COMPUTED_VALUE""")," ")</f>
        <v> </v>
      </c>
      <c r="E2729" s="44" t="str">
        <f>IFERROR(__xludf.DUMMYFUNCTION("""COMPUTED_VALUE"""),"")</f>
        <v/>
      </c>
      <c r="F2729" s="44" t="str">
        <f>IFERROR(__xludf.DUMMYFUNCTION("""COMPUTED_VALUE"""),"")</f>
        <v/>
      </c>
      <c r="G2729" s="44" t="str">
        <f>IFERROR(__xludf.DUMMYFUNCTION("""COMPUTED_VALUE""")," ")</f>
        <v> </v>
      </c>
      <c r="H2729" s="44" t="str">
        <f>IFERROR(__xludf.DUMMYFUNCTION("""COMPUTED_VALUE""")," ")</f>
        <v> </v>
      </c>
      <c r="I2729" s="44" t="str">
        <f>IFERROR(__xludf.DUMMYFUNCTION("""COMPUTED_VALUE"""),"Internado; Trauma Shock / Neurocirugia
Tomografia")</f>
        <v>Internado; Trauma Shock / Neurocirugia
Tomografia</v>
      </c>
      <c r="J2729" s="44" t="str">
        <f>IFERROR(__xludf.DUMMYFUNCTION("""COMPUTED_VALUE"""),"25/06/2026")</f>
        <v>25/06/2026</v>
      </c>
      <c r="K2729" s="42" t="str">
        <f>IFERROR(__xludf.DUMMYFUNCTION("""COMPUTED_VALUE"""),"Hospital Pérez Carreño")</f>
        <v>Hospital Pérez Carreño</v>
      </c>
    </row>
    <row r="2730">
      <c r="A2730" s="44">
        <v>2729.0</v>
      </c>
      <c r="B2730" s="44" t="str">
        <f>IFERROR(__xludf.DUMMYFUNCTION("""COMPUTED_VALUE"""),"Hospital Domingo Luciani")</f>
        <v>Hospital Domingo Luciani</v>
      </c>
      <c r="C2730" s="45" t="str">
        <f>IFERROR(__xludf.DUMMYFUNCTION("""COMPUTED_VALUE"""),"MERIN ANTONELLA")</f>
        <v>MERIN ANTONELLA</v>
      </c>
      <c r="D2730" s="44">
        <f>IFERROR(__xludf.DUMMYFUNCTION("""COMPUTED_VALUE"""),17.0)</f>
        <v>17</v>
      </c>
      <c r="E2730" s="44" t="str">
        <f>IFERROR(__xludf.DUMMYFUNCTION("""COMPUTED_VALUE"""),"")</f>
        <v/>
      </c>
      <c r="F2730" s="44" t="str">
        <f>IFERROR(__xludf.DUMMYFUNCTION("""COMPUTED_VALUE"""),"")</f>
        <v/>
      </c>
      <c r="G2730" s="44" t="str">
        <f>IFERROR(__xludf.DUMMYFUNCTION("""COMPUTED_VALUE""")," ")</f>
        <v> </v>
      </c>
      <c r="H2730" s="44" t="str">
        <f>IFERROR(__xludf.DUMMYFUNCTION("""COMPUTED_VALUE""")," ")</f>
        <v> </v>
      </c>
      <c r="I2730" s="44" t="str">
        <f>IFERROR(__xludf.DUMMYFUNCTION("""COMPUTED_VALUE"""),"Internado")</f>
        <v>Internado</v>
      </c>
      <c r="J2730" s="44" t="str">
        <f>IFERROR(__xludf.DUMMYFUNCTION("""COMPUTED_VALUE"""),"")</f>
        <v/>
      </c>
      <c r="K2730" s="42" t="str">
        <f>IFERROR(__xludf.DUMMYFUNCTION("""COMPUTED_VALUE"""),"🔍 BUSCAR PACIENTES")</f>
        <v>🔍 BUSCAR PACIENTES</v>
      </c>
    </row>
    <row r="2731">
      <c r="A2731" s="44">
        <v>2730.0</v>
      </c>
      <c r="B2731" s="44" t="str">
        <f>IFERROR(__xludf.DUMMYFUNCTION("""COMPUTED_VALUE"""),"Hospital Domingo Luciani")</f>
        <v>Hospital Domingo Luciani</v>
      </c>
      <c r="C2731" s="45" t="str">
        <f>IFERROR(__xludf.DUMMYFUNCTION("""COMPUTED_VALUE"""),"MERLANO GLADIVSKA HERRERO / MERLANO HERRERO GLADIVSKA")</f>
        <v>MERLANO GLADIVSKA HERRERO / MERLANO HERRERO GLADIVSKA</v>
      </c>
      <c r="D2731" s="44" t="str">
        <f>IFERROR(__xludf.DUMMYFUNCTION("""COMPUTED_VALUE""")," ")</f>
        <v> </v>
      </c>
      <c r="E2731" s="44" t="str">
        <f>IFERROR(__xludf.DUMMYFUNCTION("""COMPUTED_VALUE"""),"")</f>
        <v/>
      </c>
      <c r="F2731" s="44" t="str">
        <f>IFERROR(__xludf.DUMMYFUNCTION("""COMPUTED_VALUE"""),"")</f>
        <v/>
      </c>
      <c r="G2731" s="44" t="str">
        <f>IFERROR(__xludf.DUMMYFUNCTION("""COMPUTED_VALUE""")," ")</f>
        <v> </v>
      </c>
      <c r="H2731" s="44" t="str">
        <f>IFERROR(__xludf.DUMMYFUNCTION("""COMPUTED_VALUE""")," ")</f>
        <v> </v>
      </c>
      <c r="I2731" s="44" t="str">
        <f>IFERROR(__xludf.DUMMYFUNCTION("""COMPUTED_VALUE"""),"Politrauma")</f>
        <v>Politrauma</v>
      </c>
      <c r="J2731" s="44" t="str">
        <f>IFERROR(__xludf.DUMMYFUNCTION("""COMPUTED_VALUE"""),"")</f>
        <v/>
      </c>
      <c r="K2731" s="42" t="str">
        <f>IFERROR(__xludf.DUMMYFUNCTION("""COMPUTED_VALUE"""),"🔍 BUSCAR PACIENTES")</f>
        <v>🔍 BUSCAR PACIENTES</v>
      </c>
    </row>
    <row r="2732">
      <c r="A2732" s="44">
        <v>2731.0</v>
      </c>
      <c r="B2732" s="44" t="str">
        <f>IFERROR(__xludf.DUMMYFUNCTION("""COMPUTED_VALUE"""),"Hospital Domingo Luciani")</f>
        <v>Hospital Domingo Luciani</v>
      </c>
      <c r="C2732" s="45" t="str">
        <f>IFERROR(__xludf.DUMMYFUNCTION("""COMPUTED_VALUE"""),"Merlano Herrera cladiska")</f>
        <v>Merlano Herrera cladiska</v>
      </c>
      <c r="D2732" s="44">
        <f>IFERROR(__xludf.DUMMYFUNCTION("""COMPUTED_VALUE"""),0.0)</f>
        <v>0</v>
      </c>
      <c r="E2732" s="44" t="str">
        <f>IFERROR(__xludf.DUMMYFUNCTION("""COMPUTED_VALUE"""),"")</f>
        <v/>
      </c>
      <c r="F2732" s="44" t="str">
        <f>IFERROR(__xludf.DUMMYFUNCTION("""COMPUTED_VALUE"""),"")</f>
        <v/>
      </c>
      <c r="G2732" s="44"/>
      <c r="H2732" s="44"/>
      <c r="I2732" s="44"/>
      <c r="J2732" s="44" t="str">
        <f>IFERROR(__xludf.DUMMYFUNCTION("""COMPUTED_VALUE"""),"")</f>
        <v/>
      </c>
      <c r="K2732" s="42" t="str">
        <f>IFERROR(__xludf.DUMMYFUNCTION("""COMPUTED_VALUE"""),"Hospital Domingo Luciani")</f>
        <v>Hospital Domingo Luciani</v>
      </c>
    </row>
    <row r="2733">
      <c r="A2733" s="44">
        <v>2732.0</v>
      </c>
      <c r="B2733" s="44" t="str">
        <f>IFERROR(__xludf.DUMMYFUNCTION("""COMPUTED_VALUE"""),"Periférico de Catia")</f>
        <v>Periférico de Catia</v>
      </c>
      <c r="C2733" s="45" t="str">
        <f>IFERROR(__xludf.DUMMYFUNCTION("""COMPUTED_VALUE"""),"MERO MARIELA")</f>
        <v>MERO MARIELA</v>
      </c>
      <c r="D2733" s="44">
        <f>IFERROR(__xludf.DUMMYFUNCTION("""COMPUTED_VALUE"""),44.0)</f>
        <v>44</v>
      </c>
      <c r="E2733" s="44" t="str">
        <f>IFERROR(__xludf.DUMMYFUNCTION("""COMPUTED_VALUE"""),"")</f>
        <v/>
      </c>
      <c r="F2733" s="44" t="str">
        <f>IFERROR(__xludf.DUMMYFUNCTION("""COMPUTED_VALUE"""),"")</f>
        <v/>
      </c>
      <c r="G2733" s="44" t="str">
        <f>IFERROR(__xludf.DUMMYFUNCTION("""COMPUTED_VALUE""")," ")</f>
        <v> </v>
      </c>
      <c r="H2733" s="44" t="str">
        <f>IFERROR(__xludf.DUMMYFUNCTION("""COMPUTED_VALUE""")," ")</f>
        <v> </v>
      </c>
      <c r="I2733" s="44" t="str">
        <f>IFERROR(__xludf.DUMMYFUNCTION("""COMPUTED_VALUE"""),"Sola")</f>
        <v>Sola</v>
      </c>
      <c r="J2733" s="44" t="str">
        <f>IFERROR(__xludf.DUMMYFUNCTION("""COMPUTED_VALUE"""),"")</f>
        <v/>
      </c>
      <c r="K2733" s="42" t="str">
        <f>IFERROR(__xludf.DUMMYFUNCTION("""COMPUTED_VALUE"""),"Periférico de Catia")</f>
        <v>Periférico de Catia</v>
      </c>
    </row>
    <row r="2734">
      <c r="A2734" s="44">
        <v>2733.0</v>
      </c>
      <c r="B2734" s="44" t="str">
        <f>IFERROR(__xludf.DUMMYFUNCTION("""COMPUTED_VALUE"""),"Clínica El Ávila")</f>
        <v>Clínica El Ávila</v>
      </c>
      <c r="C2734" s="45" t="str">
        <f>IFERROR(__xludf.DUMMYFUNCTION("""COMPUTED_VALUE"""),"MERO VANESA")</f>
        <v>MERO VANESA</v>
      </c>
      <c r="D2734" s="44" t="str">
        <f>IFERROR(__xludf.DUMMYFUNCTION("""COMPUTED_VALUE""")," ")</f>
        <v> </v>
      </c>
      <c r="E2734" s="44" t="str">
        <f>IFERROR(__xludf.DUMMYFUNCTION("""COMPUTED_VALUE"""),"")</f>
        <v/>
      </c>
      <c r="F2734" s="44" t="str">
        <f>IFERROR(__xludf.DUMMYFUNCTION("""COMPUTED_VALUE"""),"")</f>
        <v/>
      </c>
      <c r="G2734" s="44" t="str">
        <f>IFERROR(__xludf.DUMMYFUNCTION("""COMPUTED_VALUE""")," ")</f>
        <v> </v>
      </c>
      <c r="H2734" s="44" t="str">
        <f>IFERROR(__xludf.DUMMYFUNCTION("""COMPUTED_VALUE""")," ")</f>
        <v> </v>
      </c>
      <c r="I2734" s="44" t="str">
        <f>IFERROR(__xludf.DUMMYFUNCTION("""COMPUTED_VALUE""")," ")</f>
        <v> </v>
      </c>
      <c r="J2734" s="44" t="str">
        <f>IFERROR(__xludf.DUMMYFUNCTION("""COMPUTED_VALUE"""),"")</f>
        <v/>
      </c>
      <c r="K2734" s="42" t="str">
        <f>IFERROR(__xludf.DUMMYFUNCTION("""COMPUTED_VALUE"""),"Clínica El Ávila")</f>
        <v>Clínica El Ávila</v>
      </c>
    </row>
    <row r="2735">
      <c r="A2735" s="44">
        <v>2734.0</v>
      </c>
      <c r="B2735" s="44" t="str">
        <f>IFERROR(__xludf.DUMMYFUNCTION("""COMPUTED_VALUE"""),"Centro de Acopio Caraballeda")</f>
        <v>Centro de Acopio Caraballeda</v>
      </c>
      <c r="C2735" s="45" t="str">
        <f>IFERROR(__xludf.DUMMYFUNCTION("""COMPUTED_VALUE"""),"MEZA ARIYANLIS ARIANIS")</f>
        <v>MEZA ARIYANLIS ARIANIS</v>
      </c>
      <c r="D2735" s="44" t="str">
        <f>IFERROR(__xludf.DUMMYFUNCTION("""COMPUTED_VALUE""")," ")</f>
        <v> </v>
      </c>
      <c r="E2735" s="44" t="str">
        <f>IFERROR(__xludf.DUMMYFUNCTION("""COMPUTED_VALUE"""),"")</f>
        <v/>
      </c>
      <c r="F2735" s="44" t="str">
        <f>IFERROR(__xludf.DUMMYFUNCTION("""COMPUTED_VALUE"""),"")</f>
        <v/>
      </c>
      <c r="G2735" s="44" t="str">
        <f>IFERROR(__xludf.DUMMYFUNCTION("""COMPUTED_VALUE""")," ")</f>
        <v> </v>
      </c>
      <c r="H2735" s="44" t="str">
        <f>IFERROR(__xludf.DUMMYFUNCTION("""COMPUTED_VALUE""")," ")</f>
        <v> </v>
      </c>
      <c r="I2735" s="44" t="str">
        <f>IFERROR(__xludf.DUMMYFUNCTION("""COMPUTED_VALUE"""),"Internado")</f>
        <v>Internado</v>
      </c>
      <c r="J2735" s="44" t="str">
        <f>IFERROR(__xludf.DUMMYFUNCTION("""COMPUTED_VALUE"""),"")</f>
        <v/>
      </c>
      <c r="K2735" s="42" t="str">
        <f>IFERROR(__xludf.DUMMYFUNCTION("""COMPUTED_VALUE"""),"🔍 BUSCAR PACIENTES")</f>
        <v>🔍 BUSCAR PACIENTES</v>
      </c>
    </row>
    <row r="2736">
      <c r="A2736" s="44">
        <v>2735.0</v>
      </c>
      <c r="B2736" s="44" t="str">
        <f>IFERROR(__xludf.DUMMYFUNCTION("""COMPUTED_VALUE"""),"Hospital Pérez Carreño")</f>
        <v>Hospital Pérez Carreño</v>
      </c>
      <c r="C2736" s="45" t="str">
        <f>IFERROR(__xludf.DUMMYFUNCTION("""COMPUTED_VALUE"""),"Mia Montes")</f>
        <v>Mia Montes</v>
      </c>
      <c r="D2736" s="44" t="str">
        <f>IFERROR(__xludf.DUMMYFUNCTION("""COMPUTED_VALUE"""),"Catia La Mar")</f>
        <v>Catia La Mar</v>
      </c>
      <c r="E2736" s="44" t="str">
        <f>IFERROR(__xludf.DUMMYFUNCTION("""COMPUTED_VALUE"""),"")</f>
        <v/>
      </c>
      <c r="F2736" s="44" t="str">
        <f>IFERROR(__xludf.DUMMYFUNCTION("""COMPUTED_VALUE"""),"")</f>
        <v/>
      </c>
      <c r="G2736" s="44" t="str">
        <f>IFERROR(__xludf.DUMMYFUNCTION("""COMPUTED_VALUE"""),"ALTA")</f>
        <v>ALTA</v>
      </c>
      <c r="H2736" s="44"/>
      <c r="I2736" s="44"/>
      <c r="J2736" s="44"/>
      <c r="K2736" s="42" t="str">
        <f>IFERROR(__xludf.DUMMYFUNCTION("""COMPUTED_VALUE"""),"Hospital Pérez Carreño")</f>
        <v>Hospital Pérez Carreño</v>
      </c>
    </row>
    <row r="2737">
      <c r="A2737" s="44">
        <v>2736.0</v>
      </c>
      <c r="B2737" s="44" t="str">
        <f>IFERROR(__xludf.DUMMYFUNCTION("""COMPUTED_VALUE"""),"Periférico de Catia")</f>
        <v>Periférico de Catia</v>
      </c>
      <c r="C2737" s="45" t="str">
        <f>IFERROR(__xludf.DUMMYFUNCTION("""COMPUTED_VALUE"""),"MIARA JANENES")</f>
        <v>MIARA JANENES</v>
      </c>
      <c r="D2737" s="44">
        <f>IFERROR(__xludf.DUMMYFUNCTION("""COMPUTED_VALUE"""),45.0)</f>
        <v>45</v>
      </c>
      <c r="E2737" s="44" t="str">
        <f>IFERROR(__xludf.DUMMYFUNCTION("""COMPUTED_VALUE"""),"")</f>
        <v/>
      </c>
      <c r="F2737" s="44" t="str">
        <f>IFERROR(__xludf.DUMMYFUNCTION("""COMPUTED_VALUE"""),"")</f>
        <v/>
      </c>
      <c r="G2737" s="44" t="str">
        <f>IFERROR(__xludf.DUMMYFUNCTION("""COMPUTED_VALUE""")," ")</f>
        <v> </v>
      </c>
      <c r="H2737" s="44" t="str">
        <f>IFERROR(__xludf.DUMMYFUNCTION("""COMPUTED_VALUE""")," ")</f>
        <v> </v>
      </c>
      <c r="I2737" s="44" t="str">
        <f>IFERROR(__xludf.DUMMYFUNCTION("""COMPUTED_VALUE"""),"Hermana")</f>
        <v>Hermana</v>
      </c>
      <c r="J2737" s="44" t="str">
        <f>IFERROR(__xludf.DUMMYFUNCTION("""COMPUTED_VALUE"""),"")</f>
        <v/>
      </c>
      <c r="K2737" s="42" t="str">
        <f>IFERROR(__xludf.DUMMYFUNCTION("""COMPUTED_VALUE"""),"Periférico de Catia")</f>
        <v>Periférico de Catia</v>
      </c>
    </row>
    <row r="2738">
      <c r="A2738" s="44">
        <v>2737.0</v>
      </c>
      <c r="B2738" s="44" t="str">
        <f>IFERROR(__xludf.DUMMYFUNCTION("""COMPUTED_VALUE"""),"H. Jose Maria Vargas LG")</f>
        <v>H. Jose Maria Vargas LG</v>
      </c>
      <c r="C2738" s="45" t="str">
        <f>IFERROR(__xludf.DUMMYFUNCTION("""COMPUTED_VALUE"""),"MICHAEL MANRIQUE")</f>
        <v>MICHAEL MANRIQUE</v>
      </c>
      <c r="D2738" s="44" t="str">
        <f>IFERROR(__xludf.DUMMYFUNCTION("""COMPUTED_VALUE""")," ")</f>
        <v> </v>
      </c>
      <c r="E2738" s="44" t="str">
        <f>IFERROR(__xludf.DUMMYFUNCTION("""COMPUTED_VALUE"""),"")</f>
        <v/>
      </c>
      <c r="F2738" s="44" t="str">
        <f>IFERROR(__xludf.DUMMYFUNCTION("""COMPUTED_VALUE"""),"")</f>
        <v/>
      </c>
      <c r="G2738" s="44" t="str">
        <f>IFERROR(__xludf.DUMMYFUNCTION("""COMPUTED_VALUE""")," ")</f>
        <v> </v>
      </c>
      <c r="H2738" s="44" t="str">
        <f>IFERROR(__xludf.DUMMYFUNCTION("""COMPUTED_VALUE""")," ")</f>
        <v> </v>
      </c>
      <c r="I2738" s="44" t="str">
        <f>IFERROR(__xludf.DUMMYFUNCTION("""COMPUTED_VALUE""")," ")</f>
        <v> </v>
      </c>
      <c r="J2738" s="44" t="str">
        <f>IFERROR(__xludf.DUMMYFUNCTION("""COMPUTED_VALUE"""),"")</f>
        <v/>
      </c>
      <c r="K2738" s="42" t="str">
        <f>IFERROR(__xludf.DUMMYFUNCTION("""COMPUTED_VALUE"""),"H. Jose Maria Vargas LG")</f>
        <v>H. Jose Maria Vargas LG</v>
      </c>
    </row>
    <row r="2739">
      <c r="A2739" s="44">
        <v>2738.0</v>
      </c>
      <c r="B2739" s="44" t="str">
        <f>IFERROR(__xludf.DUMMYFUNCTION("""COMPUTED_VALUE"""),"Campo de Golf Playa los Cocos")</f>
        <v>Campo de Golf Playa los Cocos</v>
      </c>
      <c r="C2739" s="45" t="str">
        <f>IFERROR(__xludf.DUMMYFUNCTION("""COMPUTED_VALUE"""),"Michel Chivico")</f>
        <v>Michel Chivico</v>
      </c>
      <c r="D2739" s="44" t="str">
        <f>IFERROR(__xludf.DUMMYFUNCTION("""COMPUTED_VALUE"""),"")</f>
        <v/>
      </c>
      <c r="E2739" s="44" t="str">
        <f>IFERROR(__xludf.DUMMYFUNCTION("""COMPUTED_VALUE"""),"")</f>
        <v/>
      </c>
      <c r="F2739" s="44" t="str">
        <f>IFERROR(__xludf.DUMMYFUNCTION("""COMPUTED_VALUE"""),"")</f>
        <v/>
      </c>
      <c r="G2739" s="44" t="str">
        <f>IFERROR(__xludf.DUMMYFUNCTION("""COMPUTED_VALUE"""),"")</f>
        <v/>
      </c>
      <c r="H2739" s="44" t="str">
        <f>IFERROR(__xludf.DUMMYFUNCTION("""COMPUTED_VALUE"""),"")</f>
        <v/>
      </c>
      <c r="I2739" s="44"/>
      <c r="J2739" s="44" t="str">
        <f>IFERROR(__xludf.DUMMYFUNCTION("""COMPUTED_VALUE"""),"")</f>
        <v/>
      </c>
      <c r="K2739" s="42" t="str">
        <f>IFERROR(__xludf.DUMMYFUNCTION("""COMPUTED_VALUE"""),"Campo de Golf Playa los Cocos")</f>
        <v>Campo de Golf Playa los Cocos</v>
      </c>
    </row>
    <row r="2740">
      <c r="A2740" s="44">
        <v>2739.0</v>
      </c>
      <c r="B2740" s="44" t="str">
        <f>IFERROR(__xludf.DUMMYFUNCTION("""COMPUTED_VALUE"""),"Campo de Golf Playa los Cocos")</f>
        <v>Campo de Golf Playa los Cocos</v>
      </c>
      <c r="C2740" s="45" t="str">
        <f>IFERROR(__xludf.DUMMYFUNCTION("""COMPUTED_VALUE"""),"Michell Hernandez")</f>
        <v>Michell Hernandez</v>
      </c>
      <c r="D2740" s="44" t="str">
        <f>IFERROR(__xludf.DUMMYFUNCTION("""COMPUTED_VALUE"""),"")</f>
        <v/>
      </c>
      <c r="E2740" s="44" t="str">
        <f>IFERROR(__xludf.DUMMYFUNCTION("""COMPUTED_VALUE"""),"")</f>
        <v/>
      </c>
      <c r="F2740" s="44" t="str">
        <f>IFERROR(__xludf.DUMMYFUNCTION("""COMPUTED_VALUE"""),"")</f>
        <v/>
      </c>
      <c r="G2740" s="44" t="str">
        <f>IFERROR(__xludf.DUMMYFUNCTION("""COMPUTED_VALUE"""),"")</f>
        <v/>
      </c>
      <c r="H2740" s="44" t="str">
        <f>IFERROR(__xludf.DUMMYFUNCTION("""COMPUTED_VALUE"""),"")</f>
        <v/>
      </c>
      <c r="I2740" s="44" t="str">
        <f>IFERROR(__xludf.DUMMYFUNCTION("""COMPUTED_VALUE"""),"menor")</f>
        <v>menor</v>
      </c>
      <c r="J2740" s="44" t="str">
        <f>IFERROR(__xludf.DUMMYFUNCTION("""COMPUTED_VALUE"""),"")</f>
        <v/>
      </c>
      <c r="K2740" s="42" t="str">
        <f>IFERROR(__xludf.DUMMYFUNCTION("""COMPUTED_VALUE"""),"Campo de Golf Playa los Cocos")</f>
        <v>Campo de Golf Playa los Cocos</v>
      </c>
    </row>
    <row r="2741">
      <c r="A2741" s="44">
        <v>2740.0</v>
      </c>
      <c r="B2741" s="44" t="str">
        <f>IFERROR(__xludf.DUMMYFUNCTION("""COMPUTED_VALUE"""),"Seguro Social La Guaira")</f>
        <v>Seguro Social La Guaira</v>
      </c>
      <c r="C2741" s="45" t="str">
        <f>IFERROR(__xludf.DUMMYFUNCTION("""COMPUTED_VALUE"""),"MICHRAINE FRONTADOS")</f>
        <v>MICHRAINE FRONTADOS</v>
      </c>
      <c r="D2741" s="44" t="str">
        <f>IFERROR(__xludf.DUMMYFUNCTION("""COMPUTED_VALUE""")," ")</f>
        <v> </v>
      </c>
      <c r="E2741" s="44" t="str">
        <f>IFERROR(__xludf.DUMMYFUNCTION("""COMPUTED_VALUE"""),"")</f>
        <v/>
      </c>
      <c r="F2741" s="44" t="str">
        <f>IFERROR(__xludf.DUMMYFUNCTION("""COMPUTED_VALUE"""),"")</f>
        <v/>
      </c>
      <c r="G2741" s="44" t="str">
        <f>IFERROR(__xludf.DUMMYFUNCTION("""COMPUTED_VALUE""")," ")</f>
        <v> </v>
      </c>
      <c r="H2741" s="44" t="str">
        <f>IFERROR(__xludf.DUMMYFUNCTION("""COMPUTED_VALUE"""),"Playa Grande")</f>
        <v>Playa Grande</v>
      </c>
      <c r="I2741" s="44" t="str">
        <f>IFERROR(__xludf.DUMMYFUNCTION("""COMPUTED_VALUE""")," ")</f>
        <v> </v>
      </c>
      <c r="J2741" s="44" t="str">
        <f>IFERROR(__xludf.DUMMYFUNCTION("""COMPUTED_VALUE"""),"")</f>
        <v/>
      </c>
      <c r="K2741" s="42" t="str">
        <f>IFERROR(__xludf.DUMMYFUNCTION("""COMPUTED_VALUE"""),"Seguro Social La Guaira")</f>
        <v>Seguro Social La Guaira</v>
      </c>
    </row>
    <row r="2742">
      <c r="A2742" s="44">
        <v>2741.0</v>
      </c>
      <c r="B2742" s="44" t="str">
        <f>IFERROR(__xludf.DUMMYFUNCTION("""COMPUTED_VALUE"""),"Hospital Domingo Luciani")</f>
        <v>Hospital Domingo Luciani</v>
      </c>
      <c r="C2742" s="45" t="str">
        <f>IFERROR(__xludf.DUMMYFUNCTION("""COMPUTED_VALUE"""),"Miel Castaño")</f>
        <v>Miel Castaño</v>
      </c>
      <c r="D2742" s="44">
        <f>IFERROR(__xludf.DUMMYFUNCTION("""COMPUTED_VALUE"""),0.0)</f>
        <v>0</v>
      </c>
      <c r="E2742" s="44" t="str">
        <f>IFERROR(__xludf.DUMMYFUNCTION("""COMPUTED_VALUE"""),"")</f>
        <v/>
      </c>
      <c r="F2742" s="44" t="str">
        <f>IFERROR(__xludf.DUMMYFUNCTION("""COMPUTED_VALUE"""),"")</f>
        <v/>
      </c>
      <c r="G2742" s="44"/>
      <c r="H2742" s="44"/>
      <c r="I2742" s="44"/>
      <c r="J2742" s="44" t="str">
        <f>IFERROR(__xludf.DUMMYFUNCTION("""COMPUTED_VALUE"""),"")</f>
        <v/>
      </c>
      <c r="K2742" s="42" t="str">
        <f>IFERROR(__xludf.DUMMYFUNCTION("""COMPUTED_VALUE"""),"Hospital Domingo Luciani")</f>
        <v>Hospital Domingo Luciani</v>
      </c>
    </row>
    <row r="2743">
      <c r="A2743" s="44">
        <v>2742.0</v>
      </c>
      <c r="B2743" s="44" t="str">
        <f>IFERROR(__xludf.DUMMYFUNCTION("""COMPUTED_VALUE"""),"Periférico de Catia")</f>
        <v>Periférico de Catia</v>
      </c>
      <c r="C2743" s="45" t="str">
        <f>IFERROR(__xludf.DUMMYFUNCTION("""COMPUTED_VALUE"""),"Miel Frontado")</f>
        <v>Miel Frontado</v>
      </c>
      <c r="D2743" s="44">
        <f>IFERROR(__xludf.DUMMYFUNCTION("""COMPUTED_VALUE"""),7.0)</f>
        <v>7</v>
      </c>
      <c r="E2743" s="44" t="str">
        <f>IFERROR(__xludf.DUMMYFUNCTION("""COMPUTED_VALUE"""),"")</f>
        <v/>
      </c>
      <c r="F2743" s="44" t="str">
        <f>IFERROR(__xludf.DUMMYFUNCTION("""COMPUTED_VALUE"""),"")</f>
        <v/>
      </c>
      <c r="G2743" s="44"/>
      <c r="H2743" s="44" t="str">
        <f>IFERROR(__xludf.DUMMYFUNCTION("""COMPUTED_VALUE"""),"La Guaira")</f>
        <v>La Guaira</v>
      </c>
      <c r="I2743" s="44" t="str">
        <f>IFERROR(__xludf.DUMMYFUNCTION("""COMPUTED_VALUE"""),"Pediatria. Todos procedentes de La Guaira segun nota del 26/06 7:00am")</f>
        <v>Pediatria. Todos procedentes de La Guaira segun nota del 26/06 7:00am</v>
      </c>
      <c r="J2743" s="44" t="str">
        <f>IFERROR(__xludf.DUMMYFUNCTION("""COMPUTED_VALUE"""),"")</f>
        <v/>
      </c>
      <c r="K2743" s="42" t="str">
        <f>IFERROR(__xludf.DUMMYFUNCTION("""COMPUTED_VALUE"""),"Periférico de Catia")</f>
        <v>Periférico de Catia</v>
      </c>
    </row>
    <row r="2744">
      <c r="A2744" s="44">
        <v>2743.0</v>
      </c>
      <c r="B2744" s="44" t="str">
        <f>IFERROR(__xludf.DUMMYFUNCTION("""COMPUTED_VALUE"""),"Hospital Pérez Carreño")</f>
        <v>Hospital Pérez Carreño</v>
      </c>
      <c r="C2744" s="45" t="str">
        <f>IFERROR(__xludf.DUMMYFUNCTION("""COMPUTED_VALUE"""),"Mieles Andres")</f>
        <v>Mieles Andres</v>
      </c>
      <c r="D2744" s="44" t="str">
        <f>IFERROR(__xludf.DUMMYFUNCTION("""COMPUTED_VALUE"""),"10 años")</f>
        <v>10 años</v>
      </c>
      <c r="E2744" s="44" t="str">
        <f>IFERROR(__xludf.DUMMYFUNCTION("""COMPUTED_VALUE"""),"")</f>
        <v/>
      </c>
      <c r="F2744" s="44" t="str">
        <f>IFERROR(__xludf.DUMMYFUNCTION("""COMPUTED_VALUE"""),"")</f>
        <v/>
      </c>
      <c r="G2744" s="44" t="str">
        <f>IFERROR(__xludf.DUMMYFUNCTION("""COMPUTED_VALUE"""),"Pediatria")</f>
        <v>Pediatria</v>
      </c>
      <c r="H2744" s="44" t="str">
        <f>IFERROR(__xludf.DUMMYFUNCTION("""COMPUTED_VALUE"""),"Hospital Miguel Perez Carreño")</f>
        <v>Hospital Miguel Perez Carreño</v>
      </c>
      <c r="I2744" s="44"/>
      <c r="J2744" s="44" t="str">
        <f>IFERROR(__xludf.DUMMYFUNCTION("""COMPUTED_VALUE"""),"26/6/26")</f>
        <v>26/6/26</v>
      </c>
      <c r="K2744" s="42" t="str">
        <f>IFERROR(__xludf.DUMMYFUNCTION("""COMPUTED_VALUE"""),"Hospital Pérez Carreño")</f>
        <v>Hospital Pérez Carreño</v>
      </c>
    </row>
    <row r="2745">
      <c r="A2745" s="44">
        <v>2744.0</v>
      </c>
      <c r="B2745" s="44" t="str">
        <f>IFERROR(__xludf.DUMMYFUNCTION("""COMPUTED_VALUE"""),"Hospital Pérez Carreño")</f>
        <v>Hospital Pérez Carreño</v>
      </c>
      <c r="C2745" s="45" t="str">
        <f>IFERROR(__xludf.DUMMYFUNCTION("""COMPUTED_VALUE"""),"Mieles Torres Andres")</f>
        <v>Mieles Torres Andres</v>
      </c>
      <c r="D2745" s="44"/>
      <c r="E2745" s="44" t="str">
        <f>IFERROR(__xludf.DUMMYFUNCTION("""COMPUTED_VALUE"""),"")</f>
        <v/>
      </c>
      <c r="F2745" s="44" t="str">
        <f>IFERROR(__xludf.DUMMYFUNCTION("""COMPUTED_VALUE"""),"")</f>
        <v/>
      </c>
      <c r="G2745" s="44" t="str">
        <f>IFERROR(__xludf.DUMMYFUNCTION("""COMPUTED_VALUE"""),"Traslados con destino asignado")</f>
        <v>Traslados con destino asignado</v>
      </c>
      <c r="H2745" s="44" t="str">
        <f>IFERROR(__xludf.DUMMYFUNCTION("""COMPUTED_VALUE"""),"Hospital Miguel Perez Carreño")</f>
        <v>Hospital Miguel Perez Carreño</v>
      </c>
      <c r="I2745" s="44"/>
      <c r="J2745" s="44" t="str">
        <f>IFERROR(__xludf.DUMMYFUNCTION("""COMPUTED_VALUE"""),"26/6/26")</f>
        <v>26/6/26</v>
      </c>
      <c r="K2745" s="42" t="str">
        <f>IFERROR(__xludf.DUMMYFUNCTION("""COMPUTED_VALUE"""),"Hospital Pérez Carreño")</f>
        <v>Hospital Pérez Carreño</v>
      </c>
    </row>
    <row r="2746">
      <c r="A2746" s="44">
        <v>2745.0</v>
      </c>
      <c r="B2746" s="44" t="str">
        <f>IFERROR(__xludf.DUMMYFUNCTION("""COMPUTED_VALUE"""),"H. Jose Maria Vargas LG")</f>
        <v>H. Jose Maria Vargas LG</v>
      </c>
      <c r="C2746" s="45" t="str">
        <f>IFERROR(__xludf.DUMMYFUNCTION("""COMPUTED_VALUE"""),"MIGNORE JENNY")</f>
        <v>MIGNORE JENNY</v>
      </c>
      <c r="D2746" s="44" t="str">
        <f>IFERROR(__xludf.DUMMYFUNCTION("""COMPUTED_VALUE""")," ")</f>
        <v> </v>
      </c>
      <c r="E2746" s="44" t="str">
        <f>IFERROR(__xludf.DUMMYFUNCTION("""COMPUTED_VALUE"""),"")</f>
        <v/>
      </c>
      <c r="F2746" s="44" t="str">
        <f>IFERROR(__xludf.DUMMYFUNCTION("""COMPUTED_VALUE"""),"")</f>
        <v/>
      </c>
      <c r="G2746" s="44" t="str">
        <f>IFERROR(__xludf.DUMMYFUNCTION("""COMPUTED_VALUE""")," ")</f>
        <v> </v>
      </c>
      <c r="H2746" s="44" t="str">
        <f>IFERROR(__xludf.DUMMYFUNCTION("""COMPUTED_VALUE"""),"Tanaguarena")</f>
        <v>Tanaguarena</v>
      </c>
      <c r="I2746" s="44" t="str">
        <f>IFERROR(__xludf.DUMMYFUNCTION("""COMPUTED_VALUE""")," ")</f>
        <v> </v>
      </c>
      <c r="J2746" s="44" t="str">
        <f>IFERROR(__xludf.DUMMYFUNCTION("""COMPUTED_VALUE"""),"")</f>
        <v/>
      </c>
      <c r="K2746" s="42" t="str">
        <f>IFERROR(__xludf.DUMMYFUNCTION("""COMPUTED_VALUE"""),"H. Jose Maria Vargas LG")</f>
        <v>H. Jose Maria Vargas LG</v>
      </c>
    </row>
    <row r="2747">
      <c r="A2747" s="44">
        <v>2746.0</v>
      </c>
      <c r="B2747" s="44" t="str">
        <f>IFERROR(__xludf.DUMMYFUNCTION("""COMPUTED_VALUE"""),"HOSPITAL VARGAS")</f>
        <v>HOSPITAL VARGAS</v>
      </c>
      <c r="C2747" s="45" t="str">
        <f>IFERROR(__xludf.DUMMYFUNCTION("""COMPUTED_VALUE"""),"Miguel Cartas")</f>
        <v>Miguel Cartas</v>
      </c>
      <c r="D2747" s="44"/>
      <c r="E2747" s="44" t="str">
        <f>IFERROR(__xludf.DUMMYFUNCTION("""COMPUTED_VALUE"""),"")</f>
        <v/>
      </c>
      <c r="F2747" s="44" t="str">
        <f>IFERROR(__xludf.DUMMYFUNCTION("""COMPUTED_VALUE"""),"")</f>
        <v/>
      </c>
      <c r="G2747" s="44" t="str">
        <f>IFERROR(__xludf.DUMMYFUNCTION("""COMPUTED_VALUE"""),"")</f>
        <v/>
      </c>
      <c r="H2747" s="44" t="str">
        <f>IFERROR(__xludf.DUMMYFUNCTION("""COMPUTED_VALUE"""),"")</f>
        <v/>
      </c>
      <c r="I2747" s="44" t="str">
        <f>IFERROR(__xludf.DUMMYFUNCTION("""COMPUTED_VALUE"""),"Herido / atendido")</f>
        <v>Herido / atendido</v>
      </c>
      <c r="J2747" s="44" t="str">
        <f>IFERROR(__xludf.DUMMYFUNCTION("""COMPUTED_VALUE"""),"24.06.2026 ")</f>
        <v>24.06.2026 </v>
      </c>
      <c r="K2747" s="42" t="str">
        <f>IFERROR(__xludf.DUMMYFUNCTION("""COMPUTED_VALUE"""),"HOSPITAL VARGAS")</f>
        <v>HOSPITAL VARGAS</v>
      </c>
    </row>
    <row r="2748">
      <c r="A2748" s="44">
        <v>2747.0</v>
      </c>
      <c r="B2748" s="44" t="str">
        <f>IFERROR(__xludf.DUMMYFUNCTION("""COMPUTED_VALUE"""),"Campo de Golf Playa los Cocos")</f>
        <v>Campo de Golf Playa los Cocos</v>
      </c>
      <c r="C2748" s="45" t="str">
        <f>IFERROR(__xludf.DUMMYFUNCTION("""COMPUTED_VALUE"""),"Miguel Cejas")</f>
        <v>Miguel Cejas</v>
      </c>
      <c r="D2748" s="44" t="str">
        <f>IFERROR(__xludf.DUMMYFUNCTION("""COMPUTED_VALUE"""),"")</f>
        <v/>
      </c>
      <c r="E2748" s="44" t="str">
        <f>IFERROR(__xludf.DUMMYFUNCTION("""COMPUTED_VALUE"""),"")</f>
        <v/>
      </c>
      <c r="F2748" s="44" t="str">
        <f>IFERROR(__xludf.DUMMYFUNCTION("""COMPUTED_VALUE"""),"")</f>
        <v/>
      </c>
      <c r="G2748" s="44" t="str">
        <f>IFERROR(__xludf.DUMMYFUNCTION("""COMPUTED_VALUE"""),"")</f>
        <v/>
      </c>
      <c r="H2748" s="44" t="str">
        <f>IFERROR(__xludf.DUMMYFUNCTION("""COMPUTED_VALUE"""),"")</f>
        <v/>
      </c>
      <c r="I2748" s="44"/>
      <c r="J2748" s="44" t="str">
        <f>IFERROR(__xludf.DUMMYFUNCTION("""COMPUTED_VALUE"""),"")</f>
        <v/>
      </c>
      <c r="K2748" s="42" t="str">
        <f>IFERROR(__xludf.DUMMYFUNCTION("""COMPUTED_VALUE"""),"Campo de Golf Playa los Cocos")</f>
        <v>Campo de Golf Playa los Cocos</v>
      </c>
    </row>
    <row r="2749">
      <c r="A2749" s="44">
        <v>2748.0</v>
      </c>
      <c r="B2749" s="44" t="str">
        <f>IFERROR(__xludf.DUMMYFUNCTION("""COMPUTED_VALUE"""),"Campo de Golf Playa los Cocos")</f>
        <v>Campo de Golf Playa los Cocos</v>
      </c>
      <c r="C2749" s="45" t="str">
        <f>IFERROR(__xludf.DUMMYFUNCTION("""COMPUTED_VALUE"""),"Miguel Planas")</f>
        <v>Miguel Planas</v>
      </c>
      <c r="D2749" s="44" t="str">
        <f>IFERROR(__xludf.DUMMYFUNCTION("""COMPUTED_VALUE"""),"")</f>
        <v/>
      </c>
      <c r="E2749" s="44" t="str">
        <f>IFERROR(__xludf.DUMMYFUNCTION("""COMPUTED_VALUE"""),"")</f>
        <v/>
      </c>
      <c r="F2749" s="44" t="str">
        <f>IFERROR(__xludf.DUMMYFUNCTION("""COMPUTED_VALUE"""),"")</f>
        <v/>
      </c>
      <c r="G2749" s="44" t="str">
        <f>IFERROR(__xludf.DUMMYFUNCTION("""COMPUTED_VALUE"""),"")</f>
        <v/>
      </c>
      <c r="H2749" s="44" t="str">
        <f>IFERROR(__xludf.DUMMYFUNCTION("""COMPUTED_VALUE"""),"")</f>
        <v/>
      </c>
      <c r="I2749" s="44" t="str">
        <f>IFERROR(__xludf.DUMMYFUNCTION("""COMPUTED_VALUE"""),"menor")</f>
        <v>menor</v>
      </c>
      <c r="J2749" s="44" t="str">
        <f>IFERROR(__xludf.DUMMYFUNCTION("""COMPUTED_VALUE"""),"")</f>
        <v/>
      </c>
      <c r="K2749" s="42" t="str">
        <f>IFERROR(__xludf.DUMMYFUNCTION("""COMPUTED_VALUE"""),"Campo de Golf Playa los Cocos")</f>
        <v>Campo de Golf Playa los Cocos</v>
      </c>
    </row>
    <row r="2750">
      <c r="A2750" s="44">
        <v>2749.0</v>
      </c>
      <c r="B2750" s="44" t="str">
        <f>IFERROR(__xludf.DUMMYFUNCTION("""COMPUTED_VALUE"""),"Campo de Golf Playa los Cocos")</f>
        <v>Campo de Golf Playa los Cocos</v>
      </c>
      <c r="C2750" s="45" t="str">
        <f>IFERROR(__xludf.DUMMYFUNCTION("""COMPUTED_VALUE"""),"Miguel Poleo")</f>
        <v>Miguel Poleo</v>
      </c>
      <c r="D2750" s="44" t="str">
        <f>IFERROR(__xludf.DUMMYFUNCTION("""COMPUTED_VALUE"""),"")</f>
        <v/>
      </c>
      <c r="E2750" s="44" t="str">
        <f>IFERROR(__xludf.DUMMYFUNCTION("""COMPUTED_VALUE"""),"")</f>
        <v/>
      </c>
      <c r="F2750" s="44" t="str">
        <f>IFERROR(__xludf.DUMMYFUNCTION("""COMPUTED_VALUE"""),"")</f>
        <v/>
      </c>
      <c r="G2750" s="44" t="str">
        <f>IFERROR(__xludf.DUMMYFUNCTION("""COMPUTED_VALUE"""),"")</f>
        <v/>
      </c>
      <c r="H2750" s="44" t="str">
        <f>IFERROR(__xludf.DUMMYFUNCTION("""COMPUTED_VALUE"""),"")</f>
        <v/>
      </c>
      <c r="I2750" s="44"/>
      <c r="J2750" s="44" t="str">
        <f>IFERROR(__xludf.DUMMYFUNCTION("""COMPUTED_VALUE"""),"")</f>
        <v/>
      </c>
      <c r="K2750" s="42" t="str">
        <f>IFERROR(__xludf.DUMMYFUNCTION("""COMPUTED_VALUE"""),"Campo de Golf Playa los Cocos")</f>
        <v>Campo de Golf Playa los Cocos</v>
      </c>
    </row>
    <row r="2751">
      <c r="A2751" s="44">
        <v>2750.0</v>
      </c>
      <c r="B2751" s="44" t="str">
        <f>IFERROR(__xludf.DUMMYFUNCTION("""COMPUTED_VALUE"""),"Campo de Golf Playa los Cocos")</f>
        <v>Campo de Golf Playa los Cocos</v>
      </c>
      <c r="C2751" s="45" t="str">
        <f>IFERROR(__xludf.DUMMYFUNCTION("""COMPUTED_VALUE"""),"Miguel Rojas")</f>
        <v>Miguel Rojas</v>
      </c>
      <c r="D2751" s="44" t="str">
        <f>IFERROR(__xludf.DUMMYFUNCTION("""COMPUTED_VALUE"""),"")</f>
        <v/>
      </c>
      <c r="E2751" s="44" t="str">
        <f>IFERROR(__xludf.DUMMYFUNCTION("""COMPUTED_VALUE"""),"")</f>
        <v/>
      </c>
      <c r="F2751" s="44" t="str">
        <f>IFERROR(__xludf.DUMMYFUNCTION("""COMPUTED_VALUE"""),"")</f>
        <v/>
      </c>
      <c r="G2751" s="44" t="str">
        <f>IFERROR(__xludf.DUMMYFUNCTION("""COMPUTED_VALUE"""),"")</f>
        <v/>
      </c>
      <c r="H2751" s="44" t="str">
        <f>IFERROR(__xludf.DUMMYFUNCTION("""COMPUTED_VALUE"""),"")</f>
        <v/>
      </c>
      <c r="I2751" s="44" t="str">
        <f>IFERROR(__xludf.DUMMYFUNCTION("""COMPUTED_VALUE"""),"menor")</f>
        <v>menor</v>
      </c>
      <c r="J2751" s="44" t="str">
        <f>IFERROR(__xludf.DUMMYFUNCTION("""COMPUTED_VALUE"""),"")</f>
        <v/>
      </c>
      <c r="K2751" s="42" t="str">
        <f>IFERROR(__xludf.DUMMYFUNCTION("""COMPUTED_VALUE"""),"Campo de Golf Playa los Cocos")</f>
        <v>Campo de Golf Playa los Cocos</v>
      </c>
    </row>
    <row r="2752">
      <c r="A2752" s="44">
        <v>2751.0</v>
      </c>
      <c r="B2752" s="44" t="str">
        <f>IFERROR(__xludf.DUMMYFUNCTION("""COMPUTED_VALUE"""),"Hospital Domingo Luciani")</f>
        <v>Hospital Domingo Luciani</v>
      </c>
      <c r="C2752" s="45" t="str">
        <f>IFERROR(__xludf.DUMMYFUNCTION("""COMPUTED_VALUE"""),"MIJARES ISOLIBETH")</f>
        <v>MIJARES ISOLIBETH</v>
      </c>
      <c r="D2752" s="44">
        <f>IFERROR(__xludf.DUMMYFUNCTION("""COMPUTED_VALUE"""),45.0)</f>
        <v>45</v>
      </c>
      <c r="E2752" s="44" t="str">
        <f>IFERROR(__xludf.DUMMYFUNCTION("""COMPUTED_VALUE"""),"")</f>
        <v/>
      </c>
      <c r="F2752" s="44" t="str">
        <f>IFERROR(__xludf.DUMMYFUNCTION("""COMPUTED_VALUE"""),"")</f>
        <v/>
      </c>
      <c r="G2752" s="44" t="str">
        <f>IFERROR(__xludf.DUMMYFUNCTION("""COMPUTED_VALUE""")," ")</f>
        <v> </v>
      </c>
      <c r="H2752" s="44" t="str">
        <f>IFERROR(__xludf.DUMMYFUNCTION("""COMPUTED_VALUE""")," ")</f>
        <v> </v>
      </c>
      <c r="I2752" s="44" t="str">
        <f>IFERROR(__xludf.DUMMYFUNCTION("""COMPUTED_VALUE""")," ")</f>
        <v> </v>
      </c>
      <c r="J2752" s="44" t="str">
        <f>IFERROR(__xludf.DUMMYFUNCTION("""COMPUTED_VALUE"""),"")</f>
        <v/>
      </c>
      <c r="K2752" s="42" t="str">
        <f>IFERROR(__xludf.DUMMYFUNCTION("""COMPUTED_VALUE"""),"🔍 BUSCAR PACIENTES")</f>
        <v>🔍 BUSCAR PACIENTES</v>
      </c>
    </row>
    <row r="2753">
      <c r="A2753" s="44">
        <v>2752.0</v>
      </c>
      <c r="B2753" s="44" t="str">
        <f>IFERROR(__xludf.DUMMYFUNCTION("""COMPUTED_VALUE"""),"Hospital Pérez Carreño")</f>
        <v>Hospital Pérez Carreño</v>
      </c>
      <c r="C2753" s="45" t="str">
        <f>IFERROR(__xludf.DUMMYFUNCTION("""COMPUTED_VALUE"""),"MILAGRO ANDREA")</f>
        <v>MILAGRO ANDREA</v>
      </c>
      <c r="D2753" s="44" t="str">
        <f>IFERROR(__xludf.DUMMYFUNCTION("""COMPUTED_VALUE""")," ")</f>
        <v> </v>
      </c>
      <c r="E2753" s="44" t="str">
        <f>IFERROR(__xludf.DUMMYFUNCTION("""COMPUTED_VALUE"""),"")</f>
        <v/>
      </c>
      <c r="F2753" s="44" t="str">
        <f>IFERROR(__xludf.DUMMYFUNCTION("""COMPUTED_VALUE"""),"")</f>
        <v/>
      </c>
      <c r="G2753" s="44" t="str">
        <f>IFERROR(__xludf.DUMMYFUNCTION("""COMPUTED_VALUE""")," ")</f>
        <v> </v>
      </c>
      <c r="H2753" s="44" t="str">
        <f>IFERROR(__xludf.DUMMYFUNCTION("""COMPUTED_VALUE""")," ")</f>
        <v> </v>
      </c>
      <c r="I2753" s="44" t="str">
        <f>IFERROR(__xludf.DUMMYFUNCTION("""COMPUTED_VALUE"""),"Internado; Neurocirugia / Traumatologia 
pasillo de ascensor")</f>
        <v>Internado; Neurocirugia / Traumatologia 
pasillo de ascensor</v>
      </c>
      <c r="J2753" s="44" t="str">
        <f>IFERROR(__xludf.DUMMYFUNCTION("""COMPUTED_VALUE"""),"25/06/2026")</f>
        <v>25/06/2026</v>
      </c>
      <c r="K2753" s="42" t="str">
        <f>IFERROR(__xludf.DUMMYFUNCTION("""COMPUTED_VALUE"""),"Hospital Pérez Carreño")</f>
        <v>Hospital Pérez Carreño</v>
      </c>
    </row>
    <row r="2754">
      <c r="A2754" s="44">
        <v>2753.0</v>
      </c>
      <c r="B2754" s="44" t="str">
        <f>IFERROR(__xludf.DUMMYFUNCTION("""COMPUTED_VALUE"""),"Hospital Pérez Carreño")</f>
        <v>Hospital Pérez Carreño</v>
      </c>
      <c r="C2754" s="45" t="str">
        <f>IFERROR(__xludf.DUMMYFUNCTION("""COMPUTED_VALUE"""),"Milagro Palma")</f>
        <v>Milagro Palma</v>
      </c>
      <c r="D2754" s="44"/>
      <c r="E2754" s="44" t="str">
        <f>IFERROR(__xludf.DUMMYFUNCTION("""COMPUTED_VALUE"""),"")</f>
        <v/>
      </c>
      <c r="F2754" s="44" t="str">
        <f>IFERROR(__xludf.DUMMYFUNCTION("""COMPUTED_VALUE"""),"")</f>
        <v/>
      </c>
      <c r="G2754" s="44" t="str">
        <f>IFERROR(__xludf.DUMMYFUNCTION("""COMPUTED_VALUE"""),"Listado de nombres")</f>
        <v>Listado de nombres</v>
      </c>
      <c r="H2754" s="44" t="str">
        <f>IFERROR(__xludf.DUMMYFUNCTION("""COMPUTED_VALUE"""),"Hospital Miguel Perez Carreño")</f>
        <v>Hospital Miguel Perez Carreño</v>
      </c>
      <c r="I2754" s="44"/>
      <c r="J2754" s="44" t="str">
        <f>IFERROR(__xludf.DUMMYFUNCTION("""COMPUTED_VALUE"""),"26/6/26")</f>
        <v>26/6/26</v>
      </c>
      <c r="K2754" s="42" t="str">
        <f>IFERROR(__xludf.DUMMYFUNCTION("""COMPUTED_VALUE"""),"Hospital Pérez Carreño")</f>
        <v>Hospital Pérez Carreño</v>
      </c>
    </row>
    <row r="2755">
      <c r="A2755" s="44">
        <v>2754.0</v>
      </c>
      <c r="B2755" s="44" t="str">
        <f>IFERROR(__xludf.DUMMYFUNCTION("""COMPUTED_VALUE"""),"Campo de Golf Playa los Cocos")</f>
        <v>Campo de Golf Playa los Cocos</v>
      </c>
      <c r="C2755" s="45" t="str">
        <f>IFERROR(__xludf.DUMMYFUNCTION("""COMPUTED_VALUE"""),"Milagros Hernandez")</f>
        <v>Milagros Hernandez</v>
      </c>
      <c r="D2755" s="44" t="str">
        <f>IFERROR(__xludf.DUMMYFUNCTION("""COMPUTED_VALUE"""),"")</f>
        <v/>
      </c>
      <c r="E2755" s="44" t="str">
        <f>IFERROR(__xludf.DUMMYFUNCTION("""COMPUTED_VALUE"""),"")</f>
        <v/>
      </c>
      <c r="F2755" s="44" t="str">
        <f>IFERROR(__xludf.DUMMYFUNCTION("""COMPUTED_VALUE"""),"")</f>
        <v/>
      </c>
      <c r="G2755" s="44" t="str">
        <f>IFERROR(__xludf.DUMMYFUNCTION("""COMPUTED_VALUE"""),"")</f>
        <v/>
      </c>
      <c r="H2755" s="44" t="str">
        <f>IFERROR(__xludf.DUMMYFUNCTION("""COMPUTED_VALUE"""),"")</f>
        <v/>
      </c>
      <c r="I2755" s="44"/>
      <c r="J2755" s="44" t="str">
        <f>IFERROR(__xludf.DUMMYFUNCTION("""COMPUTED_VALUE"""),"")</f>
        <v/>
      </c>
      <c r="K2755" s="42" t="str">
        <f>IFERROR(__xludf.DUMMYFUNCTION("""COMPUTED_VALUE"""),"Campo de Golf Playa los Cocos")</f>
        <v>Campo de Golf Playa los Cocos</v>
      </c>
    </row>
    <row r="2756">
      <c r="A2756" s="44">
        <v>2755.0</v>
      </c>
      <c r="B2756" s="44" t="str">
        <f>IFERROR(__xludf.DUMMYFUNCTION("""COMPUTED_VALUE"""),"Periférico de Catia")</f>
        <v>Periférico de Catia</v>
      </c>
      <c r="C2756" s="45" t="str">
        <f>IFERROR(__xludf.DUMMYFUNCTION("""COMPUTED_VALUE"""),"MILAGROS JIMENEZ")</f>
        <v>MILAGROS JIMENEZ</v>
      </c>
      <c r="D2756" s="44">
        <f>IFERROR(__xludf.DUMMYFUNCTION("""COMPUTED_VALUE"""),45.0)</f>
        <v>45</v>
      </c>
      <c r="E2756" s="44" t="str">
        <f>IFERROR(__xludf.DUMMYFUNCTION("""COMPUTED_VALUE"""),"")</f>
        <v/>
      </c>
      <c r="F2756" s="44" t="str">
        <f>IFERROR(__xludf.DUMMYFUNCTION("""COMPUTED_VALUE"""),"")</f>
        <v/>
      </c>
      <c r="G2756" s="44" t="str">
        <f>IFERROR(__xludf.DUMMYFUNCTION("""COMPUTED_VALUE""")," ")</f>
        <v> </v>
      </c>
      <c r="H2756" s="44" t="str">
        <f>IFERROR(__xludf.DUMMYFUNCTION("""COMPUTED_VALUE"""),"Los Frailes")</f>
        <v>Los Frailes</v>
      </c>
      <c r="I2756" s="44" t="str">
        <f>IFERROR(__xludf.DUMMYFUNCTION("""COMPUTED_VALUE"""),"TRM")</f>
        <v>TRM</v>
      </c>
      <c r="J2756" s="44" t="str">
        <f>IFERROR(__xludf.DUMMYFUNCTION("""COMPUTED_VALUE"""),"")</f>
        <v/>
      </c>
      <c r="K2756" s="42" t="str">
        <f>IFERROR(__xludf.DUMMYFUNCTION("""COMPUTED_VALUE"""),"Periférico de Catia")</f>
        <v>Periférico de Catia</v>
      </c>
    </row>
    <row r="2757">
      <c r="A2757" s="44">
        <v>2756.0</v>
      </c>
      <c r="B2757" s="44" t="str">
        <f>IFERROR(__xludf.DUMMYFUNCTION("""COMPUTED_VALUE"""),"Hospital Domingo Luciani")</f>
        <v>Hospital Domingo Luciani</v>
      </c>
      <c r="C2757" s="45" t="str">
        <f>IFERROR(__xludf.DUMMYFUNCTION("""COMPUTED_VALUE"""),"Milagros Torres")</f>
        <v>Milagros Torres</v>
      </c>
      <c r="D2757" s="44">
        <f>IFERROR(__xludf.DUMMYFUNCTION("""COMPUTED_VALUE"""),76.0)</f>
        <v>76</v>
      </c>
      <c r="E2757" s="44" t="str">
        <f>IFERROR(__xludf.DUMMYFUNCTION("""COMPUTED_VALUE"""),"")</f>
        <v/>
      </c>
      <c r="F2757" s="44" t="str">
        <f>IFERROR(__xludf.DUMMYFUNCTION("""COMPUTED_VALUE"""),"")</f>
        <v/>
      </c>
      <c r="G2757" s="44"/>
      <c r="H2757" s="44"/>
      <c r="I2757" s="44"/>
      <c r="J2757" s="44" t="str">
        <f>IFERROR(__xludf.DUMMYFUNCTION("""COMPUTED_VALUE"""),"")</f>
        <v/>
      </c>
      <c r="K2757" s="42" t="str">
        <f>IFERROR(__xludf.DUMMYFUNCTION("""COMPUTED_VALUE"""),"Hospital Domingo Luciani")</f>
        <v>Hospital Domingo Luciani</v>
      </c>
    </row>
    <row r="2758">
      <c r="A2758" s="44">
        <v>2757.0</v>
      </c>
      <c r="B2758" s="44" t="str">
        <f>IFERROR(__xludf.DUMMYFUNCTION("""COMPUTED_VALUE"""),"Centro de Acopio Caraballeda")</f>
        <v>Centro de Acopio Caraballeda</v>
      </c>
      <c r="C2758" s="45" t="str">
        <f>IFERROR(__xludf.DUMMYFUNCTION("""COMPUTED_VALUE"""),"MILANO BRIGUITH")</f>
        <v>MILANO BRIGUITH</v>
      </c>
      <c r="D2758" s="44" t="str">
        <f>IFERROR(__xludf.DUMMYFUNCTION("""COMPUTED_VALUE""")," ")</f>
        <v> </v>
      </c>
      <c r="E2758" s="44" t="str">
        <f>IFERROR(__xludf.DUMMYFUNCTION("""COMPUTED_VALUE"""),"")</f>
        <v/>
      </c>
      <c r="F2758" s="44" t="str">
        <f>IFERROR(__xludf.DUMMYFUNCTION("""COMPUTED_VALUE"""),"")</f>
        <v/>
      </c>
      <c r="G2758" s="44" t="str">
        <f>IFERROR(__xludf.DUMMYFUNCTION("""COMPUTED_VALUE""")," ")</f>
        <v> </v>
      </c>
      <c r="H2758" s="44" t="str">
        <f>IFERROR(__xludf.DUMMYFUNCTION("""COMPUTED_VALUE""")," ")</f>
        <v> </v>
      </c>
      <c r="I2758" s="44" t="str">
        <f>IFERROR(__xludf.DUMMYFUNCTION("""COMPUTED_VALUE"""),"Internado")</f>
        <v>Internado</v>
      </c>
      <c r="J2758" s="44" t="str">
        <f>IFERROR(__xludf.DUMMYFUNCTION("""COMPUTED_VALUE"""),"")</f>
        <v/>
      </c>
      <c r="K2758" s="42" t="str">
        <f>IFERROR(__xludf.DUMMYFUNCTION("""COMPUTED_VALUE"""),"🔍 BUSCAR PACIENTES")</f>
        <v>🔍 BUSCAR PACIENTES</v>
      </c>
    </row>
    <row r="2759">
      <c r="A2759" s="44">
        <v>2758.0</v>
      </c>
      <c r="B2759" s="44" t="str">
        <f>IFERROR(__xludf.DUMMYFUNCTION("""COMPUTED_VALUE"""),"Hospital Pérez Carreño")</f>
        <v>Hospital Pérez Carreño</v>
      </c>
      <c r="C2759" s="45" t="str">
        <f>IFERROR(__xludf.DUMMYFUNCTION("""COMPUTED_VALUE"""),"MILANO EIDIMAR")</f>
        <v>MILANO EIDIMAR</v>
      </c>
      <c r="D2759" s="44">
        <f>IFERROR(__xludf.DUMMYFUNCTION("""COMPUTED_VALUE"""),13.0)</f>
        <v>13</v>
      </c>
      <c r="E2759" s="44" t="str">
        <f>IFERROR(__xludf.DUMMYFUNCTION("""COMPUTED_VALUE"""),"")</f>
        <v/>
      </c>
      <c r="F2759" s="44" t="str">
        <f>IFERROR(__xludf.DUMMYFUNCTION("""COMPUTED_VALUE"""),"")</f>
        <v/>
      </c>
      <c r="G2759" s="44" t="str">
        <f>IFERROR(__xludf.DUMMYFUNCTION("""COMPUTED_VALUE""")," ")</f>
        <v> </v>
      </c>
      <c r="H2759" s="44" t="str">
        <f>IFERROR(__xludf.DUMMYFUNCTION("""COMPUTED_VALUE""")," ")</f>
        <v> </v>
      </c>
      <c r="I2759" s="44" t="str">
        <f>IFERROR(__xludf.DUMMYFUNCTION("""COMPUTED_VALUE"""),"Traumashock")</f>
        <v>Traumashock</v>
      </c>
      <c r="J2759" s="44" t="str">
        <f>IFERROR(__xludf.DUMMYFUNCTION("""COMPUTED_VALUE"""),"25/06/2026")</f>
        <v>25/06/2026</v>
      </c>
      <c r="K2759" s="42" t="str">
        <f>IFERROR(__xludf.DUMMYFUNCTION("""COMPUTED_VALUE"""),"Hospital Pérez Carreño")</f>
        <v>Hospital Pérez Carreño</v>
      </c>
    </row>
    <row r="2760">
      <c r="A2760" s="44">
        <v>2759.0</v>
      </c>
      <c r="B2760" s="44" t="str">
        <f>IFERROR(__xludf.DUMMYFUNCTION("""COMPUTED_VALUE"""),"Centro de Acopio Caraballeda")</f>
        <v>Centro de Acopio Caraballeda</v>
      </c>
      <c r="C2760" s="45" t="str">
        <f>IFERROR(__xludf.DUMMYFUNCTION("""COMPUTED_VALUE"""),"MILANO FRANKIE")</f>
        <v>MILANO FRANKIE</v>
      </c>
      <c r="D2760" s="44" t="str">
        <f>IFERROR(__xludf.DUMMYFUNCTION("""COMPUTED_VALUE""")," ")</f>
        <v> </v>
      </c>
      <c r="E2760" s="44" t="str">
        <f>IFERROR(__xludf.DUMMYFUNCTION("""COMPUTED_VALUE"""),"")</f>
        <v/>
      </c>
      <c r="F2760" s="44" t="str">
        <f>IFERROR(__xludf.DUMMYFUNCTION("""COMPUTED_VALUE"""),"")</f>
        <v/>
      </c>
      <c r="G2760" s="44" t="str">
        <f>IFERROR(__xludf.DUMMYFUNCTION("""COMPUTED_VALUE""")," ")</f>
        <v> </v>
      </c>
      <c r="H2760" s="44" t="str">
        <f>IFERROR(__xludf.DUMMYFUNCTION("""COMPUTED_VALUE""")," ")</f>
        <v> </v>
      </c>
      <c r="I2760" s="44" t="str">
        <f>IFERROR(__xludf.DUMMYFUNCTION("""COMPUTED_VALUE"""),"Internado")</f>
        <v>Internado</v>
      </c>
      <c r="J2760" s="44" t="str">
        <f>IFERROR(__xludf.DUMMYFUNCTION("""COMPUTED_VALUE"""),"")</f>
        <v/>
      </c>
      <c r="K2760" s="42" t="str">
        <f>IFERROR(__xludf.DUMMYFUNCTION("""COMPUTED_VALUE"""),"🔍 BUSCAR PACIENTES")</f>
        <v>🔍 BUSCAR PACIENTES</v>
      </c>
    </row>
    <row r="2761">
      <c r="A2761" s="44">
        <v>2760.0</v>
      </c>
      <c r="B2761" s="44" t="str">
        <f>IFERROR(__xludf.DUMMYFUNCTION("""COMPUTED_VALUE"""),"Periférico de Catia")</f>
        <v>Periférico de Catia</v>
      </c>
      <c r="C2761" s="45" t="str">
        <f>IFERROR(__xludf.DUMMYFUNCTION("""COMPUTED_VALUE"""),"Milano Gladiuska")</f>
        <v>Milano Gladiuska</v>
      </c>
      <c r="D2761" s="44">
        <f>IFERROR(__xludf.DUMMYFUNCTION("""COMPUTED_VALUE"""),25.0)</f>
        <v>25</v>
      </c>
      <c r="E2761" s="44" t="str">
        <f>IFERROR(__xludf.DUMMYFUNCTION("""COMPUTED_VALUE"""),"")</f>
        <v/>
      </c>
      <c r="F2761" s="44" t="str">
        <f>IFERROR(__xludf.DUMMYFUNCTION("""COMPUTED_VALUE"""),"")</f>
        <v/>
      </c>
      <c r="G2761" s="44"/>
      <c r="H2761" s="44"/>
      <c r="I2761" s="44" t="str">
        <f>IFERROR(__xludf.DUMMYFUNCTION("""COMPUTED_VALUE"""),"Lista adicional (pizarra extensa sin titulo de sala especifico)")</f>
        <v>Lista adicional (pizarra extensa sin titulo de sala especifico)</v>
      </c>
      <c r="J2761" s="44" t="str">
        <f>IFERROR(__xludf.DUMMYFUNCTION("""COMPUTED_VALUE"""),"")</f>
        <v/>
      </c>
      <c r="K2761" s="42" t="str">
        <f>IFERROR(__xludf.DUMMYFUNCTION("""COMPUTED_VALUE"""),"Periférico de Catia")</f>
        <v>Periférico de Catia</v>
      </c>
    </row>
    <row r="2762">
      <c r="A2762" s="44">
        <v>2761.0</v>
      </c>
      <c r="B2762" s="44" t="str">
        <f>IFERROR(__xludf.DUMMYFUNCTION("""COMPUTED_VALUE"""),"Hospital Domingo Luciani")</f>
        <v>Hospital Domingo Luciani</v>
      </c>
      <c r="C2762" s="45" t="str">
        <f>IFERROR(__xludf.DUMMYFUNCTION("""COMPUTED_VALUE"""),"MILANO GLADIVSKA")</f>
        <v>MILANO GLADIVSKA</v>
      </c>
      <c r="D2762" s="44">
        <f>IFERROR(__xludf.DUMMYFUNCTION("""COMPUTED_VALUE"""),25.0)</f>
        <v>25</v>
      </c>
      <c r="E2762" s="44" t="str">
        <f>IFERROR(__xludf.DUMMYFUNCTION("""COMPUTED_VALUE"""),"")</f>
        <v/>
      </c>
      <c r="F2762" s="44" t="str">
        <f>IFERROR(__xludf.DUMMYFUNCTION("""COMPUTED_VALUE"""),"")</f>
        <v/>
      </c>
      <c r="G2762" s="44" t="str">
        <f>IFERROR(__xludf.DUMMYFUNCTION("""COMPUTED_VALUE""")," ")</f>
        <v> </v>
      </c>
      <c r="H2762" s="44" t="str">
        <f>IFERROR(__xludf.DUMMYFUNCTION("""COMPUTED_VALUE""")," ")</f>
        <v> </v>
      </c>
      <c r="I2762" s="44" t="str">
        <f>IFERROR(__xludf.DUMMYFUNCTION("""COMPUTED_VALUE""")," ")</f>
        <v> </v>
      </c>
      <c r="J2762" s="44" t="str">
        <f>IFERROR(__xludf.DUMMYFUNCTION("""COMPUTED_VALUE"""),"")</f>
        <v/>
      </c>
      <c r="K2762" s="42" t="str">
        <f>IFERROR(__xludf.DUMMYFUNCTION("""COMPUTED_VALUE"""),"🔍 BUSCAR PACIENTES")</f>
        <v>🔍 BUSCAR PACIENTES</v>
      </c>
    </row>
    <row r="2763">
      <c r="A2763" s="44">
        <v>2762.0</v>
      </c>
      <c r="B2763" s="44" t="str">
        <f>IFERROR(__xludf.DUMMYFUNCTION("""COMPUTED_VALUE"""),"Hospital Pérez Carreño")</f>
        <v>Hospital Pérez Carreño</v>
      </c>
      <c r="C2763" s="45" t="str">
        <f>IFERROR(__xludf.DUMMYFUNCTION("""COMPUTED_VALUE"""),"MILANO GUERRA INGRIA")</f>
        <v>MILANO GUERRA INGRIA</v>
      </c>
      <c r="D2763" s="44" t="str">
        <f>IFERROR(__xludf.DUMMYFUNCTION("""COMPUTED_VALUE""")," ")</f>
        <v> </v>
      </c>
      <c r="E2763" s="44" t="str">
        <f>IFERROR(__xludf.DUMMYFUNCTION("""COMPUTED_VALUE"""),"")</f>
        <v/>
      </c>
      <c r="F2763" s="44" t="str">
        <f>IFERROR(__xludf.DUMMYFUNCTION("""COMPUTED_VALUE"""),"")</f>
        <v/>
      </c>
      <c r="G2763" s="44" t="str">
        <f>IFERROR(__xludf.DUMMYFUNCTION("""COMPUTED_VALUE""")," ")</f>
        <v> </v>
      </c>
      <c r="H2763" s="44" t="str">
        <f>IFERROR(__xludf.DUMMYFUNCTION("""COMPUTED_VALUE""")," ")</f>
        <v> </v>
      </c>
      <c r="I2763" s="44" t="str">
        <f>IFERROR(__xludf.DUMMYFUNCTION("""COMPUTED_VALUE"""),"Traumashock")</f>
        <v>Traumashock</v>
      </c>
      <c r="J2763" s="44" t="str">
        <f>IFERROR(__xludf.DUMMYFUNCTION("""COMPUTED_VALUE"""),"25/06/2026")</f>
        <v>25/06/2026</v>
      </c>
      <c r="K2763" s="42" t="str">
        <f>IFERROR(__xludf.DUMMYFUNCTION("""COMPUTED_VALUE"""),"Hospital Pérez Carreño")</f>
        <v>Hospital Pérez Carreño</v>
      </c>
    </row>
    <row r="2764">
      <c r="A2764" s="44">
        <v>2763.0</v>
      </c>
      <c r="B2764" s="44" t="str">
        <f>IFERROR(__xludf.DUMMYFUNCTION("""COMPUTED_VALUE"""),"Centro de Acopio Caraballeda")</f>
        <v>Centro de Acopio Caraballeda</v>
      </c>
      <c r="C2764" s="45" t="str">
        <f>IFERROR(__xludf.DUMMYFUNCTION("""COMPUTED_VALUE"""),"MILANO INGRID")</f>
        <v>MILANO INGRID</v>
      </c>
      <c r="D2764" s="44" t="str">
        <f>IFERROR(__xludf.DUMMYFUNCTION("""COMPUTED_VALUE""")," ")</f>
        <v> </v>
      </c>
      <c r="E2764" s="44" t="str">
        <f>IFERROR(__xludf.DUMMYFUNCTION("""COMPUTED_VALUE"""),"")</f>
        <v/>
      </c>
      <c r="F2764" s="44" t="str">
        <f>IFERROR(__xludf.DUMMYFUNCTION("""COMPUTED_VALUE"""),"")</f>
        <v/>
      </c>
      <c r="G2764" s="44" t="str">
        <f>IFERROR(__xludf.DUMMYFUNCTION("""COMPUTED_VALUE""")," ")</f>
        <v> </v>
      </c>
      <c r="H2764" s="44" t="str">
        <f>IFERROR(__xludf.DUMMYFUNCTION("""COMPUTED_VALUE""")," ")</f>
        <v> </v>
      </c>
      <c r="I2764" s="44" t="str">
        <f>IFERROR(__xludf.DUMMYFUNCTION("""COMPUTED_VALUE"""),"Internado")</f>
        <v>Internado</v>
      </c>
      <c r="J2764" s="44" t="str">
        <f>IFERROR(__xludf.DUMMYFUNCTION("""COMPUTED_VALUE"""),"")</f>
        <v/>
      </c>
      <c r="K2764" s="42" t="str">
        <f>IFERROR(__xludf.DUMMYFUNCTION("""COMPUTED_VALUE"""),"🔍 BUSCAR PACIENTES")</f>
        <v>🔍 BUSCAR PACIENTES</v>
      </c>
    </row>
    <row r="2765">
      <c r="A2765" s="44">
        <v>2764.0</v>
      </c>
      <c r="B2765" s="44" t="str">
        <f>IFERROR(__xludf.DUMMYFUNCTION("""COMPUTED_VALUE"""),"Centro de Acopio Caraballeda")</f>
        <v>Centro de Acopio Caraballeda</v>
      </c>
      <c r="C2765" s="45" t="str">
        <f>IFERROR(__xludf.DUMMYFUNCTION("""COMPUTED_VALUE"""),"MILANO JEFERSON")</f>
        <v>MILANO JEFERSON</v>
      </c>
      <c r="D2765" s="44" t="str">
        <f>IFERROR(__xludf.DUMMYFUNCTION("""COMPUTED_VALUE""")," ")</f>
        <v> </v>
      </c>
      <c r="E2765" s="44" t="str">
        <f>IFERROR(__xludf.DUMMYFUNCTION("""COMPUTED_VALUE"""),"")</f>
        <v/>
      </c>
      <c r="F2765" s="44" t="str">
        <f>IFERROR(__xludf.DUMMYFUNCTION("""COMPUTED_VALUE"""),"")</f>
        <v/>
      </c>
      <c r="G2765" s="44" t="str">
        <f>IFERROR(__xludf.DUMMYFUNCTION("""COMPUTED_VALUE""")," ")</f>
        <v> </v>
      </c>
      <c r="H2765" s="44" t="str">
        <f>IFERROR(__xludf.DUMMYFUNCTION("""COMPUTED_VALUE""")," ")</f>
        <v> </v>
      </c>
      <c r="I2765" s="44" t="str">
        <f>IFERROR(__xludf.DUMMYFUNCTION("""COMPUTED_VALUE"""),"Internado")</f>
        <v>Internado</v>
      </c>
      <c r="J2765" s="44" t="str">
        <f>IFERROR(__xludf.DUMMYFUNCTION("""COMPUTED_VALUE"""),"")</f>
        <v/>
      </c>
      <c r="K2765" s="42" t="str">
        <f>IFERROR(__xludf.DUMMYFUNCTION("""COMPUTED_VALUE"""),"🔍 BUSCAR PACIENTES")</f>
        <v>🔍 BUSCAR PACIENTES</v>
      </c>
    </row>
    <row r="2766">
      <c r="A2766" s="44">
        <v>2765.0</v>
      </c>
      <c r="B2766" s="44" t="str">
        <f>IFERROR(__xludf.DUMMYFUNCTION("""COMPUTED_VALUE"""),"Centro de Acopio Caraballeda")</f>
        <v>Centro de Acopio Caraballeda</v>
      </c>
      <c r="C2766" s="45" t="str">
        <f>IFERROR(__xludf.DUMMYFUNCTION("""COMPUTED_VALUE"""),"MILANO MERCHORELI INGRID")</f>
        <v>MILANO MERCHORELI INGRID</v>
      </c>
      <c r="D2766" s="44" t="str">
        <f>IFERROR(__xludf.DUMMYFUNCTION("""COMPUTED_VALUE""")," ")</f>
        <v> </v>
      </c>
      <c r="E2766" s="44" t="str">
        <f>IFERROR(__xludf.DUMMYFUNCTION("""COMPUTED_VALUE"""),"")</f>
        <v/>
      </c>
      <c r="F2766" s="44" t="str">
        <f>IFERROR(__xludf.DUMMYFUNCTION("""COMPUTED_VALUE"""),"")</f>
        <v/>
      </c>
      <c r="G2766" s="44" t="str">
        <f>IFERROR(__xludf.DUMMYFUNCTION("""COMPUTED_VALUE""")," ")</f>
        <v> </v>
      </c>
      <c r="H2766" s="44" t="str">
        <f>IFERROR(__xludf.DUMMYFUNCTION("""COMPUTED_VALUE""")," ")</f>
        <v> </v>
      </c>
      <c r="I2766" s="44" t="str">
        <f>IFERROR(__xludf.DUMMYFUNCTION("""COMPUTED_VALUE"""),"Internado")</f>
        <v>Internado</v>
      </c>
      <c r="J2766" s="44" t="str">
        <f>IFERROR(__xludf.DUMMYFUNCTION("""COMPUTED_VALUE"""),"")</f>
        <v/>
      </c>
      <c r="K2766" s="42" t="str">
        <f>IFERROR(__xludf.DUMMYFUNCTION("""COMPUTED_VALUE"""),"🔍 BUSCAR PACIENTES")</f>
        <v>🔍 BUSCAR PACIENTES</v>
      </c>
    </row>
    <row r="2767">
      <c r="A2767" s="44">
        <v>2766.0</v>
      </c>
      <c r="B2767" s="44" t="str">
        <f>IFERROR(__xludf.DUMMYFUNCTION("""COMPUTED_VALUE"""),"Centro de Acopio Caraballeda")</f>
        <v>Centro de Acopio Caraballeda</v>
      </c>
      <c r="C2767" s="45" t="str">
        <f>IFERROR(__xludf.DUMMYFUNCTION("""COMPUTED_VALUE"""),"MILANO NESTOR")</f>
        <v>MILANO NESTOR</v>
      </c>
      <c r="D2767" s="44" t="str">
        <f>IFERROR(__xludf.DUMMYFUNCTION("""COMPUTED_VALUE""")," ")</f>
        <v> </v>
      </c>
      <c r="E2767" s="44" t="str">
        <f>IFERROR(__xludf.DUMMYFUNCTION("""COMPUTED_VALUE"""),"")</f>
        <v/>
      </c>
      <c r="F2767" s="44" t="str">
        <f>IFERROR(__xludf.DUMMYFUNCTION("""COMPUTED_VALUE"""),"")</f>
        <v/>
      </c>
      <c r="G2767" s="44" t="str">
        <f>IFERROR(__xludf.DUMMYFUNCTION("""COMPUTED_VALUE""")," ")</f>
        <v> </v>
      </c>
      <c r="H2767" s="44" t="str">
        <f>IFERROR(__xludf.DUMMYFUNCTION("""COMPUTED_VALUE""")," ")</f>
        <v> </v>
      </c>
      <c r="I2767" s="44" t="str">
        <f>IFERROR(__xludf.DUMMYFUNCTION("""COMPUTED_VALUE"""),"Internado")</f>
        <v>Internado</v>
      </c>
      <c r="J2767" s="44" t="str">
        <f>IFERROR(__xludf.DUMMYFUNCTION("""COMPUTED_VALUE"""),"")</f>
        <v/>
      </c>
      <c r="K2767" s="42" t="str">
        <f>IFERROR(__xludf.DUMMYFUNCTION("""COMPUTED_VALUE"""),"🔍 BUSCAR PACIENTES")</f>
        <v>🔍 BUSCAR PACIENTES</v>
      </c>
    </row>
    <row r="2768">
      <c r="A2768" s="44">
        <v>2767.0</v>
      </c>
      <c r="B2768" s="44" t="str">
        <f>IFERROR(__xludf.DUMMYFUNCTION("""COMPUTED_VALUE"""),"Centro de Acopio Caraballeda")</f>
        <v>Centro de Acopio Caraballeda</v>
      </c>
      <c r="C2768" s="45" t="str">
        <f>IFERROR(__xludf.DUMMYFUNCTION("""COMPUTED_VALUE"""),"MILANO RAFAEL")</f>
        <v>MILANO RAFAEL</v>
      </c>
      <c r="D2768" s="44" t="str">
        <f>IFERROR(__xludf.DUMMYFUNCTION("""COMPUTED_VALUE""")," ")</f>
        <v> </v>
      </c>
      <c r="E2768" s="44" t="str">
        <f>IFERROR(__xludf.DUMMYFUNCTION("""COMPUTED_VALUE"""),"")</f>
        <v/>
      </c>
      <c r="F2768" s="44" t="str">
        <f>IFERROR(__xludf.DUMMYFUNCTION("""COMPUTED_VALUE"""),"")</f>
        <v/>
      </c>
      <c r="G2768" s="44" t="str">
        <f>IFERROR(__xludf.DUMMYFUNCTION("""COMPUTED_VALUE""")," ")</f>
        <v> </v>
      </c>
      <c r="H2768" s="44" t="str">
        <f>IFERROR(__xludf.DUMMYFUNCTION("""COMPUTED_VALUE""")," ")</f>
        <v> </v>
      </c>
      <c r="I2768" s="44" t="str">
        <f>IFERROR(__xludf.DUMMYFUNCTION("""COMPUTED_VALUE"""),"Internado")</f>
        <v>Internado</v>
      </c>
      <c r="J2768" s="44" t="str">
        <f>IFERROR(__xludf.DUMMYFUNCTION("""COMPUTED_VALUE"""),"")</f>
        <v/>
      </c>
      <c r="K2768" s="42" t="str">
        <f>IFERROR(__xludf.DUMMYFUNCTION("""COMPUTED_VALUE"""),"🔍 BUSCAR PACIENTES")</f>
        <v>🔍 BUSCAR PACIENTES</v>
      </c>
    </row>
    <row r="2769">
      <c r="A2769" s="44">
        <v>2768.0</v>
      </c>
      <c r="B2769" s="44" t="str">
        <f>IFERROR(__xludf.DUMMYFUNCTION("""COMPUTED_VALUE"""),"Centro de Acopio Caraballeda")</f>
        <v>Centro de Acopio Caraballeda</v>
      </c>
      <c r="C2769" s="45" t="str">
        <f>IFERROR(__xludf.DUMMYFUNCTION("""COMPUTED_VALUE"""),"MILANO WILLIAM")</f>
        <v>MILANO WILLIAM</v>
      </c>
      <c r="D2769" s="44" t="str">
        <f>IFERROR(__xludf.DUMMYFUNCTION("""COMPUTED_VALUE""")," ")</f>
        <v> </v>
      </c>
      <c r="E2769" s="44" t="str">
        <f>IFERROR(__xludf.DUMMYFUNCTION("""COMPUTED_VALUE"""),"")</f>
        <v/>
      </c>
      <c r="F2769" s="44" t="str">
        <f>IFERROR(__xludf.DUMMYFUNCTION("""COMPUTED_VALUE"""),"")</f>
        <v/>
      </c>
      <c r="G2769" s="44" t="str">
        <f>IFERROR(__xludf.DUMMYFUNCTION("""COMPUTED_VALUE""")," ")</f>
        <v> </v>
      </c>
      <c r="H2769" s="44" t="str">
        <f>IFERROR(__xludf.DUMMYFUNCTION("""COMPUTED_VALUE""")," ")</f>
        <v> </v>
      </c>
      <c r="I2769" s="44" t="str">
        <f>IFERROR(__xludf.DUMMYFUNCTION("""COMPUTED_VALUE"""),"Internado")</f>
        <v>Internado</v>
      </c>
      <c r="J2769" s="44" t="str">
        <f>IFERROR(__xludf.DUMMYFUNCTION("""COMPUTED_VALUE"""),"")</f>
        <v/>
      </c>
      <c r="K2769" s="42" t="str">
        <f>IFERROR(__xludf.DUMMYFUNCTION("""COMPUTED_VALUE"""),"🔍 BUSCAR PACIENTES")</f>
        <v>🔍 BUSCAR PACIENTES</v>
      </c>
    </row>
    <row r="2770">
      <c r="A2770" s="44">
        <v>2769.0</v>
      </c>
      <c r="B2770" s="44" t="str">
        <f>IFERROR(__xludf.DUMMYFUNCTION("""COMPUTED_VALUE"""),"H. Jose Maria Vargas LG")</f>
        <v>H. Jose Maria Vargas LG</v>
      </c>
      <c r="C2770" s="45" t="str">
        <f>IFERROR(__xludf.DUMMYFUNCTION("""COMPUTED_VALUE"""),"MILIANO ENDY")</f>
        <v>MILIANO ENDY</v>
      </c>
      <c r="D2770" s="44">
        <f>IFERROR(__xludf.DUMMYFUNCTION("""COMPUTED_VALUE"""),11.0)</f>
        <v>11</v>
      </c>
      <c r="E2770" s="44" t="str">
        <f>IFERROR(__xludf.DUMMYFUNCTION("""COMPUTED_VALUE"""),"")</f>
        <v/>
      </c>
      <c r="F2770" s="44" t="str">
        <f>IFERROR(__xludf.DUMMYFUNCTION("""COMPUTED_VALUE"""),"")</f>
        <v/>
      </c>
      <c r="G2770" s="44" t="str">
        <f>IFERROR(__xludf.DUMMYFUNCTION("""COMPUTED_VALUE""")," ")</f>
        <v> </v>
      </c>
      <c r="H2770" s="44" t="str">
        <f>IFERROR(__xludf.DUMMYFUNCTION("""COMPUTED_VALUE""")," ")</f>
        <v> </v>
      </c>
      <c r="I2770" s="44" t="str">
        <f>IFERROR(__xludf.DUMMYFUNCTION("""COMPUTED_VALUE""")," ")</f>
        <v> </v>
      </c>
      <c r="J2770" s="44" t="str">
        <f>IFERROR(__xludf.DUMMYFUNCTION("""COMPUTED_VALUE"""),"")</f>
        <v/>
      </c>
      <c r="K2770" s="42" t="str">
        <f>IFERROR(__xludf.DUMMYFUNCTION("""COMPUTED_VALUE"""),"H. Jose Maria Vargas LG")</f>
        <v>H. Jose Maria Vargas LG</v>
      </c>
    </row>
    <row r="2771">
      <c r="A2771" s="44">
        <v>2770.0</v>
      </c>
      <c r="B2771" s="44" t="str">
        <f>IFERROR(__xludf.DUMMYFUNCTION("""COMPUTED_VALUE"""),"Clínica El Ávila")</f>
        <v>Clínica El Ávila</v>
      </c>
      <c r="C2771" s="45" t="str">
        <f>IFERROR(__xludf.DUMMYFUNCTION("""COMPUTED_VALUE"""),"MILLAN FURGENCIA")</f>
        <v>MILLAN FURGENCIA</v>
      </c>
      <c r="D2771" s="44" t="str">
        <f>IFERROR(__xludf.DUMMYFUNCTION("""COMPUTED_VALUE""")," ")</f>
        <v> </v>
      </c>
      <c r="E2771" s="44" t="str">
        <f>IFERROR(__xludf.DUMMYFUNCTION("""COMPUTED_VALUE"""),"")</f>
        <v/>
      </c>
      <c r="F2771" s="44" t="str">
        <f>IFERROR(__xludf.DUMMYFUNCTION("""COMPUTED_VALUE"""),"")</f>
        <v/>
      </c>
      <c r="G2771" s="44" t="str">
        <f>IFERROR(__xludf.DUMMYFUNCTION("""COMPUTED_VALUE""")," ")</f>
        <v> </v>
      </c>
      <c r="H2771" s="44" t="str">
        <f>IFERROR(__xludf.DUMMYFUNCTION("""COMPUTED_VALUE""")," ")</f>
        <v> </v>
      </c>
      <c r="I2771" s="44" t="str">
        <f>IFERROR(__xludf.DUMMYFUNCTION("""COMPUTED_VALUE""")," ")</f>
        <v> </v>
      </c>
      <c r="J2771" s="44" t="str">
        <f>IFERROR(__xludf.DUMMYFUNCTION("""COMPUTED_VALUE"""),"")</f>
        <v/>
      </c>
      <c r="K2771" s="42" t="str">
        <f>IFERROR(__xludf.DUMMYFUNCTION("""COMPUTED_VALUE"""),"Clínica El Ávila")</f>
        <v>Clínica El Ávila</v>
      </c>
    </row>
    <row r="2772">
      <c r="A2772" s="44">
        <v>2771.0</v>
      </c>
      <c r="B2772" s="44" t="str">
        <f>IFERROR(__xludf.DUMMYFUNCTION("""COMPUTED_VALUE"""),"Clínica El Ávila")</f>
        <v>Clínica El Ávila</v>
      </c>
      <c r="C2772" s="45" t="str">
        <f>IFERROR(__xludf.DUMMYFUNCTION("""COMPUTED_VALUE"""),"MILLAN YURIMAR")</f>
        <v>MILLAN YURIMAR</v>
      </c>
      <c r="D2772" s="44" t="str">
        <f>IFERROR(__xludf.DUMMYFUNCTION("""COMPUTED_VALUE""")," ")</f>
        <v> </v>
      </c>
      <c r="E2772" s="44" t="str">
        <f>IFERROR(__xludf.DUMMYFUNCTION("""COMPUTED_VALUE"""),"")</f>
        <v/>
      </c>
      <c r="F2772" s="44" t="str">
        <f>IFERROR(__xludf.DUMMYFUNCTION("""COMPUTED_VALUE"""),"")</f>
        <v/>
      </c>
      <c r="G2772" s="44" t="str">
        <f>IFERROR(__xludf.DUMMYFUNCTION("""COMPUTED_VALUE""")," ")</f>
        <v> </v>
      </c>
      <c r="H2772" s="44" t="str">
        <f>IFERROR(__xludf.DUMMYFUNCTION("""COMPUTED_VALUE""")," ")</f>
        <v> </v>
      </c>
      <c r="I2772" s="44" t="str">
        <f>IFERROR(__xludf.DUMMYFUNCTION("""COMPUTED_VALUE""")," ")</f>
        <v> </v>
      </c>
      <c r="J2772" s="44" t="str">
        <f>IFERROR(__xludf.DUMMYFUNCTION("""COMPUTED_VALUE"""),"")</f>
        <v/>
      </c>
      <c r="K2772" s="42" t="str">
        <f>IFERROR(__xludf.DUMMYFUNCTION("""COMPUTED_VALUE"""),"Clínica El Ávila")</f>
        <v>Clínica El Ávila</v>
      </c>
    </row>
    <row r="2773">
      <c r="A2773" s="44">
        <v>2772.0</v>
      </c>
      <c r="B2773" s="44" t="str">
        <f>IFERROR(__xludf.DUMMYFUNCTION("""COMPUTED_VALUE"""),"Hospital Pérez Carreño")</f>
        <v>Hospital Pérez Carreño</v>
      </c>
      <c r="C2773" s="45" t="str">
        <f>IFERROR(__xludf.DUMMYFUNCTION("""COMPUTED_VALUE"""),"Millman Alejandro")</f>
        <v>Millman Alejandro</v>
      </c>
      <c r="D2773" s="44"/>
      <c r="E2773" s="44" t="str">
        <f>IFERROR(__xludf.DUMMYFUNCTION("""COMPUTED_VALUE"""),"")</f>
        <v/>
      </c>
      <c r="F2773" s="44" t="str">
        <f>IFERROR(__xludf.DUMMYFUNCTION("""COMPUTED_VALUE"""),"")</f>
        <v/>
      </c>
      <c r="G2773" s="44" t="str">
        <f>IFERROR(__xludf.DUMMYFUNCTION("""COMPUTED_VALUE"""),"Traslados con destino asignado")</f>
        <v>Traslados con destino asignado</v>
      </c>
      <c r="H2773" s="44" t="str">
        <f>IFERROR(__xludf.DUMMYFUNCTION("""COMPUTED_VALUE"""),"Hospital Miguel Perez Carreño")</f>
        <v>Hospital Miguel Perez Carreño</v>
      </c>
      <c r="I2773" s="44"/>
      <c r="J2773" s="44" t="str">
        <f>IFERROR(__xludf.DUMMYFUNCTION("""COMPUTED_VALUE"""),"26/6/26")</f>
        <v>26/6/26</v>
      </c>
      <c r="K2773" s="42" t="str">
        <f>IFERROR(__xludf.DUMMYFUNCTION("""COMPUTED_VALUE"""),"Hospital Pérez Carreño")</f>
        <v>Hospital Pérez Carreño</v>
      </c>
    </row>
    <row r="2774">
      <c r="A2774" s="44">
        <v>2773.0</v>
      </c>
      <c r="B2774" s="44" t="str">
        <f>IFERROR(__xludf.DUMMYFUNCTION("""COMPUTED_VALUE"""),"Hospital Pérez Carreño")</f>
        <v>Hospital Pérez Carreño</v>
      </c>
      <c r="C2774" s="45" t="str">
        <f>IFERROR(__xludf.DUMMYFUNCTION("""COMPUTED_VALUE"""),"MILUDIZ OLEIDY")</f>
        <v>MILUDIZ OLEIDY</v>
      </c>
      <c r="D2774" s="44" t="str">
        <f>IFERROR(__xludf.DUMMYFUNCTION("""COMPUTED_VALUE""")," ")</f>
        <v> </v>
      </c>
      <c r="E2774" s="44" t="str">
        <f>IFERROR(__xludf.DUMMYFUNCTION("""COMPUTED_VALUE"""),"")</f>
        <v/>
      </c>
      <c r="F2774" s="44" t="str">
        <f>IFERROR(__xludf.DUMMYFUNCTION("""COMPUTED_VALUE"""),"")</f>
        <v/>
      </c>
      <c r="G2774" s="44" t="str">
        <f>IFERROR(__xludf.DUMMYFUNCTION("""COMPUTED_VALUE""")," ")</f>
        <v> </v>
      </c>
      <c r="H2774" s="44" t="str">
        <f>IFERROR(__xludf.DUMMYFUNCTION("""COMPUTED_VALUE""")," ")</f>
        <v> </v>
      </c>
      <c r="I2774" s="44" t="str">
        <f>IFERROR(__xludf.DUMMYFUNCTION("""COMPUTED_VALUE"""),"Traumashock")</f>
        <v>Traumashock</v>
      </c>
      <c r="J2774" s="44" t="str">
        <f>IFERROR(__xludf.DUMMYFUNCTION("""COMPUTED_VALUE"""),"25/06/2026")</f>
        <v>25/06/2026</v>
      </c>
      <c r="K2774" s="42" t="str">
        <f>IFERROR(__xludf.DUMMYFUNCTION("""COMPUTED_VALUE"""),"Hospital Pérez Carreño")</f>
        <v>Hospital Pérez Carreño</v>
      </c>
    </row>
    <row r="2775">
      <c r="A2775" s="44">
        <v>2774.0</v>
      </c>
      <c r="B2775" s="44" t="str">
        <f>IFERROR(__xludf.DUMMYFUNCTION("""COMPUTED_VALUE"""),"Hospital Pérez Carreño")</f>
        <v>Hospital Pérez Carreño</v>
      </c>
      <c r="C2775" s="45" t="str">
        <f>IFERROR(__xludf.DUMMYFUNCTION("""COMPUTED_VALUE"""),"MINORIS YIMMY")</f>
        <v>MINORIS YIMMY</v>
      </c>
      <c r="D2775" s="44" t="str">
        <f>IFERROR(__xludf.DUMMYFUNCTION("""COMPUTED_VALUE""")," ")</f>
        <v> </v>
      </c>
      <c r="E2775" s="44" t="str">
        <f>IFERROR(__xludf.DUMMYFUNCTION("""COMPUTED_VALUE"""),"")</f>
        <v/>
      </c>
      <c r="F2775" s="44" t="str">
        <f>IFERROR(__xludf.DUMMYFUNCTION("""COMPUTED_VALUE"""),"")</f>
        <v/>
      </c>
      <c r="G2775" s="44" t="str">
        <f>IFERROR(__xludf.DUMMYFUNCTION("""COMPUTED_VALUE""")," ")</f>
        <v> </v>
      </c>
      <c r="H2775" s="44" t="str">
        <f>IFERROR(__xludf.DUMMYFUNCTION("""COMPUTED_VALUE""")," ")</f>
        <v> </v>
      </c>
      <c r="I2775" s="44" t="str">
        <f>IFERROR(__xludf.DUMMYFUNCTION("""COMPUTED_VALUE"""),"Internado")</f>
        <v>Internado</v>
      </c>
      <c r="J2775" s="44" t="str">
        <f>IFERROR(__xludf.DUMMYFUNCTION("""COMPUTED_VALUE"""),"25/06/2026")</f>
        <v>25/06/2026</v>
      </c>
      <c r="K2775" s="42" t="str">
        <f>IFERROR(__xludf.DUMMYFUNCTION("""COMPUTED_VALUE"""),"Hospital Pérez Carreño")</f>
        <v>Hospital Pérez Carreño</v>
      </c>
    </row>
    <row r="2776">
      <c r="A2776" s="44">
        <v>2775.0</v>
      </c>
      <c r="B2776" s="44" t="str">
        <f>IFERROR(__xludf.DUMMYFUNCTION("""COMPUTED_VALUE"""),"Hospital Domingo Luciani")</f>
        <v>Hospital Domingo Luciani</v>
      </c>
      <c r="C2776" s="45" t="str">
        <f>IFERROR(__xludf.DUMMYFUNCTION("""COMPUTED_VALUE"""),"MIRANDA JOSE")</f>
        <v>MIRANDA JOSE</v>
      </c>
      <c r="D2776" s="44">
        <f>IFERROR(__xludf.DUMMYFUNCTION("""COMPUTED_VALUE"""),24.0)</f>
        <v>24</v>
      </c>
      <c r="E2776" s="44" t="str">
        <f>IFERROR(__xludf.DUMMYFUNCTION("""COMPUTED_VALUE"""),"")</f>
        <v/>
      </c>
      <c r="F2776" s="44" t="str">
        <f>IFERROR(__xludf.DUMMYFUNCTION("""COMPUTED_VALUE"""),"")</f>
        <v/>
      </c>
      <c r="G2776" s="44" t="str">
        <f>IFERROR(__xludf.DUMMYFUNCTION("""COMPUTED_VALUE""")," ")</f>
        <v> </v>
      </c>
      <c r="H2776" s="44" t="str">
        <f>IFERROR(__xludf.DUMMYFUNCTION("""COMPUTED_VALUE""")," ")</f>
        <v> </v>
      </c>
      <c r="I2776" s="44" t="str">
        <f>IFERROR(__xludf.DUMMYFUNCTION("""COMPUTED_VALUE"""),"Trauma")</f>
        <v>Trauma</v>
      </c>
      <c r="J2776" s="44" t="str">
        <f>IFERROR(__xludf.DUMMYFUNCTION("""COMPUTED_VALUE"""),"")</f>
        <v/>
      </c>
      <c r="K2776" s="42" t="str">
        <f>IFERROR(__xludf.DUMMYFUNCTION("""COMPUTED_VALUE"""),"🔍 BUSCAR PACIENTES")</f>
        <v>🔍 BUSCAR PACIENTES</v>
      </c>
    </row>
    <row r="2777">
      <c r="A2777" s="44">
        <v>2776.0</v>
      </c>
      <c r="B2777" s="44" t="str">
        <f>IFERROR(__xludf.DUMMYFUNCTION("""COMPUTED_VALUE"""),"La Guaira Sin Hospital")</f>
        <v>La Guaira Sin Hospital</v>
      </c>
      <c r="C2777" s="45" t="str">
        <f>IFERROR(__xludf.DUMMYFUNCTION("""COMPUTED_VALUE"""),"Miranda Torres Victoria Elena")</f>
        <v>Miranda Torres Victoria Elena</v>
      </c>
      <c r="D2777" s="44" t="str">
        <f>IFERROR(__xludf.DUMMYFUNCTION("""COMPUTED_VALUE"""),"")</f>
        <v/>
      </c>
      <c r="E2777" s="44" t="str">
        <f>IFERROR(__xludf.DUMMYFUNCTION("""COMPUTED_VALUE"""),"")</f>
        <v/>
      </c>
      <c r="F2777" s="44" t="str">
        <f>IFERROR(__xludf.DUMMYFUNCTION("""COMPUTED_VALUE"""),"")</f>
        <v/>
      </c>
      <c r="G2777" s="44" t="str">
        <f>IFERROR(__xludf.DUMMYFUNCTION("""COMPUTED_VALUE"""),"")</f>
        <v/>
      </c>
      <c r="H2777" s="44"/>
      <c r="I2777" s="44" t="str">
        <f>IFERROR(__xludf.DUMMYFUNCTION("""COMPUTED_VALUE"""),"Listas solo con nombre")</f>
        <v>Listas solo con nombre</v>
      </c>
      <c r="J2777" s="44" t="str">
        <f>IFERROR(__xludf.DUMMYFUNCTION("""COMPUTED_VALUE"""),"")</f>
        <v/>
      </c>
      <c r="K2777" s="42" t="str">
        <f>IFERROR(__xludf.DUMMYFUNCTION("""COMPUTED_VALUE"""),"La Guaira Sin Hospital")</f>
        <v>La Guaira Sin Hospital</v>
      </c>
    </row>
    <row r="2778">
      <c r="A2778" s="44">
        <v>2777.0</v>
      </c>
      <c r="B2778" s="44" t="str">
        <f>IFERROR(__xludf.DUMMYFUNCTION("""COMPUTED_VALUE"""),"Hospital Pérez Carreño")</f>
        <v>Hospital Pérez Carreño</v>
      </c>
      <c r="C2778" s="45" t="str">
        <f>IFERROR(__xludf.DUMMYFUNCTION("""COMPUTED_VALUE"""),"Miranda Torres Victoria Reina")</f>
        <v>Miranda Torres Victoria Reina</v>
      </c>
      <c r="D2778" s="44"/>
      <c r="E2778" s="44" t="str">
        <f>IFERROR(__xludf.DUMMYFUNCTION("""COMPUTED_VALUE"""),"")</f>
        <v/>
      </c>
      <c r="F2778" s="44" t="str">
        <f>IFERROR(__xludf.DUMMYFUNCTION("""COMPUTED_VALUE"""),"")</f>
        <v/>
      </c>
      <c r="G2778" s="44" t="str">
        <f>IFERROR(__xludf.DUMMYFUNCTION("""COMPUTED_VALUE"""),"Traslados con destino asignado")</f>
        <v>Traslados con destino asignado</v>
      </c>
      <c r="H2778" s="44" t="str">
        <f>IFERROR(__xludf.DUMMYFUNCTION("""COMPUTED_VALUE"""),"Hospital Miguel Perez Carreño")</f>
        <v>Hospital Miguel Perez Carreño</v>
      </c>
      <c r="I2778" s="44"/>
      <c r="J2778" s="44" t="str">
        <f>IFERROR(__xludf.DUMMYFUNCTION("""COMPUTED_VALUE"""),"26/6/26")</f>
        <v>26/6/26</v>
      </c>
      <c r="K2778" s="42" t="str">
        <f>IFERROR(__xludf.DUMMYFUNCTION("""COMPUTED_VALUE"""),"Hospital Pérez Carreño")</f>
        <v>Hospital Pérez Carreño</v>
      </c>
    </row>
    <row r="2779">
      <c r="A2779" s="44">
        <v>2778.0</v>
      </c>
      <c r="B2779" s="44" t="str">
        <f>IFERROR(__xludf.DUMMYFUNCTION("""COMPUTED_VALUE"""),"Hospital Domingo Luciani")</f>
        <v>Hospital Domingo Luciani</v>
      </c>
      <c r="C2779" s="45" t="str">
        <f>IFERROR(__xludf.DUMMYFUNCTION("""COMPUTED_VALUE"""),"MIRANDA VICTORIA")</f>
        <v>MIRANDA VICTORIA</v>
      </c>
      <c r="D2779" s="44" t="str">
        <f>IFERROR(__xludf.DUMMYFUNCTION("""COMPUTED_VALUE""")," ")</f>
        <v> </v>
      </c>
      <c r="E2779" s="44" t="str">
        <f>IFERROR(__xludf.DUMMYFUNCTION("""COMPUTED_VALUE"""),"")</f>
        <v/>
      </c>
      <c r="F2779" s="44" t="str">
        <f>IFERROR(__xludf.DUMMYFUNCTION("""COMPUTED_VALUE"""),"")</f>
        <v/>
      </c>
      <c r="G2779" s="44" t="str">
        <f>IFERROR(__xludf.DUMMYFUNCTION("""COMPUTED_VALUE""")," ")</f>
        <v> </v>
      </c>
      <c r="H2779" s="44" t="str">
        <f>IFERROR(__xludf.DUMMYFUNCTION("""COMPUTED_VALUE""")," ")</f>
        <v> </v>
      </c>
      <c r="I2779" s="44" t="str">
        <f>IFERROR(__xludf.DUMMYFUNCTION("""COMPUTED_VALUE"""),"Internado")</f>
        <v>Internado</v>
      </c>
      <c r="J2779" s="44" t="str">
        <f>IFERROR(__xludf.DUMMYFUNCTION("""COMPUTED_VALUE"""),"")</f>
        <v/>
      </c>
      <c r="K2779" s="42" t="str">
        <f>IFERROR(__xludf.DUMMYFUNCTION("""COMPUTED_VALUE"""),"🔍 BUSCAR PACIENTES")</f>
        <v>🔍 BUSCAR PACIENTES</v>
      </c>
    </row>
    <row r="2780">
      <c r="A2780" s="44">
        <v>2779.0</v>
      </c>
      <c r="B2780" s="44" t="str">
        <f>IFERROR(__xludf.DUMMYFUNCTION("""COMPUTED_VALUE"""),"HOSPITAL VARGAS")</f>
        <v>HOSPITAL VARGAS</v>
      </c>
      <c r="C2780" s="45" t="str">
        <f>IFERROR(__xludf.DUMMYFUNCTION("""COMPUTED_VALUE"""),"Misaira Pérez")</f>
        <v>Misaira Pérez</v>
      </c>
      <c r="D2780" s="44"/>
      <c r="E2780" s="44" t="str">
        <f>IFERROR(__xludf.DUMMYFUNCTION("""COMPUTED_VALUE"""),"")</f>
        <v/>
      </c>
      <c r="F2780" s="44" t="str">
        <f>IFERROR(__xludf.DUMMYFUNCTION("""COMPUTED_VALUE"""),"")</f>
        <v/>
      </c>
      <c r="G2780" s="44" t="str">
        <f>IFERROR(__xludf.DUMMYFUNCTION("""COMPUTED_VALUE"""),"")</f>
        <v/>
      </c>
      <c r="H2780" s="44" t="str">
        <f>IFERROR(__xludf.DUMMYFUNCTION("""COMPUTED_VALUE"""),"")</f>
        <v/>
      </c>
      <c r="I2780" s="44" t="str">
        <f>IFERROR(__xludf.DUMMYFUNCTION("""COMPUTED_VALUE"""),"Herido / atendido")</f>
        <v>Herido / atendido</v>
      </c>
      <c r="J2780" s="44" t="str">
        <f>IFERROR(__xludf.DUMMYFUNCTION("""COMPUTED_VALUE"""),"24.06.2026 ")</f>
        <v>24.06.2026 </v>
      </c>
      <c r="K2780" s="42" t="str">
        <f>IFERROR(__xludf.DUMMYFUNCTION("""COMPUTED_VALUE"""),"HOSPITAL VARGAS")</f>
        <v>HOSPITAL VARGAS</v>
      </c>
    </row>
    <row r="2781">
      <c r="A2781" s="44">
        <v>2780.0</v>
      </c>
      <c r="B2781" s="44" t="str">
        <f>IFERROR(__xludf.DUMMYFUNCTION("""COMPUTED_VALUE"""),"Campo de Golf Playa los Cocos")</f>
        <v>Campo de Golf Playa los Cocos</v>
      </c>
      <c r="C2781" s="45" t="str">
        <f>IFERROR(__xludf.DUMMYFUNCTION("""COMPUTED_VALUE"""),"Misyeny Galidenz")</f>
        <v>Misyeny Galidenz</v>
      </c>
      <c r="D2781" s="44" t="str">
        <f>IFERROR(__xludf.DUMMYFUNCTION("""COMPUTED_VALUE"""),"")</f>
        <v/>
      </c>
      <c r="E2781" s="44" t="str">
        <f>IFERROR(__xludf.DUMMYFUNCTION("""COMPUTED_VALUE"""),"")</f>
        <v/>
      </c>
      <c r="F2781" s="44" t="str">
        <f>IFERROR(__xludf.DUMMYFUNCTION("""COMPUTED_VALUE"""),"")</f>
        <v/>
      </c>
      <c r="G2781" s="44" t="str">
        <f>IFERROR(__xludf.DUMMYFUNCTION("""COMPUTED_VALUE"""),"")</f>
        <v/>
      </c>
      <c r="H2781" s="44" t="str">
        <f>IFERROR(__xludf.DUMMYFUNCTION("""COMPUTED_VALUE"""),"")</f>
        <v/>
      </c>
      <c r="I2781" s="44" t="str">
        <f>IFERROR(__xludf.DUMMYFUNCTION("""COMPUTED_VALUE"""),"menor")</f>
        <v>menor</v>
      </c>
      <c r="J2781" s="44" t="str">
        <f>IFERROR(__xludf.DUMMYFUNCTION("""COMPUTED_VALUE"""),"")</f>
        <v/>
      </c>
      <c r="K2781" s="42" t="str">
        <f>IFERROR(__xludf.DUMMYFUNCTION("""COMPUTED_VALUE"""),"Campo de Golf Playa los Cocos")</f>
        <v>Campo de Golf Playa los Cocos</v>
      </c>
    </row>
    <row r="2782">
      <c r="A2782" s="44">
        <v>2781.0</v>
      </c>
      <c r="B2782" s="44" t="str">
        <f>IFERROR(__xludf.DUMMYFUNCTION("""COMPUTED_VALUE"""),"Hospital Pérez Carreño")</f>
        <v>Hospital Pérez Carreño</v>
      </c>
      <c r="C2782" s="45" t="str">
        <f>IFERROR(__xludf.DUMMYFUNCTION("""COMPUTED_VALUE"""),"MIVANDES VICTORIA")</f>
        <v>MIVANDES VICTORIA</v>
      </c>
      <c r="D2782" s="44" t="str">
        <f>IFERROR(__xludf.DUMMYFUNCTION("""COMPUTED_VALUE""")," ")</f>
        <v> </v>
      </c>
      <c r="E2782" s="44" t="str">
        <f>IFERROR(__xludf.DUMMYFUNCTION("""COMPUTED_VALUE"""),"")</f>
        <v/>
      </c>
      <c r="F2782" s="44" t="str">
        <f>IFERROR(__xludf.DUMMYFUNCTION("""COMPUTED_VALUE"""),"")</f>
        <v/>
      </c>
      <c r="G2782" s="44" t="str">
        <f>IFERROR(__xludf.DUMMYFUNCTION("""COMPUTED_VALUE""")," ")</f>
        <v> </v>
      </c>
      <c r="H2782" s="44" t="str">
        <f>IFERROR(__xludf.DUMMYFUNCTION("""COMPUTED_VALUE""")," ")</f>
        <v> </v>
      </c>
      <c r="I2782" s="44" t="str">
        <f>IFERROR(__xludf.DUMMYFUNCTION("""COMPUTED_VALUE"""),"Internado; Traumatología / pasillo de ascensor 
A cargo de Traumatología, Neurocirugía y Cirugía General
ALTA MEDICA POR ESPECIALISTA")</f>
        <v>Internado; Traumatología / pasillo de ascensor 
A cargo de Traumatología, Neurocirugía y Cirugía General
ALTA MEDICA POR ESPECIALISTA</v>
      </c>
      <c r="J2782" s="44" t="str">
        <f>IFERROR(__xludf.DUMMYFUNCTION("""COMPUTED_VALUE"""),"25/06/2026")</f>
        <v>25/06/2026</v>
      </c>
      <c r="K2782" s="42" t="str">
        <f>IFERROR(__xludf.DUMMYFUNCTION("""COMPUTED_VALUE"""),"Hospital Pérez Carreño")</f>
        <v>Hospital Pérez Carreño</v>
      </c>
    </row>
    <row r="2783">
      <c r="A2783" s="44">
        <v>2782.0</v>
      </c>
      <c r="B2783" s="44" t="str">
        <f>IFERROR(__xludf.DUMMYFUNCTION("""COMPUTED_VALUE"""),"Cruz Roja")</f>
        <v>Cruz Roja</v>
      </c>
      <c r="C2783" s="45" t="str">
        <f>IFERROR(__xludf.DUMMYFUNCTION("""COMPUTED_VALUE"""),"MOISES (menor)")</f>
        <v>MOISES (menor)</v>
      </c>
      <c r="D2783" s="44">
        <f>IFERROR(__xludf.DUMMYFUNCTION("""COMPUTED_VALUE"""),5.0)</f>
        <v>5</v>
      </c>
      <c r="E2783" s="44" t="str">
        <f>IFERROR(__xludf.DUMMYFUNCTION("""COMPUTED_VALUE"""),"")</f>
        <v/>
      </c>
      <c r="F2783" s="44" t="str">
        <f>IFERROR(__xludf.DUMMYFUNCTION("""COMPUTED_VALUE"""),"")</f>
        <v/>
      </c>
      <c r="G2783" s="44" t="str">
        <f>IFERROR(__xludf.DUMMYFUNCTION("""COMPUTED_VALUE""")," ")</f>
        <v> </v>
      </c>
      <c r="H2783" s="44" t="str">
        <f>IFERROR(__xludf.DUMMYFUNCTION("""COMPUTED_VALUE"""),"La Candelaria")</f>
        <v>La Candelaria</v>
      </c>
      <c r="I2783" s="44" t="str">
        <f>IFERROR(__xludf.DUMMYFUNCTION("""COMPUTED_VALUE""")," ")</f>
        <v> </v>
      </c>
      <c r="J2783" s="44" t="str">
        <f>IFERROR(__xludf.DUMMYFUNCTION("""COMPUTED_VALUE"""),"")</f>
        <v/>
      </c>
      <c r="K2783" s="42" t="str">
        <f>IFERROR(__xludf.DUMMYFUNCTION("""COMPUTED_VALUE"""),"Cruz Roja")</f>
        <v>Cruz Roja</v>
      </c>
    </row>
    <row r="2784">
      <c r="A2784" s="44">
        <v>2783.0</v>
      </c>
      <c r="B2784" s="44" t="str">
        <f>IFERROR(__xludf.DUMMYFUNCTION("""COMPUTED_VALUE"""),"Hospital Pérez Carreño")</f>
        <v>Hospital Pérez Carreño</v>
      </c>
      <c r="C2784" s="45" t="str">
        <f>IFERROR(__xludf.DUMMYFUNCTION("""COMPUTED_VALUE"""),"MOLINA IGNACIO")</f>
        <v>MOLINA IGNACIO</v>
      </c>
      <c r="D2784" s="44" t="str">
        <f>IFERROR(__xludf.DUMMYFUNCTION("""COMPUTED_VALUE""")," ")</f>
        <v> </v>
      </c>
      <c r="E2784" s="44" t="str">
        <f>IFERROR(__xludf.DUMMYFUNCTION("""COMPUTED_VALUE"""),"")</f>
        <v/>
      </c>
      <c r="F2784" s="44" t="str">
        <f>IFERROR(__xludf.DUMMYFUNCTION("""COMPUTED_VALUE"""),"")</f>
        <v/>
      </c>
      <c r="G2784" s="44" t="str">
        <f>IFERROR(__xludf.DUMMYFUNCTION("""COMPUTED_VALUE""")," ")</f>
        <v> </v>
      </c>
      <c r="H2784" s="44" t="str">
        <f>IFERROR(__xludf.DUMMYFUNCTION("""COMPUTED_VALUE""")," ")</f>
        <v> </v>
      </c>
      <c r="I2784" s="44" t="str">
        <f>IFERROR(__xludf.DUMMYFUNCTION("""COMPUTED_VALUE"""),"Pediatría – 1 año 5 meses; Mamá: Jhonelis Ortiveros")</f>
        <v>Pediatría – 1 año 5 meses; Mamá: Jhonelis Ortiveros</v>
      </c>
      <c r="J2784" s="44" t="str">
        <f>IFERROR(__xludf.DUMMYFUNCTION("""COMPUTED_VALUE"""),"25/06/2026")</f>
        <v>25/06/2026</v>
      </c>
      <c r="K2784" s="42" t="str">
        <f>IFERROR(__xludf.DUMMYFUNCTION("""COMPUTED_VALUE"""),"Hospital Pérez Carreño")</f>
        <v>Hospital Pérez Carreño</v>
      </c>
    </row>
    <row r="2785">
      <c r="A2785" s="44">
        <v>2784.0</v>
      </c>
      <c r="B2785" s="44" t="str">
        <f>IFERROR(__xludf.DUMMYFUNCTION("""COMPUTED_VALUE"""),"Centro de Acopio Caraballeda")</f>
        <v>Centro de Acopio Caraballeda</v>
      </c>
      <c r="C2785" s="45" t="str">
        <f>IFERROR(__xludf.DUMMYFUNCTION("""COMPUTED_VALUE"""),"MONJE ROSANA")</f>
        <v>MONJE ROSANA</v>
      </c>
      <c r="D2785" s="44" t="str">
        <f>IFERROR(__xludf.DUMMYFUNCTION("""COMPUTED_VALUE""")," ")</f>
        <v> </v>
      </c>
      <c r="E2785" s="44" t="str">
        <f>IFERROR(__xludf.DUMMYFUNCTION("""COMPUTED_VALUE"""),"")</f>
        <v/>
      </c>
      <c r="F2785" s="44" t="str">
        <f>IFERROR(__xludf.DUMMYFUNCTION("""COMPUTED_VALUE"""),"")</f>
        <v/>
      </c>
      <c r="G2785" s="44" t="str">
        <f>IFERROR(__xludf.DUMMYFUNCTION("""COMPUTED_VALUE""")," ")</f>
        <v> </v>
      </c>
      <c r="H2785" s="44" t="str">
        <f>IFERROR(__xludf.DUMMYFUNCTION("""COMPUTED_VALUE""")," ")</f>
        <v> </v>
      </c>
      <c r="I2785" s="44" t="str">
        <f>IFERROR(__xludf.DUMMYFUNCTION("""COMPUTED_VALUE"""),"Internado")</f>
        <v>Internado</v>
      </c>
      <c r="J2785" s="44" t="str">
        <f>IFERROR(__xludf.DUMMYFUNCTION("""COMPUTED_VALUE"""),"")</f>
        <v/>
      </c>
      <c r="K2785" s="42" t="str">
        <f>IFERROR(__xludf.DUMMYFUNCTION("""COMPUTED_VALUE"""),"🔍 BUSCAR PACIENTES")</f>
        <v>🔍 BUSCAR PACIENTES</v>
      </c>
    </row>
    <row r="2786">
      <c r="A2786" s="44">
        <v>2785.0</v>
      </c>
      <c r="B2786" s="44" t="str">
        <f>IFERROR(__xludf.DUMMYFUNCTION("""COMPUTED_VALUE"""),"Hospital Pérez Carreño")</f>
        <v>Hospital Pérez Carreño</v>
      </c>
      <c r="C2786" s="45" t="str">
        <f>IFERROR(__xludf.DUMMYFUNCTION("""COMPUTED_VALUE"""),"MONTES KEISY")</f>
        <v>MONTES KEISY</v>
      </c>
      <c r="D2786" s="44">
        <f>IFERROR(__xludf.DUMMYFUNCTION("""COMPUTED_VALUE"""),23.0)</f>
        <v>23</v>
      </c>
      <c r="E2786" s="44" t="str">
        <f>IFERROR(__xludf.DUMMYFUNCTION("""COMPUTED_VALUE"""),"")</f>
        <v/>
      </c>
      <c r="F2786" s="44" t="str">
        <f>IFERROR(__xludf.DUMMYFUNCTION("""COMPUTED_VALUE"""),"")</f>
        <v/>
      </c>
      <c r="G2786" s="44" t="str">
        <f>IFERROR(__xludf.DUMMYFUNCTION("""COMPUTED_VALUE""")," ")</f>
        <v> </v>
      </c>
      <c r="H2786" s="44" t="str">
        <f>IFERROR(__xludf.DUMMYFUNCTION("""COMPUTED_VALUE""")," ")</f>
        <v> </v>
      </c>
      <c r="I2786" s="44" t="str">
        <f>IFERROR(__xludf.DUMMYFUNCTION("""COMPUTED_VALUE"""),"Traumachok; La Guaira")</f>
        <v>Traumachok; La Guaira</v>
      </c>
      <c r="J2786" s="44" t="str">
        <f>IFERROR(__xludf.DUMMYFUNCTION("""COMPUTED_VALUE"""),"25/06/2026")</f>
        <v>25/06/2026</v>
      </c>
      <c r="K2786" s="42" t="str">
        <f>IFERROR(__xludf.DUMMYFUNCTION("""COMPUTED_VALUE"""),"Hospital Pérez Carreño")</f>
        <v>Hospital Pérez Carreño</v>
      </c>
    </row>
    <row r="2787">
      <c r="A2787" s="44">
        <v>2786.0</v>
      </c>
      <c r="B2787" s="44" t="str">
        <f>IFERROR(__xludf.DUMMYFUNCTION("""COMPUTED_VALUE"""),"Hospital Pérez Carreño")</f>
        <v>Hospital Pérez Carreño</v>
      </c>
      <c r="C2787" s="45" t="str">
        <f>IFERROR(__xludf.DUMMYFUNCTION("""COMPUTED_VALUE"""),"MONTES MIA")</f>
        <v>MONTES MIA</v>
      </c>
      <c r="D2787" s="44">
        <f>IFERROR(__xludf.DUMMYFUNCTION("""COMPUTED_VALUE"""),0.0)</f>
        <v>0</v>
      </c>
      <c r="E2787" s="44" t="str">
        <f>IFERROR(__xludf.DUMMYFUNCTION("""COMPUTED_VALUE"""),"")</f>
        <v/>
      </c>
      <c r="F2787" s="44" t="str">
        <f>IFERROR(__xludf.DUMMYFUNCTION("""COMPUTED_VALUE"""),"")</f>
        <v/>
      </c>
      <c r="G2787" s="44" t="str">
        <f>IFERROR(__xludf.DUMMYFUNCTION("""COMPUTED_VALUE""")," ")</f>
        <v> </v>
      </c>
      <c r="H2787" s="44" t="str">
        <f>IFERROR(__xludf.DUMMYFUNCTION("""COMPUTED_VALUE""")," ")</f>
        <v> </v>
      </c>
      <c r="I2787" s="44" t="str">
        <f>IFERROR(__xludf.DUMMYFUNCTION("""COMPUTED_VALUE"""),"Emerg. Pediátrica – 6 meses – Catia La Mar")</f>
        <v>Emerg. Pediátrica – 6 meses – Catia La Mar</v>
      </c>
      <c r="J2787" s="44" t="str">
        <f>IFERROR(__xludf.DUMMYFUNCTION("""COMPUTED_VALUE"""),"25/06/2026")</f>
        <v>25/06/2026</v>
      </c>
      <c r="K2787" s="42" t="str">
        <f>IFERROR(__xludf.DUMMYFUNCTION("""COMPUTED_VALUE"""),"Hospital Pérez Carreño")</f>
        <v>Hospital Pérez Carreño</v>
      </c>
    </row>
    <row r="2788">
      <c r="A2788" s="44">
        <v>2787.0</v>
      </c>
      <c r="B2788" s="44" t="str">
        <f>IFERROR(__xludf.DUMMYFUNCTION("""COMPUTED_VALUE"""),"Hospital Pérez Carreño")</f>
        <v>Hospital Pérez Carreño</v>
      </c>
      <c r="C2788" s="45" t="str">
        <f>IFERROR(__xludf.DUMMYFUNCTION("""COMPUTED_VALUE"""),"Montes Yaxonio")</f>
        <v>Montes Yaxonio</v>
      </c>
      <c r="D2788" s="44"/>
      <c r="E2788" s="44" t="str">
        <f>IFERROR(__xludf.DUMMYFUNCTION("""COMPUTED_VALUE"""),"")</f>
        <v/>
      </c>
      <c r="F2788" s="44" t="str">
        <f>IFERROR(__xludf.DUMMYFUNCTION("""COMPUTED_VALUE"""),"")</f>
        <v/>
      </c>
      <c r="G2788" s="44" t="str">
        <f>IFERROR(__xludf.DUMMYFUNCTION("""COMPUTED_VALUE"""),"Traslados con destino asignado")</f>
        <v>Traslados con destino asignado</v>
      </c>
      <c r="H2788" s="44" t="str">
        <f>IFERROR(__xludf.DUMMYFUNCTION("""COMPUTED_VALUE"""),"Hospital Miguel Perez Carreño")</f>
        <v>Hospital Miguel Perez Carreño</v>
      </c>
      <c r="I2788" s="44"/>
      <c r="J2788" s="44" t="str">
        <f>IFERROR(__xludf.DUMMYFUNCTION("""COMPUTED_VALUE"""),"26/6/26")</f>
        <v>26/6/26</v>
      </c>
      <c r="K2788" s="42" t="str">
        <f>IFERROR(__xludf.DUMMYFUNCTION("""COMPUTED_VALUE"""),"Hospital Pérez Carreño")</f>
        <v>Hospital Pérez Carreño</v>
      </c>
    </row>
    <row r="2789">
      <c r="A2789" s="44">
        <v>2788.0</v>
      </c>
      <c r="B2789" s="44" t="str">
        <f>IFERROR(__xludf.DUMMYFUNCTION("""COMPUTED_VALUE"""),"Centro de Acopio Caraballeda")</f>
        <v>Centro de Acopio Caraballeda</v>
      </c>
      <c r="C2789" s="45" t="str">
        <f>IFERROR(__xludf.DUMMYFUNCTION("""COMPUTED_VALUE"""),"MONTILLA MARIA")</f>
        <v>MONTILLA MARIA</v>
      </c>
      <c r="D2789" s="44" t="str">
        <f>IFERROR(__xludf.DUMMYFUNCTION("""COMPUTED_VALUE""")," ")</f>
        <v> </v>
      </c>
      <c r="E2789" s="44" t="str">
        <f>IFERROR(__xludf.DUMMYFUNCTION("""COMPUTED_VALUE"""),"")</f>
        <v/>
      </c>
      <c r="F2789" s="44" t="str">
        <f>IFERROR(__xludf.DUMMYFUNCTION("""COMPUTED_VALUE"""),"")</f>
        <v/>
      </c>
      <c r="G2789" s="44" t="str">
        <f>IFERROR(__xludf.DUMMYFUNCTION("""COMPUTED_VALUE""")," ")</f>
        <v> </v>
      </c>
      <c r="H2789" s="44" t="str">
        <f>IFERROR(__xludf.DUMMYFUNCTION("""COMPUTED_VALUE""")," ")</f>
        <v> </v>
      </c>
      <c r="I2789" s="44" t="str">
        <f>IFERROR(__xludf.DUMMYFUNCTION("""COMPUTED_VALUE"""),"Internado")</f>
        <v>Internado</v>
      </c>
      <c r="J2789" s="44" t="str">
        <f>IFERROR(__xludf.DUMMYFUNCTION("""COMPUTED_VALUE"""),"")</f>
        <v/>
      </c>
      <c r="K2789" s="42" t="str">
        <f>IFERROR(__xludf.DUMMYFUNCTION("""COMPUTED_VALUE"""),"🔍 BUSCAR PACIENTES")</f>
        <v>🔍 BUSCAR PACIENTES</v>
      </c>
    </row>
    <row r="2790">
      <c r="A2790" s="44">
        <v>2789.0</v>
      </c>
      <c r="B2790" s="44" t="str">
        <f>IFERROR(__xludf.DUMMYFUNCTION("""COMPUTED_VALUE"""),"Hospital Vargas de Caracas")</f>
        <v>Hospital Vargas de Caracas</v>
      </c>
      <c r="C2790" s="45" t="str">
        <f>IFERROR(__xludf.DUMMYFUNCTION("""COMPUTED_VALUE"""),"MONTOYA NERIDE")</f>
        <v>MONTOYA NERIDE</v>
      </c>
      <c r="D2790" s="44" t="str">
        <f>IFERROR(__xludf.DUMMYFUNCTION("""COMPUTED_VALUE""")," ")</f>
        <v> </v>
      </c>
      <c r="E2790" s="44" t="str">
        <f>IFERROR(__xludf.DUMMYFUNCTION("""COMPUTED_VALUE"""),"")</f>
        <v/>
      </c>
      <c r="F2790" s="44" t="str">
        <f>IFERROR(__xludf.DUMMYFUNCTION("""COMPUTED_VALUE""")," ")</f>
        <v> </v>
      </c>
      <c r="G2790" s="44" t="str">
        <f>IFERROR(__xludf.DUMMYFUNCTION("""COMPUTED_VALUE"""),"")</f>
        <v/>
      </c>
      <c r="H2790" s="44" t="str">
        <f>IFERROR(__xludf.DUMMYFUNCTION("""COMPUTED_VALUE""")," ")</f>
        <v> </v>
      </c>
      <c r="I2790" s="44" t="str">
        <f>IFERROR(__xludf.DUMMYFUNCTION("""COMPUTED_VALUE""")," ")</f>
        <v> </v>
      </c>
      <c r="J2790" s="44" t="str">
        <f>IFERROR(__xludf.DUMMYFUNCTION("""COMPUTED_VALUE"""),"")</f>
        <v/>
      </c>
      <c r="K2790" s="42" t="str">
        <f>IFERROR(__xludf.DUMMYFUNCTION("""COMPUTED_VALUE"""),"Hospital Vargas de Caracas")</f>
        <v>Hospital Vargas de Caracas</v>
      </c>
    </row>
    <row r="2791">
      <c r="A2791" s="44">
        <v>2790.0</v>
      </c>
      <c r="B2791" s="44" t="str">
        <f>IFERROR(__xludf.DUMMYFUNCTION("""COMPUTED_VALUE"""),"H. Jose Maria Vargas LG")</f>
        <v>H. Jose Maria Vargas LG</v>
      </c>
      <c r="C2791" s="45" t="str">
        <f>IFERROR(__xludf.DUMMYFUNCTION("""COMPUTED_VALUE"""),"MONZON YULEISI")</f>
        <v>MONZON YULEISI</v>
      </c>
      <c r="D2791" s="44" t="str">
        <f>IFERROR(__xludf.DUMMYFUNCTION("""COMPUTED_VALUE""")," ")</f>
        <v> </v>
      </c>
      <c r="E2791" s="44" t="str">
        <f>IFERROR(__xludf.DUMMYFUNCTION("""COMPUTED_VALUE"""),"")</f>
        <v/>
      </c>
      <c r="F2791" s="44" t="str">
        <f>IFERROR(__xludf.DUMMYFUNCTION("""COMPUTED_VALUE"""),"")</f>
        <v/>
      </c>
      <c r="G2791" s="44" t="str">
        <f>IFERROR(__xludf.DUMMYFUNCTION("""COMPUTED_VALUE""")," ")</f>
        <v> </v>
      </c>
      <c r="H2791" s="44" t="str">
        <f>IFERROR(__xludf.DUMMYFUNCTION("""COMPUTED_VALUE""")," ")</f>
        <v> </v>
      </c>
      <c r="I2791" s="44" t="str">
        <f>IFERROR(__xludf.DUMMYFUNCTION("""COMPUTED_VALUE""")," ")</f>
        <v> </v>
      </c>
      <c r="J2791" s="44" t="str">
        <f>IFERROR(__xludf.DUMMYFUNCTION("""COMPUTED_VALUE"""),"")</f>
        <v/>
      </c>
      <c r="K2791" s="42" t="str">
        <f>IFERROR(__xludf.DUMMYFUNCTION("""COMPUTED_VALUE"""),"H. Jose Maria Vargas LG")</f>
        <v>H. Jose Maria Vargas LG</v>
      </c>
    </row>
    <row r="2792">
      <c r="A2792" s="44">
        <v>2791.0</v>
      </c>
      <c r="B2792" s="44" t="str">
        <f>IFERROR(__xludf.DUMMYFUNCTION("""COMPUTED_VALUE"""),"H. Jose Maria Vargas LG")</f>
        <v>H. Jose Maria Vargas LG</v>
      </c>
      <c r="C2792" s="45" t="str">
        <f>IFERROR(__xludf.DUMMYFUNCTION("""COMPUTED_VALUE"""),"MORA NATHALIA")</f>
        <v>MORA NATHALIA</v>
      </c>
      <c r="D2792" s="44" t="str">
        <f>IFERROR(__xludf.DUMMYFUNCTION("""COMPUTED_VALUE""")," ")</f>
        <v> </v>
      </c>
      <c r="E2792" s="44" t="str">
        <f>IFERROR(__xludf.DUMMYFUNCTION("""COMPUTED_VALUE"""),"")</f>
        <v/>
      </c>
      <c r="F2792" s="44" t="str">
        <f>IFERROR(__xludf.DUMMYFUNCTION("""COMPUTED_VALUE"""),"")</f>
        <v/>
      </c>
      <c r="G2792" s="44" t="str">
        <f>IFERROR(__xludf.DUMMYFUNCTION("""COMPUTED_VALUE""")," ")</f>
        <v> </v>
      </c>
      <c r="H2792" s="44" t="str">
        <f>IFERROR(__xludf.DUMMYFUNCTION("""COMPUTED_VALUE""")," ")</f>
        <v> </v>
      </c>
      <c r="I2792" s="44" t="str">
        <f>IFERROR(__xludf.DUMMYFUNCTION("""COMPUTED_VALUE""")," ")</f>
        <v> </v>
      </c>
      <c r="J2792" s="44" t="str">
        <f>IFERROR(__xludf.DUMMYFUNCTION("""COMPUTED_VALUE"""),"")</f>
        <v/>
      </c>
      <c r="K2792" s="42" t="str">
        <f>IFERROR(__xludf.DUMMYFUNCTION("""COMPUTED_VALUE"""),"H. Jose Maria Vargas LG")</f>
        <v>H. Jose Maria Vargas LG</v>
      </c>
    </row>
    <row r="2793">
      <c r="A2793" s="44">
        <v>2792.0</v>
      </c>
      <c r="B2793" s="44" t="str">
        <f>IFERROR(__xludf.DUMMYFUNCTION("""COMPUTED_VALUE"""),"H. Jose Maria Vargas LG")</f>
        <v>H. Jose Maria Vargas LG</v>
      </c>
      <c r="C2793" s="45" t="str">
        <f>IFERROR(__xludf.DUMMYFUNCTION("""COMPUTED_VALUE"""),"MORA NESTOR JOSE")</f>
        <v>MORA NESTOR JOSE</v>
      </c>
      <c r="D2793" s="44">
        <f>IFERROR(__xludf.DUMMYFUNCTION("""COMPUTED_VALUE"""),65.0)</f>
        <v>65</v>
      </c>
      <c r="E2793" s="44" t="str">
        <f>IFERROR(__xludf.DUMMYFUNCTION("""COMPUTED_VALUE"""),"")</f>
        <v/>
      </c>
      <c r="F2793" s="44" t="str">
        <f>IFERROR(__xludf.DUMMYFUNCTION("""COMPUTED_VALUE"""),"")</f>
        <v/>
      </c>
      <c r="G2793" s="44" t="str">
        <f>IFERROR(__xludf.DUMMYFUNCTION("""COMPUTED_VALUE""")," ")</f>
        <v> </v>
      </c>
      <c r="H2793" s="44" t="str">
        <f>IFERROR(__xludf.DUMMYFUNCTION("""COMPUTED_VALUE"""),"Macuto")</f>
        <v>Macuto</v>
      </c>
      <c r="I2793" s="44" t="str">
        <f>IFERROR(__xludf.DUMMYFUNCTION("""COMPUTED_VALUE""")," ")</f>
        <v> </v>
      </c>
      <c r="J2793" s="44" t="str">
        <f>IFERROR(__xludf.DUMMYFUNCTION("""COMPUTED_VALUE"""),"")</f>
        <v/>
      </c>
      <c r="K2793" s="42" t="str">
        <f>IFERROR(__xludf.DUMMYFUNCTION("""COMPUTED_VALUE"""),"H. Jose Maria Vargas LG")</f>
        <v>H. Jose Maria Vargas LG</v>
      </c>
    </row>
    <row r="2794">
      <c r="A2794" s="44">
        <v>2793.0</v>
      </c>
      <c r="B2794" s="44" t="str">
        <f>IFERROR(__xludf.DUMMYFUNCTION("""COMPUTED_VALUE"""),"Hospital Pérez Carreño")</f>
        <v>Hospital Pérez Carreño</v>
      </c>
      <c r="C2794" s="45" t="str">
        <f>IFERROR(__xludf.DUMMYFUNCTION("""COMPUTED_VALUE"""),"MORALES JESSIRE")</f>
        <v>MORALES JESSIRE</v>
      </c>
      <c r="D2794" s="44" t="str">
        <f>IFERROR(__xludf.DUMMYFUNCTION("""COMPUTED_VALUE""")," ")</f>
        <v> </v>
      </c>
      <c r="E2794" s="44" t="str">
        <f>IFERROR(__xludf.DUMMYFUNCTION("""COMPUTED_VALUE"""),"")</f>
        <v/>
      </c>
      <c r="F2794" s="44" t="str">
        <f>IFERROR(__xludf.DUMMYFUNCTION("""COMPUTED_VALUE"""),"")</f>
        <v/>
      </c>
      <c r="G2794" s="44" t="str">
        <f>IFERROR(__xludf.DUMMYFUNCTION("""COMPUTED_VALUE""")," ")</f>
        <v> </v>
      </c>
      <c r="H2794" s="44" t="str">
        <f>IFERROR(__xludf.DUMMYFUNCTION("""COMPUTED_VALUE""")," ")</f>
        <v> </v>
      </c>
      <c r="I2794" s="44" t="str">
        <f>IFERROR(__xludf.DUMMYFUNCTION("""COMPUTED_VALUE"""),"Trauma Shock; La Guaira")</f>
        <v>Trauma Shock; La Guaira</v>
      </c>
      <c r="J2794" s="44" t="str">
        <f>IFERROR(__xludf.DUMMYFUNCTION("""COMPUTED_VALUE"""),"25/06/2026")</f>
        <v>25/06/2026</v>
      </c>
      <c r="K2794" s="42" t="str">
        <f>IFERROR(__xludf.DUMMYFUNCTION("""COMPUTED_VALUE"""),"Hospital Pérez Carreño")</f>
        <v>Hospital Pérez Carreño</v>
      </c>
    </row>
    <row r="2795">
      <c r="A2795" s="44">
        <v>2794.0</v>
      </c>
      <c r="B2795" s="44" t="str">
        <f>IFERROR(__xludf.DUMMYFUNCTION("""COMPUTED_VALUE"""),"H. Jose Maria Vargas LG")</f>
        <v>H. Jose Maria Vargas LG</v>
      </c>
      <c r="C2795" s="45" t="str">
        <f>IFERROR(__xludf.DUMMYFUNCTION("""COMPUTED_VALUE"""),"MORAN STEFANNY")</f>
        <v>MORAN STEFANNY</v>
      </c>
      <c r="D2795" s="44" t="str">
        <f>IFERROR(__xludf.DUMMYFUNCTION("""COMPUTED_VALUE""")," ")</f>
        <v> </v>
      </c>
      <c r="E2795" s="44" t="str">
        <f>IFERROR(__xludf.DUMMYFUNCTION("""COMPUTED_VALUE"""),"")</f>
        <v/>
      </c>
      <c r="F2795" s="44" t="str">
        <f>IFERROR(__xludf.DUMMYFUNCTION("""COMPUTED_VALUE"""),"")</f>
        <v/>
      </c>
      <c r="G2795" s="44" t="str">
        <f>IFERROR(__xludf.DUMMYFUNCTION("""COMPUTED_VALUE""")," ")</f>
        <v> </v>
      </c>
      <c r="H2795" s="44" t="str">
        <f>IFERROR(__xludf.DUMMYFUNCTION("""COMPUTED_VALUE""")," ")</f>
        <v> </v>
      </c>
      <c r="I2795" s="44" t="str">
        <f>IFERROR(__xludf.DUMMYFUNCTION("""COMPUTED_VALUE""")," ")</f>
        <v> </v>
      </c>
      <c r="J2795" s="44" t="str">
        <f>IFERROR(__xludf.DUMMYFUNCTION("""COMPUTED_VALUE"""),"")</f>
        <v/>
      </c>
      <c r="K2795" s="42" t="str">
        <f>IFERROR(__xludf.DUMMYFUNCTION("""COMPUTED_VALUE"""),"H. Jose Maria Vargas LG")</f>
        <v>H. Jose Maria Vargas LG</v>
      </c>
    </row>
    <row r="2796">
      <c r="A2796" s="44">
        <v>2795.0</v>
      </c>
      <c r="B2796" s="44" t="str">
        <f>IFERROR(__xludf.DUMMYFUNCTION("""COMPUTED_VALUE"""),"Periférico de Catia")</f>
        <v>Periférico de Catia</v>
      </c>
      <c r="C2796" s="45" t="str">
        <f>IFERROR(__xludf.DUMMYFUNCTION("""COMPUTED_VALUE"""),"MOREN DURAN")</f>
        <v>MOREN DURAN</v>
      </c>
      <c r="D2796" s="44">
        <f>IFERROR(__xludf.DUMMYFUNCTION("""COMPUTED_VALUE"""),70.0)</f>
        <v>70</v>
      </c>
      <c r="E2796" s="44" t="str">
        <f>IFERROR(__xludf.DUMMYFUNCTION("""COMPUTED_VALUE"""),"")</f>
        <v/>
      </c>
      <c r="F2796" s="44" t="str">
        <f>IFERROR(__xludf.DUMMYFUNCTION("""COMPUTED_VALUE"""),"")</f>
        <v/>
      </c>
      <c r="G2796" s="44" t="str">
        <f>IFERROR(__xludf.DUMMYFUNCTION("""COMPUTED_VALUE""")," ")</f>
        <v> </v>
      </c>
      <c r="H2796" s="44" t="str">
        <f>IFERROR(__xludf.DUMMYFUNCTION("""COMPUTED_VALUE""")," ")</f>
        <v> </v>
      </c>
      <c r="I2796" s="44" t="str">
        <f>IFERROR(__xludf.DUMMYFUNCTION("""COMPUTED_VALUE"""),"Hija")</f>
        <v>Hija</v>
      </c>
      <c r="J2796" s="44" t="str">
        <f>IFERROR(__xludf.DUMMYFUNCTION("""COMPUTED_VALUE"""),"")</f>
        <v/>
      </c>
      <c r="K2796" s="42" t="str">
        <f>IFERROR(__xludf.DUMMYFUNCTION("""COMPUTED_VALUE"""),"Periférico de Catia")</f>
        <v>Periférico de Catia</v>
      </c>
    </row>
    <row r="2797">
      <c r="A2797" s="44">
        <v>2796.0</v>
      </c>
      <c r="B2797" s="44" t="str">
        <f>IFERROR(__xludf.DUMMYFUNCTION("""COMPUTED_VALUE"""),"Hospital Pérez Carreño")</f>
        <v>Hospital Pérez Carreño</v>
      </c>
      <c r="C2797" s="45" t="str">
        <f>IFERROR(__xludf.DUMMYFUNCTION("""COMPUTED_VALUE"""),"Moreno Dimexis")</f>
        <v>Moreno Dimexis</v>
      </c>
      <c r="D2797" s="44"/>
      <c r="E2797" s="44" t="str">
        <f>IFERROR(__xludf.DUMMYFUNCTION("""COMPUTED_VALUE"""),"")</f>
        <v/>
      </c>
      <c r="F2797" s="44" t="str">
        <f>IFERROR(__xludf.DUMMYFUNCTION("""COMPUTED_VALUE"""),"")</f>
        <v/>
      </c>
      <c r="G2797" s="44" t="str">
        <f>IFERROR(__xludf.DUMMYFUNCTION("""COMPUTED_VALUE"""),"Traslados con destino asignado")</f>
        <v>Traslados con destino asignado</v>
      </c>
      <c r="H2797" s="44" t="str">
        <f>IFERROR(__xludf.DUMMYFUNCTION("""COMPUTED_VALUE"""),"Hospital Miguel Perez Carreño")</f>
        <v>Hospital Miguel Perez Carreño</v>
      </c>
      <c r="I2797" s="44"/>
      <c r="J2797" s="44" t="str">
        <f>IFERROR(__xludf.DUMMYFUNCTION("""COMPUTED_VALUE"""),"26/6/26")</f>
        <v>26/6/26</v>
      </c>
      <c r="K2797" s="42" t="str">
        <f>IFERROR(__xludf.DUMMYFUNCTION("""COMPUTED_VALUE"""),"Hospital Pérez Carreño")</f>
        <v>Hospital Pérez Carreño</v>
      </c>
    </row>
    <row r="2798">
      <c r="A2798" s="44">
        <v>2797.0</v>
      </c>
      <c r="B2798" s="44" t="str">
        <f>IFERROR(__xludf.DUMMYFUNCTION("""COMPUTED_VALUE"""),"Hospital Pérez Carreño")</f>
        <v>Hospital Pérez Carreño</v>
      </c>
      <c r="C2798" s="45" t="str">
        <f>IFERROR(__xludf.DUMMYFUNCTION("""COMPUTED_VALUE"""),"MORENO DOMIEXIS")</f>
        <v>MORENO DOMIEXIS</v>
      </c>
      <c r="D2798" s="44">
        <f>IFERROR(__xludf.DUMMYFUNCTION("""COMPUTED_VALUE"""),96.0)</f>
        <v>96</v>
      </c>
      <c r="E2798" s="44" t="str">
        <f>IFERROR(__xludf.DUMMYFUNCTION("""COMPUTED_VALUE"""),"")</f>
        <v/>
      </c>
      <c r="F2798" s="44" t="str">
        <f>IFERROR(__xludf.DUMMYFUNCTION("""COMPUTED_VALUE"""),"")</f>
        <v/>
      </c>
      <c r="G2798" s="44" t="str">
        <f>IFERROR(__xludf.DUMMYFUNCTION("""COMPUTED_VALUE""")," ")</f>
        <v> </v>
      </c>
      <c r="H2798" s="44" t="str">
        <f>IFERROR(__xludf.DUMMYFUNCTION("""COMPUTED_VALUE""")," ")</f>
        <v> </v>
      </c>
      <c r="I2798" s="44" t="str">
        <f>IFERROR(__xludf.DUMMYFUNCTION("""COMPUTED_VALUE"""),"Traumachok; La Guaira")</f>
        <v>Traumachok; La Guaira</v>
      </c>
      <c r="J2798" s="44" t="str">
        <f>IFERROR(__xludf.DUMMYFUNCTION("""COMPUTED_VALUE"""),"25/06/2026")</f>
        <v>25/06/2026</v>
      </c>
      <c r="K2798" s="42" t="str">
        <f>IFERROR(__xludf.DUMMYFUNCTION("""COMPUTED_VALUE"""),"Hospital Pérez Carreño")</f>
        <v>Hospital Pérez Carreño</v>
      </c>
    </row>
    <row r="2799">
      <c r="A2799" s="44">
        <v>2798.0</v>
      </c>
      <c r="B2799" s="44" t="str">
        <f>IFERROR(__xludf.DUMMYFUNCTION("""COMPUTED_VALUE"""),"Hospital Domingo Luciani")</f>
        <v>Hospital Domingo Luciani</v>
      </c>
      <c r="C2799" s="45" t="str">
        <f>IFERROR(__xludf.DUMMYFUNCTION("""COMPUTED_VALUE"""),"MORENO GISMELI")</f>
        <v>MORENO GISMELI</v>
      </c>
      <c r="D2799" s="44">
        <f>IFERROR(__xludf.DUMMYFUNCTION("""COMPUTED_VALUE"""),31.0)</f>
        <v>31</v>
      </c>
      <c r="E2799" s="44" t="str">
        <f>IFERROR(__xludf.DUMMYFUNCTION("""COMPUTED_VALUE"""),"")</f>
        <v/>
      </c>
      <c r="F2799" s="44" t="str">
        <f>IFERROR(__xludf.DUMMYFUNCTION("""COMPUTED_VALUE"""),"")</f>
        <v/>
      </c>
      <c r="G2799" s="44" t="str">
        <f>IFERROR(__xludf.DUMMYFUNCTION("""COMPUTED_VALUE""")," ")</f>
        <v> </v>
      </c>
      <c r="H2799" s="44" t="str">
        <f>IFERROR(__xludf.DUMMYFUNCTION("""COMPUTED_VALUE""")," ")</f>
        <v> </v>
      </c>
      <c r="I2799" s="44" t="str">
        <f>IFERROR(__xludf.DUMMYFUNCTION("""COMPUTED_VALUE"""),"Quirófano – F")</f>
        <v>Quirófano – F</v>
      </c>
      <c r="J2799" s="44" t="str">
        <f>IFERROR(__xludf.DUMMYFUNCTION("""COMPUTED_VALUE"""),"")</f>
        <v/>
      </c>
      <c r="K2799" s="42" t="str">
        <f>IFERROR(__xludf.DUMMYFUNCTION("""COMPUTED_VALUE"""),"🔍 BUSCAR PACIENTES")</f>
        <v>🔍 BUSCAR PACIENTES</v>
      </c>
    </row>
    <row r="2800">
      <c r="A2800" s="44">
        <v>2799.0</v>
      </c>
      <c r="B2800" s="44" t="str">
        <f>IFERROR(__xludf.DUMMYFUNCTION("""COMPUTED_VALUE"""),"Hospital Vargas de Caracas")</f>
        <v>Hospital Vargas de Caracas</v>
      </c>
      <c r="C2800" s="45" t="str">
        <f>IFERROR(__xludf.DUMMYFUNCTION("""COMPUTED_VALUE"""),"MORENO NAILETH / MORENO NAPLETH")</f>
        <v>MORENO NAILETH / MORENO NAPLETH</v>
      </c>
      <c r="D2800" s="44" t="str">
        <f>IFERROR(__xludf.DUMMYFUNCTION("""COMPUTED_VALUE""")," ")</f>
        <v> </v>
      </c>
      <c r="E2800" s="44" t="str">
        <f>IFERROR(__xludf.DUMMYFUNCTION("""COMPUTED_VALUE"""),"")</f>
        <v/>
      </c>
      <c r="F2800" s="44" t="str">
        <f>IFERROR(__xludf.DUMMYFUNCTION("""COMPUTED_VALUE""")," ")</f>
        <v> </v>
      </c>
      <c r="G2800" s="44" t="str">
        <f>IFERROR(__xludf.DUMMYFUNCTION("""COMPUTED_VALUE"""),"")</f>
        <v/>
      </c>
      <c r="H2800" s="44" t="str">
        <f>IFERROR(__xludf.DUMMYFUNCTION("""COMPUTED_VALUE""")," ")</f>
        <v> </v>
      </c>
      <c r="I2800" s="44" t="str">
        <f>IFERROR(__xludf.DUMMYFUNCTION("""COMPUTED_VALUE""")," ")</f>
        <v> </v>
      </c>
      <c r="J2800" s="44" t="str">
        <f>IFERROR(__xludf.DUMMYFUNCTION("""COMPUTED_VALUE"""),"")</f>
        <v/>
      </c>
      <c r="K2800" s="42" t="str">
        <f>IFERROR(__xludf.DUMMYFUNCTION("""COMPUTED_VALUE"""),"Hospital Vargas de Caracas")</f>
        <v>Hospital Vargas de Caracas</v>
      </c>
    </row>
    <row r="2801">
      <c r="A2801" s="44">
        <v>2800.0</v>
      </c>
      <c r="B2801" s="44" t="str">
        <f>IFERROR(__xludf.DUMMYFUNCTION("""COMPUTED_VALUE"""),"Hospital Pérez Carreño")</f>
        <v>Hospital Pérez Carreño</v>
      </c>
      <c r="C2801" s="45" t="str">
        <f>IFERROR(__xludf.DUMMYFUNCTION("""COMPUTED_VALUE"""),"MORENO TAPIA FRANXELIS ORIANA")</f>
        <v>MORENO TAPIA FRANXELIS ORIANA</v>
      </c>
      <c r="D2801" s="44" t="str">
        <f>IFERROR(__xludf.DUMMYFUNCTION("""COMPUTED_VALUE""")," ")</f>
        <v> </v>
      </c>
      <c r="E2801" s="44" t="str">
        <f>IFERROR(__xludf.DUMMYFUNCTION("""COMPUTED_VALUE"""),"")</f>
        <v/>
      </c>
      <c r="F2801" s="44" t="str">
        <f>IFERROR(__xludf.DUMMYFUNCTION("""COMPUTED_VALUE"""),"")</f>
        <v/>
      </c>
      <c r="G2801" s="44" t="str">
        <f>IFERROR(__xludf.DUMMYFUNCTION("""COMPUTED_VALUE""")," ")</f>
        <v> </v>
      </c>
      <c r="H2801" s="44" t="str">
        <f>IFERROR(__xludf.DUMMYFUNCTION("""COMPUTED_VALUE""")," ")</f>
        <v> </v>
      </c>
      <c r="I2801" s="44" t="str">
        <f>IFERROR(__xludf.DUMMYFUNCTION("""COMPUTED_VALUE"""),"Internado")</f>
        <v>Internado</v>
      </c>
      <c r="J2801" s="44" t="str">
        <f>IFERROR(__xludf.DUMMYFUNCTION("""COMPUTED_VALUE"""),"25/06/2026")</f>
        <v>25/06/2026</v>
      </c>
      <c r="K2801" s="42" t="str">
        <f>IFERROR(__xludf.DUMMYFUNCTION("""COMPUTED_VALUE"""),"Hospital Pérez Carreño")</f>
        <v>Hospital Pérez Carreño</v>
      </c>
    </row>
    <row r="2802">
      <c r="A2802" s="44">
        <v>2801.0</v>
      </c>
      <c r="B2802" s="44" t="str">
        <f>IFERROR(__xludf.DUMMYFUNCTION("""COMPUTED_VALUE"""),"Periférico de Catia")</f>
        <v>Periférico de Catia</v>
      </c>
      <c r="C2802" s="45" t="str">
        <f>IFERROR(__xludf.DUMMYFUNCTION("""COMPUTED_VALUE"""),"MORENO YADER")</f>
        <v>MORENO YADER</v>
      </c>
      <c r="D2802" s="44">
        <f>IFERROR(__xludf.DUMMYFUNCTION("""COMPUTED_VALUE"""),24.0)</f>
        <v>24</v>
      </c>
      <c r="E2802" s="44" t="str">
        <f>IFERROR(__xludf.DUMMYFUNCTION("""COMPUTED_VALUE"""),"")</f>
        <v/>
      </c>
      <c r="F2802" s="44" t="str">
        <f>IFERROR(__xludf.DUMMYFUNCTION("""COMPUTED_VALUE"""),"")</f>
        <v/>
      </c>
      <c r="G2802" s="44" t="str">
        <f>IFERROR(__xludf.DUMMYFUNCTION("""COMPUTED_VALUE""")," ")</f>
        <v> </v>
      </c>
      <c r="H2802" s="44" t="str">
        <f>IFERROR(__xludf.DUMMYFUNCTION("""COMPUTED_VALUE""")," ")</f>
        <v> </v>
      </c>
      <c r="I2802" s="44" t="str">
        <f>IFERROR(__xludf.DUMMYFUNCTION("""COMPUTED_VALUE""")," ")</f>
        <v> </v>
      </c>
      <c r="J2802" s="44" t="str">
        <f>IFERROR(__xludf.DUMMYFUNCTION("""COMPUTED_VALUE"""),"")</f>
        <v/>
      </c>
      <c r="K2802" s="42" t="str">
        <f>IFERROR(__xludf.DUMMYFUNCTION("""COMPUTED_VALUE"""),"Periférico de Catia")</f>
        <v>Periférico de Catia</v>
      </c>
    </row>
    <row r="2803">
      <c r="A2803" s="44">
        <v>2802.0</v>
      </c>
      <c r="B2803" s="44" t="str">
        <f>IFERROR(__xludf.DUMMYFUNCTION("""COMPUTED_VALUE"""),"Campo de Golf Playa los Cocos")</f>
        <v>Campo de Golf Playa los Cocos</v>
      </c>
      <c r="C2803" s="45" t="str">
        <f>IFERROR(__xludf.DUMMYFUNCTION("""COMPUTED_VALUE"""),"Moreno Yaneth")</f>
        <v>Moreno Yaneth</v>
      </c>
      <c r="D2803" s="44" t="str">
        <f>IFERROR(__xludf.DUMMYFUNCTION("""COMPUTED_VALUE"""),"")</f>
        <v/>
      </c>
      <c r="E2803" s="44" t="str">
        <f>IFERROR(__xludf.DUMMYFUNCTION("""COMPUTED_VALUE"""),"")</f>
        <v/>
      </c>
      <c r="F2803" s="44" t="str">
        <f>IFERROR(__xludf.DUMMYFUNCTION("""COMPUTED_VALUE"""),"")</f>
        <v/>
      </c>
      <c r="G2803" s="44" t="str">
        <f>IFERROR(__xludf.DUMMYFUNCTION("""COMPUTED_VALUE"""),"")</f>
        <v/>
      </c>
      <c r="H2803" s="44" t="str">
        <f>IFERROR(__xludf.DUMMYFUNCTION("""COMPUTED_VALUE"""),"")</f>
        <v/>
      </c>
      <c r="I2803" s="44"/>
      <c r="J2803" s="44" t="str">
        <f>IFERROR(__xludf.DUMMYFUNCTION("""COMPUTED_VALUE"""),"")</f>
        <v/>
      </c>
      <c r="K2803" s="42" t="str">
        <f>IFERROR(__xludf.DUMMYFUNCTION("""COMPUTED_VALUE"""),"Campo de Golf Playa los Cocos")</f>
        <v>Campo de Golf Playa los Cocos</v>
      </c>
    </row>
    <row r="2804">
      <c r="A2804" s="44">
        <v>2803.0</v>
      </c>
      <c r="B2804" s="44" t="str">
        <f>IFERROR(__xludf.DUMMYFUNCTION("""COMPUTED_VALUE"""),"Periférico de Catia")</f>
        <v>Periférico de Catia</v>
      </c>
      <c r="C2804" s="45" t="str">
        <f>IFERROR(__xludf.DUMMYFUNCTION("""COMPUTED_VALUE"""),"MORENO YORBER")</f>
        <v>MORENO YORBER</v>
      </c>
      <c r="D2804" s="44">
        <f>IFERROR(__xludf.DUMMYFUNCTION("""COMPUTED_VALUE"""),24.0)</f>
        <v>24</v>
      </c>
      <c r="E2804" s="44" t="str">
        <f>IFERROR(__xludf.DUMMYFUNCTION("""COMPUTED_VALUE"""),"")</f>
        <v/>
      </c>
      <c r="F2804" s="44" t="str">
        <f>IFERROR(__xludf.DUMMYFUNCTION("""COMPUTED_VALUE"""),"")</f>
        <v/>
      </c>
      <c r="G2804" s="44" t="str">
        <f>IFERROR(__xludf.DUMMYFUNCTION("""COMPUTED_VALUE""")," ")</f>
        <v> </v>
      </c>
      <c r="H2804" s="44" t="str">
        <f>IFERROR(__xludf.DUMMYFUNCTION("""COMPUTED_VALUE"""),"B/ Federico Quiros parte #9")</f>
        <v>B/ Federico Quiros parte #9</v>
      </c>
      <c r="I2804" s="44" t="str">
        <f>IFERROR(__xludf.DUMMYFUNCTION("""COMPUTED_VALUE""")," ")</f>
        <v> </v>
      </c>
      <c r="J2804" s="44" t="str">
        <f>IFERROR(__xludf.DUMMYFUNCTION("""COMPUTED_VALUE"""),"")</f>
        <v/>
      </c>
      <c r="K2804" s="42" t="str">
        <f>IFERROR(__xludf.DUMMYFUNCTION("""COMPUTED_VALUE"""),"Periférico de Catia")</f>
        <v>Periférico de Catia</v>
      </c>
    </row>
    <row r="2805">
      <c r="A2805" s="44">
        <v>2804.0</v>
      </c>
      <c r="B2805" s="44" t="str">
        <f>IFERROR(__xludf.DUMMYFUNCTION("""COMPUTED_VALUE"""),"Hospital Militar Dr. C. Arvelo")</f>
        <v>Hospital Militar Dr. C. Arvelo</v>
      </c>
      <c r="C2805" s="45" t="str">
        <f>IFERROR(__xludf.DUMMYFUNCTION("""COMPUTED_VALUE"""),"Moreno Yulitza")</f>
        <v>Moreno Yulitza</v>
      </c>
      <c r="D2805" s="44">
        <f>IFERROR(__xludf.DUMMYFUNCTION("""COMPUTED_VALUE"""),34.0)</f>
        <v>34</v>
      </c>
      <c r="E2805" s="44" t="str">
        <f>IFERROR(__xludf.DUMMYFUNCTION("""COMPUTED_VALUE"""),"")</f>
        <v/>
      </c>
      <c r="F2805" s="44" t="str">
        <f>IFERROR(__xludf.DUMMYFUNCTION("""COMPUTED_VALUE"""),"")</f>
        <v/>
      </c>
      <c r="G2805" s="44" t="str">
        <f>IFERROR(__xludf.DUMMYFUNCTION("""COMPUTED_VALUE"""),"")</f>
        <v/>
      </c>
      <c r="H2805" s="44" t="str">
        <f>IFERROR(__xludf.DUMMYFUNCTION("""COMPUTED_VALUE"""),"F")</f>
        <v>F</v>
      </c>
      <c r="I2805" s="44" t="str">
        <f>IFERROR(__xludf.DUMMYFUNCTION("""COMPUTED_VALUE"""),"Artigas PNA")</f>
        <v>Artigas PNA</v>
      </c>
      <c r="J2805" s="44" t="str">
        <f>IFERROR(__xludf.DUMMYFUNCTION("""COMPUTED_VALUE"""),"24/6/2026")</f>
        <v>24/6/2026</v>
      </c>
      <c r="K2805" s="42" t="str">
        <f>IFERROR(__xludf.DUMMYFUNCTION("""COMPUTED_VALUE"""),"Hospital Militar Dr. C. Arvelo")</f>
        <v>Hospital Militar Dr. C. Arvelo</v>
      </c>
    </row>
    <row r="2806">
      <c r="A2806" s="44">
        <v>2805.0</v>
      </c>
      <c r="B2806" s="44" t="str">
        <f>IFERROR(__xludf.DUMMYFUNCTION("""COMPUTED_VALUE"""),"Clínica El Ávila")</f>
        <v>Clínica El Ávila</v>
      </c>
      <c r="C2806" s="45" t="str">
        <f>IFERROR(__xludf.DUMMYFUNCTION("""COMPUTED_VALUE"""),"MORILLO ALEJANDRO")</f>
        <v>MORILLO ALEJANDRO</v>
      </c>
      <c r="D2806" s="44" t="str">
        <f>IFERROR(__xludf.DUMMYFUNCTION("""COMPUTED_VALUE""")," ")</f>
        <v> </v>
      </c>
      <c r="E2806" s="44" t="str">
        <f>IFERROR(__xludf.DUMMYFUNCTION("""COMPUTED_VALUE"""),"")</f>
        <v/>
      </c>
      <c r="F2806" s="44" t="str">
        <f>IFERROR(__xludf.DUMMYFUNCTION("""COMPUTED_VALUE"""),"")</f>
        <v/>
      </c>
      <c r="G2806" s="44" t="str">
        <f>IFERROR(__xludf.DUMMYFUNCTION("""COMPUTED_VALUE""")," ")</f>
        <v> </v>
      </c>
      <c r="H2806" s="44" t="str">
        <f>IFERROR(__xludf.DUMMYFUNCTION("""COMPUTED_VALUE""")," ")</f>
        <v> </v>
      </c>
      <c r="I2806" s="44" t="str">
        <f>IFERROR(__xludf.DUMMYFUNCTION("""COMPUTED_VALUE""")," ")</f>
        <v> </v>
      </c>
      <c r="J2806" s="44" t="str">
        <f>IFERROR(__xludf.DUMMYFUNCTION("""COMPUTED_VALUE"""),"")</f>
        <v/>
      </c>
      <c r="K2806" s="42" t="str">
        <f>IFERROR(__xludf.DUMMYFUNCTION("""COMPUTED_VALUE"""),"Clínica El Ávila")</f>
        <v>Clínica El Ávila</v>
      </c>
    </row>
    <row r="2807">
      <c r="A2807" s="44">
        <v>2806.0</v>
      </c>
      <c r="B2807" s="44" t="str">
        <f>IFERROR(__xludf.DUMMYFUNCTION("""COMPUTED_VALUE"""),"Clínica El Ávila")</f>
        <v>Clínica El Ávila</v>
      </c>
      <c r="C2807" s="45" t="str">
        <f>IFERROR(__xludf.DUMMYFUNCTION("""COMPUTED_VALUE"""),"MORILLO BARBARA")</f>
        <v>MORILLO BARBARA</v>
      </c>
      <c r="D2807" s="44" t="str">
        <f>IFERROR(__xludf.DUMMYFUNCTION("""COMPUTED_VALUE""")," ")</f>
        <v> </v>
      </c>
      <c r="E2807" s="44" t="str">
        <f>IFERROR(__xludf.DUMMYFUNCTION("""COMPUTED_VALUE"""),"")</f>
        <v/>
      </c>
      <c r="F2807" s="44" t="str">
        <f>IFERROR(__xludf.DUMMYFUNCTION("""COMPUTED_VALUE"""),"")</f>
        <v/>
      </c>
      <c r="G2807" s="44" t="str">
        <f>IFERROR(__xludf.DUMMYFUNCTION("""COMPUTED_VALUE""")," ")</f>
        <v> </v>
      </c>
      <c r="H2807" s="44" t="str">
        <f>IFERROR(__xludf.DUMMYFUNCTION("""COMPUTED_VALUE""")," ")</f>
        <v> </v>
      </c>
      <c r="I2807" s="44" t="str">
        <f>IFERROR(__xludf.DUMMYFUNCTION("""COMPUTED_VALUE""")," ")</f>
        <v> </v>
      </c>
      <c r="J2807" s="44" t="str">
        <f>IFERROR(__xludf.DUMMYFUNCTION("""COMPUTED_VALUE"""),"")</f>
        <v/>
      </c>
      <c r="K2807" s="42" t="str">
        <f>IFERROR(__xludf.DUMMYFUNCTION("""COMPUTED_VALUE"""),"Clínica El Ávila")</f>
        <v>Clínica El Ávila</v>
      </c>
    </row>
    <row r="2808">
      <c r="A2808" s="44">
        <v>2807.0</v>
      </c>
      <c r="B2808" s="44" t="str">
        <f>IFERROR(__xludf.DUMMYFUNCTION("""COMPUTED_VALUE"""),"H. Jose Maria Vargas LG")</f>
        <v>H. Jose Maria Vargas LG</v>
      </c>
      <c r="C2808" s="45" t="str">
        <f>IFERROR(__xludf.DUMMYFUNCTION("""COMPUTED_VALUE"""),"MORILLO DIEGO")</f>
        <v>MORILLO DIEGO</v>
      </c>
      <c r="D2808" s="44" t="str">
        <f>IFERROR(__xludf.DUMMYFUNCTION("""COMPUTED_VALUE"""),"9 meses")</f>
        <v>9 meses</v>
      </c>
      <c r="E2808" s="44" t="str">
        <f>IFERROR(__xludf.DUMMYFUNCTION("""COMPUTED_VALUE"""),"")</f>
        <v/>
      </c>
      <c r="F2808" s="44" t="str">
        <f>IFERROR(__xludf.DUMMYFUNCTION("""COMPUTED_VALUE"""),"")</f>
        <v/>
      </c>
      <c r="G2808" s="44" t="str">
        <f>IFERROR(__xludf.DUMMYFUNCTION("""COMPUTED_VALUE""")," ")</f>
        <v> </v>
      </c>
      <c r="H2808" s="44" t="str">
        <f>IFERROR(__xludf.DUMMYFUNCTION("""COMPUTED_VALUE""")," ")</f>
        <v> </v>
      </c>
      <c r="I2808" s="44" t="str">
        <f>IFERROR(__xludf.DUMMYFUNCTION("""COMPUTED_VALUE"""),"Internado")</f>
        <v>Internado</v>
      </c>
      <c r="J2808" s="44" t="str">
        <f>IFERROR(__xludf.DUMMYFUNCTION("""COMPUTED_VALUE"""),"")</f>
        <v/>
      </c>
      <c r="K2808" s="42" t="str">
        <f>IFERROR(__xludf.DUMMYFUNCTION("""COMPUTED_VALUE"""),"H. Jose Maria Vargas LG")</f>
        <v>H. Jose Maria Vargas LG</v>
      </c>
    </row>
    <row r="2809">
      <c r="A2809" s="44">
        <v>2808.0</v>
      </c>
      <c r="B2809" s="44" t="str">
        <f>IFERROR(__xludf.DUMMYFUNCTION("""COMPUTED_VALUE"""),"H. Jose Maria Vargas LG")</f>
        <v>H. Jose Maria Vargas LG</v>
      </c>
      <c r="C2809" s="45" t="str">
        <f>IFERROR(__xludf.DUMMYFUNCTION("""COMPUTED_VALUE"""),"MORON ALKELIS")</f>
        <v>MORON ALKELIS</v>
      </c>
      <c r="D2809" s="44">
        <f>IFERROR(__xludf.DUMMYFUNCTION("""COMPUTED_VALUE"""),50.0)</f>
        <v>50</v>
      </c>
      <c r="E2809" s="44" t="str">
        <f>IFERROR(__xludf.DUMMYFUNCTION("""COMPUTED_VALUE"""),"")</f>
        <v/>
      </c>
      <c r="F2809" s="44" t="str">
        <f>IFERROR(__xludf.DUMMYFUNCTION("""COMPUTED_VALUE"""),"")</f>
        <v/>
      </c>
      <c r="G2809" s="44" t="str">
        <f>IFERROR(__xludf.DUMMYFUNCTION("""COMPUTED_VALUE""")," ")</f>
        <v> </v>
      </c>
      <c r="H2809" s="44" t="str">
        <f>IFERROR(__xludf.DUMMYFUNCTION("""COMPUTED_VALUE"""),"Caribe")</f>
        <v>Caribe</v>
      </c>
      <c r="I2809" s="44" t="str">
        <f>IFERROR(__xludf.DUMMYFUNCTION("""COMPUTED_VALUE""")," ")</f>
        <v> </v>
      </c>
      <c r="J2809" s="44" t="str">
        <f>IFERROR(__xludf.DUMMYFUNCTION("""COMPUTED_VALUE"""),"")</f>
        <v/>
      </c>
      <c r="K2809" s="42" t="str">
        <f>IFERROR(__xludf.DUMMYFUNCTION("""COMPUTED_VALUE"""),"H. Jose Maria Vargas LG")</f>
        <v>H. Jose Maria Vargas LG</v>
      </c>
    </row>
    <row r="2810">
      <c r="A2810" s="44">
        <v>2809.0</v>
      </c>
      <c r="B2810" s="44" t="str">
        <f>IFERROR(__xludf.DUMMYFUNCTION("""COMPUTED_VALUE"""),"H. Jose Maria Vargas LG")</f>
        <v>H. Jose Maria Vargas LG</v>
      </c>
      <c r="C2810" s="45" t="str">
        <f>IFERROR(__xludf.DUMMYFUNCTION("""COMPUTED_VALUE"""),"MORON ALQUILE")</f>
        <v>MORON ALQUILE</v>
      </c>
      <c r="D2810" s="44">
        <f>IFERROR(__xludf.DUMMYFUNCTION("""COMPUTED_VALUE"""),50.0)</f>
        <v>50</v>
      </c>
      <c r="E2810" s="44" t="str">
        <f>IFERROR(__xludf.DUMMYFUNCTION("""COMPUTED_VALUE"""),"")</f>
        <v/>
      </c>
      <c r="F2810" s="44" t="str">
        <f>IFERROR(__xludf.DUMMYFUNCTION("""COMPUTED_VALUE"""),"")</f>
        <v/>
      </c>
      <c r="G2810" s="44" t="str">
        <f>IFERROR(__xludf.DUMMYFUNCTION("""COMPUTED_VALUE""")," ")</f>
        <v> </v>
      </c>
      <c r="H2810" s="44" t="str">
        <f>IFERROR(__xludf.DUMMYFUNCTION("""COMPUTED_VALUE"""),"Caribe")</f>
        <v>Caribe</v>
      </c>
      <c r="I2810" s="44" t="str">
        <f>IFERROR(__xludf.DUMMYFUNCTION("""COMPUTED_VALUE""")," ")</f>
        <v> </v>
      </c>
      <c r="J2810" s="44" t="str">
        <f>IFERROR(__xludf.DUMMYFUNCTION("""COMPUTED_VALUE"""),"")</f>
        <v/>
      </c>
      <c r="K2810" s="42" t="str">
        <f>IFERROR(__xludf.DUMMYFUNCTION("""COMPUTED_VALUE"""),"H. Jose Maria Vargas LG")</f>
        <v>H. Jose Maria Vargas LG</v>
      </c>
    </row>
    <row r="2811">
      <c r="A2811" s="44">
        <v>2810.0</v>
      </c>
      <c r="B2811" s="44" t="str">
        <f>IFERROR(__xludf.DUMMYFUNCTION("""COMPUTED_VALUE"""),"H. Jose Maria Vargas LG")</f>
        <v>H. Jose Maria Vargas LG</v>
      </c>
      <c r="C2811" s="45" t="str">
        <f>IFERROR(__xludf.DUMMYFUNCTION("""COMPUTED_VALUE"""),"MORON KARELIS")</f>
        <v>MORON KARELIS</v>
      </c>
      <c r="D2811" s="44" t="str">
        <f>IFERROR(__xludf.DUMMYFUNCTION("""COMPUTED_VALUE""")," ")</f>
        <v> </v>
      </c>
      <c r="E2811" s="44" t="str">
        <f>IFERROR(__xludf.DUMMYFUNCTION("""COMPUTED_VALUE"""),"")</f>
        <v/>
      </c>
      <c r="F2811" s="44" t="str">
        <f>IFERROR(__xludf.DUMMYFUNCTION("""COMPUTED_VALUE"""),"")</f>
        <v/>
      </c>
      <c r="G2811" s="44" t="str">
        <f>IFERROR(__xludf.DUMMYFUNCTION("""COMPUTED_VALUE""")," ")</f>
        <v> </v>
      </c>
      <c r="H2811" s="44" t="str">
        <f>IFERROR(__xludf.DUMMYFUNCTION("""COMPUTED_VALUE""")," ")</f>
        <v> </v>
      </c>
      <c r="I2811" s="44" t="str">
        <f>IFERROR(__xludf.DUMMYFUNCTION("""COMPUTED_VALUE""")," ")</f>
        <v> </v>
      </c>
      <c r="J2811" s="44" t="str">
        <f>IFERROR(__xludf.DUMMYFUNCTION("""COMPUTED_VALUE"""),"")</f>
        <v/>
      </c>
      <c r="K2811" s="42" t="str">
        <f>IFERROR(__xludf.DUMMYFUNCTION("""COMPUTED_VALUE"""),"H. Jose Maria Vargas LG")</f>
        <v>H. Jose Maria Vargas LG</v>
      </c>
    </row>
    <row r="2812">
      <c r="A2812" s="44">
        <v>2811.0</v>
      </c>
      <c r="B2812" s="44" t="str">
        <f>IFERROR(__xludf.DUMMYFUNCTION("""COMPUTED_VALUE"""),"H. Jose Maria Vargas LG")</f>
        <v>H. Jose Maria Vargas LG</v>
      </c>
      <c r="C2812" s="45" t="str">
        <f>IFERROR(__xludf.DUMMYFUNCTION("""COMPUTED_VALUE"""),"MOSQUEDA SABRINA")</f>
        <v>MOSQUEDA SABRINA</v>
      </c>
      <c r="D2812" s="44">
        <f>IFERROR(__xludf.DUMMYFUNCTION("""COMPUTED_VALUE"""),6.0)</f>
        <v>6</v>
      </c>
      <c r="E2812" s="44" t="str">
        <f>IFERROR(__xludf.DUMMYFUNCTION("""COMPUTED_VALUE"""),"")</f>
        <v/>
      </c>
      <c r="F2812" s="44" t="str">
        <f>IFERROR(__xludf.DUMMYFUNCTION("""COMPUTED_VALUE"""),"")</f>
        <v/>
      </c>
      <c r="G2812" s="44" t="str">
        <f>IFERROR(__xludf.DUMMYFUNCTION("""COMPUTED_VALUE""")," ")</f>
        <v> </v>
      </c>
      <c r="H2812" s="44" t="str">
        <f>IFERROR(__xludf.DUMMYFUNCTION("""COMPUTED_VALUE"""),"Playa Grande")</f>
        <v>Playa Grande</v>
      </c>
      <c r="I2812" s="44" t="str">
        <f>IFERROR(__xludf.DUMMYFUNCTION("""COMPUTED_VALUE""")," ")</f>
        <v> </v>
      </c>
      <c r="J2812" s="44" t="str">
        <f>IFERROR(__xludf.DUMMYFUNCTION("""COMPUTED_VALUE"""),"")</f>
        <v/>
      </c>
      <c r="K2812" s="42" t="str">
        <f>IFERROR(__xludf.DUMMYFUNCTION("""COMPUTED_VALUE"""),"H. Jose Maria Vargas LG")</f>
        <v>H. Jose Maria Vargas LG</v>
      </c>
    </row>
    <row r="2813">
      <c r="A2813" s="44">
        <v>2812.0</v>
      </c>
      <c r="B2813" s="44" t="str">
        <f>IFERROR(__xludf.DUMMYFUNCTION("""COMPUTED_VALUE"""),"Hospital Universitario de Carac")</f>
        <v>Hospital Universitario de Carac</v>
      </c>
      <c r="C2813" s="45" t="str">
        <f>IFERROR(__xludf.DUMMYFUNCTION("""COMPUTED_VALUE"""),"MOSQUERA MARIA")</f>
        <v>MOSQUERA MARIA</v>
      </c>
      <c r="D2813" s="44">
        <f>IFERROR(__xludf.DUMMYFUNCTION("""COMPUTED_VALUE"""),18.0)</f>
        <v>18</v>
      </c>
      <c r="E2813" s="44" t="str">
        <f>IFERROR(__xludf.DUMMYFUNCTION("""COMPUTED_VALUE"""),"")</f>
        <v/>
      </c>
      <c r="F2813" s="44" t="str">
        <f>IFERROR(__xludf.DUMMYFUNCTION("""COMPUTED_VALUE"""),"")</f>
        <v/>
      </c>
      <c r="G2813" s="44" t="str">
        <f>IFERROR(__xludf.DUMMYFUNCTION("""COMPUTED_VALUE""")," ")</f>
        <v> </v>
      </c>
      <c r="H2813" s="44" t="str">
        <f>IFERROR(__xludf.DUMMYFUNCTION("""COMPUTED_VALUE""")," ")</f>
        <v> </v>
      </c>
      <c r="I2813" s="44" t="str">
        <f>IFERROR(__xludf.DUMMYFUNCTION("""COMPUTED_VALUE"""),"⚠ FALLECIDA AL INGRESO")</f>
        <v>⚠ FALLECIDA AL INGRESO</v>
      </c>
      <c r="J2813" s="44" t="str">
        <f>IFERROR(__xludf.DUMMYFUNCTION("""COMPUTED_VALUE"""),"")</f>
        <v/>
      </c>
      <c r="K2813" s="42" t="str">
        <f>IFERROR(__xludf.DUMMYFUNCTION("""COMPUTED_VALUE"""),"Hospital Universitario de Carac")</f>
        <v>Hospital Universitario de Carac</v>
      </c>
    </row>
    <row r="2814">
      <c r="A2814" s="44">
        <v>2813.0</v>
      </c>
      <c r="B2814" s="44" t="str">
        <f>IFERROR(__xludf.DUMMYFUNCTION("""COMPUTED_VALUE"""),"Cruz Roja")</f>
        <v>Cruz Roja</v>
      </c>
      <c r="C2814" s="45" t="str">
        <f>IFERROR(__xludf.DUMMYFUNCTION("""COMPUTED_VALUE"""),"MOY MARIA")</f>
        <v>MOY MARIA</v>
      </c>
      <c r="D2814" s="44">
        <f>IFERROR(__xludf.DUMMYFUNCTION("""COMPUTED_VALUE"""),47.0)</f>
        <v>47</v>
      </c>
      <c r="E2814" s="44" t="str">
        <f>IFERROR(__xludf.DUMMYFUNCTION("""COMPUTED_VALUE"""),"")</f>
        <v/>
      </c>
      <c r="F2814" s="44" t="str">
        <f>IFERROR(__xludf.DUMMYFUNCTION("""COMPUTED_VALUE"""),"")</f>
        <v/>
      </c>
      <c r="G2814" s="44" t="str">
        <f>IFERROR(__xludf.DUMMYFUNCTION("""COMPUTED_VALUE""")," ")</f>
        <v> </v>
      </c>
      <c r="H2814" s="44" t="str">
        <f>IFERROR(__xludf.DUMMYFUNCTION("""COMPUTED_VALUE"""),"La Candelaria")</f>
        <v>La Candelaria</v>
      </c>
      <c r="I2814" s="44" t="str">
        <f>IFERROR(__xludf.DUMMYFUNCTION("""COMPUTED_VALUE""")," ")</f>
        <v> </v>
      </c>
      <c r="J2814" s="44" t="str">
        <f>IFERROR(__xludf.DUMMYFUNCTION("""COMPUTED_VALUE"""),"")</f>
        <v/>
      </c>
      <c r="K2814" s="42" t="str">
        <f>IFERROR(__xludf.DUMMYFUNCTION("""COMPUTED_VALUE"""),"Cruz Roja")</f>
        <v>Cruz Roja</v>
      </c>
    </row>
    <row r="2815">
      <c r="A2815" s="44">
        <v>2814.0</v>
      </c>
      <c r="B2815" s="44" t="str">
        <f>IFERROR(__xludf.DUMMYFUNCTION("""COMPUTED_VALUE"""),"Hospital Domingo Luciani")</f>
        <v>Hospital Domingo Luciani</v>
      </c>
      <c r="C2815" s="45" t="str">
        <f>IFERROR(__xludf.DUMMYFUNCTION("""COMPUTED_VALUE"""),"MUNON MARIANGEL")</f>
        <v>MUNON MARIANGEL</v>
      </c>
      <c r="D2815" s="44">
        <f>IFERROR(__xludf.DUMMYFUNCTION("""COMPUTED_VALUE"""),59.0)</f>
        <v>59</v>
      </c>
      <c r="E2815" s="44" t="str">
        <f>IFERROR(__xludf.DUMMYFUNCTION("""COMPUTED_VALUE"""),"")</f>
        <v/>
      </c>
      <c r="F2815" s="44" t="str">
        <f>IFERROR(__xludf.DUMMYFUNCTION("""COMPUTED_VALUE"""),"")</f>
        <v/>
      </c>
      <c r="G2815" s="44" t="str">
        <f>IFERROR(__xludf.DUMMYFUNCTION("""COMPUTED_VALUE""")," ")</f>
        <v> </v>
      </c>
      <c r="H2815" s="44" t="str">
        <f>IFERROR(__xludf.DUMMYFUNCTION("""COMPUTED_VALUE""")," ")</f>
        <v> </v>
      </c>
      <c r="I2815" s="44" t="str">
        <f>IFERROR(__xludf.DUMMYFUNCTION("""COMPUTED_VALUE""")," ")</f>
        <v> </v>
      </c>
      <c r="J2815" s="44" t="str">
        <f>IFERROR(__xludf.DUMMYFUNCTION("""COMPUTED_VALUE"""),"")</f>
        <v/>
      </c>
      <c r="K2815" s="42" t="str">
        <f>IFERROR(__xludf.DUMMYFUNCTION("""COMPUTED_VALUE"""),"🔍 BUSCAR PACIENTES")</f>
        <v>🔍 BUSCAR PACIENTES</v>
      </c>
    </row>
    <row r="2816">
      <c r="A2816" s="44">
        <v>2815.0</v>
      </c>
      <c r="B2816" s="44" t="str">
        <f>IFERROR(__xludf.DUMMYFUNCTION("""COMPUTED_VALUE"""),"Cruz Roja")</f>
        <v>Cruz Roja</v>
      </c>
      <c r="C2816" s="45" t="str">
        <f>IFERROR(__xludf.DUMMYFUNCTION("""COMPUTED_VALUE"""),"MUNOZ CAMILA")</f>
        <v>MUNOZ CAMILA</v>
      </c>
      <c r="D2816" s="44">
        <f>IFERROR(__xludf.DUMMYFUNCTION("""COMPUTED_VALUE"""),15.0)</f>
        <v>15</v>
      </c>
      <c r="E2816" s="44" t="str">
        <f>IFERROR(__xludf.DUMMYFUNCTION("""COMPUTED_VALUE"""),"")</f>
        <v/>
      </c>
      <c r="F2816" s="44" t="str">
        <f>IFERROR(__xludf.DUMMYFUNCTION("""COMPUTED_VALUE"""),"")</f>
        <v/>
      </c>
      <c r="G2816" s="44" t="str">
        <f>IFERROR(__xludf.DUMMYFUNCTION("""COMPUTED_VALUE""")," ")</f>
        <v> </v>
      </c>
      <c r="H2816" s="44" t="str">
        <f>IFERROR(__xludf.DUMMYFUNCTION("""COMPUTED_VALUE"""),"Santa Monica")</f>
        <v>Santa Monica</v>
      </c>
      <c r="I2816" s="44" t="str">
        <f>IFERROR(__xludf.DUMMYFUNCTION("""COMPUTED_VALUE""")," ")</f>
        <v> </v>
      </c>
      <c r="J2816" s="44" t="str">
        <f>IFERROR(__xludf.DUMMYFUNCTION("""COMPUTED_VALUE"""),"")</f>
        <v/>
      </c>
      <c r="K2816" s="42" t="str">
        <f>IFERROR(__xludf.DUMMYFUNCTION("""COMPUTED_VALUE"""),"Cruz Roja")</f>
        <v>Cruz Roja</v>
      </c>
    </row>
    <row r="2817">
      <c r="A2817" s="44">
        <v>2816.0</v>
      </c>
      <c r="B2817" s="44" t="str">
        <f>IFERROR(__xludf.DUMMYFUNCTION("""COMPUTED_VALUE"""),"Hospital Domingo Luciani")</f>
        <v>Hospital Domingo Luciani</v>
      </c>
      <c r="C2817" s="45" t="str">
        <f>IFERROR(__xludf.DUMMYFUNCTION("""COMPUTED_VALUE"""),"MUNOZ JOSEFINA")</f>
        <v>MUNOZ JOSEFINA</v>
      </c>
      <c r="D2817" s="44">
        <f>IFERROR(__xludf.DUMMYFUNCTION("""COMPUTED_VALUE"""),72.0)</f>
        <v>72</v>
      </c>
      <c r="E2817" s="44" t="str">
        <f>IFERROR(__xludf.DUMMYFUNCTION("""COMPUTED_VALUE"""),"")</f>
        <v/>
      </c>
      <c r="F2817" s="44" t="str">
        <f>IFERROR(__xludf.DUMMYFUNCTION("""COMPUTED_VALUE"""),"")</f>
        <v/>
      </c>
      <c r="G2817" s="44" t="str">
        <f>IFERROR(__xludf.DUMMYFUNCTION("""COMPUTED_VALUE""")," ")</f>
        <v> </v>
      </c>
      <c r="H2817" s="44" t="str">
        <f>IFERROR(__xludf.DUMMYFUNCTION("""COMPUTED_VALUE""")," ")</f>
        <v> </v>
      </c>
      <c r="I2817" s="44" t="str">
        <f>IFERROR(__xludf.DUMMYFUNCTION("""COMPUTED_VALUE""")," ")</f>
        <v> </v>
      </c>
      <c r="J2817" s="44" t="str">
        <f>IFERROR(__xludf.DUMMYFUNCTION("""COMPUTED_VALUE"""),"")</f>
        <v/>
      </c>
      <c r="K2817" s="42" t="str">
        <f>IFERROR(__xludf.DUMMYFUNCTION("""COMPUTED_VALUE"""),"🔍 BUSCAR PACIENTES")</f>
        <v>🔍 BUSCAR PACIENTES</v>
      </c>
    </row>
    <row r="2818">
      <c r="A2818" s="44">
        <v>2817.0</v>
      </c>
      <c r="B2818" s="44" t="str">
        <f>IFERROR(__xludf.DUMMYFUNCTION("""COMPUTED_VALUE"""),"Periférico de Catia")</f>
        <v>Periférico de Catia</v>
      </c>
      <c r="C2818" s="45" t="str">
        <f>IFERROR(__xludf.DUMMYFUNCTION("""COMPUTED_VALUE"""),"Muñoz Josefina")</f>
        <v>Muñoz Josefina</v>
      </c>
      <c r="D2818" s="44">
        <f>IFERROR(__xludf.DUMMYFUNCTION("""COMPUTED_VALUE"""),72.0)</f>
        <v>72</v>
      </c>
      <c r="E2818" s="44" t="str">
        <f>IFERROR(__xludf.DUMMYFUNCTION("""COMPUTED_VALUE"""),"")</f>
        <v/>
      </c>
      <c r="F2818" s="44" t="str">
        <f>IFERROR(__xludf.DUMMYFUNCTION("""COMPUTED_VALUE"""),"")</f>
        <v/>
      </c>
      <c r="G2818" s="44"/>
      <c r="H2818" s="44"/>
      <c r="I2818" s="44" t="str">
        <f>IFERROR(__xludf.DUMMYFUNCTION("""COMPUTED_VALUE"""),"Lista adicional (pizarra extensa sin titulo de sala especifico)")</f>
        <v>Lista adicional (pizarra extensa sin titulo de sala especifico)</v>
      </c>
      <c r="J2818" s="44" t="str">
        <f>IFERROR(__xludf.DUMMYFUNCTION("""COMPUTED_VALUE"""),"")</f>
        <v/>
      </c>
      <c r="K2818" s="42" t="str">
        <f>IFERROR(__xludf.DUMMYFUNCTION("""COMPUTED_VALUE"""),"Periférico de Catia")</f>
        <v>Periférico de Catia</v>
      </c>
    </row>
    <row r="2819">
      <c r="A2819" s="44">
        <v>2818.0</v>
      </c>
      <c r="B2819" s="44" t="str">
        <f>IFERROR(__xludf.DUMMYFUNCTION("""COMPUTED_VALUE"""),"Hospital Pérez Carreño")</f>
        <v>Hospital Pérez Carreño</v>
      </c>
      <c r="C2819" s="45" t="str">
        <f>IFERROR(__xludf.DUMMYFUNCTION("""COMPUTED_VALUE"""),"MURILLO ANABELA")</f>
        <v>MURILLO ANABELA</v>
      </c>
      <c r="D2819" s="44" t="str">
        <f>IFERROR(__xludf.DUMMYFUNCTION("""COMPUTED_VALUE""")," ")</f>
        <v> </v>
      </c>
      <c r="E2819" s="44" t="str">
        <f>IFERROR(__xludf.DUMMYFUNCTION("""COMPUTED_VALUE"""),"")</f>
        <v/>
      </c>
      <c r="F2819" s="44" t="str">
        <f>IFERROR(__xludf.DUMMYFUNCTION("""COMPUTED_VALUE"""),"")</f>
        <v/>
      </c>
      <c r="G2819" s="44" t="str">
        <f>IFERROR(__xludf.DUMMYFUNCTION("""COMPUTED_VALUE""")," ")</f>
        <v> </v>
      </c>
      <c r="H2819" s="44" t="str">
        <f>IFERROR(__xludf.DUMMYFUNCTION("""COMPUTED_VALUE""")," ")</f>
        <v> </v>
      </c>
      <c r="I2819" s="44" t="str">
        <f>IFERROR(__xludf.DUMMYFUNCTION("""COMPUTED_VALUE"""),"Traumashock")</f>
        <v>Traumashock</v>
      </c>
      <c r="J2819" s="44" t="str">
        <f>IFERROR(__xludf.DUMMYFUNCTION("""COMPUTED_VALUE"""),"25/06/2026")</f>
        <v>25/06/2026</v>
      </c>
      <c r="K2819" s="42" t="str">
        <f>IFERROR(__xludf.DUMMYFUNCTION("""COMPUTED_VALUE"""),"Hospital Pérez Carreño")</f>
        <v>Hospital Pérez Carreño</v>
      </c>
    </row>
    <row r="2820">
      <c r="A2820" s="44">
        <v>2819.0</v>
      </c>
      <c r="B2820" s="44" t="str">
        <f>IFERROR(__xludf.DUMMYFUNCTION("""COMPUTED_VALUE"""),"Hospital Pérez Carreño")</f>
        <v>Hospital Pérez Carreño</v>
      </c>
      <c r="C2820" s="45" t="str">
        <f>IFERROR(__xludf.DUMMYFUNCTION("""COMPUTED_VALUE"""),"MURILLO MONTOYA ANABELLA VICTORIA")</f>
        <v>MURILLO MONTOYA ANABELLA VICTORIA</v>
      </c>
      <c r="D2820" s="44" t="str">
        <f>IFERROR(__xludf.DUMMYFUNCTION("""COMPUTED_VALUE""")," ")</f>
        <v> </v>
      </c>
      <c r="E2820" s="44" t="str">
        <f>IFERROR(__xludf.DUMMYFUNCTION("""COMPUTED_VALUE"""),"")</f>
        <v/>
      </c>
      <c r="F2820" s="44" t="str">
        <f>IFERROR(__xludf.DUMMYFUNCTION("""COMPUTED_VALUE"""),"")</f>
        <v/>
      </c>
      <c r="G2820" s="44" t="str">
        <f>IFERROR(__xludf.DUMMYFUNCTION("""COMPUTED_VALUE""")," ")</f>
        <v> </v>
      </c>
      <c r="H2820" s="44" t="str">
        <f>IFERROR(__xludf.DUMMYFUNCTION("""COMPUTED_VALUE""")," ")</f>
        <v> </v>
      </c>
      <c r="I2820" s="44" t="str">
        <f>IFERROR(__xludf.DUMMYFUNCTION("""COMPUTED_VALUE"""),"Internado")</f>
        <v>Internado</v>
      </c>
      <c r="J2820" s="44" t="str">
        <f>IFERROR(__xludf.DUMMYFUNCTION("""COMPUTED_VALUE"""),"25/06/2026")</f>
        <v>25/06/2026</v>
      </c>
      <c r="K2820" s="42" t="str">
        <f>IFERROR(__xludf.DUMMYFUNCTION("""COMPUTED_VALUE"""),"Hospital Pérez Carreño")</f>
        <v>Hospital Pérez Carreño</v>
      </c>
    </row>
    <row r="2821">
      <c r="A2821" s="44">
        <v>2820.0</v>
      </c>
      <c r="B2821" s="44" t="str">
        <f>IFERROR(__xludf.DUMMYFUNCTION("""COMPUTED_VALUE"""),"La Guaira Sin Hospital")</f>
        <v>La Guaira Sin Hospital</v>
      </c>
      <c r="C2821" s="45" t="str">
        <f>IFERROR(__xludf.DUMMYFUNCTION("""COMPUTED_VALUE"""),"Murillo Montoya Anabella Victoriz")</f>
        <v>Murillo Montoya Anabella Victoriz</v>
      </c>
      <c r="D2821" s="44" t="str">
        <f>IFERROR(__xludf.DUMMYFUNCTION("""COMPUTED_VALUE"""),"")</f>
        <v/>
      </c>
      <c r="E2821" s="44" t="str">
        <f>IFERROR(__xludf.DUMMYFUNCTION("""COMPUTED_VALUE"""),"")</f>
        <v/>
      </c>
      <c r="F2821" s="44" t="str">
        <f>IFERROR(__xludf.DUMMYFUNCTION("""COMPUTED_VALUE"""),"")</f>
        <v/>
      </c>
      <c r="G2821" s="44" t="str">
        <f>IFERROR(__xludf.DUMMYFUNCTION("""COMPUTED_VALUE"""),"")</f>
        <v/>
      </c>
      <c r="H2821" s="44"/>
      <c r="I2821" s="44" t="str">
        <f>IFERROR(__xludf.DUMMYFUNCTION("""COMPUTED_VALUE"""),"Listas solo con nombre")</f>
        <v>Listas solo con nombre</v>
      </c>
      <c r="J2821" s="44" t="str">
        <f>IFERROR(__xludf.DUMMYFUNCTION("""COMPUTED_VALUE"""),"")</f>
        <v/>
      </c>
      <c r="K2821" s="42" t="str">
        <f>IFERROR(__xludf.DUMMYFUNCTION("""COMPUTED_VALUE"""),"La Guaira Sin Hospital")</f>
        <v>La Guaira Sin Hospital</v>
      </c>
    </row>
    <row r="2822">
      <c r="A2822" s="44">
        <v>2821.0</v>
      </c>
      <c r="B2822" s="44" t="str">
        <f>IFERROR(__xludf.DUMMYFUNCTION("""COMPUTED_VALUE"""),"H. Jose Maria Vargas LG")</f>
        <v>H. Jose Maria Vargas LG</v>
      </c>
      <c r="C2822" s="45" t="str">
        <f>IFERROR(__xludf.DUMMYFUNCTION("""COMPUTED_VALUE"""),"MUSONI YOLANDA")</f>
        <v>MUSONI YOLANDA</v>
      </c>
      <c r="D2822" s="44" t="str">
        <f>IFERROR(__xludf.DUMMYFUNCTION("""COMPUTED_VALUE""")," ")</f>
        <v> </v>
      </c>
      <c r="E2822" s="44" t="str">
        <f>IFERROR(__xludf.DUMMYFUNCTION("""COMPUTED_VALUE"""),"")</f>
        <v/>
      </c>
      <c r="F2822" s="44" t="str">
        <f>IFERROR(__xludf.DUMMYFUNCTION("""COMPUTED_VALUE"""),"")</f>
        <v/>
      </c>
      <c r="G2822" s="44" t="str">
        <f>IFERROR(__xludf.DUMMYFUNCTION("""COMPUTED_VALUE""")," ")</f>
        <v> </v>
      </c>
      <c r="H2822" s="44" t="str">
        <f>IFERROR(__xludf.DUMMYFUNCTION("""COMPUTED_VALUE""")," ")</f>
        <v> </v>
      </c>
      <c r="I2822" s="44" t="str">
        <f>IFERROR(__xludf.DUMMYFUNCTION("""COMPUTED_VALUE""")," ")</f>
        <v> </v>
      </c>
      <c r="J2822" s="44" t="str">
        <f>IFERROR(__xludf.DUMMYFUNCTION("""COMPUTED_VALUE"""),"")</f>
        <v/>
      </c>
      <c r="K2822" s="42" t="str">
        <f>IFERROR(__xludf.DUMMYFUNCTION("""COMPUTED_VALUE"""),"H. Jose Maria Vargas LG")</f>
        <v>H. Jose Maria Vargas LG</v>
      </c>
    </row>
    <row r="2823">
      <c r="A2823" s="44">
        <v>2822.0</v>
      </c>
      <c r="B2823" s="44" t="str">
        <f>IFERROR(__xludf.DUMMYFUNCTION("""COMPUTED_VALUE"""),"Campo de Golf Playa los Cocos")</f>
        <v>Campo de Golf Playa los Cocos</v>
      </c>
      <c r="C2823" s="45" t="str">
        <f>IFERROR(__xludf.DUMMYFUNCTION("""COMPUTED_VALUE"""),"Nahomi Graterol")</f>
        <v>Nahomi Graterol</v>
      </c>
      <c r="D2823" s="44" t="str">
        <f>IFERROR(__xludf.DUMMYFUNCTION("""COMPUTED_VALUE"""),"")</f>
        <v/>
      </c>
      <c r="E2823" s="44" t="str">
        <f>IFERROR(__xludf.DUMMYFUNCTION("""COMPUTED_VALUE"""),"")</f>
        <v/>
      </c>
      <c r="F2823" s="44" t="str">
        <f>IFERROR(__xludf.DUMMYFUNCTION("""COMPUTED_VALUE"""),"")</f>
        <v/>
      </c>
      <c r="G2823" s="44" t="str">
        <f>IFERROR(__xludf.DUMMYFUNCTION("""COMPUTED_VALUE"""),"")</f>
        <v/>
      </c>
      <c r="H2823" s="44" t="str">
        <f>IFERROR(__xludf.DUMMYFUNCTION("""COMPUTED_VALUE"""),"")</f>
        <v/>
      </c>
      <c r="I2823" s="44" t="str">
        <f>IFERROR(__xludf.DUMMYFUNCTION("""COMPUTED_VALUE"""),"menor")</f>
        <v>menor</v>
      </c>
      <c r="J2823" s="44" t="str">
        <f>IFERROR(__xludf.DUMMYFUNCTION("""COMPUTED_VALUE"""),"")</f>
        <v/>
      </c>
      <c r="K2823" s="42" t="str">
        <f>IFERROR(__xludf.DUMMYFUNCTION("""COMPUTED_VALUE"""),"Campo de Golf Playa los Cocos")</f>
        <v>Campo de Golf Playa los Cocos</v>
      </c>
    </row>
    <row r="2824">
      <c r="A2824" s="44">
        <v>2823.0</v>
      </c>
      <c r="B2824" s="44" t="str">
        <f>IFERROR(__xludf.DUMMYFUNCTION("""COMPUTED_VALUE"""),"Campo de Golf Playa los Cocos")</f>
        <v>Campo de Golf Playa los Cocos</v>
      </c>
      <c r="C2824" s="45" t="str">
        <f>IFERROR(__xludf.DUMMYFUNCTION("""COMPUTED_VALUE"""),"Nahomi Rodriguez")</f>
        <v>Nahomi Rodriguez</v>
      </c>
      <c r="D2824" s="44" t="str">
        <f>IFERROR(__xludf.DUMMYFUNCTION("""COMPUTED_VALUE"""),"")</f>
        <v/>
      </c>
      <c r="E2824" s="44" t="str">
        <f>IFERROR(__xludf.DUMMYFUNCTION("""COMPUTED_VALUE"""),"")</f>
        <v/>
      </c>
      <c r="F2824" s="44" t="str">
        <f>IFERROR(__xludf.DUMMYFUNCTION("""COMPUTED_VALUE"""),"")</f>
        <v/>
      </c>
      <c r="G2824" s="44" t="str">
        <f>IFERROR(__xludf.DUMMYFUNCTION("""COMPUTED_VALUE"""),"")</f>
        <v/>
      </c>
      <c r="H2824" s="44" t="str">
        <f>IFERROR(__xludf.DUMMYFUNCTION("""COMPUTED_VALUE"""),"")</f>
        <v/>
      </c>
      <c r="I2824" s="44"/>
      <c r="J2824" s="44" t="str">
        <f>IFERROR(__xludf.DUMMYFUNCTION("""COMPUTED_VALUE"""),"")</f>
        <v/>
      </c>
      <c r="K2824" s="42" t="str">
        <f>IFERROR(__xludf.DUMMYFUNCTION("""COMPUTED_VALUE"""),"Campo de Golf Playa los Cocos")</f>
        <v>Campo de Golf Playa los Cocos</v>
      </c>
    </row>
    <row r="2825">
      <c r="A2825" s="44">
        <v>2824.0</v>
      </c>
      <c r="B2825" s="44" t="str">
        <f>IFERROR(__xludf.DUMMYFUNCTION("""COMPUTED_VALUE"""),"Hospital Vargas de Caracas")</f>
        <v>Hospital Vargas de Caracas</v>
      </c>
      <c r="C2825" s="45" t="str">
        <f>IFERROR(__xludf.DUMMYFUNCTION("""COMPUTED_VALUE"""),"NAIGUEL LOPEZ")</f>
        <v>NAIGUEL LOPEZ</v>
      </c>
      <c r="D2825" s="44" t="str">
        <f>IFERROR(__xludf.DUMMYFUNCTION("""COMPUTED_VALUE""")," ")</f>
        <v> </v>
      </c>
      <c r="E2825" s="44" t="str">
        <f>IFERROR(__xludf.DUMMYFUNCTION("""COMPUTED_VALUE"""),"")</f>
        <v/>
      </c>
      <c r="F2825" s="44" t="str">
        <f>IFERROR(__xludf.DUMMYFUNCTION("""COMPUTED_VALUE""")," ")</f>
        <v> </v>
      </c>
      <c r="G2825" s="44" t="str">
        <f>IFERROR(__xludf.DUMMYFUNCTION("""COMPUTED_VALUE"""),"")</f>
        <v/>
      </c>
      <c r="H2825" s="44" t="str">
        <f>IFERROR(__xludf.DUMMYFUNCTION("""COMPUTED_VALUE"""),"Guaira")</f>
        <v>Guaira</v>
      </c>
      <c r="I2825" s="44" t="str">
        <f>IFERROR(__xludf.DUMMYFUNCTION("""COMPUTED_VALUE""")," ")</f>
        <v> </v>
      </c>
      <c r="J2825" s="44" t="str">
        <f>IFERROR(__xludf.DUMMYFUNCTION("""COMPUTED_VALUE"""),"")</f>
        <v/>
      </c>
      <c r="K2825" s="42" t="str">
        <f>IFERROR(__xludf.DUMMYFUNCTION("""COMPUTED_VALUE"""),"Hospital Vargas de Caracas")</f>
        <v>Hospital Vargas de Caracas</v>
      </c>
    </row>
    <row r="2826">
      <c r="A2826" s="44">
        <v>2825.0</v>
      </c>
      <c r="B2826" s="44" t="str">
        <f>IFERROR(__xludf.DUMMYFUNCTION("""COMPUTED_VALUE"""),"Seguro Social La Guaira")</f>
        <v>Seguro Social La Guaira</v>
      </c>
      <c r="C2826" s="45" t="str">
        <f>IFERROR(__xludf.DUMMYFUNCTION("""COMPUTED_VALUE"""),"NAIKE SAMBRANO")</f>
        <v>NAIKE SAMBRANO</v>
      </c>
      <c r="D2826" s="44">
        <f>IFERROR(__xludf.DUMMYFUNCTION("""COMPUTED_VALUE"""),41.0)</f>
        <v>41</v>
      </c>
      <c r="E2826" s="44" t="str">
        <f>IFERROR(__xludf.DUMMYFUNCTION("""COMPUTED_VALUE"""),"")</f>
        <v/>
      </c>
      <c r="F2826" s="44" t="str">
        <f>IFERROR(__xludf.DUMMYFUNCTION("""COMPUTED_VALUE"""),"")</f>
        <v/>
      </c>
      <c r="G2826" s="44" t="str">
        <f>IFERROR(__xludf.DUMMYFUNCTION("""COMPUTED_VALUE""")," ")</f>
        <v> </v>
      </c>
      <c r="H2826" s="44" t="str">
        <f>IFERROR(__xludf.DUMMYFUNCTION("""COMPUTED_VALUE"""),"Tanaguarena")</f>
        <v>Tanaguarena</v>
      </c>
      <c r="I2826" s="44" t="str">
        <f>IFERROR(__xludf.DUMMYFUNCTION("""COMPUTED_VALUE""")," ")</f>
        <v> </v>
      </c>
      <c r="J2826" s="44" t="str">
        <f>IFERROR(__xludf.DUMMYFUNCTION("""COMPUTED_VALUE"""),"")</f>
        <v/>
      </c>
      <c r="K2826" s="42" t="str">
        <f>IFERROR(__xludf.DUMMYFUNCTION("""COMPUTED_VALUE"""),"Seguro Social La Guaira")</f>
        <v>Seguro Social La Guaira</v>
      </c>
    </row>
    <row r="2827">
      <c r="A2827" s="44">
        <v>2826.0</v>
      </c>
      <c r="B2827" s="44" t="str">
        <f>IFERROR(__xludf.DUMMYFUNCTION("""COMPUTED_VALUE"""),"HOSPITAL VARGAS")</f>
        <v>HOSPITAL VARGAS</v>
      </c>
      <c r="C2827" s="45" t="str">
        <f>IFERROR(__xludf.DUMMYFUNCTION("""COMPUTED_VALUE"""),"Naileth Moreno")</f>
        <v>Naileth Moreno</v>
      </c>
      <c r="D2827" s="44"/>
      <c r="E2827" s="44" t="str">
        <f>IFERROR(__xludf.DUMMYFUNCTION("""COMPUTED_VALUE"""),"")</f>
        <v/>
      </c>
      <c r="F2827" s="44" t="str">
        <f>IFERROR(__xludf.DUMMYFUNCTION("""COMPUTED_VALUE"""),"")</f>
        <v/>
      </c>
      <c r="G2827" s="44" t="str">
        <f>IFERROR(__xludf.DUMMYFUNCTION("""COMPUTED_VALUE"""),"")</f>
        <v/>
      </c>
      <c r="H2827" s="44" t="str">
        <f>IFERROR(__xludf.DUMMYFUNCTION("""COMPUTED_VALUE"""),"")</f>
        <v/>
      </c>
      <c r="I2827" s="44" t="str">
        <f>IFERROR(__xludf.DUMMYFUNCTION("""COMPUTED_VALUE"""),"Herido / atendido")</f>
        <v>Herido / atendido</v>
      </c>
      <c r="J2827" s="44" t="str">
        <f>IFERROR(__xludf.DUMMYFUNCTION("""COMPUTED_VALUE"""),"24.06.2026 ")</f>
        <v>24.06.2026 </v>
      </c>
      <c r="K2827" s="42" t="str">
        <f>IFERROR(__xludf.DUMMYFUNCTION("""COMPUTED_VALUE"""),"HOSPITAL VARGAS")</f>
        <v>HOSPITAL VARGAS</v>
      </c>
    </row>
    <row r="2828">
      <c r="A2828" s="44">
        <v>2827.0</v>
      </c>
      <c r="B2828" s="44" t="str">
        <f>IFERROR(__xludf.DUMMYFUNCTION("""COMPUTED_VALUE"""),"Campo de Golf Playa los Cocos")</f>
        <v>Campo de Golf Playa los Cocos</v>
      </c>
      <c r="C2828" s="45" t="str">
        <f>IFERROR(__xludf.DUMMYFUNCTION("""COMPUTED_VALUE"""),"Nairobi Flores")</f>
        <v>Nairobi Flores</v>
      </c>
      <c r="D2828" s="44" t="str">
        <f>IFERROR(__xludf.DUMMYFUNCTION("""COMPUTED_VALUE"""),"")</f>
        <v/>
      </c>
      <c r="E2828" s="44" t="str">
        <f>IFERROR(__xludf.DUMMYFUNCTION("""COMPUTED_VALUE"""),"")</f>
        <v/>
      </c>
      <c r="F2828" s="44" t="str">
        <f>IFERROR(__xludf.DUMMYFUNCTION("""COMPUTED_VALUE"""),"")</f>
        <v/>
      </c>
      <c r="G2828" s="44" t="str">
        <f>IFERROR(__xludf.DUMMYFUNCTION("""COMPUTED_VALUE"""),"")</f>
        <v/>
      </c>
      <c r="H2828" s="44" t="str">
        <f>IFERROR(__xludf.DUMMYFUNCTION("""COMPUTED_VALUE"""),"")</f>
        <v/>
      </c>
      <c r="I2828" s="44"/>
      <c r="J2828" s="44" t="str">
        <f>IFERROR(__xludf.DUMMYFUNCTION("""COMPUTED_VALUE"""),"")</f>
        <v/>
      </c>
      <c r="K2828" s="42" t="str">
        <f>IFERROR(__xludf.DUMMYFUNCTION("""COMPUTED_VALUE"""),"Campo de Golf Playa los Cocos")</f>
        <v>Campo de Golf Playa los Cocos</v>
      </c>
    </row>
    <row r="2829">
      <c r="A2829" s="44">
        <v>2828.0</v>
      </c>
      <c r="B2829" s="44" t="str">
        <f>IFERROR(__xludf.DUMMYFUNCTION("""COMPUTED_VALUE"""),"Periférico de Catia")</f>
        <v>Periférico de Catia</v>
      </c>
      <c r="C2829" s="45" t="str">
        <f>IFERROR(__xludf.DUMMYFUNCTION("""COMPUTED_VALUE"""),"Nairoby Ramirez (2)")</f>
        <v>Nairoby Ramirez (2)</v>
      </c>
      <c r="D2829" s="44"/>
      <c r="E2829" s="44" t="str">
        <f>IFERROR(__xludf.DUMMYFUNCTION("""COMPUTED_VALUE"""),"")</f>
        <v/>
      </c>
      <c r="F2829" s="44" t="str">
        <f>IFERROR(__xludf.DUMMYFUNCTION("""COMPUTED_VALUE"""),"")</f>
        <v/>
      </c>
      <c r="G2829" s="44"/>
      <c r="H2829" s="44"/>
      <c r="I2829" s="44" t="str">
        <f>IFERROR(__xludf.DUMMYFUNCTION("""COMPUTED_VALUE"""),"Sala de Parto (hoja aparte, sin edad); posible duplicado de 'Nairoby Ramirez' en Poli Emerg. Nueva")</f>
        <v>Sala de Parto (hoja aparte, sin edad); posible duplicado de 'Nairoby Ramirez' en Poli Emerg. Nueva</v>
      </c>
      <c r="J2829" s="44" t="str">
        <f>IFERROR(__xludf.DUMMYFUNCTION("""COMPUTED_VALUE"""),"")</f>
        <v/>
      </c>
      <c r="K2829" s="42" t="str">
        <f>IFERROR(__xludf.DUMMYFUNCTION("""COMPUTED_VALUE"""),"Periférico de Catia")</f>
        <v>Periférico de Catia</v>
      </c>
    </row>
    <row r="2830">
      <c r="A2830" s="44">
        <v>2829.0</v>
      </c>
      <c r="B2830" s="44" t="str">
        <f>IFERROR(__xludf.DUMMYFUNCTION("""COMPUTED_VALUE"""),"Hospital Domingo Luciani")</f>
        <v>Hospital Domingo Luciani</v>
      </c>
      <c r="C2830" s="45" t="str">
        <f>IFERROR(__xludf.DUMMYFUNCTION("""COMPUTED_VALUE"""),"Nancy Cerrano")</f>
        <v>Nancy Cerrano</v>
      </c>
      <c r="D2830" s="44">
        <f>IFERROR(__xludf.DUMMYFUNCTION("""COMPUTED_VALUE"""),67.0)</f>
        <v>67</v>
      </c>
      <c r="E2830" s="44" t="str">
        <f>IFERROR(__xludf.DUMMYFUNCTION("""COMPUTED_VALUE"""),"")</f>
        <v/>
      </c>
      <c r="F2830" s="44" t="str">
        <f>IFERROR(__xludf.DUMMYFUNCTION("""COMPUTED_VALUE"""),"")</f>
        <v/>
      </c>
      <c r="G2830" s="44"/>
      <c r="H2830" s="44"/>
      <c r="I2830" s="44"/>
      <c r="J2830" s="44" t="str">
        <f>IFERROR(__xludf.DUMMYFUNCTION("""COMPUTED_VALUE"""),"")</f>
        <v/>
      </c>
      <c r="K2830" s="42" t="str">
        <f>IFERROR(__xludf.DUMMYFUNCTION("""COMPUTED_VALUE"""),"Hospital Domingo Luciani")</f>
        <v>Hospital Domingo Luciani</v>
      </c>
    </row>
    <row r="2831">
      <c r="A2831" s="44">
        <v>2830.0</v>
      </c>
      <c r="B2831" s="44" t="str">
        <f>IFERROR(__xludf.DUMMYFUNCTION("""COMPUTED_VALUE"""),"Hospital Domingo Luciani")</f>
        <v>Hospital Domingo Luciani</v>
      </c>
      <c r="C2831" s="45" t="str">
        <f>IFERROR(__xludf.DUMMYFUNCTION("""COMPUTED_VALUE"""),"Nancy Serrano")</f>
        <v>Nancy Serrano</v>
      </c>
      <c r="D2831" s="44">
        <f>IFERROR(__xludf.DUMMYFUNCTION("""COMPUTED_VALUE"""),64.0)</f>
        <v>64</v>
      </c>
      <c r="E2831" s="44" t="str">
        <f>IFERROR(__xludf.DUMMYFUNCTION("""COMPUTED_VALUE"""),"")</f>
        <v/>
      </c>
      <c r="F2831" s="44" t="str">
        <f>IFERROR(__xludf.DUMMYFUNCTION("""COMPUTED_VALUE"""),"")</f>
        <v/>
      </c>
      <c r="G2831" s="44"/>
      <c r="H2831" s="44"/>
      <c r="I2831" s="44"/>
      <c r="J2831" s="44" t="str">
        <f>IFERROR(__xludf.DUMMYFUNCTION("""COMPUTED_VALUE"""),"")</f>
        <v/>
      </c>
      <c r="K2831" s="42" t="str">
        <f>IFERROR(__xludf.DUMMYFUNCTION("""COMPUTED_VALUE"""),"Hospital Domingo Luciani")</f>
        <v>Hospital Domingo Luciani</v>
      </c>
    </row>
    <row r="2832">
      <c r="A2832" s="44">
        <v>2831.0</v>
      </c>
      <c r="B2832" s="44" t="str">
        <f>IFERROR(__xludf.DUMMYFUNCTION("""COMPUTED_VALUE"""),"Hospital Domingo Luciani")</f>
        <v>Hospital Domingo Luciani</v>
      </c>
      <c r="C2832" s="45" t="str">
        <f>IFERROR(__xludf.DUMMYFUNCTION("""COMPUTED_VALUE"""),"Nancy Serrano Gonzalez")</f>
        <v>Nancy Serrano Gonzalez</v>
      </c>
      <c r="D2832" s="44">
        <f>IFERROR(__xludf.DUMMYFUNCTION("""COMPUTED_VALUE"""),0.0)</f>
        <v>0</v>
      </c>
      <c r="E2832" s="44" t="str">
        <f>IFERROR(__xludf.DUMMYFUNCTION("""COMPUTED_VALUE"""),"")</f>
        <v/>
      </c>
      <c r="F2832" s="44" t="str">
        <f>IFERROR(__xludf.DUMMYFUNCTION("""COMPUTED_VALUE"""),"")</f>
        <v/>
      </c>
      <c r="G2832" s="44"/>
      <c r="H2832" s="44"/>
      <c r="I2832" s="44"/>
      <c r="J2832" s="44" t="str">
        <f>IFERROR(__xludf.DUMMYFUNCTION("""COMPUTED_VALUE"""),"")</f>
        <v/>
      </c>
      <c r="K2832" s="42" t="str">
        <f>IFERROR(__xludf.DUMMYFUNCTION("""COMPUTED_VALUE"""),"Hospital Domingo Luciani")</f>
        <v>Hospital Domingo Luciani</v>
      </c>
    </row>
    <row r="2833">
      <c r="A2833" s="44">
        <v>2832.0</v>
      </c>
      <c r="B2833" s="44" t="str">
        <f>IFERROR(__xludf.DUMMYFUNCTION("""COMPUTED_VALUE"""),"Hospital Vargas de Caracas")</f>
        <v>Hospital Vargas de Caracas</v>
      </c>
      <c r="C2833" s="45" t="str">
        <f>IFERROR(__xludf.DUMMYFUNCTION("""COMPUTED_VALUE"""),"NAPOLITANO EDWARD")</f>
        <v>NAPOLITANO EDWARD</v>
      </c>
      <c r="D2833" s="44" t="str">
        <f>IFERROR(__xludf.DUMMYFUNCTION("""COMPUTED_VALUE""")," ")</f>
        <v> </v>
      </c>
      <c r="E2833" s="44" t="str">
        <f>IFERROR(__xludf.DUMMYFUNCTION("""COMPUTED_VALUE"""),"")</f>
        <v/>
      </c>
      <c r="F2833" s="44" t="str">
        <f>IFERROR(__xludf.DUMMYFUNCTION("""COMPUTED_VALUE""")," ")</f>
        <v> </v>
      </c>
      <c r="G2833" s="44" t="str">
        <f>IFERROR(__xludf.DUMMYFUNCTION("""COMPUTED_VALUE"""),"")</f>
        <v/>
      </c>
      <c r="H2833" s="44" t="str">
        <f>IFERROR(__xludf.DUMMYFUNCTION("""COMPUTED_VALUE""")," ")</f>
        <v> </v>
      </c>
      <c r="I2833" s="44" t="str">
        <f>IFERROR(__xludf.DUMMYFUNCTION("""COMPUTED_VALUE""")," ")</f>
        <v> </v>
      </c>
      <c r="J2833" s="44" t="str">
        <f>IFERROR(__xludf.DUMMYFUNCTION("""COMPUTED_VALUE"""),"")</f>
        <v/>
      </c>
      <c r="K2833" s="42" t="str">
        <f>IFERROR(__xludf.DUMMYFUNCTION("""COMPUTED_VALUE"""),"Hospital Vargas de Caracas")</f>
        <v>Hospital Vargas de Caracas</v>
      </c>
    </row>
    <row r="2834">
      <c r="A2834" s="44">
        <v>2833.0</v>
      </c>
      <c r="B2834" s="44" t="str">
        <f>IFERROR(__xludf.DUMMYFUNCTION("""COMPUTED_VALUE"""),"H. Jose Maria Vargas LG")</f>
        <v>H. Jose Maria Vargas LG</v>
      </c>
      <c r="C2834" s="45" t="str">
        <f>IFERROR(__xludf.DUMMYFUNCTION("""COMPUTED_VALUE"""),"NAROZA JOEL")</f>
        <v>NAROZA JOEL</v>
      </c>
      <c r="D2834" s="44">
        <f>IFERROR(__xludf.DUMMYFUNCTION("""COMPUTED_VALUE"""),47.0)</f>
        <v>47</v>
      </c>
      <c r="E2834" s="44" t="str">
        <f>IFERROR(__xludf.DUMMYFUNCTION("""COMPUTED_VALUE"""),"")</f>
        <v/>
      </c>
      <c r="F2834" s="44" t="str">
        <f>IFERROR(__xludf.DUMMYFUNCTION("""COMPUTED_VALUE"""),"")</f>
        <v/>
      </c>
      <c r="G2834" s="44" t="str">
        <f>IFERROR(__xludf.DUMMYFUNCTION("""COMPUTED_VALUE""")," ")</f>
        <v> </v>
      </c>
      <c r="H2834" s="44" t="str">
        <f>IFERROR(__xludf.DUMMYFUNCTION("""COMPUTED_VALUE"""),"Tanaguarena")</f>
        <v>Tanaguarena</v>
      </c>
      <c r="I2834" s="44" t="str">
        <f>IFERROR(__xludf.DUMMYFUNCTION("""COMPUTED_VALUE""")," ")</f>
        <v> </v>
      </c>
      <c r="J2834" s="44" t="str">
        <f>IFERROR(__xludf.DUMMYFUNCTION("""COMPUTED_VALUE"""),"")</f>
        <v/>
      </c>
      <c r="K2834" s="42" t="str">
        <f>IFERROR(__xludf.DUMMYFUNCTION("""COMPUTED_VALUE"""),"H. Jose Maria Vargas LG")</f>
        <v>H. Jose Maria Vargas LG</v>
      </c>
    </row>
    <row r="2835">
      <c r="A2835" s="44">
        <v>2834.0</v>
      </c>
      <c r="B2835" s="44" t="str">
        <f>IFERROR(__xludf.DUMMYFUNCTION("""COMPUTED_VALUE"""),"Hospital Pérez Carreño")</f>
        <v>Hospital Pérez Carreño</v>
      </c>
      <c r="C2835" s="45" t="str">
        <f>IFERROR(__xludf.DUMMYFUNCTION("""COMPUTED_VALUE"""),"NATALIA ROMERO")</f>
        <v>NATALIA ROMERO</v>
      </c>
      <c r="D2835" s="44">
        <f>IFERROR(__xludf.DUMMYFUNCTION("""COMPUTED_VALUE"""),5.0)</f>
        <v>5</v>
      </c>
      <c r="E2835" s="44" t="str">
        <f>IFERROR(__xludf.DUMMYFUNCTION("""COMPUTED_VALUE"""),"")</f>
        <v/>
      </c>
      <c r="F2835" s="44" t="str">
        <f>IFERROR(__xludf.DUMMYFUNCTION("""COMPUTED_VALUE"""),"")</f>
        <v/>
      </c>
      <c r="G2835" s="44" t="str">
        <f>IFERROR(__xludf.DUMMYFUNCTION("""COMPUTED_VALUE""")," ")</f>
        <v> </v>
      </c>
      <c r="H2835" s="44" t="str">
        <f>IFERROR(__xludf.DUMMYFUNCTION("""COMPUTED_VALUE""")," ")</f>
        <v> </v>
      </c>
      <c r="I2835" s="44" t="str">
        <f>IFERROR(__xludf.DUMMYFUNCTION("""COMPUTED_VALUE""")," ")</f>
        <v> </v>
      </c>
      <c r="J2835" s="44" t="str">
        <f>IFERROR(__xludf.DUMMYFUNCTION("""COMPUTED_VALUE"""),"25/06/2026")</f>
        <v>25/06/2026</v>
      </c>
      <c r="K2835" s="42" t="str">
        <f>IFERROR(__xludf.DUMMYFUNCTION("""COMPUTED_VALUE"""),"Hospital Pérez Carreño")</f>
        <v>Hospital Pérez Carreño</v>
      </c>
    </row>
    <row r="2836">
      <c r="A2836" s="44">
        <v>2835.0</v>
      </c>
      <c r="B2836" s="44" t="str">
        <f>IFERROR(__xludf.DUMMYFUNCTION("""COMPUTED_VALUE"""),"Campo de Golf Playa los Cocos")</f>
        <v>Campo de Golf Playa los Cocos</v>
      </c>
      <c r="C2836" s="45" t="str">
        <f>IFERROR(__xludf.DUMMYFUNCTION("""COMPUTED_VALUE"""),"Nathaly Medina")</f>
        <v>Nathaly Medina</v>
      </c>
      <c r="D2836" s="44" t="str">
        <f>IFERROR(__xludf.DUMMYFUNCTION("""COMPUTED_VALUE"""),"")</f>
        <v/>
      </c>
      <c r="E2836" s="44" t="str">
        <f>IFERROR(__xludf.DUMMYFUNCTION("""COMPUTED_VALUE"""),"")</f>
        <v/>
      </c>
      <c r="F2836" s="44" t="str">
        <f>IFERROR(__xludf.DUMMYFUNCTION("""COMPUTED_VALUE"""),"")</f>
        <v/>
      </c>
      <c r="G2836" s="44" t="str">
        <f>IFERROR(__xludf.DUMMYFUNCTION("""COMPUTED_VALUE"""),"")</f>
        <v/>
      </c>
      <c r="H2836" s="44" t="str">
        <f>IFERROR(__xludf.DUMMYFUNCTION("""COMPUTED_VALUE"""),"")</f>
        <v/>
      </c>
      <c r="I2836" s="44"/>
      <c r="J2836" s="44" t="str">
        <f>IFERROR(__xludf.DUMMYFUNCTION("""COMPUTED_VALUE"""),"")</f>
        <v/>
      </c>
      <c r="K2836" s="42" t="str">
        <f>IFERROR(__xludf.DUMMYFUNCTION("""COMPUTED_VALUE"""),"Campo de Golf Playa los Cocos")</f>
        <v>Campo de Golf Playa los Cocos</v>
      </c>
    </row>
    <row r="2837">
      <c r="A2837" s="44">
        <v>2836.0</v>
      </c>
      <c r="B2837" s="44" t="str">
        <f>IFERROR(__xludf.DUMMYFUNCTION("""COMPUTED_VALUE"""),"Hospital Domingo Luciani")</f>
        <v>Hospital Domingo Luciani</v>
      </c>
      <c r="C2837" s="45" t="str">
        <f>IFERROR(__xludf.DUMMYFUNCTION("""COMPUTED_VALUE"""),"Naucdy Ramirez")</f>
        <v>Naucdy Ramirez</v>
      </c>
      <c r="D2837" s="44">
        <f>IFERROR(__xludf.DUMMYFUNCTION("""COMPUTED_VALUE"""),32.0)</f>
        <v>32</v>
      </c>
      <c r="E2837" s="44" t="str">
        <f>IFERROR(__xludf.DUMMYFUNCTION("""COMPUTED_VALUE"""),"")</f>
        <v/>
      </c>
      <c r="F2837" s="44" t="str">
        <f>IFERROR(__xludf.DUMMYFUNCTION("""COMPUTED_VALUE"""),"")</f>
        <v/>
      </c>
      <c r="G2837" s="44"/>
      <c r="H2837" s="44"/>
      <c r="I2837" s="44"/>
      <c r="J2837" s="44" t="str">
        <f>IFERROR(__xludf.DUMMYFUNCTION("""COMPUTED_VALUE"""),"")</f>
        <v/>
      </c>
      <c r="K2837" s="42" t="str">
        <f>IFERROR(__xludf.DUMMYFUNCTION("""COMPUTED_VALUE"""),"Hospital Domingo Luciani")</f>
        <v>Hospital Domingo Luciani</v>
      </c>
    </row>
    <row r="2838">
      <c r="A2838" s="44">
        <v>2837.0</v>
      </c>
      <c r="B2838" s="44" t="str">
        <f>IFERROR(__xludf.DUMMYFUNCTION("""COMPUTED_VALUE"""),"Hospital Vargas de Caracas")</f>
        <v>Hospital Vargas de Caracas</v>
      </c>
      <c r="C2838" s="45" t="str">
        <f>IFERROR(__xludf.DUMMYFUNCTION("""COMPUTED_VALUE"""),"NAURA ALMEIDA")</f>
        <v>NAURA ALMEIDA</v>
      </c>
      <c r="D2838" s="44" t="str">
        <f>IFERROR(__xludf.DUMMYFUNCTION("""COMPUTED_VALUE""")," ")</f>
        <v> </v>
      </c>
      <c r="E2838" s="44" t="str">
        <f>IFERROR(__xludf.DUMMYFUNCTION("""COMPUTED_VALUE"""),"")</f>
        <v/>
      </c>
      <c r="F2838" s="44" t="str">
        <f>IFERROR(__xludf.DUMMYFUNCTION("""COMPUTED_VALUE""")," ")</f>
        <v> </v>
      </c>
      <c r="G2838" s="44" t="str">
        <f>IFERROR(__xludf.DUMMYFUNCTION("""COMPUTED_VALUE"""),"")</f>
        <v/>
      </c>
      <c r="H2838" s="44" t="str">
        <f>IFERROR(__xludf.DUMMYFUNCTION("""COMPUTED_VALUE""")," ")</f>
        <v> </v>
      </c>
      <c r="I2838" s="44" t="str">
        <f>IFERROR(__xludf.DUMMYFUNCTION("""COMPUTED_VALUE""")," ")</f>
        <v> </v>
      </c>
      <c r="J2838" s="44" t="str">
        <f>IFERROR(__xludf.DUMMYFUNCTION("""COMPUTED_VALUE"""),"")</f>
        <v/>
      </c>
      <c r="K2838" s="42" t="str">
        <f>IFERROR(__xludf.DUMMYFUNCTION("""COMPUTED_VALUE"""),"Hospital Vargas de Caracas")</f>
        <v>Hospital Vargas de Caracas</v>
      </c>
    </row>
    <row r="2839">
      <c r="A2839" s="44">
        <v>2838.0</v>
      </c>
      <c r="B2839" s="44" t="str">
        <f>IFERROR(__xludf.DUMMYFUNCTION("""COMPUTED_VALUE"""),"Centro de Acopio Caraballeda")</f>
        <v>Centro de Acopio Caraballeda</v>
      </c>
      <c r="C2839" s="45" t="str">
        <f>IFERROR(__xludf.DUMMYFUNCTION("""COMPUTED_VALUE"""),"NAVARRO ENYER")</f>
        <v>NAVARRO ENYER</v>
      </c>
      <c r="D2839" s="44" t="str">
        <f>IFERROR(__xludf.DUMMYFUNCTION("""COMPUTED_VALUE""")," ")</f>
        <v> </v>
      </c>
      <c r="E2839" s="44" t="str">
        <f>IFERROR(__xludf.DUMMYFUNCTION("""COMPUTED_VALUE"""),"")</f>
        <v/>
      </c>
      <c r="F2839" s="44" t="str">
        <f>IFERROR(__xludf.DUMMYFUNCTION("""COMPUTED_VALUE"""),"")</f>
        <v/>
      </c>
      <c r="G2839" s="44" t="str">
        <f>IFERROR(__xludf.DUMMYFUNCTION("""COMPUTED_VALUE""")," ")</f>
        <v> </v>
      </c>
      <c r="H2839" s="44" t="str">
        <f>IFERROR(__xludf.DUMMYFUNCTION("""COMPUTED_VALUE""")," ")</f>
        <v> </v>
      </c>
      <c r="I2839" s="44" t="str">
        <f>IFERROR(__xludf.DUMMYFUNCTION("""COMPUTED_VALUE"""),"Internado")</f>
        <v>Internado</v>
      </c>
      <c r="J2839" s="44" t="str">
        <f>IFERROR(__xludf.DUMMYFUNCTION("""COMPUTED_VALUE"""),"")</f>
        <v/>
      </c>
      <c r="K2839" s="42" t="str">
        <f>IFERROR(__xludf.DUMMYFUNCTION("""COMPUTED_VALUE"""),"🔍 BUSCAR PACIENTES")</f>
        <v>🔍 BUSCAR PACIENTES</v>
      </c>
    </row>
    <row r="2840">
      <c r="A2840" s="44">
        <v>2839.0</v>
      </c>
      <c r="B2840" s="44" t="str">
        <f>IFERROR(__xludf.DUMMYFUNCTION("""COMPUTED_VALUE"""),"Centro de Acopio Caraballeda")</f>
        <v>Centro de Acopio Caraballeda</v>
      </c>
      <c r="C2840" s="45" t="str">
        <f>IFERROR(__xludf.DUMMYFUNCTION("""COMPUTED_VALUE"""),"NAVARRO JAVIER")</f>
        <v>NAVARRO JAVIER</v>
      </c>
      <c r="D2840" s="44" t="str">
        <f>IFERROR(__xludf.DUMMYFUNCTION("""COMPUTED_VALUE""")," ")</f>
        <v> </v>
      </c>
      <c r="E2840" s="44" t="str">
        <f>IFERROR(__xludf.DUMMYFUNCTION("""COMPUTED_VALUE"""),"")</f>
        <v/>
      </c>
      <c r="F2840" s="44" t="str">
        <f>IFERROR(__xludf.DUMMYFUNCTION("""COMPUTED_VALUE"""),"")</f>
        <v/>
      </c>
      <c r="G2840" s="44" t="str">
        <f>IFERROR(__xludf.DUMMYFUNCTION("""COMPUTED_VALUE""")," ")</f>
        <v> </v>
      </c>
      <c r="H2840" s="44" t="str">
        <f>IFERROR(__xludf.DUMMYFUNCTION("""COMPUTED_VALUE""")," ")</f>
        <v> </v>
      </c>
      <c r="I2840" s="44" t="str">
        <f>IFERROR(__xludf.DUMMYFUNCTION("""COMPUTED_VALUE"""),"Internado")</f>
        <v>Internado</v>
      </c>
      <c r="J2840" s="44" t="str">
        <f>IFERROR(__xludf.DUMMYFUNCTION("""COMPUTED_VALUE"""),"")</f>
        <v/>
      </c>
      <c r="K2840" s="42" t="str">
        <f>IFERROR(__xludf.DUMMYFUNCTION("""COMPUTED_VALUE"""),"🔍 BUSCAR PACIENTES")</f>
        <v>🔍 BUSCAR PACIENTES</v>
      </c>
    </row>
    <row r="2841">
      <c r="A2841" s="44">
        <v>2840.0</v>
      </c>
      <c r="B2841" s="44" t="str">
        <f>IFERROR(__xludf.DUMMYFUNCTION("""COMPUTED_VALUE"""),"La Guaira Sin Hospital")</f>
        <v>La Guaira Sin Hospital</v>
      </c>
      <c r="C2841" s="45" t="str">
        <f>IFERROR(__xludf.DUMMYFUNCTION("""COMPUTED_VALUE"""),"Navas Yodelis Mercedes")</f>
        <v>Navas Yodelis Mercedes</v>
      </c>
      <c r="D2841" s="44" t="str">
        <f>IFERROR(__xludf.DUMMYFUNCTION("""COMPUTED_VALUE"""),"")</f>
        <v/>
      </c>
      <c r="E2841" s="44" t="str">
        <f>IFERROR(__xludf.DUMMYFUNCTION("""COMPUTED_VALUE"""),"")</f>
        <v/>
      </c>
      <c r="F2841" s="44" t="str">
        <f>IFERROR(__xludf.DUMMYFUNCTION("""COMPUTED_VALUE"""),"")</f>
        <v/>
      </c>
      <c r="G2841" s="44" t="str">
        <f>IFERROR(__xludf.DUMMYFUNCTION("""COMPUTED_VALUE"""),"")</f>
        <v/>
      </c>
      <c r="H2841" s="44" t="str">
        <f>IFERROR(__xludf.DUMMYFUNCTION("""COMPUTED_VALUE"""),"Ciudad Caribia")</f>
        <v>Ciudad Caribia</v>
      </c>
      <c r="I2841" s="44" t="str">
        <f>IFERROR(__xludf.DUMMYFUNCTION("""COMPUTED_VALUE"""),"Listas con ubicación")</f>
        <v>Listas con ubicación</v>
      </c>
      <c r="J2841" s="44" t="str">
        <f>IFERROR(__xludf.DUMMYFUNCTION("""COMPUTED_VALUE"""),"")</f>
        <v/>
      </c>
      <c r="K2841" s="42" t="str">
        <f>IFERROR(__xludf.DUMMYFUNCTION("""COMPUTED_VALUE"""),"La Guaira Sin Hospital")</f>
        <v>La Guaira Sin Hospital</v>
      </c>
    </row>
    <row r="2842">
      <c r="A2842" s="44">
        <v>2841.0</v>
      </c>
      <c r="B2842" s="44" t="str">
        <f>IFERROR(__xludf.DUMMYFUNCTION("""COMPUTED_VALUE"""),"Hospital Pérez Carreño")</f>
        <v>Hospital Pérez Carreño</v>
      </c>
      <c r="C2842" s="45" t="str">
        <f>IFERROR(__xludf.DUMMYFUNCTION("""COMPUTED_VALUE"""),"Naves Vidal Marcela")</f>
        <v>Naves Vidal Marcela</v>
      </c>
      <c r="D2842" s="44"/>
      <c r="E2842" s="44" t="str">
        <f>IFERROR(__xludf.DUMMYFUNCTION("""COMPUTED_VALUE"""),"")</f>
        <v/>
      </c>
      <c r="F2842" s="44" t="str">
        <f>IFERROR(__xludf.DUMMYFUNCTION("""COMPUTED_VALUE"""),"")</f>
        <v/>
      </c>
      <c r="G2842" s="44" t="str">
        <f>IFERROR(__xludf.DUMMYFUNCTION("""COMPUTED_VALUE"""),"Traslados con destino asignado")</f>
        <v>Traslados con destino asignado</v>
      </c>
      <c r="H2842" s="44" t="str">
        <f>IFERROR(__xludf.DUMMYFUNCTION("""COMPUTED_VALUE"""),"Hospital Miguel Perez Carreño")</f>
        <v>Hospital Miguel Perez Carreño</v>
      </c>
      <c r="I2842" s="44"/>
      <c r="J2842" s="44" t="str">
        <f>IFERROR(__xludf.DUMMYFUNCTION("""COMPUTED_VALUE"""),"26/6/26")</f>
        <v>26/6/26</v>
      </c>
      <c r="K2842" s="42" t="str">
        <f>IFERROR(__xludf.DUMMYFUNCTION("""COMPUTED_VALUE"""),"Hospital Pérez Carreño")</f>
        <v>Hospital Pérez Carreño</v>
      </c>
    </row>
    <row r="2843">
      <c r="A2843" s="44">
        <v>2842.0</v>
      </c>
      <c r="B2843" s="44" t="str">
        <f>IFERROR(__xludf.DUMMYFUNCTION("""COMPUTED_VALUE"""),"Hospital Vargas de Caracas")</f>
        <v>Hospital Vargas de Caracas</v>
      </c>
      <c r="C2843" s="45" t="str">
        <f>IFERROR(__xludf.DUMMYFUNCTION("""COMPUTED_VALUE"""),"Nazareth Lopez")</f>
        <v>Nazareth Lopez</v>
      </c>
      <c r="D2843" s="44"/>
      <c r="E2843" s="44" t="str">
        <f>IFERROR(__xludf.DUMMYFUNCTION("""COMPUTED_VALUE"""),"")</f>
        <v/>
      </c>
      <c r="F2843" s="44"/>
      <c r="G2843" s="44" t="str">
        <f>IFERROR(__xludf.DUMMYFUNCTION("""COMPUTED_VALUE"""),"")</f>
        <v/>
      </c>
      <c r="H2843" s="44"/>
      <c r="I2843" s="44"/>
      <c r="J2843" s="44" t="str">
        <f>IFERROR(__xludf.DUMMYFUNCTION("""COMPUTED_VALUE"""),"")</f>
        <v/>
      </c>
      <c r="K2843" s="42" t="str">
        <f>IFERROR(__xludf.DUMMYFUNCTION("""COMPUTED_VALUE"""),"Hospital Vargas de Caracas")</f>
        <v>Hospital Vargas de Caracas</v>
      </c>
    </row>
    <row r="2844">
      <c r="A2844" s="44">
        <v>2843.0</v>
      </c>
      <c r="B2844" s="44" t="str">
        <f>IFERROR(__xludf.DUMMYFUNCTION("""COMPUTED_VALUE"""),"HOSPITAL VARGAS")</f>
        <v>HOSPITAL VARGAS</v>
      </c>
      <c r="C2844" s="45" t="str">
        <f>IFERROR(__xludf.DUMMYFUNCTION("""COMPUTED_VALUE"""),"Nazareth López")</f>
        <v>Nazareth López</v>
      </c>
      <c r="D2844" s="44"/>
      <c r="E2844" s="44" t="str">
        <f>IFERROR(__xludf.DUMMYFUNCTION("""COMPUTED_VALUE"""),"")</f>
        <v/>
      </c>
      <c r="F2844" s="44" t="str">
        <f>IFERROR(__xludf.DUMMYFUNCTION("""COMPUTED_VALUE"""),"")</f>
        <v/>
      </c>
      <c r="G2844" s="44" t="str">
        <f>IFERROR(__xludf.DUMMYFUNCTION("""COMPUTED_VALUE"""),"")</f>
        <v/>
      </c>
      <c r="H2844" s="44" t="str">
        <f>IFERROR(__xludf.DUMMYFUNCTION("""COMPUTED_VALUE"""),"")</f>
        <v/>
      </c>
      <c r="I2844" s="44" t="str">
        <f>IFERROR(__xludf.DUMMYFUNCTION("""COMPUTED_VALUE"""),"Herido / atendido")</f>
        <v>Herido / atendido</v>
      </c>
      <c r="J2844" s="44" t="str">
        <f>IFERROR(__xludf.DUMMYFUNCTION("""COMPUTED_VALUE"""),"24.06.2026 ")</f>
        <v>24.06.2026 </v>
      </c>
      <c r="K2844" s="42" t="str">
        <f>IFERROR(__xludf.DUMMYFUNCTION("""COMPUTED_VALUE"""),"HOSPITAL VARGAS")</f>
        <v>HOSPITAL VARGAS</v>
      </c>
    </row>
    <row r="2845">
      <c r="A2845" s="44">
        <v>2844.0</v>
      </c>
      <c r="B2845" s="44" t="str">
        <f>IFERROR(__xludf.DUMMYFUNCTION("""COMPUTED_VALUE"""),"Hospital Domingo Luciani")</f>
        <v>Hospital Domingo Luciani</v>
      </c>
      <c r="C2845" s="45" t="str">
        <f>IFERROR(__xludf.DUMMYFUNCTION("""COMPUTED_VALUE"""),"Neisy Fernandez")</f>
        <v>Neisy Fernandez</v>
      </c>
      <c r="D2845" s="44">
        <f>IFERROR(__xludf.DUMMYFUNCTION("""COMPUTED_VALUE"""),38.0)</f>
        <v>38</v>
      </c>
      <c r="E2845" s="44" t="str">
        <f>IFERROR(__xludf.DUMMYFUNCTION("""COMPUTED_VALUE"""),"")</f>
        <v/>
      </c>
      <c r="F2845" s="44" t="str">
        <f>IFERROR(__xludf.DUMMYFUNCTION("""COMPUTED_VALUE"""),"")</f>
        <v/>
      </c>
      <c r="G2845" s="44"/>
      <c r="H2845" s="44"/>
      <c r="I2845" s="44"/>
      <c r="J2845" s="44" t="str">
        <f>IFERROR(__xludf.DUMMYFUNCTION("""COMPUTED_VALUE"""),"")</f>
        <v/>
      </c>
      <c r="K2845" s="42" t="str">
        <f>IFERROR(__xludf.DUMMYFUNCTION("""COMPUTED_VALUE"""),"Hospital Domingo Luciani")</f>
        <v>Hospital Domingo Luciani</v>
      </c>
    </row>
    <row r="2846">
      <c r="A2846" s="44">
        <v>2845.0</v>
      </c>
      <c r="B2846" s="44" t="str">
        <f>IFERROR(__xludf.DUMMYFUNCTION("""COMPUTED_VALUE"""),"Hospital Vargas de Caracas")</f>
        <v>Hospital Vargas de Caracas</v>
      </c>
      <c r="C2846" s="45" t="str">
        <f>IFERROR(__xludf.DUMMYFUNCTION("""COMPUTED_VALUE"""),"Nejide Montoya")</f>
        <v>Nejide Montoya</v>
      </c>
      <c r="D2846" s="44"/>
      <c r="E2846" s="44" t="str">
        <f>IFERROR(__xludf.DUMMYFUNCTION("""COMPUTED_VALUE"""),"")</f>
        <v/>
      </c>
      <c r="F2846" s="44"/>
      <c r="G2846" s="44" t="str">
        <f>IFERROR(__xludf.DUMMYFUNCTION("""COMPUTED_VALUE"""),"")</f>
        <v/>
      </c>
      <c r="H2846" s="44"/>
      <c r="I2846" s="44" t="str">
        <f>IFERROR(__xludf.DUMMYFUNCTION("""COMPUTED_VALUE"""),"Nombre tomado de la pizarra de pacientes; no aparece en el formulario con C.I.")</f>
        <v>Nombre tomado de la pizarra de pacientes; no aparece en el formulario con C.I.</v>
      </c>
      <c r="J2846" s="44" t="str">
        <f>IFERROR(__xludf.DUMMYFUNCTION("""COMPUTED_VALUE"""),"")</f>
        <v/>
      </c>
      <c r="K2846" s="42" t="str">
        <f>IFERROR(__xludf.DUMMYFUNCTION("""COMPUTED_VALUE"""),"Hospital Vargas de Caracas")</f>
        <v>Hospital Vargas de Caracas</v>
      </c>
    </row>
    <row r="2847">
      <c r="A2847" s="44">
        <v>2846.0</v>
      </c>
      <c r="B2847" s="44" t="str">
        <f>IFERROR(__xludf.DUMMYFUNCTION("""COMPUTED_VALUE"""),"HOSPITAL VARGAS")</f>
        <v>HOSPITAL VARGAS</v>
      </c>
      <c r="C2847" s="45" t="str">
        <f>IFERROR(__xludf.DUMMYFUNCTION("""COMPUTED_VALUE"""),"Nelia Ruiz")</f>
        <v>Nelia Ruiz</v>
      </c>
      <c r="D2847" s="44"/>
      <c r="E2847" s="44" t="str">
        <f>IFERROR(__xludf.DUMMYFUNCTION("""COMPUTED_VALUE"""),"")</f>
        <v/>
      </c>
      <c r="F2847" s="44" t="str">
        <f>IFERROR(__xludf.DUMMYFUNCTION("""COMPUTED_VALUE"""),"")</f>
        <v/>
      </c>
      <c r="G2847" s="44" t="str">
        <f>IFERROR(__xludf.DUMMYFUNCTION("""COMPUTED_VALUE"""),"")</f>
        <v/>
      </c>
      <c r="H2847" s="44" t="str">
        <f>IFERROR(__xludf.DUMMYFUNCTION("""COMPUTED_VALUE"""),"")</f>
        <v/>
      </c>
      <c r="I2847" s="44" t="str">
        <f>IFERROR(__xludf.DUMMYFUNCTION("""COMPUTED_VALUE"""),"Herido / atendido")</f>
        <v>Herido / atendido</v>
      </c>
      <c r="J2847" s="44" t="str">
        <f>IFERROR(__xludf.DUMMYFUNCTION("""COMPUTED_VALUE"""),"24.06.2026 ")</f>
        <v>24.06.2026 </v>
      </c>
      <c r="K2847" s="42" t="str">
        <f>IFERROR(__xludf.DUMMYFUNCTION("""COMPUTED_VALUE"""),"HOSPITAL VARGAS")</f>
        <v>HOSPITAL VARGAS</v>
      </c>
    </row>
    <row r="2848">
      <c r="A2848" s="44">
        <v>2847.0</v>
      </c>
      <c r="B2848" s="44" t="str">
        <f>IFERROR(__xludf.DUMMYFUNCTION("""COMPUTED_VALUE"""),"Campo de Golf Playa los Cocos")</f>
        <v>Campo de Golf Playa los Cocos</v>
      </c>
      <c r="C2848" s="45" t="str">
        <f>IFERROR(__xludf.DUMMYFUNCTION("""COMPUTED_VALUE"""),"Nelimar Gonzalez Medina")</f>
        <v>Nelimar Gonzalez Medina</v>
      </c>
      <c r="D2848" s="44" t="str">
        <f>IFERROR(__xludf.DUMMYFUNCTION("""COMPUTED_VALUE"""),"")</f>
        <v/>
      </c>
      <c r="E2848" s="44" t="str">
        <f>IFERROR(__xludf.DUMMYFUNCTION("""COMPUTED_VALUE"""),"")</f>
        <v/>
      </c>
      <c r="F2848" s="44" t="str">
        <f>IFERROR(__xludf.DUMMYFUNCTION("""COMPUTED_VALUE"""),"")</f>
        <v/>
      </c>
      <c r="G2848" s="44" t="str">
        <f>IFERROR(__xludf.DUMMYFUNCTION("""COMPUTED_VALUE"""),"")</f>
        <v/>
      </c>
      <c r="H2848" s="44" t="str">
        <f>IFERROR(__xludf.DUMMYFUNCTION("""COMPUTED_VALUE"""),"")</f>
        <v/>
      </c>
      <c r="I2848" s="44"/>
      <c r="J2848" s="44" t="str">
        <f>IFERROR(__xludf.DUMMYFUNCTION("""COMPUTED_VALUE"""),"")</f>
        <v/>
      </c>
      <c r="K2848" s="42" t="str">
        <f>IFERROR(__xludf.DUMMYFUNCTION("""COMPUTED_VALUE"""),"Campo de Golf Playa los Cocos")</f>
        <v>Campo de Golf Playa los Cocos</v>
      </c>
    </row>
    <row r="2849">
      <c r="A2849" s="44">
        <v>2848.0</v>
      </c>
      <c r="B2849" s="44" t="str">
        <f>IFERROR(__xludf.DUMMYFUNCTION("""COMPUTED_VALUE"""),"Hospital Pérez Carreño")</f>
        <v>Hospital Pérez Carreño</v>
      </c>
      <c r="C2849" s="45" t="str">
        <f>IFERROR(__xludf.DUMMYFUNCTION("""COMPUTED_VALUE"""),"Nelly de Freitas")</f>
        <v>Nelly de Freitas</v>
      </c>
      <c r="D2849" s="44" t="str">
        <f>IFERROR(__xludf.DUMMYFUNCTION("""COMPUTED_VALUE"""),"63 años")</f>
        <v>63 años</v>
      </c>
      <c r="E2849" s="44" t="str">
        <f>IFERROR(__xludf.DUMMYFUNCTION("""COMPUTED_VALUE"""),"")</f>
        <v/>
      </c>
      <c r="F2849" s="44" t="str">
        <f>IFERROR(__xludf.DUMMYFUNCTION("""COMPUTED_VALUE"""),"")</f>
        <v/>
      </c>
      <c r="G2849" s="44" t="str">
        <f>IFERROR(__xludf.DUMMYFUNCTION("""COMPUTED_VALUE"""),"Traumashock")</f>
        <v>Traumashock</v>
      </c>
      <c r="H2849" s="44" t="str">
        <f>IFERROR(__xludf.DUMMYFUNCTION("""COMPUTED_VALUE"""),"Hospital Miguel Perez Carreño")</f>
        <v>Hospital Miguel Perez Carreño</v>
      </c>
      <c r="I2849" s="44"/>
      <c r="J2849" s="44" t="str">
        <f>IFERROR(__xludf.DUMMYFUNCTION("""COMPUTED_VALUE"""),"26/6/26")</f>
        <v>26/6/26</v>
      </c>
      <c r="K2849" s="42" t="str">
        <f>IFERROR(__xludf.DUMMYFUNCTION("""COMPUTED_VALUE"""),"Hospital Pérez Carreño")</f>
        <v>Hospital Pérez Carreño</v>
      </c>
    </row>
    <row r="2850">
      <c r="A2850" s="44">
        <v>2849.0</v>
      </c>
      <c r="B2850" s="44" t="str">
        <f>IFERROR(__xludf.DUMMYFUNCTION("""COMPUTED_VALUE"""),"Hospital Pérez Carreño")</f>
        <v>Hospital Pérez Carreño</v>
      </c>
      <c r="C2850" s="45" t="str">
        <f>IFERROR(__xludf.DUMMYFUNCTION("""COMPUTED_VALUE"""),"Nelly De Freites")</f>
        <v>Nelly De Freites</v>
      </c>
      <c r="D2850" s="44" t="str">
        <f>IFERROR(__xludf.DUMMYFUNCTION("""COMPUTED_VALUE"""),"63 años")</f>
        <v>63 años</v>
      </c>
      <c r="E2850" s="44" t="str">
        <f>IFERROR(__xludf.DUMMYFUNCTION("""COMPUTED_VALUE"""),"")</f>
        <v/>
      </c>
      <c r="F2850" s="44" t="str">
        <f>IFERROR(__xludf.DUMMYFUNCTION("""COMPUTED_VALUE"""),"")</f>
        <v/>
      </c>
      <c r="G2850" s="44" t="str">
        <f>IFERROR(__xludf.DUMMYFUNCTION("""COMPUTED_VALUE"""),"Traumashock ")</f>
        <v>Traumashock </v>
      </c>
      <c r="H2850" s="44" t="str">
        <f>IFERROR(__xludf.DUMMYFUNCTION("""COMPUTED_VALUE"""),"Hospital Miguel Perez Carreño")</f>
        <v>Hospital Miguel Perez Carreño</v>
      </c>
      <c r="I2850" s="44"/>
      <c r="J2850" s="44" t="str">
        <f>IFERROR(__xludf.DUMMYFUNCTION("""COMPUTED_VALUE"""),"26/6/26")</f>
        <v>26/6/26</v>
      </c>
      <c r="K2850" s="42" t="str">
        <f>IFERROR(__xludf.DUMMYFUNCTION("""COMPUTED_VALUE"""),"Hospital Pérez Carreño")</f>
        <v>Hospital Pérez Carreño</v>
      </c>
    </row>
    <row r="2851">
      <c r="A2851" s="44">
        <v>2850.0</v>
      </c>
      <c r="B2851" s="44" t="str">
        <f>IFERROR(__xludf.DUMMYFUNCTION("""COMPUTED_VALUE"""),"Hospital Domingo Luciani")</f>
        <v>Hospital Domingo Luciani</v>
      </c>
      <c r="C2851" s="45" t="str">
        <f>IFERROR(__xludf.DUMMYFUNCTION("""COMPUTED_VALUE"""),"Nelly Sandoval")</f>
        <v>Nelly Sandoval</v>
      </c>
      <c r="D2851" s="44">
        <f>IFERROR(__xludf.DUMMYFUNCTION("""COMPUTED_VALUE"""),62.0)</f>
        <v>62</v>
      </c>
      <c r="E2851" s="44" t="str">
        <f>IFERROR(__xludf.DUMMYFUNCTION("""COMPUTED_VALUE"""),"")</f>
        <v/>
      </c>
      <c r="F2851" s="44" t="str">
        <f>IFERROR(__xludf.DUMMYFUNCTION("""COMPUTED_VALUE"""),"")</f>
        <v/>
      </c>
      <c r="G2851" s="44"/>
      <c r="H2851" s="44"/>
      <c r="I2851" s="44"/>
      <c r="J2851" s="44" t="str">
        <f>IFERROR(__xludf.DUMMYFUNCTION("""COMPUTED_VALUE"""),"")</f>
        <v/>
      </c>
      <c r="K2851" s="42" t="str">
        <f>IFERROR(__xludf.DUMMYFUNCTION("""COMPUTED_VALUE"""),"Hospital Domingo Luciani")</f>
        <v>Hospital Domingo Luciani</v>
      </c>
    </row>
    <row r="2852">
      <c r="A2852" s="44">
        <v>2851.0</v>
      </c>
      <c r="B2852" s="44" t="str">
        <f>IFERROR(__xludf.DUMMYFUNCTION("""COMPUTED_VALUE"""),"Periférico de Catia")</f>
        <v>Periférico de Catia</v>
      </c>
      <c r="C2852" s="45" t="str">
        <f>IFERROR(__xludf.DUMMYFUNCTION("""COMPUTED_VALUE"""),"NELSON NADINE")</f>
        <v>NELSON NADINE</v>
      </c>
      <c r="D2852" s="44">
        <f>IFERROR(__xludf.DUMMYFUNCTION("""COMPUTED_VALUE"""),49.0)</f>
        <v>49</v>
      </c>
      <c r="E2852" s="44" t="str">
        <f>IFERROR(__xludf.DUMMYFUNCTION("""COMPUTED_VALUE"""),"")</f>
        <v/>
      </c>
      <c r="F2852" s="44" t="str">
        <f>IFERROR(__xludf.DUMMYFUNCTION("""COMPUTED_VALUE"""),"")</f>
        <v/>
      </c>
      <c r="G2852" s="44" t="str">
        <f>IFERROR(__xludf.DUMMYFUNCTION("""COMPUTED_VALUE""")," ")</f>
        <v> </v>
      </c>
      <c r="H2852" s="44" t="str">
        <f>IFERROR(__xludf.DUMMYFUNCTION("""COMPUTED_VALUE"""),"Calle Caribe, Japon")</f>
        <v>Calle Caribe, Japon</v>
      </c>
      <c r="I2852" s="44" t="str">
        <f>IFERROR(__xludf.DUMMYFUNCTION("""COMPUTED_VALUE"""),"TRM")</f>
        <v>TRM</v>
      </c>
      <c r="J2852" s="44" t="str">
        <f>IFERROR(__xludf.DUMMYFUNCTION("""COMPUTED_VALUE"""),"")</f>
        <v/>
      </c>
      <c r="K2852" s="42" t="str">
        <f>IFERROR(__xludf.DUMMYFUNCTION("""COMPUTED_VALUE"""),"Periférico de Catia")</f>
        <v>Periférico de Catia</v>
      </c>
    </row>
    <row r="2853">
      <c r="A2853" s="44">
        <v>2852.0</v>
      </c>
      <c r="B2853" s="44" t="str">
        <f>IFERROR(__xludf.DUMMYFUNCTION("""COMPUTED_VALUE"""),"Campo de Golf Playa los Cocos")</f>
        <v>Campo de Golf Playa los Cocos</v>
      </c>
      <c r="C2853" s="45" t="str">
        <f>IFERROR(__xludf.DUMMYFUNCTION("""COMPUTED_VALUE"""),"Nelson Silva")</f>
        <v>Nelson Silva</v>
      </c>
      <c r="D2853" s="44" t="str">
        <f>IFERROR(__xludf.DUMMYFUNCTION("""COMPUTED_VALUE"""),"")</f>
        <v/>
      </c>
      <c r="E2853" s="44" t="str">
        <f>IFERROR(__xludf.DUMMYFUNCTION("""COMPUTED_VALUE"""),"")</f>
        <v/>
      </c>
      <c r="F2853" s="44" t="str">
        <f>IFERROR(__xludf.DUMMYFUNCTION("""COMPUTED_VALUE"""),"")</f>
        <v/>
      </c>
      <c r="G2853" s="44" t="str">
        <f>IFERROR(__xludf.DUMMYFUNCTION("""COMPUTED_VALUE"""),"")</f>
        <v/>
      </c>
      <c r="H2853" s="44" t="str">
        <f>IFERROR(__xludf.DUMMYFUNCTION("""COMPUTED_VALUE"""),"")</f>
        <v/>
      </c>
      <c r="I2853" s="44"/>
      <c r="J2853" s="44" t="str">
        <f>IFERROR(__xludf.DUMMYFUNCTION("""COMPUTED_VALUE"""),"")</f>
        <v/>
      </c>
      <c r="K2853" s="42" t="str">
        <f>IFERROR(__xludf.DUMMYFUNCTION("""COMPUTED_VALUE"""),"Campo de Golf Playa los Cocos")</f>
        <v>Campo de Golf Playa los Cocos</v>
      </c>
    </row>
    <row r="2854">
      <c r="A2854" s="44">
        <v>2853.0</v>
      </c>
      <c r="B2854" s="44" t="str">
        <f>IFERROR(__xludf.DUMMYFUNCTION("""COMPUTED_VALUE"""),"Periférico de Catia")</f>
        <v>Periférico de Catia</v>
      </c>
      <c r="C2854" s="45" t="str">
        <f>IFERROR(__xludf.DUMMYFUNCTION("""COMPUTED_VALUE"""),"NELSOR ZABALA")</f>
        <v>NELSOR ZABALA</v>
      </c>
      <c r="D2854" s="44">
        <f>IFERROR(__xludf.DUMMYFUNCTION("""COMPUTED_VALUE"""),49.0)</f>
        <v>49</v>
      </c>
      <c r="E2854" s="44" t="str">
        <f>IFERROR(__xludf.DUMMYFUNCTION("""COMPUTED_VALUE"""),"")</f>
        <v/>
      </c>
      <c r="F2854" s="44" t="str">
        <f>IFERROR(__xludf.DUMMYFUNCTION("""COMPUTED_VALUE"""),"")</f>
        <v/>
      </c>
      <c r="G2854" s="44" t="str">
        <f>IFERROR(__xludf.DUMMYFUNCTION("""COMPUTED_VALUE""")," ")</f>
        <v> </v>
      </c>
      <c r="H2854" s="44" t="str">
        <f>IFERROR(__xludf.DUMMYFUNCTION("""COMPUTED_VALUE""")," ")</f>
        <v> </v>
      </c>
      <c r="I2854" s="44" t="str">
        <f>IFERROR(__xludf.DUMMYFUNCTION("""COMPUTED_VALUE"""),"Ajenas")</f>
        <v>Ajenas</v>
      </c>
      <c r="J2854" s="44" t="str">
        <f>IFERROR(__xludf.DUMMYFUNCTION("""COMPUTED_VALUE"""),"")</f>
        <v/>
      </c>
      <c r="K2854" s="42" t="str">
        <f>IFERROR(__xludf.DUMMYFUNCTION("""COMPUTED_VALUE"""),"Periférico de Catia")</f>
        <v>Periférico de Catia</v>
      </c>
    </row>
    <row r="2855">
      <c r="A2855" s="44">
        <v>2854.0</v>
      </c>
      <c r="B2855" s="44" t="str">
        <f>IFERROR(__xludf.DUMMYFUNCTION("""COMPUTED_VALUE"""),"Campo de Golf Playa los Cocos")</f>
        <v>Campo de Golf Playa los Cocos</v>
      </c>
      <c r="C2855" s="45" t="str">
        <f>IFERROR(__xludf.DUMMYFUNCTION("""COMPUTED_VALUE"""),"Nelyari Blanco")</f>
        <v>Nelyari Blanco</v>
      </c>
      <c r="D2855" s="44" t="str">
        <f>IFERROR(__xludf.DUMMYFUNCTION("""COMPUTED_VALUE"""),"")</f>
        <v/>
      </c>
      <c r="E2855" s="44" t="str">
        <f>IFERROR(__xludf.DUMMYFUNCTION("""COMPUTED_VALUE"""),"")</f>
        <v/>
      </c>
      <c r="F2855" s="44" t="str">
        <f>IFERROR(__xludf.DUMMYFUNCTION("""COMPUTED_VALUE"""),"")</f>
        <v/>
      </c>
      <c r="G2855" s="44" t="str">
        <f>IFERROR(__xludf.DUMMYFUNCTION("""COMPUTED_VALUE"""),"")</f>
        <v/>
      </c>
      <c r="H2855" s="44" t="str">
        <f>IFERROR(__xludf.DUMMYFUNCTION("""COMPUTED_VALUE"""),"")</f>
        <v/>
      </c>
      <c r="I2855" s="44"/>
      <c r="J2855" s="44" t="str">
        <f>IFERROR(__xludf.DUMMYFUNCTION("""COMPUTED_VALUE"""),"")</f>
        <v/>
      </c>
      <c r="K2855" s="42" t="str">
        <f>IFERROR(__xludf.DUMMYFUNCTION("""COMPUTED_VALUE"""),"Campo de Golf Playa los Cocos")</f>
        <v>Campo de Golf Playa los Cocos</v>
      </c>
    </row>
    <row r="2856">
      <c r="A2856" s="44">
        <v>2855.0</v>
      </c>
      <c r="B2856" s="44" t="str">
        <f>IFERROR(__xludf.DUMMYFUNCTION("""COMPUTED_VALUE"""),"HOSPITAL VARGAS")</f>
        <v>HOSPITAL VARGAS</v>
      </c>
      <c r="C2856" s="45" t="str">
        <f>IFERROR(__xludf.DUMMYFUNCTION("""COMPUTED_VALUE"""),"Neride Montoya")</f>
        <v>Neride Montoya</v>
      </c>
      <c r="D2856" s="44"/>
      <c r="E2856" s="44" t="str">
        <f>IFERROR(__xludf.DUMMYFUNCTION("""COMPUTED_VALUE"""),"")</f>
        <v/>
      </c>
      <c r="F2856" s="44" t="str">
        <f>IFERROR(__xludf.DUMMYFUNCTION("""COMPUTED_VALUE"""),"")</f>
        <v/>
      </c>
      <c r="G2856" s="44" t="str">
        <f>IFERROR(__xludf.DUMMYFUNCTION("""COMPUTED_VALUE"""),"")</f>
        <v/>
      </c>
      <c r="H2856" s="44" t="str">
        <f>IFERROR(__xludf.DUMMYFUNCTION("""COMPUTED_VALUE"""),"")</f>
        <v/>
      </c>
      <c r="I2856" s="44" t="str">
        <f>IFERROR(__xludf.DUMMYFUNCTION("""COMPUTED_VALUE"""),"Herido / atendido")</f>
        <v>Herido / atendido</v>
      </c>
      <c r="J2856" s="44" t="str">
        <f>IFERROR(__xludf.DUMMYFUNCTION("""COMPUTED_VALUE"""),"24.06.2026 ")</f>
        <v>24.06.2026 </v>
      </c>
      <c r="K2856" s="42" t="str">
        <f>IFERROR(__xludf.DUMMYFUNCTION("""COMPUTED_VALUE"""),"HOSPITAL VARGAS")</f>
        <v>HOSPITAL VARGAS</v>
      </c>
    </row>
    <row r="2857">
      <c r="A2857" s="44">
        <v>2856.0</v>
      </c>
      <c r="B2857" s="44" t="str">
        <f>IFERROR(__xludf.DUMMYFUNCTION("""COMPUTED_VALUE"""),"Seguro Social La Guaira")</f>
        <v>Seguro Social La Guaira</v>
      </c>
      <c r="C2857" s="45" t="str">
        <f>IFERROR(__xludf.DUMMYFUNCTION("""COMPUTED_VALUE"""),"NESTO JOSE NORA")</f>
        <v>NESTO JOSE NORA</v>
      </c>
      <c r="D2857" s="44">
        <f>IFERROR(__xludf.DUMMYFUNCTION("""COMPUTED_VALUE"""),65.0)</f>
        <v>65</v>
      </c>
      <c r="E2857" s="44" t="str">
        <f>IFERROR(__xludf.DUMMYFUNCTION("""COMPUTED_VALUE"""),"")</f>
        <v/>
      </c>
      <c r="F2857" s="44" t="str">
        <f>IFERROR(__xludf.DUMMYFUNCTION("""COMPUTED_VALUE"""),"")</f>
        <v/>
      </c>
      <c r="G2857" s="44" t="str">
        <f>IFERROR(__xludf.DUMMYFUNCTION("""COMPUTED_VALUE""")," ")</f>
        <v> </v>
      </c>
      <c r="H2857" s="44" t="str">
        <f>IFERROR(__xludf.DUMMYFUNCTION("""COMPUTED_VALUE"""),"Macuto")</f>
        <v>Macuto</v>
      </c>
      <c r="I2857" s="44" t="str">
        <f>IFERROR(__xludf.DUMMYFUNCTION("""COMPUTED_VALUE""")," ")</f>
        <v> </v>
      </c>
      <c r="J2857" s="44" t="str">
        <f>IFERROR(__xludf.DUMMYFUNCTION("""COMPUTED_VALUE"""),"")</f>
        <v/>
      </c>
      <c r="K2857" s="42" t="str">
        <f>IFERROR(__xludf.DUMMYFUNCTION("""COMPUTED_VALUE"""),"Seguro Social La Guaira")</f>
        <v>Seguro Social La Guaira</v>
      </c>
    </row>
    <row r="2858">
      <c r="A2858" s="44">
        <v>2857.0</v>
      </c>
      <c r="B2858" s="44" t="str">
        <f>IFERROR(__xludf.DUMMYFUNCTION("""COMPUTED_VALUE"""),"Campo de Golf Playa los Cocos")</f>
        <v>Campo de Golf Playa los Cocos</v>
      </c>
      <c r="C2858" s="45" t="str">
        <f>IFERROR(__xludf.DUMMYFUNCTION("""COMPUTED_VALUE"""),"Nestor Milano")</f>
        <v>Nestor Milano</v>
      </c>
      <c r="D2858" s="44" t="str">
        <f>IFERROR(__xludf.DUMMYFUNCTION("""COMPUTED_VALUE"""),"")</f>
        <v/>
      </c>
      <c r="E2858" s="44" t="str">
        <f>IFERROR(__xludf.DUMMYFUNCTION("""COMPUTED_VALUE"""),"")</f>
        <v/>
      </c>
      <c r="F2858" s="44" t="str">
        <f>IFERROR(__xludf.DUMMYFUNCTION("""COMPUTED_VALUE"""),"")</f>
        <v/>
      </c>
      <c r="G2858" s="44" t="str">
        <f>IFERROR(__xludf.DUMMYFUNCTION("""COMPUTED_VALUE"""),"")</f>
        <v/>
      </c>
      <c r="H2858" s="44" t="str">
        <f>IFERROR(__xludf.DUMMYFUNCTION("""COMPUTED_VALUE"""),"")</f>
        <v/>
      </c>
      <c r="I2858" s="44"/>
      <c r="J2858" s="44" t="str">
        <f>IFERROR(__xludf.DUMMYFUNCTION("""COMPUTED_VALUE"""),"")</f>
        <v/>
      </c>
      <c r="K2858" s="42" t="str">
        <f>IFERROR(__xludf.DUMMYFUNCTION("""COMPUTED_VALUE"""),"Campo de Golf Playa los Cocos")</f>
        <v>Campo de Golf Playa los Cocos</v>
      </c>
    </row>
    <row r="2859">
      <c r="A2859" s="44">
        <v>2858.0</v>
      </c>
      <c r="B2859" s="44" t="str">
        <f>IFERROR(__xludf.DUMMYFUNCTION("""COMPUTED_VALUE"""),"Campo de Golf Playa los Cocos")</f>
        <v>Campo de Golf Playa los Cocos</v>
      </c>
      <c r="C2859" s="45" t="str">
        <f>IFERROR(__xludf.DUMMYFUNCTION("""COMPUTED_VALUE"""),"Nicole Hernandez")</f>
        <v>Nicole Hernandez</v>
      </c>
      <c r="D2859" s="44" t="str">
        <f>IFERROR(__xludf.DUMMYFUNCTION("""COMPUTED_VALUE"""),"")</f>
        <v/>
      </c>
      <c r="E2859" s="44" t="str">
        <f>IFERROR(__xludf.DUMMYFUNCTION("""COMPUTED_VALUE"""),"")</f>
        <v/>
      </c>
      <c r="F2859" s="44" t="str">
        <f>IFERROR(__xludf.DUMMYFUNCTION("""COMPUTED_VALUE"""),"")</f>
        <v/>
      </c>
      <c r="G2859" s="44" t="str">
        <f>IFERROR(__xludf.DUMMYFUNCTION("""COMPUTED_VALUE"""),"")</f>
        <v/>
      </c>
      <c r="H2859" s="44" t="str">
        <f>IFERROR(__xludf.DUMMYFUNCTION("""COMPUTED_VALUE"""),"")</f>
        <v/>
      </c>
      <c r="I2859" s="44" t="str">
        <f>IFERROR(__xludf.DUMMYFUNCTION("""COMPUTED_VALUE"""),"menor")</f>
        <v>menor</v>
      </c>
      <c r="J2859" s="44" t="str">
        <f>IFERROR(__xludf.DUMMYFUNCTION("""COMPUTED_VALUE"""),"")</f>
        <v/>
      </c>
      <c r="K2859" s="42" t="str">
        <f>IFERROR(__xludf.DUMMYFUNCTION("""COMPUTED_VALUE"""),"Campo de Golf Playa los Cocos")</f>
        <v>Campo de Golf Playa los Cocos</v>
      </c>
    </row>
    <row r="2860">
      <c r="A2860" s="44">
        <v>2859.0</v>
      </c>
      <c r="B2860" s="44" t="str">
        <f>IFERROR(__xludf.DUMMYFUNCTION("""COMPUTED_VALUE"""),"Centro de Acopio Caraballeda")</f>
        <v>Centro de Acopio Caraballeda</v>
      </c>
      <c r="C2860" s="45" t="str">
        <f>IFERROR(__xludf.DUMMYFUNCTION("""COMPUTED_VALUE"""),"NIEVES JOSUE")</f>
        <v>NIEVES JOSUE</v>
      </c>
      <c r="D2860" s="44" t="str">
        <f>IFERROR(__xludf.DUMMYFUNCTION("""COMPUTED_VALUE""")," ")</f>
        <v> </v>
      </c>
      <c r="E2860" s="44" t="str">
        <f>IFERROR(__xludf.DUMMYFUNCTION("""COMPUTED_VALUE"""),"")</f>
        <v/>
      </c>
      <c r="F2860" s="44" t="str">
        <f>IFERROR(__xludf.DUMMYFUNCTION("""COMPUTED_VALUE"""),"")</f>
        <v/>
      </c>
      <c r="G2860" s="44" t="str">
        <f>IFERROR(__xludf.DUMMYFUNCTION("""COMPUTED_VALUE""")," ")</f>
        <v> </v>
      </c>
      <c r="H2860" s="44" t="str">
        <f>IFERROR(__xludf.DUMMYFUNCTION("""COMPUTED_VALUE""")," ")</f>
        <v> </v>
      </c>
      <c r="I2860" s="44" t="str">
        <f>IFERROR(__xludf.DUMMYFUNCTION("""COMPUTED_VALUE"""),"Internado")</f>
        <v>Internado</v>
      </c>
      <c r="J2860" s="44" t="str">
        <f>IFERROR(__xludf.DUMMYFUNCTION("""COMPUTED_VALUE"""),"")</f>
        <v/>
      </c>
      <c r="K2860" s="42" t="str">
        <f>IFERROR(__xludf.DUMMYFUNCTION("""COMPUTED_VALUE"""),"🔍 BUSCAR PACIENTES")</f>
        <v>🔍 BUSCAR PACIENTES</v>
      </c>
    </row>
    <row r="2861">
      <c r="A2861" s="44">
        <v>2860.0</v>
      </c>
      <c r="B2861" s="44" t="str">
        <f>IFERROR(__xludf.DUMMYFUNCTION("""COMPUTED_VALUE"""),"H. Jose Maria Vargas LG")</f>
        <v>H. Jose Maria Vargas LG</v>
      </c>
      <c r="C2861" s="45" t="str">
        <f>IFERROR(__xludf.DUMMYFUNCTION("""COMPUTED_VALUE"""),"NIEVES MOISES")</f>
        <v>NIEVES MOISES</v>
      </c>
      <c r="D2861" s="44" t="str">
        <f>IFERROR(__xludf.DUMMYFUNCTION("""COMPUTED_VALUE""")," ")</f>
        <v> </v>
      </c>
      <c r="E2861" s="44" t="str">
        <f>IFERROR(__xludf.DUMMYFUNCTION("""COMPUTED_VALUE"""),"")</f>
        <v/>
      </c>
      <c r="F2861" s="44" t="str">
        <f>IFERROR(__xludf.DUMMYFUNCTION("""COMPUTED_VALUE"""),"")</f>
        <v/>
      </c>
      <c r="G2861" s="44" t="str">
        <f>IFERROR(__xludf.DUMMYFUNCTION("""COMPUTED_VALUE""")," ")</f>
        <v> </v>
      </c>
      <c r="H2861" s="44" t="str">
        <f>IFERROR(__xludf.DUMMYFUNCTION("""COMPUTED_VALUE""")," ")</f>
        <v> </v>
      </c>
      <c r="I2861" s="44" t="str">
        <f>IFERROR(__xludf.DUMMYFUNCTION("""COMPUTED_VALUE""")," ")</f>
        <v> </v>
      </c>
      <c r="J2861" s="44" t="str">
        <f>IFERROR(__xludf.DUMMYFUNCTION("""COMPUTED_VALUE"""),"")</f>
        <v/>
      </c>
      <c r="K2861" s="42" t="str">
        <f>IFERROR(__xludf.DUMMYFUNCTION("""COMPUTED_VALUE"""),"H. Jose Maria Vargas LG")</f>
        <v>H. Jose Maria Vargas LG</v>
      </c>
    </row>
    <row r="2862">
      <c r="A2862" s="44">
        <v>2861.0</v>
      </c>
      <c r="B2862" s="44" t="str">
        <f>IFERROR(__xludf.DUMMYFUNCTION("""COMPUTED_VALUE"""),"Centro de Acopio Caraballeda")</f>
        <v>Centro de Acopio Caraballeda</v>
      </c>
      <c r="C2862" s="45" t="str">
        <f>IFERROR(__xludf.DUMMYFUNCTION("""COMPUTED_VALUE"""),"NIEVES ROGER")</f>
        <v>NIEVES ROGER</v>
      </c>
      <c r="D2862" s="44" t="str">
        <f>IFERROR(__xludf.DUMMYFUNCTION("""COMPUTED_VALUE""")," ")</f>
        <v> </v>
      </c>
      <c r="E2862" s="44" t="str">
        <f>IFERROR(__xludf.DUMMYFUNCTION("""COMPUTED_VALUE"""),"")</f>
        <v/>
      </c>
      <c r="F2862" s="44" t="str">
        <f>IFERROR(__xludf.DUMMYFUNCTION("""COMPUTED_VALUE"""),"")</f>
        <v/>
      </c>
      <c r="G2862" s="44" t="str">
        <f>IFERROR(__xludf.DUMMYFUNCTION("""COMPUTED_VALUE""")," ")</f>
        <v> </v>
      </c>
      <c r="H2862" s="44" t="str">
        <f>IFERROR(__xludf.DUMMYFUNCTION("""COMPUTED_VALUE""")," ")</f>
        <v> </v>
      </c>
      <c r="I2862" s="44" t="str">
        <f>IFERROR(__xludf.DUMMYFUNCTION("""COMPUTED_VALUE"""),"Internado")</f>
        <v>Internado</v>
      </c>
      <c r="J2862" s="44" t="str">
        <f>IFERROR(__xludf.DUMMYFUNCTION("""COMPUTED_VALUE"""),"")</f>
        <v/>
      </c>
      <c r="K2862" s="42" t="str">
        <f>IFERROR(__xludf.DUMMYFUNCTION("""COMPUTED_VALUE"""),"🔍 BUSCAR PACIENTES")</f>
        <v>🔍 BUSCAR PACIENTES</v>
      </c>
    </row>
    <row r="2863">
      <c r="A2863" s="44">
        <v>2862.0</v>
      </c>
      <c r="B2863" s="44" t="str">
        <f>IFERROR(__xludf.DUMMYFUNCTION("""COMPUTED_VALUE"""),"Campo de Golf Playa los Cocos")</f>
        <v>Campo de Golf Playa los Cocos</v>
      </c>
      <c r="C2863" s="45" t="str">
        <f>IFERROR(__xludf.DUMMYFUNCTION("""COMPUTED_VALUE"""),"Nilie Rodriguez")</f>
        <v>Nilie Rodriguez</v>
      </c>
      <c r="D2863" s="44" t="str">
        <f>IFERROR(__xludf.DUMMYFUNCTION("""COMPUTED_VALUE"""),"")</f>
        <v/>
      </c>
      <c r="E2863" s="44" t="str">
        <f>IFERROR(__xludf.DUMMYFUNCTION("""COMPUTED_VALUE"""),"")</f>
        <v/>
      </c>
      <c r="F2863" s="44" t="str">
        <f>IFERROR(__xludf.DUMMYFUNCTION("""COMPUTED_VALUE"""),"")</f>
        <v/>
      </c>
      <c r="G2863" s="44" t="str">
        <f>IFERROR(__xludf.DUMMYFUNCTION("""COMPUTED_VALUE"""),"")</f>
        <v/>
      </c>
      <c r="H2863" s="44" t="str">
        <f>IFERROR(__xludf.DUMMYFUNCTION("""COMPUTED_VALUE"""),"")</f>
        <v/>
      </c>
      <c r="I2863" s="44" t="str">
        <f>IFERROR(__xludf.DUMMYFUNCTION("""COMPUTED_VALUE"""),"menor")</f>
        <v>menor</v>
      </c>
      <c r="J2863" s="44" t="str">
        <f>IFERROR(__xludf.DUMMYFUNCTION("""COMPUTED_VALUE"""),"")</f>
        <v/>
      </c>
      <c r="K2863" s="42" t="str">
        <f>IFERROR(__xludf.DUMMYFUNCTION("""COMPUTED_VALUE"""),"Campo de Golf Playa los Cocos")</f>
        <v>Campo de Golf Playa los Cocos</v>
      </c>
    </row>
    <row r="2864">
      <c r="A2864" s="44">
        <v>2863.0</v>
      </c>
      <c r="B2864" s="44" t="str">
        <f>IFERROR(__xludf.DUMMYFUNCTION("""COMPUTED_VALUE"""),"Campo de Golf Playa los Cocos")</f>
        <v>Campo de Golf Playa los Cocos</v>
      </c>
      <c r="C2864" s="45" t="str">
        <f>IFERROR(__xludf.DUMMYFUNCTION("""COMPUTED_VALUE"""),"Nina Martinez Camargo")</f>
        <v>Nina Martinez Camargo</v>
      </c>
      <c r="D2864" s="44" t="str">
        <f>IFERROR(__xludf.DUMMYFUNCTION("""COMPUTED_VALUE"""),"")</f>
        <v/>
      </c>
      <c r="E2864" s="44" t="str">
        <f>IFERROR(__xludf.DUMMYFUNCTION("""COMPUTED_VALUE"""),"")</f>
        <v/>
      </c>
      <c r="F2864" s="44" t="str">
        <f>IFERROR(__xludf.DUMMYFUNCTION("""COMPUTED_VALUE"""),"")</f>
        <v/>
      </c>
      <c r="G2864" s="44" t="str">
        <f>IFERROR(__xludf.DUMMYFUNCTION("""COMPUTED_VALUE"""),"")</f>
        <v/>
      </c>
      <c r="H2864" s="44" t="str">
        <f>IFERROR(__xludf.DUMMYFUNCTION("""COMPUTED_VALUE"""),"")</f>
        <v/>
      </c>
      <c r="I2864" s="44" t="str">
        <f>IFERROR(__xludf.DUMMYFUNCTION("""COMPUTED_VALUE"""),"menor; anotada como 'nina menor' en el original")</f>
        <v>menor; anotada como 'nina menor' en el original</v>
      </c>
      <c r="J2864" s="44" t="str">
        <f>IFERROR(__xludf.DUMMYFUNCTION("""COMPUTED_VALUE"""),"")</f>
        <v/>
      </c>
      <c r="K2864" s="42" t="str">
        <f>IFERROR(__xludf.DUMMYFUNCTION("""COMPUTED_VALUE"""),"Campo de Golf Playa los Cocos")</f>
        <v>Campo de Golf Playa los Cocos</v>
      </c>
    </row>
    <row r="2865">
      <c r="A2865" s="44">
        <v>2864.0</v>
      </c>
      <c r="B2865" s="44" t="str">
        <f>IFERROR(__xludf.DUMMYFUNCTION("""COMPUTED_VALUE"""),"Campo de Golf Playa los Cocos")</f>
        <v>Campo de Golf Playa los Cocos</v>
      </c>
      <c r="C2865" s="45" t="str">
        <f>IFERROR(__xludf.DUMMYFUNCTION("""COMPUTED_VALUE"""),"Nirxon Ramirez")</f>
        <v>Nirxon Ramirez</v>
      </c>
      <c r="D2865" s="44" t="str">
        <f>IFERROR(__xludf.DUMMYFUNCTION("""COMPUTED_VALUE"""),"")</f>
        <v/>
      </c>
      <c r="E2865" s="44" t="str">
        <f>IFERROR(__xludf.DUMMYFUNCTION("""COMPUTED_VALUE"""),"")</f>
        <v/>
      </c>
      <c r="F2865" s="44" t="str">
        <f>IFERROR(__xludf.DUMMYFUNCTION("""COMPUTED_VALUE"""),"")</f>
        <v/>
      </c>
      <c r="G2865" s="44" t="str">
        <f>IFERROR(__xludf.DUMMYFUNCTION("""COMPUTED_VALUE"""),"")</f>
        <v/>
      </c>
      <c r="H2865" s="44" t="str">
        <f>IFERROR(__xludf.DUMMYFUNCTION("""COMPUTED_VALUE"""),"")</f>
        <v/>
      </c>
      <c r="I2865" s="44"/>
      <c r="J2865" s="44" t="str">
        <f>IFERROR(__xludf.DUMMYFUNCTION("""COMPUTED_VALUE"""),"")</f>
        <v/>
      </c>
      <c r="K2865" s="42" t="str">
        <f>IFERROR(__xludf.DUMMYFUNCTION("""COMPUTED_VALUE"""),"Campo de Golf Playa los Cocos")</f>
        <v>Campo de Golf Playa los Cocos</v>
      </c>
    </row>
    <row r="2866">
      <c r="A2866" s="44">
        <v>2865.0</v>
      </c>
      <c r="B2866" s="44" t="str">
        <f>IFERROR(__xludf.DUMMYFUNCTION("""COMPUTED_VALUE"""),"Campo de Golf Playa los Cocos")</f>
        <v>Campo de Golf Playa los Cocos</v>
      </c>
      <c r="C2866" s="45" t="str">
        <f>IFERROR(__xludf.DUMMYFUNCTION("""COMPUTED_VALUE"""),"Nivia Escalante")</f>
        <v>Nivia Escalante</v>
      </c>
      <c r="D2866" s="44" t="str">
        <f>IFERROR(__xludf.DUMMYFUNCTION("""COMPUTED_VALUE"""),"")</f>
        <v/>
      </c>
      <c r="E2866" s="44" t="str">
        <f>IFERROR(__xludf.DUMMYFUNCTION("""COMPUTED_VALUE"""),"")</f>
        <v/>
      </c>
      <c r="F2866" s="44" t="str">
        <f>IFERROR(__xludf.DUMMYFUNCTION("""COMPUTED_VALUE"""),"")</f>
        <v/>
      </c>
      <c r="G2866" s="44" t="str">
        <f>IFERROR(__xludf.DUMMYFUNCTION("""COMPUTED_VALUE"""),"")</f>
        <v/>
      </c>
      <c r="H2866" s="44" t="str">
        <f>IFERROR(__xludf.DUMMYFUNCTION("""COMPUTED_VALUE"""),"")</f>
        <v/>
      </c>
      <c r="I2866" s="44"/>
      <c r="J2866" s="44" t="str">
        <f>IFERROR(__xludf.DUMMYFUNCTION("""COMPUTED_VALUE"""),"")</f>
        <v/>
      </c>
      <c r="K2866" s="42" t="str">
        <f>IFERROR(__xludf.DUMMYFUNCTION("""COMPUTED_VALUE"""),"Campo de Golf Playa los Cocos")</f>
        <v>Campo de Golf Playa los Cocos</v>
      </c>
    </row>
    <row r="2867">
      <c r="A2867" s="44">
        <v>2866.0</v>
      </c>
      <c r="B2867" s="44" t="str">
        <f>IFERROR(__xludf.DUMMYFUNCTION("""COMPUTED_VALUE"""),"Hospital Domingo Luciani")</f>
        <v>Hospital Domingo Luciani</v>
      </c>
      <c r="C2867" s="45" t="str">
        <f>IFERROR(__xludf.DUMMYFUNCTION("""COMPUTED_VALUE"""),"Nivia Torresba")</f>
        <v>Nivia Torresba</v>
      </c>
      <c r="D2867" s="44">
        <f>IFERROR(__xludf.DUMMYFUNCTION("""COMPUTED_VALUE"""),68.0)</f>
        <v>68</v>
      </c>
      <c r="E2867" s="44" t="str">
        <f>IFERROR(__xludf.DUMMYFUNCTION("""COMPUTED_VALUE"""),"")</f>
        <v/>
      </c>
      <c r="F2867" s="44" t="str">
        <f>IFERROR(__xludf.DUMMYFUNCTION("""COMPUTED_VALUE"""),"")</f>
        <v/>
      </c>
      <c r="G2867" s="44"/>
      <c r="H2867" s="44"/>
      <c r="I2867" s="44"/>
      <c r="J2867" s="44" t="str">
        <f>IFERROR(__xludf.DUMMYFUNCTION("""COMPUTED_VALUE"""),"")</f>
        <v/>
      </c>
      <c r="K2867" s="42" t="str">
        <f>IFERROR(__xludf.DUMMYFUNCTION("""COMPUTED_VALUE"""),"Hospital Domingo Luciani")</f>
        <v>Hospital Domingo Luciani</v>
      </c>
    </row>
    <row r="2868">
      <c r="A2868" s="44">
        <v>2867.0</v>
      </c>
      <c r="B2868" s="44" t="str">
        <f>IFERROR(__xludf.DUMMYFUNCTION("""COMPUTED_VALUE"""),"Hospital Pérez Carreño")</f>
        <v>Hospital Pérez Carreño</v>
      </c>
      <c r="C2868" s="45" t="str">
        <f>IFERROR(__xludf.DUMMYFUNCTION("""COMPUTED_VALUE"""),"Noel La Rosa")</f>
        <v>Noel La Rosa</v>
      </c>
      <c r="D2868" s="44"/>
      <c r="E2868" s="44" t="str">
        <f>IFERROR(__xludf.DUMMYFUNCTION("""COMPUTED_VALUE"""),"")</f>
        <v/>
      </c>
      <c r="F2868" s="44" t="str">
        <f>IFERROR(__xludf.DUMMYFUNCTION("""COMPUTED_VALUE"""),"")</f>
        <v/>
      </c>
      <c r="G2868" s="44" t="str">
        <f>IFERROR(__xludf.DUMMYFUNCTION("""COMPUTED_VALUE"""),"Traumashock ")</f>
        <v>Traumashock </v>
      </c>
      <c r="H2868" s="44" t="str">
        <f>IFERROR(__xludf.DUMMYFUNCTION("""COMPUTED_VALUE"""),"Hospital Miguel Perez Carreño")</f>
        <v>Hospital Miguel Perez Carreño</v>
      </c>
      <c r="I2868" s="44"/>
      <c r="J2868" s="44" t="str">
        <f>IFERROR(__xludf.DUMMYFUNCTION("""COMPUTED_VALUE"""),"26/6/26")</f>
        <v>26/6/26</v>
      </c>
      <c r="K2868" s="42" t="str">
        <f>IFERROR(__xludf.DUMMYFUNCTION("""COMPUTED_VALUE"""),"Hospital Pérez Carreño")</f>
        <v>Hospital Pérez Carreño</v>
      </c>
    </row>
    <row r="2869">
      <c r="A2869" s="44">
        <v>2868.0</v>
      </c>
      <c r="B2869" s="44" t="str">
        <f>IFERROR(__xludf.DUMMYFUNCTION("""COMPUTED_VALUE"""),"Campo de Golf Playa los Cocos")</f>
        <v>Campo de Golf Playa los Cocos</v>
      </c>
      <c r="C2869" s="45" t="str">
        <f>IFERROR(__xludf.DUMMYFUNCTION("""COMPUTED_VALUE"""),"Noel Silva")</f>
        <v>Noel Silva</v>
      </c>
      <c r="D2869" s="44" t="str">
        <f>IFERROR(__xludf.DUMMYFUNCTION("""COMPUTED_VALUE"""),"")</f>
        <v/>
      </c>
      <c r="E2869" s="44" t="str">
        <f>IFERROR(__xludf.DUMMYFUNCTION("""COMPUTED_VALUE"""),"")</f>
        <v/>
      </c>
      <c r="F2869" s="44" t="str">
        <f>IFERROR(__xludf.DUMMYFUNCTION("""COMPUTED_VALUE"""),"")</f>
        <v/>
      </c>
      <c r="G2869" s="44" t="str">
        <f>IFERROR(__xludf.DUMMYFUNCTION("""COMPUTED_VALUE"""),"")</f>
        <v/>
      </c>
      <c r="H2869" s="44" t="str">
        <f>IFERROR(__xludf.DUMMYFUNCTION("""COMPUTED_VALUE"""),"")</f>
        <v/>
      </c>
      <c r="I2869" s="44" t="str">
        <f>IFERROR(__xludf.DUMMYFUNCTION("""COMPUTED_VALUE"""),"menor")</f>
        <v>menor</v>
      </c>
      <c r="J2869" s="44" t="str">
        <f>IFERROR(__xludf.DUMMYFUNCTION("""COMPUTED_VALUE"""),"")</f>
        <v/>
      </c>
      <c r="K2869" s="42" t="str">
        <f>IFERROR(__xludf.DUMMYFUNCTION("""COMPUTED_VALUE"""),"Campo de Golf Playa los Cocos")</f>
        <v>Campo de Golf Playa los Cocos</v>
      </c>
    </row>
    <row r="2870">
      <c r="A2870" s="44">
        <v>2869.0</v>
      </c>
      <c r="B2870" s="44" t="str">
        <f>IFERROR(__xludf.DUMMYFUNCTION("""COMPUTED_VALUE"""),"Periférico de Catia")</f>
        <v>Periférico de Catia</v>
      </c>
      <c r="C2870" s="45" t="str">
        <f>IFERROR(__xludf.DUMMYFUNCTION("""COMPUTED_VALUE"""),"Nohemy Marrero")</f>
        <v>Nohemy Marrero</v>
      </c>
      <c r="D2870" s="44">
        <f>IFERROR(__xludf.DUMMYFUNCTION("""COMPUTED_VALUE"""),20.0)</f>
        <v>20</v>
      </c>
      <c r="E2870" s="44" t="str">
        <f>IFERROR(__xludf.DUMMYFUNCTION("""COMPUTED_VALUE"""),"")</f>
        <v/>
      </c>
      <c r="F2870" s="44" t="str">
        <f>IFERROR(__xludf.DUMMYFUNCTION("""COMPUTED_VALUE"""),"")</f>
        <v/>
      </c>
      <c r="G2870" s="44"/>
      <c r="H2870" s="44"/>
      <c r="I2870" s="44" t="str">
        <f>IFERROR(__xludf.DUMMYFUNCTION("""COMPUTED_VALUE"""),"Politrauma Emergencia Vieja")</f>
        <v>Politrauma Emergencia Vieja</v>
      </c>
      <c r="J2870" s="44" t="str">
        <f>IFERROR(__xludf.DUMMYFUNCTION("""COMPUTED_VALUE"""),"")</f>
        <v/>
      </c>
      <c r="K2870" s="42" t="str">
        <f>IFERROR(__xludf.DUMMYFUNCTION("""COMPUTED_VALUE"""),"Periférico de Catia")</f>
        <v>Periférico de Catia</v>
      </c>
    </row>
    <row r="2871">
      <c r="A2871" s="44">
        <v>2870.0</v>
      </c>
      <c r="B2871" s="44" t="str">
        <f>IFERROR(__xludf.DUMMYFUNCTION("""COMPUTED_VALUE"""),"Hospital Domingo Luciani")</f>
        <v>Hospital Domingo Luciani</v>
      </c>
      <c r="C2871" s="45" t="str">
        <f>IFERROR(__xludf.DUMMYFUNCTION("""COMPUTED_VALUE"""),"NOHORI MARRERO")</f>
        <v>NOHORI MARRERO</v>
      </c>
      <c r="D2871" s="44">
        <f>IFERROR(__xludf.DUMMYFUNCTION("""COMPUTED_VALUE"""),20.0)</f>
        <v>20</v>
      </c>
      <c r="E2871" s="44" t="str">
        <f>IFERROR(__xludf.DUMMYFUNCTION("""COMPUTED_VALUE"""),"")</f>
        <v/>
      </c>
      <c r="F2871" s="44" t="str">
        <f>IFERROR(__xludf.DUMMYFUNCTION("""COMPUTED_VALUE"""),"")</f>
        <v/>
      </c>
      <c r="G2871" s="44" t="str">
        <f>IFERROR(__xludf.DUMMYFUNCTION("""COMPUTED_VALUE""")," ")</f>
        <v> </v>
      </c>
      <c r="H2871" s="44" t="str">
        <f>IFERROR(__xludf.DUMMYFUNCTION("""COMPUTED_VALUE""")," ")</f>
        <v> </v>
      </c>
      <c r="I2871" s="44" t="str">
        <f>IFERROR(__xludf.DUMMYFUNCTION("""COMPUTED_VALUE"""),"Politrauma Emerg. Vieja")</f>
        <v>Politrauma Emerg. Vieja</v>
      </c>
      <c r="J2871" s="44" t="str">
        <f>IFERROR(__xludf.DUMMYFUNCTION("""COMPUTED_VALUE"""),"")</f>
        <v/>
      </c>
      <c r="K2871" s="42" t="str">
        <f>IFERROR(__xludf.DUMMYFUNCTION("""COMPUTED_VALUE"""),"🔍 BUSCAR PACIENTES")</f>
        <v>🔍 BUSCAR PACIENTES</v>
      </c>
    </row>
    <row r="2872">
      <c r="A2872" s="44">
        <v>2871.0</v>
      </c>
      <c r="B2872" s="44" t="str">
        <f>IFERROR(__xludf.DUMMYFUNCTION("""COMPUTED_VALUE"""),"Campo de Golf Playa los Cocos")</f>
        <v>Campo de Golf Playa los Cocos</v>
      </c>
      <c r="C2872" s="45" t="str">
        <f>IFERROR(__xludf.DUMMYFUNCTION("""COMPUTED_VALUE"""),"Norelkys Castillo")</f>
        <v>Norelkys Castillo</v>
      </c>
      <c r="D2872" s="44" t="str">
        <f>IFERROR(__xludf.DUMMYFUNCTION("""COMPUTED_VALUE"""),"")</f>
        <v/>
      </c>
      <c r="E2872" s="44" t="str">
        <f>IFERROR(__xludf.DUMMYFUNCTION("""COMPUTED_VALUE"""),"")</f>
        <v/>
      </c>
      <c r="F2872" s="44" t="str">
        <f>IFERROR(__xludf.DUMMYFUNCTION("""COMPUTED_VALUE"""),"")</f>
        <v/>
      </c>
      <c r="G2872" s="44" t="str">
        <f>IFERROR(__xludf.DUMMYFUNCTION("""COMPUTED_VALUE"""),"")</f>
        <v/>
      </c>
      <c r="H2872" s="44" t="str">
        <f>IFERROR(__xludf.DUMMYFUNCTION("""COMPUTED_VALUE"""),"")</f>
        <v/>
      </c>
      <c r="I2872" s="44"/>
      <c r="J2872" s="44" t="str">
        <f>IFERROR(__xludf.DUMMYFUNCTION("""COMPUTED_VALUE"""),"")</f>
        <v/>
      </c>
      <c r="K2872" s="42" t="str">
        <f>IFERROR(__xludf.DUMMYFUNCTION("""COMPUTED_VALUE"""),"Campo de Golf Playa los Cocos")</f>
        <v>Campo de Golf Playa los Cocos</v>
      </c>
    </row>
    <row r="2873">
      <c r="A2873" s="44">
        <v>2872.0</v>
      </c>
      <c r="B2873" s="44" t="str">
        <f>IFERROR(__xludf.DUMMYFUNCTION("""COMPUTED_VALUE"""),"Hospital Domingo Luciani")</f>
        <v>Hospital Domingo Luciani</v>
      </c>
      <c r="C2873" s="45" t="str">
        <f>IFERROR(__xludf.DUMMYFUNCTION("""COMPUTED_VALUE"""),"Norguis Bercomo")</f>
        <v>Norguis Bercomo</v>
      </c>
      <c r="D2873" s="44">
        <f>IFERROR(__xludf.DUMMYFUNCTION("""COMPUTED_VALUE"""),37.0)</f>
        <v>37</v>
      </c>
      <c r="E2873" s="44" t="str">
        <f>IFERROR(__xludf.DUMMYFUNCTION("""COMPUTED_VALUE"""),"")</f>
        <v/>
      </c>
      <c r="F2873" s="44" t="str">
        <f>IFERROR(__xludf.DUMMYFUNCTION("""COMPUTED_VALUE"""),"")</f>
        <v/>
      </c>
      <c r="G2873" s="44"/>
      <c r="H2873" s="44"/>
      <c r="I2873" s="44"/>
      <c r="J2873" s="44" t="str">
        <f>IFERROR(__xludf.DUMMYFUNCTION("""COMPUTED_VALUE"""),"")</f>
        <v/>
      </c>
      <c r="K2873" s="42" t="str">
        <f>IFERROR(__xludf.DUMMYFUNCTION("""COMPUTED_VALUE"""),"Hospital Domingo Luciani")</f>
        <v>Hospital Domingo Luciani</v>
      </c>
    </row>
    <row r="2874">
      <c r="A2874" s="44">
        <v>2873.0</v>
      </c>
      <c r="B2874" s="44" t="str">
        <f>IFERROR(__xludf.DUMMYFUNCTION("""COMPUTED_VALUE"""),"Clínica El Ávila")</f>
        <v>Clínica El Ávila</v>
      </c>
      <c r="C2874" s="45" t="str">
        <f>IFERROR(__xludf.DUMMYFUNCTION("""COMPUTED_VALUE"""),"NOVOA MARTA")</f>
        <v>NOVOA MARTA</v>
      </c>
      <c r="D2874" s="44" t="str">
        <f>IFERROR(__xludf.DUMMYFUNCTION("""COMPUTED_VALUE""")," ")</f>
        <v> </v>
      </c>
      <c r="E2874" s="44" t="str">
        <f>IFERROR(__xludf.DUMMYFUNCTION("""COMPUTED_VALUE"""),"")</f>
        <v/>
      </c>
      <c r="F2874" s="44" t="str">
        <f>IFERROR(__xludf.DUMMYFUNCTION("""COMPUTED_VALUE"""),"")</f>
        <v/>
      </c>
      <c r="G2874" s="44" t="str">
        <f>IFERROR(__xludf.DUMMYFUNCTION("""COMPUTED_VALUE""")," ")</f>
        <v> </v>
      </c>
      <c r="H2874" s="44" t="str">
        <f>IFERROR(__xludf.DUMMYFUNCTION("""COMPUTED_VALUE""")," ")</f>
        <v> </v>
      </c>
      <c r="I2874" s="44" t="str">
        <f>IFERROR(__xludf.DUMMYFUNCTION("""COMPUTED_VALUE""")," ")</f>
        <v> </v>
      </c>
      <c r="J2874" s="44" t="str">
        <f>IFERROR(__xludf.DUMMYFUNCTION("""COMPUTED_VALUE"""),"")</f>
        <v/>
      </c>
      <c r="K2874" s="42" t="str">
        <f>IFERROR(__xludf.DUMMYFUNCTION("""COMPUTED_VALUE"""),"Clínica El Ávila")</f>
        <v>Clínica El Ávila</v>
      </c>
    </row>
    <row r="2875">
      <c r="A2875" s="44">
        <v>2874.0</v>
      </c>
      <c r="B2875" s="44" t="str">
        <f>IFERROR(__xludf.DUMMYFUNCTION("""COMPUTED_VALUE"""),"H. Jose Maria Vargas LG")</f>
        <v>H. Jose Maria Vargas LG</v>
      </c>
      <c r="C2875" s="45" t="str">
        <f>IFERROR(__xludf.DUMMYFUNCTION("""COMPUTED_VALUE"""),"NUNEZ MAIRELLY")</f>
        <v>NUNEZ MAIRELLY</v>
      </c>
      <c r="D2875" s="44" t="str">
        <f>IFERROR(__xludf.DUMMYFUNCTION("""COMPUTED_VALUE""")," ")</f>
        <v> </v>
      </c>
      <c r="E2875" s="44" t="str">
        <f>IFERROR(__xludf.DUMMYFUNCTION("""COMPUTED_VALUE"""),"")</f>
        <v/>
      </c>
      <c r="F2875" s="44" t="str">
        <f>IFERROR(__xludf.DUMMYFUNCTION("""COMPUTED_VALUE"""),"")</f>
        <v/>
      </c>
      <c r="G2875" s="44" t="str">
        <f>IFERROR(__xludf.DUMMYFUNCTION("""COMPUTED_VALUE""")," ")</f>
        <v> </v>
      </c>
      <c r="H2875" s="44" t="str">
        <f>IFERROR(__xludf.DUMMYFUNCTION("""COMPUTED_VALUE""")," ")</f>
        <v> </v>
      </c>
      <c r="I2875" s="44" t="str">
        <f>IFERROR(__xludf.DUMMYFUNCTION("""COMPUTED_VALUE""")," ")</f>
        <v> </v>
      </c>
      <c r="J2875" s="44" t="str">
        <f>IFERROR(__xludf.DUMMYFUNCTION("""COMPUTED_VALUE"""),"")</f>
        <v/>
      </c>
      <c r="K2875" s="42" t="str">
        <f>IFERROR(__xludf.DUMMYFUNCTION("""COMPUTED_VALUE"""),"H. Jose Maria Vargas LG")</f>
        <v>H. Jose Maria Vargas LG</v>
      </c>
    </row>
    <row r="2876">
      <c r="A2876" s="44">
        <v>2875.0</v>
      </c>
      <c r="B2876" s="44" t="str">
        <f>IFERROR(__xludf.DUMMYFUNCTION("""COMPUTED_VALUE"""),"Periférico de Catia")</f>
        <v>Periférico de Catia</v>
      </c>
      <c r="C2876" s="45" t="str">
        <f>IFERROR(__xludf.DUMMYFUNCTION("""COMPUTED_VALUE"""),"NUÑEZ MARIA")</f>
        <v>NUÑEZ MARIA</v>
      </c>
      <c r="D2876" s="44">
        <f>IFERROR(__xludf.DUMMYFUNCTION("""COMPUTED_VALUE"""),40.0)</f>
        <v>40</v>
      </c>
      <c r="E2876" s="44" t="str">
        <f>IFERROR(__xludf.DUMMYFUNCTION("""COMPUTED_VALUE"""),"")</f>
        <v/>
      </c>
      <c r="F2876" s="44" t="str">
        <f>IFERROR(__xludf.DUMMYFUNCTION("""COMPUTED_VALUE"""),"")</f>
        <v/>
      </c>
      <c r="G2876" s="44" t="str">
        <f>IFERROR(__xludf.DUMMYFUNCTION("""COMPUTED_VALUE""")," ")</f>
        <v> </v>
      </c>
      <c r="H2876" s="44" t="str">
        <f>IFERROR(__xludf.DUMMYFUNCTION("""COMPUTED_VALUE"""),"La Guaira, La Coca")</f>
        <v>La Guaira, La Coca</v>
      </c>
      <c r="I2876" s="44" t="str">
        <f>IFERROR(__xludf.DUMMYFUNCTION("""COMPUTED_VALUE"""),"TRM")</f>
        <v>TRM</v>
      </c>
      <c r="J2876" s="44" t="str">
        <f>IFERROR(__xludf.DUMMYFUNCTION("""COMPUTED_VALUE"""),"")</f>
        <v/>
      </c>
      <c r="K2876" s="42" t="str">
        <f>IFERROR(__xludf.DUMMYFUNCTION("""COMPUTED_VALUE"""),"Periférico de Catia")</f>
        <v>Periférico de Catia</v>
      </c>
    </row>
    <row r="2877">
      <c r="A2877" s="44">
        <v>2876.0</v>
      </c>
      <c r="B2877" s="44" t="str">
        <f>IFERROR(__xludf.DUMMYFUNCTION("""COMPUTED_VALUE"""),"Clínica El Ávila")</f>
        <v>Clínica El Ávila</v>
      </c>
      <c r="C2877" s="45" t="str">
        <f>IFERROR(__xludf.DUMMYFUNCTION("""COMPUTED_VALUE"""),"NUOVO NICOLETTE")</f>
        <v>NUOVO NICOLETTE</v>
      </c>
      <c r="D2877" s="44" t="str">
        <f>IFERROR(__xludf.DUMMYFUNCTION("""COMPUTED_VALUE""")," ")</f>
        <v> </v>
      </c>
      <c r="E2877" s="44" t="str">
        <f>IFERROR(__xludf.DUMMYFUNCTION("""COMPUTED_VALUE"""),"")</f>
        <v/>
      </c>
      <c r="F2877" s="44" t="str">
        <f>IFERROR(__xludf.DUMMYFUNCTION("""COMPUTED_VALUE"""),"")</f>
        <v/>
      </c>
      <c r="G2877" s="44" t="str">
        <f>IFERROR(__xludf.DUMMYFUNCTION("""COMPUTED_VALUE""")," ")</f>
        <v> </v>
      </c>
      <c r="H2877" s="44" t="str">
        <f>IFERROR(__xludf.DUMMYFUNCTION("""COMPUTED_VALUE""")," ")</f>
        <v> </v>
      </c>
      <c r="I2877" s="44" t="str">
        <f>IFERROR(__xludf.DUMMYFUNCTION("""COMPUTED_VALUE""")," ")</f>
        <v> </v>
      </c>
      <c r="J2877" s="44" t="str">
        <f>IFERROR(__xludf.DUMMYFUNCTION("""COMPUTED_VALUE"""),"")</f>
        <v/>
      </c>
      <c r="K2877" s="42" t="str">
        <f>IFERROR(__xludf.DUMMYFUNCTION("""COMPUTED_VALUE"""),"Clínica El Ávila")</f>
        <v>Clínica El Ávila</v>
      </c>
    </row>
    <row r="2878">
      <c r="A2878" s="44">
        <v>2877.0</v>
      </c>
      <c r="B2878" s="44" t="str">
        <f>IFERROR(__xludf.DUMMYFUNCTION("""COMPUTED_VALUE"""),"Hospital Domingo Luciani")</f>
        <v>Hospital Domingo Luciani</v>
      </c>
      <c r="C2878" s="45" t="str">
        <f>IFERROR(__xludf.DUMMYFUNCTION("""COMPUTED_VALUE"""),"OBREGON DIEGO")</f>
        <v>OBREGON DIEGO</v>
      </c>
      <c r="D2878" s="44">
        <f>IFERROR(__xludf.DUMMYFUNCTION("""COMPUTED_VALUE"""),14.0)</f>
        <v>14</v>
      </c>
      <c r="E2878" s="44" t="str">
        <f>IFERROR(__xludf.DUMMYFUNCTION("""COMPUTED_VALUE"""),"")</f>
        <v/>
      </c>
      <c r="F2878" s="44" t="str">
        <f>IFERROR(__xludf.DUMMYFUNCTION("""COMPUTED_VALUE"""),"")</f>
        <v/>
      </c>
      <c r="G2878" s="44" t="str">
        <f>IFERROR(__xludf.DUMMYFUNCTION("""COMPUTED_VALUE""")," ")</f>
        <v> </v>
      </c>
      <c r="H2878" s="44" t="str">
        <f>IFERROR(__xludf.DUMMYFUNCTION("""COMPUTED_VALUE""")," ")</f>
        <v> </v>
      </c>
      <c r="I2878" s="44" t="str">
        <f>IFERROR(__xludf.DUMMYFUNCTION("""COMPUTED_VALUE""")," ")</f>
        <v> </v>
      </c>
      <c r="J2878" s="44" t="str">
        <f>IFERROR(__xludf.DUMMYFUNCTION("""COMPUTED_VALUE"""),"")</f>
        <v/>
      </c>
      <c r="K2878" s="42" t="str">
        <f>IFERROR(__xludf.DUMMYFUNCTION("""COMPUTED_VALUE"""),"🔍 BUSCAR PACIENTES")</f>
        <v>🔍 BUSCAR PACIENTES</v>
      </c>
    </row>
    <row r="2879">
      <c r="A2879" s="44">
        <v>2878.0</v>
      </c>
      <c r="B2879" s="44" t="str">
        <f>IFERROR(__xludf.DUMMYFUNCTION("""COMPUTED_VALUE"""),"Centro de Acopio Caraballeda")</f>
        <v>Centro de Acopio Caraballeda</v>
      </c>
      <c r="C2879" s="45" t="str">
        <f>IFERROR(__xludf.DUMMYFUNCTION("""COMPUTED_VALUE"""),"OCHOA ARON")</f>
        <v>OCHOA ARON</v>
      </c>
      <c r="D2879" s="44" t="str">
        <f>IFERROR(__xludf.DUMMYFUNCTION("""COMPUTED_VALUE""")," ")</f>
        <v> </v>
      </c>
      <c r="E2879" s="44" t="str">
        <f>IFERROR(__xludf.DUMMYFUNCTION("""COMPUTED_VALUE"""),"")</f>
        <v/>
      </c>
      <c r="F2879" s="44" t="str">
        <f>IFERROR(__xludf.DUMMYFUNCTION("""COMPUTED_VALUE"""),"")</f>
        <v/>
      </c>
      <c r="G2879" s="44" t="str">
        <f>IFERROR(__xludf.DUMMYFUNCTION("""COMPUTED_VALUE""")," ")</f>
        <v> </v>
      </c>
      <c r="H2879" s="44" t="str">
        <f>IFERROR(__xludf.DUMMYFUNCTION("""COMPUTED_VALUE""")," ")</f>
        <v> </v>
      </c>
      <c r="I2879" s="44" t="str">
        <f>IFERROR(__xludf.DUMMYFUNCTION("""COMPUTED_VALUE"""),"Internado")</f>
        <v>Internado</v>
      </c>
      <c r="J2879" s="44" t="str">
        <f>IFERROR(__xludf.DUMMYFUNCTION("""COMPUTED_VALUE"""),"")</f>
        <v/>
      </c>
      <c r="K2879" s="42" t="str">
        <f>IFERROR(__xludf.DUMMYFUNCTION("""COMPUTED_VALUE"""),"🔍 BUSCAR PACIENTES")</f>
        <v>🔍 BUSCAR PACIENTES</v>
      </c>
    </row>
    <row r="2880">
      <c r="A2880" s="44">
        <v>2879.0</v>
      </c>
      <c r="B2880" s="44" t="str">
        <f>IFERROR(__xludf.DUMMYFUNCTION("""COMPUTED_VALUE"""),"Centro de Acopio Caraballeda")</f>
        <v>Centro de Acopio Caraballeda</v>
      </c>
      <c r="C2880" s="45" t="str">
        <f>IFERROR(__xludf.DUMMYFUNCTION("""COMPUTED_VALUE"""),"OCHOA YARNELIS")</f>
        <v>OCHOA YARNELIS</v>
      </c>
      <c r="D2880" s="44" t="str">
        <f>IFERROR(__xludf.DUMMYFUNCTION("""COMPUTED_VALUE""")," ")</f>
        <v> </v>
      </c>
      <c r="E2880" s="44" t="str">
        <f>IFERROR(__xludf.DUMMYFUNCTION("""COMPUTED_VALUE"""),"")</f>
        <v/>
      </c>
      <c r="F2880" s="44" t="str">
        <f>IFERROR(__xludf.DUMMYFUNCTION("""COMPUTED_VALUE"""),"")</f>
        <v/>
      </c>
      <c r="G2880" s="44" t="str">
        <f>IFERROR(__xludf.DUMMYFUNCTION("""COMPUTED_VALUE""")," ")</f>
        <v> </v>
      </c>
      <c r="H2880" s="44" t="str">
        <f>IFERROR(__xludf.DUMMYFUNCTION("""COMPUTED_VALUE""")," ")</f>
        <v> </v>
      </c>
      <c r="I2880" s="44" t="str">
        <f>IFERROR(__xludf.DUMMYFUNCTION("""COMPUTED_VALUE"""),"Internado")</f>
        <v>Internado</v>
      </c>
      <c r="J2880" s="44" t="str">
        <f>IFERROR(__xludf.DUMMYFUNCTION("""COMPUTED_VALUE"""),"")</f>
        <v/>
      </c>
      <c r="K2880" s="42" t="str">
        <f>IFERROR(__xludf.DUMMYFUNCTION("""COMPUTED_VALUE"""),"🔍 BUSCAR PACIENTES")</f>
        <v>🔍 BUSCAR PACIENTES</v>
      </c>
    </row>
    <row r="2881">
      <c r="A2881" s="44">
        <v>2880.0</v>
      </c>
      <c r="B2881" s="44" t="str">
        <f>IFERROR(__xludf.DUMMYFUNCTION("""COMPUTED_VALUE"""),"Hospital Domingo Luciani")</f>
        <v>Hospital Domingo Luciani</v>
      </c>
      <c r="C2881" s="45" t="str">
        <f>IFERROR(__xludf.DUMMYFUNCTION("""COMPUTED_VALUE"""),"ODEBE MANUEL")</f>
        <v>ODEBE MANUEL</v>
      </c>
      <c r="D2881" s="44">
        <f>IFERROR(__xludf.DUMMYFUNCTION("""COMPUTED_VALUE"""),38.0)</f>
        <v>38</v>
      </c>
      <c r="E2881" s="44" t="str">
        <f>IFERROR(__xludf.DUMMYFUNCTION("""COMPUTED_VALUE"""),"")</f>
        <v/>
      </c>
      <c r="F2881" s="44" t="str">
        <f>IFERROR(__xludf.DUMMYFUNCTION("""COMPUTED_VALUE"""),"")</f>
        <v/>
      </c>
      <c r="G2881" s="44" t="str">
        <f>IFERROR(__xludf.DUMMYFUNCTION("""COMPUTED_VALUE""")," ")</f>
        <v> </v>
      </c>
      <c r="H2881" s="44" t="str">
        <f>IFERROR(__xludf.DUMMYFUNCTION("""COMPUTED_VALUE""")," ")</f>
        <v> </v>
      </c>
      <c r="I2881" s="44" t="str">
        <f>IFERROR(__xludf.DUMMYFUNCTION("""COMPUTED_VALUE"""),"Medicina Interna – M")</f>
        <v>Medicina Interna – M</v>
      </c>
      <c r="J2881" s="44" t="str">
        <f>IFERROR(__xludf.DUMMYFUNCTION("""COMPUTED_VALUE"""),"")</f>
        <v/>
      </c>
      <c r="K2881" s="42" t="str">
        <f>IFERROR(__xludf.DUMMYFUNCTION("""COMPUTED_VALUE"""),"🔍 BUSCAR PACIENTES")</f>
        <v>🔍 BUSCAR PACIENTES</v>
      </c>
    </row>
    <row r="2882">
      <c r="A2882" s="44">
        <v>2881.0</v>
      </c>
      <c r="B2882" s="44" t="str">
        <f>IFERROR(__xludf.DUMMYFUNCTION("""COMPUTED_VALUE"""),"H. Jose Maria Vargas LG")</f>
        <v>H. Jose Maria Vargas LG</v>
      </c>
      <c r="C2882" s="45" t="str">
        <f>IFERROR(__xludf.DUMMYFUNCTION("""COMPUTED_VALUE"""),"OJEDA DEULIS")</f>
        <v>OJEDA DEULIS</v>
      </c>
      <c r="D2882" s="44" t="str">
        <f>IFERROR(__xludf.DUMMYFUNCTION("""COMPUTED_VALUE""")," ")</f>
        <v> </v>
      </c>
      <c r="E2882" s="44" t="str">
        <f>IFERROR(__xludf.DUMMYFUNCTION("""COMPUTED_VALUE"""),"")</f>
        <v/>
      </c>
      <c r="F2882" s="44" t="str">
        <f>IFERROR(__xludf.DUMMYFUNCTION("""COMPUTED_VALUE"""),"")</f>
        <v/>
      </c>
      <c r="G2882" s="44" t="str">
        <f>IFERROR(__xludf.DUMMYFUNCTION("""COMPUTED_VALUE""")," ")</f>
        <v> </v>
      </c>
      <c r="H2882" s="44" t="str">
        <f>IFERROR(__xludf.DUMMYFUNCTION("""COMPUTED_VALUE""")," ")</f>
        <v> </v>
      </c>
      <c r="I2882" s="44" t="str">
        <f>IFERROR(__xludf.DUMMYFUNCTION("""COMPUTED_VALUE""")," ")</f>
        <v> </v>
      </c>
      <c r="J2882" s="44" t="str">
        <f>IFERROR(__xludf.DUMMYFUNCTION("""COMPUTED_VALUE"""),"")</f>
        <v/>
      </c>
      <c r="K2882" s="42" t="str">
        <f>IFERROR(__xludf.DUMMYFUNCTION("""COMPUTED_VALUE"""),"H. Jose Maria Vargas LG")</f>
        <v>H. Jose Maria Vargas LG</v>
      </c>
    </row>
    <row r="2883">
      <c r="A2883" s="44">
        <v>2882.0</v>
      </c>
      <c r="B2883" s="44" t="str">
        <f>IFERROR(__xludf.DUMMYFUNCTION("""COMPUTED_VALUE"""),"Hospital Domingo Luciani")</f>
        <v>Hospital Domingo Luciani</v>
      </c>
      <c r="C2883" s="45" t="str">
        <f>IFERROR(__xludf.DUMMYFUNCTION("""COMPUTED_VALUE"""),"OJEDA DORIS ARRIETA")</f>
        <v>OJEDA DORIS ARRIETA</v>
      </c>
      <c r="D2883" s="44">
        <f>IFERROR(__xludf.DUMMYFUNCTION("""COMPUTED_VALUE"""),65.0)</f>
        <v>65</v>
      </c>
      <c r="E2883" s="44" t="str">
        <f>IFERROR(__xludf.DUMMYFUNCTION("""COMPUTED_VALUE"""),"")</f>
        <v/>
      </c>
      <c r="F2883" s="44" t="str">
        <f>IFERROR(__xludf.DUMMYFUNCTION("""COMPUTED_VALUE"""),"")</f>
        <v/>
      </c>
      <c r="G2883" s="44" t="str">
        <f>IFERROR(__xludf.DUMMYFUNCTION("""COMPUTED_VALUE""")," ")</f>
        <v> </v>
      </c>
      <c r="H2883" s="44" t="str">
        <f>IFERROR(__xludf.DUMMYFUNCTION("""COMPUTED_VALUE""")," ")</f>
        <v> </v>
      </c>
      <c r="I2883" s="44" t="str">
        <f>IFERROR(__xludf.DUMMYFUNCTION("""COMPUTED_VALUE""")," ")</f>
        <v> </v>
      </c>
      <c r="J2883" s="44" t="str">
        <f>IFERROR(__xludf.DUMMYFUNCTION("""COMPUTED_VALUE"""),"")</f>
        <v/>
      </c>
      <c r="K2883" s="42" t="str">
        <f>IFERROR(__xludf.DUMMYFUNCTION("""COMPUTED_VALUE"""),"🔍 BUSCAR PACIENTES")</f>
        <v>🔍 BUSCAR PACIENTES</v>
      </c>
    </row>
    <row r="2884">
      <c r="A2884" s="44">
        <v>2883.0</v>
      </c>
      <c r="B2884" s="44" t="str">
        <f>IFERROR(__xludf.DUMMYFUNCTION("""COMPUTED_VALUE"""),"Hospital Domingo Luciani")</f>
        <v>Hospital Domingo Luciani</v>
      </c>
      <c r="C2884" s="45" t="str">
        <f>IFERROR(__xludf.DUMMYFUNCTION("""COMPUTED_VALUE"""),"OJEDA DORIS ARRIETA / OJEDA ARRIETA DORIS")</f>
        <v>OJEDA DORIS ARRIETA / OJEDA ARRIETA DORIS</v>
      </c>
      <c r="D2884" s="44" t="str">
        <f>IFERROR(__xludf.DUMMYFUNCTION("""COMPUTED_VALUE""")," ")</f>
        <v> </v>
      </c>
      <c r="E2884" s="44" t="str">
        <f>IFERROR(__xludf.DUMMYFUNCTION("""COMPUTED_VALUE"""),"")</f>
        <v/>
      </c>
      <c r="F2884" s="44" t="str">
        <f>IFERROR(__xludf.DUMMYFUNCTION("""COMPUTED_VALUE"""),"")</f>
        <v/>
      </c>
      <c r="G2884" s="44" t="str">
        <f>IFERROR(__xludf.DUMMYFUNCTION("""COMPUTED_VALUE""")," ")</f>
        <v> </v>
      </c>
      <c r="H2884" s="44" t="str">
        <f>IFERROR(__xludf.DUMMYFUNCTION("""COMPUTED_VALUE""")," ")</f>
        <v> </v>
      </c>
      <c r="I2884" s="44" t="str">
        <f>IFERROR(__xludf.DUMMYFUNCTION("""COMPUTED_VALUE"""),"Politrauma")</f>
        <v>Politrauma</v>
      </c>
      <c r="J2884" s="44" t="str">
        <f>IFERROR(__xludf.DUMMYFUNCTION("""COMPUTED_VALUE"""),"")</f>
        <v/>
      </c>
      <c r="K2884" s="42" t="str">
        <f>IFERROR(__xludf.DUMMYFUNCTION("""COMPUTED_VALUE"""),"🔍 BUSCAR PACIENTES")</f>
        <v>🔍 BUSCAR PACIENTES</v>
      </c>
    </row>
    <row r="2885">
      <c r="A2885" s="44">
        <v>2884.0</v>
      </c>
      <c r="B2885" s="44" t="str">
        <f>IFERROR(__xludf.DUMMYFUNCTION("""COMPUTED_VALUE"""),"Hospital Pérez Carreño")</f>
        <v>Hospital Pérez Carreño</v>
      </c>
      <c r="C2885" s="45" t="str">
        <f>IFERROR(__xludf.DUMMYFUNCTION("""COMPUTED_VALUE"""),"Oleidy Melendez")</f>
        <v>Oleidy Melendez</v>
      </c>
      <c r="D2885" s="44"/>
      <c r="E2885" s="44" t="str">
        <f>IFERROR(__xludf.DUMMYFUNCTION("""COMPUTED_VALUE"""),"")</f>
        <v/>
      </c>
      <c r="F2885" s="44" t="str">
        <f>IFERROR(__xludf.DUMMYFUNCTION("""COMPUTED_VALUE"""),"")</f>
        <v/>
      </c>
      <c r="G2885" s="44" t="str">
        <f>IFERROR(__xludf.DUMMYFUNCTION("""COMPUTED_VALUE"""),"Traumashock ")</f>
        <v>Traumashock </v>
      </c>
      <c r="H2885" s="44" t="str">
        <f>IFERROR(__xludf.DUMMYFUNCTION("""COMPUTED_VALUE"""),"Hospital Miguel Perez Carreño")</f>
        <v>Hospital Miguel Perez Carreño</v>
      </c>
      <c r="I2885" s="44"/>
      <c r="J2885" s="44" t="str">
        <f>IFERROR(__xludf.DUMMYFUNCTION("""COMPUTED_VALUE"""),"26/6/26")</f>
        <v>26/6/26</v>
      </c>
      <c r="K2885" s="42" t="str">
        <f>IFERROR(__xludf.DUMMYFUNCTION("""COMPUTED_VALUE"""),"Hospital Pérez Carreño")</f>
        <v>Hospital Pérez Carreño</v>
      </c>
    </row>
    <row r="2886">
      <c r="A2886" s="44">
        <v>2885.0</v>
      </c>
      <c r="B2886" s="44" t="str">
        <f>IFERROR(__xludf.DUMMYFUNCTION("""COMPUTED_VALUE"""),"Hospital Pérez Carreño")</f>
        <v>Hospital Pérez Carreño</v>
      </c>
      <c r="C2886" s="45" t="str">
        <f>IFERROR(__xludf.DUMMYFUNCTION("""COMPUTED_VALUE"""),"Oleini Melendez")</f>
        <v>Oleini Melendez</v>
      </c>
      <c r="D2886" s="44"/>
      <c r="E2886" s="44" t="str">
        <f>IFERROR(__xludf.DUMMYFUNCTION("""COMPUTED_VALUE"""),"")</f>
        <v/>
      </c>
      <c r="F2886" s="44" t="str">
        <f>IFERROR(__xludf.DUMMYFUNCTION("""COMPUTED_VALUE"""),"")</f>
        <v/>
      </c>
      <c r="G2886" s="44" t="str">
        <f>IFERROR(__xludf.DUMMYFUNCTION("""COMPUTED_VALUE"""),"Traumashock ")</f>
        <v>Traumashock </v>
      </c>
      <c r="H2886" s="44" t="str">
        <f>IFERROR(__xludf.DUMMYFUNCTION("""COMPUTED_VALUE"""),"Hospital Miguel Perez Carreño")</f>
        <v>Hospital Miguel Perez Carreño</v>
      </c>
      <c r="I2886" s="44"/>
      <c r="J2886" s="44" t="str">
        <f>IFERROR(__xludf.DUMMYFUNCTION("""COMPUTED_VALUE"""),"26/6/26")</f>
        <v>26/6/26</v>
      </c>
      <c r="K2886" s="42" t="str">
        <f>IFERROR(__xludf.DUMMYFUNCTION("""COMPUTED_VALUE"""),"Hospital Pérez Carreño")</f>
        <v>Hospital Pérez Carreño</v>
      </c>
    </row>
    <row r="2887">
      <c r="A2887" s="44">
        <v>2886.0</v>
      </c>
      <c r="B2887" s="44" t="str">
        <f>IFERROR(__xludf.DUMMYFUNCTION("""COMPUTED_VALUE"""),"Hospital Pérez Carreño")</f>
        <v>Hospital Pérez Carreño</v>
      </c>
      <c r="C2887" s="45" t="str">
        <f>IFERROR(__xludf.DUMMYFUNCTION("""COMPUTED_VALUE"""),"Oleo Alfian")</f>
        <v>Oleo Alfian</v>
      </c>
      <c r="D2887" s="44"/>
      <c r="E2887" s="44" t="str">
        <f>IFERROR(__xludf.DUMMYFUNCTION("""COMPUTED_VALUE"""),"")</f>
        <v/>
      </c>
      <c r="F2887" s="44" t="str">
        <f>IFERROR(__xludf.DUMMYFUNCTION("""COMPUTED_VALUE"""),"")</f>
        <v/>
      </c>
      <c r="G2887" s="44" t="str">
        <f>IFERROR(__xludf.DUMMYFUNCTION("""COMPUTED_VALUE"""),"Traslados con destino asignado")</f>
        <v>Traslados con destino asignado</v>
      </c>
      <c r="H2887" s="44" t="str">
        <f>IFERROR(__xludf.DUMMYFUNCTION("""COMPUTED_VALUE"""),"Hospital Miguel Perez Carreño")</f>
        <v>Hospital Miguel Perez Carreño</v>
      </c>
      <c r="I2887" s="44"/>
      <c r="J2887" s="44" t="str">
        <f>IFERROR(__xludf.DUMMYFUNCTION("""COMPUTED_VALUE"""),"26/6/26")</f>
        <v>26/6/26</v>
      </c>
      <c r="K2887" s="42" t="str">
        <f>IFERROR(__xludf.DUMMYFUNCTION("""COMPUTED_VALUE"""),"Hospital Pérez Carreño")</f>
        <v>Hospital Pérez Carreño</v>
      </c>
    </row>
    <row r="2888">
      <c r="A2888" s="44">
        <v>2887.0</v>
      </c>
      <c r="B2888" s="44" t="str">
        <f>IFERROR(__xludf.DUMMYFUNCTION("""COMPUTED_VALUE"""),"Seguro Social La Guaira")</f>
        <v>Seguro Social La Guaira</v>
      </c>
      <c r="C2888" s="45" t="str">
        <f>IFERROR(__xludf.DUMMYFUNCTION("""COMPUTED_VALUE"""),"OLGA POSA ESCOBAR")</f>
        <v>OLGA POSA ESCOBAR</v>
      </c>
      <c r="D2888" s="44" t="str">
        <f>IFERROR(__xludf.DUMMYFUNCTION("""COMPUTED_VALUE""")," ")</f>
        <v> </v>
      </c>
      <c r="E2888" s="44" t="str">
        <f>IFERROR(__xludf.DUMMYFUNCTION("""COMPUTED_VALUE"""),"")</f>
        <v/>
      </c>
      <c r="F2888" s="44" t="str">
        <f>IFERROR(__xludf.DUMMYFUNCTION("""COMPUTED_VALUE"""),"")</f>
        <v/>
      </c>
      <c r="G2888" s="44" t="str">
        <f>IFERROR(__xludf.DUMMYFUNCTION("""COMPUTED_VALUE""")," ")</f>
        <v> </v>
      </c>
      <c r="H2888" s="44" t="str">
        <f>IFERROR(__xludf.DUMMYFUNCTION("""COMPUTED_VALUE"""),"Corales")</f>
        <v>Corales</v>
      </c>
      <c r="I2888" s="44" t="str">
        <f>IFERROR(__xludf.DUMMYFUNCTION("""COMPUTED_VALUE""")," ")</f>
        <v> </v>
      </c>
      <c r="J2888" s="44" t="str">
        <f>IFERROR(__xludf.DUMMYFUNCTION("""COMPUTED_VALUE"""),"")</f>
        <v/>
      </c>
      <c r="K2888" s="42" t="str">
        <f>IFERROR(__xludf.DUMMYFUNCTION("""COMPUTED_VALUE"""),"Seguro Social La Guaira")</f>
        <v>Seguro Social La Guaira</v>
      </c>
    </row>
    <row r="2889">
      <c r="A2889" s="44">
        <v>2888.0</v>
      </c>
      <c r="B2889" s="44" t="str">
        <f>IFERROR(__xludf.DUMMYFUNCTION("""COMPUTED_VALUE"""),"Hospital Pérez Carreño")</f>
        <v>Hospital Pérez Carreño</v>
      </c>
      <c r="C2889" s="45" t="str">
        <f>IFERROR(__xludf.DUMMYFUNCTION("""COMPUTED_VALUE"""),"Oliangel Melendez")</f>
        <v>Oliangel Melendez</v>
      </c>
      <c r="D2889" s="44" t="str">
        <f>IFERROR(__xludf.DUMMYFUNCTION("""COMPUTED_VALUE"""),"La Guaira")</f>
        <v>La Guaira</v>
      </c>
      <c r="E2889" s="44" t="str">
        <f>IFERROR(__xludf.DUMMYFUNCTION("""COMPUTED_VALUE"""),"")</f>
        <v/>
      </c>
      <c r="F2889" s="44" t="str">
        <f>IFERROR(__xludf.DUMMYFUNCTION("""COMPUTED_VALUE"""),"")</f>
        <v/>
      </c>
      <c r="G2889" s="44"/>
      <c r="H2889" s="44"/>
      <c r="I2889" s="44"/>
      <c r="J2889" s="44"/>
      <c r="K2889" s="42" t="str">
        <f>IFERROR(__xludf.DUMMYFUNCTION("""COMPUTED_VALUE"""),"Hospital Pérez Carreño")</f>
        <v>Hospital Pérez Carreño</v>
      </c>
    </row>
    <row r="2890">
      <c r="A2890" s="44">
        <v>2889.0</v>
      </c>
      <c r="B2890" s="44" t="str">
        <f>IFERROR(__xludf.DUMMYFUNCTION("""COMPUTED_VALUE"""),"Centro de Acopio Caraballeda")</f>
        <v>Centro de Acopio Caraballeda</v>
      </c>
      <c r="C2890" s="45" t="str">
        <f>IFERROR(__xludf.DUMMYFUNCTION("""COMPUTED_VALUE"""),"OLIVARES DAYANA")</f>
        <v>OLIVARES DAYANA</v>
      </c>
      <c r="D2890" s="44" t="str">
        <f>IFERROR(__xludf.DUMMYFUNCTION("""COMPUTED_VALUE""")," ")</f>
        <v> </v>
      </c>
      <c r="E2890" s="44" t="str">
        <f>IFERROR(__xludf.DUMMYFUNCTION("""COMPUTED_VALUE"""),"")</f>
        <v/>
      </c>
      <c r="F2890" s="44" t="str">
        <f>IFERROR(__xludf.DUMMYFUNCTION("""COMPUTED_VALUE"""),"")</f>
        <v/>
      </c>
      <c r="G2890" s="44" t="str">
        <f>IFERROR(__xludf.DUMMYFUNCTION("""COMPUTED_VALUE""")," ")</f>
        <v> </v>
      </c>
      <c r="H2890" s="44" t="str">
        <f>IFERROR(__xludf.DUMMYFUNCTION("""COMPUTED_VALUE""")," ")</f>
        <v> </v>
      </c>
      <c r="I2890" s="44" t="str">
        <f>IFERROR(__xludf.DUMMYFUNCTION("""COMPUTED_VALUE"""),"Internado")</f>
        <v>Internado</v>
      </c>
      <c r="J2890" s="44" t="str">
        <f>IFERROR(__xludf.DUMMYFUNCTION("""COMPUTED_VALUE"""),"")</f>
        <v/>
      </c>
      <c r="K2890" s="42" t="str">
        <f>IFERROR(__xludf.DUMMYFUNCTION("""COMPUTED_VALUE"""),"🔍 BUSCAR PACIENTES")</f>
        <v>🔍 BUSCAR PACIENTES</v>
      </c>
    </row>
    <row r="2891">
      <c r="A2891" s="44">
        <v>2890.0</v>
      </c>
      <c r="B2891" s="44" t="str">
        <f>IFERROR(__xludf.DUMMYFUNCTION("""COMPUTED_VALUE"""),"Hospital Vargas de Caracas")</f>
        <v>Hospital Vargas de Caracas</v>
      </c>
      <c r="C2891" s="45" t="str">
        <f>IFERROR(__xludf.DUMMYFUNCTION("""COMPUTED_VALUE"""),"OLIVARES MARIA")</f>
        <v>OLIVARES MARIA</v>
      </c>
      <c r="D2891" s="44" t="str">
        <f>IFERROR(__xludf.DUMMYFUNCTION("""COMPUTED_VALUE""")," ")</f>
        <v> </v>
      </c>
      <c r="E2891" s="44" t="str">
        <f>IFERROR(__xludf.DUMMYFUNCTION("""COMPUTED_VALUE"""),"")</f>
        <v/>
      </c>
      <c r="F2891" s="44" t="str">
        <f>IFERROR(__xludf.DUMMYFUNCTION("""COMPUTED_VALUE""")," ")</f>
        <v> </v>
      </c>
      <c r="G2891" s="44" t="str">
        <f>IFERROR(__xludf.DUMMYFUNCTION("""COMPUTED_VALUE"""),"")</f>
        <v/>
      </c>
      <c r="H2891" s="44" t="str">
        <f>IFERROR(__xludf.DUMMYFUNCTION("""COMPUTED_VALUE""")," ")</f>
        <v> </v>
      </c>
      <c r="I2891" s="44" t="str">
        <f>IFERROR(__xludf.DUMMYFUNCTION("""COMPUTED_VALUE""")," ")</f>
        <v> </v>
      </c>
      <c r="J2891" s="44" t="str">
        <f>IFERROR(__xludf.DUMMYFUNCTION("""COMPUTED_VALUE"""),"")</f>
        <v/>
      </c>
      <c r="K2891" s="42" t="str">
        <f>IFERROR(__xludf.DUMMYFUNCTION("""COMPUTED_VALUE"""),"Hospital Vargas de Caracas")</f>
        <v>Hospital Vargas de Caracas</v>
      </c>
    </row>
    <row r="2892">
      <c r="A2892" s="44">
        <v>2891.0</v>
      </c>
      <c r="B2892" s="44" t="str">
        <f>IFERROR(__xludf.DUMMYFUNCTION("""COMPUTED_VALUE"""),"Centro de Acopio Caraballeda")</f>
        <v>Centro de Acopio Caraballeda</v>
      </c>
      <c r="C2892" s="45" t="str">
        <f>IFERROR(__xludf.DUMMYFUNCTION("""COMPUTED_VALUE"""),"OLIVARES RONAIKER")</f>
        <v>OLIVARES RONAIKER</v>
      </c>
      <c r="D2892" s="44" t="str">
        <f>IFERROR(__xludf.DUMMYFUNCTION("""COMPUTED_VALUE""")," ")</f>
        <v> </v>
      </c>
      <c r="E2892" s="44" t="str">
        <f>IFERROR(__xludf.DUMMYFUNCTION("""COMPUTED_VALUE"""),"")</f>
        <v/>
      </c>
      <c r="F2892" s="44" t="str">
        <f>IFERROR(__xludf.DUMMYFUNCTION("""COMPUTED_VALUE"""),"")</f>
        <v/>
      </c>
      <c r="G2892" s="44" t="str">
        <f>IFERROR(__xludf.DUMMYFUNCTION("""COMPUTED_VALUE""")," ")</f>
        <v> </v>
      </c>
      <c r="H2892" s="44" t="str">
        <f>IFERROR(__xludf.DUMMYFUNCTION("""COMPUTED_VALUE""")," ")</f>
        <v> </v>
      </c>
      <c r="I2892" s="44" t="str">
        <f>IFERROR(__xludf.DUMMYFUNCTION("""COMPUTED_VALUE"""),"Internado")</f>
        <v>Internado</v>
      </c>
      <c r="J2892" s="44" t="str">
        <f>IFERROR(__xludf.DUMMYFUNCTION("""COMPUTED_VALUE"""),"")</f>
        <v/>
      </c>
      <c r="K2892" s="42" t="str">
        <f>IFERROR(__xludf.DUMMYFUNCTION("""COMPUTED_VALUE"""),"🔍 BUSCAR PACIENTES")</f>
        <v>🔍 BUSCAR PACIENTES</v>
      </c>
    </row>
    <row r="2893">
      <c r="A2893" s="44">
        <v>2892.0</v>
      </c>
      <c r="B2893" s="44" t="str">
        <f>IFERROR(__xludf.DUMMYFUNCTION("""COMPUTED_VALUE"""),"Centro de Acopio Caraballeda")</f>
        <v>Centro de Acopio Caraballeda</v>
      </c>
      <c r="C2893" s="45" t="str">
        <f>IFERROR(__xludf.DUMMYFUNCTION("""COMPUTED_VALUE"""),"OLIVARES SAM")</f>
        <v>OLIVARES SAM</v>
      </c>
      <c r="D2893" s="44" t="str">
        <f>IFERROR(__xludf.DUMMYFUNCTION("""COMPUTED_VALUE""")," ")</f>
        <v> </v>
      </c>
      <c r="E2893" s="44" t="str">
        <f>IFERROR(__xludf.DUMMYFUNCTION("""COMPUTED_VALUE"""),"")</f>
        <v/>
      </c>
      <c r="F2893" s="44" t="str">
        <f>IFERROR(__xludf.DUMMYFUNCTION("""COMPUTED_VALUE"""),"")</f>
        <v/>
      </c>
      <c r="G2893" s="44" t="str">
        <f>IFERROR(__xludf.DUMMYFUNCTION("""COMPUTED_VALUE""")," ")</f>
        <v> </v>
      </c>
      <c r="H2893" s="44" t="str">
        <f>IFERROR(__xludf.DUMMYFUNCTION("""COMPUTED_VALUE""")," ")</f>
        <v> </v>
      </c>
      <c r="I2893" s="44" t="str">
        <f>IFERROR(__xludf.DUMMYFUNCTION("""COMPUTED_VALUE"""),"Internado")</f>
        <v>Internado</v>
      </c>
      <c r="J2893" s="44" t="str">
        <f>IFERROR(__xludf.DUMMYFUNCTION("""COMPUTED_VALUE"""),"")</f>
        <v/>
      </c>
      <c r="K2893" s="42" t="str">
        <f>IFERROR(__xludf.DUMMYFUNCTION("""COMPUTED_VALUE"""),"🔍 BUSCAR PACIENTES")</f>
        <v>🔍 BUSCAR PACIENTES</v>
      </c>
    </row>
    <row r="2894">
      <c r="A2894" s="44">
        <v>2893.0</v>
      </c>
      <c r="B2894" s="44" t="str">
        <f>IFERROR(__xludf.DUMMYFUNCTION("""COMPUTED_VALUE"""),"Hospital Pérez Carreño")</f>
        <v>Hospital Pérez Carreño</v>
      </c>
      <c r="C2894" s="45" t="str">
        <f>IFERROR(__xludf.DUMMYFUNCTION("""COMPUTED_VALUE"""),"OLIVIO LILIAN")</f>
        <v>OLIVIO LILIAN</v>
      </c>
      <c r="D2894" s="44" t="str">
        <f>IFERROR(__xludf.DUMMYFUNCTION("""COMPUTED_VALUE""")," ")</f>
        <v> </v>
      </c>
      <c r="E2894" s="44" t="str">
        <f>IFERROR(__xludf.DUMMYFUNCTION("""COMPUTED_VALUE"""),"")</f>
        <v/>
      </c>
      <c r="F2894" s="44" t="str">
        <f>IFERROR(__xludf.DUMMYFUNCTION("""COMPUTED_VALUE"""),"")</f>
        <v/>
      </c>
      <c r="G2894" s="44" t="str">
        <f>IFERROR(__xludf.DUMMYFUNCTION("""COMPUTED_VALUE""")," ")</f>
        <v> </v>
      </c>
      <c r="H2894" s="44" t="str">
        <f>IFERROR(__xludf.DUMMYFUNCTION("""COMPUTED_VALUE""")," ")</f>
        <v> </v>
      </c>
      <c r="I2894" s="44" t="str">
        <f>IFERROR(__xludf.DUMMYFUNCTION("""COMPUTED_VALUE"""),"Internado")</f>
        <v>Internado</v>
      </c>
      <c r="J2894" s="44" t="str">
        <f>IFERROR(__xludf.DUMMYFUNCTION("""COMPUTED_VALUE"""),"25/06/2026")</f>
        <v>25/06/2026</v>
      </c>
      <c r="K2894" s="42" t="str">
        <f>IFERROR(__xludf.DUMMYFUNCTION("""COMPUTED_VALUE"""),"Hospital Pérez Carreño")</f>
        <v>Hospital Pérez Carreño</v>
      </c>
    </row>
    <row r="2895">
      <c r="A2895" s="44">
        <v>2894.0</v>
      </c>
      <c r="B2895" s="44" t="str">
        <f>IFERROR(__xludf.DUMMYFUNCTION("""COMPUTED_VALUE"""),"Periférico de Catia")</f>
        <v>Periférico de Catia</v>
      </c>
      <c r="C2895" s="45" t="str">
        <f>IFERROR(__xludf.DUMMYFUNCTION("""COMPUTED_VALUE"""),"Omacento Sebastian")</f>
        <v>Omacento Sebastian</v>
      </c>
      <c r="D2895" s="44">
        <f>IFERROR(__xludf.DUMMYFUNCTION("""COMPUTED_VALUE"""),16.0)</f>
        <v>16</v>
      </c>
      <c r="E2895" s="44" t="str">
        <f>IFERROR(__xludf.DUMMYFUNCTION("""COMPUTED_VALUE"""),"")</f>
        <v/>
      </c>
      <c r="F2895" s="44" t="str">
        <f>IFERROR(__xludf.DUMMYFUNCTION("""COMPUTED_VALUE"""),"")</f>
        <v/>
      </c>
      <c r="G2895" s="44"/>
      <c r="H2895" s="44"/>
      <c r="I2895" s="44" t="str">
        <f>IFERROR(__xludf.DUMMYFUNCTION("""COMPUTED_VALUE"""),"Lista adicional (pizarra extensa sin titulo de sala especifico)")</f>
        <v>Lista adicional (pizarra extensa sin titulo de sala especifico)</v>
      </c>
      <c r="J2895" s="44" t="str">
        <f>IFERROR(__xludf.DUMMYFUNCTION("""COMPUTED_VALUE"""),"")</f>
        <v/>
      </c>
      <c r="K2895" s="42" t="str">
        <f>IFERROR(__xludf.DUMMYFUNCTION("""COMPUTED_VALUE"""),"Periférico de Catia")</f>
        <v>Periférico de Catia</v>
      </c>
    </row>
    <row r="2896">
      <c r="A2896" s="44">
        <v>2895.0</v>
      </c>
      <c r="B2896" s="44" t="str">
        <f>IFERROR(__xludf.DUMMYFUNCTION("""COMPUTED_VALUE"""),"Cruz Roja")</f>
        <v>Cruz Roja</v>
      </c>
      <c r="C2896" s="45" t="str">
        <f>IFERROR(__xludf.DUMMYFUNCTION("""COMPUTED_VALUE"""),"OMANA RAIZA")</f>
        <v>OMANA RAIZA</v>
      </c>
      <c r="D2896" s="44">
        <f>IFERROR(__xludf.DUMMYFUNCTION("""COMPUTED_VALUE"""),45.0)</f>
        <v>45</v>
      </c>
      <c r="E2896" s="44" t="str">
        <f>IFERROR(__xludf.DUMMYFUNCTION("""COMPUTED_VALUE"""),"")</f>
        <v/>
      </c>
      <c r="F2896" s="44" t="str">
        <f>IFERROR(__xludf.DUMMYFUNCTION("""COMPUTED_VALUE"""),"")</f>
        <v/>
      </c>
      <c r="G2896" s="44" t="str">
        <f>IFERROR(__xludf.DUMMYFUNCTION("""COMPUTED_VALUE""")," ")</f>
        <v> </v>
      </c>
      <c r="H2896" s="44" t="str">
        <f>IFERROR(__xludf.DUMMYFUNCTION("""COMPUTED_VALUE"""),"La Candelaria")</f>
        <v>La Candelaria</v>
      </c>
      <c r="I2896" s="44" t="str">
        <f>IFERROR(__xludf.DUMMYFUNCTION("""COMPUTED_VALUE""")," ")</f>
        <v> </v>
      </c>
      <c r="J2896" s="44" t="str">
        <f>IFERROR(__xludf.DUMMYFUNCTION("""COMPUTED_VALUE"""),"")</f>
        <v/>
      </c>
      <c r="K2896" s="42" t="str">
        <f>IFERROR(__xludf.DUMMYFUNCTION("""COMPUTED_VALUE"""),"Cruz Roja")</f>
        <v>Cruz Roja</v>
      </c>
    </row>
    <row r="2897">
      <c r="A2897" s="44">
        <v>2896.0</v>
      </c>
      <c r="B2897" s="44" t="str">
        <f>IFERROR(__xludf.DUMMYFUNCTION("""COMPUTED_VALUE"""),"Hospital Domingo Luciani")</f>
        <v>Hospital Domingo Luciani</v>
      </c>
      <c r="C2897" s="45" t="str">
        <f>IFERROR(__xludf.DUMMYFUNCTION("""COMPUTED_VALUE"""),"Omar Portilla")</f>
        <v>Omar Portilla</v>
      </c>
      <c r="D2897" s="44">
        <f>IFERROR(__xludf.DUMMYFUNCTION("""COMPUTED_VALUE"""),40.0)</f>
        <v>40</v>
      </c>
      <c r="E2897" s="44" t="str">
        <f>IFERROR(__xludf.DUMMYFUNCTION("""COMPUTED_VALUE"""),"")</f>
        <v/>
      </c>
      <c r="F2897" s="44" t="str">
        <f>IFERROR(__xludf.DUMMYFUNCTION("""COMPUTED_VALUE"""),"")</f>
        <v/>
      </c>
      <c r="G2897" s="44"/>
      <c r="H2897" s="44"/>
      <c r="I2897" s="44"/>
      <c r="J2897" s="44" t="str">
        <f>IFERROR(__xludf.DUMMYFUNCTION("""COMPUTED_VALUE"""),"")</f>
        <v/>
      </c>
      <c r="K2897" s="42" t="str">
        <f>IFERROR(__xludf.DUMMYFUNCTION("""COMPUTED_VALUE"""),"Hospital Domingo Luciani")</f>
        <v>Hospital Domingo Luciani</v>
      </c>
    </row>
    <row r="2898">
      <c r="A2898" s="44">
        <v>2897.0</v>
      </c>
      <c r="B2898" s="44" t="str">
        <f>IFERROR(__xludf.DUMMYFUNCTION("""COMPUTED_VALUE"""),"Periférico de Catia")</f>
        <v>Periférico de Catia</v>
      </c>
      <c r="C2898" s="45" t="str">
        <f>IFERROR(__xludf.DUMMYFUNCTION("""COMPUTED_VALUE"""),"Omar Portillo")</f>
        <v>Omar Portillo</v>
      </c>
      <c r="D2898" s="44"/>
      <c r="E2898" s="44" t="str">
        <f>IFERROR(__xludf.DUMMYFUNCTION("""COMPUTED_VALUE"""),"")</f>
        <v/>
      </c>
      <c r="F2898" s="44" t="str">
        <f>IFERROR(__xludf.DUMMYFUNCTION("""COMPUTED_VALUE"""),"")</f>
        <v/>
      </c>
      <c r="G2898" s="44"/>
      <c r="H2898" s="44"/>
      <c r="I2898" s="44" t="str">
        <f>IFERROR(__xludf.DUMMYFUNCTION("""COMPUTED_VALUE"""),"Politrauma (continuacion, hoja sin edades) — Piso 2")</f>
        <v>Politrauma (continuacion, hoja sin edades) — Piso 2</v>
      </c>
      <c r="J2898" s="44" t="str">
        <f>IFERROR(__xludf.DUMMYFUNCTION("""COMPUTED_VALUE"""),"")</f>
        <v/>
      </c>
      <c r="K2898" s="42" t="str">
        <f>IFERROR(__xludf.DUMMYFUNCTION("""COMPUTED_VALUE"""),"Periférico de Catia")</f>
        <v>Periférico de Catia</v>
      </c>
    </row>
    <row r="2899">
      <c r="A2899" s="44">
        <v>2898.0</v>
      </c>
      <c r="B2899" s="44" t="str">
        <f>IFERROR(__xludf.DUMMYFUNCTION("""COMPUTED_VALUE"""),"Hospital Domingo Luciani")</f>
        <v>Hospital Domingo Luciani</v>
      </c>
      <c r="C2899" s="45" t="str">
        <f>IFERROR(__xludf.DUMMYFUNCTION("""COMPUTED_VALUE"""),"OMASIENTO SEBASTIAN")</f>
        <v>OMASIENTO SEBASTIAN</v>
      </c>
      <c r="D2899" s="44">
        <f>IFERROR(__xludf.DUMMYFUNCTION("""COMPUTED_VALUE"""),16.0)</f>
        <v>16</v>
      </c>
      <c r="E2899" s="44" t="str">
        <f>IFERROR(__xludf.DUMMYFUNCTION("""COMPUTED_VALUE"""),"")</f>
        <v/>
      </c>
      <c r="F2899" s="44" t="str">
        <f>IFERROR(__xludf.DUMMYFUNCTION("""COMPUTED_VALUE"""),"")</f>
        <v/>
      </c>
      <c r="G2899" s="44" t="str">
        <f>IFERROR(__xludf.DUMMYFUNCTION("""COMPUTED_VALUE""")," ")</f>
        <v> </v>
      </c>
      <c r="H2899" s="44" t="str">
        <f>IFERROR(__xludf.DUMMYFUNCTION("""COMPUTED_VALUE""")," ")</f>
        <v> </v>
      </c>
      <c r="I2899" s="44" t="str">
        <f>IFERROR(__xludf.DUMMYFUNCTION("""COMPUTED_VALUE"""),"UCI |  ")</f>
        <v>UCI |  </v>
      </c>
      <c r="J2899" s="44" t="str">
        <f>IFERROR(__xludf.DUMMYFUNCTION("""COMPUTED_VALUE"""),"")</f>
        <v/>
      </c>
      <c r="K2899" s="42" t="str">
        <f>IFERROR(__xludf.DUMMYFUNCTION("""COMPUTED_VALUE"""),"🔍 BUSCAR PACIENTES")</f>
        <v>🔍 BUSCAR PACIENTES</v>
      </c>
    </row>
    <row r="2900">
      <c r="A2900" s="44">
        <v>2899.0</v>
      </c>
      <c r="B2900" s="44" t="str">
        <f>IFERROR(__xludf.DUMMYFUNCTION("""COMPUTED_VALUE"""),"Hospital Domingo Luciani")</f>
        <v>Hospital Domingo Luciani</v>
      </c>
      <c r="C2900" s="45" t="str">
        <f>IFERROR(__xludf.DUMMYFUNCTION("""COMPUTED_VALUE"""),"Omor Portillo")</f>
        <v>Omor Portillo</v>
      </c>
      <c r="D2900" s="44">
        <f>IFERROR(__xludf.DUMMYFUNCTION("""COMPUTED_VALUE"""),0.0)</f>
        <v>0</v>
      </c>
      <c r="E2900" s="44" t="str">
        <f>IFERROR(__xludf.DUMMYFUNCTION("""COMPUTED_VALUE"""),"")</f>
        <v/>
      </c>
      <c r="F2900" s="44" t="str">
        <f>IFERROR(__xludf.DUMMYFUNCTION("""COMPUTED_VALUE"""),"")</f>
        <v/>
      </c>
      <c r="G2900" s="44"/>
      <c r="H2900" s="44"/>
      <c r="I2900" s="44"/>
      <c r="J2900" s="44" t="str">
        <f>IFERROR(__xludf.DUMMYFUNCTION("""COMPUTED_VALUE"""),"")</f>
        <v/>
      </c>
      <c r="K2900" s="42" t="str">
        <f>IFERROR(__xludf.DUMMYFUNCTION("""COMPUTED_VALUE"""),"Hospital Domingo Luciani")</f>
        <v>Hospital Domingo Luciani</v>
      </c>
    </row>
    <row r="2901">
      <c r="A2901" s="44">
        <v>2900.0</v>
      </c>
      <c r="B2901" s="44" t="str">
        <f>IFERROR(__xludf.DUMMYFUNCTION("""COMPUTED_VALUE"""),"Campo de Golf Playa los Cocos")</f>
        <v>Campo de Golf Playa los Cocos</v>
      </c>
      <c r="C2901" s="45" t="str">
        <f>IFERROR(__xludf.DUMMYFUNCTION("""COMPUTED_VALUE"""),"Onas Cadenas")</f>
        <v>Onas Cadenas</v>
      </c>
      <c r="D2901" s="44" t="str">
        <f>IFERROR(__xludf.DUMMYFUNCTION("""COMPUTED_VALUE"""),"")</f>
        <v/>
      </c>
      <c r="E2901" s="44" t="str">
        <f>IFERROR(__xludf.DUMMYFUNCTION("""COMPUTED_VALUE"""),"")</f>
        <v/>
      </c>
      <c r="F2901" s="44" t="str">
        <f>IFERROR(__xludf.DUMMYFUNCTION("""COMPUTED_VALUE"""),"")</f>
        <v/>
      </c>
      <c r="G2901" s="44" t="str">
        <f>IFERROR(__xludf.DUMMYFUNCTION("""COMPUTED_VALUE"""),"")</f>
        <v/>
      </c>
      <c r="H2901" s="44" t="str">
        <f>IFERROR(__xludf.DUMMYFUNCTION("""COMPUTED_VALUE"""),"")</f>
        <v/>
      </c>
      <c r="I2901" s="44"/>
      <c r="J2901" s="44" t="str">
        <f>IFERROR(__xludf.DUMMYFUNCTION("""COMPUTED_VALUE"""),"")</f>
        <v/>
      </c>
      <c r="K2901" s="42" t="str">
        <f>IFERROR(__xludf.DUMMYFUNCTION("""COMPUTED_VALUE"""),"Campo de Golf Playa los Cocos")</f>
        <v>Campo de Golf Playa los Cocos</v>
      </c>
    </row>
    <row r="2902">
      <c r="A2902" s="44">
        <v>2901.0</v>
      </c>
      <c r="B2902" s="44" t="str">
        <f>IFERROR(__xludf.DUMMYFUNCTION("""COMPUTED_VALUE"""),"Centro de Acopio Caraballeda")</f>
        <v>Centro de Acopio Caraballeda</v>
      </c>
      <c r="C2902" s="45" t="str">
        <f>IFERROR(__xludf.DUMMYFUNCTION("""COMPUTED_VALUE"""),"ONTIVERO CARMEN ARACELY")</f>
        <v>ONTIVERO CARMEN ARACELY</v>
      </c>
      <c r="D2902" s="44" t="str">
        <f>IFERROR(__xludf.DUMMYFUNCTION("""COMPUTED_VALUE""")," ")</f>
        <v> </v>
      </c>
      <c r="E2902" s="44" t="str">
        <f>IFERROR(__xludf.DUMMYFUNCTION("""COMPUTED_VALUE"""),"")</f>
        <v/>
      </c>
      <c r="F2902" s="44" t="str">
        <f>IFERROR(__xludf.DUMMYFUNCTION("""COMPUTED_VALUE"""),"")</f>
        <v/>
      </c>
      <c r="G2902" s="44" t="str">
        <f>IFERROR(__xludf.DUMMYFUNCTION("""COMPUTED_VALUE""")," ")</f>
        <v> </v>
      </c>
      <c r="H2902" s="44" t="str">
        <f>IFERROR(__xludf.DUMMYFUNCTION("""COMPUTED_VALUE""")," ")</f>
        <v> </v>
      </c>
      <c r="I2902" s="44" t="str">
        <f>IFERROR(__xludf.DUMMYFUNCTION("""COMPUTED_VALUE"""),"Internado")</f>
        <v>Internado</v>
      </c>
      <c r="J2902" s="44" t="str">
        <f>IFERROR(__xludf.DUMMYFUNCTION("""COMPUTED_VALUE"""),"")</f>
        <v/>
      </c>
      <c r="K2902" s="42" t="str">
        <f>IFERROR(__xludf.DUMMYFUNCTION("""COMPUTED_VALUE"""),"🔍 BUSCAR PACIENTES")</f>
        <v>🔍 BUSCAR PACIENTES</v>
      </c>
    </row>
    <row r="2903">
      <c r="A2903" s="44">
        <v>2902.0</v>
      </c>
      <c r="B2903" s="44" t="str">
        <f>IFERROR(__xludf.DUMMYFUNCTION("""COMPUTED_VALUE"""),"Hospital Pérez Carreño")</f>
        <v>Hospital Pérez Carreño</v>
      </c>
      <c r="C2903" s="45" t="str">
        <f>IFERROR(__xludf.DUMMYFUNCTION("""COMPUTED_VALUE"""),"ORAMA ANGEL")</f>
        <v>ORAMA ANGEL</v>
      </c>
      <c r="D2903" s="44" t="str">
        <f>IFERROR(__xludf.DUMMYFUNCTION("""COMPUTED_VALUE""")," ")</f>
        <v> </v>
      </c>
      <c r="E2903" s="44" t="str">
        <f>IFERROR(__xludf.DUMMYFUNCTION("""COMPUTED_VALUE"""),"")</f>
        <v/>
      </c>
      <c r="F2903" s="44" t="str">
        <f>IFERROR(__xludf.DUMMYFUNCTION("""COMPUTED_VALUE"""),"")</f>
        <v/>
      </c>
      <c r="G2903" s="44" t="str">
        <f>IFERROR(__xludf.DUMMYFUNCTION("""COMPUTED_VALUE""")," ")</f>
        <v> </v>
      </c>
      <c r="H2903" s="44" t="str">
        <f>IFERROR(__xludf.DUMMYFUNCTION("""COMPUTED_VALUE""")," ")</f>
        <v> </v>
      </c>
      <c r="I2903" s="44" t="str">
        <f>IFERROR(__xludf.DUMMYFUNCTION("""COMPUTED_VALUE"""),"Internado")</f>
        <v>Internado</v>
      </c>
      <c r="J2903" s="44" t="str">
        <f>IFERROR(__xludf.DUMMYFUNCTION("""COMPUTED_VALUE"""),"25/06/2026")</f>
        <v>25/06/2026</v>
      </c>
      <c r="K2903" s="42" t="str">
        <f>IFERROR(__xludf.DUMMYFUNCTION("""COMPUTED_VALUE"""),"Hospital Pérez Carreño")</f>
        <v>Hospital Pérez Carreño</v>
      </c>
    </row>
    <row r="2904">
      <c r="A2904" s="44">
        <v>2903.0</v>
      </c>
      <c r="B2904" s="44" t="str">
        <f>IFERROR(__xludf.DUMMYFUNCTION("""COMPUTED_VALUE"""),"Hospital Pérez Carreño")</f>
        <v>Hospital Pérez Carreño</v>
      </c>
      <c r="C2904" s="45" t="str">
        <f>IFERROR(__xludf.DUMMYFUNCTION("""COMPUTED_VALUE"""),"ORAMA EDUAN")</f>
        <v>ORAMA EDUAN</v>
      </c>
      <c r="D2904" s="44" t="str">
        <f>IFERROR(__xludf.DUMMYFUNCTION("""COMPUTED_VALUE""")," ")</f>
        <v> </v>
      </c>
      <c r="E2904" s="44" t="str">
        <f>IFERROR(__xludf.DUMMYFUNCTION("""COMPUTED_VALUE"""),"")</f>
        <v/>
      </c>
      <c r="F2904" s="44" t="str">
        <f>IFERROR(__xludf.DUMMYFUNCTION("""COMPUTED_VALUE"""),"")</f>
        <v/>
      </c>
      <c r="G2904" s="44" t="str">
        <f>IFERROR(__xludf.DUMMYFUNCTION("""COMPUTED_VALUE""")," ")</f>
        <v> </v>
      </c>
      <c r="H2904" s="44" t="str">
        <f>IFERROR(__xludf.DUMMYFUNCTION("""COMPUTED_VALUE""")," ")</f>
        <v> </v>
      </c>
      <c r="I2904" s="44" t="str">
        <f>IFERROR(__xludf.DUMMYFUNCTION("""COMPUTED_VALUE"""),"Traumachok Neuro – Triaje; La Guaira")</f>
        <v>Traumachok Neuro – Triaje; La Guaira</v>
      </c>
      <c r="J2904" s="44" t="str">
        <f>IFERROR(__xludf.DUMMYFUNCTION("""COMPUTED_VALUE"""),"25/06/2026")</f>
        <v>25/06/2026</v>
      </c>
      <c r="K2904" s="42" t="str">
        <f>IFERROR(__xludf.DUMMYFUNCTION("""COMPUTED_VALUE"""),"Hospital Pérez Carreño")</f>
        <v>Hospital Pérez Carreño</v>
      </c>
    </row>
    <row r="2905">
      <c r="A2905" s="44">
        <v>2904.0</v>
      </c>
      <c r="B2905" s="44" t="str">
        <f>IFERROR(__xludf.DUMMYFUNCTION("""COMPUTED_VALUE"""),"Hospital Pérez Carreño")</f>
        <v>Hospital Pérez Carreño</v>
      </c>
      <c r="C2905" s="45" t="str">
        <f>IFERROR(__xludf.DUMMYFUNCTION("""COMPUTED_VALUE"""),"ORANA EDUAR")</f>
        <v>ORANA EDUAR</v>
      </c>
      <c r="D2905" s="44" t="str">
        <f>IFERROR(__xludf.DUMMYFUNCTION("""COMPUTED_VALUE""")," ")</f>
        <v> </v>
      </c>
      <c r="E2905" s="44" t="str">
        <f>IFERROR(__xludf.DUMMYFUNCTION("""COMPUTED_VALUE"""),"")</f>
        <v/>
      </c>
      <c r="F2905" s="44" t="str">
        <f>IFERROR(__xludf.DUMMYFUNCTION("""COMPUTED_VALUE"""),"")</f>
        <v/>
      </c>
      <c r="G2905" s="44" t="str">
        <f>IFERROR(__xludf.DUMMYFUNCTION("""COMPUTED_VALUE""")," ")</f>
        <v> </v>
      </c>
      <c r="H2905" s="44" t="str">
        <f>IFERROR(__xludf.DUMMYFUNCTION("""COMPUTED_VALUE""")," ")</f>
        <v> </v>
      </c>
      <c r="I2905" s="44" t="str">
        <f>IFERROR(__xludf.DUMMYFUNCTION("""COMPUTED_VALUE""")," ")</f>
        <v> </v>
      </c>
      <c r="J2905" s="44" t="str">
        <f>IFERROR(__xludf.DUMMYFUNCTION("""COMPUTED_VALUE"""),"25/06/2026")</f>
        <v>25/06/2026</v>
      </c>
      <c r="K2905" s="42" t="str">
        <f>IFERROR(__xludf.DUMMYFUNCTION("""COMPUTED_VALUE"""),"Hospital Pérez Carreño")</f>
        <v>Hospital Pérez Carreño</v>
      </c>
    </row>
    <row r="2906">
      <c r="A2906" s="44">
        <v>2905.0</v>
      </c>
      <c r="B2906" s="44" t="str">
        <f>IFERROR(__xludf.DUMMYFUNCTION("""COMPUTED_VALUE"""),"Periférico de Catia")</f>
        <v>Periférico de Catia</v>
      </c>
      <c r="C2906" s="45" t="str">
        <f>IFERROR(__xludf.DUMMYFUNCTION("""COMPUTED_VALUE"""),"Ordaz Luisana")</f>
        <v>Ordaz Luisana</v>
      </c>
      <c r="D2906" s="44"/>
      <c r="E2906" s="44" t="str">
        <f>IFERROR(__xludf.DUMMYFUNCTION("""COMPUTED_VALUE"""),"")</f>
        <v/>
      </c>
      <c r="F2906" s="44" t="str">
        <f>IFERROR(__xludf.DUMMYFUNCTION("""COMPUTED_VALUE"""),"")</f>
        <v/>
      </c>
      <c r="G2906" s="44"/>
      <c r="H2906" s="44"/>
      <c r="I2906" s="44" t="str">
        <f>IFERROR(__xludf.DUMMYFUNCTION("""COMPUTED_VALUE"""),"Politrauma (continuacion, hoja sin edades)")</f>
        <v>Politrauma (continuacion, hoja sin edades)</v>
      </c>
      <c r="J2906" s="44" t="str">
        <f>IFERROR(__xludf.DUMMYFUNCTION("""COMPUTED_VALUE"""),"")</f>
        <v/>
      </c>
      <c r="K2906" s="42" t="str">
        <f>IFERROR(__xludf.DUMMYFUNCTION("""COMPUTED_VALUE"""),"Periférico de Catia")</f>
        <v>Periférico de Catia</v>
      </c>
    </row>
    <row r="2907">
      <c r="A2907" s="44">
        <v>2906.0</v>
      </c>
      <c r="B2907" s="44" t="str">
        <f>IFERROR(__xludf.DUMMYFUNCTION("""COMPUTED_VALUE"""),"Hospital Domingo Luciani")</f>
        <v>Hospital Domingo Luciani</v>
      </c>
      <c r="C2907" s="45" t="str">
        <f>IFERROR(__xludf.DUMMYFUNCTION("""COMPUTED_VALUE"""),"ORDAZ LUISANA / ORDAZ CARRION LUISANA")</f>
        <v>ORDAZ LUISANA / ORDAZ CARRION LUISANA</v>
      </c>
      <c r="D2907" s="44">
        <f>IFERROR(__xludf.DUMMYFUNCTION("""COMPUTED_VALUE"""),58.0)</f>
        <v>58</v>
      </c>
      <c r="E2907" s="44" t="str">
        <f>IFERROR(__xludf.DUMMYFUNCTION("""COMPUTED_VALUE"""),"")</f>
        <v/>
      </c>
      <c r="F2907" s="44" t="str">
        <f>IFERROR(__xludf.DUMMYFUNCTION("""COMPUTED_VALUE"""),"")</f>
        <v/>
      </c>
      <c r="G2907" s="44" t="str">
        <f>IFERROR(__xludf.DUMMYFUNCTION("""COMPUTED_VALUE""")," ")</f>
        <v> </v>
      </c>
      <c r="H2907" s="44" t="str">
        <f>IFERROR(__xludf.DUMMYFUNCTION("""COMPUTED_VALUE""")," ")</f>
        <v> </v>
      </c>
      <c r="I2907" s="44" t="str">
        <f>IFERROR(__xludf.DUMMYFUNCTION("""COMPUTED_VALUE""")," ")</f>
        <v> </v>
      </c>
      <c r="J2907" s="44" t="str">
        <f>IFERROR(__xludf.DUMMYFUNCTION("""COMPUTED_VALUE"""),"")</f>
        <v/>
      </c>
      <c r="K2907" s="42" t="str">
        <f>IFERROR(__xludf.DUMMYFUNCTION("""COMPUTED_VALUE"""),"🔍 BUSCAR PACIENTES")</f>
        <v>🔍 BUSCAR PACIENTES</v>
      </c>
    </row>
    <row r="2908">
      <c r="A2908" s="44">
        <v>2907.0</v>
      </c>
      <c r="B2908" s="44" t="str">
        <f>IFERROR(__xludf.DUMMYFUNCTION("""COMPUTED_VALUE"""),"Hospital Domingo Luciani")</f>
        <v>Hospital Domingo Luciani</v>
      </c>
      <c r="C2908" s="45" t="str">
        <f>IFERROR(__xludf.DUMMYFUNCTION("""COMPUTED_VALUE"""),"ORDAZ LUSANA")</f>
        <v>ORDAZ LUSANA</v>
      </c>
      <c r="D2908" s="44">
        <f>IFERROR(__xludf.DUMMYFUNCTION("""COMPUTED_VALUE"""),58.0)</f>
        <v>58</v>
      </c>
      <c r="E2908" s="44" t="str">
        <f>IFERROR(__xludf.DUMMYFUNCTION("""COMPUTED_VALUE"""),"")</f>
        <v/>
      </c>
      <c r="F2908" s="44" t="str">
        <f>IFERROR(__xludf.DUMMYFUNCTION("""COMPUTED_VALUE"""),"")</f>
        <v/>
      </c>
      <c r="G2908" s="44" t="str">
        <f>IFERROR(__xludf.DUMMYFUNCTION("""COMPUTED_VALUE""")," ")</f>
        <v> </v>
      </c>
      <c r="H2908" s="44" t="str">
        <f>IFERROR(__xludf.DUMMYFUNCTION("""COMPUTED_VALUE""")," ")</f>
        <v> </v>
      </c>
      <c r="I2908" s="44" t="str">
        <f>IFERROR(__xludf.DUMMYFUNCTION("""COMPUTED_VALUE""")," ")</f>
        <v> </v>
      </c>
      <c r="J2908" s="44" t="str">
        <f>IFERROR(__xludf.DUMMYFUNCTION("""COMPUTED_VALUE"""),"")</f>
        <v/>
      </c>
      <c r="K2908" s="42" t="str">
        <f>IFERROR(__xludf.DUMMYFUNCTION("""COMPUTED_VALUE"""),"🔍 BUSCAR PACIENTES")</f>
        <v>🔍 BUSCAR PACIENTES</v>
      </c>
    </row>
    <row r="2909">
      <c r="A2909" s="44">
        <v>2908.0</v>
      </c>
      <c r="B2909" s="44" t="str">
        <f>IFERROR(__xludf.DUMMYFUNCTION("""COMPUTED_VALUE"""),"Campo de Golf Playa los Cocos")</f>
        <v>Campo de Golf Playa los Cocos</v>
      </c>
      <c r="C2909" s="45" t="str">
        <f>IFERROR(__xludf.DUMMYFUNCTION("""COMPUTED_VALUE"""),"Oriana Urruchurto")</f>
        <v>Oriana Urruchurto</v>
      </c>
      <c r="D2909" s="44" t="str">
        <f>IFERROR(__xludf.DUMMYFUNCTION("""COMPUTED_VALUE"""),"")</f>
        <v/>
      </c>
      <c r="E2909" s="44" t="str">
        <f>IFERROR(__xludf.DUMMYFUNCTION("""COMPUTED_VALUE"""),"")</f>
        <v/>
      </c>
      <c r="F2909" s="44" t="str">
        <f>IFERROR(__xludf.DUMMYFUNCTION("""COMPUTED_VALUE"""),"")</f>
        <v/>
      </c>
      <c r="G2909" s="44" t="str">
        <f>IFERROR(__xludf.DUMMYFUNCTION("""COMPUTED_VALUE"""),"")</f>
        <v/>
      </c>
      <c r="H2909" s="44" t="str">
        <f>IFERROR(__xludf.DUMMYFUNCTION("""COMPUTED_VALUE"""),"")</f>
        <v/>
      </c>
      <c r="I2909" s="44" t="str">
        <f>IFERROR(__xludf.DUMMYFUNCTION("""COMPUTED_VALUE"""),"(Torres) - aclaracion en el original")</f>
        <v>(Torres) - aclaracion en el original</v>
      </c>
      <c r="J2909" s="44" t="str">
        <f>IFERROR(__xludf.DUMMYFUNCTION("""COMPUTED_VALUE"""),"")</f>
        <v/>
      </c>
      <c r="K2909" s="42" t="str">
        <f>IFERROR(__xludf.DUMMYFUNCTION("""COMPUTED_VALUE"""),"Campo de Golf Playa los Cocos")</f>
        <v>Campo de Golf Playa los Cocos</v>
      </c>
    </row>
    <row r="2910">
      <c r="A2910" s="44">
        <v>2909.0</v>
      </c>
      <c r="B2910" s="44" t="str">
        <f>IFERROR(__xludf.DUMMYFUNCTION("""COMPUTED_VALUE"""),"Campo de Golf Playa los Cocos")</f>
        <v>Campo de Golf Playa los Cocos</v>
      </c>
      <c r="C2910" s="45" t="str">
        <f>IFERROR(__xludf.DUMMYFUNCTION("""COMPUTED_VALUE"""),"Orianni Rodriguez")</f>
        <v>Orianni Rodriguez</v>
      </c>
      <c r="D2910" s="44" t="str">
        <f>IFERROR(__xludf.DUMMYFUNCTION("""COMPUTED_VALUE"""),"")</f>
        <v/>
      </c>
      <c r="E2910" s="44" t="str">
        <f>IFERROR(__xludf.DUMMYFUNCTION("""COMPUTED_VALUE"""),"")</f>
        <v/>
      </c>
      <c r="F2910" s="44" t="str">
        <f>IFERROR(__xludf.DUMMYFUNCTION("""COMPUTED_VALUE"""),"")</f>
        <v/>
      </c>
      <c r="G2910" s="44" t="str">
        <f>IFERROR(__xludf.DUMMYFUNCTION("""COMPUTED_VALUE"""),"")</f>
        <v/>
      </c>
      <c r="H2910" s="44" t="str">
        <f>IFERROR(__xludf.DUMMYFUNCTION("""COMPUTED_VALUE"""),"")</f>
        <v/>
      </c>
      <c r="I2910" s="44" t="str">
        <f>IFERROR(__xludf.DUMMYFUNCTION("""COMPUTED_VALUE"""),"menor")</f>
        <v>menor</v>
      </c>
      <c r="J2910" s="44" t="str">
        <f>IFERROR(__xludf.DUMMYFUNCTION("""COMPUTED_VALUE"""),"")</f>
        <v/>
      </c>
      <c r="K2910" s="42" t="str">
        <f>IFERROR(__xludf.DUMMYFUNCTION("""COMPUTED_VALUE"""),"Campo de Golf Playa los Cocos")</f>
        <v>Campo de Golf Playa los Cocos</v>
      </c>
    </row>
    <row r="2911">
      <c r="A2911" s="44">
        <v>2910.0</v>
      </c>
      <c r="B2911" s="44" t="str">
        <f>IFERROR(__xludf.DUMMYFUNCTION("""COMPUTED_VALUE"""),"Campo de Golf Playa los Cocos")</f>
        <v>Campo de Golf Playa los Cocos</v>
      </c>
      <c r="C2911" s="45" t="str">
        <f>IFERROR(__xludf.DUMMYFUNCTION("""COMPUTED_VALUE"""),"Orlando Dewentt")</f>
        <v>Orlando Dewentt</v>
      </c>
      <c r="D2911" s="44" t="str">
        <f>IFERROR(__xludf.DUMMYFUNCTION("""COMPUTED_VALUE"""),"")</f>
        <v/>
      </c>
      <c r="E2911" s="44" t="str">
        <f>IFERROR(__xludf.DUMMYFUNCTION("""COMPUTED_VALUE"""),"")</f>
        <v/>
      </c>
      <c r="F2911" s="44" t="str">
        <f>IFERROR(__xludf.DUMMYFUNCTION("""COMPUTED_VALUE"""),"")</f>
        <v/>
      </c>
      <c r="G2911" s="44" t="str">
        <f>IFERROR(__xludf.DUMMYFUNCTION("""COMPUTED_VALUE"""),"")</f>
        <v/>
      </c>
      <c r="H2911" s="44" t="str">
        <f>IFERROR(__xludf.DUMMYFUNCTION("""COMPUTED_VALUE"""),"")</f>
        <v/>
      </c>
      <c r="I2911" s="44"/>
      <c r="J2911" s="44" t="str">
        <f>IFERROR(__xludf.DUMMYFUNCTION("""COMPUTED_VALUE"""),"")</f>
        <v/>
      </c>
      <c r="K2911" s="42" t="str">
        <f>IFERROR(__xludf.DUMMYFUNCTION("""COMPUTED_VALUE"""),"Campo de Golf Playa los Cocos")</f>
        <v>Campo de Golf Playa los Cocos</v>
      </c>
    </row>
    <row r="2912">
      <c r="A2912" s="44">
        <v>2911.0</v>
      </c>
      <c r="B2912" s="44" t="str">
        <f>IFERROR(__xludf.DUMMYFUNCTION("""COMPUTED_VALUE"""),"Periférico de Catia")</f>
        <v>Periférico de Catia</v>
      </c>
      <c r="C2912" s="45" t="str">
        <f>IFERROR(__xludf.DUMMYFUNCTION("""COMPUTED_VALUE"""),"ORLANDO GONZALEZ")</f>
        <v>ORLANDO GONZALEZ</v>
      </c>
      <c r="D2912" s="44">
        <f>IFERROR(__xludf.DUMMYFUNCTION("""COMPUTED_VALUE"""),72.0)</f>
        <v>72</v>
      </c>
      <c r="E2912" s="44" t="str">
        <f>IFERROR(__xludf.DUMMYFUNCTION("""COMPUTED_VALUE"""),"")</f>
        <v/>
      </c>
      <c r="F2912" s="44" t="str">
        <f>IFERROR(__xludf.DUMMYFUNCTION("""COMPUTED_VALUE"""),"")</f>
        <v/>
      </c>
      <c r="G2912" s="44" t="str">
        <f>IFERROR(__xludf.DUMMYFUNCTION("""COMPUTED_VALUE""")," ")</f>
        <v> </v>
      </c>
      <c r="H2912" s="44" t="str">
        <f>IFERROR(__xludf.DUMMYFUNCTION("""COMPUTED_VALUE"""),"Cañada 22 d. Grupo")</f>
        <v>Cañada 22 d. Grupo</v>
      </c>
      <c r="I2912" s="44" t="str">
        <f>IFERROR(__xludf.DUMMYFUNCTION("""COMPUTED_VALUE"""),"TRM")</f>
        <v>TRM</v>
      </c>
      <c r="J2912" s="44" t="str">
        <f>IFERROR(__xludf.DUMMYFUNCTION("""COMPUTED_VALUE"""),"")</f>
        <v/>
      </c>
      <c r="K2912" s="42" t="str">
        <f>IFERROR(__xludf.DUMMYFUNCTION("""COMPUTED_VALUE"""),"Periférico de Catia")</f>
        <v>Periférico de Catia</v>
      </c>
    </row>
    <row r="2913">
      <c r="A2913" s="44">
        <v>2912.0</v>
      </c>
      <c r="B2913" s="44" t="str">
        <f>IFERROR(__xludf.DUMMYFUNCTION("""COMPUTED_VALUE"""),"Campo de Golf Playa los Cocos")</f>
        <v>Campo de Golf Playa los Cocos</v>
      </c>
      <c r="C2913" s="45" t="str">
        <f>IFERROR(__xludf.DUMMYFUNCTION("""COMPUTED_VALUE"""),"Orlando Jose Dewentt")</f>
        <v>Orlando Jose Dewentt</v>
      </c>
      <c r="D2913" s="44" t="str">
        <f>IFERROR(__xludf.DUMMYFUNCTION("""COMPUTED_VALUE"""),"")</f>
        <v/>
      </c>
      <c r="E2913" s="44" t="str">
        <f>IFERROR(__xludf.DUMMYFUNCTION("""COMPUTED_VALUE"""),"")</f>
        <v/>
      </c>
      <c r="F2913" s="44" t="str">
        <f>IFERROR(__xludf.DUMMYFUNCTION("""COMPUTED_VALUE"""),"")</f>
        <v/>
      </c>
      <c r="G2913" s="44" t="str">
        <f>IFERROR(__xludf.DUMMYFUNCTION("""COMPUTED_VALUE"""),"")</f>
        <v/>
      </c>
      <c r="H2913" s="44" t="str">
        <f>IFERROR(__xludf.DUMMYFUNCTION("""COMPUTED_VALUE"""),"")</f>
        <v/>
      </c>
      <c r="I2913" s="44" t="str">
        <f>IFERROR(__xludf.DUMMYFUNCTION("""COMPUTED_VALUE"""),"menor")</f>
        <v>menor</v>
      </c>
      <c r="J2913" s="44" t="str">
        <f>IFERROR(__xludf.DUMMYFUNCTION("""COMPUTED_VALUE"""),"")</f>
        <v/>
      </c>
      <c r="K2913" s="42" t="str">
        <f>IFERROR(__xludf.DUMMYFUNCTION("""COMPUTED_VALUE"""),"Campo de Golf Playa los Cocos")</f>
        <v>Campo de Golf Playa los Cocos</v>
      </c>
    </row>
    <row r="2914">
      <c r="A2914" s="44">
        <v>2913.0</v>
      </c>
      <c r="B2914" s="44" t="str">
        <f>IFERROR(__xludf.DUMMYFUNCTION("""COMPUTED_VALUE"""),"Hospital Pérez Carreño")</f>
        <v>Hospital Pérez Carreño</v>
      </c>
      <c r="C2914" s="45" t="str">
        <f>IFERROR(__xludf.DUMMYFUNCTION("""COMPUTED_VALUE"""),"Oropeza Oropeza Hander")</f>
        <v>Oropeza Oropeza Hander</v>
      </c>
      <c r="D2914" s="44"/>
      <c r="E2914" s="44" t="str">
        <f>IFERROR(__xludf.DUMMYFUNCTION("""COMPUTED_VALUE"""),"")</f>
        <v/>
      </c>
      <c r="F2914" s="44" t="str">
        <f>IFERROR(__xludf.DUMMYFUNCTION("""COMPUTED_VALUE"""),"")</f>
        <v/>
      </c>
      <c r="G2914" s="44" t="str">
        <f>IFERROR(__xludf.DUMMYFUNCTION("""COMPUTED_VALUE"""),"Traslados")</f>
        <v>Traslados</v>
      </c>
      <c r="H2914" s="44" t="str">
        <f>IFERROR(__xludf.DUMMYFUNCTION("""COMPUTED_VALUE"""),"Hospital Miguel Perez Carreño")</f>
        <v>Hospital Miguel Perez Carreño</v>
      </c>
      <c r="I2914" s="44"/>
      <c r="J2914" s="44" t="str">
        <f>IFERROR(__xludf.DUMMYFUNCTION("""COMPUTED_VALUE"""),"26/6/26")</f>
        <v>26/6/26</v>
      </c>
      <c r="K2914" s="42" t="str">
        <f>IFERROR(__xludf.DUMMYFUNCTION("""COMPUTED_VALUE"""),"Hospital Pérez Carreño")</f>
        <v>Hospital Pérez Carreño</v>
      </c>
    </row>
    <row r="2915">
      <c r="A2915" s="44">
        <v>2914.0</v>
      </c>
      <c r="B2915" s="44" t="str">
        <f>IFERROR(__xludf.DUMMYFUNCTION("""COMPUTED_VALUE"""),"La Guaira Sin Hospital")</f>
        <v>La Guaira Sin Hospital</v>
      </c>
      <c r="C2915" s="45" t="str">
        <f>IFERROR(__xludf.DUMMYFUNCTION("""COMPUTED_VALUE"""),"Oropeza Oropeza Jander")</f>
        <v>Oropeza Oropeza Jander</v>
      </c>
      <c r="D2915" s="44" t="str">
        <f>IFERROR(__xludf.DUMMYFUNCTION("""COMPUTED_VALUE"""),"")</f>
        <v/>
      </c>
      <c r="E2915" s="44" t="str">
        <f>IFERROR(__xludf.DUMMYFUNCTION("""COMPUTED_VALUE"""),"")</f>
        <v/>
      </c>
      <c r="F2915" s="44" t="str">
        <f>IFERROR(__xludf.DUMMYFUNCTION("""COMPUTED_VALUE"""),"")</f>
        <v/>
      </c>
      <c r="G2915" s="44" t="str">
        <f>IFERROR(__xludf.DUMMYFUNCTION("""COMPUTED_VALUE"""),"")</f>
        <v/>
      </c>
      <c r="H2915" s="44"/>
      <c r="I2915" s="44" t="str">
        <f>IFERROR(__xludf.DUMMYFUNCTION("""COMPUTED_VALUE"""),"Listas solo con nombre")</f>
        <v>Listas solo con nombre</v>
      </c>
      <c r="J2915" s="44" t="str">
        <f>IFERROR(__xludf.DUMMYFUNCTION("""COMPUTED_VALUE"""),"")</f>
        <v/>
      </c>
      <c r="K2915" s="42" t="str">
        <f>IFERROR(__xludf.DUMMYFUNCTION("""COMPUTED_VALUE"""),"La Guaira Sin Hospital")</f>
        <v>La Guaira Sin Hospital</v>
      </c>
    </row>
    <row r="2916">
      <c r="A2916" s="44">
        <v>2915.0</v>
      </c>
      <c r="B2916" s="44" t="str">
        <f>IFERROR(__xludf.DUMMYFUNCTION("""COMPUTED_VALUE"""),"Hospital Pérez Carreño")</f>
        <v>Hospital Pérez Carreño</v>
      </c>
      <c r="C2916" s="45" t="str">
        <f>IFERROR(__xludf.DUMMYFUNCTION("""COMPUTED_VALUE"""),"OROPEZA OROPEZA LANDER")</f>
        <v>OROPEZA OROPEZA LANDER</v>
      </c>
      <c r="D2916" s="44" t="str">
        <f>IFERROR(__xludf.DUMMYFUNCTION("""COMPUTED_VALUE""")," ")</f>
        <v> </v>
      </c>
      <c r="E2916" s="44" t="str">
        <f>IFERROR(__xludf.DUMMYFUNCTION("""COMPUTED_VALUE"""),"")</f>
        <v/>
      </c>
      <c r="F2916" s="44" t="str">
        <f>IFERROR(__xludf.DUMMYFUNCTION("""COMPUTED_VALUE"""),"")</f>
        <v/>
      </c>
      <c r="G2916" s="44" t="str">
        <f>IFERROR(__xludf.DUMMYFUNCTION("""COMPUTED_VALUE""")," ")</f>
        <v> </v>
      </c>
      <c r="H2916" s="44" t="str">
        <f>IFERROR(__xludf.DUMMYFUNCTION("""COMPUTED_VALUE""")," ")</f>
        <v> </v>
      </c>
      <c r="I2916" s="44" t="str">
        <f>IFERROR(__xludf.DUMMYFUNCTION("""COMPUTED_VALUE"""),"Internado")</f>
        <v>Internado</v>
      </c>
      <c r="J2916" s="44" t="str">
        <f>IFERROR(__xludf.DUMMYFUNCTION("""COMPUTED_VALUE"""),"25/06/2026")</f>
        <v>25/06/2026</v>
      </c>
      <c r="K2916" s="42" t="str">
        <f>IFERROR(__xludf.DUMMYFUNCTION("""COMPUTED_VALUE"""),"Hospital Pérez Carreño")</f>
        <v>Hospital Pérez Carreño</v>
      </c>
    </row>
    <row r="2917">
      <c r="A2917" s="44">
        <v>2916.0</v>
      </c>
      <c r="B2917" s="44" t="str">
        <f>IFERROR(__xludf.DUMMYFUNCTION("""COMPUTED_VALUE"""),"La Guaira Sin Hospital")</f>
        <v>La Guaira Sin Hospital</v>
      </c>
      <c r="C2917" s="45" t="str">
        <f>IFERROR(__xludf.DUMMYFUNCTION("""COMPUTED_VALUE"""),"Orozco Devan Cristina")</f>
        <v>Orozco Devan Cristina</v>
      </c>
      <c r="D2917" s="44" t="str">
        <f>IFERROR(__xludf.DUMMYFUNCTION("""COMPUTED_VALUE"""),"")</f>
        <v/>
      </c>
      <c r="E2917" s="44" t="str">
        <f>IFERROR(__xludf.DUMMYFUNCTION("""COMPUTED_VALUE"""),"")</f>
        <v/>
      </c>
      <c r="F2917" s="44" t="str">
        <f>IFERROR(__xludf.DUMMYFUNCTION("""COMPUTED_VALUE"""),"")</f>
        <v/>
      </c>
      <c r="G2917" s="44" t="str">
        <f>IFERROR(__xludf.DUMMYFUNCTION("""COMPUTED_VALUE"""),"")</f>
        <v/>
      </c>
      <c r="H2917" s="44"/>
      <c r="I2917" s="44" t="str">
        <f>IFERROR(__xludf.DUMMYFUNCTION("""COMPUTED_VALUE"""),"Listas solo con nombre")</f>
        <v>Listas solo con nombre</v>
      </c>
      <c r="J2917" s="44" t="str">
        <f>IFERROR(__xludf.DUMMYFUNCTION("""COMPUTED_VALUE"""),"")</f>
        <v/>
      </c>
      <c r="K2917" s="42" t="str">
        <f>IFERROR(__xludf.DUMMYFUNCTION("""COMPUTED_VALUE"""),"La Guaira Sin Hospital")</f>
        <v>La Guaira Sin Hospital</v>
      </c>
    </row>
    <row r="2918">
      <c r="A2918" s="44">
        <v>2917.0</v>
      </c>
      <c r="B2918" s="44" t="str">
        <f>IFERROR(__xludf.DUMMYFUNCTION("""COMPUTED_VALUE"""),"Hospital Pérez Carreño")</f>
        <v>Hospital Pérez Carreño</v>
      </c>
      <c r="C2918" s="45" t="str">
        <f>IFERROR(__xludf.DUMMYFUNCTION("""COMPUTED_VALUE"""),"Orozco Duran Casthy")</f>
        <v>Orozco Duran Casthy</v>
      </c>
      <c r="D2918" s="44"/>
      <c r="E2918" s="44" t="str">
        <f>IFERROR(__xludf.DUMMYFUNCTION("""COMPUTED_VALUE"""),"")</f>
        <v/>
      </c>
      <c r="F2918" s="44" t="str">
        <f>IFERROR(__xludf.DUMMYFUNCTION("""COMPUTED_VALUE"""),"")</f>
        <v/>
      </c>
      <c r="G2918" s="44" t="str">
        <f>IFERROR(__xludf.DUMMYFUNCTION("""COMPUTED_VALUE"""),"Traslados")</f>
        <v>Traslados</v>
      </c>
      <c r="H2918" s="44" t="str">
        <f>IFERROR(__xludf.DUMMYFUNCTION("""COMPUTED_VALUE"""),"Hospital Miguel Perez Carreño")</f>
        <v>Hospital Miguel Perez Carreño</v>
      </c>
      <c r="I2918" s="44"/>
      <c r="J2918" s="44" t="str">
        <f>IFERROR(__xludf.DUMMYFUNCTION("""COMPUTED_VALUE"""),"26/6/26")</f>
        <v>26/6/26</v>
      </c>
      <c r="K2918" s="42" t="str">
        <f>IFERROR(__xludf.DUMMYFUNCTION("""COMPUTED_VALUE"""),"Hospital Pérez Carreño")</f>
        <v>Hospital Pérez Carreño</v>
      </c>
    </row>
    <row r="2919">
      <c r="A2919" s="44">
        <v>2918.0</v>
      </c>
      <c r="B2919" s="44" t="str">
        <f>IFERROR(__xludf.DUMMYFUNCTION("""COMPUTED_VALUE"""),"Hospital Pérez Carreño")</f>
        <v>Hospital Pérez Carreño</v>
      </c>
      <c r="C2919" s="45" t="str">
        <f>IFERROR(__xludf.DUMMYFUNCTION("""COMPUTED_VALUE"""),"OROZCO DURAN CRISTINA")</f>
        <v>OROZCO DURAN CRISTINA</v>
      </c>
      <c r="D2919" s="44" t="str">
        <f>IFERROR(__xludf.DUMMYFUNCTION("""COMPUTED_VALUE""")," ")</f>
        <v> </v>
      </c>
      <c r="E2919" s="44" t="str">
        <f>IFERROR(__xludf.DUMMYFUNCTION("""COMPUTED_VALUE"""),"")</f>
        <v/>
      </c>
      <c r="F2919" s="44" t="str">
        <f>IFERROR(__xludf.DUMMYFUNCTION("""COMPUTED_VALUE"""),"")</f>
        <v/>
      </c>
      <c r="G2919" s="44" t="str">
        <f>IFERROR(__xludf.DUMMYFUNCTION("""COMPUTED_VALUE""")," ")</f>
        <v> </v>
      </c>
      <c r="H2919" s="44" t="str">
        <f>IFERROR(__xludf.DUMMYFUNCTION("""COMPUTED_VALUE""")," ")</f>
        <v> </v>
      </c>
      <c r="I2919" s="44" t="str">
        <f>IFERROR(__xludf.DUMMYFUNCTION("""COMPUTED_VALUE"""),"Internado")</f>
        <v>Internado</v>
      </c>
      <c r="J2919" s="44" t="str">
        <f>IFERROR(__xludf.DUMMYFUNCTION("""COMPUTED_VALUE"""),"25/06/2026")</f>
        <v>25/06/2026</v>
      </c>
      <c r="K2919" s="42" t="str">
        <f>IFERROR(__xludf.DUMMYFUNCTION("""COMPUTED_VALUE"""),"Hospital Pérez Carreño")</f>
        <v>Hospital Pérez Carreño</v>
      </c>
    </row>
    <row r="2920">
      <c r="A2920" s="44">
        <v>2919.0</v>
      </c>
      <c r="B2920" s="44" t="str">
        <f>IFERROR(__xludf.DUMMYFUNCTION("""COMPUTED_VALUE"""),"Hospital Pérez Carreño")</f>
        <v>Hospital Pérez Carreño</v>
      </c>
      <c r="C2920" s="45" t="str">
        <f>IFERROR(__xludf.DUMMYFUNCTION("""COMPUTED_VALUE"""),"Orozco Pelaez Gabriel Diego")</f>
        <v>Orozco Pelaez Gabriel Diego</v>
      </c>
      <c r="D2920" s="44"/>
      <c r="E2920" s="44" t="str">
        <f>IFERROR(__xludf.DUMMYFUNCTION("""COMPUTED_VALUE"""),"")</f>
        <v/>
      </c>
      <c r="F2920" s="44" t="str">
        <f>IFERROR(__xludf.DUMMYFUNCTION("""COMPUTED_VALUE"""),"")</f>
        <v/>
      </c>
      <c r="G2920" s="44" t="str">
        <f>IFERROR(__xludf.DUMMYFUNCTION("""COMPUTED_VALUE"""),"Traslados")</f>
        <v>Traslados</v>
      </c>
      <c r="H2920" s="44" t="str">
        <f>IFERROR(__xludf.DUMMYFUNCTION("""COMPUTED_VALUE"""),"Hospital Miguel Perez Carreño")</f>
        <v>Hospital Miguel Perez Carreño</v>
      </c>
      <c r="I2920" s="44"/>
      <c r="J2920" s="44" t="str">
        <f>IFERROR(__xludf.DUMMYFUNCTION("""COMPUTED_VALUE"""),"26/6/26")</f>
        <v>26/6/26</v>
      </c>
      <c r="K2920" s="42" t="str">
        <f>IFERROR(__xludf.DUMMYFUNCTION("""COMPUTED_VALUE"""),"Hospital Pérez Carreño")</f>
        <v>Hospital Pérez Carreño</v>
      </c>
    </row>
    <row r="2921">
      <c r="A2921" s="44">
        <v>2920.0</v>
      </c>
      <c r="B2921" s="44" t="str">
        <f>IFERROR(__xludf.DUMMYFUNCTION("""COMPUTED_VALUE"""),"Hospital Pérez Carreño")</f>
        <v>Hospital Pérez Carreño</v>
      </c>
      <c r="C2921" s="45" t="str">
        <f>IFERROR(__xludf.DUMMYFUNCTION("""COMPUTED_VALUE"""),"OROZCO PELAEZ GABRIELA ISABELLA")</f>
        <v>OROZCO PELAEZ GABRIELA ISABELLA</v>
      </c>
      <c r="D2921" s="44" t="str">
        <f>IFERROR(__xludf.DUMMYFUNCTION("""COMPUTED_VALUE"""),"#######")</f>
        <v>#######</v>
      </c>
      <c r="E2921" s="44" t="str">
        <f>IFERROR(__xludf.DUMMYFUNCTION("""COMPUTED_VALUE"""),"")</f>
        <v/>
      </c>
      <c r="F2921" s="44" t="str">
        <f>IFERROR(__xludf.DUMMYFUNCTION("""COMPUTED_VALUE"""),"")</f>
        <v/>
      </c>
      <c r="G2921" s="44" t="str">
        <f>IFERROR(__xludf.DUMMYFUNCTION("""COMPUTED_VALUE""")," ")</f>
        <v> </v>
      </c>
      <c r="H2921" s="44" t="str">
        <f>IFERROR(__xludf.DUMMYFUNCTION("""COMPUTED_VALUE""")," ")</f>
        <v> </v>
      </c>
      <c r="I2921" s="44" t="str">
        <f>IFERROR(__xludf.DUMMYFUNCTION("""COMPUTED_VALUE"""),"Pediatría")</f>
        <v>Pediatría</v>
      </c>
      <c r="J2921" s="44" t="str">
        <f>IFERROR(__xludf.DUMMYFUNCTION("""COMPUTED_VALUE"""),"25/06/2026")</f>
        <v>25/06/2026</v>
      </c>
      <c r="K2921" s="42" t="str">
        <f>IFERROR(__xludf.DUMMYFUNCTION("""COMPUTED_VALUE"""),"Hospital Pérez Carreño")</f>
        <v>Hospital Pérez Carreño</v>
      </c>
    </row>
    <row r="2922">
      <c r="A2922" s="44">
        <v>2921.0</v>
      </c>
      <c r="B2922" s="44" t="str">
        <f>IFERROR(__xludf.DUMMYFUNCTION("""COMPUTED_VALUE"""),"La Guaira Sin Hospital")</f>
        <v>La Guaira Sin Hospital</v>
      </c>
      <c r="C2922" s="45" t="str">
        <f>IFERROR(__xludf.DUMMYFUNCTION("""COMPUTED_VALUE"""),"Orozco Retez Diego")</f>
        <v>Orozco Retez Diego</v>
      </c>
      <c r="D2922" s="44" t="str">
        <f>IFERROR(__xludf.DUMMYFUNCTION("""COMPUTED_VALUE"""),"")</f>
        <v/>
      </c>
      <c r="E2922" s="44" t="str">
        <f>IFERROR(__xludf.DUMMYFUNCTION("""COMPUTED_VALUE"""),"")</f>
        <v/>
      </c>
      <c r="F2922" s="44" t="str">
        <f>IFERROR(__xludf.DUMMYFUNCTION("""COMPUTED_VALUE"""),"")</f>
        <v/>
      </c>
      <c r="G2922" s="44" t="str">
        <f>IFERROR(__xludf.DUMMYFUNCTION("""COMPUTED_VALUE"""),"")</f>
        <v/>
      </c>
      <c r="H2922" s="44"/>
      <c r="I2922" s="44" t="str">
        <f>IFERROR(__xludf.DUMMYFUNCTION("""COMPUTED_VALUE"""),"Listas solo con nombre")</f>
        <v>Listas solo con nombre</v>
      </c>
      <c r="J2922" s="44" t="str">
        <f>IFERROR(__xludf.DUMMYFUNCTION("""COMPUTED_VALUE"""),"")</f>
        <v/>
      </c>
      <c r="K2922" s="42" t="str">
        <f>IFERROR(__xludf.DUMMYFUNCTION("""COMPUTED_VALUE"""),"La Guaira Sin Hospital")</f>
        <v>La Guaira Sin Hospital</v>
      </c>
    </row>
    <row r="2923">
      <c r="A2923" s="44">
        <v>2922.0</v>
      </c>
      <c r="B2923" s="44" t="str">
        <f>IFERROR(__xludf.DUMMYFUNCTION("""COMPUTED_VALUE"""),"Hospital Pérez Carreño")</f>
        <v>Hospital Pérez Carreño</v>
      </c>
      <c r="C2923" s="45" t="str">
        <f>IFERROR(__xludf.DUMMYFUNCTION("""COMPUTED_VALUE"""),"ORTEGA ANGEL")</f>
        <v>ORTEGA ANGEL</v>
      </c>
      <c r="D2923" s="44" t="str">
        <f>IFERROR(__xludf.DUMMYFUNCTION("""COMPUTED_VALUE""")," ")</f>
        <v> </v>
      </c>
      <c r="E2923" s="44" t="str">
        <f>IFERROR(__xludf.DUMMYFUNCTION("""COMPUTED_VALUE"""),"")</f>
        <v/>
      </c>
      <c r="F2923" s="44" t="str">
        <f>IFERROR(__xludf.DUMMYFUNCTION("""COMPUTED_VALUE"""),"")</f>
        <v/>
      </c>
      <c r="G2923" s="44" t="str">
        <f>IFERROR(__xludf.DUMMYFUNCTION("""COMPUTED_VALUE""")," ")</f>
        <v> </v>
      </c>
      <c r="H2923" s="44" t="str">
        <f>IFERROR(__xludf.DUMMYFUNCTION("""COMPUTED_VALUE""")," ")</f>
        <v> </v>
      </c>
      <c r="I2923" s="44" t="str">
        <f>IFERROR(__xludf.DUMMYFUNCTION("""COMPUTED_VALUE"""),"Traumashock")</f>
        <v>Traumashock</v>
      </c>
      <c r="J2923" s="44" t="str">
        <f>IFERROR(__xludf.DUMMYFUNCTION("""COMPUTED_VALUE"""),"25/06/2026")</f>
        <v>25/06/2026</v>
      </c>
      <c r="K2923" s="42" t="str">
        <f>IFERROR(__xludf.DUMMYFUNCTION("""COMPUTED_VALUE"""),"Hospital Pérez Carreño")</f>
        <v>Hospital Pérez Carreño</v>
      </c>
    </row>
    <row r="2924">
      <c r="A2924" s="44">
        <v>2923.0</v>
      </c>
      <c r="B2924" s="44" t="str">
        <f>IFERROR(__xludf.DUMMYFUNCTION("""COMPUTED_VALUE"""),"H. Jose Maria Vargas LG")</f>
        <v>H. Jose Maria Vargas LG</v>
      </c>
      <c r="C2924" s="45" t="str">
        <f>IFERROR(__xludf.DUMMYFUNCTION("""COMPUTED_VALUE"""),"ORTEGA CRISTIAN")</f>
        <v>ORTEGA CRISTIAN</v>
      </c>
      <c r="D2924" s="44" t="str">
        <f>IFERROR(__xludf.DUMMYFUNCTION("""COMPUTED_VALUE""")," ")</f>
        <v> </v>
      </c>
      <c r="E2924" s="44" t="str">
        <f>IFERROR(__xludf.DUMMYFUNCTION("""COMPUTED_VALUE"""),"")</f>
        <v/>
      </c>
      <c r="F2924" s="44" t="str">
        <f>IFERROR(__xludf.DUMMYFUNCTION("""COMPUTED_VALUE"""),"")</f>
        <v/>
      </c>
      <c r="G2924" s="44" t="str">
        <f>IFERROR(__xludf.DUMMYFUNCTION("""COMPUTED_VALUE""")," ")</f>
        <v> </v>
      </c>
      <c r="H2924" s="44" t="str">
        <f>IFERROR(__xludf.DUMMYFUNCTION("""COMPUTED_VALUE"""),"OPPE 33")</f>
        <v>OPPE 33</v>
      </c>
      <c r="I2924" s="44" t="str">
        <f>IFERROR(__xludf.DUMMYFUNCTION("""COMPUTED_VALUE""")," ")</f>
        <v> </v>
      </c>
      <c r="J2924" s="44" t="str">
        <f>IFERROR(__xludf.DUMMYFUNCTION("""COMPUTED_VALUE"""),"")</f>
        <v/>
      </c>
      <c r="K2924" s="42" t="str">
        <f>IFERROR(__xludf.DUMMYFUNCTION("""COMPUTED_VALUE"""),"H. Jose Maria Vargas LG")</f>
        <v>H. Jose Maria Vargas LG</v>
      </c>
    </row>
    <row r="2925">
      <c r="A2925" s="44">
        <v>2924.0</v>
      </c>
      <c r="B2925" s="44" t="str">
        <f>IFERROR(__xludf.DUMMYFUNCTION("""COMPUTED_VALUE"""),"La Guaira Sin Hospital")</f>
        <v>La Guaira Sin Hospital</v>
      </c>
      <c r="C2925" s="45" t="str">
        <f>IFERROR(__xludf.DUMMYFUNCTION("""COMPUTED_VALUE"""),"Ortega Cristian Miguel")</f>
        <v>Ortega Cristian Miguel</v>
      </c>
      <c r="D2925" s="44" t="str">
        <f>IFERROR(__xludf.DUMMYFUNCTION("""COMPUTED_VALUE"""),"")</f>
        <v/>
      </c>
      <c r="E2925" s="44" t="str">
        <f>IFERROR(__xludf.DUMMYFUNCTION("""COMPUTED_VALUE"""),"")</f>
        <v/>
      </c>
      <c r="F2925" s="44" t="str">
        <f>IFERROR(__xludf.DUMMYFUNCTION("""COMPUTED_VALUE"""),"")</f>
        <v/>
      </c>
      <c r="G2925" s="44" t="str">
        <f>IFERROR(__xludf.DUMMYFUNCTION("""COMPUTED_VALUE"""),"")</f>
        <v/>
      </c>
      <c r="H2925" s="44" t="str">
        <f>IFERROR(__xludf.DUMMYFUNCTION("""COMPUTED_VALUE"""),"Tanaguarenas")</f>
        <v>Tanaguarenas</v>
      </c>
      <c r="I2925" s="44" t="str">
        <f>IFERROR(__xludf.DUMMYFUNCTION("""COMPUTED_VALUE"""),"Listas con ubicación")</f>
        <v>Listas con ubicación</v>
      </c>
      <c r="J2925" s="44" t="str">
        <f>IFERROR(__xludf.DUMMYFUNCTION("""COMPUTED_VALUE"""),"")</f>
        <v/>
      </c>
      <c r="K2925" s="42" t="str">
        <f>IFERROR(__xludf.DUMMYFUNCTION("""COMPUTED_VALUE"""),"La Guaira Sin Hospital")</f>
        <v>La Guaira Sin Hospital</v>
      </c>
    </row>
    <row r="2926">
      <c r="A2926" s="44">
        <v>2925.0</v>
      </c>
      <c r="B2926" s="44" t="str">
        <f>IFERROR(__xludf.DUMMYFUNCTION("""COMPUTED_VALUE"""),"Hospital Pérez Carreño")</f>
        <v>Hospital Pérez Carreño</v>
      </c>
      <c r="C2926" s="45" t="str">
        <f>IFERROR(__xludf.DUMMYFUNCTION("""COMPUTED_VALUE"""),"Ortega Cristofer")</f>
        <v>Ortega Cristofer</v>
      </c>
      <c r="D2926" s="44"/>
      <c r="E2926" s="44" t="str">
        <f>IFERROR(__xludf.DUMMYFUNCTION("""COMPUTED_VALUE"""),"")</f>
        <v/>
      </c>
      <c r="F2926" s="44" t="str">
        <f>IFERROR(__xludf.DUMMYFUNCTION("""COMPUTED_VALUE"""),"")</f>
        <v/>
      </c>
      <c r="G2926" s="44" t="str">
        <f>IFERROR(__xludf.DUMMYFUNCTION("""COMPUTED_VALUE"""),"Traslados con destino asignado")</f>
        <v>Traslados con destino asignado</v>
      </c>
      <c r="H2926" s="44" t="str">
        <f>IFERROR(__xludf.DUMMYFUNCTION("""COMPUTED_VALUE"""),"Hospital Miguel Perez Carreño")</f>
        <v>Hospital Miguel Perez Carreño</v>
      </c>
      <c r="I2926" s="44"/>
      <c r="J2926" s="44" t="str">
        <f>IFERROR(__xludf.DUMMYFUNCTION("""COMPUTED_VALUE"""),"26/6/26")</f>
        <v>26/6/26</v>
      </c>
      <c r="K2926" s="42" t="str">
        <f>IFERROR(__xludf.DUMMYFUNCTION("""COMPUTED_VALUE"""),"Hospital Pérez Carreño")</f>
        <v>Hospital Pérez Carreño</v>
      </c>
    </row>
    <row r="2927">
      <c r="A2927" s="44">
        <v>2926.0</v>
      </c>
      <c r="B2927" s="44" t="str">
        <f>IFERROR(__xludf.DUMMYFUNCTION("""COMPUTED_VALUE"""),"Hospital Pérez Carreño")</f>
        <v>Hospital Pérez Carreño</v>
      </c>
      <c r="C2927" s="45" t="str">
        <f>IFERROR(__xludf.DUMMYFUNCTION("""COMPUTED_VALUE"""),"ORTEGA CRISTOPHER")</f>
        <v>ORTEGA CRISTOPHER</v>
      </c>
      <c r="D2927" s="44">
        <f>IFERROR(__xludf.DUMMYFUNCTION("""COMPUTED_VALUE"""),12.0)</f>
        <v>12</v>
      </c>
      <c r="E2927" s="44" t="str">
        <f>IFERROR(__xludf.DUMMYFUNCTION("""COMPUTED_VALUE"""),"")</f>
        <v/>
      </c>
      <c r="F2927" s="44" t="str">
        <f>IFERROR(__xludf.DUMMYFUNCTION("""COMPUTED_VALUE"""),"")</f>
        <v/>
      </c>
      <c r="G2927" s="44" t="str">
        <f>IFERROR(__xludf.DUMMYFUNCTION("""COMPUTED_VALUE""")," ")</f>
        <v> </v>
      </c>
      <c r="H2927" s="44" t="str">
        <f>IFERROR(__xludf.DUMMYFUNCTION("""COMPUTED_VALUE""")," ")</f>
        <v> </v>
      </c>
      <c r="I2927" s="44" t="str">
        <f>IFERROR(__xludf.DUMMYFUNCTION("""COMPUTED_VALUE"""),"Emerg. Pediátrica")</f>
        <v>Emerg. Pediátrica</v>
      </c>
      <c r="J2927" s="44" t="str">
        <f>IFERROR(__xludf.DUMMYFUNCTION("""COMPUTED_VALUE"""),"25/06/2026")</f>
        <v>25/06/2026</v>
      </c>
      <c r="K2927" s="42" t="str">
        <f>IFERROR(__xludf.DUMMYFUNCTION("""COMPUTED_VALUE"""),"Hospital Pérez Carreño")</f>
        <v>Hospital Pérez Carreño</v>
      </c>
    </row>
    <row r="2928">
      <c r="A2928" s="44">
        <v>2927.0</v>
      </c>
      <c r="B2928" s="44" t="str">
        <f>IFERROR(__xludf.DUMMYFUNCTION("""COMPUTED_VALUE"""),"Hospital Pérez Carreño")</f>
        <v>Hospital Pérez Carreño</v>
      </c>
      <c r="C2928" s="45" t="str">
        <f>IFERROR(__xludf.DUMMYFUNCTION("""COMPUTED_VALUE"""),"ORTEGA FUENTES JESUS EDUARDO")</f>
        <v>ORTEGA FUENTES JESUS EDUARDO</v>
      </c>
      <c r="D2928" s="44" t="str">
        <f>IFERROR(__xludf.DUMMYFUNCTION("""COMPUTED_VALUE""")," ")</f>
        <v> </v>
      </c>
      <c r="E2928" s="44" t="str">
        <f>IFERROR(__xludf.DUMMYFUNCTION("""COMPUTED_VALUE"""),"")</f>
        <v/>
      </c>
      <c r="F2928" s="44" t="str">
        <f>IFERROR(__xludf.DUMMYFUNCTION("""COMPUTED_VALUE"""),"")</f>
        <v/>
      </c>
      <c r="G2928" s="44" t="str">
        <f>IFERROR(__xludf.DUMMYFUNCTION("""COMPUTED_VALUE""")," ")</f>
        <v> </v>
      </c>
      <c r="H2928" s="44" t="str">
        <f>IFERROR(__xludf.DUMMYFUNCTION("""COMPUTED_VALUE""")," ")</f>
        <v> </v>
      </c>
      <c r="I2928" s="44" t="str">
        <f>IFERROR(__xludf.DUMMYFUNCTION("""COMPUTED_VALUE"""),"Internado")</f>
        <v>Internado</v>
      </c>
      <c r="J2928" s="44" t="str">
        <f>IFERROR(__xludf.DUMMYFUNCTION("""COMPUTED_VALUE"""),"")</f>
        <v/>
      </c>
      <c r="K2928" s="42" t="str">
        <f>IFERROR(__xludf.DUMMYFUNCTION("""COMPUTED_VALUE"""),"🔍 BUSCAR PACIENTES")</f>
        <v>🔍 BUSCAR PACIENTES</v>
      </c>
    </row>
    <row r="2929">
      <c r="A2929" s="44">
        <v>2928.0</v>
      </c>
      <c r="B2929" s="44" t="str">
        <f>IFERROR(__xludf.DUMMYFUNCTION("""COMPUTED_VALUE"""),"Hospital Pérez Carreño")</f>
        <v>Hospital Pérez Carreño</v>
      </c>
      <c r="C2929" s="45" t="str">
        <f>IFERROR(__xludf.DUMMYFUNCTION("""COMPUTED_VALUE"""),"Ortega Isidor")</f>
        <v>Ortega Isidor</v>
      </c>
      <c r="D2929" s="44"/>
      <c r="E2929" s="44" t="str">
        <f>IFERROR(__xludf.DUMMYFUNCTION("""COMPUTED_VALUE"""),"")</f>
        <v/>
      </c>
      <c r="F2929" s="44" t="str">
        <f>IFERROR(__xludf.DUMMYFUNCTION("""COMPUTED_VALUE"""),"")</f>
        <v/>
      </c>
      <c r="G2929" s="44" t="str">
        <f>IFERROR(__xludf.DUMMYFUNCTION("""COMPUTED_VALUE"""),"Traslados con destino asignado")</f>
        <v>Traslados con destino asignado</v>
      </c>
      <c r="H2929" s="44" t="str">
        <f>IFERROR(__xludf.DUMMYFUNCTION("""COMPUTED_VALUE"""),"Hospital Miguel Perez Carreño")</f>
        <v>Hospital Miguel Perez Carreño</v>
      </c>
      <c r="I2929" s="44"/>
      <c r="J2929" s="44" t="str">
        <f>IFERROR(__xludf.DUMMYFUNCTION("""COMPUTED_VALUE"""),"26/6/26")</f>
        <v>26/6/26</v>
      </c>
      <c r="K2929" s="42" t="str">
        <f>IFERROR(__xludf.DUMMYFUNCTION("""COMPUTED_VALUE"""),"Hospital Pérez Carreño")</f>
        <v>Hospital Pérez Carreño</v>
      </c>
    </row>
    <row r="2930">
      <c r="A2930" s="44">
        <v>2929.0</v>
      </c>
      <c r="B2930" s="44" t="str">
        <f>IFERROR(__xludf.DUMMYFUNCTION("""COMPUTED_VALUE"""),"Hospital Pérez Carreño")</f>
        <v>Hospital Pérez Carreño</v>
      </c>
      <c r="C2930" s="45" t="str">
        <f>IFERROR(__xludf.DUMMYFUNCTION("""COMPUTED_VALUE"""),"Ortiño Manrique Thony")</f>
        <v>Ortiño Manrique Thony</v>
      </c>
      <c r="D2930" s="44"/>
      <c r="E2930" s="44" t="str">
        <f>IFERROR(__xludf.DUMMYFUNCTION("""COMPUTED_VALUE"""),"")</f>
        <v/>
      </c>
      <c r="F2930" s="44" t="str">
        <f>IFERROR(__xludf.DUMMYFUNCTION("""COMPUTED_VALUE"""),"")</f>
        <v/>
      </c>
      <c r="G2930" s="44" t="str">
        <f>IFERROR(__xludf.DUMMYFUNCTION("""COMPUTED_VALUE"""),"Traslados")</f>
        <v>Traslados</v>
      </c>
      <c r="H2930" s="44" t="str">
        <f>IFERROR(__xludf.DUMMYFUNCTION("""COMPUTED_VALUE"""),"Hospital Miguel Perez Carreño")</f>
        <v>Hospital Miguel Perez Carreño</v>
      </c>
      <c r="I2930" s="44"/>
      <c r="J2930" s="44" t="str">
        <f>IFERROR(__xludf.DUMMYFUNCTION("""COMPUTED_VALUE"""),"26/6/26")</f>
        <v>26/6/26</v>
      </c>
      <c r="K2930" s="42" t="str">
        <f>IFERROR(__xludf.DUMMYFUNCTION("""COMPUTED_VALUE"""),"Hospital Pérez Carreño")</f>
        <v>Hospital Pérez Carreño</v>
      </c>
    </row>
    <row r="2931">
      <c r="A2931" s="44">
        <v>2930.0</v>
      </c>
      <c r="B2931" s="44" t="str">
        <f>IFERROR(__xludf.DUMMYFUNCTION("""COMPUTED_VALUE"""),"La Guaira Sin Hospital")</f>
        <v>La Guaira Sin Hospital</v>
      </c>
      <c r="C2931" s="45" t="str">
        <f>IFERROR(__xludf.DUMMYFUNCTION("""COMPUTED_VALUE"""),"Ortiz Arismendi Alvaro Enrique")</f>
        <v>Ortiz Arismendi Alvaro Enrique</v>
      </c>
      <c r="D2931" s="44" t="str">
        <f>IFERROR(__xludf.DUMMYFUNCTION("""COMPUTED_VALUE"""),"")</f>
        <v/>
      </c>
      <c r="E2931" s="44" t="str">
        <f>IFERROR(__xludf.DUMMYFUNCTION("""COMPUTED_VALUE"""),"")</f>
        <v/>
      </c>
      <c r="F2931" s="44" t="str">
        <f>IFERROR(__xludf.DUMMYFUNCTION("""COMPUTED_VALUE"""),"")</f>
        <v/>
      </c>
      <c r="G2931" s="44" t="str">
        <f>IFERROR(__xludf.DUMMYFUNCTION("""COMPUTED_VALUE"""),"")</f>
        <v/>
      </c>
      <c r="H2931" s="44"/>
      <c r="I2931" s="44" t="str">
        <f>IFERROR(__xludf.DUMMYFUNCTION("""COMPUTED_VALUE"""),"Listas solo con nombre")</f>
        <v>Listas solo con nombre</v>
      </c>
      <c r="J2931" s="44" t="str">
        <f>IFERROR(__xludf.DUMMYFUNCTION("""COMPUTED_VALUE"""),"")</f>
        <v/>
      </c>
      <c r="K2931" s="42" t="str">
        <f>IFERROR(__xludf.DUMMYFUNCTION("""COMPUTED_VALUE"""),"La Guaira Sin Hospital")</f>
        <v>La Guaira Sin Hospital</v>
      </c>
    </row>
    <row r="2932">
      <c r="A2932" s="44">
        <v>2931.0</v>
      </c>
      <c r="B2932" s="44" t="str">
        <f>IFERROR(__xludf.DUMMYFUNCTION("""COMPUTED_VALUE"""),"Hospital Pérez Carreño")</f>
        <v>Hospital Pérez Carreño</v>
      </c>
      <c r="C2932" s="45" t="str">
        <f>IFERROR(__xludf.DUMMYFUNCTION("""COMPUTED_VALUE"""),"Ortiz Arismendi Pluno Enrique")</f>
        <v>Ortiz Arismendi Pluno Enrique</v>
      </c>
      <c r="D2932" s="44"/>
      <c r="E2932" s="44" t="str">
        <f>IFERROR(__xludf.DUMMYFUNCTION("""COMPUTED_VALUE"""),"")</f>
        <v/>
      </c>
      <c r="F2932" s="44" t="str">
        <f>IFERROR(__xludf.DUMMYFUNCTION("""COMPUTED_VALUE"""),"")</f>
        <v/>
      </c>
      <c r="G2932" s="44" t="str">
        <f>IFERROR(__xludf.DUMMYFUNCTION("""COMPUTED_VALUE"""),"Traslados")</f>
        <v>Traslados</v>
      </c>
      <c r="H2932" s="44" t="str">
        <f>IFERROR(__xludf.DUMMYFUNCTION("""COMPUTED_VALUE"""),"Hospital Miguel Perez Carreño")</f>
        <v>Hospital Miguel Perez Carreño</v>
      </c>
      <c r="I2932" s="44"/>
      <c r="J2932" s="44" t="str">
        <f>IFERROR(__xludf.DUMMYFUNCTION("""COMPUTED_VALUE"""),"26/6/26")</f>
        <v>26/6/26</v>
      </c>
      <c r="K2932" s="42" t="str">
        <f>IFERROR(__xludf.DUMMYFUNCTION("""COMPUTED_VALUE"""),"Hospital Pérez Carreño")</f>
        <v>Hospital Pérez Carreño</v>
      </c>
    </row>
    <row r="2933">
      <c r="A2933" s="44">
        <v>2932.0</v>
      </c>
      <c r="B2933" s="44" t="str">
        <f>IFERROR(__xludf.DUMMYFUNCTION("""COMPUTED_VALUE"""),"La Guaira Sin Hospital")</f>
        <v>La Guaira Sin Hospital</v>
      </c>
      <c r="C2933" s="45" t="str">
        <f>IFERROR(__xludf.DUMMYFUNCTION("""COMPUTED_VALUE"""),"Ortuño Manrique Jhony")</f>
        <v>Ortuño Manrique Jhony</v>
      </c>
      <c r="D2933" s="44" t="str">
        <f>IFERROR(__xludf.DUMMYFUNCTION("""COMPUTED_VALUE"""),"")</f>
        <v/>
      </c>
      <c r="E2933" s="44" t="str">
        <f>IFERROR(__xludf.DUMMYFUNCTION("""COMPUTED_VALUE"""),"")</f>
        <v/>
      </c>
      <c r="F2933" s="44" t="str">
        <f>IFERROR(__xludf.DUMMYFUNCTION("""COMPUTED_VALUE"""),"")</f>
        <v/>
      </c>
      <c r="G2933" s="44" t="str">
        <f>IFERROR(__xludf.DUMMYFUNCTION("""COMPUTED_VALUE"""),"")</f>
        <v/>
      </c>
      <c r="H2933" s="44"/>
      <c r="I2933" s="44" t="str">
        <f>IFERROR(__xludf.DUMMYFUNCTION("""COMPUTED_VALUE"""),"Listas solo con nombre")</f>
        <v>Listas solo con nombre</v>
      </c>
      <c r="J2933" s="44" t="str">
        <f>IFERROR(__xludf.DUMMYFUNCTION("""COMPUTED_VALUE"""),"")</f>
        <v/>
      </c>
      <c r="K2933" s="42" t="str">
        <f>IFERROR(__xludf.DUMMYFUNCTION("""COMPUTED_VALUE"""),"La Guaira Sin Hospital")</f>
        <v>La Guaira Sin Hospital</v>
      </c>
    </row>
    <row r="2934">
      <c r="A2934" s="44">
        <v>2933.0</v>
      </c>
      <c r="B2934" s="44" t="str">
        <f>IFERROR(__xludf.DUMMYFUNCTION("""COMPUTED_VALUE"""),"Periférico de Catia")</f>
        <v>Periférico de Catia</v>
      </c>
      <c r="C2934" s="45" t="str">
        <f>IFERROR(__xludf.DUMMYFUNCTION("""COMPUTED_VALUE"""),"OSBERT PENA")</f>
        <v>OSBERT PENA</v>
      </c>
      <c r="D2934" s="44">
        <f>IFERROR(__xludf.DUMMYFUNCTION("""COMPUTED_VALUE"""),37.0)</f>
        <v>37</v>
      </c>
      <c r="E2934" s="44" t="str">
        <f>IFERROR(__xludf.DUMMYFUNCTION("""COMPUTED_VALUE"""),"")</f>
        <v/>
      </c>
      <c r="F2934" s="44" t="str">
        <f>IFERROR(__xludf.DUMMYFUNCTION("""COMPUTED_VALUE"""),"")</f>
        <v/>
      </c>
      <c r="G2934" s="44" t="str">
        <f>IFERROR(__xludf.DUMMYFUNCTION("""COMPUTED_VALUE""")," ")</f>
        <v> </v>
      </c>
      <c r="H2934" s="44" t="str">
        <f>IFERROR(__xludf.DUMMYFUNCTION("""COMPUTED_VALUE""")," ")</f>
        <v> </v>
      </c>
      <c r="I2934" s="44" t="str">
        <f>IFERROR(__xludf.DUMMYFUNCTION("""COMPUTED_VALUE"""),"Hermano")</f>
        <v>Hermano</v>
      </c>
      <c r="J2934" s="44" t="str">
        <f>IFERROR(__xludf.DUMMYFUNCTION("""COMPUTED_VALUE"""),"")</f>
        <v/>
      </c>
      <c r="K2934" s="42" t="str">
        <f>IFERROR(__xludf.DUMMYFUNCTION("""COMPUTED_VALUE"""),"Periférico de Catia")</f>
        <v>Periférico de Catia</v>
      </c>
    </row>
    <row r="2935">
      <c r="A2935" s="44">
        <v>2934.0</v>
      </c>
      <c r="B2935" s="44" t="str">
        <f>IFERROR(__xludf.DUMMYFUNCTION("""COMPUTED_VALUE"""),"Campo de Golf Playa los Cocos")</f>
        <v>Campo de Golf Playa los Cocos</v>
      </c>
      <c r="C2935" s="45" t="str">
        <f>IFERROR(__xludf.DUMMYFUNCTION("""COMPUTED_VALUE"""),"Oscar Gonzalez")</f>
        <v>Oscar Gonzalez</v>
      </c>
      <c r="D2935" s="44" t="str">
        <f>IFERROR(__xludf.DUMMYFUNCTION("""COMPUTED_VALUE"""),"")</f>
        <v/>
      </c>
      <c r="E2935" s="44" t="str">
        <f>IFERROR(__xludf.DUMMYFUNCTION("""COMPUTED_VALUE"""),"")</f>
        <v/>
      </c>
      <c r="F2935" s="44" t="str">
        <f>IFERROR(__xludf.DUMMYFUNCTION("""COMPUTED_VALUE"""),"")</f>
        <v/>
      </c>
      <c r="G2935" s="44" t="str">
        <f>IFERROR(__xludf.DUMMYFUNCTION("""COMPUTED_VALUE"""),"")</f>
        <v/>
      </c>
      <c r="H2935" s="44" t="str">
        <f>IFERROR(__xludf.DUMMYFUNCTION("""COMPUTED_VALUE"""),"")</f>
        <v/>
      </c>
      <c r="I2935" s="44"/>
      <c r="J2935" s="44" t="str">
        <f>IFERROR(__xludf.DUMMYFUNCTION("""COMPUTED_VALUE"""),"")</f>
        <v/>
      </c>
      <c r="K2935" s="42" t="str">
        <f>IFERROR(__xludf.DUMMYFUNCTION("""COMPUTED_VALUE"""),"Campo de Golf Playa los Cocos")</f>
        <v>Campo de Golf Playa los Cocos</v>
      </c>
    </row>
    <row r="2936">
      <c r="A2936" s="44">
        <v>2935.0</v>
      </c>
      <c r="B2936" s="44" t="str">
        <f>IFERROR(__xludf.DUMMYFUNCTION("""COMPUTED_VALUE"""),"Periférico de Catia")</f>
        <v>Periférico de Catia</v>
      </c>
      <c r="C2936" s="45" t="str">
        <f>IFERROR(__xludf.DUMMYFUNCTION("""COMPUTED_VALUE"""),"OSCAR KALIA")</f>
        <v>OSCAR KALIA</v>
      </c>
      <c r="D2936" s="44">
        <f>IFERROR(__xludf.DUMMYFUNCTION("""COMPUTED_VALUE"""),26.0)</f>
        <v>26</v>
      </c>
      <c r="E2936" s="44" t="str">
        <f>IFERROR(__xludf.DUMMYFUNCTION("""COMPUTED_VALUE"""),"")</f>
        <v/>
      </c>
      <c r="F2936" s="44" t="str">
        <f>IFERROR(__xludf.DUMMYFUNCTION("""COMPUTED_VALUE"""),"")</f>
        <v/>
      </c>
      <c r="G2936" s="44" t="str">
        <f>IFERROR(__xludf.DUMMYFUNCTION("""COMPUTED_VALUE""")," ")</f>
        <v> </v>
      </c>
      <c r="H2936" s="44" t="str">
        <f>IFERROR(__xludf.DUMMYFUNCTION("""COMPUTED_VALUE""")," ")</f>
        <v> </v>
      </c>
      <c r="I2936" s="44" t="str">
        <f>IFERROR(__xludf.DUMMYFUNCTION("""COMPUTED_VALUE"""),"Amigo")</f>
        <v>Amigo</v>
      </c>
      <c r="J2936" s="44" t="str">
        <f>IFERROR(__xludf.DUMMYFUNCTION("""COMPUTED_VALUE"""),"")</f>
        <v/>
      </c>
      <c r="K2936" s="42" t="str">
        <f>IFERROR(__xludf.DUMMYFUNCTION("""COMPUTED_VALUE"""),"Periférico de Catia")</f>
        <v>Periférico de Catia</v>
      </c>
    </row>
    <row r="2937">
      <c r="A2937" s="44">
        <v>2936.0</v>
      </c>
      <c r="B2937" s="44" t="str">
        <f>IFERROR(__xludf.DUMMYFUNCTION("""COMPUTED_VALUE"""),"Periférico de Catia")</f>
        <v>Periférico de Catia</v>
      </c>
      <c r="C2937" s="45" t="str">
        <f>IFERROR(__xludf.DUMMYFUNCTION("""COMPUTED_VALUE"""),"OSCAR TORTOZA")</f>
        <v>OSCAR TORTOZA</v>
      </c>
      <c r="D2937" s="44">
        <f>IFERROR(__xludf.DUMMYFUNCTION("""COMPUTED_VALUE"""),37.0)</f>
        <v>37</v>
      </c>
      <c r="E2937" s="44" t="str">
        <f>IFERROR(__xludf.DUMMYFUNCTION("""COMPUTED_VALUE"""),"")</f>
        <v/>
      </c>
      <c r="F2937" s="44" t="str">
        <f>IFERROR(__xludf.DUMMYFUNCTION("""COMPUTED_VALUE"""),"")</f>
        <v/>
      </c>
      <c r="G2937" s="44" t="str">
        <f>IFERROR(__xludf.DUMMYFUNCTION("""COMPUTED_VALUE""")," ")</f>
        <v> </v>
      </c>
      <c r="H2937" s="44" t="str">
        <f>IFERROR(__xludf.DUMMYFUNCTION("""COMPUTED_VALUE"""),"La Guaira, Chican")</f>
        <v>La Guaira, Chican</v>
      </c>
      <c r="I2937" s="44" t="str">
        <f>IFERROR(__xludf.DUMMYFUNCTION("""COMPUTED_VALUE"""),"TRM")</f>
        <v>TRM</v>
      </c>
      <c r="J2937" s="44" t="str">
        <f>IFERROR(__xludf.DUMMYFUNCTION("""COMPUTED_VALUE"""),"")</f>
        <v/>
      </c>
      <c r="K2937" s="42" t="str">
        <f>IFERROR(__xludf.DUMMYFUNCTION("""COMPUTED_VALUE"""),"Periférico de Catia")</f>
        <v>Periférico de Catia</v>
      </c>
    </row>
    <row r="2938">
      <c r="A2938" s="44">
        <v>2937.0</v>
      </c>
      <c r="B2938" s="44" t="str">
        <f>IFERROR(__xludf.DUMMYFUNCTION("""COMPUTED_VALUE"""),"H. Jose Maria Vargas LG")</f>
        <v>H. Jose Maria Vargas LG</v>
      </c>
      <c r="C2938" s="45" t="str">
        <f>IFERROR(__xludf.DUMMYFUNCTION("""COMPUTED_VALUE"""),"OSCATE HORRADA")</f>
        <v>OSCATE HORRADA</v>
      </c>
      <c r="D2938" s="44">
        <f>IFERROR(__xludf.DUMMYFUNCTION("""COMPUTED_VALUE"""),61.0)</f>
        <v>61</v>
      </c>
      <c r="E2938" s="44" t="str">
        <f>IFERROR(__xludf.DUMMYFUNCTION("""COMPUTED_VALUE"""),"")</f>
        <v/>
      </c>
      <c r="F2938" s="44" t="str">
        <f>IFERROR(__xludf.DUMMYFUNCTION("""COMPUTED_VALUE"""),"")</f>
        <v/>
      </c>
      <c r="G2938" s="44" t="str">
        <f>IFERROR(__xludf.DUMMYFUNCTION("""COMPUTED_VALUE""")," ")</f>
        <v> </v>
      </c>
      <c r="H2938" s="44" t="str">
        <f>IFERROR(__xludf.DUMMYFUNCTION("""COMPUTED_VALUE""")," ")</f>
        <v> </v>
      </c>
      <c r="I2938" s="44" t="str">
        <f>IFERROR(__xludf.DUMMYFUNCTION("""COMPUTED_VALUE"""),"Internado")</f>
        <v>Internado</v>
      </c>
      <c r="J2938" s="44" t="str">
        <f>IFERROR(__xludf.DUMMYFUNCTION("""COMPUTED_VALUE"""),"")</f>
        <v/>
      </c>
      <c r="K2938" s="42" t="str">
        <f>IFERROR(__xludf.DUMMYFUNCTION("""COMPUTED_VALUE"""),"H. Jose Maria Vargas LG")</f>
        <v>H. Jose Maria Vargas LG</v>
      </c>
    </row>
    <row r="2939">
      <c r="A2939" s="44">
        <v>2938.0</v>
      </c>
      <c r="B2939" s="44" t="str">
        <f>IFERROR(__xludf.DUMMYFUNCTION("""COMPUTED_VALUE"""),"Hospital Pérez Carreño")</f>
        <v>Hospital Pérez Carreño</v>
      </c>
      <c r="C2939" s="45" t="str">
        <f>IFERROR(__xludf.DUMMYFUNCTION("""COMPUTED_VALUE"""),"OSECHE ADERLY")</f>
        <v>OSECHE ADERLY</v>
      </c>
      <c r="D2939" s="44" t="str">
        <f>IFERROR(__xludf.DUMMYFUNCTION("""COMPUTED_VALUE""")," ")</f>
        <v> </v>
      </c>
      <c r="E2939" s="44" t="str">
        <f>IFERROR(__xludf.DUMMYFUNCTION("""COMPUTED_VALUE"""),"")</f>
        <v/>
      </c>
      <c r="F2939" s="44" t="str">
        <f>IFERROR(__xludf.DUMMYFUNCTION("""COMPUTED_VALUE"""),"")</f>
        <v/>
      </c>
      <c r="G2939" s="44" t="str">
        <f>IFERROR(__xludf.DUMMYFUNCTION("""COMPUTED_VALUE""")," ")</f>
        <v> </v>
      </c>
      <c r="H2939" s="44" t="str">
        <f>IFERROR(__xludf.DUMMYFUNCTION("""COMPUTED_VALUE""")," ")</f>
        <v> </v>
      </c>
      <c r="I2939" s="44" t="str">
        <f>IFERROR(__xludf.DUMMYFUNCTION("""COMPUTED_VALUE"""),"Traumashock")</f>
        <v>Traumashock</v>
      </c>
      <c r="J2939" s="44" t="str">
        <f>IFERROR(__xludf.DUMMYFUNCTION("""COMPUTED_VALUE"""),"25/06/2026")</f>
        <v>25/06/2026</v>
      </c>
      <c r="K2939" s="42" t="str">
        <f>IFERROR(__xludf.DUMMYFUNCTION("""COMPUTED_VALUE"""),"Hospital Pérez Carreño")</f>
        <v>Hospital Pérez Carreño</v>
      </c>
    </row>
    <row r="2940">
      <c r="A2940" s="44">
        <v>2939.0</v>
      </c>
      <c r="B2940" s="44" t="str">
        <f>IFERROR(__xludf.DUMMYFUNCTION("""COMPUTED_VALUE"""),"Hospital Pérez Carreño")</f>
        <v>Hospital Pérez Carreño</v>
      </c>
      <c r="C2940" s="45" t="str">
        <f>IFERROR(__xludf.DUMMYFUNCTION("""COMPUTED_VALUE"""),"OSETA VALERIA")</f>
        <v>OSETA VALERIA</v>
      </c>
      <c r="D2940" s="44" t="str">
        <f>IFERROR(__xludf.DUMMYFUNCTION("""COMPUTED_VALUE""")," ")</f>
        <v> </v>
      </c>
      <c r="E2940" s="44" t="str">
        <f>IFERROR(__xludf.DUMMYFUNCTION("""COMPUTED_VALUE"""),"")</f>
        <v/>
      </c>
      <c r="F2940" s="44" t="str">
        <f>IFERROR(__xludf.DUMMYFUNCTION("""COMPUTED_VALUE"""),"")</f>
        <v/>
      </c>
      <c r="G2940" s="44" t="str">
        <f>IFERROR(__xludf.DUMMYFUNCTION("""COMPUTED_VALUE""")," ")</f>
        <v> </v>
      </c>
      <c r="H2940" s="44" t="str">
        <f>IFERROR(__xludf.DUMMYFUNCTION("""COMPUTED_VALUE""")," ")</f>
        <v> </v>
      </c>
      <c r="I2940" s="44" t="str">
        <f>IFERROR(__xludf.DUMMYFUNCTION("""COMPUTED_VALUE"""),"Traumachok – Medicina Interna; La Guaira")</f>
        <v>Traumachok – Medicina Interna; La Guaira</v>
      </c>
      <c r="J2940" s="44" t="str">
        <f>IFERROR(__xludf.DUMMYFUNCTION("""COMPUTED_VALUE"""),"")</f>
        <v/>
      </c>
      <c r="K2940" s="42" t="str">
        <f>IFERROR(__xludf.DUMMYFUNCTION("""COMPUTED_VALUE"""),"🔍 BUSCAR PACIENTES")</f>
        <v>🔍 BUSCAR PACIENTES</v>
      </c>
    </row>
    <row r="2941">
      <c r="A2941" s="44">
        <v>2940.0</v>
      </c>
      <c r="B2941" s="44" t="str">
        <f>IFERROR(__xludf.DUMMYFUNCTION("""COMPUTED_VALUE"""),"Hospital Domingo Luciani")</f>
        <v>Hospital Domingo Luciani</v>
      </c>
      <c r="C2941" s="45" t="str">
        <f>IFERROR(__xludf.DUMMYFUNCTION("""COMPUTED_VALUE"""),"OSHO ELICK")</f>
        <v>OSHO ELICK</v>
      </c>
      <c r="D2941" s="44">
        <f>IFERROR(__xludf.DUMMYFUNCTION("""COMPUTED_VALUE"""),54.0)</f>
        <v>54</v>
      </c>
      <c r="E2941" s="44" t="str">
        <f>IFERROR(__xludf.DUMMYFUNCTION("""COMPUTED_VALUE"""),"")</f>
        <v/>
      </c>
      <c r="F2941" s="44" t="str">
        <f>IFERROR(__xludf.DUMMYFUNCTION("""COMPUTED_VALUE"""),"")</f>
        <v/>
      </c>
      <c r="G2941" s="44" t="str">
        <f>IFERROR(__xludf.DUMMYFUNCTION("""COMPUTED_VALUE""")," ")</f>
        <v> </v>
      </c>
      <c r="H2941" s="44" t="str">
        <f>IFERROR(__xludf.DUMMYFUNCTION("""COMPUTED_VALUE""")," ")</f>
        <v> </v>
      </c>
      <c r="I2941" s="44" t="str">
        <f>IFERROR(__xludf.DUMMYFUNCTION("""COMPUTED_VALUE"""),"La Guaira – Ingresos 9am")</f>
        <v>La Guaira – Ingresos 9am</v>
      </c>
      <c r="J2941" s="44" t="str">
        <f>IFERROR(__xludf.DUMMYFUNCTION("""COMPUTED_VALUE"""),"")</f>
        <v/>
      </c>
      <c r="K2941" s="42" t="str">
        <f>IFERROR(__xludf.DUMMYFUNCTION("""COMPUTED_VALUE"""),"🔍 BUSCAR PACIENTES")</f>
        <v>🔍 BUSCAR PACIENTES</v>
      </c>
    </row>
    <row r="2942">
      <c r="A2942" s="44">
        <v>2941.0</v>
      </c>
      <c r="B2942" s="44" t="str">
        <f>IFERROR(__xludf.DUMMYFUNCTION("""COMPUTED_VALUE"""),"HOSPITAL VARGAS")</f>
        <v>HOSPITAL VARGAS</v>
      </c>
      <c r="C2942" s="45" t="str">
        <f>IFERROR(__xludf.DUMMYFUNCTION("""COMPUTED_VALUE"""),"Osmary López")</f>
        <v>Osmary López</v>
      </c>
      <c r="D2942" s="44"/>
      <c r="E2942" s="44" t="str">
        <f>IFERROR(__xludf.DUMMYFUNCTION("""COMPUTED_VALUE"""),"")</f>
        <v/>
      </c>
      <c r="F2942" s="44" t="str">
        <f>IFERROR(__xludf.DUMMYFUNCTION("""COMPUTED_VALUE"""),"")</f>
        <v/>
      </c>
      <c r="G2942" s="44" t="str">
        <f>IFERROR(__xludf.DUMMYFUNCTION("""COMPUTED_VALUE"""),"")</f>
        <v/>
      </c>
      <c r="H2942" s="44" t="str">
        <f>IFERROR(__xludf.DUMMYFUNCTION("""COMPUTED_VALUE"""),"")</f>
        <v/>
      </c>
      <c r="I2942" s="44" t="str">
        <f>IFERROR(__xludf.DUMMYFUNCTION("""COMPUTED_VALUE"""),"Herido / atendido")</f>
        <v>Herido / atendido</v>
      </c>
      <c r="J2942" s="44" t="str">
        <f>IFERROR(__xludf.DUMMYFUNCTION("""COMPUTED_VALUE"""),"24.06.2026 ")</f>
        <v>24.06.2026 </v>
      </c>
      <c r="K2942" s="42" t="str">
        <f>IFERROR(__xludf.DUMMYFUNCTION("""COMPUTED_VALUE"""),"HOSPITAL VARGAS")</f>
        <v>HOSPITAL VARGAS</v>
      </c>
    </row>
    <row r="2943">
      <c r="A2943" s="44">
        <v>2942.0</v>
      </c>
      <c r="B2943" s="44" t="str">
        <f>IFERROR(__xludf.DUMMYFUNCTION("""COMPUTED_VALUE"""),"Hospital Pérez Carreño")</f>
        <v>Hospital Pérez Carreño</v>
      </c>
      <c r="C2943" s="45" t="str">
        <f>IFERROR(__xludf.DUMMYFUNCTION("""COMPUTED_VALUE"""),"OSOTA VALERIA")</f>
        <v>OSOTA VALERIA</v>
      </c>
      <c r="D2943" s="44" t="str">
        <f>IFERROR(__xludf.DUMMYFUNCTION("""COMPUTED_VALUE""")," ")</f>
        <v> </v>
      </c>
      <c r="E2943" s="44" t="str">
        <f>IFERROR(__xludf.DUMMYFUNCTION("""COMPUTED_VALUE"""),"")</f>
        <v/>
      </c>
      <c r="F2943" s="44" t="str">
        <f>IFERROR(__xludf.DUMMYFUNCTION("""COMPUTED_VALUE"""),"")</f>
        <v/>
      </c>
      <c r="G2943" s="44" t="str">
        <f>IFERROR(__xludf.DUMMYFUNCTION("""COMPUTED_VALUE""")," ")</f>
        <v> </v>
      </c>
      <c r="H2943" s="44" t="str">
        <f>IFERROR(__xludf.DUMMYFUNCTION("""COMPUTED_VALUE""")," ")</f>
        <v> </v>
      </c>
      <c r="I2943" s="44" t="str">
        <f>IFERROR(__xludf.DUMMYFUNCTION("""COMPUTED_VALUE"""),"Traumashock")</f>
        <v>Traumashock</v>
      </c>
      <c r="J2943" s="44" t="str">
        <f>IFERROR(__xludf.DUMMYFUNCTION("""COMPUTED_VALUE"""),"25/06/2026")</f>
        <v>25/06/2026</v>
      </c>
      <c r="K2943" s="42" t="str">
        <f>IFERROR(__xludf.DUMMYFUNCTION("""COMPUTED_VALUE"""),"Hospital Pérez Carreño")</f>
        <v>Hospital Pérez Carreño</v>
      </c>
    </row>
    <row r="2944">
      <c r="A2944" s="44">
        <v>2943.0</v>
      </c>
      <c r="B2944" s="44" t="str">
        <f>IFERROR(__xludf.DUMMYFUNCTION("""COMPUTED_VALUE"""),"Hospital Vargas de Caracas")</f>
        <v>Hospital Vargas de Caracas</v>
      </c>
      <c r="C2944" s="45" t="str">
        <f>IFERROR(__xludf.DUMMYFUNCTION("""COMPUTED_VALUE"""),"OYARBES HECTOR")</f>
        <v>OYARBES HECTOR</v>
      </c>
      <c r="D2944" s="44" t="str">
        <f>IFERROR(__xludf.DUMMYFUNCTION("""COMPUTED_VALUE""")," ")</f>
        <v> </v>
      </c>
      <c r="E2944" s="44" t="str">
        <f>IFERROR(__xludf.DUMMYFUNCTION("""COMPUTED_VALUE"""),"")</f>
        <v/>
      </c>
      <c r="F2944" s="44" t="str">
        <f>IFERROR(__xludf.DUMMYFUNCTION("""COMPUTED_VALUE""")," ")</f>
        <v> </v>
      </c>
      <c r="G2944" s="44" t="str">
        <f>IFERROR(__xludf.DUMMYFUNCTION("""COMPUTED_VALUE"""),"")</f>
        <v/>
      </c>
      <c r="H2944" s="44" t="str">
        <f>IFERROR(__xludf.DUMMYFUNCTION("""COMPUTED_VALUE""")," ")</f>
        <v> </v>
      </c>
      <c r="I2944" s="44" t="str">
        <f>IFERROR(__xludf.DUMMYFUNCTION("""COMPUTED_VALUE""")," ")</f>
        <v> </v>
      </c>
      <c r="J2944" s="44" t="str">
        <f>IFERROR(__xludf.DUMMYFUNCTION("""COMPUTED_VALUE"""),"")</f>
        <v/>
      </c>
      <c r="K2944" s="42" t="str">
        <f>IFERROR(__xludf.DUMMYFUNCTION("""COMPUTED_VALUE"""),"Hospital Vargas de Caracas")</f>
        <v>Hospital Vargas de Caracas</v>
      </c>
    </row>
    <row r="2945">
      <c r="A2945" s="44">
        <v>2944.0</v>
      </c>
      <c r="B2945" s="44" t="str">
        <f>IFERROR(__xludf.DUMMYFUNCTION("""COMPUTED_VALUE"""),"Hospital Pérez Carreño")</f>
        <v>Hospital Pérez Carreño</v>
      </c>
      <c r="C2945" s="45" t="str">
        <f>IFERROR(__xludf.DUMMYFUNCTION("""COMPUTED_VALUE"""),"Ozyana Rodriguez Maleny Alexandra")</f>
        <v>Ozyana Rodriguez Maleny Alexandra</v>
      </c>
      <c r="D2945" s="44"/>
      <c r="E2945" s="44" t="str">
        <f>IFERROR(__xludf.DUMMYFUNCTION("""COMPUTED_VALUE"""),"")</f>
        <v/>
      </c>
      <c r="F2945" s="44" t="str">
        <f>IFERROR(__xludf.DUMMYFUNCTION("""COMPUTED_VALUE"""),"")</f>
        <v/>
      </c>
      <c r="G2945" s="44" t="str">
        <f>IFERROR(__xludf.DUMMYFUNCTION("""COMPUTED_VALUE"""),"Traslados con destino asignado")</f>
        <v>Traslados con destino asignado</v>
      </c>
      <c r="H2945" s="44" t="str">
        <f>IFERROR(__xludf.DUMMYFUNCTION("""COMPUTED_VALUE"""),"Hospital Miguel Perez Carreño")</f>
        <v>Hospital Miguel Perez Carreño</v>
      </c>
      <c r="I2945" s="44"/>
      <c r="J2945" s="44" t="str">
        <f>IFERROR(__xludf.DUMMYFUNCTION("""COMPUTED_VALUE"""),"26/6/26")</f>
        <v>26/6/26</v>
      </c>
      <c r="K2945" s="42" t="str">
        <f>IFERROR(__xludf.DUMMYFUNCTION("""COMPUTED_VALUE"""),"Hospital Pérez Carreño")</f>
        <v>Hospital Pérez Carreño</v>
      </c>
    </row>
    <row r="2946">
      <c r="A2946" s="44">
        <v>2945.0</v>
      </c>
      <c r="B2946" s="44" t="str">
        <f>IFERROR(__xludf.DUMMYFUNCTION("""COMPUTED_VALUE"""),"Periférico de Catia")</f>
        <v>Periférico de Catia</v>
      </c>
      <c r="C2946" s="45" t="str">
        <f>IFERROR(__xludf.DUMMYFUNCTION("""COMPUTED_VALUE"""),"PABON MARIANGEL")</f>
        <v>PABON MARIANGEL</v>
      </c>
      <c r="D2946" s="44">
        <f>IFERROR(__xludf.DUMMYFUNCTION("""COMPUTED_VALUE"""),21.0)</f>
        <v>21</v>
      </c>
      <c r="E2946" s="44" t="str">
        <f>IFERROR(__xludf.DUMMYFUNCTION("""COMPUTED_VALUE"""),"")</f>
        <v/>
      </c>
      <c r="F2946" s="44" t="str">
        <f>IFERROR(__xludf.DUMMYFUNCTION("""COMPUTED_VALUE"""),"")</f>
        <v/>
      </c>
      <c r="G2946" s="44" t="str">
        <f>IFERROR(__xludf.DUMMYFUNCTION("""COMPUTED_VALUE""")," ")</f>
        <v> </v>
      </c>
      <c r="H2946" s="44" t="str">
        <f>IFERROR(__xludf.DUMMYFUNCTION("""COMPUTED_VALUE"""),"C/ Principal Antimano #14")</f>
        <v>C/ Principal Antimano #14</v>
      </c>
      <c r="I2946" s="44" t="str">
        <f>IFERROR(__xludf.DUMMYFUNCTION("""COMPUTED_VALUE""")," ")</f>
        <v> </v>
      </c>
      <c r="J2946" s="44" t="str">
        <f>IFERROR(__xludf.DUMMYFUNCTION("""COMPUTED_VALUE"""),"")</f>
        <v/>
      </c>
      <c r="K2946" s="42" t="str">
        <f>IFERROR(__xludf.DUMMYFUNCTION("""COMPUTED_VALUE"""),"Periférico de Catia")</f>
        <v>Periférico de Catia</v>
      </c>
    </row>
    <row r="2947">
      <c r="A2947" s="44">
        <v>2946.0</v>
      </c>
      <c r="B2947" s="44" t="str">
        <f>IFERROR(__xludf.DUMMYFUNCTION("""COMPUTED_VALUE"""),"H. Jose Maria Vargas LG")</f>
        <v>H. Jose Maria Vargas LG</v>
      </c>
      <c r="C2947" s="45" t="str">
        <f>IFERROR(__xludf.DUMMYFUNCTION("""COMPUTED_VALUE"""),"PACHECO AUSTIN")</f>
        <v>PACHECO AUSTIN</v>
      </c>
      <c r="D2947" s="44" t="str">
        <f>IFERROR(__xludf.DUMMYFUNCTION("""COMPUTED_VALUE""")," ")</f>
        <v> </v>
      </c>
      <c r="E2947" s="44" t="str">
        <f>IFERROR(__xludf.DUMMYFUNCTION("""COMPUTED_VALUE"""),"")</f>
        <v/>
      </c>
      <c r="F2947" s="44" t="str">
        <f>IFERROR(__xludf.DUMMYFUNCTION("""COMPUTED_VALUE"""),"")</f>
        <v/>
      </c>
      <c r="G2947" s="44" t="str">
        <f>IFERROR(__xludf.DUMMYFUNCTION("""COMPUTED_VALUE""")," ")</f>
        <v> </v>
      </c>
      <c r="H2947" s="44" t="str">
        <f>IFERROR(__xludf.DUMMYFUNCTION("""COMPUTED_VALUE""")," ")</f>
        <v> </v>
      </c>
      <c r="I2947" s="44" t="str">
        <f>IFERROR(__xludf.DUMMYFUNCTION("""COMPUTED_VALUE""")," ")</f>
        <v> </v>
      </c>
      <c r="J2947" s="44" t="str">
        <f>IFERROR(__xludf.DUMMYFUNCTION("""COMPUTED_VALUE"""),"")</f>
        <v/>
      </c>
      <c r="K2947" s="42" t="str">
        <f>IFERROR(__xludf.DUMMYFUNCTION("""COMPUTED_VALUE"""),"H. Jose Maria Vargas LG")</f>
        <v>H. Jose Maria Vargas LG</v>
      </c>
    </row>
    <row r="2948">
      <c r="A2948" s="44">
        <v>2947.0</v>
      </c>
      <c r="B2948" s="44" t="str">
        <f>IFERROR(__xludf.DUMMYFUNCTION("""COMPUTED_VALUE"""),"H. Jose Maria Vargas LG")</f>
        <v>H. Jose Maria Vargas LG</v>
      </c>
      <c r="C2948" s="45" t="str">
        <f>IFERROR(__xludf.DUMMYFUNCTION("""COMPUTED_VALUE"""),"PACHECO CISA")</f>
        <v>PACHECO CISA</v>
      </c>
      <c r="D2948" s="44" t="str">
        <f>IFERROR(__xludf.DUMMYFUNCTION("""COMPUTED_VALUE""")," ")</f>
        <v> </v>
      </c>
      <c r="E2948" s="44" t="str">
        <f>IFERROR(__xludf.DUMMYFUNCTION("""COMPUTED_VALUE"""),"")</f>
        <v/>
      </c>
      <c r="F2948" s="44" t="str">
        <f>IFERROR(__xludf.DUMMYFUNCTION("""COMPUTED_VALUE"""),"")</f>
        <v/>
      </c>
      <c r="G2948" s="44" t="str">
        <f>IFERROR(__xludf.DUMMYFUNCTION("""COMPUTED_VALUE""")," ")</f>
        <v> </v>
      </c>
      <c r="H2948" s="44" t="str">
        <f>IFERROR(__xludf.DUMMYFUNCTION("""COMPUTED_VALUE""")," ")</f>
        <v> </v>
      </c>
      <c r="I2948" s="44" t="str">
        <f>IFERROR(__xludf.DUMMYFUNCTION("""COMPUTED_VALUE""")," ")</f>
        <v> </v>
      </c>
      <c r="J2948" s="44" t="str">
        <f>IFERROR(__xludf.DUMMYFUNCTION("""COMPUTED_VALUE"""),"")</f>
        <v/>
      </c>
      <c r="K2948" s="42" t="str">
        <f>IFERROR(__xludf.DUMMYFUNCTION("""COMPUTED_VALUE"""),"H. Jose Maria Vargas LG")</f>
        <v>H. Jose Maria Vargas LG</v>
      </c>
    </row>
    <row r="2949">
      <c r="A2949" s="44">
        <v>2948.0</v>
      </c>
      <c r="B2949" s="44" t="str">
        <f>IFERROR(__xludf.DUMMYFUNCTION("""COMPUTED_VALUE"""),"Hospital Pérez Carreño")</f>
        <v>Hospital Pérez Carreño</v>
      </c>
      <c r="C2949" s="45" t="str">
        <f>IFERROR(__xludf.DUMMYFUNCTION("""COMPUTED_VALUE"""),"Pacheco Diaz Cesar Eduardo")</f>
        <v>Pacheco Diaz Cesar Eduardo</v>
      </c>
      <c r="D2949" s="44"/>
      <c r="E2949" s="44" t="str">
        <f>IFERROR(__xludf.DUMMYFUNCTION("""COMPUTED_VALUE"""),"")</f>
        <v/>
      </c>
      <c r="F2949" s="44" t="str">
        <f>IFERROR(__xludf.DUMMYFUNCTION("""COMPUTED_VALUE"""),"")</f>
        <v/>
      </c>
      <c r="G2949" s="44" t="str">
        <f>IFERROR(__xludf.DUMMYFUNCTION("""COMPUTED_VALUE"""),"Traslados")</f>
        <v>Traslados</v>
      </c>
      <c r="H2949" s="44" t="str">
        <f>IFERROR(__xludf.DUMMYFUNCTION("""COMPUTED_VALUE"""),"Hospital Miguel Perez Carreño")</f>
        <v>Hospital Miguel Perez Carreño</v>
      </c>
      <c r="I2949" s="44"/>
      <c r="J2949" s="44" t="str">
        <f>IFERROR(__xludf.DUMMYFUNCTION("""COMPUTED_VALUE"""),"26/6/26")</f>
        <v>26/6/26</v>
      </c>
      <c r="K2949" s="42" t="str">
        <f>IFERROR(__xludf.DUMMYFUNCTION("""COMPUTED_VALUE"""),"Hospital Pérez Carreño")</f>
        <v>Hospital Pérez Carreño</v>
      </c>
    </row>
    <row r="2950">
      <c r="A2950" s="44">
        <v>2949.0</v>
      </c>
      <c r="B2950" s="44" t="str">
        <f>IFERROR(__xludf.DUMMYFUNCTION("""COMPUTED_VALUE"""),"H. Jose Maria Vargas LG")</f>
        <v>H. Jose Maria Vargas LG</v>
      </c>
      <c r="C2950" s="45" t="str">
        <f>IFERROR(__xludf.DUMMYFUNCTION("""COMPUTED_VALUE"""),"PACHECO ESTHER")</f>
        <v>PACHECO ESTHER</v>
      </c>
      <c r="D2950" s="44" t="str">
        <f>IFERROR(__xludf.DUMMYFUNCTION("""COMPUTED_VALUE""")," ")</f>
        <v> </v>
      </c>
      <c r="E2950" s="44" t="str">
        <f>IFERROR(__xludf.DUMMYFUNCTION("""COMPUTED_VALUE"""),"")</f>
        <v/>
      </c>
      <c r="F2950" s="44" t="str">
        <f>IFERROR(__xludf.DUMMYFUNCTION("""COMPUTED_VALUE"""),"")</f>
        <v/>
      </c>
      <c r="G2950" s="44" t="str">
        <f>IFERROR(__xludf.DUMMYFUNCTION("""COMPUTED_VALUE""")," ")</f>
        <v> </v>
      </c>
      <c r="H2950" s="44" t="str">
        <f>IFERROR(__xludf.DUMMYFUNCTION("""COMPUTED_VALUE""")," ")</f>
        <v> </v>
      </c>
      <c r="I2950" s="44" t="str">
        <f>IFERROR(__xludf.DUMMYFUNCTION("""COMPUTED_VALUE""")," ")</f>
        <v> </v>
      </c>
      <c r="J2950" s="44" t="str">
        <f>IFERROR(__xludf.DUMMYFUNCTION("""COMPUTED_VALUE"""),"")</f>
        <v/>
      </c>
      <c r="K2950" s="42" t="str">
        <f>IFERROR(__xludf.DUMMYFUNCTION("""COMPUTED_VALUE"""),"H. Jose Maria Vargas LG")</f>
        <v>H. Jose Maria Vargas LG</v>
      </c>
    </row>
    <row r="2951">
      <c r="A2951" s="44">
        <v>2950.0</v>
      </c>
      <c r="B2951" s="44" t="str">
        <f>IFERROR(__xludf.DUMMYFUNCTION("""COMPUTED_VALUE"""),"H. Jose Maria Vargas LG")</f>
        <v>H. Jose Maria Vargas LG</v>
      </c>
      <c r="C2951" s="45" t="str">
        <f>IFERROR(__xludf.DUMMYFUNCTION("""COMPUTED_VALUE"""),"PACHECO MIRLA")</f>
        <v>PACHECO MIRLA</v>
      </c>
      <c r="D2951" s="44">
        <f>IFERROR(__xludf.DUMMYFUNCTION("""COMPUTED_VALUE"""),69.0)</f>
        <v>69</v>
      </c>
      <c r="E2951" s="44" t="str">
        <f>IFERROR(__xludf.DUMMYFUNCTION("""COMPUTED_VALUE"""),"")</f>
        <v/>
      </c>
      <c r="F2951" s="44" t="str">
        <f>IFERROR(__xludf.DUMMYFUNCTION("""COMPUTED_VALUE"""),"")</f>
        <v/>
      </c>
      <c r="G2951" s="44" t="str">
        <f>IFERROR(__xludf.DUMMYFUNCTION("""COMPUTED_VALUE""")," ")</f>
        <v> </v>
      </c>
      <c r="H2951" s="44" t="str">
        <f>IFERROR(__xludf.DUMMYFUNCTION("""COMPUTED_VALUE""")," ")</f>
        <v> </v>
      </c>
      <c r="I2951" s="44" t="str">
        <f>IFERROR(__xludf.DUMMYFUNCTION("""COMPUTED_VALUE""")," ")</f>
        <v> </v>
      </c>
      <c r="J2951" s="44" t="str">
        <f>IFERROR(__xludf.DUMMYFUNCTION("""COMPUTED_VALUE"""),"")</f>
        <v/>
      </c>
      <c r="K2951" s="42" t="str">
        <f>IFERROR(__xludf.DUMMYFUNCTION("""COMPUTED_VALUE"""),"H. Jose Maria Vargas LG")</f>
        <v>H. Jose Maria Vargas LG</v>
      </c>
    </row>
    <row r="2952">
      <c r="A2952" s="44">
        <v>2951.0</v>
      </c>
      <c r="B2952" s="44" t="str">
        <f>IFERROR(__xludf.DUMMYFUNCTION("""COMPUTED_VALUE"""),"Hospital Domingo Luciani")</f>
        <v>Hospital Domingo Luciani</v>
      </c>
      <c r="C2952" s="45" t="str">
        <f>IFERROR(__xludf.DUMMYFUNCTION("""COMPUTED_VALUE"""),"PADILLA GODOY")</f>
        <v>PADILLA GODOY</v>
      </c>
      <c r="D2952" s="44">
        <f>IFERROR(__xludf.DUMMYFUNCTION("""COMPUTED_VALUE"""),4.0)</f>
        <v>4</v>
      </c>
      <c r="E2952" s="44" t="str">
        <f>IFERROR(__xludf.DUMMYFUNCTION("""COMPUTED_VALUE"""),"")</f>
        <v/>
      </c>
      <c r="F2952" s="44" t="str">
        <f>IFERROR(__xludf.DUMMYFUNCTION("""COMPUTED_VALUE"""),"")</f>
        <v/>
      </c>
      <c r="G2952" s="44" t="str">
        <f>IFERROR(__xludf.DUMMYFUNCTION("""COMPUTED_VALUE""")," ")</f>
        <v> </v>
      </c>
      <c r="H2952" s="44" t="str">
        <f>IFERROR(__xludf.DUMMYFUNCTION("""COMPUTED_VALUE"""),"La Guaira")</f>
        <v>La Guaira</v>
      </c>
      <c r="I2952" s="44" t="str">
        <f>IFERROR(__xludf.DUMMYFUNCTION("""COMPUTED_VALUE"""),"Pediatría – Mamá: Andreina Vasconalo")</f>
        <v>Pediatría – Mamá: Andreina Vasconalo</v>
      </c>
      <c r="J2952" s="44" t="str">
        <f>IFERROR(__xludf.DUMMYFUNCTION("""COMPUTED_VALUE"""),"")</f>
        <v/>
      </c>
      <c r="K2952" s="42" t="str">
        <f>IFERROR(__xludf.DUMMYFUNCTION("""COMPUTED_VALUE"""),"🔍 BUSCAR PACIENTES")</f>
        <v>🔍 BUSCAR PACIENTES</v>
      </c>
    </row>
    <row r="2953">
      <c r="A2953" s="44">
        <v>2952.0</v>
      </c>
      <c r="B2953" s="44" t="str">
        <f>IFERROR(__xludf.DUMMYFUNCTION("""COMPUTED_VALUE"""),"La Guaira Sin Hospital")</f>
        <v>La Guaira Sin Hospital</v>
      </c>
      <c r="C2953" s="45" t="str">
        <f>IFERROR(__xludf.DUMMYFUNCTION("""COMPUTED_VALUE"""),"Padilla Marcano Penangeli Anelis")</f>
        <v>Padilla Marcano Penangeli Anelis</v>
      </c>
      <c r="D2953" s="44" t="str">
        <f>IFERROR(__xludf.DUMMYFUNCTION("""COMPUTED_VALUE"""),"")</f>
        <v/>
      </c>
      <c r="E2953" s="44" t="str">
        <f>IFERROR(__xludf.DUMMYFUNCTION("""COMPUTED_VALUE"""),"")</f>
        <v/>
      </c>
      <c r="F2953" s="44" t="str">
        <f>IFERROR(__xludf.DUMMYFUNCTION("""COMPUTED_VALUE"""),"")</f>
        <v/>
      </c>
      <c r="G2953" s="44" t="str">
        <f>IFERROR(__xludf.DUMMYFUNCTION("""COMPUTED_VALUE"""),"")</f>
        <v/>
      </c>
      <c r="H2953" s="44"/>
      <c r="I2953" s="44" t="str">
        <f>IFERROR(__xludf.DUMMYFUNCTION("""COMPUTED_VALUE"""),"Listas solo con nombre")</f>
        <v>Listas solo con nombre</v>
      </c>
      <c r="J2953" s="44" t="str">
        <f>IFERROR(__xludf.DUMMYFUNCTION("""COMPUTED_VALUE"""),"")</f>
        <v/>
      </c>
      <c r="K2953" s="42" t="str">
        <f>IFERROR(__xludf.DUMMYFUNCTION("""COMPUTED_VALUE"""),"La Guaira Sin Hospital")</f>
        <v>La Guaira Sin Hospital</v>
      </c>
    </row>
    <row r="2954">
      <c r="A2954" s="44">
        <v>2953.0</v>
      </c>
      <c r="B2954" s="44" t="str">
        <f>IFERROR(__xludf.DUMMYFUNCTION("""COMPUTED_VALUE"""),"Hospital Pérez Carreño")</f>
        <v>Hospital Pérez Carreño</v>
      </c>
      <c r="C2954" s="45" t="str">
        <f>IFERROR(__xludf.DUMMYFUNCTION("""COMPUTED_VALUE"""),"Padilla Marcano Pengelia Anais")</f>
        <v>Padilla Marcano Pengelia Anais</v>
      </c>
      <c r="D2954" s="44"/>
      <c r="E2954" s="44" t="str">
        <f>IFERROR(__xludf.DUMMYFUNCTION("""COMPUTED_VALUE"""),"")</f>
        <v/>
      </c>
      <c r="F2954" s="44" t="str">
        <f>IFERROR(__xludf.DUMMYFUNCTION("""COMPUTED_VALUE"""),"")</f>
        <v/>
      </c>
      <c r="G2954" s="44" t="str">
        <f>IFERROR(__xludf.DUMMYFUNCTION("""COMPUTED_VALUE"""),"Traslados")</f>
        <v>Traslados</v>
      </c>
      <c r="H2954" s="44" t="str">
        <f>IFERROR(__xludf.DUMMYFUNCTION("""COMPUTED_VALUE"""),"Hospital Miguel Perez Carreño")</f>
        <v>Hospital Miguel Perez Carreño</v>
      </c>
      <c r="I2954" s="44"/>
      <c r="J2954" s="44" t="str">
        <f>IFERROR(__xludf.DUMMYFUNCTION("""COMPUTED_VALUE"""),"26/6/26")</f>
        <v>26/6/26</v>
      </c>
      <c r="K2954" s="42" t="str">
        <f>IFERROR(__xludf.DUMMYFUNCTION("""COMPUTED_VALUE"""),"Hospital Pérez Carreño")</f>
        <v>Hospital Pérez Carreño</v>
      </c>
    </row>
    <row r="2955">
      <c r="A2955" s="44">
        <v>2954.0</v>
      </c>
      <c r="B2955" s="44" t="str">
        <f>IFERROR(__xludf.DUMMYFUNCTION("""COMPUTED_VALUE"""),"Hospital Pérez Carreño")</f>
        <v>Hospital Pérez Carreño</v>
      </c>
      <c r="C2955" s="45" t="str">
        <f>IFERROR(__xludf.DUMMYFUNCTION("""COMPUTED_VALUE"""),"PADILLA MARCANO RONARGELIS ANELIS")</f>
        <v>PADILLA MARCANO RONARGELIS ANELIS</v>
      </c>
      <c r="D2955" s="44" t="str">
        <f>IFERROR(__xludf.DUMMYFUNCTION("""COMPUTED_VALUE""")," ")</f>
        <v> </v>
      </c>
      <c r="E2955" s="44" t="str">
        <f>IFERROR(__xludf.DUMMYFUNCTION("""COMPUTED_VALUE"""),"")</f>
        <v/>
      </c>
      <c r="F2955" s="44" t="str">
        <f>IFERROR(__xludf.DUMMYFUNCTION("""COMPUTED_VALUE"""),"")</f>
        <v/>
      </c>
      <c r="G2955" s="44" t="str">
        <f>IFERROR(__xludf.DUMMYFUNCTION("""COMPUTED_VALUE""")," ")</f>
        <v> </v>
      </c>
      <c r="H2955" s="44" t="str">
        <f>IFERROR(__xludf.DUMMYFUNCTION("""COMPUTED_VALUE""")," ")</f>
        <v> </v>
      </c>
      <c r="I2955" s="44" t="str">
        <f>IFERROR(__xludf.DUMMYFUNCTION("""COMPUTED_VALUE"""),"Internado")</f>
        <v>Internado</v>
      </c>
      <c r="J2955" s="44" t="str">
        <f>IFERROR(__xludf.DUMMYFUNCTION("""COMPUTED_VALUE"""),"")</f>
        <v/>
      </c>
      <c r="K2955" s="42" t="str">
        <f>IFERROR(__xludf.DUMMYFUNCTION("""COMPUTED_VALUE"""),"🔍 BUSCAR PACIENTES")</f>
        <v>🔍 BUSCAR PACIENTES</v>
      </c>
    </row>
    <row r="2956">
      <c r="A2956" s="44">
        <v>2955.0</v>
      </c>
      <c r="B2956" s="44" t="str">
        <f>IFERROR(__xludf.DUMMYFUNCTION("""COMPUTED_VALUE"""),"Hospital Domingo Luciani")</f>
        <v>Hospital Domingo Luciani</v>
      </c>
      <c r="C2956" s="45" t="str">
        <f>IFERROR(__xludf.DUMMYFUNCTION("""COMPUTED_VALUE"""),"PADON EFREN GUALINO")</f>
        <v>PADON EFREN GUALINO</v>
      </c>
      <c r="D2956" s="44" t="str">
        <f>IFERROR(__xludf.DUMMYFUNCTION("""COMPUTED_VALUE""")," ")</f>
        <v> </v>
      </c>
      <c r="E2956" s="44" t="str">
        <f>IFERROR(__xludf.DUMMYFUNCTION("""COMPUTED_VALUE"""),"")</f>
        <v/>
      </c>
      <c r="F2956" s="44" t="str">
        <f>IFERROR(__xludf.DUMMYFUNCTION("""COMPUTED_VALUE"""),"")</f>
        <v/>
      </c>
      <c r="G2956" s="44" t="str">
        <f>IFERROR(__xludf.DUMMYFUNCTION("""COMPUTED_VALUE""")," ")</f>
        <v> </v>
      </c>
      <c r="H2956" s="44" t="str">
        <f>IFERROR(__xludf.DUMMYFUNCTION("""COMPUTED_VALUE""")," ")</f>
        <v> </v>
      </c>
      <c r="I2956" s="44" t="str">
        <f>IFERROR(__xludf.DUMMYFUNCTION("""COMPUTED_VALUE"""),"Politrauma")</f>
        <v>Politrauma</v>
      </c>
      <c r="J2956" s="44" t="str">
        <f>IFERROR(__xludf.DUMMYFUNCTION("""COMPUTED_VALUE"""),"")</f>
        <v/>
      </c>
      <c r="K2956" s="42" t="str">
        <f>IFERROR(__xludf.DUMMYFUNCTION("""COMPUTED_VALUE"""),"🔍 BUSCAR PACIENTES")</f>
        <v>🔍 BUSCAR PACIENTES</v>
      </c>
    </row>
    <row r="2957">
      <c r="A2957" s="44">
        <v>2956.0</v>
      </c>
      <c r="B2957" s="44" t="str">
        <f>IFERROR(__xludf.DUMMYFUNCTION("""COMPUTED_VALUE"""),"Hospital Domingo Luciani")</f>
        <v>Hospital Domingo Luciani</v>
      </c>
      <c r="C2957" s="45" t="str">
        <f>IFERROR(__xludf.DUMMYFUNCTION("""COMPUTED_VALUE"""),"PADON EUILO")</f>
        <v>PADON EUILO</v>
      </c>
      <c r="D2957" s="44" t="str">
        <f>IFERROR(__xludf.DUMMYFUNCTION("""COMPUTED_VALUE""")," ")</f>
        <v> </v>
      </c>
      <c r="E2957" s="44" t="str">
        <f>IFERROR(__xludf.DUMMYFUNCTION("""COMPUTED_VALUE"""),"")</f>
        <v/>
      </c>
      <c r="F2957" s="44" t="str">
        <f>IFERROR(__xludf.DUMMYFUNCTION("""COMPUTED_VALUE"""),"")</f>
        <v/>
      </c>
      <c r="G2957" s="44" t="str">
        <f>IFERROR(__xludf.DUMMYFUNCTION("""COMPUTED_VALUE""")," ")</f>
        <v> </v>
      </c>
      <c r="H2957" s="44" t="str">
        <f>IFERROR(__xludf.DUMMYFUNCTION("""COMPUTED_VALUE""")," ")</f>
        <v> </v>
      </c>
      <c r="I2957" s="44" t="str">
        <f>IFERROR(__xludf.DUMMYFUNCTION("""COMPUTED_VALUE"""),"Politrauma")</f>
        <v>Politrauma</v>
      </c>
      <c r="J2957" s="44" t="str">
        <f>IFERROR(__xludf.DUMMYFUNCTION("""COMPUTED_VALUE"""),"")</f>
        <v/>
      </c>
      <c r="K2957" s="42" t="str">
        <f>IFERROR(__xludf.DUMMYFUNCTION("""COMPUTED_VALUE"""),"🔍 BUSCAR PACIENTES")</f>
        <v>🔍 BUSCAR PACIENTES</v>
      </c>
    </row>
    <row r="2958">
      <c r="A2958" s="44">
        <v>2957.0</v>
      </c>
      <c r="B2958" s="44" t="str">
        <f>IFERROR(__xludf.DUMMYFUNCTION("""COMPUTED_VALUE"""),"Hospital Pérez Carreño")</f>
        <v>Hospital Pérez Carreño</v>
      </c>
      <c r="C2958" s="45" t="str">
        <f>IFERROR(__xludf.DUMMYFUNCTION("""COMPUTED_VALUE"""),"Padra Noe Isabel")</f>
        <v>Padra Noe Isabel</v>
      </c>
      <c r="D2958" s="44"/>
      <c r="E2958" s="44" t="str">
        <f>IFERROR(__xludf.DUMMYFUNCTION("""COMPUTED_VALUE"""),"")</f>
        <v/>
      </c>
      <c r="F2958" s="44" t="str">
        <f>IFERROR(__xludf.DUMMYFUNCTION("""COMPUTED_VALUE"""),"")</f>
        <v/>
      </c>
      <c r="G2958" s="44" t="str">
        <f>IFERROR(__xludf.DUMMYFUNCTION("""COMPUTED_VALUE"""),"Traslados con destino asignado")</f>
        <v>Traslados con destino asignado</v>
      </c>
      <c r="H2958" s="44" t="str">
        <f>IFERROR(__xludf.DUMMYFUNCTION("""COMPUTED_VALUE"""),"Hospital Miguel Perez Carreño")</f>
        <v>Hospital Miguel Perez Carreño</v>
      </c>
      <c r="I2958" s="44"/>
      <c r="J2958" s="44" t="str">
        <f>IFERROR(__xludf.DUMMYFUNCTION("""COMPUTED_VALUE"""),"26/6/26")</f>
        <v>26/6/26</v>
      </c>
      <c r="K2958" s="42" t="str">
        <f>IFERROR(__xludf.DUMMYFUNCTION("""COMPUTED_VALUE"""),"Hospital Pérez Carreño")</f>
        <v>Hospital Pérez Carreño</v>
      </c>
    </row>
    <row r="2959">
      <c r="A2959" s="44">
        <v>2958.0</v>
      </c>
      <c r="B2959" s="44" t="str">
        <f>IFERROR(__xludf.DUMMYFUNCTION("""COMPUTED_VALUE"""),"Hospital Domingo Luciani")</f>
        <v>Hospital Domingo Luciani</v>
      </c>
      <c r="C2959" s="45" t="str">
        <f>IFERROR(__xludf.DUMMYFUNCTION("""COMPUTED_VALUE"""),"PADRON CIRILO")</f>
        <v>PADRON CIRILO</v>
      </c>
      <c r="D2959" s="44" t="str">
        <f>IFERROR(__xludf.DUMMYFUNCTION("""COMPUTED_VALUE""")," ")</f>
        <v> </v>
      </c>
      <c r="E2959" s="44" t="str">
        <f>IFERROR(__xludf.DUMMYFUNCTION("""COMPUTED_VALUE"""),"")</f>
        <v/>
      </c>
      <c r="F2959" s="44" t="str">
        <f>IFERROR(__xludf.DUMMYFUNCTION("""COMPUTED_VALUE"""),"")</f>
        <v/>
      </c>
      <c r="G2959" s="44" t="str">
        <f>IFERROR(__xludf.DUMMYFUNCTION("""COMPUTED_VALUE""")," ")</f>
        <v> </v>
      </c>
      <c r="H2959" s="44" t="str">
        <f>IFERROR(__xludf.DUMMYFUNCTION("""COMPUTED_VALUE""")," ")</f>
        <v> </v>
      </c>
      <c r="I2959" s="44" t="str">
        <f>IFERROR(__xludf.DUMMYFUNCTION("""COMPUTED_VALUE""")," ")</f>
        <v> </v>
      </c>
      <c r="J2959" s="44" t="str">
        <f>IFERROR(__xludf.DUMMYFUNCTION("""COMPUTED_VALUE"""),"")</f>
        <v/>
      </c>
      <c r="K2959" s="42" t="str">
        <f>IFERROR(__xludf.DUMMYFUNCTION("""COMPUTED_VALUE"""),"🔍 BUSCAR PACIENTES")</f>
        <v>🔍 BUSCAR PACIENTES</v>
      </c>
    </row>
    <row r="2960">
      <c r="A2960" s="44">
        <v>2959.0</v>
      </c>
      <c r="B2960" s="44" t="str">
        <f>IFERROR(__xludf.DUMMYFUNCTION("""COMPUTED_VALUE"""),"Hospital Domingo Luciani")</f>
        <v>Hospital Domingo Luciani</v>
      </c>
      <c r="C2960" s="45" t="str">
        <f>IFERROR(__xludf.DUMMYFUNCTION("""COMPUTED_VALUE"""),"PADRON DOUGLAS")</f>
        <v>PADRON DOUGLAS</v>
      </c>
      <c r="D2960" s="44">
        <f>IFERROR(__xludf.DUMMYFUNCTION("""COMPUTED_VALUE"""),20.0)</f>
        <v>20</v>
      </c>
      <c r="E2960" s="44" t="str">
        <f>IFERROR(__xludf.DUMMYFUNCTION("""COMPUTED_VALUE"""),"")</f>
        <v/>
      </c>
      <c r="F2960" s="44" t="str">
        <f>IFERROR(__xludf.DUMMYFUNCTION("""COMPUTED_VALUE"""),"")</f>
        <v/>
      </c>
      <c r="G2960" s="44" t="str">
        <f>IFERROR(__xludf.DUMMYFUNCTION("""COMPUTED_VALUE""")," ")</f>
        <v> </v>
      </c>
      <c r="H2960" s="44" t="str">
        <f>IFERROR(__xludf.DUMMYFUNCTION("""COMPUTED_VALUE""")," ")</f>
        <v> </v>
      </c>
      <c r="I2960" s="44" t="str">
        <f>IFERROR(__xludf.DUMMYFUNCTION("""COMPUTED_VALUE"""),"Cardiología Piso 2 – H-9 – M")</f>
        <v>Cardiología Piso 2 – H-9 – M</v>
      </c>
      <c r="J2960" s="44" t="str">
        <f>IFERROR(__xludf.DUMMYFUNCTION("""COMPUTED_VALUE"""),"")</f>
        <v/>
      </c>
      <c r="K2960" s="42" t="str">
        <f>IFERROR(__xludf.DUMMYFUNCTION("""COMPUTED_VALUE"""),"🔍 BUSCAR PACIENTES")</f>
        <v>🔍 BUSCAR PACIENTES</v>
      </c>
    </row>
    <row r="2961">
      <c r="A2961" s="44">
        <v>2960.0</v>
      </c>
      <c r="B2961" s="44" t="str">
        <f>IFERROR(__xludf.DUMMYFUNCTION("""COMPUTED_VALUE"""),"Hospital Domingo Luciani")</f>
        <v>Hospital Domingo Luciani</v>
      </c>
      <c r="C2961" s="45" t="str">
        <f>IFERROR(__xludf.DUMMYFUNCTION("""COMPUTED_VALUE"""),"PADRON JEAN FRANCO")</f>
        <v>PADRON JEAN FRANCO</v>
      </c>
      <c r="D2961" s="44">
        <f>IFERROR(__xludf.DUMMYFUNCTION("""COMPUTED_VALUE"""),42.0)</f>
        <v>42</v>
      </c>
      <c r="E2961" s="44" t="str">
        <f>IFERROR(__xludf.DUMMYFUNCTION("""COMPUTED_VALUE"""),"")</f>
        <v/>
      </c>
      <c r="F2961" s="44" t="str">
        <f>IFERROR(__xludf.DUMMYFUNCTION("""COMPUTED_VALUE"""),"")</f>
        <v/>
      </c>
      <c r="G2961" s="44" t="str">
        <f>IFERROR(__xludf.DUMMYFUNCTION("""COMPUTED_VALUE""")," ")</f>
        <v> </v>
      </c>
      <c r="H2961" s="44" t="str">
        <f>IFERROR(__xludf.DUMMYFUNCTION("""COMPUTED_VALUE""")," ")</f>
        <v> </v>
      </c>
      <c r="I2961" s="44" t="str">
        <f>IFERROR(__xludf.DUMMYFUNCTION("""COMPUTED_VALUE"""),"Internado")</f>
        <v>Internado</v>
      </c>
      <c r="J2961" s="44" t="str">
        <f>IFERROR(__xludf.DUMMYFUNCTION("""COMPUTED_VALUE"""),"")</f>
        <v/>
      </c>
      <c r="K2961" s="42" t="str">
        <f>IFERROR(__xludf.DUMMYFUNCTION("""COMPUTED_VALUE"""),"🔍 BUSCAR PACIENTES")</f>
        <v>🔍 BUSCAR PACIENTES</v>
      </c>
    </row>
    <row r="2962">
      <c r="A2962" s="44">
        <v>2961.0</v>
      </c>
      <c r="B2962" s="44" t="str">
        <f>IFERROR(__xludf.DUMMYFUNCTION("""COMPUTED_VALUE"""),"Periférico de Catia")</f>
        <v>Periférico de Catia</v>
      </c>
      <c r="C2962" s="45" t="str">
        <f>IFERROR(__xludf.DUMMYFUNCTION("""COMPUTED_VALUE"""),"Padron Jesus Cirilo")</f>
        <v>Padron Jesus Cirilo</v>
      </c>
      <c r="D2962" s="44"/>
      <c r="E2962" s="44" t="str">
        <f>IFERROR(__xludf.DUMMYFUNCTION("""COMPUTED_VALUE"""),"")</f>
        <v/>
      </c>
      <c r="F2962" s="44" t="str">
        <f>IFERROR(__xludf.DUMMYFUNCTION("""COMPUTED_VALUE"""),"")</f>
        <v/>
      </c>
      <c r="G2962" s="44"/>
      <c r="H2962" s="44"/>
      <c r="I2962" s="44" t="str">
        <f>IFERROR(__xludf.DUMMYFUNCTION("""COMPUTED_VALUE"""),"Politrauma (continuacion, hoja sin edades)")</f>
        <v>Politrauma (continuacion, hoja sin edades)</v>
      </c>
      <c r="J2962" s="44" t="str">
        <f>IFERROR(__xludf.DUMMYFUNCTION("""COMPUTED_VALUE"""),"")</f>
        <v/>
      </c>
      <c r="K2962" s="42" t="str">
        <f>IFERROR(__xludf.DUMMYFUNCTION("""COMPUTED_VALUE"""),"Periférico de Catia")</f>
        <v>Periférico de Catia</v>
      </c>
    </row>
    <row r="2963">
      <c r="A2963" s="44">
        <v>2962.0</v>
      </c>
      <c r="B2963" s="44" t="str">
        <f>IFERROR(__xludf.DUMMYFUNCTION("""COMPUTED_VALUE"""),"Hospital Universitario de Carac")</f>
        <v>Hospital Universitario de Carac</v>
      </c>
      <c r="C2963" s="45" t="str">
        <f>IFERROR(__xludf.DUMMYFUNCTION("""COMPUTED_VALUE"""),"PAEZ SABRINA")</f>
        <v>PAEZ SABRINA</v>
      </c>
      <c r="D2963" s="44">
        <f>IFERROR(__xludf.DUMMYFUNCTION("""COMPUTED_VALUE"""),18.0)</f>
        <v>18</v>
      </c>
      <c r="E2963" s="44" t="str">
        <f>IFERROR(__xludf.DUMMYFUNCTION("""COMPUTED_VALUE"""),"")</f>
        <v/>
      </c>
      <c r="F2963" s="44" t="str">
        <f>IFERROR(__xludf.DUMMYFUNCTION("""COMPUTED_VALUE"""),"")</f>
        <v/>
      </c>
      <c r="G2963" s="44" t="str">
        <f>IFERROR(__xludf.DUMMYFUNCTION("""COMPUTED_VALUE""")," ")</f>
        <v> </v>
      </c>
      <c r="H2963" s="44" t="str">
        <f>IFERROR(__xludf.DUMMYFUNCTION("""COMPUTED_VALUE""")," ")</f>
        <v> </v>
      </c>
      <c r="I2963" s="44" t="str">
        <f>IFERROR(__xludf.DUMMYFUNCTION("""COMPUTED_VALUE"""),"Politraumatismo")</f>
        <v>Politraumatismo</v>
      </c>
      <c r="J2963" s="44" t="str">
        <f>IFERROR(__xludf.DUMMYFUNCTION("""COMPUTED_VALUE"""),"")</f>
        <v/>
      </c>
      <c r="K2963" s="42" t="str">
        <f>IFERROR(__xludf.DUMMYFUNCTION("""COMPUTED_VALUE"""),"Hospital Universitario de Carac")</f>
        <v>Hospital Universitario de Carac</v>
      </c>
    </row>
    <row r="2964">
      <c r="A2964" s="44">
        <v>2963.0</v>
      </c>
      <c r="B2964" s="44" t="str">
        <f>IFERROR(__xludf.DUMMYFUNCTION("""COMPUTED_VALUE"""),"H. Jose Maria Vargas LG")</f>
        <v>H. Jose Maria Vargas LG</v>
      </c>
      <c r="C2964" s="45" t="str">
        <f>IFERROR(__xludf.DUMMYFUNCTION("""COMPUTED_VALUE"""),"PALACIOS ANGEL")</f>
        <v>PALACIOS ANGEL</v>
      </c>
      <c r="D2964" s="44" t="str">
        <f>IFERROR(__xludf.DUMMYFUNCTION("""COMPUTED_VALUE""")," ")</f>
        <v> </v>
      </c>
      <c r="E2964" s="44" t="str">
        <f>IFERROR(__xludf.DUMMYFUNCTION("""COMPUTED_VALUE"""),"")</f>
        <v/>
      </c>
      <c r="F2964" s="44" t="str">
        <f>IFERROR(__xludf.DUMMYFUNCTION("""COMPUTED_VALUE"""),"")</f>
        <v/>
      </c>
      <c r="G2964" s="44" t="str">
        <f>IFERROR(__xludf.DUMMYFUNCTION("""COMPUTED_VALUE""")," ")</f>
        <v> </v>
      </c>
      <c r="H2964" s="44" t="str">
        <f>IFERROR(__xludf.DUMMYFUNCTION("""COMPUTED_VALUE""")," ")</f>
        <v> </v>
      </c>
      <c r="I2964" s="44" t="str">
        <f>IFERROR(__xludf.DUMMYFUNCTION("""COMPUTED_VALUE""")," ")</f>
        <v> </v>
      </c>
      <c r="J2964" s="44" t="str">
        <f>IFERROR(__xludf.DUMMYFUNCTION("""COMPUTED_VALUE"""),"")</f>
        <v/>
      </c>
      <c r="K2964" s="42" t="str">
        <f>IFERROR(__xludf.DUMMYFUNCTION("""COMPUTED_VALUE"""),"H. Jose Maria Vargas LG")</f>
        <v>H. Jose Maria Vargas LG</v>
      </c>
    </row>
    <row r="2965">
      <c r="A2965" s="44">
        <v>2964.0</v>
      </c>
      <c r="B2965" s="44" t="str">
        <f>IFERROR(__xludf.DUMMYFUNCTION("""COMPUTED_VALUE"""),"H. Jose Maria Vargas LG")</f>
        <v>H. Jose Maria Vargas LG</v>
      </c>
      <c r="C2965" s="45" t="str">
        <f>IFERROR(__xludf.DUMMYFUNCTION("""COMPUTED_VALUE"""),"PALACIOS JAVIER")</f>
        <v>PALACIOS JAVIER</v>
      </c>
      <c r="D2965" s="44" t="str">
        <f>IFERROR(__xludf.DUMMYFUNCTION("""COMPUTED_VALUE""")," ")</f>
        <v> </v>
      </c>
      <c r="E2965" s="44" t="str">
        <f>IFERROR(__xludf.DUMMYFUNCTION("""COMPUTED_VALUE"""),"")</f>
        <v/>
      </c>
      <c r="F2965" s="44" t="str">
        <f>IFERROR(__xludf.DUMMYFUNCTION("""COMPUTED_VALUE"""),"")</f>
        <v/>
      </c>
      <c r="G2965" s="44" t="str">
        <f>IFERROR(__xludf.DUMMYFUNCTION("""COMPUTED_VALUE""")," ")</f>
        <v> </v>
      </c>
      <c r="H2965" s="44" t="str">
        <f>IFERROR(__xludf.DUMMYFUNCTION("""COMPUTED_VALUE""")," ")</f>
        <v> </v>
      </c>
      <c r="I2965" s="44" t="str">
        <f>IFERROR(__xludf.DUMMYFUNCTION("""COMPUTED_VALUE""")," ")</f>
        <v> </v>
      </c>
      <c r="J2965" s="44" t="str">
        <f>IFERROR(__xludf.DUMMYFUNCTION("""COMPUTED_VALUE"""),"")</f>
        <v/>
      </c>
      <c r="K2965" s="42" t="str">
        <f>IFERROR(__xludf.DUMMYFUNCTION("""COMPUTED_VALUE"""),"H. Jose Maria Vargas LG")</f>
        <v>H. Jose Maria Vargas LG</v>
      </c>
    </row>
    <row r="2966">
      <c r="A2966" s="44">
        <v>2965.0</v>
      </c>
      <c r="B2966" s="44" t="str">
        <f>IFERROR(__xludf.DUMMYFUNCTION("""COMPUTED_VALUE"""),"Hospital Pérez Carreño")</f>
        <v>Hospital Pérez Carreño</v>
      </c>
      <c r="C2966" s="45" t="str">
        <f>IFERROR(__xludf.DUMMYFUNCTION("""COMPUTED_VALUE"""),"PALMA MILAGRO")</f>
        <v>PALMA MILAGRO</v>
      </c>
      <c r="D2966" s="44" t="str">
        <f>IFERROR(__xludf.DUMMYFUNCTION("""COMPUTED_VALUE""")," ")</f>
        <v> </v>
      </c>
      <c r="E2966" s="44" t="str">
        <f>IFERROR(__xludf.DUMMYFUNCTION("""COMPUTED_VALUE"""),"")</f>
        <v/>
      </c>
      <c r="F2966" s="44" t="str">
        <f>IFERROR(__xludf.DUMMYFUNCTION("""COMPUTED_VALUE"""),"")</f>
        <v/>
      </c>
      <c r="G2966" s="44" t="str">
        <f>IFERROR(__xludf.DUMMYFUNCTION("""COMPUTED_VALUE""")," ")</f>
        <v> </v>
      </c>
      <c r="H2966" s="44" t="str">
        <f>IFERROR(__xludf.DUMMYFUNCTION("""COMPUTED_VALUE""")," ")</f>
        <v> </v>
      </c>
      <c r="I2966" s="44" t="str">
        <f>IFERROR(__xludf.DUMMYFUNCTION("""COMPUTED_VALUE""")," ")</f>
        <v> </v>
      </c>
      <c r="J2966" s="44" t="str">
        <f>IFERROR(__xludf.DUMMYFUNCTION("""COMPUTED_VALUE"""),"25/06/2026")</f>
        <v>25/06/2026</v>
      </c>
      <c r="K2966" s="42" t="str">
        <f>IFERROR(__xludf.DUMMYFUNCTION("""COMPUTED_VALUE"""),"Hospital Pérez Carreño")</f>
        <v>Hospital Pérez Carreño</v>
      </c>
    </row>
    <row r="2967">
      <c r="A2967" s="44">
        <v>2966.0</v>
      </c>
      <c r="B2967" s="44" t="str">
        <f>IFERROR(__xludf.DUMMYFUNCTION("""COMPUTED_VALUE"""),"Hospital Pérez Carreño")</f>
        <v>Hospital Pérez Carreño</v>
      </c>
      <c r="C2967" s="45" t="str">
        <f>IFERROR(__xludf.DUMMYFUNCTION("""COMPUTED_VALUE"""),"PALMA MOTA JOSE ANTONIO")</f>
        <v>PALMA MOTA JOSE ANTONIO</v>
      </c>
      <c r="D2967" s="44" t="str">
        <f>IFERROR(__xludf.DUMMYFUNCTION("""COMPUTED_VALUE""")," ")</f>
        <v> </v>
      </c>
      <c r="E2967" s="44" t="str">
        <f>IFERROR(__xludf.DUMMYFUNCTION("""COMPUTED_VALUE"""),"")</f>
        <v/>
      </c>
      <c r="F2967" s="44" t="str">
        <f>IFERROR(__xludf.DUMMYFUNCTION("""COMPUTED_VALUE"""),"")</f>
        <v/>
      </c>
      <c r="G2967" s="44" t="str">
        <f>IFERROR(__xludf.DUMMYFUNCTION("""COMPUTED_VALUE""")," ")</f>
        <v> </v>
      </c>
      <c r="H2967" s="44" t="str">
        <f>IFERROR(__xludf.DUMMYFUNCTION("""COMPUTED_VALUE""")," ")</f>
        <v> </v>
      </c>
      <c r="I2967" s="44" t="str">
        <f>IFERROR(__xludf.DUMMYFUNCTION("""COMPUTED_VALUE"""),"Internado")</f>
        <v>Internado</v>
      </c>
      <c r="J2967" s="44" t="str">
        <f>IFERROR(__xludf.DUMMYFUNCTION("""COMPUTED_VALUE"""),"")</f>
        <v/>
      </c>
      <c r="K2967" s="42" t="str">
        <f>IFERROR(__xludf.DUMMYFUNCTION("""COMPUTED_VALUE"""),"🔍 BUSCAR PACIENTES")</f>
        <v>🔍 BUSCAR PACIENTES</v>
      </c>
    </row>
    <row r="2968">
      <c r="A2968" s="44">
        <v>2967.0</v>
      </c>
      <c r="B2968" s="44" t="str">
        <f>IFERROR(__xludf.DUMMYFUNCTION("""COMPUTED_VALUE"""),"H. Jose Maria Vargas LG")</f>
        <v>H. Jose Maria Vargas LG</v>
      </c>
      <c r="C2968" s="45" t="str">
        <f>IFERROR(__xludf.DUMMYFUNCTION("""COMPUTED_VALUE"""),"PALMAR MATIAS")</f>
        <v>PALMAR MATIAS</v>
      </c>
      <c r="D2968" s="44">
        <f>IFERROR(__xludf.DUMMYFUNCTION("""COMPUTED_VALUE"""),14.0)</f>
        <v>14</v>
      </c>
      <c r="E2968" s="44" t="str">
        <f>IFERROR(__xludf.DUMMYFUNCTION("""COMPUTED_VALUE"""),"")</f>
        <v/>
      </c>
      <c r="F2968" s="44" t="str">
        <f>IFERROR(__xludf.DUMMYFUNCTION("""COMPUTED_VALUE"""),"")</f>
        <v/>
      </c>
      <c r="G2968" s="44" t="str">
        <f>IFERROR(__xludf.DUMMYFUNCTION("""COMPUTED_VALUE""")," ")</f>
        <v> </v>
      </c>
      <c r="H2968" s="44" t="str">
        <f>IFERROR(__xludf.DUMMYFUNCTION("""COMPUTED_VALUE"""),"Caribe")</f>
        <v>Caribe</v>
      </c>
      <c r="I2968" s="44" t="str">
        <f>IFERROR(__xludf.DUMMYFUNCTION("""COMPUTED_VALUE""")," ")</f>
        <v> </v>
      </c>
      <c r="J2968" s="44" t="str">
        <f>IFERROR(__xludf.DUMMYFUNCTION("""COMPUTED_VALUE"""),"")</f>
        <v/>
      </c>
      <c r="K2968" s="42" t="str">
        <f>IFERROR(__xludf.DUMMYFUNCTION("""COMPUTED_VALUE"""),"H. Jose Maria Vargas LG")</f>
        <v>H. Jose Maria Vargas LG</v>
      </c>
    </row>
    <row r="2969">
      <c r="A2969" s="44">
        <v>2968.0</v>
      </c>
      <c r="B2969" s="44" t="str">
        <f>IFERROR(__xludf.DUMMYFUNCTION("""COMPUTED_VALUE"""),"Hospital Pérez Carreño")</f>
        <v>Hospital Pérez Carreño</v>
      </c>
      <c r="C2969" s="45" t="str">
        <f>IFERROR(__xludf.DUMMYFUNCTION("""COMPUTED_VALUE"""),"PALMO MILAGRO")</f>
        <v>PALMO MILAGRO</v>
      </c>
      <c r="D2969" s="44" t="str">
        <f>IFERROR(__xludf.DUMMYFUNCTION("""COMPUTED_VALUE""")," ")</f>
        <v> </v>
      </c>
      <c r="E2969" s="44" t="str">
        <f>IFERROR(__xludf.DUMMYFUNCTION("""COMPUTED_VALUE"""),"")</f>
        <v/>
      </c>
      <c r="F2969" s="44" t="str">
        <f>IFERROR(__xludf.DUMMYFUNCTION("""COMPUTED_VALUE"""),"")</f>
        <v/>
      </c>
      <c r="G2969" s="44" t="str">
        <f>IFERROR(__xludf.DUMMYFUNCTION("""COMPUTED_VALUE""")," ")</f>
        <v> </v>
      </c>
      <c r="H2969" s="44" t="str">
        <f>IFERROR(__xludf.DUMMYFUNCTION("""COMPUTED_VALUE""")," ")</f>
        <v> </v>
      </c>
      <c r="I2969" s="44" t="str">
        <f>IFERROR(__xludf.DUMMYFUNCTION("""COMPUTED_VALUE"""),"Sin cédula")</f>
        <v>Sin cédula</v>
      </c>
      <c r="J2969" s="44" t="str">
        <f>IFERROR(__xludf.DUMMYFUNCTION("""COMPUTED_VALUE"""),"25/06/2026")</f>
        <v>25/06/2026</v>
      </c>
      <c r="K2969" s="42" t="str">
        <f>IFERROR(__xludf.DUMMYFUNCTION("""COMPUTED_VALUE"""),"Hospital Pérez Carreño")</f>
        <v>Hospital Pérez Carreño</v>
      </c>
    </row>
    <row r="2970">
      <c r="A2970" s="44">
        <v>2969.0</v>
      </c>
      <c r="B2970" s="44" t="str">
        <f>IFERROR(__xludf.DUMMYFUNCTION("""COMPUTED_VALUE"""),"Centro de Acopio Caraballeda")</f>
        <v>Centro de Acopio Caraballeda</v>
      </c>
      <c r="C2970" s="45" t="str">
        <f>IFERROR(__xludf.DUMMYFUNCTION("""COMPUTED_VALUE"""),"PALOMINO WILMER")</f>
        <v>PALOMINO WILMER</v>
      </c>
      <c r="D2970" s="44" t="str">
        <f>IFERROR(__xludf.DUMMYFUNCTION("""COMPUTED_VALUE""")," ")</f>
        <v> </v>
      </c>
      <c r="E2970" s="44" t="str">
        <f>IFERROR(__xludf.DUMMYFUNCTION("""COMPUTED_VALUE"""),"")</f>
        <v/>
      </c>
      <c r="F2970" s="44" t="str">
        <f>IFERROR(__xludf.DUMMYFUNCTION("""COMPUTED_VALUE"""),"")</f>
        <v/>
      </c>
      <c r="G2970" s="44" t="str">
        <f>IFERROR(__xludf.DUMMYFUNCTION("""COMPUTED_VALUE""")," ")</f>
        <v> </v>
      </c>
      <c r="H2970" s="44" t="str">
        <f>IFERROR(__xludf.DUMMYFUNCTION("""COMPUTED_VALUE""")," ")</f>
        <v> </v>
      </c>
      <c r="I2970" s="44" t="str">
        <f>IFERROR(__xludf.DUMMYFUNCTION("""COMPUTED_VALUE"""),"Internado")</f>
        <v>Internado</v>
      </c>
      <c r="J2970" s="44" t="str">
        <f>IFERROR(__xludf.DUMMYFUNCTION("""COMPUTED_VALUE"""),"")</f>
        <v/>
      </c>
      <c r="K2970" s="42" t="str">
        <f>IFERROR(__xludf.DUMMYFUNCTION("""COMPUTED_VALUE"""),"🔍 BUSCAR PACIENTES")</f>
        <v>🔍 BUSCAR PACIENTES</v>
      </c>
    </row>
    <row r="2971">
      <c r="A2971" s="44">
        <v>2970.0</v>
      </c>
      <c r="B2971" s="44" t="str">
        <f>IFERROR(__xludf.DUMMYFUNCTION("""COMPUTED_VALUE"""),"Centro de Acopio Caraballeda")</f>
        <v>Centro de Acopio Caraballeda</v>
      </c>
      <c r="C2971" s="45" t="str">
        <f>IFERROR(__xludf.DUMMYFUNCTION("""COMPUTED_VALUE"""),"PANTOJA DAIMARIS")</f>
        <v>PANTOJA DAIMARIS</v>
      </c>
      <c r="D2971" s="44" t="str">
        <f>IFERROR(__xludf.DUMMYFUNCTION("""COMPUTED_VALUE""")," ")</f>
        <v> </v>
      </c>
      <c r="E2971" s="44" t="str">
        <f>IFERROR(__xludf.DUMMYFUNCTION("""COMPUTED_VALUE"""),"")</f>
        <v/>
      </c>
      <c r="F2971" s="44" t="str">
        <f>IFERROR(__xludf.DUMMYFUNCTION("""COMPUTED_VALUE"""),"")</f>
        <v/>
      </c>
      <c r="G2971" s="44" t="str">
        <f>IFERROR(__xludf.DUMMYFUNCTION("""COMPUTED_VALUE""")," ")</f>
        <v> </v>
      </c>
      <c r="H2971" s="44" t="str">
        <f>IFERROR(__xludf.DUMMYFUNCTION("""COMPUTED_VALUE""")," ")</f>
        <v> </v>
      </c>
      <c r="I2971" s="44" t="str">
        <f>IFERROR(__xludf.DUMMYFUNCTION("""COMPUTED_VALUE"""),"Internado")</f>
        <v>Internado</v>
      </c>
      <c r="J2971" s="44" t="str">
        <f>IFERROR(__xludf.DUMMYFUNCTION("""COMPUTED_VALUE"""),"")</f>
        <v/>
      </c>
      <c r="K2971" s="42" t="str">
        <f>IFERROR(__xludf.DUMMYFUNCTION("""COMPUTED_VALUE"""),"🔍 BUSCAR PACIENTES")</f>
        <v>🔍 BUSCAR PACIENTES</v>
      </c>
    </row>
    <row r="2972">
      <c r="A2972" s="44">
        <v>2971.0</v>
      </c>
      <c r="B2972" s="44" t="str">
        <f>IFERROR(__xludf.DUMMYFUNCTION("""COMPUTED_VALUE"""),"Centro de Acopio Caraballeda")</f>
        <v>Centro de Acopio Caraballeda</v>
      </c>
      <c r="C2972" s="45" t="str">
        <f>IFERROR(__xludf.DUMMYFUNCTION("""COMPUTED_VALUE"""),"PANTOJA DEIBERT")</f>
        <v>PANTOJA DEIBERT</v>
      </c>
      <c r="D2972" s="44" t="str">
        <f>IFERROR(__xludf.DUMMYFUNCTION("""COMPUTED_VALUE""")," ")</f>
        <v> </v>
      </c>
      <c r="E2972" s="44" t="str">
        <f>IFERROR(__xludf.DUMMYFUNCTION("""COMPUTED_VALUE"""),"")</f>
        <v/>
      </c>
      <c r="F2972" s="44" t="str">
        <f>IFERROR(__xludf.DUMMYFUNCTION("""COMPUTED_VALUE"""),"")</f>
        <v/>
      </c>
      <c r="G2972" s="44" t="str">
        <f>IFERROR(__xludf.DUMMYFUNCTION("""COMPUTED_VALUE""")," ")</f>
        <v> </v>
      </c>
      <c r="H2972" s="44" t="str">
        <f>IFERROR(__xludf.DUMMYFUNCTION("""COMPUTED_VALUE""")," ")</f>
        <v> </v>
      </c>
      <c r="I2972" s="44" t="str">
        <f>IFERROR(__xludf.DUMMYFUNCTION("""COMPUTED_VALUE"""),"Internado")</f>
        <v>Internado</v>
      </c>
      <c r="J2972" s="44" t="str">
        <f>IFERROR(__xludf.DUMMYFUNCTION("""COMPUTED_VALUE"""),"")</f>
        <v/>
      </c>
      <c r="K2972" s="42" t="str">
        <f>IFERROR(__xludf.DUMMYFUNCTION("""COMPUTED_VALUE"""),"🔍 BUSCAR PACIENTES")</f>
        <v>🔍 BUSCAR PACIENTES</v>
      </c>
    </row>
    <row r="2973">
      <c r="A2973" s="44">
        <v>2972.0</v>
      </c>
      <c r="B2973" s="44" t="str">
        <f>IFERROR(__xludf.DUMMYFUNCTION("""COMPUTED_VALUE"""),"Hospital Domingo Luciani")</f>
        <v>Hospital Domingo Luciani</v>
      </c>
      <c r="C2973" s="45" t="str">
        <f>IFERROR(__xludf.DUMMYFUNCTION("""COMPUTED_VALUE"""),"PAOLA ALCOIDO")</f>
        <v>PAOLA ALCOIDO</v>
      </c>
      <c r="D2973" s="44" t="str">
        <f>IFERROR(__xludf.DUMMYFUNCTION("""COMPUTED_VALUE""")," ")</f>
        <v> </v>
      </c>
      <c r="E2973" s="44" t="str">
        <f>IFERROR(__xludf.DUMMYFUNCTION("""COMPUTED_VALUE"""),"")</f>
        <v/>
      </c>
      <c r="F2973" s="44" t="str">
        <f>IFERROR(__xludf.DUMMYFUNCTION("""COMPUTED_VALUE"""),"")</f>
        <v/>
      </c>
      <c r="G2973" s="44" t="str">
        <f>IFERROR(__xludf.DUMMYFUNCTION("""COMPUTED_VALUE""")," ")</f>
        <v> </v>
      </c>
      <c r="H2973" s="44" t="str">
        <f>IFERROR(__xludf.DUMMYFUNCTION("""COMPUTED_VALUE""")," ")</f>
        <v> </v>
      </c>
      <c r="I2973" s="44" t="str">
        <f>IFERROR(__xludf.DUMMYFUNCTION("""COMPUTED_VALUE"""),"Politrauma Emerg. Nueva")</f>
        <v>Politrauma Emerg. Nueva</v>
      </c>
      <c r="J2973" s="44" t="str">
        <f>IFERROR(__xludf.DUMMYFUNCTION("""COMPUTED_VALUE"""),"")</f>
        <v/>
      </c>
      <c r="K2973" s="42" t="str">
        <f>IFERROR(__xludf.DUMMYFUNCTION("""COMPUTED_VALUE"""),"🔍 BUSCAR PACIENTES")</f>
        <v>🔍 BUSCAR PACIENTES</v>
      </c>
    </row>
    <row r="2974">
      <c r="A2974" s="44">
        <v>2973.0</v>
      </c>
      <c r="B2974" s="44" t="str">
        <f>IFERROR(__xludf.DUMMYFUNCTION("""COMPUTED_VALUE"""),"Campo de Golf Playa los Cocos")</f>
        <v>Campo de Golf Playa los Cocos</v>
      </c>
      <c r="C2974" s="45" t="str">
        <f>IFERROR(__xludf.DUMMYFUNCTION("""COMPUTED_VALUE"""),"Paola Avilan")</f>
        <v>Paola Avilan</v>
      </c>
      <c r="D2974" s="44" t="str">
        <f>IFERROR(__xludf.DUMMYFUNCTION("""COMPUTED_VALUE"""),"")</f>
        <v/>
      </c>
      <c r="E2974" s="44" t="str">
        <f>IFERROR(__xludf.DUMMYFUNCTION("""COMPUTED_VALUE"""),"")</f>
        <v/>
      </c>
      <c r="F2974" s="44" t="str">
        <f>IFERROR(__xludf.DUMMYFUNCTION("""COMPUTED_VALUE"""),"")</f>
        <v/>
      </c>
      <c r="G2974" s="44" t="str">
        <f>IFERROR(__xludf.DUMMYFUNCTION("""COMPUTED_VALUE"""),"")</f>
        <v/>
      </c>
      <c r="H2974" s="44" t="str">
        <f>IFERROR(__xludf.DUMMYFUNCTION("""COMPUTED_VALUE"""),"")</f>
        <v/>
      </c>
      <c r="I2974" s="44"/>
      <c r="J2974" s="44" t="str">
        <f>IFERROR(__xludf.DUMMYFUNCTION("""COMPUTED_VALUE"""),"")</f>
        <v/>
      </c>
      <c r="K2974" s="42" t="str">
        <f>IFERROR(__xludf.DUMMYFUNCTION("""COMPUTED_VALUE"""),"Campo de Golf Playa los Cocos")</f>
        <v>Campo de Golf Playa los Cocos</v>
      </c>
    </row>
    <row r="2975">
      <c r="A2975" s="44">
        <v>2974.0</v>
      </c>
      <c r="B2975" s="44" t="str">
        <f>IFERROR(__xludf.DUMMYFUNCTION("""COMPUTED_VALUE"""),"Hospital Domingo Luciani")</f>
        <v>Hospital Domingo Luciani</v>
      </c>
      <c r="C2975" s="45" t="str">
        <f>IFERROR(__xludf.DUMMYFUNCTION("""COMPUTED_VALUE"""),"Paola Guzhan")</f>
        <v>Paola Guzhan</v>
      </c>
      <c r="D2975" s="44">
        <f>IFERROR(__xludf.DUMMYFUNCTION("""COMPUTED_VALUE"""),14.0)</f>
        <v>14</v>
      </c>
      <c r="E2975" s="44" t="str">
        <f>IFERROR(__xludf.DUMMYFUNCTION("""COMPUTED_VALUE"""),"")</f>
        <v/>
      </c>
      <c r="F2975" s="44" t="str">
        <f>IFERROR(__xludf.DUMMYFUNCTION("""COMPUTED_VALUE"""),"")</f>
        <v/>
      </c>
      <c r="G2975" s="44"/>
      <c r="H2975" s="44"/>
      <c r="I2975" s="44"/>
      <c r="J2975" s="44" t="str">
        <f>IFERROR(__xludf.DUMMYFUNCTION("""COMPUTED_VALUE"""),"")</f>
        <v/>
      </c>
      <c r="K2975" s="42" t="str">
        <f>IFERROR(__xludf.DUMMYFUNCTION("""COMPUTED_VALUE"""),"Hospital Domingo Luciani")</f>
        <v>Hospital Domingo Luciani</v>
      </c>
    </row>
    <row r="2976">
      <c r="A2976" s="44">
        <v>2975.0</v>
      </c>
      <c r="B2976" s="44" t="str">
        <f>IFERROR(__xludf.DUMMYFUNCTION("""COMPUTED_VALUE"""),"Campo de Golf Playa los Cocos")</f>
        <v>Campo de Golf Playa los Cocos</v>
      </c>
      <c r="C2976" s="45" t="str">
        <f>IFERROR(__xludf.DUMMYFUNCTION("""COMPUTED_VALUE"""),"Paola Mendoza")</f>
        <v>Paola Mendoza</v>
      </c>
      <c r="D2976" s="44" t="str">
        <f>IFERROR(__xludf.DUMMYFUNCTION("""COMPUTED_VALUE"""),"")</f>
        <v/>
      </c>
      <c r="E2976" s="44" t="str">
        <f>IFERROR(__xludf.DUMMYFUNCTION("""COMPUTED_VALUE"""),"")</f>
        <v/>
      </c>
      <c r="F2976" s="44" t="str">
        <f>IFERROR(__xludf.DUMMYFUNCTION("""COMPUTED_VALUE"""),"")</f>
        <v/>
      </c>
      <c r="G2976" s="44" t="str">
        <f>IFERROR(__xludf.DUMMYFUNCTION("""COMPUTED_VALUE"""),"")</f>
        <v/>
      </c>
      <c r="H2976" s="44" t="str">
        <f>IFERROR(__xludf.DUMMYFUNCTION("""COMPUTED_VALUE"""),"")</f>
        <v/>
      </c>
      <c r="I2976" s="44" t="str">
        <f>IFERROR(__xludf.DUMMYFUNCTION("""COMPUTED_VALUE"""),"menor")</f>
        <v>menor</v>
      </c>
      <c r="J2976" s="44" t="str">
        <f>IFERROR(__xludf.DUMMYFUNCTION("""COMPUTED_VALUE"""),"")</f>
        <v/>
      </c>
      <c r="K2976" s="42" t="str">
        <f>IFERROR(__xludf.DUMMYFUNCTION("""COMPUTED_VALUE"""),"Campo de Golf Playa los Cocos")</f>
        <v>Campo de Golf Playa los Cocos</v>
      </c>
    </row>
    <row r="2977">
      <c r="A2977" s="44">
        <v>2976.0</v>
      </c>
      <c r="B2977" s="44" t="str">
        <f>IFERROR(__xludf.DUMMYFUNCTION("""COMPUTED_VALUE"""),"Hospital Domingo Luciani")</f>
        <v>Hospital Domingo Luciani</v>
      </c>
      <c r="C2977" s="45" t="str">
        <f>IFERROR(__xludf.DUMMYFUNCTION("""COMPUTED_VALUE"""),"PARADA ANTONIO")</f>
        <v>PARADA ANTONIO</v>
      </c>
      <c r="D2977" s="44">
        <f>IFERROR(__xludf.DUMMYFUNCTION("""COMPUTED_VALUE"""),78.0)</f>
        <v>78</v>
      </c>
      <c r="E2977" s="44" t="str">
        <f>IFERROR(__xludf.DUMMYFUNCTION("""COMPUTED_VALUE"""),"")</f>
        <v/>
      </c>
      <c r="F2977" s="44" t="str">
        <f>IFERROR(__xludf.DUMMYFUNCTION("""COMPUTED_VALUE"""),"")</f>
        <v/>
      </c>
      <c r="G2977" s="44" t="str">
        <f>IFERROR(__xludf.DUMMYFUNCTION("""COMPUTED_VALUE""")," ")</f>
        <v> </v>
      </c>
      <c r="H2977" s="44" t="str">
        <f>IFERROR(__xludf.DUMMYFUNCTION("""COMPUTED_VALUE""")," ")</f>
        <v> </v>
      </c>
      <c r="I2977" s="44" t="str">
        <f>IFERROR(__xludf.DUMMYFUNCTION("""COMPUTED_VALUE"""),"Internado; PISO 2")</f>
        <v>Internado; PISO 2</v>
      </c>
      <c r="J2977" s="44" t="str">
        <f>IFERROR(__xludf.DUMMYFUNCTION("""COMPUTED_VALUE"""),"")</f>
        <v/>
      </c>
      <c r="K2977" s="42" t="str">
        <f>IFERROR(__xludf.DUMMYFUNCTION("""COMPUTED_VALUE"""),"🔍 BUSCAR PACIENTES")</f>
        <v>🔍 BUSCAR PACIENTES</v>
      </c>
    </row>
    <row r="2978">
      <c r="A2978" s="44">
        <v>2977.0</v>
      </c>
      <c r="B2978" s="44" t="str">
        <f>IFERROR(__xludf.DUMMYFUNCTION("""COMPUTED_VALUE"""),"Hospital Pérez Carreño")</f>
        <v>Hospital Pérez Carreño</v>
      </c>
      <c r="C2978" s="45" t="str">
        <f>IFERROR(__xludf.DUMMYFUNCTION("""COMPUTED_VALUE"""),"PAREDES ANGEL")</f>
        <v>PAREDES ANGEL</v>
      </c>
      <c r="D2978" s="44">
        <f>IFERROR(__xludf.DUMMYFUNCTION("""COMPUTED_VALUE"""),12.0)</f>
        <v>12</v>
      </c>
      <c r="E2978" s="44" t="str">
        <f>IFERROR(__xludf.DUMMYFUNCTION("""COMPUTED_VALUE"""),"")</f>
        <v/>
      </c>
      <c r="F2978" s="44" t="str">
        <f>IFERROR(__xludf.DUMMYFUNCTION("""COMPUTED_VALUE"""),"")</f>
        <v/>
      </c>
      <c r="G2978" s="44" t="str">
        <f>IFERROR(__xludf.DUMMYFUNCTION("""COMPUTED_VALUE""")," ")</f>
        <v> </v>
      </c>
      <c r="H2978" s="44" t="str">
        <f>IFERROR(__xludf.DUMMYFUNCTION("""COMPUTED_VALUE""")," ")</f>
        <v> </v>
      </c>
      <c r="I2978" s="44" t="str">
        <f>IFERROR(__xludf.DUMMYFUNCTION("""COMPUTED_VALUE"""),"Traumachok – Traumatología; La Guaira")</f>
        <v>Traumachok – Traumatología; La Guaira</v>
      </c>
      <c r="J2978" s="44" t="str">
        <f>IFERROR(__xludf.DUMMYFUNCTION("""COMPUTED_VALUE"""),"")</f>
        <v/>
      </c>
      <c r="K2978" s="42" t="str">
        <f>IFERROR(__xludf.DUMMYFUNCTION("""COMPUTED_VALUE"""),"🔍 BUSCAR PACIENTES")</f>
        <v>🔍 BUSCAR PACIENTES</v>
      </c>
    </row>
    <row r="2979">
      <c r="A2979" s="44">
        <v>2978.0</v>
      </c>
      <c r="B2979" s="44" t="str">
        <f>IFERROR(__xludf.DUMMYFUNCTION("""COMPUTED_VALUE"""),"Centro de Acopio Caraballeda")</f>
        <v>Centro de Acopio Caraballeda</v>
      </c>
      <c r="C2979" s="45" t="str">
        <f>IFERROR(__xludf.DUMMYFUNCTION("""COMPUTED_VALUE"""),"PAREDES CARLA")</f>
        <v>PAREDES CARLA</v>
      </c>
      <c r="D2979" s="44" t="str">
        <f>IFERROR(__xludf.DUMMYFUNCTION("""COMPUTED_VALUE""")," ")</f>
        <v> </v>
      </c>
      <c r="E2979" s="44" t="str">
        <f>IFERROR(__xludf.DUMMYFUNCTION("""COMPUTED_VALUE"""),"")</f>
        <v/>
      </c>
      <c r="F2979" s="44" t="str">
        <f>IFERROR(__xludf.DUMMYFUNCTION("""COMPUTED_VALUE"""),"")</f>
        <v/>
      </c>
      <c r="G2979" s="44" t="str">
        <f>IFERROR(__xludf.DUMMYFUNCTION("""COMPUTED_VALUE""")," ")</f>
        <v> </v>
      </c>
      <c r="H2979" s="44" t="str">
        <f>IFERROR(__xludf.DUMMYFUNCTION("""COMPUTED_VALUE""")," ")</f>
        <v> </v>
      </c>
      <c r="I2979" s="44" t="str">
        <f>IFERROR(__xludf.DUMMYFUNCTION("""COMPUTED_VALUE"""),"Internado")</f>
        <v>Internado</v>
      </c>
      <c r="J2979" s="44" t="str">
        <f>IFERROR(__xludf.DUMMYFUNCTION("""COMPUTED_VALUE"""),"")</f>
        <v/>
      </c>
      <c r="K2979" s="42" t="str">
        <f>IFERROR(__xludf.DUMMYFUNCTION("""COMPUTED_VALUE"""),"🔍 BUSCAR PACIENTES")</f>
        <v>🔍 BUSCAR PACIENTES</v>
      </c>
    </row>
    <row r="2980">
      <c r="A2980" s="44">
        <v>2979.0</v>
      </c>
      <c r="B2980" s="44" t="str">
        <f>IFERROR(__xludf.DUMMYFUNCTION("""COMPUTED_VALUE"""),"Centro de Acopio Caraballeda")</f>
        <v>Centro de Acopio Caraballeda</v>
      </c>
      <c r="C2980" s="45" t="str">
        <f>IFERROR(__xludf.DUMMYFUNCTION("""COMPUTED_VALUE"""),"PAREDES CARLO")</f>
        <v>PAREDES CARLO</v>
      </c>
      <c r="D2980" s="44" t="str">
        <f>IFERROR(__xludf.DUMMYFUNCTION("""COMPUTED_VALUE""")," ")</f>
        <v> </v>
      </c>
      <c r="E2980" s="44" t="str">
        <f>IFERROR(__xludf.DUMMYFUNCTION("""COMPUTED_VALUE"""),"")</f>
        <v/>
      </c>
      <c r="F2980" s="44" t="str">
        <f>IFERROR(__xludf.DUMMYFUNCTION("""COMPUTED_VALUE"""),"")</f>
        <v/>
      </c>
      <c r="G2980" s="44" t="str">
        <f>IFERROR(__xludf.DUMMYFUNCTION("""COMPUTED_VALUE""")," ")</f>
        <v> </v>
      </c>
      <c r="H2980" s="44" t="str">
        <f>IFERROR(__xludf.DUMMYFUNCTION("""COMPUTED_VALUE""")," ")</f>
        <v> </v>
      </c>
      <c r="I2980" s="44" t="str">
        <f>IFERROR(__xludf.DUMMYFUNCTION("""COMPUTED_VALUE"""),"Internado")</f>
        <v>Internado</v>
      </c>
      <c r="J2980" s="44" t="str">
        <f>IFERROR(__xludf.DUMMYFUNCTION("""COMPUTED_VALUE"""),"")</f>
        <v/>
      </c>
      <c r="K2980" s="42" t="str">
        <f>IFERROR(__xludf.DUMMYFUNCTION("""COMPUTED_VALUE"""),"🔍 BUSCAR PACIENTES")</f>
        <v>🔍 BUSCAR PACIENTES</v>
      </c>
    </row>
    <row r="2981">
      <c r="A2981" s="44">
        <v>2980.0</v>
      </c>
      <c r="B2981" s="44" t="str">
        <f>IFERROR(__xludf.DUMMYFUNCTION("""COMPUTED_VALUE"""),"Hospital Pérez Carreño")</f>
        <v>Hospital Pérez Carreño</v>
      </c>
      <c r="C2981" s="45" t="str">
        <f>IFERROR(__xludf.DUMMYFUNCTION("""COMPUTED_VALUE"""),"PAREDES CRUZEENDDA")</f>
        <v>PAREDES CRUZEENDDA</v>
      </c>
      <c r="D2981" s="44" t="str">
        <f>IFERROR(__xludf.DUMMYFUNCTION("""COMPUTED_VALUE""")," ")</f>
        <v> </v>
      </c>
      <c r="E2981" s="44" t="str">
        <f>IFERROR(__xludf.DUMMYFUNCTION("""COMPUTED_VALUE"""),"")</f>
        <v/>
      </c>
      <c r="F2981" s="44" t="str">
        <f>IFERROR(__xludf.DUMMYFUNCTION("""COMPUTED_VALUE"""),"")</f>
        <v/>
      </c>
      <c r="G2981" s="44" t="str">
        <f>IFERROR(__xludf.DUMMYFUNCTION("""COMPUTED_VALUE""")," ")</f>
        <v> </v>
      </c>
      <c r="H2981" s="44" t="str">
        <f>IFERROR(__xludf.DUMMYFUNCTION("""COMPUTED_VALUE""")," ")</f>
        <v> </v>
      </c>
      <c r="I2981" s="44" t="str">
        <f>IFERROR(__xludf.DUMMYFUNCTION("""COMPUTED_VALUE"""),"Internado")</f>
        <v>Internado</v>
      </c>
      <c r="J2981" s="44" t="str">
        <f>IFERROR(__xludf.DUMMYFUNCTION("""COMPUTED_VALUE"""),"")</f>
        <v/>
      </c>
      <c r="K2981" s="42" t="str">
        <f>IFERROR(__xludf.DUMMYFUNCTION("""COMPUTED_VALUE"""),"🔍 BUSCAR PACIENTES")</f>
        <v>🔍 BUSCAR PACIENTES</v>
      </c>
    </row>
    <row r="2982">
      <c r="A2982" s="44">
        <v>2981.0</v>
      </c>
      <c r="B2982" s="44" t="str">
        <f>IFERROR(__xludf.DUMMYFUNCTION("""COMPUTED_VALUE"""),"Hospital Domingo Luciani")</f>
        <v>Hospital Domingo Luciani</v>
      </c>
      <c r="C2982" s="45" t="str">
        <f>IFERROR(__xludf.DUMMYFUNCTION("""COMPUTED_VALUE"""),"PARENYI PEREZ")</f>
        <v>PARENYI PEREZ</v>
      </c>
      <c r="D2982" s="44">
        <f>IFERROR(__xludf.DUMMYFUNCTION("""COMPUTED_VALUE"""),14.0)</f>
        <v>14</v>
      </c>
      <c r="E2982" s="44" t="str">
        <f>IFERROR(__xludf.DUMMYFUNCTION("""COMPUTED_VALUE"""),"")</f>
        <v/>
      </c>
      <c r="F2982" s="44" t="str">
        <f>IFERROR(__xludf.DUMMYFUNCTION("""COMPUTED_VALUE"""),"")</f>
        <v/>
      </c>
      <c r="G2982" s="44" t="str">
        <f>IFERROR(__xludf.DUMMYFUNCTION("""COMPUTED_VALUE""")," ")</f>
        <v> </v>
      </c>
      <c r="H2982" s="44" t="str">
        <f>IFERROR(__xludf.DUMMYFUNCTION("""COMPUTED_VALUE""")," ")</f>
        <v> </v>
      </c>
      <c r="I2982" s="44" t="str">
        <f>IFERROR(__xludf.DUMMYFUNCTION("""COMPUTED_VALUE"""),"Internado; PISO 2")</f>
        <v>Internado; PISO 2</v>
      </c>
      <c r="J2982" s="44" t="str">
        <f>IFERROR(__xludf.DUMMYFUNCTION("""COMPUTED_VALUE"""),"")</f>
        <v/>
      </c>
      <c r="K2982" s="42" t="str">
        <f>IFERROR(__xludf.DUMMYFUNCTION("""COMPUTED_VALUE"""),"🔍 BUSCAR PACIENTES")</f>
        <v>🔍 BUSCAR PACIENTES</v>
      </c>
    </row>
    <row r="2983">
      <c r="A2983" s="44">
        <v>2982.0</v>
      </c>
      <c r="B2983" s="44" t="str">
        <f>IFERROR(__xludf.DUMMYFUNCTION("""COMPUTED_VALUE"""),"Hospital Pérez Carreño")</f>
        <v>Hospital Pérez Carreño</v>
      </c>
      <c r="C2983" s="45" t="str">
        <f>IFERROR(__xludf.DUMMYFUNCTION("""COMPUTED_VALUE"""),"PARICA PARICA LAIAN DRAKE")</f>
        <v>PARICA PARICA LAIAN DRAKE</v>
      </c>
      <c r="D2983" s="44" t="str">
        <f>IFERROR(__xludf.DUMMYFUNCTION("""COMPUTED_VALUE""")," ")</f>
        <v> </v>
      </c>
      <c r="E2983" s="44" t="str">
        <f>IFERROR(__xludf.DUMMYFUNCTION("""COMPUTED_VALUE"""),"")</f>
        <v/>
      </c>
      <c r="F2983" s="44" t="str">
        <f>IFERROR(__xludf.DUMMYFUNCTION("""COMPUTED_VALUE"""),"")</f>
        <v/>
      </c>
      <c r="G2983" s="44" t="str">
        <f>IFERROR(__xludf.DUMMYFUNCTION("""COMPUTED_VALUE""")," ")</f>
        <v> </v>
      </c>
      <c r="H2983" s="44" t="str">
        <f>IFERROR(__xludf.DUMMYFUNCTION("""COMPUTED_VALUE""")," ")</f>
        <v> </v>
      </c>
      <c r="I2983" s="44" t="str">
        <f>IFERROR(__xludf.DUMMYFUNCTION("""COMPUTED_VALUE"""),"Internado")</f>
        <v>Internado</v>
      </c>
      <c r="J2983" s="44" t="str">
        <f>IFERROR(__xludf.DUMMYFUNCTION("""COMPUTED_VALUE"""),"")</f>
        <v/>
      </c>
      <c r="K2983" s="42" t="str">
        <f>IFERROR(__xludf.DUMMYFUNCTION("""COMPUTED_VALUE"""),"🔍 BUSCAR PACIENTES")</f>
        <v>🔍 BUSCAR PACIENTES</v>
      </c>
    </row>
    <row r="2984">
      <c r="A2984" s="44">
        <v>2983.0</v>
      </c>
      <c r="B2984" s="44" t="str">
        <f>IFERROR(__xludf.DUMMYFUNCTION("""COMPUTED_VALUE"""),"Hospital Pérez Carreño")</f>
        <v>Hospital Pérez Carreño</v>
      </c>
      <c r="C2984" s="45" t="str">
        <f>IFERROR(__xludf.DUMMYFUNCTION("""COMPUTED_VALUE"""),"PARICA PARICA LARYAN YAQUE")</f>
        <v>PARICA PARICA LARYAN YAQUE</v>
      </c>
      <c r="D2984" s="44">
        <f>IFERROR(__xludf.DUMMYFUNCTION("""COMPUTED_VALUE"""),1.0)</f>
        <v>1</v>
      </c>
      <c r="E2984" s="44" t="str">
        <f>IFERROR(__xludf.DUMMYFUNCTION("""COMPUTED_VALUE"""),"")</f>
        <v/>
      </c>
      <c r="F2984" s="44" t="str">
        <f>IFERROR(__xludf.DUMMYFUNCTION("""COMPUTED_VALUE"""),"")</f>
        <v/>
      </c>
      <c r="G2984" s="44" t="str">
        <f>IFERROR(__xludf.DUMMYFUNCTION("""COMPUTED_VALUE""")," ")</f>
        <v> </v>
      </c>
      <c r="H2984" s="44" t="str">
        <f>IFERROR(__xludf.DUMMYFUNCTION("""COMPUTED_VALUE""")," ")</f>
        <v> </v>
      </c>
      <c r="I2984" s="44" t="str">
        <f>IFERROR(__xludf.DUMMYFUNCTION("""COMPUTED_VALUE"""),"Pediatría")</f>
        <v>Pediatría</v>
      </c>
      <c r="J2984" s="44" t="str">
        <f>IFERROR(__xludf.DUMMYFUNCTION("""COMPUTED_VALUE"""),"25/06/2026")</f>
        <v>25/06/2026</v>
      </c>
      <c r="K2984" s="42" t="str">
        <f>IFERROR(__xludf.DUMMYFUNCTION("""COMPUTED_VALUE"""),"Hospital Pérez Carreño")</f>
        <v>Hospital Pérez Carreño</v>
      </c>
    </row>
    <row r="2985">
      <c r="A2985" s="44">
        <v>2984.0</v>
      </c>
      <c r="B2985" s="44" t="str">
        <f>IFERROR(__xludf.DUMMYFUNCTION("""COMPUTED_VALUE"""),"Hospital Pérez Carreño")</f>
        <v>Hospital Pérez Carreño</v>
      </c>
      <c r="C2985" s="45" t="str">
        <f>IFERROR(__xludf.DUMMYFUNCTION("""COMPUTED_VALUE"""),"Parice Parice Laian Diaxe")</f>
        <v>Parice Parice Laian Diaxe</v>
      </c>
      <c r="D2985" s="44"/>
      <c r="E2985" s="44" t="str">
        <f>IFERROR(__xludf.DUMMYFUNCTION("""COMPUTED_VALUE"""),"")</f>
        <v/>
      </c>
      <c r="F2985" s="44" t="str">
        <f>IFERROR(__xludf.DUMMYFUNCTION("""COMPUTED_VALUE"""),"")</f>
        <v/>
      </c>
      <c r="G2985" s="44" t="str">
        <f>IFERROR(__xludf.DUMMYFUNCTION("""COMPUTED_VALUE"""),"Traslados")</f>
        <v>Traslados</v>
      </c>
      <c r="H2985" s="44" t="str">
        <f>IFERROR(__xludf.DUMMYFUNCTION("""COMPUTED_VALUE"""),"Hospital Miguel Perez Carreño")</f>
        <v>Hospital Miguel Perez Carreño</v>
      </c>
      <c r="I2985" s="44"/>
      <c r="J2985" s="44" t="str">
        <f>IFERROR(__xludf.DUMMYFUNCTION("""COMPUTED_VALUE"""),"26/6/26")</f>
        <v>26/6/26</v>
      </c>
      <c r="K2985" s="42" t="str">
        <f>IFERROR(__xludf.DUMMYFUNCTION("""COMPUTED_VALUE"""),"Hospital Pérez Carreño")</f>
        <v>Hospital Pérez Carreño</v>
      </c>
    </row>
    <row r="2986">
      <c r="A2986" s="44">
        <v>2985.0</v>
      </c>
      <c r="B2986" s="44" t="str">
        <f>IFERROR(__xludf.DUMMYFUNCTION("""COMPUTED_VALUE"""),"La Guaira Sin Hospital")</f>
        <v>La Guaira Sin Hospital</v>
      </c>
      <c r="C2986" s="45" t="str">
        <f>IFERROR(__xludf.DUMMYFUNCTION("""COMPUTED_VALUE"""),"Parice Parice Laian Dizke")</f>
        <v>Parice Parice Laian Dizke</v>
      </c>
      <c r="D2986" s="44" t="str">
        <f>IFERROR(__xludf.DUMMYFUNCTION("""COMPUTED_VALUE"""),"")</f>
        <v/>
      </c>
      <c r="E2986" s="44" t="str">
        <f>IFERROR(__xludf.DUMMYFUNCTION("""COMPUTED_VALUE"""),"")</f>
        <v/>
      </c>
      <c r="F2986" s="44" t="str">
        <f>IFERROR(__xludf.DUMMYFUNCTION("""COMPUTED_VALUE"""),"")</f>
        <v/>
      </c>
      <c r="G2986" s="44" t="str">
        <f>IFERROR(__xludf.DUMMYFUNCTION("""COMPUTED_VALUE"""),"")</f>
        <v/>
      </c>
      <c r="H2986" s="44"/>
      <c r="I2986" s="44" t="str">
        <f>IFERROR(__xludf.DUMMYFUNCTION("""COMPUTED_VALUE"""),"Listas solo con nombre")</f>
        <v>Listas solo con nombre</v>
      </c>
      <c r="J2986" s="44" t="str">
        <f>IFERROR(__xludf.DUMMYFUNCTION("""COMPUTED_VALUE"""),"")</f>
        <v/>
      </c>
      <c r="K2986" s="42" t="str">
        <f>IFERROR(__xludf.DUMMYFUNCTION("""COMPUTED_VALUE"""),"La Guaira Sin Hospital")</f>
        <v>La Guaira Sin Hospital</v>
      </c>
    </row>
    <row r="2987">
      <c r="A2987" s="44">
        <v>2986.0</v>
      </c>
      <c r="B2987" s="44" t="str">
        <f>IFERROR(__xludf.DUMMYFUNCTION("""COMPUTED_VALUE"""),"Hospital Pérez Carreño")</f>
        <v>Hospital Pérez Carreño</v>
      </c>
      <c r="C2987" s="45" t="str">
        <f>IFERROR(__xludf.DUMMYFUNCTION("""COMPUTED_VALUE"""),"Park Jacob")</f>
        <v>Park Jacob</v>
      </c>
      <c r="D2987" s="44"/>
      <c r="E2987" s="44" t="str">
        <f>IFERROR(__xludf.DUMMYFUNCTION("""COMPUTED_VALUE"""),"")</f>
        <v/>
      </c>
      <c r="F2987" s="44" t="str">
        <f>IFERROR(__xludf.DUMMYFUNCTION("""COMPUTED_VALUE"""),"")</f>
        <v/>
      </c>
      <c r="G2987" s="44" t="str">
        <f>IFERROR(__xludf.DUMMYFUNCTION("""COMPUTED_VALUE"""),"Traslados con destino asignado")</f>
        <v>Traslados con destino asignado</v>
      </c>
      <c r="H2987" s="44" t="str">
        <f>IFERROR(__xludf.DUMMYFUNCTION("""COMPUTED_VALUE"""),"Hospital Miguel Perez Carreño")</f>
        <v>Hospital Miguel Perez Carreño</v>
      </c>
      <c r="I2987" s="44"/>
      <c r="J2987" s="44" t="str">
        <f>IFERROR(__xludf.DUMMYFUNCTION("""COMPUTED_VALUE"""),"26/6/26")</f>
        <v>26/6/26</v>
      </c>
      <c r="K2987" s="42" t="str">
        <f>IFERROR(__xludf.DUMMYFUNCTION("""COMPUTED_VALUE"""),"Hospital Pérez Carreño")</f>
        <v>Hospital Pérez Carreño</v>
      </c>
    </row>
    <row r="2988">
      <c r="A2988" s="44">
        <v>2987.0</v>
      </c>
      <c r="B2988" s="44" t="str">
        <f>IFERROR(__xludf.DUMMYFUNCTION("""COMPUTED_VALUE"""),"Hospital Dr. José Gregorio Hern")</f>
        <v>Hospital Dr. José Gregorio Hern</v>
      </c>
      <c r="C2988" s="45" t="str">
        <f>IFERROR(__xludf.DUMMYFUNCTION("""COMPUTED_VALUE"""),"PARRA ELEANYELIS")</f>
        <v>PARRA ELEANYELIS</v>
      </c>
      <c r="D2988" s="44">
        <f>IFERROR(__xludf.DUMMYFUNCTION("""COMPUTED_VALUE"""),15.0)</f>
        <v>15</v>
      </c>
      <c r="E2988" s="44" t="str">
        <f>IFERROR(__xludf.DUMMYFUNCTION("""COMPUTED_VALUE"""),"")</f>
        <v/>
      </c>
      <c r="F2988" s="44" t="str">
        <f>IFERROR(__xludf.DUMMYFUNCTION("""COMPUTED_VALUE"""),"")</f>
        <v/>
      </c>
      <c r="G2988" s="44" t="str">
        <f>IFERROR(__xludf.DUMMYFUNCTION("""COMPUTED_VALUE""")," ")</f>
        <v> </v>
      </c>
      <c r="H2988" s="44" t="str">
        <f>IFERROR(__xludf.DUMMYFUNCTION("""COMPUTED_VALUE""")," ")</f>
        <v> </v>
      </c>
      <c r="I2988" s="44" t="str">
        <f>IFERROR(__xludf.DUMMYFUNCTION("""COMPUTED_VALUE"""),"Internado; Contusión Craneal")</f>
        <v>Internado; Contusión Craneal</v>
      </c>
      <c r="J2988" s="44" t="str">
        <f>IFERROR(__xludf.DUMMYFUNCTION("""COMPUTED_VALUE"""),"")</f>
        <v/>
      </c>
      <c r="K2988" s="42" t="str">
        <f>IFERROR(__xludf.DUMMYFUNCTION("""COMPUTED_VALUE"""),"Hospital Dr. José Gregorio Hern")</f>
        <v>Hospital Dr. José Gregorio Hern</v>
      </c>
    </row>
    <row r="2989">
      <c r="A2989" s="44">
        <v>2988.0</v>
      </c>
      <c r="B2989" s="44" t="str">
        <f>IFERROR(__xludf.DUMMYFUNCTION("""COMPUTED_VALUE"""),"Hospital Domingo Luciani")</f>
        <v>Hospital Domingo Luciani</v>
      </c>
      <c r="C2989" s="45" t="str">
        <f>IFERROR(__xludf.DUMMYFUNCTION("""COMPUTED_VALUE"""),"PARRA ESTEFANIA")</f>
        <v>PARRA ESTEFANIA</v>
      </c>
      <c r="D2989" s="44">
        <f>IFERROR(__xludf.DUMMYFUNCTION("""COMPUTED_VALUE"""),15.0)</f>
        <v>15</v>
      </c>
      <c r="E2989" s="44" t="str">
        <f>IFERROR(__xludf.DUMMYFUNCTION("""COMPUTED_VALUE"""),"")</f>
        <v/>
      </c>
      <c r="F2989" s="44" t="str">
        <f>IFERROR(__xludf.DUMMYFUNCTION("""COMPUTED_VALUE"""),"")</f>
        <v/>
      </c>
      <c r="G2989" s="44" t="str">
        <f>IFERROR(__xludf.DUMMYFUNCTION("""COMPUTED_VALUE""")," ")</f>
        <v> </v>
      </c>
      <c r="H2989" s="44" t="str">
        <f>IFERROR(__xludf.DUMMYFUNCTION("""COMPUTED_VALUE""")," ")</f>
        <v> </v>
      </c>
      <c r="I2989" s="44" t="str">
        <f>IFERROR(__xludf.DUMMYFUNCTION("""COMPUTED_VALUE""")," ")</f>
        <v> </v>
      </c>
      <c r="J2989" s="44" t="str">
        <f>IFERROR(__xludf.DUMMYFUNCTION("""COMPUTED_VALUE"""),"")</f>
        <v/>
      </c>
      <c r="K2989" s="42" t="str">
        <f>IFERROR(__xludf.DUMMYFUNCTION("""COMPUTED_VALUE"""),"🔍 BUSCAR PACIENTES")</f>
        <v>🔍 BUSCAR PACIENTES</v>
      </c>
    </row>
    <row r="2990">
      <c r="A2990" s="44">
        <v>2989.0</v>
      </c>
      <c r="B2990" s="44" t="str">
        <f>IFERROR(__xludf.DUMMYFUNCTION("""COMPUTED_VALUE"""),"Hospital Domingo Luciani")</f>
        <v>Hospital Domingo Luciani</v>
      </c>
      <c r="C2990" s="45" t="str">
        <f>IFERROR(__xludf.DUMMYFUNCTION("""COMPUTED_VALUE"""),"PARRA GABRIELA")</f>
        <v>PARRA GABRIELA</v>
      </c>
      <c r="D2990" s="44">
        <f>IFERROR(__xludf.DUMMYFUNCTION("""COMPUTED_VALUE"""),19.0)</f>
        <v>19</v>
      </c>
      <c r="E2990" s="44" t="str">
        <f>IFERROR(__xludf.DUMMYFUNCTION("""COMPUTED_VALUE"""),"")</f>
        <v/>
      </c>
      <c r="F2990" s="44" t="str">
        <f>IFERROR(__xludf.DUMMYFUNCTION("""COMPUTED_VALUE"""),"")</f>
        <v/>
      </c>
      <c r="G2990" s="44" t="str">
        <f>IFERROR(__xludf.DUMMYFUNCTION("""COMPUTED_VALUE""")," ")</f>
        <v> </v>
      </c>
      <c r="H2990" s="44" t="str">
        <f>IFERROR(__xludf.DUMMYFUNCTION("""COMPUTED_VALUE""")," ")</f>
        <v> </v>
      </c>
      <c r="I2990" s="44" t="str">
        <f>IFERROR(__xludf.DUMMYFUNCTION("""COMPUTED_VALUE""")," ")</f>
        <v> </v>
      </c>
      <c r="J2990" s="44" t="str">
        <f>IFERROR(__xludf.DUMMYFUNCTION("""COMPUTED_VALUE"""),"")</f>
        <v/>
      </c>
      <c r="K2990" s="42" t="str">
        <f>IFERROR(__xludf.DUMMYFUNCTION("""COMPUTED_VALUE"""),"🔍 BUSCAR PACIENTES")</f>
        <v>🔍 BUSCAR PACIENTES</v>
      </c>
    </row>
    <row r="2991">
      <c r="A2991" s="44">
        <v>2990.0</v>
      </c>
      <c r="B2991" s="44" t="str">
        <f>IFERROR(__xludf.DUMMYFUNCTION("""COMPUTED_VALUE"""),"Hospital Domingo Luciani")</f>
        <v>Hospital Domingo Luciani</v>
      </c>
      <c r="C2991" s="45" t="str">
        <f>IFERROR(__xludf.DUMMYFUNCTION("""COMPUTED_VALUE"""),"PARRA MISEL GABRIELA")</f>
        <v>PARRA MISEL GABRIELA</v>
      </c>
      <c r="D2991" s="44" t="str">
        <f>IFERROR(__xludf.DUMMYFUNCTION("""COMPUTED_VALUE""")," ")</f>
        <v> </v>
      </c>
      <c r="E2991" s="44" t="str">
        <f>IFERROR(__xludf.DUMMYFUNCTION("""COMPUTED_VALUE"""),"")</f>
        <v/>
      </c>
      <c r="F2991" s="44" t="str">
        <f>IFERROR(__xludf.DUMMYFUNCTION("""COMPUTED_VALUE"""),"")</f>
        <v/>
      </c>
      <c r="G2991" s="44" t="str">
        <f>IFERROR(__xludf.DUMMYFUNCTION("""COMPUTED_VALUE""")," ")</f>
        <v> </v>
      </c>
      <c r="H2991" s="44" t="str">
        <f>IFERROR(__xludf.DUMMYFUNCTION("""COMPUTED_VALUE""")," ")</f>
        <v> </v>
      </c>
      <c r="I2991" s="44" t="str">
        <f>IFERROR(__xludf.DUMMYFUNCTION("""COMPUTED_VALUE"""),"Politrauma")</f>
        <v>Politrauma</v>
      </c>
      <c r="J2991" s="44" t="str">
        <f>IFERROR(__xludf.DUMMYFUNCTION("""COMPUTED_VALUE"""),"")</f>
        <v/>
      </c>
      <c r="K2991" s="42" t="str">
        <f>IFERROR(__xludf.DUMMYFUNCTION("""COMPUTED_VALUE"""),"🔍 BUSCAR PACIENTES")</f>
        <v>🔍 BUSCAR PACIENTES</v>
      </c>
    </row>
    <row r="2992">
      <c r="A2992" s="44">
        <v>2991.0</v>
      </c>
      <c r="B2992" s="44" t="str">
        <f>IFERROR(__xludf.DUMMYFUNCTION("""COMPUTED_VALUE"""),"Periférico de Catia")</f>
        <v>Periférico de Catia</v>
      </c>
      <c r="C2992" s="45" t="str">
        <f>IFERROR(__xludf.DUMMYFUNCTION("""COMPUTED_VALUE"""),"PASTONO GYAMILY")</f>
        <v>PASTONO GYAMILY</v>
      </c>
      <c r="D2992" s="44">
        <f>IFERROR(__xludf.DUMMYFUNCTION("""COMPUTED_VALUE"""),32.0)</f>
        <v>32</v>
      </c>
      <c r="E2992" s="44" t="str">
        <f>IFERROR(__xludf.DUMMYFUNCTION("""COMPUTED_VALUE"""),"")</f>
        <v/>
      </c>
      <c r="F2992" s="44" t="str">
        <f>IFERROR(__xludf.DUMMYFUNCTION("""COMPUTED_VALUE"""),"")</f>
        <v/>
      </c>
      <c r="G2992" s="44" t="str">
        <f>IFERROR(__xludf.DUMMYFUNCTION("""COMPUTED_VALUE""")," ")</f>
        <v> </v>
      </c>
      <c r="H2992" s="44" t="str">
        <f>IFERROR(__xludf.DUMMYFUNCTION("""COMPUTED_VALUE"""),"Escalipto San Blas")</f>
        <v>Escalipto San Blas</v>
      </c>
      <c r="I2992" s="44" t="str">
        <f>IFERROR(__xludf.DUMMYFUNCTION("""COMPUTED_VALUE""")," ")</f>
        <v> </v>
      </c>
      <c r="J2992" s="44" t="str">
        <f>IFERROR(__xludf.DUMMYFUNCTION("""COMPUTED_VALUE"""),"")</f>
        <v/>
      </c>
      <c r="K2992" s="42" t="str">
        <f>IFERROR(__xludf.DUMMYFUNCTION("""COMPUTED_VALUE"""),"Periférico de Catia")</f>
        <v>Periférico de Catia</v>
      </c>
    </row>
    <row r="2993">
      <c r="A2993" s="44">
        <v>2992.0</v>
      </c>
      <c r="B2993" s="44" t="str">
        <f>IFERROR(__xludf.DUMMYFUNCTION("""COMPUTED_VALUE"""),"Periférico de Catia")</f>
        <v>Periférico de Catia</v>
      </c>
      <c r="C2993" s="45" t="str">
        <f>IFERROR(__xludf.DUMMYFUNCTION("""COMPUTED_VALUE"""),"PATINA KENDILA")</f>
        <v>PATINA KENDILA</v>
      </c>
      <c r="D2993" s="44">
        <f>IFERROR(__xludf.DUMMYFUNCTION("""COMPUTED_VALUE"""),31.0)</f>
        <v>31</v>
      </c>
      <c r="E2993" s="44" t="str">
        <f>IFERROR(__xludf.DUMMYFUNCTION("""COMPUTED_VALUE"""),"")</f>
        <v/>
      </c>
      <c r="F2993" s="44" t="str">
        <f>IFERROR(__xludf.DUMMYFUNCTION("""COMPUTED_VALUE"""),"")</f>
        <v/>
      </c>
      <c r="G2993" s="44" t="str">
        <f>IFERROR(__xludf.DUMMYFUNCTION("""COMPUTED_VALUE""")," ")</f>
        <v> </v>
      </c>
      <c r="H2993" s="44" t="str">
        <f>IFERROR(__xludf.DUMMYFUNCTION("""COMPUTED_VALUE""")," ")</f>
        <v> </v>
      </c>
      <c r="I2993" s="44" t="str">
        <f>IFERROR(__xludf.DUMMYFUNCTION("""COMPUTED_VALUE"""),"Sola")</f>
        <v>Sola</v>
      </c>
      <c r="J2993" s="44" t="str">
        <f>IFERROR(__xludf.DUMMYFUNCTION("""COMPUTED_VALUE"""),"")</f>
        <v/>
      </c>
      <c r="K2993" s="42" t="str">
        <f>IFERROR(__xludf.DUMMYFUNCTION("""COMPUTED_VALUE"""),"Periférico de Catia")</f>
        <v>Periférico de Catia</v>
      </c>
    </row>
    <row r="2994">
      <c r="A2994" s="44">
        <v>2993.0</v>
      </c>
      <c r="B2994" s="44" t="str">
        <f>IFERROR(__xludf.DUMMYFUNCTION("""COMPUTED_VALUE"""),"Periférico de Catia")</f>
        <v>Periférico de Catia</v>
      </c>
      <c r="C2994" s="45" t="str">
        <f>IFERROR(__xludf.DUMMYFUNCTION("""COMPUTED_VALUE"""),"PATINA KENDILLE")</f>
        <v>PATINA KENDILLE</v>
      </c>
      <c r="D2994" s="44">
        <f>IFERROR(__xludf.DUMMYFUNCTION("""COMPUTED_VALUE"""),6.0)</f>
        <v>6</v>
      </c>
      <c r="E2994" s="44" t="str">
        <f>IFERROR(__xludf.DUMMYFUNCTION("""COMPUTED_VALUE"""),"")</f>
        <v/>
      </c>
      <c r="F2994" s="44" t="str">
        <f>IFERROR(__xludf.DUMMYFUNCTION("""COMPUTED_VALUE"""),"")</f>
        <v/>
      </c>
      <c r="G2994" s="44" t="str">
        <f>IFERROR(__xludf.DUMMYFUNCTION("""COMPUTED_VALUE""")," ")</f>
        <v> </v>
      </c>
      <c r="H2994" s="44" t="str">
        <f>IFERROR(__xludf.DUMMYFUNCTION("""COMPUTED_VALUE""")," ")</f>
        <v> </v>
      </c>
      <c r="I2994" s="44" t="str">
        <f>IFERROR(__xludf.DUMMYFUNCTION("""COMPUTED_VALUE"""),"Sola")</f>
        <v>Sola</v>
      </c>
      <c r="J2994" s="44" t="str">
        <f>IFERROR(__xludf.DUMMYFUNCTION("""COMPUTED_VALUE"""),"")</f>
        <v/>
      </c>
      <c r="K2994" s="42" t="str">
        <f>IFERROR(__xludf.DUMMYFUNCTION("""COMPUTED_VALUE"""),"Periférico de Catia")</f>
        <v>Periférico de Catia</v>
      </c>
    </row>
    <row r="2995">
      <c r="A2995" s="44">
        <v>2994.0</v>
      </c>
      <c r="B2995" s="44" t="str">
        <f>IFERROR(__xludf.DUMMYFUNCTION("""COMPUTED_VALUE"""),"HOSPITAL VARGAS")</f>
        <v>HOSPITAL VARGAS</v>
      </c>
      <c r="C2995" s="45" t="str">
        <f>IFERROR(__xludf.DUMMYFUNCTION("""COMPUTED_VALUE"""),"Patricia Gil")</f>
        <v>Patricia Gil</v>
      </c>
      <c r="D2995" s="44"/>
      <c r="E2995" s="44" t="str">
        <f>IFERROR(__xludf.DUMMYFUNCTION("""COMPUTED_VALUE"""),"")</f>
        <v/>
      </c>
      <c r="F2995" s="44" t="str">
        <f>IFERROR(__xludf.DUMMYFUNCTION("""COMPUTED_VALUE"""),"")</f>
        <v/>
      </c>
      <c r="G2995" s="44" t="str">
        <f>IFERROR(__xludf.DUMMYFUNCTION("""COMPUTED_VALUE"""),"")</f>
        <v/>
      </c>
      <c r="H2995" s="44" t="str">
        <f>IFERROR(__xludf.DUMMYFUNCTION("""COMPUTED_VALUE"""),"")</f>
        <v/>
      </c>
      <c r="I2995" s="44" t="str">
        <f>IFERROR(__xludf.DUMMYFUNCTION("""COMPUTED_VALUE"""),"Herido / atendido")</f>
        <v>Herido / atendido</v>
      </c>
      <c r="J2995" s="44" t="str">
        <f>IFERROR(__xludf.DUMMYFUNCTION("""COMPUTED_VALUE"""),"24.06.2026 ")</f>
        <v>24.06.2026 </v>
      </c>
      <c r="K2995" s="42" t="str">
        <f>IFERROR(__xludf.DUMMYFUNCTION("""COMPUTED_VALUE"""),"HOSPITAL VARGAS")</f>
        <v>HOSPITAL VARGAS</v>
      </c>
    </row>
    <row r="2996">
      <c r="A2996" s="44">
        <v>2995.0</v>
      </c>
      <c r="B2996" s="44" t="str">
        <f>IFERROR(__xludf.DUMMYFUNCTION("""COMPUTED_VALUE"""),"Periférico de Catia")</f>
        <v>Periférico de Catia</v>
      </c>
      <c r="C2996" s="45" t="str">
        <f>IFERROR(__xludf.DUMMYFUNCTION("""COMPUTED_VALUE"""),"PATRICIA VENDIBLE")</f>
        <v>PATRICIA VENDIBLE</v>
      </c>
      <c r="D2996" s="44">
        <f>IFERROR(__xludf.DUMMYFUNCTION("""COMPUTED_VALUE"""),65.0)</f>
        <v>65</v>
      </c>
      <c r="E2996" s="44" t="str">
        <f>IFERROR(__xludf.DUMMYFUNCTION("""COMPUTED_VALUE"""),"")</f>
        <v/>
      </c>
      <c r="F2996" s="44" t="str">
        <f>IFERROR(__xludf.DUMMYFUNCTION("""COMPUTED_VALUE"""),"")</f>
        <v/>
      </c>
      <c r="G2996" s="44" t="str">
        <f>IFERROR(__xludf.DUMMYFUNCTION("""COMPUTED_VALUE""")," ")</f>
        <v> </v>
      </c>
      <c r="H2996" s="44" t="str">
        <f>IFERROR(__xludf.DUMMYFUNCTION("""COMPUTED_VALUE"""),"Calle Sanguden")</f>
        <v>Calle Sanguden</v>
      </c>
      <c r="I2996" s="44" t="str">
        <f>IFERROR(__xludf.DUMMYFUNCTION("""COMPUTED_VALUE""")," ")</f>
        <v> </v>
      </c>
      <c r="J2996" s="44" t="str">
        <f>IFERROR(__xludf.DUMMYFUNCTION("""COMPUTED_VALUE"""),"")</f>
        <v/>
      </c>
      <c r="K2996" s="42" t="str">
        <f>IFERROR(__xludf.DUMMYFUNCTION("""COMPUTED_VALUE"""),"Periférico de Catia")</f>
        <v>Periférico de Catia</v>
      </c>
    </row>
    <row r="2997">
      <c r="A2997" s="44">
        <v>2996.0</v>
      </c>
      <c r="B2997" s="44" t="str">
        <f>IFERROR(__xludf.DUMMYFUNCTION("""COMPUTED_VALUE"""),"Hospital Domingo Luciani")</f>
        <v>Hospital Domingo Luciani</v>
      </c>
      <c r="C2997" s="45" t="str">
        <f>IFERROR(__xludf.DUMMYFUNCTION("""COMPUTED_VALUE"""),"PAULINA ABREU")</f>
        <v>PAULINA ABREU</v>
      </c>
      <c r="D2997" s="44" t="str">
        <f>IFERROR(__xludf.DUMMYFUNCTION("""COMPUTED_VALUE""")," ")</f>
        <v> </v>
      </c>
      <c r="E2997" s="44" t="str">
        <f>IFERROR(__xludf.DUMMYFUNCTION("""COMPUTED_VALUE"""),"")</f>
        <v/>
      </c>
      <c r="F2997" s="44" t="str">
        <f>IFERROR(__xludf.DUMMYFUNCTION("""COMPUTED_VALUE"""),"")</f>
        <v/>
      </c>
      <c r="G2997" s="44" t="str">
        <f>IFERROR(__xludf.DUMMYFUNCTION("""COMPUTED_VALUE""")," ")</f>
        <v> </v>
      </c>
      <c r="H2997" s="44" t="str">
        <f>IFERROR(__xludf.DUMMYFUNCTION("""COMPUTED_VALUE""")," ")</f>
        <v> </v>
      </c>
      <c r="I2997" s="44" t="str">
        <f>IFERROR(__xludf.DUMMYFUNCTION("""COMPUTED_VALUE""")," ")</f>
        <v> </v>
      </c>
      <c r="J2997" s="44" t="str">
        <f>IFERROR(__xludf.DUMMYFUNCTION("""COMPUTED_VALUE"""),"")</f>
        <v/>
      </c>
      <c r="K2997" s="42" t="str">
        <f>IFERROR(__xludf.DUMMYFUNCTION("""COMPUTED_VALUE"""),"🔍 BUSCAR PACIENTES")</f>
        <v>🔍 BUSCAR PACIENTES</v>
      </c>
    </row>
    <row r="2998">
      <c r="A2998" s="44">
        <v>2997.0</v>
      </c>
      <c r="B2998" s="44" t="str">
        <f>IFERROR(__xludf.DUMMYFUNCTION("""COMPUTED_VALUE"""),"H. Jose Maria Vargas LG")</f>
        <v>H. Jose Maria Vargas LG</v>
      </c>
      <c r="C2998" s="45" t="str">
        <f>IFERROR(__xludf.DUMMYFUNCTION("""COMPUTED_VALUE"""),"PAVON DIEGO")</f>
        <v>PAVON DIEGO</v>
      </c>
      <c r="D2998" s="44" t="str">
        <f>IFERROR(__xludf.DUMMYFUNCTION("""COMPUTED_VALUE""")," ")</f>
        <v> </v>
      </c>
      <c r="E2998" s="44" t="str">
        <f>IFERROR(__xludf.DUMMYFUNCTION("""COMPUTED_VALUE"""),"")</f>
        <v/>
      </c>
      <c r="F2998" s="44" t="str">
        <f>IFERROR(__xludf.DUMMYFUNCTION("""COMPUTED_VALUE"""),"")</f>
        <v/>
      </c>
      <c r="G2998" s="44" t="str">
        <f>IFERROR(__xludf.DUMMYFUNCTION("""COMPUTED_VALUE""")," ")</f>
        <v> </v>
      </c>
      <c r="H2998" s="44" t="str">
        <f>IFERROR(__xludf.DUMMYFUNCTION("""COMPUTED_VALUE""")," ")</f>
        <v> </v>
      </c>
      <c r="I2998" s="44" t="str">
        <f>IFERROR(__xludf.DUMMYFUNCTION("""COMPUTED_VALUE""")," ")</f>
        <v> </v>
      </c>
      <c r="J2998" s="44" t="str">
        <f>IFERROR(__xludf.DUMMYFUNCTION("""COMPUTED_VALUE"""),"")</f>
        <v/>
      </c>
      <c r="K2998" s="42" t="str">
        <f>IFERROR(__xludf.DUMMYFUNCTION("""COMPUTED_VALUE"""),"H. Jose Maria Vargas LG")</f>
        <v>H. Jose Maria Vargas LG</v>
      </c>
    </row>
    <row r="2999">
      <c r="A2999" s="44">
        <v>2998.0</v>
      </c>
      <c r="B2999" s="44" t="str">
        <f>IFERROR(__xludf.DUMMYFUNCTION("""COMPUTED_VALUE"""),"H. Jose Maria Vargas LG")</f>
        <v>H. Jose Maria Vargas LG</v>
      </c>
      <c r="C2999" s="45" t="str">
        <f>IFERROR(__xludf.DUMMYFUNCTION("""COMPUTED_VALUE"""),"PAVON FIOLO")</f>
        <v>PAVON FIOLO</v>
      </c>
      <c r="D2999" s="44" t="str">
        <f>IFERROR(__xludf.DUMMYFUNCTION("""COMPUTED_VALUE""")," ")</f>
        <v> </v>
      </c>
      <c r="E2999" s="44" t="str">
        <f>IFERROR(__xludf.DUMMYFUNCTION("""COMPUTED_VALUE"""),"")</f>
        <v/>
      </c>
      <c r="F2999" s="44" t="str">
        <f>IFERROR(__xludf.DUMMYFUNCTION("""COMPUTED_VALUE"""),"")</f>
        <v/>
      </c>
      <c r="G2999" s="44" t="str">
        <f>IFERROR(__xludf.DUMMYFUNCTION("""COMPUTED_VALUE""")," ")</f>
        <v> </v>
      </c>
      <c r="H2999" s="44" t="str">
        <f>IFERROR(__xludf.DUMMYFUNCTION("""COMPUTED_VALUE""")," ")</f>
        <v> </v>
      </c>
      <c r="I2999" s="44" t="str">
        <f>IFERROR(__xludf.DUMMYFUNCTION("""COMPUTED_VALUE""")," ")</f>
        <v> </v>
      </c>
      <c r="J2999" s="44" t="str">
        <f>IFERROR(__xludf.DUMMYFUNCTION("""COMPUTED_VALUE"""),"")</f>
        <v/>
      </c>
      <c r="K2999" s="42" t="str">
        <f>IFERROR(__xludf.DUMMYFUNCTION("""COMPUTED_VALUE"""),"H. Jose Maria Vargas LG")</f>
        <v>H. Jose Maria Vargas LG</v>
      </c>
    </row>
    <row r="3000">
      <c r="A3000" s="44">
        <v>2999.0</v>
      </c>
      <c r="B3000" s="44" t="str">
        <f>IFERROR(__xludf.DUMMYFUNCTION("""COMPUTED_VALUE"""),"Hospital Domingo Luciani")</f>
        <v>Hospital Domingo Luciani</v>
      </c>
      <c r="C3000" s="45" t="str">
        <f>IFERROR(__xludf.DUMMYFUNCTION("""COMPUTED_VALUE"""),"PEDRO ALISCANO")</f>
        <v>PEDRO ALISCANO</v>
      </c>
      <c r="D3000" s="44">
        <f>IFERROR(__xludf.DUMMYFUNCTION("""COMPUTED_VALUE"""),40.0)</f>
        <v>40</v>
      </c>
      <c r="E3000" s="44" t="str">
        <f>IFERROR(__xludf.DUMMYFUNCTION("""COMPUTED_VALUE"""),"")</f>
        <v/>
      </c>
      <c r="F3000" s="44" t="str">
        <f>IFERROR(__xludf.DUMMYFUNCTION("""COMPUTED_VALUE"""),"")</f>
        <v/>
      </c>
      <c r="G3000" s="44" t="str">
        <f>IFERROR(__xludf.DUMMYFUNCTION("""COMPUTED_VALUE""")," ")</f>
        <v> </v>
      </c>
      <c r="H3000" s="44" t="str">
        <f>IFERROR(__xludf.DUMMYFUNCTION("""COMPUTED_VALUE""")," ")</f>
        <v> </v>
      </c>
      <c r="I3000" s="44" t="str">
        <f>IFERROR(__xludf.DUMMYFUNCTION("""COMPUTED_VALUE"""),"Alta/cirugía")</f>
        <v>Alta/cirugía</v>
      </c>
      <c r="J3000" s="44" t="str">
        <f>IFERROR(__xludf.DUMMYFUNCTION("""COMPUTED_VALUE"""),"")</f>
        <v/>
      </c>
      <c r="K3000" s="42" t="str">
        <f>IFERROR(__xludf.DUMMYFUNCTION("""COMPUTED_VALUE"""),"🔍 BUSCAR PACIENTES")</f>
        <v>🔍 BUSCAR PACIENTES</v>
      </c>
    </row>
    <row r="3001">
      <c r="A3001" s="44">
        <v>3000.0</v>
      </c>
      <c r="B3001" s="44" t="str">
        <f>IFERROR(__xludf.DUMMYFUNCTION("""COMPUTED_VALUE"""),"Periférico de Catia")</f>
        <v>Periférico de Catia</v>
      </c>
      <c r="C3001" s="45" t="str">
        <f>IFERROR(__xludf.DUMMYFUNCTION("""COMPUTED_VALUE"""),"Pedro Jesus")</f>
        <v>Pedro Jesus</v>
      </c>
      <c r="D3001" s="44">
        <f>IFERROR(__xludf.DUMMYFUNCTION("""COMPUTED_VALUE"""),68.0)</f>
        <v>68</v>
      </c>
      <c r="E3001" s="44" t="str">
        <f>IFERROR(__xludf.DUMMYFUNCTION("""COMPUTED_VALUE"""),"")</f>
        <v/>
      </c>
      <c r="F3001" s="44" t="str">
        <f>IFERROR(__xludf.DUMMYFUNCTION("""COMPUTED_VALUE"""),"")</f>
        <v/>
      </c>
      <c r="G3001" s="44"/>
      <c r="H3001" s="44"/>
      <c r="I3001" s="44" t="str">
        <f>IFERROR(__xludf.DUMMYFUNCTION("""COMPUTED_VALUE"""),"Lista adicional (pizarra extensa sin titulo de sala especifico)")</f>
        <v>Lista adicional (pizarra extensa sin titulo de sala especifico)</v>
      </c>
      <c r="J3001" s="44" t="str">
        <f>IFERROR(__xludf.DUMMYFUNCTION("""COMPUTED_VALUE"""),"")</f>
        <v/>
      </c>
      <c r="K3001" s="42" t="str">
        <f>IFERROR(__xludf.DUMMYFUNCTION("""COMPUTED_VALUE"""),"Periférico de Catia")</f>
        <v>Periférico de Catia</v>
      </c>
    </row>
    <row r="3002">
      <c r="A3002" s="44">
        <v>3001.0</v>
      </c>
      <c r="B3002" s="44" t="str">
        <f>IFERROR(__xludf.DUMMYFUNCTION("""COMPUTED_VALUE"""),"Hospital Domingo Luciani")</f>
        <v>Hospital Domingo Luciani</v>
      </c>
      <c r="C3002" s="45" t="str">
        <f>IFERROR(__xludf.DUMMYFUNCTION("""COMPUTED_VALUE"""),"Pedro Liscano")</f>
        <v>Pedro Liscano</v>
      </c>
      <c r="D3002" s="44">
        <f>IFERROR(__xludf.DUMMYFUNCTION("""COMPUTED_VALUE"""),40.0)</f>
        <v>40</v>
      </c>
      <c r="E3002" s="44" t="str">
        <f>IFERROR(__xludf.DUMMYFUNCTION("""COMPUTED_VALUE"""),"")</f>
        <v/>
      </c>
      <c r="F3002" s="44" t="str">
        <f>IFERROR(__xludf.DUMMYFUNCTION("""COMPUTED_VALUE"""),"")</f>
        <v/>
      </c>
      <c r="G3002" s="44"/>
      <c r="H3002" s="44"/>
      <c r="I3002" s="44"/>
      <c r="J3002" s="44" t="str">
        <f>IFERROR(__xludf.DUMMYFUNCTION("""COMPUTED_VALUE"""),"")</f>
        <v/>
      </c>
      <c r="K3002" s="42" t="str">
        <f>IFERROR(__xludf.DUMMYFUNCTION("""COMPUTED_VALUE"""),"Hospital Domingo Luciani")</f>
        <v>Hospital Domingo Luciani</v>
      </c>
    </row>
    <row r="3003">
      <c r="A3003" s="44">
        <v>3002.0</v>
      </c>
      <c r="B3003" s="44" t="str">
        <f>IFERROR(__xludf.DUMMYFUNCTION("""COMPUTED_VALUE"""),"Hospital Domingo Luciani")</f>
        <v>Hospital Domingo Luciani</v>
      </c>
      <c r="C3003" s="45" t="str">
        <f>IFERROR(__xludf.DUMMYFUNCTION("""COMPUTED_VALUE"""),"PEDRON DAVID")</f>
        <v>PEDRON DAVID</v>
      </c>
      <c r="D3003" s="44" t="str">
        <f>IFERROR(__xludf.DUMMYFUNCTION("""COMPUTED_VALUE""")," ")</f>
        <v> </v>
      </c>
      <c r="E3003" s="44" t="str">
        <f>IFERROR(__xludf.DUMMYFUNCTION("""COMPUTED_VALUE"""),"")</f>
        <v/>
      </c>
      <c r="F3003" s="44" t="str">
        <f>IFERROR(__xludf.DUMMYFUNCTION("""COMPUTED_VALUE"""),"")</f>
        <v/>
      </c>
      <c r="G3003" s="44" t="str">
        <f>IFERROR(__xludf.DUMMYFUNCTION("""COMPUTED_VALUE""")," ")</f>
        <v> </v>
      </c>
      <c r="H3003" s="44" t="str">
        <f>IFERROR(__xludf.DUMMYFUNCTION("""COMPUTED_VALUE""")," ")</f>
        <v> </v>
      </c>
      <c r="I3003" s="44" t="str">
        <f>IFERROR(__xludf.DUMMYFUNCTION("""COMPUTED_VALUE"""),"Internado")</f>
        <v>Internado</v>
      </c>
      <c r="J3003" s="44" t="str">
        <f>IFERROR(__xludf.DUMMYFUNCTION("""COMPUTED_VALUE"""),"")</f>
        <v/>
      </c>
      <c r="K3003" s="42" t="str">
        <f>IFERROR(__xludf.DUMMYFUNCTION("""COMPUTED_VALUE"""),"🔍 BUSCAR PACIENTES")</f>
        <v>🔍 BUSCAR PACIENTES</v>
      </c>
    </row>
    <row r="3004">
      <c r="A3004" s="44">
        <v>3003.0</v>
      </c>
      <c r="B3004" s="44" t="str">
        <f>IFERROR(__xludf.DUMMYFUNCTION("""COMPUTED_VALUE"""),"Hospital Domingo Luciani")</f>
        <v>Hospital Domingo Luciani</v>
      </c>
      <c r="C3004" s="45" t="str">
        <f>IFERROR(__xludf.DUMMYFUNCTION("""COMPUTED_VALUE"""),"PEDRON JESUS")</f>
        <v>PEDRON JESUS</v>
      </c>
      <c r="D3004" s="44">
        <f>IFERROR(__xludf.DUMMYFUNCTION("""COMPUTED_VALUE"""),68.0)</f>
        <v>68</v>
      </c>
      <c r="E3004" s="44" t="str">
        <f>IFERROR(__xludf.DUMMYFUNCTION("""COMPUTED_VALUE"""),"")</f>
        <v/>
      </c>
      <c r="F3004" s="44" t="str">
        <f>IFERROR(__xludf.DUMMYFUNCTION("""COMPUTED_VALUE"""),"")</f>
        <v/>
      </c>
      <c r="G3004" s="44" t="str">
        <f>IFERROR(__xludf.DUMMYFUNCTION("""COMPUTED_VALUE""")," ")</f>
        <v> </v>
      </c>
      <c r="H3004" s="44" t="str">
        <f>IFERROR(__xludf.DUMMYFUNCTION("""COMPUTED_VALUE""")," ")</f>
        <v> </v>
      </c>
      <c r="I3004" s="44" t="str">
        <f>IFERROR(__xludf.DUMMYFUNCTION("""COMPUTED_VALUE""")," ")</f>
        <v> </v>
      </c>
      <c r="J3004" s="44" t="str">
        <f>IFERROR(__xludf.DUMMYFUNCTION("""COMPUTED_VALUE"""),"")</f>
        <v/>
      </c>
      <c r="K3004" s="42" t="str">
        <f>IFERROR(__xludf.DUMMYFUNCTION("""COMPUTED_VALUE"""),"🔍 BUSCAR PACIENTES")</f>
        <v>🔍 BUSCAR PACIENTES</v>
      </c>
    </row>
    <row r="3005">
      <c r="A3005" s="44">
        <v>3004.0</v>
      </c>
      <c r="B3005" s="44" t="str">
        <f>IFERROR(__xludf.DUMMYFUNCTION("""COMPUTED_VALUE"""),"Hospital Domingo Luciani")</f>
        <v>Hospital Domingo Luciani</v>
      </c>
      <c r="C3005" s="45" t="str">
        <f>IFERROR(__xludf.DUMMYFUNCTION("""COMPUTED_VALUE"""),"PEDRON JESÚS / PEDRON JESUS")</f>
        <v>PEDRON JESÚS / PEDRON JESUS</v>
      </c>
      <c r="D3005" s="44">
        <f>IFERROR(__xludf.DUMMYFUNCTION("""COMPUTED_VALUE"""),68.0)</f>
        <v>68</v>
      </c>
      <c r="E3005" s="44" t="str">
        <f>IFERROR(__xludf.DUMMYFUNCTION("""COMPUTED_VALUE"""),"")</f>
        <v/>
      </c>
      <c r="F3005" s="44" t="str">
        <f>IFERROR(__xludf.DUMMYFUNCTION("""COMPUTED_VALUE"""),"")</f>
        <v/>
      </c>
      <c r="G3005" s="44" t="str">
        <f>IFERROR(__xludf.DUMMYFUNCTION("""COMPUTED_VALUE""")," ")</f>
        <v> </v>
      </c>
      <c r="H3005" s="44" t="str">
        <f>IFERROR(__xludf.DUMMYFUNCTION("""COMPUTED_VALUE""")," ")</f>
        <v> </v>
      </c>
      <c r="I3005" s="44" t="str">
        <f>IFERROR(__xludf.DUMMYFUNCTION("""COMPUTED_VALUE""")," ")</f>
        <v> </v>
      </c>
      <c r="J3005" s="44" t="str">
        <f>IFERROR(__xludf.DUMMYFUNCTION("""COMPUTED_VALUE"""),"")</f>
        <v/>
      </c>
      <c r="K3005" s="42" t="str">
        <f>IFERROR(__xludf.DUMMYFUNCTION("""COMPUTED_VALUE"""),"🔍 BUSCAR PACIENTES")</f>
        <v>🔍 BUSCAR PACIENTES</v>
      </c>
    </row>
    <row r="3006">
      <c r="A3006" s="44">
        <v>3005.0</v>
      </c>
      <c r="B3006" s="44" t="str">
        <f>IFERROR(__xludf.DUMMYFUNCTION("""COMPUTED_VALUE"""),"La Guaira Sin Hospital")</f>
        <v>La Guaira Sin Hospital</v>
      </c>
      <c r="C3006" s="45" t="str">
        <f>IFERROR(__xludf.DUMMYFUNCTION("""COMPUTED_VALUE"""),"Peláez Francisco")</f>
        <v>Peláez Francisco</v>
      </c>
      <c r="D3006" s="44" t="str">
        <f>IFERROR(__xludf.DUMMYFUNCTION("""COMPUTED_VALUE"""),"")</f>
        <v/>
      </c>
      <c r="E3006" s="44" t="str">
        <f>IFERROR(__xludf.DUMMYFUNCTION("""COMPUTED_VALUE"""),"")</f>
        <v/>
      </c>
      <c r="F3006" s="44" t="str">
        <f>IFERROR(__xludf.DUMMYFUNCTION("""COMPUTED_VALUE"""),"")</f>
        <v/>
      </c>
      <c r="G3006" s="44" t="str">
        <f>IFERROR(__xludf.DUMMYFUNCTION("""COMPUTED_VALUE"""),"")</f>
        <v/>
      </c>
      <c r="H3006" s="44"/>
      <c r="I3006" s="44" t="str">
        <f>IFERROR(__xludf.DUMMYFUNCTION("""COMPUTED_VALUE"""),"Listas solo con nombre")</f>
        <v>Listas solo con nombre</v>
      </c>
      <c r="J3006" s="44" t="str">
        <f>IFERROR(__xludf.DUMMYFUNCTION("""COMPUTED_VALUE"""),"")</f>
        <v/>
      </c>
      <c r="K3006" s="42" t="str">
        <f>IFERROR(__xludf.DUMMYFUNCTION("""COMPUTED_VALUE"""),"La Guaira Sin Hospital")</f>
        <v>La Guaira Sin Hospital</v>
      </c>
    </row>
    <row r="3007">
      <c r="A3007" s="44">
        <v>3006.0</v>
      </c>
      <c r="B3007" s="44" t="str">
        <f>IFERROR(__xludf.DUMMYFUNCTION("""COMPUTED_VALUE"""),"Hospital Pérez Carreño")</f>
        <v>Hospital Pérez Carreño</v>
      </c>
      <c r="C3007" s="45" t="str">
        <f>IFERROR(__xludf.DUMMYFUNCTION("""COMPUTED_VALUE"""),"PELAEZ FRANGER")</f>
        <v>PELAEZ FRANGER</v>
      </c>
      <c r="D3007" s="44" t="str">
        <f>IFERROR(__xludf.DUMMYFUNCTION("""COMPUTED_VALUE""")," ")</f>
        <v> </v>
      </c>
      <c r="E3007" s="44" t="str">
        <f>IFERROR(__xludf.DUMMYFUNCTION("""COMPUTED_VALUE"""),"")</f>
        <v/>
      </c>
      <c r="F3007" s="44" t="str">
        <f>IFERROR(__xludf.DUMMYFUNCTION("""COMPUTED_VALUE"""),"")</f>
        <v/>
      </c>
      <c r="G3007" s="44" t="str">
        <f>IFERROR(__xludf.DUMMYFUNCTION("""COMPUTED_VALUE""")," ")</f>
        <v> </v>
      </c>
      <c r="H3007" s="44" t="str">
        <f>IFERROR(__xludf.DUMMYFUNCTION("""COMPUTED_VALUE""")," ")</f>
        <v> </v>
      </c>
      <c r="I3007" s="44" t="str">
        <f>IFERROR(__xludf.DUMMYFUNCTION("""COMPUTED_VALUE"""),"Internado")</f>
        <v>Internado</v>
      </c>
      <c r="J3007" s="44" t="str">
        <f>IFERROR(__xludf.DUMMYFUNCTION("""COMPUTED_VALUE"""),"")</f>
        <v/>
      </c>
      <c r="K3007" s="42" t="str">
        <f>IFERROR(__xludf.DUMMYFUNCTION("""COMPUTED_VALUE"""),"🔍 BUSCAR PACIENTES")</f>
        <v>🔍 BUSCAR PACIENTES</v>
      </c>
    </row>
    <row r="3008">
      <c r="A3008" s="44">
        <v>3007.0</v>
      </c>
      <c r="B3008" s="44" t="str">
        <f>IFERROR(__xludf.DUMMYFUNCTION("""COMPUTED_VALUE"""),"La Guaira Sin Hospital")</f>
        <v>La Guaira Sin Hospital</v>
      </c>
      <c r="C3008" s="45" t="str">
        <f>IFERROR(__xludf.DUMMYFUNCTION("""COMPUTED_VALUE"""),"Peláez Franger")</f>
        <v>Peláez Franger</v>
      </c>
      <c r="D3008" s="44" t="str">
        <f>IFERROR(__xludf.DUMMYFUNCTION("""COMPUTED_VALUE"""),"")</f>
        <v/>
      </c>
      <c r="E3008" s="44" t="str">
        <f>IFERROR(__xludf.DUMMYFUNCTION("""COMPUTED_VALUE"""),"")</f>
        <v/>
      </c>
      <c r="F3008" s="44" t="str">
        <f>IFERROR(__xludf.DUMMYFUNCTION("""COMPUTED_VALUE"""),"")</f>
        <v/>
      </c>
      <c r="G3008" s="44" t="str">
        <f>IFERROR(__xludf.DUMMYFUNCTION("""COMPUTED_VALUE"""),"")</f>
        <v/>
      </c>
      <c r="H3008" s="44"/>
      <c r="I3008" s="44" t="str">
        <f>IFERROR(__xludf.DUMMYFUNCTION("""COMPUTED_VALUE"""),"Listas solo con nombre")</f>
        <v>Listas solo con nombre</v>
      </c>
      <c r="J3008" s="44" t="str">
        <f>IFERROR(__xludf.DUMMYFUNCTION("""COMPUTED_VALUE"""),"")</f>
        <v/>
      </c>
      <c r="K3008" s="42" t="str">
        <f>IFERROR(__xludf.DUMMYFUNCTION("""COMPUTED_VALUE"""),"La Guaira Sin Hospital")</f>
        <v>La Guaira Sin Hospital</v>
      </c>
    </row>
    <row r="3009">
      <c r="A3009" s="44">
        <v>3008.0</v>
      </c>
      <c r="B3009" s="44" t="str">
        <f>IFERROR(__xludf.DUMMYFUNCTION("""COMPUTED_VALUE"""),"Hospital Vargas de Caracas")</f>
        <v>Hospital Vargas de Caracas</v>
      </c>
      <c r="C3009" s="45" t="str">
        <f>IFERROR(__xludf.DUMMYFUNCTION("""COMPUTED_VALUE"""),"PEÑA DILIO")</f>
        <v>PEÑA DILIO</v>
      </c>
      <c r="D3009" s="44" t="str">
        <f>IFERROR(__xludf.DUMMYFUNCTION("""COMPUTED_VALUE""")," ")</f>
        <v> </v>
      </c>
      <c r="E3009" s="44" t="str">
        <f>IFERROR(__xludf.DUMMYFUNCTION("""COMPUTED_VALUE"""),"")</f>
        <v/>
      </c>
      <c r="F3009" s="44" t="str">
        <f>IFERROR(__xludf.DUMMYFUNCTION("""COMPUTED_VALUE""")," ")</f>
        <v> </v>
      </c>
      <c r="G3009" s="44" t="str">
        <f>IFERROR(__xludf.DUMMYFUNCTION("""COMPUTED_VALUE"""),"")</f>
        <v/>
      </c>
      <c r="H3009" s="44" t="str">
        <f>IFERROR(__xludf.DUMMYFUNCTION("""COMPUTED_VALUE""")," ")</f>
        <v> </v>
      </c>
      <c r="I3009" s="44" t="str">
        <f>IFERROR(__xludf.DUMMYFUNCTION("""COMPUTED_VALUE"""),"Pacientes x Sismo Edo La Guaira; Sala 4")</f>
        <v>Pacientes x Sismo Edo La Guaira; Sala 4</v>
      </c>
      <c r="J3009" s="44" t="str">
        <f>IFERROR(__xludf.DUMMYFUNCTION("""COMPUTED_VALUE"""),"")</f>
        <v/>
      </c>
      <c r="K3009" s="42" t="str">
        <f>IFERROR(__xludf.DUMMYFUNCTION("""COMPUTED_VALUE"""),"Hospital Vargas de Caracas")</f>
        <v>Hospital Vargas de Caracas</v>
      </c>
    </row>
    <row r="3010">
      <c r="A3010" s="44">
        <v>3009.0</v>
      </c>
      <c r="B3010" s="44" t="str">
        <f>IFERROR(__xludf.DUMMYFUNCTION("""COMPUTED_VALUE"""),"Centro de Acopio Caraballeda")</f>
        <v>Centro de Acopio Caraballeda</v>
      </c>
      <c r="C3010" s="45" t="str">
        <f>IFERROR(__xludf.DUMMYFUNCTION("""COMPUTED_VALUE"""),"PENA YELIBETH")</f>
        <v>PENA YELIBETH</v>
      </c>
      <c r="D3010" s="44" t="str">
        <f>IFERROR(__xludf.DUMMYFUNCTION("""COMPUTED_VALUE""")," ")</f>
        <v> </v>
      </c>
      <c r="E3010" s="44" t="str">
        <f>IFERROR(__xludf.DUMMYFUNCTION("""COMPUTED_VALUE"""),"")</f>
        <v/>
      </c>
      <c r="F3010" s="44" t="str">
        <f>IFERROR(__xludf.DUMMYFUNCTION("""COMPUTED_VALUE"""),"")</f>
        <v/>
      </c>
      <c r="G3010" s="44" t="str">
        <f>IFERROR(__xludf.DUMMYFUNCTION("""COMPUTED_VALUE""")," ")</f>
        <v> </v>
      </c>
      <c r="H3010" s="44" t="str">
        <f>IFERROR(__xludf.DUMMYFUNCTION("""COMPUTED_VALUE""")," ")</f>
        <v> </v>
      </c>
      <c r="I3010" s="44" t="str">
        <f>IFERROR(__xludf.DUMMYFUNCTION("""COMPUTED_VALUE"""),"Internado")</f>
        <v>Internado</v>
      </c>
      <c r="J3010" s="44" t="str">
        <f>IFERROR(__xludf.DUMMYFUNCTION("""COMPUTED_VALUE"""),"")</f>
        <v/>
      </c>
      <c r="K3010" s="42" t="str">
        <f>IFERROR(__xludf.DUMMYFUNCTION("""COMPUTED_VALUE"""),"🔍 BUSCAR PACIENTES")</f>
        <v>🔍 BUSCAR PACIENTES</v>
      </c>
    </row>
    <row r="3011">
      <c r="A3011" s="44">
        <v>3010.0</v>
      </c>
      <c r="B3011" s="44" t="str">
        <f>IFERROR(__xludf.DUMMYFUNCTION("""COMPUTED_VALUE"""),"Periférico de Catia")</f>
        <v>Periférico de Catia</v>
      </c>
      <c r="C3011" s="45" t="str">
        <f>IFERROR(__xludf.DUMMYFUNCTION("""COMPUTED_VALUE"""),"PENA YOHSEN")</f>
        <v>PENA YOHSEN</v>
      </c>
      <c r="D3011" s="44">
        <f>IFERROR(__xludf.DUMMYFUNCTION("""COMPUTED_VALUE"""),51.0)</f>
        <v>51</v>
      </c>
      <c r="E3011" s="44" t="str">
        <f>IFERROR(__xludf.DUMMYFUNCTION("""COMPUTED_VALUE"""),"")</f>
        <v/>
      </c>
      <c r="F3011" s="44" t="str">
        <f>IFERROR(__xludf.DUMMYFUNCTION("""COMPUTED_VALUE"""),"")</f>
        <v/>
      </c>
      <c r="G3011" s="44" t="str">
        <f>IFERROR(__xludf.DUMMYFUNCTION("""COMPUTED_VALUE""")," ")</f>
        <v> </v>
      </c>
      <c r="H3011" s="44" t="str">
        <f>IFERROR(__xludf.DUMMYFUNCTION("""COMPUTED_VALUE"""),"Magallanes")</f>
        <v>Magallanes</v>
      </c>
      <c r="I3011" s="44" t="str">
        <f>IFERROR(__xludf.DUMMYFUNCTION("""COMPUTED_VALUE""")," ")</f>
        <v> </v>
      </c>
      <c r="J3011" s="44" t="str">
        <f>IFERROR(__xludf.DUMMYFUNCTION("""COMPUTED_VALUE"""),"")</f>
        <v/>
      </c>
      <c r="K3011" s="42" t="str">
        <f>IFERROR(__xludf.DUMMYFUNCTION("""COMPUTED_VALUE"""),"Periférico de Catia")</f>
        <v>Periférico de Catia</v>
      </c>
    </row>
    <row r="3012">
      <c r="A3012" s="44">
        <v>3011.0</v>
      </c>
      <c r="B3012" s="44" t="str">
        <f>IFERROR(__xludf.DUMMYFUNCTION("""COMPUTED_VALUE"""),"Centro de Acopio Caraballeda")</f>
        <v>Centro de Acopio Caraballeda</v>
      </c>
      <c r="C3012" s="45" t="str">
        <f>IFERROR(__xludf.DUMMYFUNCTION("""COMPUTED_VALUE"""),"PERALTA GUSTAVO")</f>
        <v>PERALTA GUSTAVO</v>
      </c>
      <c r="D3012" s="44" t="str">
        <f>IFERROR(__xludf.DUMMYFUNCTION("""COMPUTED_VALUE""")," ")</f>
        <v> </v>
      </c>
      <c r="E3012" s="44" t="str">
        <f>IFERROR(__xludf.DUMMYFUNCTION("""COMPUTED_VALUE"""),"")</f>
        <v/>
      </c>
      <c r="F3012" s="44" t="str">
        <f>IFERROR(__xludf.DUMMYFUNCTION("""COMPUTED_VALUE"""),"")</f>
        <v/>
      </c>
      <c r="G3012" s="44" t="str">
        <f>IFERROR(__xludf.DUMMYFUNCTION("""COMPUTED_VALUE""")," ")</f>
        <v> </v>
      </c>
      <c r="H3012" s="44" t="str">
        <f>IFERROR(__xludf.DUMMYFUNCTION("""COMPUTED_VALUE""")," ")</f>
        <v> </v>
      </c>
      <c r="I3012" s="44" t="str">
        <f>IFERROR(__xludf.DUMMYFUNCTION("""COMPUTED_VALUE"""),"Internado")</f>
        <v>Internado</v>
      </c>
      <c r="J3012" s="44" t="str">
        <f>IFERROR(__xludf.DUMMYFUNCTION("""COMPUTED_VALUE"""),"")</f>
        <v/>
      </c>
      <c r="K3012" s="42" t="str">
        <f>IFERROR(__xludf.DUMMYFUNCTION("""COMPUTED_VALUE"""),"🔍 BUSCAR PACIENTES")</f>
        <v>🔍 BUSCAR PACIENTES</v>
      </c>
    </row>
    <row r="3013">
      <c r="A3013" s="44">
        <v>3012.0</v>
      </c>
      <c r="B3013" s="44" t="str">
        <f>IFERROR(__xludf.DUMMYFUNCTION("""COMPUTED_VALUE"""),"Centro de Acopio Caraballeda")</f>
        <v>Centro de Acopio Caraballeda</v>
      </c>
      <c r="C3013" s="45" t="str">
        <f>IFERROR(__xludf.DUMMYFUNCTION("""COMPUTED_VALUE"""),"PERALTA ROGELIUS")</f>
        <v>PERALTA ROGELIUS</v>
      </c>
      <c r="D3013" s="44" t="str">
        <f>IFERROR(__xludf.DUMMYFUNCTION("""COMPUTED_VALUE""")," ")</f>
        <v> </v>
      </c>
      <c r="E3013" s="44" t="str">
        <f>IFERROR(__xludf.DUMMYFUNCTION("""COMPUTED_VALUE"""),"")</f>
        <v/>
      </c>
      <c r="F3013" s="44" t="str">
        <f>IFERROR(__xludf.DUMMYFUNCTION("""COMPUTED_VALUE"""),"")</f>
        <v/>
      </c>
      <c r="G3013" s="44" t="str">
        <f>IFERROR(__xludf.DUMMYFUNCTION("""COMPUTED_VALUE""")," ")</f>
        <v> </v>
      </c>
      <c r="H3013" s="44" t="str">
        <f>IFERROR(__xludf.DUMMYFUNCTION("""COMPUTED_VALUE""")," ")</f>
        <v> </v>
      </c>
      <c r="I3013" s="44" t="str">
        <f>IFERROR(__xludf.DUMMYFUNCTION("""COMPUTED_VALUE"""),"Internado")</f>
        <v>Internado</v>
      </c>
      <c r="J3013" s="44" t="str">
        <f>IFERROR(__xludf.DUMMYFUNCTION("""COMPUTED_VALUE"""),"")</f>
        <v/>
      </c>
      <c r="K3013" s="42" t="str">
        <f>IFERROR(__xludf.DUMMYFUNCTION("""COMPUTED_VALUE"""),"🔍 BUSCAR PACIENTES")</f>
        <v>🔍 BUSCAR PACIENTES</v>
      </c>
    </row>
    <row r="3014">
      <c r="A3014" s="44">
        <v>3013.0</v>
      </c>
      <c r="B3014" s="44" t="str">
        <f>IFERROR(__xludf.DUMMYFUNCTION("""COMPUTED_VALUE"""),"Centro de Acopio Caraballeda")</f>
        <v>Centro de Acopio Caraballeda</v>
      </c>
      <c r="C3014" s="45" t="str">
        <f>IFERROR(__xludf.DUMMYFUNCTION("""COMPUTED_VALUE"""),"PERALTA RONIELYS")</f>
        <v>PERALTA RONIELYS</v>
      </c>
      <c r="D3014" s="44" t="str">
        <f>IFERROR(__xludf.DUMMYFUNCTION("""COMPUTED_VALUE""")," ")</f>
        <v> </v>
      </c>
      <c r="E3014" s="44" t="str">
        <f>IFERROR(__xludf.DUMMYFUNCTION("""COMPUTED_VALUE"""),"")</f>
        <v/>
      </c>
      <c r="F3014" s="44" t="str">
        <f>IFERROR(__xludf.DUMMYFUNCTION("""COMPUTED_VALUE"""),"")</f>
        <v/>
      </c>
      <c r="G3014" s="44" t="str">
        <f>IFERROR(__xludf.DUMMYFUNCTION("""COMPUTED_VALUE""")," ")</f>
        <v> </v>
      </c>
      <c r="H3014" s="44" t="str">
        <f>IFERROR(__xludf.DUMMYFUNCTION("""COMPUTED_VALUE""")," ")</f>
        <v> </v>
      </c>
      <c r="I3014" s="44" t="str">
        <f>IFERROR(__xludf.DUMMYFUNCTION("""COMPUTED_VALUE"""),"Internado")</f>
        <v>Internado</v>
      </c>
      <c r="J3014" s="44" t="str">
        <f>IFERROR(__xludf.DUMMYFUNCTION("""COMPUTED_VALUE"""),"")</f>
        <v/>
      </c>
      <c r="K3014" s="42" t="str">
        <f>IFERROR(__xludf.DUMMYFUNCTION("""COMPUTED_VALUE"""),"🔍 BUSCAR PACIENTES")</f>
        <v>🔍 BUSCAR PACIENTES</v>
      </c>
    </row>
    <row r="3015">
      <c r="A3015" s="44">
        <v>3014.0</v>
      </c>
      <c r="B3015" s="44" t="str">
        <f>IFERROR(__xludf.DUMMYFUNCTION("""COMPUTED_VALUE"""),"Periférico de Catia")</f>
        <v>Periférico de Catia</v>
      </c>
      <c r="C3015" s="45" t="str">
        <f>IFERROR(__xludf.DUMMYFUNCTION("""COMPUTED_VALUE"""),"PERDOMO JOINLY / PERDOMO YOINY")</f>
        <v>PERDOMO JOINLY / PERDOMO YOINY</v>
      </c>
      <c r="D3015" s="44">
        <f>IFERROR(__xludf.DUMMYFUNCTION("""COMPUTED_VALUE"""),31.0)</f>
        <v>31</v>
      </c>
      <c r="E3015" s="44" t="str">
        <f>IFERROR(__xludf.DUMMYFUNCTION("""COMPUTED_VALUE"""),"")</f>
        <v/>
      </c>
      <c r="F3015" s="44" t="str">
        <f>IFERROR(__xludf.DUMMYFUNCTION("""COMPUTED_VALUE"""),"")</f>
        <v/>
      </c>
      <c r="G3015" s="44" t="str">
        <f>IFERROR(__xludf.DUMMYFUNCTION("""COMPUTED_VALUE""")," ")</f>
        <v> </v>
      </c>
      <c r="H3015" s="44" t="str">
        <f>IFERROR(__xludf.DUMMYFUNCTION("""COMPUTED_VALUE""")," ")</f>
        <v> </v>
      </c>
      <c r="I3015" s="44" t="str">
        <f>IFERROR(__xludf.DUMMYFUNCTION("""COMPUTED_VALUE"""),"Esposa/Sola")</f>
        <v>Esposa/Sola</v>
      </c>
      <c r="J3015" s="44" t="str">
        <f>IFERROR(__xludf.DUMMYFUNCTION("""COMPUTED_VALUE"""),"")</f>
        <v/>
      </c>
      <c r="K3015" s="42" t="str">
        <f>IFERROR(__xludf.DUMMYFUNCTION("""COMPUTED_VALUE"""),"Periférico de Catia")</f>
        <v>Periférico de Catia</v>
      </c>
    </row>
    <row r="3016">
      <c r="A3016" s="44">
        <v>3015.0</v>
      </c>
      <c r="B3016" s="44" t="str">
        <f>IFERROR(__xludf.DUMMYFUNCTION("""COMPUTED_VALUE"""),"Periférico de Catia")</f>
        <v>Periférico de Catia</v>
      </c>
      <c r="C3016" s="45" t="str">
        <f>IFERROR(__xludf.DUMMYFUNCTION("""COMPUTED_VALUE"""),"PERDOMO SEVILLAY")</f>
        <v>PERDOMO SEVILLAY</v>
      </c>
      <c r="D3016" s="44">
        <f>IFERROR(__xludf.DUMMYFUNCTION("""COMPUTED_VALUE"""),31.0)</f>
        <v>31</v>
      </c>
      <c r="E3016" s="44" t="str">
        <f>IFERROR(__xludf.DUMMYFUNCTION("""COMPUTED_VALUE"""),"")</f>
        <v/>
      </c>
      <c r="F3016" s="44" t="str">
        <f>IFERROR(__xludf.DUMMYFUNCTION("""COMPUTED_VALUE"""),"")</f>
        <v/>
      </c>
      <c r="G3016" s="44" t="str">
        <f>IFERROR(__xludf.DUMMYFUNCTION("""COMPUTED_VALUE""")," ")</f>
        <v> </v>
      </c>
      <c r="H3016" s="44" t="str">
        <f>IFERROR(__xludf.DUMMYFUNCTION("""COMPUTED_VALUE""")," ")</f>
        <v> </v>
      </c>
      <c r="I3016" s="44" t="str">
        <f>IFERROR(__xludf.DUMMYFUNCTION("""COMPUTED_VALUE"""),"Sola")</f>
        <v>Sola</v>
      </c>
      <c r="J3016" s="44" t="str">
        <f>IFERROR(__xludf.DUMMYFUNCTION("""COMPUTED_VALUE"""),"")</f>
        <v/>
      </c>
      <c r="K3016" s="42" t="str">
        <f>IFERROR(__xludf.DUMMYFUNCTION("""COMPUTED_VALUE"""),"Periférico de Catia")</f>
        <v>Periférico de Catia</v>
      </c>
    </row>
    <row r="3017">
      <c r="A3017" s="44">
        <v>3016.0</v>
      </c>
      <c r="B3017" s="44" t="str">
        <f>IFERROR(__xludf.DUMMYFUNCTION("""COMPUTED_VALUE"""),"Hospital Vargas de Caracas")</f>
        <v>Hospital Vargas de Caracas</v>
      </c>
      <c r="C3017" s="45" t="str">
        <f>IFERROR(__xludf.DUMMYFUNCTION("""COMPUTED_VALUE"""),"PERDOMO VALERIA")</f>
        <v>PERDOMO VALERIA</v>
      </c>
      <c r="D3017" s="44" t="str">
        <f>IFERROR(__xludf.DUMMYFUNCTION("""COMPUTED_VALUE""")," ")</f>
        <v> </v>
      </c>
      <c r="E3017" s="44" t="str">
        <f>IFERROR(__xludf.DUMMYFUNCTION("""COMPUTED_VALUE"""),"")</f>
        <v/>
      </c>
      <c r="F3017" s="44" t="str">
        <f>IFERROR(__xludf.DUMMYFUNCTION("""COMPUTED_VALUE""")," ")</f>
        <v> </v>
      </c>
      <c r="G3017" s="44" t="str">
        <f>IFERROR(__xludf.DUMMYFUNCTION("""COMPUTED_VALUE"""),"")</f>
        <v/>
      </c>
      <c r="H3017" s="44" t="str">
        <f>IFERROR(__xludf.DUMMYFUNCTION("""COMPUTED_VALUE"""),"Guaira")</f>
        <v>Guaira</v>
      </c>
      <c r="I3017" s="44" t="str">
        <f>IFERROR(__xludf.DUMMYFUNCTION("""COMPUTED_VALUE""")," ")</f>
        <v> </v>
      </c>
      <c r="J3017" s="44" t="str">
        <f>IFERROR(__xludf.DUMMYFUNCTION("""COMPUTED_VALUE"""),"")</f>
        <v/>
      </c>
      <c r="K3017" s="42" t="str">
        <f>IFERROR(__xludf.DUMMYFUNCTION("""COMPUTED_VALUE"""),"Hospital Vargas de Caracas")</f>
        <v>Hospital Vargas de Caracas</v>
      </c>
    </row>
    <row r="3018">
      <c r="A3018" s="44">
        <v>3017.0</v>
      </c>
      <c r="B3018" s="44" t="str">
        <f>IFERROR(__xludf.DUMMYFUNCTION("""COMPUTED_VALUE"""),"Hospital Vargas de Caracas")</f>
        <v>Hospital Vargas de Caracas</v>
      </c>
      <c r="C3018" s="45" t="str">
        <f>IFERROR(__xludf.DUMMYFUNCTION("""COMPUTED_VALUE"""),"PEREIRA DANIEL")</f>
        <v>PEREIRA DANIEL</v>
      </c>
      <c r="D3018" s="44">
        <f>IFERROR(__xludf.DUMMYFUNCTION("""COMPUTED_VALUE"""),4.0)</f>
        <v>4</v>
      </c>
      <c r="E3018" s="44" t="str">
        <f>IFERROR(__xludf.DUMMYFUNCTION("""COMPUTED_VALUE"""),"")</f>
        <v/>
      </c>
      <c r="F3018" s="44" t="str">
        <f>IFERROR(__xludf.DUMMYFUNCTION("""COMPUTED_VALUE""")," ")</f>
        <v> </v>
      </c>
      <c r="G3018" s="44" t="str">
        <f>IFERROR(__xludf.DUMMYFUNCTION("""COMPUTED_VALUE"""),"")</f>
        <v/>
      </c>
      <c r="H3018" s="44" t="str">
        <f>IFERROR(__xludf.DUMMYFUNCTION("""COMPUTED_VALUE""")," ")</f>
        <v> </v>
      </c>
      <c r="I3018" s="44" t="str">
        <f>IFERROR(__xludf.DUMMYFUNCTION("""COMPUTED_VALUE""")," ")</f>
        <v> </v>
      </c>
      <c r="J3018" s="44" t="str">
        <f>IFERROR(__xludf.DUMMYFUNCTION("""COMPUTED_VALUE"""),"")</f>
        <v/>
      </c>
      <c r="K3018" s="42" t="str">
        <f>IFERROR(__xludf.DUMMYFUNCTION("""COMPUTED_VALUE"""),"Hospital Vargas de Caracas")</f>
        <v>Hospital Vargas de Caracas</v>
      </c>
    </row>
    <row r="3019">
      <c r="A3019" s="44">
        <v>3018.0</v>
      </c>
      <c r="B3019" s="44" t="str">
        <f>IFERROR(__xludf.DUMMYFUNCTION("""COMPUTED_VALUE"""),"Hospital Ricardo Baquero González")</f>
        <v>Hospital Ricardo Baquero González</v>
      </c>
      <c r="C3019" s="45" t="str">
        <f>IFERROR(__xludf.DUMMYFUNCTION("""COMPUTED_VALUE"""),"PEREIRA VILLAMIZAR MARIA ISABEL")</f>
        <v>PEREIRA VILLAMIZAR MARIA ISABEL</v>
      </c>
      <c r="D3019" s="44">
        <f>IFERROR(__xludf.DUMMYFUNCTION("""COMPUTED_VALUE"""),8.0)</f>
        <v>8</v>
      </c>
      <c r="E3019" s="44" t="str">
        <f>IFERROR(__xludf.DUMMYFUNCTION("""COMPUTED_VALUE"""),"")</f>
        <v/>
      </c>
      <c r="F3019" s="44" t="str">
        <f>IFERROR(__xludf.DUMMYFUNCTION("""COMPUTED_VALUE"""),"")</f>
        <v/>
      </c>
      <c r="G3019" s="44" t="str">
        <f>IFERROR(__xludf.DUMMYFUNCTION("""COMPUTED_VALUE""")," ")</f>
        <v> </v>
      </c>
      <c r="H3019" s="44" t="str">
        <f>IFERROR(__xludf.DUMMYFUNCTION("""COMPUTED_VALUE""")," ")</f>
        <v> </v>
      </c>
      <c r="I3019" s="44" t="str">
        <f>IFERROR(__xludf.DUMMYFUNCTION("""COMPUTED_VALUE"""),"Internado; Cirugía General")</f>
        <v>Internado; Cirugía General</v>
      </c>
      <c r="J3019" s="44" t="str">
        <f>IFERROR(__xludf.DUMMYFUNCTION("""COMPUTED_VALUE"""),"")</f>
        <v/>
      </c>
      <c r="K3019" s="42" t="str">
        <f>IFERROR(__xludf.DUMMYFUNCTION("""COMPUTED_VALUE"""),"🔍 BUSCAR PACIENTES")</f>
        <v>🔍 BUSCAR PACIENTES</v>
      </c>
    </row>
    <row r="3020">
      <c r="A3020" s="44">
        <v>3019.0</v>
      </c>
      <c r="B3020" s="44" t="str">
        <f>IFERROR(__xludf.DUMMYFUNCTION("""COMPUTED_VALUE"""),"Periférico de Catia")</f>
        <v>Periférico de Catia</v>
      </c>
      <c r="C3020" s="45" t="str">
        <f>IFERROR(__xludf.DUMMYFUNCTION("""COMPUTED_VALUE"""),"PEREIRA VILLAMIZAR MARIA ISABELLA")</f>
        <v>PEREIRA VILLAMIZAR MARIA ISABELLA</v>
      </c>
      <c r="D3020" s="44">
        <f>IFERROR(__xludf.DUMMYFUNCTION("""COMPUTED_VALUE"""),8.0)</f>
        <v>8</v>
      </c>
      <c r="E3020" s="44" t="str">
        <f>IFERROR(__xludf.DUMMYFUNCTION("""COMPUTED_VALUE"""),"")</f>
        <v/>
      </c>
      <c r="F3020" s="44" t="str">
        <f>IFERROR(__xludf.DUMMYFUNCTION("""COMPUTED_VALUE"""),"")</f>
        <v/>
      </c>
      <c r="G3020" s="44" t="str">
        <f>IFERROR(__xludf.DUMMYFUNCTION("""COMPUTED_VALUE""")," ")</f>
        <v> </v>
      </c>
      <c r="H3020" s="44" t="str">
        <f>IFERROR(__xludf.DUMMYFUNCTION("""COMPUTED_VALUE""")," ")</f>
        <v> </v>
      </c>
      <c r="I3020" s="44" t="str">
        <f>IFERROR(__xludf.DUMMYFUNCTION("""COMPUTED_VALUE"""),"Cirugía General")</f>
        <v>Cirugía General</v>
      </c>
      <c r="J3020" s="44" t="str">
        <f>IFERROR(__xludf.DUMMYFUNCTION("""COMPUTED_VALUE"""),"")</f>
        <v/>
      </c>
      <c r="K3020" s="42" t="str">
        <f>IFERROR(__xludf.DUMMYFUNCTION("""COMPUTED_VALUE"""),"Periférico de Catia")</f>
        <v>Periférico de Catia</v>
      </c>
    </row>
    <row r="3021">
      <c r="A3021" s="44">
        <v>3020.0</v>
      </c>
      <c r="B3021" s="44" t="str">
        <f>IFERROR(__xludf.DUMMYFUNCTION("""COMPUTED_VALUE"""),"H. Jose Maria Vargas LG")</f>
        <v>H. Jose Maria Vargas LG</v>
      </c>
      <c r="C3021" s="45" t="str">
        <f>IFERROR(__xludf.DUMMYFUNCTION("""COMPUTED_VALUE"""),"PEREZ ANGI")</f>
        <v>PEREZ ANGI</v>
      </c>
      <c r="D3021" s="44" t="str">
        <f>IFERROR(__xludf.DUMMYFUNCTION("""COMPUTED_VALUE""")," ")</f>
        <v> </v>
      </c>
      <c r="E3021" s="44" t="str">
        <f>IFERROR(__xludf.DUMMYFUNCTION("""COMPUTED_VALUE"""),"")</f>
        <v/>
      </c>
      <c r="F3021" s="44" t="str">
        <f>IFERROR(__xludf.DUMMYFUNCTION("""COMPUTED_VALUE"""),"")</f>
        <v/>
      </c>
      <c r="G3021" s="44" t="str">
        <f>IFERROR(__xludf.DUMMYFUNCTION("""COMPUTED_VALUE""")," ")</f>
        <v> </v>
      </c>
      <c r="H3021" s="44" t="str">
        <f>IFERROR(__xludf.DUMMYFUNCTION("""COMPUTED_VALUE"""),"Tanaguarena")</f>
        <v>Tanaguarena</v>
      </c>
      <c r="I3021" s="44" t="str">
        <f>IFERROR(__xludf.DUMMYFUNCTION("""COMPUTED_VALUE""")," ")</f>
        <v> </v>
      </c>
      <c r="J3021" s="44" t="str">
        <f>IFERROR(__xludf.DUMMYFUNCTION("""COMPUTED_VALUE"""),"")</f>
        <v/>
      </c>
      <c r="K3021" s="42" t="str">
        <f>IFERROR(__xludf.DUMMYFUNCTION("""COMPUTED_VALUE"""),"H. Jose Maria Vargas LG")</f>
        <v>H. Jose Maria Vargas LG</v>
      </c>
    </row>
    <row r="3022">
      <c r="A3022" s="44">
        <v>3021.0</v>
      </c>
      <c r="B3022" s="44" t="str">
        <f>IFERROR(__xludf.DUMMYFUNCTION("""COMPUTED_VALUE"""),"Hospital Domingo Luciani")</f>
        <v>Hospital Domingo Luciani</v>
      </c>
      <c r="C3022" s="45" t="str">
        <f>IFERROR(__xludf.DUMMYFUNCTION("""COMPUTED_VALUE"""),"PEREZ ARANYI")</f>
        <v>PEREZ ARANYI</v>
      </c>
      <c r="D3022" s="44">
        <f>IFERROR(__xludf.DUMMYFUNCTION("""COMPUTED_VALUE"""),14.0)</f>
        <v>14</v>
      </c>
      <c r="E3022" s="44" t="str">
        <f>IFERROR(__xludf.DUMMYFUNCTION("""COMPUTED_VALUE"""),"")</f>
        <v/>
      </c>
      <c r="F3022" s="44" t="str">
        <f>IFERROR(__xludf.DUMMYFUNCTION("""COMPUTED_VALUE"""),"")</f>
        <v/>
      </c>
      <c r="G3022" s="44" t="str">
        <f>IFERROR(__xludf.DUMMYFUNCTION("""COMPUTED_VALUE""")," ")</f>
        <v> </v>
      </c>
      <c r="H3022" s="44" t="str">
        <f>IFERROR(__xludf.DUMMYFUNCTION("""COMPUTED_VALUE"""),"La Guaira")</f>
        <v>La Guaira</v>
      </c>
      <c r="I3022" s="44" t="str">
        <f>IFERROR(__xludf.DUMMYFUNCTION("""COMPUTED_VALUE"""),"Ingresos 6am-9:20pm")</f>
        <v>Ingresos 6am-9:20pm</v>
      </c>
      <c r="J3022" s="44" t="str">
        <f>IFERROR(__xludf.DUMMYFUNCTION("""COMPUTED_VALUE"""),"")</f>
        <v/>
      </c>
      <c r="K3022" s="42" t="str">
        <f>IFERROR(__xludf.DUMMYFUNCTION("""COMPUTED_VALUE"""),"🔍 BUSCAR PACIENTES")</f>
        <v>🔍 BUSCAR PACIENTES</v>
      </c>
    </row>
    <row r="3023">
      <c r="A3023" s="44">
        <v>3022.0</v>
      </c>
      <c r="B3023" s="44" t="str">
        <f>IFERROR(__xludf.DUMMYFUNCTION("""COMPUTED_VALUE"""),"Centro de Acopio Caraballeda")</f>
        <v>Centro de Acopio Caraballeda</v>
      </c>
      <c r="C3023" s="45" t="str">
        <f>IFERROR(__xludf.DUMMYFUNCTION("""COMPUTED_VALUE"""),"PEREZ BERYARI")</f>
        <v>PEREZ BERYARI</v>
      </c>
      <c r="D3023" s="44" t="str">
        <f>IFERROR(__xludf.DUMMYFUNCTION("""COMPUTED_VALUE""")," ")</f>
        <v> </v>
      </c>
      <c r="E3023" s="44" t="str">
        <f>IFERROR(__xludf.DUMMYFUNCTION("""COMPUTED_VALUE"""),"")</f>
        <v/>
      </c>
      <c r="F3023" s="44" t="str">
        <f>IFERROR(__xludf.DUMMYFUNCTION("""COMPUTED_VALUE"""),"")</f>
        <v/>
      </c>
      <c r="G3023" s="44" t="str">
        <f>IFERROR(__xludf.DUMMYFUNCTION("""COMPUTED_VALUE""")," ")</f>
        <v> </v>
      </c>
      <c r="H3023" s="44" t="str">
        <f>IFERROR(__xludf.DUMMYFUNCTION("""COMPUTED_VALUE""")," ")</f>
        <v> </v>
      </c>
      <c r="I3023" s="44" t="str">
        <f>IFERROR(__xludf.DUMMYFUNCTION("""COMPUTED_VALUE"""),"Internado")</f>
        <v>Internado</v>
      </c>
      <c r="J3023" s="44" t="str">
        <f>IFERROR(__xludf.DUMMYFUNCTION("""COMPUTED_VALUE"""),"")</f>
        <v/>
      </c>
      <c r="K3023" s="42" t="str">
        <f>IFERROR(__xludf.DUMMYFUNCTION("""COMPUTED_VALUE"""),"🔍 BUSCAR PACIENTES")</f>
        <v>🔍 BUSCAR PACIENTES</v>
      </c>
    </row>
    <row r="3024">
      <c r="A3024" s="44">
        <v>3023.0</v>
      </c>
      <c r="B3024" s="44" t="str">
        <f>IFERROR(__xludf.DUMMYFUNCTION("""COMPUTED_VALUE"""),"Hospital Pérez Carreño")</f>
        <v>Hospital Pérez Carreño</v>
      </c>
      <c r="C3024" s="45" t="str">
        <f>IFERROR(__xludf.DUMMYFUNCTION("""COMPUTED_VALUE"""),"Perez Bluangelyi Valentina")</f>
        <v>Perez Bluangelyi Valentina</v>
      </c>
      <c r="D3024" s="44"/>
      <c r="E3024" s="44" t="str">
        <f>IFERROR(__xludf.DUMMYFUNCTION("""COMPUTED_VALUE"""),"")</f>
        <v/>
      </c>
      <c r="F3024" s="44" t="str">
        <f>IFERROR(__xludf.DUMMYFUNCTION("""COMPUTED_VALUE"""),"")</f>
        <v/>
      </c>
      <c r="G3024" s="44" t="str">
        <f>IFERROR(__xludf.DUMMYFUNCTION("""COMPUTED_VALUE"""),"Traslados")</f>
        <v>Traslados</v>
      </c>
      <c r="H3024" s="44" t="str">
        <f>IFERROR(__xludf.DUMMYFUNCTION("""COMPUTED_VALUE"""),"Hospital Miguel Perez Carreño")</f>
        <v>Hospital Miguel Perez Carreño</v>
      </c>
      <c r="I3024" s="44"/>
      <c r="J3024" s="44" t="str">
        <f>IFERROR(__xludf.DUMMYFUNCTION("""COMPUTED_VALUE"""),"26/6/26")</f>
        <v>26/6/26</v>
      </c>
      <c r="K3024" s="42" t="str">
        <f>IFERROR(__xludf.DUMMYFUNCTION("""COMPUTED_VALUE"""),"Hospital Pérez Carreño")</f>
        <v>Hospital Pérez Carreño</v>
      </c>
    </row>
    <row r="3025">
      <c r="A3025" s="44">
        <v>3024.0</v>
      </c>
      <c r="B3025" s="44" t="str">
        <f>IFERROR(__xludf.DUMMYFUNCTION("""COMPUTED_VALUE"""),"Cruz Roja")</f>
        <v>Cruz Roja</v>
      </c>
      <c r="C3025" s="45" t="str">
        <f>IFERROR(__xludf.DUMMYFUNCTION("""COMPUTED_VALUE"""),"PEREZ CARMEN")</f>
        <v>PEREZ CARMEN</v>
      </c>
      <c r="D3025" s="44">
        <f>IFERROR(__xludf.DUMMYFUNCTION("""COMPUTED_VALUE"""),64.0)</f>
        <v>64</v>
      </c>
      <c r="E3025" s="44" t="str">
        <f>IFERROR(__xludf.DUMMYFUNCTION("""COMPUTED_VALUE"""),"")</f>
        <v/>
      </c>
      <c r="F3025" s="44" t="str">
        <f>IFERROR(__xludf.DUMMYFUNCTION("""COMPUTED_VALUE"""),"")</f>
        <v/>
      </c>
      <c r="G3025" s="44" t="str">
        <f>IFERROR(__xludf.DUMMYFUNCTION("""COMPUTED_VALUE""")," ")</f>
        <v> </v>
      </c>
      <c r="H3025" s="44" t="str">
        <f>IFERROR(__xludf.DUMMYFUNCTION("""COMPUTED_VALUE"""),"La Candelaria")</f>
        <v>La Candelaria</v>
      </c>
      <c r="I3025" s="44" t="str">
        <f>IFERROR(__xludf.DUMMYFUNCTION("""COMPUTED_VALUE""")," ")</f>
        <v> </v>
      </c>
      <c r="J3025" s="44" t="str">
        <f>IFERROR(__xludf.DUMMYFUNCTION("""COMPUTED_VALUE"""),"")</f>
        <v/>
      </c>
      <c r="K3025" s="42" t="str">
        <f>IFERROR(__xludf.DUMMYFUNCTION("""COMPUTED_VALUE"""),"Cruz Roja")</f>
        <v>Cruz Roja</v>
      </c>
    </row>
    <row r="3026">
      <c r="A3026" s="44">
        <v>3025.0</v>
      </c>
      <c r="B3026" s="44" t="str">
        <f>IFERROR(__xludf.DUMMYFUNCTION("""COMPUTED_VALUE"""),"Cruz Roja")</f>
        <v>Cruz Roja</v>
      </c>
      <c r="C3026" s="45" t="str">
        <f>IFERROR(__xludf.DUMMYFUNCTION("""COMPUTED_VALUE"""),"PEREZ CECALIO")</f>
        <v>PEREZ CECALIO</v>
      </c>
      <c r="D3026" s="44">
        <f>IFERROR(__xludf.DUMMYFUNCTION("""COMPUTED_VALUE"""),72.0)</f>
        <v>72</v>
      </c>
      <c r="E3026" s="44" t="str">
        <f>IFERROR(__xludf.DUMMYFUNCTION("""COMPUTED_VALUE"""),"")</f>
        <v/>
      </c>
      <c r="F3026" s="44" t="str">
        <f>IFERROR(__xludf.DUMMYFUNCTION("""COMPUTED_VALUE"""),"")</f>
        <v/>
      </c>
      <c r="G3026" s="44" t="str">
        <f>IFERROR(__xludf.DUMMYFUNCTION("""COMPUTED_VALUE""")," ")</f>
        <v> </v>
      </c>
      <c r="H3026" s="44" t="str">
        <f>IFERROR(__xludf.DUMMYFUNCTION("""COMPUTED_VALUE"""),"La Candelaria")</f>
        <v>La Candelaria</v>
      </c>
      <c r="I3026" s="44" t="str">
        <f>IFERROR(__xludf.DUMMYFUNCTION("""COMPUTED_VALUE"""),"  | Internado")</f>
        <v>  | Internado</v>
      </c>
      <c r="J3026" s="44" t="str">
        <f>IFERROR(__xludf.DUMMYFUNCTION("""COMPUTED_VALUE"""),"")</f>
        <v/>
      </c>
      <c r="K3026" s="42" t="str">
        <f>IFERROR(__xludf.DUMMYFUNCTION("""COMPUTED_VALUE"""),"Cruz Roja")</f>
        <v>Cruz Roja</v>
      </c>
    </row>
    <row r="3027">
      <c r="A3027" s="44">
        <v>3026.0</v>
      </c>
      <c r="B3027" s="44" t="str">
        <f>IFERROR(__xludf.DUMMYFUNCTION("""COMPUTED_VALUE"""),"La Guaira Sin Hospital")</f>
        <v>La Guaira Sin Hospital</v>
      </c>
      <c r="C3027" s="45" t="str">
        <f>IFERROR(__xludf.DUMMYFUNCTION("""COMPUTED_VALUE"""),"Perez Colmenares Valentina")</f>
        <v>Perez Colmenares Valentina</v>
      </c>
      <c r="D3027" s="44" t="str">
        <f>IFERROR(__xludf.DUMMYFUNCTION("""COMPUTED_VALUE"""),"")</f>
        <v/>
      </c>
      <c r="E3027" s="44" t="str">
        <f>IFERROR(__xludf.DUMMYFUNCTION("""COMPUTED_VALUE"""),"")</f>
        <v/>
      </c>
      <c r="F3027" s="44" t="str">
        <f>IFERROR(__xludf.DUMMYFUNCTION("""COMPUTED_VALUE"""),"")</f>
        <v/>
      </c>
      <c r="G3027" s="44" t="str">
        <f>IFERROR(__xludf.DUMMYFUNCTION("""COMPUTED_VALUE"""),"")</f>
        <v/>
      </c>
      <c r="H3027" s="44"/>
      <c r="I3027" s="44" t="str">
        <f>IFERROR(__xludf.DUMMYFUNCTION("""COMPUTED_VALUE"""),"Listas solo con nombre")</f>
        <v>Listas solo con nombre</v>
      </c>
      <c r="J3027" s="44" t="str">
        <f>IFERROR(__xludf.DUMMYFUNCTION("""COMPUTED_VALUE"""),"")</f>
        <v/>
      </c>
      <c r="K3027" s="42" t="str">
        <f>IFERROR(__xludf.DUMMYFUNCTION("""COMPUTED_VALUE"""),"La Guaira Sin Hospital")</f>
        <v>La Guaira Sin Hospital</v>
      </c>
    </row>
    <row r="3028">
      <c r="A3028" s="44">
        <v>3027.0</v>
      </c>
      <c r="B3028" s="44" t="str">
        <f>IFERROR(__xludf.DUMMYFUNCTION("""COMPUTED_VALUE"""),"Hospital Pérez Carreño")</f>
        <v>Hospital Pérez Carreño</v>
      </c>
      <c r="C3028" s="45" t="str">
        <f>IFERROR(__xludf.DUMMYFUNCTION("""COMPUTED_VALUE"""),"PEREZ EDUANYELIS")</f>
        <v>PEREZ EDUANYELIS</v>
      </c>
      <c r="D3028" s="44">
        <f>IFERROR(__xludf.DUMMYFUNCTION("""COMPUTED_VALUE"""),3.0)</f>
        <v>3</v>
      </c>
      <c r="E3028" s="44" t="str">
        <f>IFERROR(__xludf.DUMMYFUNCTION("""COMPUTED_VALUE"""),"")</f>
        <v/>
      </c>
      <c r="F3028" s="44" t="str">
        <f>IFERROR(__xludf.DUMMYFUNCTION("""COMPUTED_VALUE"""),"")</f>
        <v/>
      </c>
      <c r="G3028" s="44" t="str">
        <f>IFERROR(__xludf.DUMMYFUNCTION("""COMPUTED_VALUE""")," ")</f>
        <v> </v>
      </c>
      <c r="H3028" s="44" t="str">
        <f>IFERROR(__xludf.DUMMYFUNCTION("""COMPUTED_VALUE""")," ")</f>
        <v> </v>
      </c>
      <c r="I3028" s="44" t="str">
        <f>IFERROR(__xludf.DUMMYFUNCTION("""COMPUTED_VALUE"""),"SIN FAMILIAR – Pediátrico")</f>
        <v>SIN FAMILIAR – Pediátrico</v>
      </c>
      <c r="J3028" s="44" t="str">
        <f>IFERROR(__xludf.DUMMYFUNCTION("""COMPUTED_VALUE"""),"25/06/2026")</f>
        <v>25/06/2026</v>
      </c>
      <c r="K3028" s="42" t="str">
        <f>IFERROR(__xludf.DUMMYFUNCTION("""COMPUTED_VALUE"""),"Hospital Pérez Carreño")</f>
        <v>Hospital Pérez Carreño</v>
      </c>
    </row>
    <row r="3029">
      <c r="A3029" s="44">
        <v>3028.0</v>
      </c>
      <c r="B3029" s="44" t="str">
        <f>IFERROR(__xludf.DUMMYFUNCTION("""COMPUTED_VALUE"""),"H. Jose Maria Vargas LG")</f>
        <v>H. Jose Maria Vargas LG</v>
      </c>
      <c r="C3029" s="45" t="str">
        <f>IFERROR(__xludf.DUMMYFUNCTION("""COMPUTED_VALUE"""),"PEREZ EDUAYERLIS")</f>
        <v>PEREZ EDUAYERLIS</v>
      </c>
      <c r="D3029" s="44">
        <f>IFERROR(__xludf.DUMMYFUNCTION("""COMPUTED_VALUE"""),2.0)</f>
        <v>2</v>
      </c>
      <c r="E3029" s="44" t="str">
        <f>IFERROR(__xludf.DUMMYFUNCTION("""COMPUTED_VALUE"""),"")</f>
        <v/>
      </c>
      <c r="F3029" s="44" t="str">
        <f>IFERROR(__xludf.DUMMYFUNCTION("""COMPUTED_VALUE"""),"")</f>
        <v/>
      </c>
      <c r="G3029" s="44" t="str">
        <f>IFERROR(__xludf.DUMMYFUNCTION("""COMPUTED_VALUE""")," ")</f>
        <v> </v>
      </c>
      <c r="H3029" s="44" t="str">
        <f>IFERROR(__xludf.DUMMYFUNCTION("""COMPUTED_VALUE"""),"Caribe")</f>
        <v>Caribe</v>
      </c>
      <c r="I3029" s="44" t="str">
        <f>IFERROR(__xludf.DUMMYFUNCTION("""COMPUTED_VALUE""")," ")</f>
        <v> </v>
      </c>
      <c r="J3029" s="44" t="str">
        <f>IFERROR(__xludf.DUMMYFUNCTION("""COMPUTED_VALUE"""),"")</f>
        <v/>
      </c>
      <c r="K3029" s="42" t="str">
        <f>IFERROR(__xludf.DUMMYFUNCTION("""COMPUTED_VALUE"""),"H. Jose Maria Vargas LG")</f>
        <v>H. Jose Maria Vargas LG</v>
      </c>
    </row>
    <row r="3030">
      <c r="A3030" s="44">
        <v>3029.0</v>
      </c>
      <c r="B3030" s="44" t="str">
        <f>IFERROR(__xludf.DUMMYFUNCTION("""COMPUTED_VALUE"""),"Hospital Pérez Carreño")</f>
        <v>Hospital Pérez Carreño</v>
      </c>
      <c r="C3030" s="45" t="str">
        <f>IFERROR(__xludf.DUMMYFUNCTION("""COMPUTED_VALUE"""),"PEREZ EDVANYELI")</f>
        <v>PEREZ EDVANYELI</v>
      </c>
      <c r="D3030" s="44">
        <f>IFERROR(__xludf.DUMMYFUNCTION("""COMPUTED_VALUE"""),2.0)</f>
        <v>2</v>
      </c>
      <c r="E3030" s="44" t="str">
        <f>IFERROR(__xludf.DUMMYFUNCTION("""COMPUTED_VALUE"""),"")</f>
        <v/>
      </c>
      <c r="F3030" s="44" t="str">
        <f>IFERROR(__xludf.DUMMYFUNCTION("""COMPUTED_VALUE"""),"")</f>
        <v/>
      </c>
      <c r="G3030" s="44" t="str">
        <f>IFERROR(__xludf.DUMMYFUNCTION("""COMPUTED_VALUE""")," ")</f>
        <v> </v>
      </c>
      <c r="H3030" s="44" t="str">
        <f>IFERROR(__xludf.DUMMYFUNCTION("""COMPUTED_VALUE""")," ")</f>
        <v> </v>
      </c>
      <c r="I3030" s="44" t="str">
        <f>IFERROR(__xludf.DUMMYFUNCTION("""COMPUTED_VALUE"""),"Emerg. Pediátrica – La Guaira")</f>
        <v>Emerg. Pediátrica – La Guaira</v>
      </c>
      <c r="J3030" s="44" t="str">
        <f>IFERROR(__xludf.DUMMYFUNCTION("""COMPUTED_VALUE"""),"25/06/2026")</f>
        <v>25/06/2026</v>
      </c>
      <c r="K3030" s="42" t="str">
        <f>IFERROR(__xludf.DUMMYFUNCTION("""COMPUTED_VALUE"""),"Hospital Pérez Carreño")</f>
        <v>Hospital Pérez Carreño</v>
      </c>
    </row>
    <row r="3031">
      <c r="A3031" s="44">
        <v>3030.0</v>
      </c>
      <c r="B3031" s="44" t="str">
        <f>IFERROR(__xludf.DUMMYFUNCTION("""COMPUTED_VALUE"""),"Hospital Domingo Luciani")</f>
        <v>Hospital Domingo Luciani</v>
      </c>
      <c r="C3031" s="45" t="str">
        <f>IFERROR(__xludf.DUMMYFUNCTION("""COMPUTED_VALUE"""),"PEREZ ELIAMAR")</f>
        <v>PEREZ ELIAMAR</v>
      </c>
      <c r="D3031" s="44">
        <f>IFERROR(__xludf.DUMMYFUNCTION("""COMPUTED_VALUE"""),23.0)</f>
        <v>23</v>
      </c>
      <c r="E3031" s="44" t="str">
        <f>IFERROR(__xludf.DUMMYFUNCTION("""COMPUTED_VALUE"""),"")</f>
        <v/>
      </c>
      <c r="F3031" s="44" t="str">
        <f>IFERROR(__xludf.DUMMYFUNCTION("""COMPUTED_VALUE"""),"")</f>
        <v/>
      </c>
      <c r="G3031" s="44" t="str">
        <f>IFERROR(__xludf.DUMMYFUNCTION("""COMPUTED_VALUE""")," ")</f>
        <v> </v>
      </c>
      <c r="H3031" s="44" t="str">
        <f>IFERROR(__xludf.DUMMYFUNCTION("""COMPUTED_VALUE""")," ")</f>
        <v> </v>
      </c>
      <c r="I3031" s="44" t="str">
        <f>IFERROR(__xludf.DUMMYFUNCTION("""COMPUTED_VALUE"""),"Internado; POLITRAUMA")</f>
        <v>Internado; POLITRAUMA</v>
      </c>
      <c r="J3031" s="44" t="str">
        <f>IFERROR(__xludf.DUMMYFUNCTION("""COMPUTED_VALUE"""),"")</f>
        <v/>
      </c>
      <c r="K3031" s="42" t="str">
        <f>IFERROR(__xludf.DUMMYFUNCTION("""COMPUTED_VALUE"""),"🔍 BUSCAR PACIENTES")</f>
        <v>🔍 BUSCAR PACIENTES</v>
      </c>
    </row>
    <row r="3032">
      <c r="A3032" s="44">
        <v>3031.0</v>
      </c>
      <c r="B3032" s="44" t="str">
        <f>IFERROR(__xludf.DUMMYFUNCTION("""COMPUTED_VALUE"""),"H. Jose Maria Vargas LG")</f>
        <v>H. Jose Maria Vargas LG</v>
      </c>
      <c r="C3032" s="45" t="str">
        <f>IFERROR(__xludf.DUMMYFUNCTION("""COMPUTED_VALUE"""),"PEREZ ELY")</f>
        <v>PEREZ ELY</v>
      </c>
      <c r="D3032" s="44" t="str">
        <f>IFERROR(__xludf.DUMMYFUNCTION("""COMPUTED_VALUE""")," ")</f>
        <v> </v>
      </c>
      <c r="E3032" s="44" t="str">
        <f>IFERROR(__xludf.DUMMYFUNCTION("""COMPUTED_VALUE"""),"")</f>
        <v/>
      </c>
      <c r="F3032" s="44" t="str">
        <f>IFERROR(__xludf.DUMMYFUNCTION("""COMPUTED_VALUE"""),"")</f>
        <v/>
      </c>
      <c r="G3032" s="44" t="str">
        <f>IFERROR(__xludf.DUMMYFUNCTION("""COMPUTED_VALUE""")," ")</f>
        <v> </v>
      </c>
      <c r="H3032" s="44" t="str">
        <f>IFERROR(__xludf.DUMMYFUNCTION("""COMPUTED_VALUE""")," ")</f>
        <v> </v>
      </c>
      <c r="I3032" s="44" t="str">
        <f>IFERROR(__xludf.DUMMYFUNCTION("""COMPUTED_VALUE""")," ")</f>
        <v> </v>
      </c>
      <c r="J3032" s="44" t="str">
        <f>IFERROR(__xludf.DUMMYFUNCTION("""COMPUTED_VALUE"""),"")</f>
        <v/>
      </c>
      <c r="K3032" s="42" t="str">
        <f>IFERROR(__xludf.DUMMYFUNCTION("""COMPUTED_VALUE"""),"H. Jose Maria Vargas LG")</f>
        <v>H. Jose Maria Vargas LG</v>
      </c>
    </row>
    <row r="3033">
      <c r="A3033" s="44">
        <v>3032.0</v>
      </c>
      <c r="B3033" s="44" t="str">
        <f>IFERROR(__xludf.DUMMYFUNCTION("""COMPUTED_VALUE"""),"Hospital Vargas de Caracas")</f>
        <v>Hospital Vargas de Caracas</v>
      </c>
      <c r="C3033" s="45" t="str">
        <f>IFERROR(__xludf.DUMMYFUNCTION("""COMPUTED_VALUE"""),"PEREZ ENRIQUE")</f>
        <v>PEREZ ENRIQUE</v>
      </c>
      <c r="D3033" s="44" t="str">
        <f>IFERROR(__xludf.DUMMYFUNCTION("""COMPUTED_VALUE""")," ")</f>
        <v> </v>
      </c>
      <c r="E3033" s="44" t="str">
        <f>IFERROR(__xludf.DUMMYFUNCTION("""COMPUTED_VALUE"""),"")</f>
        <v/>
      </c>
      <c r="F3033" s="44" t="str">
        <f>IFERROR(__xludf.DUMMYFUNCTION("""COMPUTED_VALUE""")," ")</f>
        <v> </v>
      </c>
      <c r="G3033" s="44" t="str">
        <f>IFERROR(__xludf.DUMMYFUNCTION("""COMPUTED_VALUE"""),"")</f>
        <v/>
      </c>
      <c r="H3033" s="44" t="str">
        <f>IFERROR(__xludf.DUMMYFUNCTION("""COMPUTED_VALUE""")," ")</f>
        <v> </v>
      </c>
      <c r="I3033" s="44" t="str">
        <f>IFERROR(__xludf.DUMMYFUNCTION("""COMPUTED_VALUE""")," ")</f>
        <v> </v>
      </c>
      <c r="J3033" s="44" t="str">
        <f>IFERROR(__xludf.DUMMYFUNCTION("""COMPUTED_VALUE"""),"")</f>
        <v/>
      </c>
      <c r="K3033" s="42" t="str">
        <f>IFERROR(__xludf.DUMMYFUNCTION("""COMPUTED_VALUE"""),"Hospital Vargas de Caracas")</f>
        <v>Hospital Vargas de Caracas</v>
      </c>
    </row>
    <row r="3034">
      <c r="A3034" s="44">
        <v>3033.0</v>
      </c>
      <c r="B3034" s="44" t="str">
        <f>IFERROR(__xludf.DUMMYFUNCTION("""COMPUTED_VALUE"""),"Periférico de Catia")</f>
        <v>Periférico de Catia</v>
      </c>
      <c r="C3034" s="45" t="str">
        <f>IFERROR(__xludf.DUMMYFUNCTION("""COMPUTED_VALUE"""),"Perez Francisca")</f>
        <v>Perez Francisca</v>
      </c>
      <c r="D3034" s="44">
        <f>IFERROR(__xludf.DUMMYFUNCTION("""COMPUTED_VALUE"""),63.0)</f>
        <v>63</v>
      </c>
      <c r="E3034" s="44" t="str">
        <f>IFERROR(__xludf.DUMMYFUNCTION("""COMPUTED_VALUE"""),"")</f>
        <v/>
      </c>
      <c r="F3034" s="44" t="str">
        <f>IFERROR(__xludf.DUMMYFUNCTION("""COMPUTED_VALUE"""),"")</f>
        <v/>
      </c>
      <c r="G3034" s="44"/>
      <c r="H3034" s="44"/>
      <c r="I3034" s="44" t="str">
        <f>IFERROR(__xludf.DUMMYFUNCTION("""COMPUTED_VALUE"""),"Lista adicional (pizarra extensa sin titulo de sala especifico)")</f>
        <v>Lista adicional (pizarra extensa sin titulo de sala especifico)</v>
      </c>
      <c r="J3034" s="44" t="str">
        <f>IFERROR(__xludf.DUMMYFUNCTION("""COMPUTED_VALUE"""),"")</f>
        <v/>
      </c>
      <c r="K3034" s="42" t="str">
        <f>IFERROR(__xludf.DUMMYFUNCTION("""COMPUTED_VALUE"""),"Periférico de Catia")</f>
        <v>Periférico de Catia</v>
      </c>
    </row>
    <row r="3035">
      <c r="A3035" s="44">
        <v>3034.0</v>
      </c>
      <c r="B3035" s="44" t="str">
        <f>IFERROR(__xludf.DUMMYFUNCTION("""COMPUTED_VALUE"""),"Hospital Domingo Luciani")</f>
        <v>Hospital Domingo Luciani</v>
      </c>
      <c r="C3035" s="45" t="str">
        <f>IFERROR(__xludf.DUMMYFUNCTION("""COMPUTED_VALUE"""),"PEREZ FRANCISCO")</f>
        <v>PEREZ FRANCISCO</v>
      </c>
      <c r="D3035" s="44">
        <f>IFERROR(__xludf.DUMMYFUNCTION("""COMPUTED_VALUE"""),63.0)</f>
        <v>63</v>
      </c>
      <c r="E3035" s="44" t="str">
        <f>IFERROR(__xludf.DUMMYFUNCTION("""COMPUTED_VALUE"""),"")</f>
        <v/>
      </c>
      <c r="F3035" s="44" t="str">
        <f>IFERROR(__xludf.DUMMYFUNCTION("""COMPUTED_VALUE"""),"")</f>
        <v/>
      </c>
      <c r="G3035" s="44" t="str">
        <f>IFERROR(__xludf.DUMMYFUNCTION("""COMPUTED_VALUE""")," ")</f>
        <v> </v>
      </c>
      <c r="H3035" s="44" t="str">
        <f>IFERROR(__xludf.DUMMYFUNCTION("""COMPUTED_VALUE""")," ")</f>
        <v> </v>
      </c>
      <c r="I3035" s="44" t="str">
        <f>IFERROR(__xludf.DUMMYFUNCTION("""COMPUTED_VALUE""")," ")</f>
        <v> </v>
      </c>
      <c r="J3035" s="44" t="str">
        <f>IFERROR(__xludf.DUMMYFUNCTION("""COMPUTED_VALUE"""),"")</f>
        <v/>
      </c>
      <c r="K3035" s="42" t="str">
        <f>IFERROR(__xludf.DUMMYFUNCTION("""COMPUTED_VALUE"""),"🔍 BUSCAR PACIENTES")</f>
        <v>🔍 BUSCAR PACIENTES</v>
      </c>
    </row>
    <row r="3036">
      <c r="A3036" s="44">
        <v>3035.0</v>
      </c>
      <c r="B3036" s="44" t="str">
        <f>IFERROR(__xludf.DUMMYFUNCTION("""COMPUTED_VALUE"""),"Periférico de Catia")</f>
        <v>Periférico de Catia</v>
      </c>
      <c r="C3036" s="45" t="str">
        <f>IFERROR(__xludf.DUMMYFUNCTION("""COMPUTED_VALUE"""),"PEREZ GENEZ")</f>
        <v>PEREZ GENEZ</v>
      </c>
      <c r="D3036" s="44">
        <f>IFERROR(__xludf.DUMMYFUNCTION("""COMPUTED_VALUE"""),45.0)</f>
        <v>45</v>
      </c>
      <c r="E3036" s="44" t="str">
        <f>IFERROR(__xludf.DUMMYFUNCTION("""COMPUTED_VALUE"""),"")</f>
        <v/>
      </c>
      <c r="F3036" s="44" t="str">
        <f>IFERROR(__xludf.DUMMYFUNCTION("""COMPUTED_VALUE"""),"")</f>
        <v/>
      </c>
      <c r="G3036" s="44" t="str">
        <f>IFERROR(__xludf.DUMMYFUNCTION("""COMPUTED_VALUE""")," ")</f>
        <v> </v>
      </c>
      <c r="H3036" s="44" t="str">
        <f>IFERROR(__xludf.DUMMYFUNCTION("""COMPUTED_VALUE""")," ")</f>
        <v> </v>
      </c>
      <c r="I3036" s="44" t="str">
        <f>IFERROR(__xludf.DUMMYFUNCTION("""COMPUTED_VALUE"""),"Hermana")</f>
        <v>Hermana</v>
      </c>
      <c r="J3036" s="44" t="str">
        <f>IFERROR(__xludf.DUMMYFUNCTION("""COMPUTED_VALUE"""),"")</f>
        <v/>
      </c>
      <c r="K3036" s="42" t="str">
        <f>IFERROR(__xludf.DUMMYFUNCTION("""COMPUTED_VALUE"""),"Periférico de Catia")</f>
        <v>Periférico de Catia</v>
      </c>
    </row>
    <row r="3037">
      <c r="A3037" s="44">
        <v>3036.0</v>
      </c>
      <c r="B3037" s="44" t="str">
        <f>IFERROR(__xludf.DUMMYFUNCTION("""COMPUTED_VALUE"""),"Hospital Pérez Carreño")</f>
        <v>Hospital Pérez Carreño</v>
      </c>
      <c r="C3037" s="45" t="str">
        <f>IFERROR(__xludf.DUMMYFUNCTION("""COMPUTED_VALUE"""),"PEREZ JESUS")</f>
        <v>PEREZ JESUS</v>
      </c>
      <c r="D3037" s="44" t="str">
        <f>IFERROR(__xludf.DUMMYFUNCTION("""COMPUTED_VALUE""")," ")</f>
        <v> </v>
      </c>
      <c r="E3037" s="44" t="str">
        <f>IFERROR(__xludf.DUMMYFUNCTION("""COMPUTED_VALUE"""),"")</f>
        <v/>
      </c>
      <c r="F3037" s="44" t="str">
        <f>IFERROR(__xludf.DUMMYFUNCTION("""COMPUTED_VALUE"""),"")</f>
        <v/>
      </c>
      <c r="G3037" s="44" t="str">
        <f>IFERROR(__xludf.DUMMYFUNCTION("""COMPUTED_VALUE""")," ")</f>
        <v> </v>
      </c>
      <c r="H3037" s="44" t="str">
        <f>IFERROR(__xludf.DUMMYFUNCTION("""COMPUTED_VALUE""")," ")</f>
        <v> </v>
      </c>
      <c r="I3037" s="44" t="str">
        <f>IFERROR(__xludf.DUMMYFUNCTION("""COMPUTED_VALUE"""),"Internado")</f>
        <v>Internado</v>
      </c>
      <c r="J3037" s="44" t="str">
        <f>IFERROR(__xludf.DUMMYFUNCTION("""COMPUTED_VALUE"""),"")</f>
        <v/>
      </c>
      <c r="K3037" s="42" t="str">
        <f>IFERROR(__xludf.DUMMYFUNCTION("""COMPUTED_VALUE"""),"🔍 BUSCAR PACIENTES")</f>
        <v>🔍 BUSCAR PACIENTES</v>
      </c>
    </row>
    <row r="3038">
      <c r="A3038" s="44">
        <v>3037.0</v>
      </c>
      <c r="B3038" s="44" t="str">
        <f>IFERROR(__xludf.DUMMYFUNCTION("""COMPUTED_VALUE"""),"Centro de Acopio Caraballeda")</f>
        <v>Centro de Acopio Caraballeda</v>
      </c>
      <c r="C3038" s="45" t="str">
        <f>IFERROR(__xludf.DUMMYFUNCTION("""COMPUTED_VALUE"""),"PEREZ JOSE")</f>
        <v>PEREZ JOSE</v>
      </c>
      <c r="D3038" s="44" t="str">
        <f>IFERROR(__xludf.DUMMYFUNCTION("""COMPUTED_VALUE""")," ")</f>
        <v> </v>
      </c>
      <c r="E3038" s="44" t="str">
        <f>IFERROR(__xludf.DUMMYFUNCTION("""COMPUTED_VALUE"""),"")</f>
        <v/>
      </c>
      <c r="F3038" s="44" t="str">
        <f>IFERROR(__xludf.DUMMYFUNCTION("""COMPUTED_VALUE"""),"")</f>
        <v/>
      </c>
      <c r="G3038" s="44" t="str">
        <f>IFERROR(__xludf.DUMMYFUNCTION("""COMPUTED_VALUE""")," ")</f>
        <v> </v>
      </c>
      <c r="H3038" s="44" t="str">
        <f>IFERROR(__xludf.DUMMYFUNCTION("""COMPUTED_VALUE""")," ")</f>
        <v> </v>
      </c>
      <c r="I3038" s="44" t="str">
        <f>IFERROR(__xludf.DUMMYFUNCTION("""COMPUTED_VALUE"""),"Internado")</f>
        <v>Internado</v>
      </c>
      <c r="J3038" s="44" t="str">
        <f>IFERROR(__xludf.DUMMYFUNCTION("""COMPUTED_VALUE"""),"")</f>
        <v/>
      </c>
      <c r="K3038" s="42" t="str">
        <f>IFERROR(__xludf.DUMMYFUNCTION("""COMPUTED_VALUE"""),"🔍 BUSCAR PACIENTES")</f>
        <v>🔍 BUSCAR PACIENTES</v>
      </c>
    </row>
    <row r="3039">
      <c r="A3039" s="44">
        <v>3038.0</v>
      </c>
      <c r="B3039" s="44" t="str">
        <f>IFERROR(__xludf.DUMMYFUNCTION("""COMPUTED_VALUE"""),"Hospital Vargas de Caracas")</f>
        <v>Hospital Vargas de Caracas</v>
      </c>
      <c r="C3039" s="45" t="str">
        <f>IFERROR(__xludf.DUMMYFUNCTION("""COMPUTED_VALUE"""),"PEREZ KATIUSKA")</f>
        <v>PEREZ KATIUSKA</v>
      </c>
      <c r="D3039" s="44" t="str">
        <f>IFERROR(__xludf.DUMMYFUNCTION("""COMPUTED_VALUE""")," ")</f>
        <v> </v>
      </c>
      <c r="E3039" s="44" t="str">
        <f>IFERROR(__xludf.DUMMYFUNCTION("""COMPUTED_VALUE"""),"")</f>
        <v/>
      </c>
      <c r="F3039" s="44" t="str">
        <f>IFERROR(__xludf.DUMMYFUNCTION("""COMPUTED_VALUE""")," ")</f>
        <v> </v>
      </c>
      <c r="G3039" s="44" t="str">
        <f>IFERROR(__xludf.DUMMYFUNCTION("""COMPUTED_VALUE"""),"")</f>
        <v/>
      </c>
      <c r="H3039" s="44" t="str">
        <f>IFERROR(__xludf.DUMMYFUNCTION("""COMPUTED_VALUE""")," ")</f>
        <v> </v>
      </c>
      <c r="I3039" s="44" t="str">
        <f>IFERROR(__xludf.DUMMYFUNCTION("""COMPUTED_VALUE""")," ")</f>
        <v> </v>
      </c>
      <c r="J3039" s="44" t="str">
        <f>IFERROR(__xludf.DUMMYFUNCTION("""COMPUTED_VALUE"""),"")</f>
        <v/>
      </c>
      <c r="K3039" s="42" t="str">
        <f>IFERROR(__xludf.DUMMYFUNCTION("""COMPUTED_VALUE"""),"Hospital Vargas de Caracas")</f>
        <v>Hospital Vargas de Caracas</v>
      </c>
    </row>
    <row r="3040">
      <c r="A3040" s="44">
        <v>3039.0</v>
      </c>
      <c r="B3040" s="44" t="str">
        <f>IFERROR(__xludf.DUMMYFUNCTION("""COMPUTED_VALUE"""),"Hospital Vargas de Caracas")</f>
        <v>Hospital Vargas de Caracas</v>
      </c>
      <c r="C3040" s="45" t="str">
        <f>IFERROR(__xludf.DUMMYFUNCTION("""COMPUTED_VALUE"""),"PEREZ MISAIRA")</f>
        <v>PEREZ MISAIRA</v>
      </c>
      <c r="D3040" s="44" t="str">
        <f>IFERROR(__xludf.DUMMYFUNCTION("""COMPUTED_VALUE""")," ")</f>
        <v> </v>
      </c>
      <c r="E3040" s="44" t="str">
        <f>IFERROR(__xludf.DUMMYFUNCTION("""COMPUTED_VALUE"""),"")</f>
        <v/>
      </c>
      <c r="F3040" s="44" t="str">
        <f>IFERROR(__xludf.DUMMYFUNCTION("""COMPUTED_VALUE""")," ")</f>
        <v> </v>
      </c>
      <c r="G3040" s="44" t="str">
        <f>IFERROR(__xludf.DUMMYFUNCTION("""COMPUTED_VALUE"""),"")</f>
        <v/>
      </c>
      <c r="H3040" s="44" t="str">
        <f>IFERROR(__xludf.DUMMYFUNCTION("""COMPUTED_VALUE""")," ")</f>
        <v> </v>
      </c>
      <c r="I3040" s="44" t="str">
        <f>IFERROR(__xludf.DUMMYFUNCTION("""COMPUTED_VALUE""")," ")</f>
        <v> </v>
      </c>
      <c r="J3040" s="44" t="str">
        <f>IFERROR(__xludf.DUMMYFUNCTION("""COMPUTED_VALUE"""),"")</f>
        <v/>
      </c>
      <c r="K3040" s="42" t="str">
        <f>IFERROR(__xludf.DUMMYFUNCTION("""COMPUTED_VALUE"""),"Hospital Vargas de Caracas")</f>
        <v>Hospital Vargas de Caracas</v>
      </c>
    </row>
    <row r="3041">
      <c r="A3041" s="44">
        <v>3040.0</v>
      </c>
      <c r="B3041" s="44" t="str">
        <f>IFERROR(__xludf.DUMMYFUNCTION("""COMPUTED_VALUE"""),"Hospital Pérez Carreño")</f>
        <v>Hospital Pérez Carreño</v>
      </c>
      <c r="C3041" s="45" t="str">
        <f>IFERROR(__xludf.DUMMYFUNCTION("""COMPUTED_VALUE"""),"PEREZ MONTILLA RAMON")</f>
        <v>PEREZ MONTILLA RAMON</v>
      </c>
      <c r="D3041" s="44" t="str">
        <f>IFERROR(__xludf.DUMMYFUNCTION("""COMPUTED_VALUE""")," ")</f>
        <v> </v>
      </c>
      <c r="E3041" s="44" t="str">
        <f>IFERROR(__xludf.DUMMYFUNCTION("""COMPUTED_VALUE"""),"")</f>
        <v/>
      </c>
      <c r="F3041" s="44" t="str">
        <f>IFERROR(__xludf.DUMMYFUNCTION("""COMPUTED_VALUE"""),"")</f>
        <v/>
      </c>
      <c r="G3041" s="44" t="str">
        <f>IFERROR(__xludf.DUMMYFUNCTION("""COMPUTED_VALUE""")," ")</f>
        <v> </v>
      </c>
      <c r="H3041" s="44" t="str">
        <f>IFERROR(__xludf.DUMMYFUNCTION("""COMPUTED_VALUE""")," ")</f>
        <v> </v>
      </c>
      <c r="I3041" s="44" t="str">
        <f>IFERROR(__xludf.DUMMYFUNCTION("""COMPUTED_VALUE"""),"Internado")</f>
        <v>Internado</v>
      </c>
      <c r="J3041" s="44" t="str">
        <f>IFERROR(__xludf.DUMMYFUNCTION("""COMPUTED_VALUE"""),"")</f>
        <v/>
      </c>
      <c r="K3041" s="42" t="str">
        <f>IFERROR(__xludf.DUMMYFUNCTION("""COMPUTED_VALUE"""),"🔍 BUSCAR PACIENTES")</f>
        <v>🔍 BUSCAR PACIENTES</v>
      </c>
    </row>
    <row r="3042">
      <c r="A3042" s="44">
        <v>3041.0</v>
      </c>
      <c r="B3042" s="44" t="str">
        <f>IFERROR(__xludf.DUMMYFUNCTION("""COMPUTED_VALUE"""),"Periférico de Catia")</f>
        <v>Periférico de Catia</v>
      </c>
      <c r="C3042" s="45" t="str">
        <f>IFERROR(__xludf.DUMMYFUNCTION("""COMPUTED_VALUE"""),"PEREZ NENEZ")</f>
        <v>PEREZ NENEZ</v>
      </c>
      <c r="D3042" s="44">
        <f>IFERROR(__xludf.DUMMYFUNCTION("""COMPUTED_VALUE"""),69.0)</f>
        <v>69</v>
      </c>
      <c r="E3042" s="44" t="str">
        <f>IFERROR(__xludf.DUMMYFUNCTION("""COMPUTED_VALUE"""),"")</f>
        <v/>
      </c>
      <c r="F3042" s="44" t="str">
        <f>IFERROR(__xludf.DUMMYFUNCTION("""COMPUTED_VALUE"""),"")</f>
        <v/>
      </c>
      <c r="G3042" s="44" t="str">
        <f>IFERROR(__xludf.DUMMYFUNCTION("""COMPUTED_VALUE""")," ")</f>
        <v> </v>
      </c>
      <c r="H3042" s="44" t="str">
        <f>IFERROR(__xludf.DUMMYFUNCTION("""COMPUTED_VALUE""")," ")</f>
        <v> </v>
      </c>
      <c r="I3042" s="44" t="str">
        <f>IFERROR(__xludf.DUMMYFUNCTION("""COMPUTED_VALUE"""),"Solo")</f>
        <v>Solo</v>
      </c>
      <c r="J3042" s="44" t="str">
        <f>IFERROR(__xludf.DUMMYFUNCTION("""COMPUTED_VALUE"""),"")</f>
        <v/>
      </c>
      <c r="K3042" s="42" t="str">
        <f>IFERROR(__xludf.DUMMYFUNCTION("""COMPUTED_VALUE"""),"Periférico de Catia")</f>
        <v>Periférico de Catia</v>
      </c>
    </row>
    <row r="3043">
      <c r="A3043" s="44">
        <v>3042.0</v>
      </c>
      <c r="B3043" s="44" t="str">
        <f>IFERROR(__xludf.DUMMYFUNCTION("""COMPUTED_VALUE"""),"Hospital Vargas de Caracas")</f>
        <v>Hospital Vargas de Caracas</v>
      </c>
      <c r="C3043" s="45" t="str">
        <f>IFERROR(__xludf.DUMMYFUNCTION("""COMPUTED_VALUE"""),"PEREZ NESTOR")</f>
        <v>PEREZ NESTOR</v>
      </c>
      <c r="D3043" s="44" t="str">
        <f>IFERROR(__xludf.DUMMYFUNCTION("""COMPUTED_VALUE""")," ")</f>
        <v> </v>
      </c>
      <c r="E3043" s="44" t="str">
        <f>IFERROR(__xludf.DUMMYFUNCTION("""COMPUTED_VALUE"""),"")</f>
        <v/>
      </c>
      <c r="F3043" s="44" t="str">
        <f>IFERROR(__xludf.DUMMYFUNCTION("""COMPUTED_VALUE""")," ")</f>
        <v> </v>
      </c>
      <c r="G3043" s="44" t="str">
        <f>IFERROR(__xludf.DUMMYFUNCTION("""COMPUTED_VALUE"""),"")</f>
        <v/>
      </c>
      <c r="H3043" s="44" t="str">
        <f>IFERROR(__xludf.DUMMYFUNCTION("""COMPUTED_VALUE""")," ")</f>
        <v> </v>
      </c>
      <c r="I3043" s="44" t="str">
        <f>IFERROR(__xludf.DUMMYFUNCTION("""COMPUTED_VALUE"""),"Pacientes x Sismo Edo La Guaira")</f>
        <v>Pacientes x Sismo Edo La Guaira</v>
      </c>
      <c r="J3043" s="44" t="str">
        <f>IFERROR(__xludf.DUMMYFUNCTION("""COMPUTED_VALUE"""),"")</f>
        <v/>
      </c>
      <c r="K3043" s="42" t="str">
        <f>IFERROR(__xludf.DUMMYFUNCTION("""COMPUTED_VALUE"""),"Hospital Vargas de Caracas")</f>
        <v>Hospital Vargas de Caracas</v>
      </c>
    </row>
    <row r="3044">
      <c r="A3044" s="44">
        <v>3043.0</v>
      </c>
      <c r="B3044" s="44" t="str">
        <f>IFERROR(__xludf.DUMMYFUNCTION("""COMPUTED_VALUE"""),"Hospital Vargas de Caracas")</f>
        <v>Hospital Vargas de Caracas</v>
      </c>
      <c r="C3044" s="45" t="str">
        <f>IFERROR(__xludf.DUMMYFUNCTION("""COMPUTED_VALUE"""),"PEREZ ODRA")</f>
        <v>PEREZ ODRA</v>
      </c>
      <c r="D3044" s="44" t="str">
        <f>IFERROR(__xludf.DUMMYFUNCTION("""COMPUTED_VALUE""")," ")</f>
        <v> </v>
      </c>
      <c r="E3044" s="44" t="str">
        <f>IFERROR(__xludf.DUMMYFUNCTION("""COMPUTED_VALUE"""),"")</f>
        <v/>
      </c>
      <c r="F3044" s="44" t="str">
        <f>IFERROR(__xludf.DUMMYFUNCTION("""COMPUTED_VALUE""")," ")</f>
        <v> </v>
      </c>
      <c r="G3044" s="44" t="str">
        <f>IFERROR(__xludf.DUMMYFUNCTION("""COMPUTED_VALUE"""),"")</f>
        <v/>
      </c>
      <c r="H3044" s="44" t="str">
        <f>IFERROR(__xludf.DUMMYFUNCTION("""COMPUTED_VALUE""")," ")</f>
        <v> </v>
      </c>
      <c r="I3044" s="44" t="str">
        <f>IFERROR(__xludf.DUMMYFUNCTION("""COMPUTED_VALUE"""),"Pacientes x Sismo Edo La Guaira")</f>
        <v>Pacientes x Sismo Edo La Guaira</v>
      </c>
      <c r="J3044" s="44" t="str">
        <f>IFERROR(__xludf.DUMMYFUNCTION("""COMPUTED_VALUE"""),"")</f>
        <v/>
      </c>
      <c r="K3044" s="42" t="str">
        <f>IFERROR(__xludf.DUMMYFUNCTION("""COMPUTED_VALUE"""),"Hospital Vargas de Caracas")</f>
        <v>Hospital Vargas de Caracas</v>
      </c>
    </row>
    <row r="3045">
      <c r="A3045" s="44">
        <v>3044.0</v>
      </c>
      <c r="B3045" s="44" t="str">
        <f>IFERROR(__xludf.DUMMYFUNCTION("""COMPUTED_VALUE"""),"Hospital Pérez Carreño")</f>
        <v>Hospital Pérez Carreño</v>
      </c>
      <c r="C3045" s="45" t="str">
        <f>IFERROR(__xludf.DUMMYFUNCTION("""COMPUTED_VALUE"""),"PEREZ OLIVO EDUANYELI VALENTINE")</f>
        <v>PEREZ OLIVO EDUANYELI VALENTINE</v>
      </c>
      <c r="D3045" s="44">
        <f>IFERROR(__xludf.DUMMYFUNCTION("""COMPUTED_VALUE"""),1.0)</f>
        <v>1</v>
      </c>
      <c r="E3045" s="44" t="str">
        <f>IFERROR(__xludf.DUMMYFUNCTION("""COMPUTED_VALUE"""),"")</f>
        <v/>
      </c>
      <c r="F3045" s="44" t="str">
        <f>IFERROR(__xludf.DUMMYFUNCTION("""COMPUTED_VALUE"""),"")</f>
        <v/>
      </c>
      <c r="G3045" s="44" t="str">
        <f>IFERROR(__xludf.DUMMYFUNCTION("""COMPUTED_VALUE""")," ")</f>
        <v> </v>
      </c>
      <c r="H3045" s="44" t="str">
        <f>IFERROR(__xludf.DUMMYFUNCTION("""COMPUTED_VALUE""")," ")</f>
        <v> </v>
      </c>
      <c r="I3045" s="44" t="str">
        <f>IFERROR(__xludf.DUMMYFUNCTION("""COMPUTED_VALUE"""),"Pediatría")</f>
        <v>Pediatría</v>
      </c>
      <c r="J3045" s="44" t="str">
        <f>IFERROR(__xludf.DUMMYFUNCTION("""COMPUTED_VALUE"""),"25/06/2026")</f>
        <v>25/06/2026</v>
      </c>
      <c r="K3045" s="42" t="str">
        <f>IFERROR(__xludf.DUMMYFUNCTION("""COMPUTED_VALUE"""),"Hospital Pérez Carreño")</f>
        <v>Hospital Pérez Carreño</v>
      </c>
    </row>
    <row r="3046">
      <c r="A3046" s="44">
        <v>3045.0</v>
      </c>
      <c r="B3046" s="44" t="str">
        <f>IFERROR(__xludf.DUMMYFUNCTION("""COMPUTED_VALUE"""),"Hospital Domingo Luciani")</f>
        <v>Hospital Domingo Luciani</v>
      </c>
      <c r="C3046" s="45" t="str">
        <f>IFERROR(__xludf.DUMMYFUNCTION("""COMPUTED_VALUE"""),"PEREZ PACINI")</f>
        <v>PEREZ PACINI</v>
      </c>
      <c r="D3046" s="44">
        <f>IFERROR(__xludf.DUMMYFUNCTION("""COMPUTED_VALUE"""),14.0)</f>
        <v>14</v>
      </c>
      <c r="E3046" s="44" t="str">
        <f>IFERROR(__xludf.DUMMYFUNCTION("""COMPUTED_VALUE"""),"")</f>
        <v/>
      </c>
      <c r="F3046" s="44" t="str">
        <f>IFERROR(__xludf.DUMMYFUNCTION("""COMPUTED_VALUE"""),"")</f>
        <v/>
      </c>
      <c r="G3046" s="44" t="str">
        <f>IFERROR(__xludf.DUMMYFUNCTION("""COMPUTED_VALUE""")," ")</f>
        <v> </v>
      </c>
      <c r="H3046" s="44" t="str">
        <f>IFERROR(__xludf.DUMMYFUNCTION("""COMPUTED_VALUE""")," ")</f>
        <v> </v>
      </c>
      <c r="I3046" s="44" t="str">
        <f>IFERROR(__xludf.DUMMYFUNCTION("""COMPUTED_VALUE"""),"Cardiología Piso 2 – H-9 – M")</f>
        <v>Cardiología Piso 2 – H-9 – M</v>
      </c>
      <c r="J3046" s="44" t="str">
        <f>IFERROR(__xludf.DUMMYFUNCTION("""COMPUTED_VALUE"""),"")</f>
        <v/>
      </c>
      <c r="K3046" s="42" t="str">
        <f>IFERROR(__xludf.DUMMYFUNCTION("""COMPUTED_VALUE"""),"🔍 BUSCAR PACIENTES")</f>
        <v>🔍 BUSCAR PACIENTES</v>
      </c>
    </row>
    <row r="3047">
      <c r="A3047" s="44">
        <v>3046.0</v>
      </c>
      <c r="B3047" s="44" t="str">
        <f>IFERROR(__xludf.DUMMYFUNCTION("""COMPUTED_VALUE"""),"Periférico de Catia")</f>
        <v>Periférico de Catia</v>
      </c>
      <c r="C3047" s="45" t="str">
        <f>IFERROR(__xludf.DUMMYFUNCTION("""COMPUTED_VALUE"""),"PEREZ PENA")</f>
        <v>PEREZ PENA</v>
      </c>
      <c r="D3047" s="44">
        <f>IFERROR(__xludf.DUMMYFUNCTION("""COMPUTED_VALUE"""),67.0)</f>
        <v>67</v>
      </c>
      <c r="E3047" s="44" t="str">
        <f>IFERROR(__xludf.DUMMYFUNCTION("""COMPUTED_VALUE"""),"")</f>
        <v/>
      </c>
      <c r="F3047" s="44" t="str">
        <f>IFERROR(__xludf.DUMMYFUNCTION("""COMPUTED_VALUE"""),"")</f>
        <v/>
      </c>
      <c r="G3047" s="44" t="str">
        <f>IFERROR(__xludf.DUMMYFUNCTION("""COMPUTED_VALUE""")," ")</f>
        <v> </v>
      </c>
      <c r="H3047" s="44" t="str">
        <f>IFERROR(__xludf.DUMMYFUNCTION("""COMPUTED_VALUE""")," ")</f>
        <v> </v>
      </c>
      <c r="I3047" s="44" t="str">
        <f>IFERROR(__xludf.DUMMYFUNCTION("""COMPUTED_VALUE"""),"Solo")</f>
        <v>Solo</v>
      </c>
      <c r="J3047" s="44" t="str">
        <f>IFERROR(__xludf.DUMMYFUNCTION("""COMPUTED_VALUE"""),"")</f>
        <v/>
      </c>
      <c r="K3047" s="42" t="str">
        <f>IFERROR(__xludf.DUMMYFUNCTION("""COMPUTED_VALUE"""),"Periférico de Catia")</f>
        <v>Periférico de Catia</v>
      </c>
    </row>
    <row r="3048">
      <c r="A3048" s="44">
        <v>3047.0</v>
      </c>
      <c r="B3048" s="44" t="str">
        <f>IFERROR(__xludf.DUMMYFUNCTION("""COMPUTED_VALUE"""),"Hospital Pérez Carreño")</f>
        <v>Hospital Pérez Carreño</v>
      </c>
      <c r="C3048" s="45" t="str">
        <f>IFERROR(__xludf.DUMMYFUNCTION("""COMPUTED_VALUE"""),"PEREZ RAMON")</f>
        <v>PEREZ RAMON</v>
      </c>
      <c r="D3048" s="44" t="str">
        <f>IFERROR(__xludf.DUMMYFUNCTION("""COMPUTED_VALUE""")," ")</f>
        <v> </v>
      </c>
      <c r="E3048" s="44" t="str">
        <f>IFERROR(__xludf.DUMMYFUNCTION("""COMPUTED_VALUE"""),"")</f>
        <v/>
      </c>
      <c r="F3048" s="44" t="str">
        <f>IFERROR(__xludf.DUMMYFUNCTION("""COMPUTED_VALUE"""),"")</f>
        <v/>
      </c>
      <c r="G3048" s="44" t="str">
        <f>IFERROR(__xludf.DUMMYFUNCTION("""COMPUTED_VALUE""")," ")</f>
        <v> </v>
      </c>
      <c r="H3048" s="44" t="str">
        <f>IFERROR(__xludf.DUMMYFUNCTION("""COMPUTED_VALUE""")," ")</f>
        <v> </v>
      </c>
      <c r="I3048" s="44" t="str">
        <f>IFERROR(__xludf.DUMMYFUNCTION("""COMPUTED_VALUE"""),"Traumachok Neuro; La Guaira")</f>
        <v>Traumachok Neuro; La Guaira</v>
      </c>
      <c r="J3048" s="44" t="str">
        <f>IFERROR(__xludf.DUMMYFUNCTION("""COMPUTED_VALUE"""),"")</f>
        <v/>
      </c>
      <c r="K3048" s="42" t="str">
        <f>IFERROR(__xludf.DUMMYFUNCTION("""COMPUTED_VALUE"""),"🔍 BUSCAR PACIENTES")</f>
        <v>🔍 BUSCAR PACIENTES</v>
      </c>
    </row>
    <row r="3049">
      <c r="A3049" s="44">
        <v>3048.0</v>
      </c>
      <c r="B3049" s="44" t="str">
        <f>IFERROR(__xludf.DUMMYFUNCTION("""COMPUTED_VALUE"""),"Hospital Pérez Carreño")</f>
        <v>Hospital Pérez Carreño</v>
      </c>
      <c r="C3049" s="45" t="str">
        <f>IFERROR(__xludf.DUMMYFUNCTION("""COMPUTED_VALUE"""),"PEREZ RAWSON / PEREZ RAWON")</f>
        <v>PEREZ RAWSON / PEREZ RAWON</v>
      </c>
      <c r="D3049" s="44" t="str">
        <f>IFERROR(__xludf.DUMMYFUNCTION("""COMPUTED_VALUE""")," ")</f>
        <v> </v>
      </c>
      <c r="E3049" s="44" t="str">
        <f>IFERROR(__xludf.DUMMYFUNCTION("""COMPUTED_VALUE"""),"")</f>
        <v/>
      </c>
      <c r="F3049" s="44" t="str">
        <f>IFERROR(__xludf.DUMMYFUNCTION("""COMPUTED_VALUE"""),"")</f>
        <v/>
      </c>
      <c r="G3049" s="44" t="str">
        <f>IFERROR(__xludf.DUMMYFUNCTION("""COMPUTED_VALUE""")," ")</f>
        <v> </v>
      </c>
      <c r="H3049" s="44" t="str">
        <f>IFERROR(__xludf.DUMMYFUNCTION("""COMPUTED_VALUE""")," ")</f>
        <v> </v>
      </c>
      <c r="I3049" s="44" t="str">
        <f>IFERROR(__xludf.DUMMYFUNCTION("""COMPUTED_VALUE"""),"Traumashock")</f>
        <v>Traumashock</v>
      </c>
      <c r="J3049" s="44" t="str">
        <f>IFERROR(__xludf.DUMMYFUNCTION("""COMPUTED_VALUE"""),"25/06/2026")</f>
        <v>25/06/2026</v>
      </c>
      <c r="K3049" s="42" t="str">
        <f>IFERROR(__xludf.DUMMYFUNCTION("""COMPUTED_VALUE"""),"Hospital Pérez Carreño")</f>
        <v>Hospital Pérez Carreño</v>
      </c>
    </row>
    <row r="3050">
      <c r="A3050" s="44">
        <v>3049.0</v>
      </c>
      <c r="B3050" s="44" t="str">
        <f>IFERROR(__xludf.DUMMYFUNCTION("""COMPUTED_VALUE"""),"H. Jose Maria Vargas LG")</f>
        <v>H. Jose Maria Vargas LG</v>
      </c>
      <c r="C3050" s="45" t="str">
        <f>IFERROR(__xludf.DUMMYFUNCTION("""COMPUTED_VALUE"""),"PEREZ VICTORIA")</f>
        <v>PEREZ VICTORIA</v>
      </c>
      <c r="D3050" s="44">
        <f>IFERROR(__xludf.DUMMYFUNCTION("""COMPUTED_VALUE"""),11.0)</f>
        <v>11</v>
      </c>
      <c r="E3050" s="44" t="str">
        <f>IFERROR(__xludf.DUMMYFUNCTION("""COMPUTED_VALUE"""),"")</f>
        <v/>
      </c>
      <c r="F3050" s="44" t="str">
        <f>IFERROR(__xludf.DUMMYFUNCTION("""COMPUTED_VALUE"""),"")</f>
        <v/>
      </c>
      <c r="G3050" s="44" t="str">
        <f>IFERROR(__xludf.DUMMYFUNCTION("""COMPUTED_VALUE""")," ")</f>
        <v> </v>
      </c>
      <c r="H3050" s="44" t="str">
        <f>IFERROR(__xludf.DUMMYFUNCTION("""COMPUTED_VALUE"""),"Caribe")</f>
        <v>Caribe</v>
      </c>
      <c r="I3050" s="44" t="str">
        <f>IFERROR(__xludf.DUMMYFUNCTION("""COMPUTED_VALUE""")," ")</f>
        <v> </v>
      </c>
      <c r="J3050" s="44" t="str">
        <f>IFERROR(__xludf.DUMMYFUNCTION("""COMPUTED_VALUE"""),"")</f>
        <v/>
      </c>
      <c r="K3050" s="42" t="str">
        <f>IFERROR(__xludf.DUMMYFUNCTION("""COMPUTED_VALUE"""),"H. Jose Maria Vargas LG")</f>
        <v>H. Jose Maria Vargas LG</v>
      </c>
    </row>
    <row r="3051">
      <c r="A3051" s="44">
        <v>3050.0</v>
      </c>
      <c r="B3051" s="44" t="str">
        <f>IFERROR(__xludf.DUMMYFUNCTION("""COMPUTED_VALUE"""),"Centro de Acopio Caraballeda")</f>
        <v>Centro de Acopio Caraballeda</v>
      </c>
      <c r="C3051" s="45" t="str">
        <f>IFERROR(__xludf.DUMMYFUNCTION("""COMPUTED_VALUE"""),"PEREZ YELINER")</f>
        <v>PEREZ YELINER</v>
      </c>
      <c r="D3051" s="44" t="str">
        <f>IFERROR(__xludf.DUMMYFUNCTION("""COMPUTED_VALUE""")," ")</f>
        <v> </v>
      </c>
      <c r="E3051" s="44" t="str">
        <f>IFERROR(__xludf.DUMMYFUNCTION("""COMPUTED_VALUE"""),"")</f>
        <v/>
      </c>
      <c r="F3051" s="44" t="str">
        <f>IFERROR(__xludf.DUMMYFUNCTION("""COMPUTED_VALUE"""),"")</f>
        <v/>
      </c>
      <c r="G3051" s="44" t="str">
        <f>IFERROR(__xludf.DUMMYFUNCTION("""COMPUTED_VALUE""")," ")</f>
        <v> </v>
      </c>
      <c r="H3051" s="44" t="str">
        <f>IFERROR(__xludf.DUMMYFUNCTION("""COMPUTED_VALUE""")," ")</f>
        <v> </v>
      </c>
      <c r="I3051" s="44" t="str">
        <f>IFERROR(__xludf.DUMMYFUNCTION("""COMPUTED_VALUE"""),"Internado")</f>
        <v>Internado</v>
      </c>
      <c r="J3051" s="44" t="str">
        <f>IFERROR(__xludf.DUMMYFUNCTION("""COMPUTED_VALUE"""),"")</f>
        <v/>
      </c>
      <c r="K3051" s="42" t="str">
        <f>IFERROR(__xludf.DUMMYFUNCTION("""COMPUTED_VALUE"""),"🔍 BUSCAR PACIENTES")</f>
        <v>🔍 BUSCAR PACIENTES</v>
      </c>
    </row>
    <row r="3052">
      <c r="A3052" s="44">
        <v>3051.0</v>
      </c>
      <c r="B3052" s="44" t="str">
        <f>IFERROR(__xludf.DUMMYFUNCTION("""COMPUTED_VALUE"""),"Hospital Pérez Carreño")</f>
        <v>Hospital Pérez Carreño</v>
      </c>
      <c r="C3052" s="45" t="str">
        <f>IFERROR(__xludf.DUMMYFUNCTION("""COMPUTED_VALUE"""),"PERLAEZ FRANCISCO")</f>
        <v>PERLAEZ FRANCISCO</v>
      </c>
      <c r="D3052" s="44" t="str">
        <f>IFERROR(__xludf.DUMMYFUNCTION("""COMPUTED_VALUE""")," ")</f>
        <v> </v>
      </c>
      <c r="E3052" s="44" t="str">
        <f>IFERROR(__xludf.DUMMYFUNCTION("""COMPUTED_VALUE"""),"")</f>
        <v/>
      </c>
      <c r="F3052" s="44" t="str">
        <f>IFERROR(__xludf.DUMMYFUNCTION("""COMPUTED_VALUE"""),"")</f>
        <v/>
      </c>
      <c r="G3052" s="44" t="str">
        <f>IFERROR(__xludf.DUMMYFUNCTION("""COMPUTED_VALUE""")," ")</f>
        <v> </v>
      </c>
      <c r="H3052" s="44" t="str">
        <f>IFERROR(__xludf.DUMMYFUNCTION("""COMPUTED_VALUE""")," ")</f>
        <v> </v>
      </c>
      <c r="I3052" s="44" t="str">
        <f>IFERROR(__xludf.DUMMYFUNCTION("""COMPUTED_VALUE"""),"Internado")</f>
        <v>Internado</v>
      </c>
      <c r="J3052" s="44" t="str">
        <f>IFERROR(__xludf.DUMMYFUNCTION("""COMPUTED_VALUE"""),"")</f>
        <v/>
      </c>
      <c r="K3052" s="42" t="str">
        <f>IFERROR(__xludf.DUMMYFUNCTION("""COMPUTED_VALUE"""),"🔍 BUSCAR PACIENTES")</f>
        <v>🔍 BUSCAR PACIENTES</v>
      </c>
    </row>
    <row r="3053">
      <c r="A3053" s="44">
        <v>3052.0</v>
      </c>
      <c r="B3053" s="44" t="str">
        <f>IFERROR(__xludf.DUMMYFUNCTION("""COMPUTED_VALUE"""),"Centro de Acopio Caraballeda")</f>
        <v>Centro de Acopio Caraballeda</v>
      </c>
      <c r="C3053" s="45" t="str">
        <f>IFERROR(__xludf.DUMMYFUNCTION("""COMPUTED_VALUE"""),"PERNIA MERCEDES")</f>
        <v>PERNIA MERCEDES</v>
      </c>
      <c r="D3053" s="44" t="str">
        <f>IFERROR(__xludf.DUMMYFUNCTION("""COMPUTED_VALUE""")," ")</f>
        <v> </v>
      </c>
      <c r="E3053" s="44" t="str">
        <f>IFERROR(__xludf.DUMMYFUNCTION("""COMPUTED_VALUE"""),"")</f>
        <v/>
      </c>
      <c r="F3053" s="44" t="str">
        <f>IFERROR(__xludf.DUMMYFUNCTION("""COMPUTED_VALUE"""),"")</f>
        <v/>
      </c>
      <c r="G3053" s="44" t="str">
        <f>IFERROR(__xludf.DUMMYFUNCTION("""COMPUTED_VALUE""")," ")</f>
        <v> </v>
      </c>
      <c r="H3053" s="44" t="str">
        <f>IFERROR(__xludf.DUMMYFUNCTION("""COMPUTED_VALUE""")," ")</f>
        <v> </v>
      </c>
      <c r="I3053" s="44" t="str">
        <f>IFERROR(__xludf.DUMMYFUNCTION("""COMPUTED_VALUE"""),"Internado")</f>
        <v>Internado</v>
      </c>
      <c r="J3053" s="44" t="str">
        <f>IFERROR(__xludf.DUMMYFUNCTION("""COMPUTED_VALUE"""),"")</f>
        <v/>
      </c>
      <c r="K3053" s="42" t="str">
        <f>IFERROR(__xludf.DUMMYFUNCTION("""COMPUTED_VALUE"""),"🔍 BUSCAR PACIENTES")</f>
        <v>🔍 BUSCAR PACIENTES</v>
      </c>
    </row>
    <row r="3054">
      <c r="A3054" s="44">
        <v>3053.0</v>
      </c>
      <c r="B3054" s="44" t="str">
        <f>IFERROR(__xludf.DUMMYFUNCTION("""COMPUTED_VALUE"""),"Hospital Vargas de Caracas")</f>
        <v>Hospital Vargas de Caracas</v>
      </c>
      <c r="C3054" s="45" t="str">
        <f>IFERROR(__xludf.DUMMYFUNCTION("""COMPUTED_VALUE"""),"PEROZA HILARY")</f>
        <v>PEROZA HILARY</v>
      </c>
      <c r="D3054" s="44" t="str">
        <f>IFERROR(__xludf.DUMMYFUNCTION("""COMPUTED_VALUE""")," ")</f>
        <v> </v>
      </c>
      <c r="E3054" s="44" t="str">
        <f>IFERROR(__xludf.DUMMYFUNCTION("""COMPUTED_VALUE"""),"")</f>
        <v/>
      </c>
      <c r="F3054" s="44" t="str">
        <f>IFERROR(__xludf.DUMMYFUNCTION("""COMPUTED_VALUE""")," ")</f>
        <v> </v>
      </c>
      <c r="G3054" s="44" t="str">
        <f>IFERROR(__xludf.DUMMYFUNCTION("""COMPUTED_VALUE"""),"")</f>
        <v/>
      </c>
      <c r="H3054" s="44" t="str">
        <f>IFERROR(__xludf.DUMMYFUNCTION("""COMPUTED_VALUE""")," ")</f>
        <v> </v>
      </c>
      <c r="I3054" s="44" t="str">
        <f>IFERROR(__xludf.DUMMYFUNCTION("""COMPUTED_VALUE""")," ")</f>
        <v> </v>
      </c>
      <c r="J3054" s="44" t="str">
        <f>IFERROR(__xludf.DUMMYFUNCTION("""COMPUTED_VALUE"""),"")</f>
        <v/>
      </c>
      <c r="K3054" s="42" t="str">
        <f>IFERROR(__xludf.DUMMYFUNCTION("""COMPUTED_VALUE"""),"Hospital Vargas de Caracas")</f>
        <v>Hospital Vargas de Caracas</v>
      </c>
    </row>
    <row r="3055">
      <c r="A3055" s="44">
        <v>3054.0</v>
      </c>
      <c r="B3055" s="44" t="str">
        <f>IFERROR(__xludf.DUMMYFUNCTION("""COMPUTED_VALUE"""),"Hospital Pérez Carreño")</f>
        <v>Hospital Pérez Carreño</v>
      </c>
      <c r="C3055" s="45" t="str">
        <f>IFERROR(__xludf.DUMMYFUNCTION("""COMPUTED_VALUE"""),"PETI JOSCAR")</f>
        <v>PETI JOSCAR</v>
      </c>
      <c r="D3055" s="44" t="str">
        <f>IFERROR(__xludf.DUMMYFUNCTION("""COMPUTED_VALUE""")," ")</f>
        <v> </v>
      </c>
      <c r="E3055" s="44" t="str">
        <f>IFERROR(__xludf.DUMMYFUNCTION("""COMPUTED_VALUE"""),"")</f>
        <v/>
      </c>
      <c r="F3055" s="44" t="str">
        <f>IFERROR(__xludf.DUMMYFUNCTION("""COMPUTED_VALUE"""),"")</f>
        <v/>
      </c>
      <c r="G3055" s="44" t="str">
        <f>IFERROR(__xludf.DUMMYFUNCTION("""COMPUTED_VALUE""")," ")</f>
        <v> </v>
      </c>
      <c r="H3055" s="44" t="str">
        <f>IFERROR(__xludf.DUMMYFUNCTION("""COMPUTED_VALUE""")," ")</f>
        <v> </v>
      </c>
      <c r="I3055" s="44" t="str">
        <f>IFERROR(__xludf.DUMMYFUNCTION("""COMPUTED_VALUE"""),"Internado")</f>
        <v>Internado</v>
      </c>
      <c r="J3055" s="44" t="str">
        <f>IFERROR(__xludf.DUMMYFUNCTION("""COMPUTED_VALUE"""),"")</f>
        <v/>
      </c>
      <c r="K3055" s="42" t="str">
        <f>IFERROR(__xludf.DUMMYFUNCTION("""COMPUTED_VALUE"""),"🔍 BUSCAR PACIENTES")</f>
        <v>🔍 BUSCAR PACIENTES</v>
      </c>
    </row>
    <row r="3056">
      <c r="A3056" s="44">
        <v>3055.0</v>
      </c>
      <c r="B3056" s="44" t="str">
        <f>IFERROR(__xludf.DUMMYFUNCTION("""COMPUTED_VALUE"""),"Hospital Domingo Luciani")</f>
        <v>Hospital Domingo Luciani</v>
      </c>
      <c r="C3056" s="45" t="str">
        <f>IFERROR(__xludf.DUMMYFUNCTION("""COMPUTED_VALUE"""),"PIASARDO REINIER")</f>
        <v>PIASARDO REINIER</v>
      </c>
      <c r="D3056" s="44">
        <f>IFERROR(__xludf.DUMMYFUNCTION("""COMPUTED_VALUE"""),40.0)</f>
        <v>40</v>
      </c>
      <c r="E3056" s="44" t="str">
        <f>IFERROR(__xludf.DUMMYFUNCTION("""COMPUTED_VALUE"""),"")</f>
        <v/>
      </c>
      <c r="F3056" s="44" t="str">
        <f>IFERROR(__xludf.DUMMYFUNCTION("""COMPUTED_VALUE"""),"")</f>
        <v/>
      </c>
      <c r="G3056" s="44" t="str">
        <f>IFERROR(__xludf.DUMMYFUNCTION("""COMPUTED_VALUE""")," ")</f>
        <v> </v>
      </c>
      <c r="H3056" s="44" t="str">
        <f>IFERROR(__xludf.DUMMYFUNCTION("""COMPUTED_VALUE""")," ")</f>
        <v> </v>
      </c>
      <c r="I3056" s="44" t="str">
        <f>IFERROR(__xludf.DUMMYFUNCTION("""COMPUTED_VALUE"""),"CI: 16390168")</f>
        <v>CI: 16390168</v>
      </c>
      <c r="J3056" s="44" t="str">
        <f>IFERROR(__xludf.DUMMYFUNCTION("""COMPUTED_VALUE"""),"")</f>
        <v/>
      </c>
      <c r="K3056" s="42" t="str">
        <f>IFERROR(__xludf.DUMMYFUNCTION("""COMPUTED_VALUE"""),"🔍 BUSCAR PACIENTES")</f>
        <v>🔍 BUSCAR PACIENTES</v>
      </c>
    </row>
    <row r="3057">
      <c r="A3057" s="44">
        <v>3056.0</v>
      </c>
      <c r="B3057" s="44" t="str">
        <f>IFERROR(__xludf.DUMMYFUNCTION("""COMPUTED_VALUE"""),"Periférico de Catia")</f>
        <v>Periférico de Catia</v>
      </c>
      <c r="C3057" s="45" t="str">
        <f>IFERROR(__xludf.DUMMYFUNCTION("""COMPUTED_VALUE"""),"PICO DIAZ JENNY")</f>
        <v>PICO DIAZ JENNY</v>
      </c>
      <c r="D3057" s="44">
        <f>IFERROR(__xludf.DUMMYFUNCTION("""COMPUTED_VALUE"""),54.0)</f>
        <v>54</v>
      </c>
      <c r="E3057" s="44" t="str">
        <f>IFERROR(__xludf.DUMMYFUNCTION("""COMPUTED_VALUE"""),"")</f>
        <v/>
      </c>
      <c r="F3057" s="44" t="str">
        <f>IFERROR(__xludf.DUMMYFUNCTION("""COMPUTED_VALUE"""),"")</f>
        <v/>
      </c>
      <c r="G3057" s="44" t="str">
        <f>IFERROR(__xludf.DUMMYFUNCTION("""COMPUTED_VALUE""")," ")</f>
        <v> </v>
      </c>
      <c r="H3057" s="44" t="str">
        <f>IFERROR(__xludf.DUMMYFUNCTION("""COMPUTED_VALUE"""),"Casalta, Bloque 10")</f>
        <v>Casalta, Bloque 10</v>
      </c>
      <c r="I3057" s="44" t="str">
        <f>IFERROR(__xludf.DUMMYFUNCTION("""COMPUTED_VALUE"""),"TRM")</f>
        <v>TRM</v>
      </c>
      <c r="J3057" s="44" t="str">
        <f>IFERROR(__xludf.DUMMYFUNCTION("""COMPUTED_VALUE"""),"")</f>
        <v/>
      </c>
      <c r="K3057" s="42" t="str">
        <f>IFERROR(__xludf.DUMMYFUNCTION("""COMPUTED_VALUE"""),"Periférico de Catia")</f>
        <v>Periférico de Catia</v>
      </c>
    </row>
    <row r="3058">
      <c r="A3058" s="44">
        <v>3057.0</v>
      </c>
      <c r="B3058" s="44" t="str">
        <f>IFERROR(__xludf.DUMMYFUNCTION("""COMPUTED_VALUE"""),"Hospital Pérez Carreño")</f>
        <v>Hospital Pérez Carreño</v>
      </c>
      <c r="C3058" s="45" t="str">
        <f>IFERROR(__xludf.DUMMYFUNCTION("""COMPUTED_VALUE"""),"PIMENTEL MARIA")</f>
        <v>PIMENTEL MARIA</v>
      </c>
      <c r="D3058" s="44" t="str">
        <f>IFERROR(__xludf.DUMMYFUNCTION("""COMPUTED_VALUE""")," ")</f>
        <v> </v>
      </c>
      <c r="E3058" s="44" t="str">
        <f>IFERROR(__xludf.DUMMYFUNCTION("""COMPUTED_VALUE"""),"")</f>
        <v/>
      </c>
      <c r="F3058" s="44" t="str">
        <f>IFERROR(__xludf.DUMMYFUNCTION("""COMPUTED_VALUE"""),"")</f>
        <v/>
      </c>
      <c r="G3058" s="44" t="str">
        <f>IFERROR(__xludf.DUMMYFUNCTION("""COMPUTED_VALUE""")," ")</f>
        <v> </v>
      </c>
      <c r="H3058" s="44" t="str">
        <f>IFERROR(__xludf.DUMMYFUNCTION("""COMPUTED_VALUE""")," ")</f>
        <v> </v>
      </c>
      <c r="I3058" s="44" t="str">
        <f>IFERROR(__xludf.DUMMYFUNCTION("""COMPUTED_VALUE"""),"Internado")</f>
        <v>Internado</v>
      </c>
      <c r="J3058" s="44" t="str">
        <f>IFERROR(__xludf.DUMMYFUNCTION("""COMPUTED_VALUE"""),"")</f>
        <v/>
      </c>
      <c r="K3058" s="42" t="str">
        <f>IFERROR(__xludf.DUMMYFUNCTION("""COMPUTED_VALUE"""),"🔍 BUSCAR PACIENTES")</f>
        <v>🔍 BUSCAR PACIENTES</v>
      </c>
    </row>
    <row r="3059">
      <c r="A3059" s="44">
        <v>3058.0</v>
      </c>
      <c r="B3059" s="44" t="str">
        <f>IFERROR(__xludf.DUMMYFUNCTION("""COMPUTED_VALUE"""),"Hospital Pérez Carreño")</f>
        <v>Hospital Pérez Carreño</v>
      </c>
      <c r="C3059" s="45" t="str">
        <f>IFERROR(__xludf.DUMMYFUNCTION("""COMPUTED_VALUE"""),"Pimentel Tabares Daileili")</f>
        <v>Pimentel Tabares Daileili</v>
      </c>
      <c r="D3059" s="44"/>
      <c r="E3059" s="44" t="str">
        <f>IFERROR(__xludf.DUMMYFUNCTION("""COMPUTED_VALUE"""),"")</f>
        <v/>
      </c>
      <c r="F3059" s="44" t="str">
        <f>IFERROR(__xludf.DUMMYFUNCTION("""COMPUTED_VALUE"""),"")</f>
        <v/>
      </c>
      <c r="G3059" s="44" t="str">
        <f>IFERROR(__xludf.DUMMYFUNCTION("""COMPUTED_VALUE"""),"Traslados")</f>
        <v>Traslados</v>
      </c>
      <c r="H3059" s="44" t="str">
        <f>IFERROR(__xludf.DUMMYFUNCTION("""COMPUTED_VALUE"""),"Hospital Miguel Perez Carreño")</f>
        <v>Hospital Miguel Perez Carreño</v>
      </c>
      <c r="I3059" s="44"/>
      <c r="J3059" s="44" t="str">
        <f>IFERROR(__xludf.DUMMYFUNCTION("""COMPUTED_VALUE"""),"26/6/26")</f>
        <v>26/6/26</v>
      </c>
      <c r="K3059" s="42" t="str">
        <f>IFERROR(__xludf.DUMMYFUNCTION("""COMPUTED_VALUE"""),"Hospital Pérez Carreño")</f>
        <v>Hospital Pérez Carreño</v>
      </c>
    </row>
    <row r="3060">
      <c r="A3060" s="44">
        <v>3059.0</v>
      </c>
      <c r="B3060" s="44" t="str">
        <f>IFERROR(__xludf.DUMMYFUNCTION("""COMPUTED_VALUE"""),"Hospital Pérez Carreño")</f>
        <v>Hospital Pérez Carreño</v>
      </c>
      <c r="C3060" s="45" t="str">
        <f>IFERROR(__xludf.DUMMYFUNCTION("""COMPUTED_VALUE"""),"PIMENTEL TABORES DANILEXI")</f>
        <v>PIMENTEL TABORES DANILEXI</v>
      </c>
      <c r="D3060" s="44" t="str">
        <f>IFERROR(__xludf.DUMMYFUNCTION("""COMPUTED_VALUE""")," ")</f>
        <v> </v>
      </c>
      <c r="E3060" s="44" t="str">
        <f>IFERROR(__xludf.DUMMYFUNCTION("""COMPUTED_VALUE"""),"")</f>
        <v/>
      </c>
      <c r="F3060" s="44" t="str">
        <f>IFERROR(__xludf.DUMMYFUNCTION("""COMPUTED_VALUE"""),"")</f>
        <v/>
      </c>
      <c r="G3060" s="44" t="str">
        <f>IFERROR(__xludf.DUMMYFUNCTION("""COMPUTED_VALUE""")," ")</f>
        <v> </v>
      </c>
      <c r="H3060" s="44" t="str">
        <f>IFERROR(__xludf.DUMMYFUNCTION("""COMPUTED_VALUE""")," ")</f>
        <v> </v>
      </c>
      <c r="I3060" s="44" t="str">
        <f>IFERROR(__xludf.DUMMYFUNCTION("""COMPUTED_VALUE"""),"Internado")</f>
        <v>Internado</v>
      </c>
      <c r="J3060" s="44" t="str">
        <f>IFERROR(__xludf.DUMMYFUNCTION("""COMPUTED_VALUE"""),"")</f>
        <v/>
      </c>
      <c r="K3060" s="42" t="str">
        <f>IFERROR(__xludf.DUMMYFUNCTION("""COMPUTED_VALUE"""),"🔍 BUSCAR PACIENTES")</f>
        <v>🔍 BUSCAR PACIENTES</v>
      </c>
    </row>
    <row r="3061">
      <c r="A3061" s="44">
        <v>3060.0</v>
      </c>
      <c r="B3061" s="44" t="str">
        <f>IFERROR(__xludf.DUMMYFUNCTION("""COMPUTED_VALUE"""),"Hospital Domingo Luciani")</f>
        <v>Hospital Domingo Luciani</v>
      </c>
      <c r="C3061" s="45" t="str">
        <f>IFERROR(__xludf.DUMMYFUNCTION("""COMPUTED_VALUE"""),"PINERO SEBASTIAN")</f>
        <v>PINERO SEBASTIAN</v>
      </c>
      <c r="D3061" s="44">
        <f>IFERROR(__xludf.DUMMYFUNCTION("""COMPUTED_VALUE"""),16.0)</f>
        <v>16</v>
      </c>
      <c r="E3061" s="44" t="str">
        <f>IFERROR(__xludf.DUMMYFUNCTION("""COMPUTED_VALUE"""),"")</f>
        <v/>
      </c>
      <c r="F3061" s="44" t="str">
        <f>IFERROR(__xludf.DUMMYFUNCTION("""COMPUTED_VALUE"""),"")</f>
        <v/>
      </c>
      <c r="G3061" s="44" t="str">
        <f>IFERROR(__xludf.DUMMYFUNCTION("""COMPUTED_VALUE""")," ")</f>
        <v> </v>
      </c>
      <c r="H3061" s="44" t="str">
        <f>IFERROR(__xludf.DUMMYFUNCTION("""COMPUTED_VALUE""")," ")</f>
        <v> </v>
      </c>
      <c r="I3061" s="44" t="str">
        <f>IFERROR(__xludf.DUMMYFUNCTION("""COMPUTED_VALUE""")," ")</f>
        <v> </v>
      </c>
      <c r="J3061" s="44" t="str">
        <f>IFERROR(__xludf.DUMMYFUNCTION("""COMPUTED_VALUE"""),"")</f>
        <v/>
      </c>
      <c r="K3061" s="42" t="str">
        <f>IFERROR(__xludf.DUMMYFUNCTION("""COMPUTED_VALUE"""),"🔍 BUSCAR PACIENTES")</f>
        <v>🔍 BUSCAR PACIENTES</v>
      </c>
    </row>
    <row r="3062">
      <c r="A3062" s="44">
        <v>3061.0</v>
      </c>
      <c r="B3062" s="44" t="str">
        <f>IFERROR(__xludf.DUMMYFUNCTION("""COMPUTED_VALUE"""),"Periférico de Catia")</f>
        <v>Periférico de Catia</v>
      </c>
      <c r="C3062" s="45" t="str">
        <f>IFERROR(__xludf.DUMMYFUNCTION("""COMPUTED_VALUE"""),"Piñero Sebastian")</f>
        <v>Piñero Sebastian</v>
      </c>
      <c r="D3062" s="44">
        <f>IFERROR(__xludf.DUMMYFUNCTION("""COMPUTED_VALUE"""),16.0)</f>
        <v>16</v>
      </c>
      <c r="E3062" s="44" t="str">
        <f>IFERROR(__xludf.DUMMYFUNCTION("""COMPUTED_VALUE"""),"")</f>
        <v/>
      </c>
      <c r="F3062" s="44" t="str">
        <f>IFERROR(__xludf.DUMMYFUNCTION("""COMPUTED_VALUE"""),"")</f>
        <v/>
      </c>
      <c r="G3062" s="44"/>
      <c r="H3062" s="44"/>
      <c r="I3062" s="44" t="str">
        <f>IFERROR(__xludf.DUMMYFUNCTION("""COMPUTED_VALUE"""),"Lista adicional (pizarra extensa sin titulo de sala especifico)")</f>
        <v>Lista adicional (pizarra extensa sin titulo de sala especifico)</v>
      </c>
      <c r="J3062" s="44" t="str">
        <f>IFERROR(__xludf.DUMMYFUNCTION("""COMPUTED_VALUE"""),"")</f>
        <v/>
      </c>
      <c r="K3062" s="42" t="str">
        <f>IFERROR(__xludf.DUMMYFUNCTION("""COMPUTED_VALUE"""),"Periférico de Catia")</f>
        <v>Periférico de Catia</v>
      </c>
    </row>
    <row r="3063">
      <c r="A3063" s="44">
        <v>3062.0</v>
      </c>
      <c r="B3063" s="44" t="str">
        <f>IFERROR(__xludf.DUMMYFUNCTION("""COMPUTED_VALUE"""),"Hospital Pérez Carreño")</f>
        <v>Hospital Pérez Carreño</v>
      </c>
      <c r="C3063" s="45" t="str">
        <f>IFERROR(__xludf.DUMMYFUNCTION("""COMPUTED_VALUE"""),"Pinoz Pucigro")</f>
        <v>Pinoz Pucigro</v>
      </c>
      <c r="D3063" s="44"/>
      <c r="E3063" s="44" t="str">
        <f>IFERROR(__xludf.DUMMYFUNCTION("""COMPUTED_VALUE"""),"")</f>
        <v/>
      </c>
      <c r="F3063" s="44" t="str">
        <f>IFERROR(__xludf.DUMMYFUNCTION("""COMPUTED_VALUE"""),"")</f>
        <v/>
      </c>
      <c r="G3063" s="44" t="str">
        <f>IFERROR(__xludf.DUMMYFUNCTION("""COMPUTED_VALUE"""),"Traslados con destino asignado")</f>
        <v>Traslados con destino asignado</v>
      </c>
      <c r="H3063" s="44" t="str">
        <f>IFERROR(__xludf.DUMMYFUNCTION("""COMPUTED_VALUE"""),"Hospital Miguel Perez Carreño")</f>
        <v>Hospital Miguel Perez Carreño</v>
      </c>
      <c r="I3063" s="44"/>
      <c r="J3063" s="44" t="str">
        <f>IFERROR(__xludf.DUMMYFUNCTION("""COMPUTED_VALUE"""),"26/6/26")</f>
        <v>26/6/26</v>
      </c>
      <c r="K3063" s="42" t="str">
        <f>IFERROR(__xludf.DUMMYFUNCTION("""COMPUTED_VALUE"""),"Hospital Pérez Carreño")</f>
        <v>Hospital Pérez Carreño</v>
      </c>
    </row>
    <row r="3064">
      <c r="A3064" s="44">
        <v>3063.0</v>
      </c>
      <c r="B3064" s="44" t="str">
        <f>IFERROR(__xludf.DUMMYFUNCTION("""COMPUTED_VALUE"""),"Hospital Vargas de Caracas")</f>
        <v>Hospital Vargas de Caracas</v>
      </c>
      <c r="C3064" s="45" t="str">
        <f>IFERROR(__xludf.DUMMYFUNCTION("""COMPUTED_VALUE"""),"PINTON DANKER")</f>
        <v>PINTON DANKER</v>
      </c>
      <c r="D3064" s="44" t="str">
        <f>IFERROR(__xludf.DUMMYFUNCTION("""COMPUTED_VALUE""")," ")</f>
        <v> </v>
      </c>
      <c r="E3064" s="44" t="str">
        <f>IFERROR(__xludf.DUMMYFUNCTION("""COMPUTED_VALUE"""),"")</f>
        <v/>
      </c>
      <c r="F3064" s="44" t="str">
        <f>IFERROR(__xludf.DUMMYFUNCTION("""COMPUTED_VALUE""")," ")</f>
        <v> </v>
      </c>
      <c r="G3064" s="44" t="str">
        <f>IFERROR(__xludf.DUMMYFUNCTION("""COMPUTED_VALUE"""),"")</f>
        <v/>
      </c>
      <c r="H3064" s="44" t="str">
        <f>IFERROR(__xludf.DUMMYFUNCTION("""COMPUTED_VALUE""")," ")</f>
        <v> </v>
      </c>
      <c r="I3064" s="44" t="str">
        <f>IFERROR(__xludf.DUMMYFUNCTION("""COMPUTED_VALUE"""),"Revisar")</f>
        <v>Revisar</v>
      </c>
      <c r="J3064" s="44" t="str">
        <f>IFERROR(__xludf.DUMMYFUNCTION("""COMPUTED_VALUE"""),"")</f>
        <v/>
      </c>
      <c r="K3064" s="42" t="str">
        <f>IFERROR(__xludf.DUMMYFUNCTION("""COMPUTED_VALUE"""),"Hospital Vargas de Caracas")</f>
        <v>Hospital Vargas de Caracas</v>
      </c>
    </row>
    <row r="3065">
      <c r="A3065" s="44">
        <v>3064.0</v>
      </c>
      <c r="B3065" s="44" t="str">
        <f>IFERROR(__xludf.DUMMYFUNCTION("""COMPUTED_VALUE"""),"Hospital Domingo Luciani")</f>
        <v>Hospital Domingo Luciani</v>
      </c>
      <c r="C3065" s="45" t="str">
        <f>IFERROR(__xludf.DUMMYFUNCTION("""COMPUTED_VALUE"""),"PIRETO SEBASTIAN")</f>
        <v>PIRETO SEBASTIAN</v>
      </c>
      <c r="D3065" s="44">
        <f>IFERROR(__xludf.DUMMYFUNCTION("""COMPUTED_VALUE"""),16.0)</f>
        <v>16</v>
      </c>
      <c r="E3065" s="44" t="str">
        <f>IFERROR(__xludf.DUMMYFUNCTION("""COMPUTED_VALUE"""),"")</f>
        <v/>
      </c>
      <c r="F3065" s="44" t="str">
        <f>IFERROR(__xludf.DUMMYFUNCTION("""COMPUTED_VALUE"""),"")</f>
        <v/>
      </c>
      <c r="G3065" s="44" t="str">
        <f>IFERROR(__xludf.DUMMYFUNCTION("""COMPUTED_VALUE""")," ")</f>
        <v> </v>
      </c>
      <c r="H3065" s="44" t="str">
        <f>IFERROR(__xludf.DUMMYFUNCTION("""COMPUTED_VALUE""")," ")</f>
        <v> </v>
      </c>
      <c r="I3065" s="44" t="str">
        <f>IFERROR(__xludf.DUMMYFUNCTION("""COMPUTED_VALUE""")," ")</f>
        <v> </v>
      </c>
      <c r="J3065" s="44" t="str">
        <f>IFERROR(__xludf.DUMMYFUNCTION("""COMPUTED_VALUE"""),"")</f>
        <v/>
      </c>
      <c r="K3065" s="42" t="str">
        <f>IFERROR(__xludf.DUMMYFUNCTION("""COMPUTED_VALUE"""),"🔍 BUSCAR PACIENTES")</f>
        <v>🔍 BUSCAR PACIENTES</v>
      </c>
    </row>
    <row r="3066">
      <c r="A3066" s="44">
        <v>3065.0</v>
      </c>
      <c r="B3066" s="44" t="str">
        <f>IFERROR(__xludf.DUMMYFUNCTION("""COMPUTED_VALUE"""),"H. Jose Maria Vargas LG")</f>
        <v>H. Jose Maria Vargas LG</v>
      </c>
      <c r="C3066" s="45" t="str">
        <f>IFERROR(__xludf.DUMMYFUNCTION("""COMPUTED_VALUE"""),"PIS ANA")</f>
        <v>PIS ANA</v>
      </c>
      <c r="D3066" s="44" t="str">
        <f>IFERROR(__xludf.DUMMYFUNCTION("""COMPUTED_VALUE""")," ")</f>
        <v> </v>
      </c>
      <c r="E3066" s="44" t="str">
        <f>IFERROR(__xludf.DUMMYFUNCTION("""COMPUTED_VALUE"""),"")</f>
        <v/>
      </c>
      <c r="F3066" s="44" t="str">
        <f>IFERROR(__xludf.DUMMYFUNCTION("""COMPUTED_VALUE"""),"")</f>
        <v/>
      </c>
      <c r="G3066" s="44" t="str">
        <f>IFERROR(__xludf.DUMMYFUNCTION("""COMPUTED_VALUE""")," ")</f>
        <v> </v>
      </c>
      <c r="H3066" s="44" t="str">
        <f>IFERROR(__xludf.DUMMYFUNCTION("""COMPUTED_VALUE""")," ")</f>
        <v> </v>
      </c>
      <c r="I3066" s="44" t="str">
        <f>IFERROR(__xludf.DUMMYFUNCTION("""COMPUTED_VALUE""")," ")</f>
        <v> </v>
      </c>
      <c r="J3066" s="44" t="str">
        <f>IFERROR(__xludf.DUMMYFUNCTION("""COMPUTED_VALUE"""),"")</f>
        <v/>
      </c>
      <c r="K3066" s="42" t="str">
        <f>IFERROR(__xludf.DUMMYFUNCTION("""COMPUTED_VALUE"""),"H. Jose Maria Vargas LG")</f>
        <v>H. Jose Maria Vargas LG</v>
      </c>
    </row>
    <row r="3067">
      <c r="A3067" s="44">
        <v>3066.0</v>
      </c>
      <c r="B3067" s="44" t="str">
        <f>IFERROR(__xludf.DUMMYFUNCTION("""COMPUTED_VALUE"""),"Centro de Acopio Caraballeda")</f>
        <v>Centro de Acopio Caraballeda</v>
      </c>
      <c r="C3067" s="45" t="str">
        <f>IFERROR(__xludf.DUMMYFUNCTION("""COMPUTED_VALUE"""),"PLACIDO MARIA FILOMENA")</f>
        <v>PLACIDO MARIA FILOMENA</v>
      </c>
      <c r="D3067" s="44" t="str">
        <f>IFERROR(__xludf.DUMMYFUNCTION("""COMPUTED_VALUE""")," ")</f>
        <v> </v>
      </c>
      <c r="E3067" s="44" t="str">
        <f>IFERROR(__xludf.DUMMYFUNCTION("""COMPUTED_VALUE"""),"")</f>
        <v/>
      </c>
      <c r="F3067" s="44" t="str">
        <f>IFERROR(__xludf.DUMMYFUNCTION("""COMPUTED_VALUE"""),"")</f>
        <v/>
      </c>
      <c r="G3067" s="44" t="str">
        <f>IFERROR(__xludf.DUMMYFUNCTION("""COMPUTED_VALUE""")," ")</f>
        <v> </v>
      </c>
      <c r="H3067" s="44" t="str">
        <f>IFERROR(__xludf.DUMMYFUNCTION("""COMPUTED_VALUE""")," ")</f>
        <v> </v>
      </c>
      <c r="I3067" s="44" t="str">
        <f>IFERROR(__xludf.DUMMYFUNCTION("""COMPUTED_VALUE"""),"Internado")</f>
        <v>Internado</v>
      </c>
      <c r="J3067" s="44" t="str">
        <f>IFERROR(__xludf.DUMMYFUNCTION("""COMPUTED_VALUE"""),"")</f>
        <v/>
      </c>
      <c r="K3067" s="42" t="str">
        <f>IFERROR(__xludf.DUMMYFUNCTION("""COMPUTED_VALUE"""),"🔍 BUSCAR PACIENTES")</f>
        <v>🔍 BUSCAR PACIENTES</v>
      </c>
    </row>
    <row r="3068">
      <c r="A3068" s="44">
        <v>3067.0</v>
      </c>
      <c r="B3068" s="44" t="str">
        <f>IFERROR(__xludf.DUMMYFUNCTION("""COMPUTED_VALUE"""),"Centro de Acopio Caraballeda")</f>
        <v>Centro de Acopio Caraballeda</v>
      </c>
      <c r="C3068" s="45" t="str">
        <f>IFERROR(__xludf.DUMMYFUNCTION("""COMPUTED_VALUE"""),"PLANA ANGELA")</f>
        <v>PLANA ANGELA</v>
      </c>
      <c r="D3068" s="44" t="str">
        <f>IFERROR(__xludf.DUMMYFUNCTION("""COMPUTED_VALUE""")," ")</f>
        <v> </v>
      </c>
      <c r="E3068" s="44" t="str">
        <f>IFERROR(__xludf.DUMMYFUNCTION("""COMPUTED_VALUE"""),"")</f>
        <v/>
      </c>
      <c r="F3068" s="44" t="str">
        <f>IFERROR(__xludf.DUMMYFUNCTION("""COMPUTED_VALUE"""),"")</f>
        <v/>
      </c>
      <c r="G3068" s="44" t="str">
        <f>IFERROR(__xludf.DUMMYFUNCTION("""COMPUTED_VALUE""")," ")</f>
        <v> </v>
      </c>
      <c r="H3068" s="44" t="str">
        <f>IFERROR(__xludf.DUMMYFUNCTION("""COMPUTED_VALUE""")," ")</f>
        <v> </v>
      </c>
      <c r="I3068" s="44" t="str">
        <f>IFERROR(__xludf.DUMMYFUNCTION("""COMPUTED_VALUE"""),"Internado")</f>
        <v>Internado</v>
      </c>
      <c r="J3068" s="44" t="str">
        <f>IFERROR(__xludf.DUMMYFUNCTION("""COMPUTED_VALUE"""),"")</f>
        <v/>
      </c>
      <c r="K3068" s="42" t="str">
        <f>IFERROR(__xludf.DUMMYFUNCTION("""COMPUTED_VALUE"""),"🔍 BUSCAR PACIENTES")</f>
        <v>🔍 BUSCAR PACIENTES</v>
      </c>
    </row>
    <row r="3069">
      <c r="A3069" s="44">
        <v>3068.0</v>
      </c>
      <c r="B3069" s="44" t="str">
        <f>IFERROR(__xludf.DUMMYFUNCTION("""COMPUTED_VALUE"""),"Centro de Acopio Caraballeda")</f>
        <v>Centro de Acopio Caraballeda</v>
      </c>
      <c r="C3069" s="45" t="str">
        <f>IFERROR(__xludf.DUMMYFUNCTION("""COMPUTED_VALUE"""),"PLANA MIGUEL")</f>
        <v>PLANA MIGUEL</v>
      </c>
      <c r="D3069" s="44" t="str">
        <f>IFERROR(__xludf.DUMMYFUNCTION("""COMPUTED_VALUE""")," ")</f>
        <v> </v>
      </c>
      <c r="E3069" s="44" t="str">
        <f>IFERROR(__xludf.DUMMYFUNCTION("""COMPUTED_VALUE"""),"")</f>
        <v/>
      </c>
      <c r="F3069" s="44" t="str">
        <f>IFERROR(__xludf.DUMMYFUNCTION("""COMPUTED_VALUE"""),"")</f>
        <v/>
      </c>
      <c r="G3069" s="44" t="str">
        <f>IFERROR(__xludf.DUMMYFUNCTION("""COMPUTED_VALUE""")," ")</f>
        <v> </v>
      </c>
      <c r="H3069" s="44" t="str">
        <f>IFERROR(__xludf.DUMMYFUNCTION("""COMPUTED_VALUE""")," ")</f>
        <v> </v>
      </c>
      <c r="I3069" s="44" t="str">
        <f>IFERROR(__xludf.DUMMYFUNCTION("""COMPUTED_VALUE"""),"Internado")</f>
        <v>Internado</v>
      </c>
      <c r="J3069" s="44" t="str">
        <f>IFERROR(__xludf.DUMMYFUNCTION("""COMPUTED_VALUE"""),"")</f>
        <v/>
      </c>
      <c r="K3069" s="42" t="str">
        <f>IFERROR(__xludf.DUMMYFUNCTION("""COMPUTED_VALUE"""),"🔍 BUSCAR PACIENTES")</f>
        <v>🔍 BUSCAR PACIENTES</v>
      </c>
    </row>
    <row r="3070">
      <c r="A3070" s="44">
        <v>3069.0</v>
      </c>
      <c r="B3070" s="44" t="str">
        <f>IFERROR(__xludf.DUMMYFUNCTION("""COMPUTED_VALUE"""),"Centro de Acopio Caraballeda")</f>
        <v>Centro de Acopio Caraballeda</v>
      </c>
      <c r="C3070" s="45" t="str">
        <f>IFERROR(__xludf.DUMMYFUNCTION("""COMPUTED_VALUE"""),"PLANAS LUIS")</f>
        <v>PLANAS LUIS</v>
      </c>
      <c r="D3070" s="44" t="str">
        <f>IFERROR(__xludf.DUMMYFUNCTION("""COMPUTED_VALUE""")," ")</f>
        <v> </v>
      </c>
      <c r="E3070" s="44" t="str">
        <f>IFERROR(__xludf.DUMMYFUNCTION("""COMPUTED_VALUE"""),"")</f>
        <v/>
      </c>
      <c r="F3070" s="44" t="str">
        <f>IFERROR(__xludf.DUMMYFUNCTION("""COMPUTED_VALUE"""),"")</f>
        <v/>
      </c>
      <c r="G3070" s="44" t="str">
        <f>IFERROR(__xludf.DUMMYFUNCTION("""COMPUTED_VALUE""")," ")</f>
        <v> </v>
      </c>
      <c r="H3070" s="44" t="str">
        <f>IFERROR(__xludf.DUMMYFUNCTION("""COMPUTED_VALUE""")," ")</f>
        <v> </v>
      </c>
      <c r="I3070" s="44" t="str">
        <f>IFERROR(__xludf.DUMMYFUNCTION("""COMPUTED_VALUE"""),"Internado")</f>
        <v>Internado</v>
      </c>
      <c r="J3070" s="44" t="str">
        <f>IFERROR(__xludf.DUMMYFUNCTION("""COMPUTED_VALUE"""),"")</f>
        <v/>
      </c>
      <c r="K3070" s="42" t="str">
        <f>IFERROR(__xludf.DUMMYFUNCTION("""COMPUTED_VALUE"""),"🔍 BUSCAR PACIENTES")</f>
        <v>🔍 BUSCAR PACIENTES</v>
      </c>
    </row>
    <row r="3071">
      <c r="A3071" s="44">
        <v>3070.0</v>
      </c>
      <c r="B3071" s="44" t="str">
        <f>IFERROR(__xludf.DUMMYFUNCTION("""COMPUTED_VALUE"""),"Centro de Acopio Caraballeda")</f>
        <v>Centro de Acopio Caraballeda</v>
      </c>
      <c r="C3071" s="45" t="str">
        <f>IFERROR(__xludf.DUMMYFUNCTION("""COMPUTED_VALUE"""),"PLANAS MARCOS")</f>
        <v>PLANAS MARCOS</v>
      </c>
      <c r="D3071" s="44" t="str">
        <f>IFERROR(__xludf.DUMMYFUNCTION("""COMPUTED_VALUE""")," ")</f>
        <v> </v>
      </c>
      <c r="E3071" s="44" t="str">
        <f>IFERROR(__xludf.DUMMYFUNCTION("""COMPUTED_VALUE"""),"")</f>
        <v/>
      </c>
      <c r="F3071" s="44" t="str">
        <f>IFERROR(__xludf.DUMMYFUNCTION("""COMPUTED_VALUE"""),"")</f>
        <v/>
      </c>
      <c r="G3071" s="44" t="str">
        <f>IFERROR(__xludf.DUMMYFUNCTION("""COMPUTED_VALUE""")," ")</f>
        <v> </v>
      </c>
      <c r="H3071" s="44" t="str">
        <f>IFERROR(__xludf.DUMMYFUNCTION("""COMPUTED_VALUE""")," ")</f>
        <v> </v>
      </c>
      <c r="I3071" s="44" t="str">
        <f>IFERROR(__xludf.DUMMYFUNCTION("""COMPUTED_VALUE"""),"Internado")</f>
        <v>Internado</v>
      </c>
      <c r="J3071" s="44" t="str">
        <f>IFERROR(__xludf.DUMMYFUNCTION("""COMPUTED_VALUE"""),"")</f>
        <v/>
      </c>
      <c r="K3071" s="42" t="str">
        <f>IFERROR(__xludf.DUMMYFUNCTION("""COMPUTED_VALUE"""),"🔍 BUSCAR PACIENTES")</f>
        <v>🔍 BUSCAR PACIENTES</v>
      </c>
    </row>
    <row r="3072">
      <c r="A3072" s="44">
        <v>3071.0</v>
      </c>
      <c r="B3072" s="44" t="str">
        <f>IFERROR(__xludf.DUMMYFUNCTION("""COMPUTED_VALUE"""),"Periférico de Catia")</f>
        <v>Periférico de Catia</v>
      </c>
      <c r="C3072" s="45" t="str">
        <f>IFERROR(__xludf.DUMMYFUNCTION("""COMPUTED_VALUE"""),"PLATA BENITO")</f>
        <v>PLATA BENITO</v>
      </c>
      <c r="D3072" s="44">
        <f>IFERROR(__xludf.DUMMYFUNCTION("""COMPUTED_VALUE"""),52.0)</f>
        <v>52</v>
      </c>
      <c r="E3072" s="44" t="str">
        <f>IFERROR(__xludf.DUMMYFUNCTION("""COMPUTED_VALUE"""),"")</f>
        <v/>
      </c>
      <c r="F3072" s="44" t="str">
        <f>IFERROR(__xludf.DUMMYFUNCTION("""COMPUTED_VALUE"""),"")</f>
        <v/>
      </c>
      <c r="G3072" s="44" t="str">
        <f>IFERROR(__xludf.DUMMYFUNCTION("""COMPUTED_VALUE""")," ")</f>
        <v> </v>
      </c>
      <c r="H3072" s="44" t="str">
        <f>IFERROR(__xludf.DUMMYFUNCTION("""COMPUTED_VALUE"""),"Carayaca")</f>
        <v>Carayaca</v>
      </c>
      <c r="I3072" s="44" t="str">
        <f>IFERROR(__xludf.DUMMYFUNCTION("""COMPUTED_VALUE"""),"TRM")</f>
        <v>TRM</v>
      </c>
      <c r="J3072" s="44" t="str">
        <f>IFERROR(__xludf.DUMMYFUNCTION("""COMPUTED_VALUE"""),"")</f>
        <v/>
      </c>
      <c r="K3072" s="42" t="str">
        <f>IFERROR(__xludf.DUMMYFUNCTION("""COMPUTED_VALUE"""),"Periférico de Catia")</f>
        <v>Periférico de Catia</v>
      </c>
    </row>
    <row r="3073">
      <c r="A3073" s="44">
        <v>3072.0</v>
      </c>
      <c r="B3073" s="44" t="str">
        <f>IFERROR(__xludf.DUMMYFUNCTION("""COMPUTED_VALUE"""),"Hospital Pérez Carreño")</f>
        <v>Hospital Pérez Carreño</v>
      </c>
      <c r="C3073" s="45" t="str">
        <f>IFERROR(__xludf.DUMMYFUNCTION("""COMPUTED_VALUE"""),"POLANCO YAURIPANA LIAN SANTIAGO")</f>
        <v>POLANCO YAURIPANA LIAN SANTIAGO</v>
      </c>
      <c r="D3073" s="44">
        <f>IFERROR(__xludf.DUMMYFUNCTION("""COMPUTED_VALUE"""),5.0)</f>
        <v>5</v>
      </c>
      <c r="E3073" s="44" t="str">
        <f>IFERROR(__xludf.DUMMYFUNCTION("""COMPUTED_VALUE"""),"")</f>
        <v/>
      </c>
      <c r="F3073" s="44" t="str">
        <f>IFERROR(__xludf.DUMMYFUNCTION("""COMPUTED_VALUE"""),"")</f>
        <v/>
      </c>
      <c r="G3073" s="44" t="str">
        <f>IFERROR(__xludf.DUMMYFUNCTION("""COMPUTED_VALUE""")," ")</f>
        <v> </v>
      </c>
      <c r="H3073" s="44" t="str">
        <f>IFERROR(__xludf.DUMMYFUNCTION("""COMPUTED_VALUE""")," ")</f>
        <v> </v>
      </c>
      <c r="I3073" s="44" t="str">
        <f>IFERROR(__xludf.DUMMYFUNCTION("""COMPUTED_VALUE"""),"Pediatría")</f>
        <v>Pediatría</v>
      </c>
      <c r="J3073" s="44" t="str">
        <f>IFERROR(__xludf.DUMMYFUNCTION("""COMPUTED_VALUE"""),"25/06/2026")</f>
        <v>25/06/2026</v>
      </c>
      <c r="K3073" s="42" t="str">
        <f>IFERROR(__xludf.DUMMYFUNCTION("""COMPUTED_VALUE"""),"Hospital Pérez Carreño")</f>
        <v>Hospital Pérez Carreño</v>
      </c>
    </row>
    <row r="3074">
      <c r="A3074" s="44">
        <v>3073.0</v>
      </c>
      <c r="B3074" s="44" t="str">
        <f>IFERROR(__xludf.DUMMYFUNCTION("""COMPUTED_VALUE"""),"La Guaira Sin Hospital")</f>
        <v>La Guaira Sin Hospital</v>
      </c>
      <c r="C3074" s="45" t="str">
        <f>IFERROR(__xludf.DUMMYFUNCTION("""COMPUTED_VALUE"""),"Polanco Yauripano Liz Santiago")</f>
        <v>Polanco Yauripano Liz Santiago</v>
      </c>
      <c r="D3074" s="44" t="str">
        <f>IFERROR(__xludf.DUMMYFUNCTION("""COMPUTED_VALUE"""),"")</f>
        <v/>
      </c>
      <c r="E3074" s="44" t="str">
        <f>IFERROR(__xludf.DUMMYFUNCTION("""COMPUTED_VALUE"""),"")</f>
        <v/>
      </c>
      <c r="F3074" s="44" t="str">
        <f>IFERROR(__xludf.DUMMYFUNCTION("""COMPUTED_VALUE"""),"")</f>
        <v/>
      </c>
      <c r="G3074" s="44" t="str">
        <f>IFERROR(__xludf.DUMMYFUNCTION("""COMPUTED_VALUE"""),"")</f>
        <v/>
      </c>
      <c r="H3074" s="44"/>
      <c r="I3074" s="44" t="str">
        <f>IFERROR(__xludf.DUMMYFUNCTION("""COMPUTED_VALUE"""),"Listas solo con nombre")</f>
        <v>Listas solo con nombre</v>
      </c>
      <c r="J3074" s="44" t="str">
        <f>IFERROR(__xludf.DUMMYFUNCTION("""COMPUTED_VALUE"""),"")</f>
        <v/>
      </c>
      <c r="K3074" s="42" t="str">
        <f>IFERROR(__xludf.DUMMYFUNCTION("""COMPUTED_VALUE"""),"La Guaira Sin Hospital")</f>
        <v>La Guaira Sin Hospital</v>
      </c>
    </row>
    <row r="3075">
      <c r="A3075" s="44">
        <v>3074.0</v>
      </c>
      <c r="B3075" s="44" t="str">
        <f>IFERROR(__xludf.DUMMYFUNCTION("""COMPUTED_VALUE"""),"Hospital Pérez Carreño")</f>
        <v>Hospital Pérez Carreño</v>
      </c>
      <c r="C3075" s="45" t="str">
        <f>IFERROR(__xludf.DUMMYFUNCTION("""COMPUTED_VALUE"""),"Polenco Yauripanz Lizan Santiago")</f>
        <v>Polenco Yauripanz Lizan Santiago</v>
      </c>
      <c r="D3075" s="44"/>
      <c r="E3075" s="44" t="str">
        <f>IFERROR(__xludf.DUMMYFUNCTION("""COMPUTED_VALUE"""),"")</f>
        <v/>
      </c>
      <c r="F3075" s="44" t="str">
        <f>IFERROR(__xludf.DUMMYFUNCTION("""COMPUTED_VALUE"""),"")</f>
        <v/>
      </c>
      <c r="G3075" s="44" t="str">
        <f>IFERROR(__xludf.DUMMYFUNCTION("""COMPUTED_VALUE"""),"Traslados")</f>
        <v>Traslados</v>
      </c>
      <c r="H3075" s="44" t="str">
        <f>IFERROR(__xludf.DUMMYFUNCTION("""COMPUTED_VALUE"""),"Hospital Miguel Perez Carreño")</f>
        <v>Hospital Miguel Perez Carreño</v>
      </c>
      <c r="I3075" s="44"/>
      <c r="J3075" s="44" t="str">
        <f>IFERROR(__xludf.DUMMYFUNCTION("""COMPUTED_VALUE"""),"26/6/26")</f>
        <v>26/6/26</v>
      </c>
      <c r="K3075" s="42" t="str">
        <f>IFERROR(__xludf.DUMMYFUNCTION("""COMPUTED_VALUE"""),"Hospital Pérez Carreño")</f>
        <v>Hospital Pérez Carreño</v>
      </c>
    </row>
    <row r="3076">
      <c r="A3076" s="44">
        <v>3075.0</v>
      </c>
      <c r="B3076" s="44" t="str">
        <f>IFERROR(__xludf.DUMMYFUNCTION("""COMPUTED_VALUE"""),"Centro de Acopio Caraballeda")</f>
        <v>Centro de Acopio Caraballeda</v>
      </c>
      <c r="C3076" s="45" t="str">
        <f>IFERROR(__xludf.DUMMYFUNCTION("""COMPUTED_VALUE"""),"POLEO MIGUEL")</f>
        <v>POLEO MIGUEL</v>
      </c>
      <c r="D3076" s="44" t="str">
        <f>IFERROR(__xludf.DUMMYFUNCTION("""COMPUTED_VALUE""")," ")</f>
        <v> </v>
      </c>
      <c r="E3076" s="44" t="str">
        <f>IFERROR(__xludf.DUMMYFUNCTION("""COMPUTED_VALUE"""),"")</f>
        <v/>
      </c>
      <c r="F3076" s="44" t="str">
        <f>IFERROR(__xludf.DUMMYFUNCTION("""COMPUTED_VALUE"""),"")</f>
        <v/>
      </c>
      <c r="G3076" s="44" t="str">
        <f>IFERROR(__xludf.DUMMYFUNCTION("""COMPUTED_VALUE""")," ")</f>
        <v> </v>
      </c>
      <c r="H3076" s="44" t="str">
        <f>IFERROR(__xludf.DUMMYFUNCTION("""COMPUTED_VALUE""")," ")</f>
        <v> </v>
      </c>
      <c r="I3076" s="44" t="str">
        <f>IFERROR(__xludf.DUMMYFUNCTION("""COMPUTED_VALUE"""),"Internado; MENOR")</f>
        <v>Internado; MENOR</v>
      </c>
      <c r="J3076" s="44" t="str">
        <f>IFERROR(__xludf.DUMMYFUNCTION("""COMPUTED_VALUE"""),"")</f>
        <v/>
      </c>
      <c r="K3076" s="42" t="str">
        <f>IFERROR(__xludf.DUMMYFUNCTION("""COMPUTED_VALUE"""),"🔍 BUSCAR PACIENTES")</f>
        <v>🔍 BUSCAR PACIENTES</v>
      </c>
    </row>
    <row r="3077">
      <c r="A3077" s="44">
        <v>3076.0</v>
      </c>
      <c r="B3077" s="44" t="str">
        <f>IFERROR(__xludf.DUMMYFUNCTION("""COMPUTED_VALUE"""),"Hospital Pérez Carreño")</f>
        <v>Hospital Pérez Carreño</v>
      </c>
      <c r="C3077" s="45" t="str">
        <f>IFERROR(__xludf.DUMMYFUNCTION("""COMPUTED_VALUE"""),"Polido Morales Yule")</f>
        <v>Polido Morales Yule</v>
      </c>
      <c r="D3077" s="44"/>
      <c r="E3077" s="44" t="str">
        <f>IFERROR(__xludf.DUMMYFUNCTION("""COMPUTED_VALUE"""),"")</f>
        <v/>
      </c>
      <c r="F3077" s="44" t="str">
        <f>IFERROR(__xludf.DUMMYFUNCTION("""COMPUTED_VALUE"""),"")</f>
        <v/>
      </c>
      <c r="G3077" s="44" t="str">
        <f>IFERROR(__xludf.DUMMYFUNCTION("""COMPUTED_VALUE"""),"Traslados con destino asignado")</f>
        <v>Traslados con destino asignado</v>
      </c>
      <c r="H3077" s="44" t="str">
        <f>IFERROR(__xludf.DUMMYFUNCTION("""COMPUTED_VALUE"""),"Hospital Miguel Perez Carreño")</f>
        <v>Hospital Miguel Perez Carreño</v>
      </c>
      <c r="I3077" s="44"/>
      <c r="J3077" s="44" t="str">
        <f>IFERROR(__xludf.DUMMYFUNCTION("""COMPUTED_VALUE"""),"26/6/26")</f>
        <v>26/6/26</v>
      </c>
      <c r="K3077" s="42" t="str">
        <f>IFERROR(__xludf.DUMMYFUNCTION("""COMPUTED_VALUE"""),"Hospital Pérez Carreño")</f>
        <v>Hospital Pérez Carreño</v>
      </c>
    </row>
    <row r="3078">
      <c r="A3078" s="44">
        <v>3077.0</v>
      </c>
      <c r="B3078" s="44" t="str">
        <f>IFERROR(__xludf.DUMMYFUNCTION("""COMPUTED_VALUE"""),"H. Jose Maria Vargas LG")</f>
        <v>H. Jose Maria Vargas LG</v>
      </c>
      <c r="C3078" s="45" t="str">
        <f>IFERROR(__xludf.DUMMYFUNCTION("""COMPUTED_VALUE"""),"PONCE JUANA")</f>
        <v>PONCE JUANA</v>
      </c>
      <c r="D3078" s="44" t="str">
        <f>IFERROR(__xludf.DUMMYFUNCTION("""COMPUTED_VALUE""")," ")</f>
        <v> </v>
      </c>
      <c r="E3078" s="44" t="str">
        <f>IFERROR(__xludf.DUMMYFUNCTION("""COMPUTED_VALUE"""),"")</f>
        <v/>
      </c>
      <c r="F3078" s="44" t="str">
        <f>IFERROR(__xludf.DUMMYFUNCTION("""COMPUTED_VALUE"""),"")</f>
        <v/>
      </c>
      <c r="G3078" s="44" t="str">
        <f>IFERROR(__xludf.DUMMYFUNCTION("""COMPUTED_VALUE""")," ")</f>
        <v> </v>
      </c>
      <c r="H3078" s="44" t="str">
        <f>IFERROR(__xludf.DUMMYFUNCTION("""COMPUTED_VALUE""")," ")</f>
        <v> </v>
      </c>
      <c r="I3078" s="44" t="str">
        <f>IFERROR(__xludf.DUMMYFUNCTION("""COMPUTED_VALUE""")," ")</f>
        <v> </v>
      </c>
      <c r="J3078" s="44" t="str">
        <f>IFERROR(__xludf.DUMMYFUNCTION("""COMPUTED_VALUE"""),"")</f>
        <v/>
      </c>
      <c r="K3078" s="42" t="str">
        <f>IFERROR(__xludf.DUMMYFUNCTION("""COMPUTED_VALUE"""),"H. Jose Maria Vargas LG")</f>
        <v>H. Jose Maria Vargas LG</v>
      </c>
    </row>
    <row r="3079">
      <c r="A3079" s="44">
        <v>3078.0</v>
      </c>
      <c r="B3079" s="44" t="str">
        <f>IFERROR(__xludf.DUMMYFUNCTION("""COMPUTED_VALUE"""),"Hospital Pérez Carreño")</f>
        <v>Hospital Pérez Carreño</v>
      </c>
      <c r="C3079" s="45" t="str">
        <f>IFERROR(__xludf.DUMMYFUNCTION("""COMPUTED_VALUE"""),"PORRA DUGLAS")</f>
        <v>PORRA DUGLAS</v>
      </c>
      <c r="D3079" s="44">
        <f>IFERROR(__xludf.DUMMYFUNCTION("""COMPUTED_VALUE"""),35.0)</f>
        <v>35</v>
      </c>
      <c r="E3079" s="44" t="str">
        <f>IFERROR(__xludf.DUMMYFUNCTION("""COMPUTED_VALUE"""),"")</f>
        <v/>
      </c>
      <c r="F3079" s="44" t="str">
        <f>IFERROR(__xludf.DUMMYFUNCTION("""COMPUTED_VALUE"""),"")</f>
        <v/>
      </c>
      <c r="G3079" s="44" t="str">
        <f>IFERROR(__xludf.DUMMYFUNCTION("""COMPUTED_VALUE""")," ")</f>
        <v> </v>
      </c>
      <c r="H3079" s="44" t="str">
        <f>IFERROR(__xludf.DUMMYFUNCTION("""COMPUTED_VALUE""")," ")</f>
        <v> </v>
      </c>
      <c r="I3079" s="44" t="str">
        <f>IFERROR(__xludf.DUMMYFUNCTION("""COMPUTED_VALUE"""),"Traumashock | Traumachok; La Guaira")</f>
        <v>Traumashock | Traumachok; La Guaira</v>
      </c>
      <c r="J3079" s="44" t="str">
        <f>IFERROR(__xludf.DUMMYFUNCTION("""COMPUTED_VALUE"""),"25/06/2026")</f>
        <v>25/06/2026</v>
      </c>
      <c r="K3079" s="42" t="str">
        <f>IFERROR(__xludf.DUMMYFUNCTION("""COMPUTED_VALUE"""),"Hospital Pérez Carreño")</f>
        <v>Hospital Pérez Carreño</v>
      </c>
    </row>
    <row r="3080">
      <c r="A3080" s="44">
        <v>3079.0</v>
      </c>
      <c r="B3080" s="44" t="str">
        <f>IFERROR(__xludf.DUMMYFUNCTION("""COMPUTED_VALUE"""),"Hospital Pérez Carreño")</f>
        <v>Hospital Pérez Carreño</v>
      </c>
      <c r="C3080" s="45" t="str">
        <f>IFERROR(__xludf.DUMMYFUNCTION("""COMPUTED_VALUE"""),"Porras Castro")</f>
        <v>Porras Castro</v>
      </c>
      <c r="D3080" s="44"/>
      <c r="E3080" s="44" t="str">
        <f>IFERROR(__xludf.DUMMYFUNCTION("""COMPUTED_VALUE"""),"")</f>
        <v/>
      </c>
      <c r="F3080" s="44" t="str">
        <f>IFERROR(__xludf.DUMMYFUNCTION("""COMPUTED_VALUE"""),"")</f>
        <v/>
      </c>
      <c r="G3080" s="44" t="str">
        <f>IFERROR(__xludf.DUMMYFUNCTION("""COMPUTED_VALUE"""),"Traslados con destino asignado")</f>
        <v>Traslados con destino asignado</v>
      </c>
      <c r="H3080" s="44" t="str">
        <f>IFERROR(__xludf.DUMMYFUNCTION("""COMPUTED_VALUE"""),"Hospital Miguel Perez Carreño")</f>
        <v>Hospital Miguel Perez Carreño</v>
      </c>
      <c r="I3080" s="44"/>
      <c r="J3080" s="44" t="str">
        <f>IFERROR(__xludf.DUMMYFUNCTION("""COMPUTED_VALUE"""),"26/6/26")</f>
        <v>26/6/26</v>
      </c>
      <c r="K3080" s="42" t="str">
        <f>IFERROR(__xludf.DUMMYFUNCTION("""COMPUTED_VALUE"""),"Hospital Pérez Carreño")</f>
        <v>Hospital Pérez Carreño</v>
      </c>
    </row>
    <row r="3081">
      <c r="A3081" s="44">
        <v>3080.0</v>
      </c>
      <c r="B3081" s="44" t="str">
        <f>IFERROR(__xludf.DUMMYFUNCTION("""COMPUTED_VALUE"""),"Hospital Pérez Carreño")</f>
        <v>Hospital Pérez Carreño</v>
      </c>
      <c r="C3081" s="45" t="str">
        <f>IFERROR(__xludf.DUMMYFUNCTION("""COMPUTED_VALUE"""),"Porras Douglas")</f>
        <v>Porras Douglas</v>
      </c>
      <c r="D3081" s="44"/>
      <c r="E3081" s="44" t="str">
        <f>IFERROR(__xludf.DUMMYFUNCTION("""COMPUTED_VALUE"""),"")</f>
        <v/>
      </c>
      <c r="F3081" s="44" t="str">
        <f>IFERROR(__xludf.DUMMYFUNCTION("""COMPUTED_VALUE"""),"")</f>
        <v/>
      </c>
      <c r="G3081" s="44" t="str">
        <f>IFERROR(__xludf.DUMMYFUNCTION("""COMPUTED_VALUE"""),"Traslados con destino asignado")</f>
        <v>Traslados con destino asignado</v>
      </c>
      <c r="H3081" s="44" t="str">
        <f>IFERROR(__xludf.DUMMYFUNCTION("""COMPUTED_VALUE"""),"Hospital Miguel Perez Carreño")</f>
        <v>Hospital Miguel Perez Carreño</v>
      </c>
      <c r="I3081" s="44"/>
      <c r="J3081" s="44" t="str">
        <f>IFERROR(__xludf.DUMMYFUNCTION("""COMPUTED_VALUE"""),"26/6/26")</f>
        <v>26/6/26</v>
      </c>
      <c r="K3081" s="42" t="str">
        <f>IFERROR(__xludf.DUMMYFUNCTION("""COMPUTED_VALUE"""),"Hospital Pérez Carreño")</f>
        <v>Hospital Pérez Carreño</v>
      </c>
    </row>
    <row r="3082">
      <c r="A3082" s="44">
        <v>3081.0</v>
      </c>
      <c r="B3082" s="44" t="str">
        <f>IFERROR(__xludf.DUMMYFUNCTION("""COMPUTED_VALUE"""),"Hospital Domingo Luciani")</f>
        <v>Hospital Domingo Luciani</v>
      </c>
      <c r="C3082" s="45" t="str">
        <f>IFERROR(__xludf.DUMMYFUNCTION("""COMPUTED_VALUE"""),"PORTILLO OMAR")</f>
        <v>PORTILLO OMAR</v>
      </c>
      <c r="D3082" s="44">
        <f>IFERROR(__xludf.DUMMYFUNCTION("""COMPUTED_VALUE"""),40.0)</f>
        <v>40</v>
      </c>
      <c r="E3082" s="44" t="str">
        <f>IFERROR(__xludf.DUMMYFUNCTION("""COMPUTED_VALUE"""),"")</f>
        <v/>
      </c>
      <c r="F3082" s="44" t="str">
        <f>IFERROR(__xludf.DUMMYFUNCTION("""COMPUTED_VALUE"""),"")</f>
        <v/>
      </c>
      <c r="G3082" s="44" t="str">
        <f>IFERROR(__xludf.DUMMYFUNCTION("""COMPUTED_VALUE""")," ")</f>
        <v> </v>
      </c>
      <c r="H3082" s="44" t="str">
        <f>IFERROR(__xludf.DUMMYFUNCTION("""COMPUTED_VALUE""")," ")</f>
        <v> </v>
      </c>
      <c r="I3082" s="44" t="str">
        <f>IFERROR(__xludf.DUMMYFUNCTION("""COMPUTED_VALUE"""),"Cardiología Piso 2 – H-12 – M")</f>
        <v>Cardiología Piso 2 – H-12 – M</v>
      </c>
      <c r="J3082" s="44" t="str">
        <f>IFERROR(__xludf.DUMMYFUNCTION("""COMPUTED_VALUE"""),"")</f>
        <v/>
      </c>
      <c r="K3082" s="42" t="str">
        <f>IFERROR(__xludf.DUMMYFUNCTION("""COMPUTED_VALUE"""),"🔍 BUSCAR PACIENTES")</f>
        <v>🔍 BUSCAR PACIENTES</v>
      </c>
    </row>
    <row r="3083">
      <c r="A3083" s="44">
        <v>3082.0</v>
      </c>
      <c r="B3083" s="44" t="str">
        <f>IFERROR(__xludf.DUMMYFUNCTION("""COMPUTED_VALUE"""),"H. Jose Maria Vargas LG")</f>
        <v>H. Jose Maria Vargas LG</v>
      </c>
      <c r="C3083" s="45" t="str">
        <f>IFERROR(__xludf.DUMMYFUNCTION("""COMPUTED_VALUE"""),"POSA ESCOBAR OLGA")</f>
        <v>POSA ESCOBAR OLGA</v>
      </c>
      <c r="D3083" s="44" t="str">
        <f>IFERROR(__xludf.DUMMYFUNCTION("""COMPUTED_VALUE""")," ")</f>
        <v> </v>
      </c>
      <c r="E3083" s="44" t="str">
        <f>IFERROR(__xludf.DUMMYFUNCTION("""COMPUTED_VALUE"""),"")</f>
        <v/>
      </c>
      <c r="F3083" s="44" t="str">
        <f>IFERROR(__xludf.DUMMYFUNCTION("""COMPUTED_VALUE"""),"")</f>
        <v/>
      </c>
      <c r="G3083" s="44" t="str">
        <f>IFERROR(__xludf.DUMMYFUNCTION("""COMPUTED_VALUE""")," ")</f>
        <v> </v>
      </c>
      <c r="H3083" s="44" t="str">
        <f>IFERROR(__xludf.DUMMYFUNCTION("""COMPUTED_VALUE""")," ")</f>
        <v> </v>
      </c>
      <c r="I3083" s="44" t="str">
        <f>IFERROR(__xludf.DUMMYFUNCTION("""COMPUTED_VALUE"""),"Internado")</f>
        <v>Internado</v>
      </c>
      <c r="J3083" s="44" t="str">
        <f>IFERROR(__xludf.DUMMYFUNCTION("""COMPUTED_VALUE"""),"")</f>
        <v/>
      </c>
      <c r="K3083" s="42" t="str">
        <f>IFERROR(__xludf.DUMMYFUNCTION("""COMPUTED_VALUE"""),"H. Jose Maria Vargas LG")</f>
        <v>H. Jose Maria Vargas LG</v>
      </c>
    </row>
    <row r="3084">
      <c r="A3084" s="44">
        <v>3083.0</v>
      </c>
      <c r="B3084" s="44" t="str">
        <f>IFERROR(__xludf.DUMMYFUNCTION("""COMPUTED_VALUE"""),"Hospital Domingo Luciani")</f>
        <v>Hospital Domingo Luciani</v>
      </c>
      <c r="C3084" s="45" t="str">
        <f>IFERROR(__xludf.DUMMYFUNCTION("""COMPUTED_VALUE"""),"POSADA ANTONIO")</f>
        <v>POSADA ANTONIO</v>
      </c>
      <c r="D3084" s="44">
        <f>IFERROR(__xludf.DUMMYFUNCTION("""COMPUTED_VALUE"""),78.0)</f>
        <v>78</v>
      </c>
      <c r="E3084" s="44" t="str">
        <f>IFERROR(__xludf.DUMMYFUNCTION("""COMPUTED_VALUE"""),"")</f>
        <v/>
      </c>
      <c r="F3084" s="44" t="str">
        <f>IFERROR(__xludf.DUMMYFUNCTION("""COMPUTED_VALUE"""),"")</f>
        <v/>
      </c>
      <c r="G3084" s="44" t="str">
        <f>IFERROR(__xludf.DUMMYFUNCTION("""COMPUTED_VALUE""")," ")</f>
        <v> </v>
      </c>
      <c r="H3084" s="44" t="str">
        <f>IFERROR(__xludf.DUMMYFUNCTION("""COMPUTED_VALUE""")," ")</f>
        <v> </v>
      </c>
      <c r="I3084" s="44" t="str">
        <f>IFERROR(__xludf.DUMMYFUNCTION("""COMPUTED_VALUE"""),"Cardiología Piso 2 – H-9 – M")</f>
        <v>Cardiología Piso 2 – H-9 – M</v>
      </c>
      <c r="J3084" s="44" t="str">
        <f>IFERROR(__xludf.DUMMYFUNCTION("""COMPUTED_VALUE"""),"")</f>
        <v/>
      </c>
      <c r="K3084" s="42" t="str">
        <f>IFERROR(__xludf.DUMMYFUNCTION("""COMPUTED_VALUE"""),"🔍 BUSCAR PACIENTES")</f>
        <v>🔍 BUSCAR PACIENTES</v>
      </c>
    </row>
    <row r="3085">
      <c r="A3085" s="44">
        <v>3084.0</v>
      </c>
      <c r="B3085" s="44" t="str">
        <f>IFERROR(__xludf.DUMMYFUNCTION("""COMPUTED_VALUE"""),"Hospital Vargas de Caracas")</f>
        <v>Hospital Vargas de Caracas</v>
      </c>
      <c r="C3085" s="45" t="str">
        <f>IFERROR(__xludf.DUMMYFUNCTION("""COMPUTED_VALUE"""),"POSSO JUAN CARLOS")</f>
        <v>POSSO JUAN CARLOS</v>
      </c>
      <c r="D3085" s="44" t="str">
        <f>IFERROR(__xludf.DUMMYFUNCTION("""COMPUTED_VALUE""")," ")</f>
        <v> </v>
      </c>
      <c r="E3085" s="44" t="str">
        <f>IFERROR(__xludf.DUMMYFUNCTION("""COMPUTED_VALUE"""),"")</f>
        <v/>
      </c>
      <c r="F3085" s="44" t="str">
        <f>IFERROR(__xludf.DUMMYFUNCTION("""COMPUTED_VALUE""")," ")</f>
        <v> </v>
      </c>
      <c r="G3085" s="44" t="str">
        <f>IFERROR(__xludf.DUMMYFUNCTION("""COMPUTED_VALUE"""),"")</f>
        <v/>
      </c>
      <c r="H3085" s="44" t="str">
        <f>IFERROR(__xludf.DUMMYFUNCTION("""COMPUTED_VALUE""")," ")</f>
        <v> </v>
      </c>
      <c r="I3085" s="44" t="str">
        <f>IFERROR(__xludf.DUMMYFUNCTION("""COMPUTED_VALUE""")," ")</f>
        <v> </v>
      </c>
      <c r="J3085" s="44" t="str">
        <f>IFERROR(__xludf.DUMMYFUNCTION("""COMPUTED_VALUE"""),"")</f>
        <v/>
      </c>
      <c r="K3085" s="42" t="str">
        <f>IFERROR(__xludf.DUMMYFUNCTION("""COMPUTED_VALUE"""),"Hospital Vargas de Caracas")</f>
        <v>Hospital Vargas de Caracas</v>
      </c>
    </row>
    <row r="3086">
      <c r="A3086" s="44">
        <v>3085.0</v>
      </c>
      <c r="B3086" s="44" t="str">
        <f>IFERROR(__xludf.DUMMYFUNCTION("""COMPUTED_VALUE"""),"Hospital Pérez Carreño")</f>
        <v>Hospital Pérez Carreño</v>
      </c>
      <c r="C3086" s="45" t="str">
        <f>IFERROR(__xludf.DUMMYFUNCTION("""COMPUTED_VALUE"""),"PRADA ENECY VALERIO")</f>
        <v>PRADA ENECY VALERIO</v>
      </c>
      <c r="D3086" s="44" t="str">
        <f>IFERROR(__xludf.DUMMYFUNCTION("""COMPUTED_VALUE""")," ")</f>
        <v> </v>
      </c>
      <c r="E3086" s="44" t="str">
        <f>IFERROR(__xludf.DUMMYFUNCTION("""COMPUTED_VALUE"""),"")</f>
        <v/>
      </c>
      <c r="F3086" s="44" t="str">
        <f>IFERROR(__xludf.DUMMYFUNCTION("""COMPUTED_VALUE"""),"")</f>
        <v/>
      </c>
      <c r="G3086" s="44" t="str">
        <f>IFERROR(__xludf.DUMMYFUNCTION("""COMPUTED_VALUE""")," ")</f>
        <v> </v>
      </c>
      <c r="H3086" s="44" t="str">
        <f>IFERROR(__xludf.DUMMYFUNCTION("""COMPUTED_VALUE""")," ")</f>
        <v> </v>
      </c>
      <c r="I3086" s="44" t="str">
        <f>IFERROR(__xludf.DUMMYFUNCTION("""COMPUTED_VALUE"""),"Internado")</f>
        <v>Internado</v>
      </c>
      <c r="J3086" s="44" t="str">
        <f>IFERROR(__xludf.DUMMYFUNCTION("""COMPUTED_VALUE"""),"")</f>
        <v/>
      </c>
      <c r="K3086" s="42" t="str">
        <f>IFERROR(__xludf.DUMMYFUNCTION("""COMPUTED_VALUE"""),"🔍 BUSCAR PACIENTES")</f>
        <v>🔍 BUSCAR PACIENTES</v>
      </c>
    </row>
    <row r="3087">
      <c r="A3087" s="44">
        <v>3086.0</v>
      </c>
      <c r="B3087" s="44" t="str">
        <f>IFERROR(__xludf.DUMMYFUNCTION("""COMPUTED_VALUE"""),"Hospital Domingo Luciani")</f>
        <v>Hospital Domingo Luciani</v>
      </c>
      <c r="C3087" s="45" t="str">
        <f>IFERROR(__xludf.DUMMYFUNCTION("""COMPUTED_VALUE"""),"PRADA GABRIELA")</f>
        <v>PRADA GABRIELA</v>
      </c>
      <c r="D3087" s="44">
        <f>IFERROR(__xludf.DUMMYFUNCTION("""COMPUTED_VALUE"""),15.0)</f>
        <v>15</v>
      </c>
      <c r="E3087" s="44" t="str">
        <f>IFERROR(__xludf.DUMMYFUNCTION("""COMPUTED_VALUE"""),"")</f>
        <v/>
      </c>
      <c r="F3087" s="44" t="str">
        <f>IFERROR(__xludf.DUMMYFUNCTION("""COMPUTED_VALUE"""),"")</f>
        <v/>
      </c>
      <c r="G3087" s="44" t="str">
        <f>IFERROR(__xludf.DUMMYFUNCTION("""COMPUTED_VALUE""")," ")</f>
        <v> </v>
      </c>
      <c r="H3087" s="44" t="str">
        <f>IFERROR(__xludf.DUMMYFUNCTION("""COMPUTED_VALUE""")," ")</f>
        <v> </v>
      </c>
      <c r="I3087" s="44" t="str">
        <f>IFERROR(__xludf.DUMMYFUNCTION("""COMPUTED_VALUE"""),"CI: 24037224")</f>
        <v>CI: 24037224</v>
      </c>
      <c r="J3087" s="44" t="str">
        <f>IFERROR(__xludf.DUMMYFUNCTION("""COMPUTED_VALUE"""),"")</f>
        <v/>
      </c>
      <c r="K3087" s="42" t="str">
        <f>IFERROR(__xludf.DUMMYFUNCTION("""COMPUTED_VALUE"""),"🔍 BUSCAR PACIENTES")</f>
        <v>🔍 BUSCAR PACIENTES</v>
      </c>
    </row>
    <row r="3088">
      <c r="A3088" s="44">
        <v>3087.0</v>
      </c>
      <c r="B3088" s="44" t="str">
        <f>IFERROR(__xludf.DUMMYFUNCTION("""COMPUTED_VALUE"""),"Centro de Acopio Caraballeda")</f>
        <v>Centro de Acopio Caraballeda</v>
      </c>
      <c r="C3088" s="45" t="str">
        <f>IFERROR(__xludf.DUMMYFUNCTION("""COMPUTED_VALUE"""),"PUGARITA BONNIE")</f>
        <v>PUGARITA BONNIE</v>
      </c>
      <c r="D3088" s="44" t="str">
        <f>IFERROR(__xludf.DUMMYFUNCTION("""COMPUTED_VALUE""")," ")</f>
        <v> </v>
      </c>
      <c r="E3088" s="44" t="str">
        <f>IFERROR(__xludf.DUMMYFUNCTION("""COMPUTED_VALUE"""),"")</f>
        <v/>
      </c>
      <c r="F3088" s="44" t="str">
        <f>IFERROR(__xludf.DUMMYFUNCTION("""COMPUTED_VALUE"""),"")</f>
        <v/>
      </c>
      <c r="G3088" s="44" t="str">
        <f>IFERROR(__xludf.DUMMYFUNCTION("""COMPUTED_VALUE""")," ")</f>
        <v> </v>
      </c>
      <c r="H3088" s="44" t="str">
        <f>IFERROR(__xludf.DUMMYFUNCTION("""COMPUTED_VALUE""")," ")</f>
        <v> </v>
      </c>
      <c r="I3088" s="44" t="str">
        <f>IFERROR(__xludf.DUMMYFUNCTION("""COMPUTED_VALUE"""),"Internado")</f>
        <v>Internado</v>
      </c>
      <c r="J3088" s="44" t="str">
        <f>IFERROR(__xludf.DUMMYFUNCTION("""COMPUTED_VALUE"""),"")</f>
        <v/>
      </c>
      <c r="K3088" s="42" t="str">
        <f>IFERROR(__xludf.DUMMYFUNCTION("""COMPUTED_VALUE"""),"🔍 BUSCAR PACIENTES")</f>
        <v>🔍 BUSCAR PACIENTES</v>
      </c>
    </row>
    <row r="3089">
      <c r="A3089" s="44">
        <v>3088.0</v>
      </c>
      <c r="B3089" s="44" t="str">
        <f>IFERROR(__xludf.DUMMYFUNCTION("""COMPUTED_VALUE"""),"Centro de Acopio Caraballeda")</f>
        <v>Centro de Acopio Caraballeda</v>
      </c>
      <c r="C3089" s="45" t="str">
        <f>IFERROR(__xludf.DUMMYFUNCTION("""COMPUTED_VALUE"""),"PUGARITA MARILYN")</f>
        <v>PUGARITA MARILYN</v>
      </c>
      <c r="D3089" s="44" t="str">
        <f>IFERROR(__xludf.DUMMYFUNCTION("""COMPUTED_VALUE""")," ")</f>
        <v> </v>
      </c>
      <c r="E3089" s="44" t="str">
        <f>IFERROR(__xludf.DUMMYFUNCTION("""COMPUTED_VALUE"""),"")</f>
        <v/>
      </c>
      <c r="F3089" s="44" t="str">
        <f>IFERROR(__xludf.DUMMYFUNCTION("""COMPUTED_VALUE"""),"")</f>
        <v/>
      </c>
      <c r="G3089" s="44" t="str">
        <f>IFERROR(__xludf.DUMMYFUNCTION("""COMPUTED_VALUE""")," ")</f>
        <v> </v>
      </c>
      <c r="H3089" s="44" t="str">
        <f>IFERROR(__xludf.DUMMYFUNCTION("""COMPUTED_VALUE""")," ")</f>
        <v> </v>
      </c>
      <c r="I3089" s="44" t="str">
        <f>IFERROR(__xludf.DUMMYFUNCTION("""COMPUTED_VALUE"""),"Internado")</f>
        <v>Internado</v>
      </c>
      <c r="J3089" s="44" t="str">
        <f>IFERROR(__xludf.DUMMYFUNCTION("""COMPUTED_VALUE"""),"")</f>
        <v/>
      </c>
      <c r="K3089" s="42" t="str">
        <f>IFERROR(__xludf.DUMMYFUNCTION("""COMPUTED_VALUE"""),"🔍 BUSCAR PACIENTES")</f>
        <v>🔍 BUSCAR PACIENTES</v>
      </c>
    </row>
    <row r="3090">
      <c r="A3090" s="44">
        <v>3089.0</v>
      </c>
      <c r="B3090" s="44" t="str">
        <f>IFERROR(__xludf.DUMMYFUNCTION("""COMPUTED_VALUE"""),"Centro de Acopio Caraballeda")</f>
        <v>Centro de Acopio Caraballeda</v>
      </c>
      <c r="C3090" s="45" t="str">
        <f>IFERROR(__xludf.DUMMYFUNCTION("""COMPUTED_VALUE"""),"PUGARITA RONNY")</f>
        <v>PUGARITA RONNY</v>
      </c>
      <c r="D3090" s="44" t="str">
        <f>IFERROR(__xludf.DUMMYFUNCTION("""COMPUTED_VALUE""")," ")</f>
        <v> </v>
      </c>
      <c r="E3090" s="44" t="str">
        <f>IFERROR(__xludf.DUMMYFUNCTION("""COMPUTED_VALUE"""),"")</f>
        <v/>
      </c>
      <c r="F3090" s="44" t="str">
        <f>IFERROR(__xludf.DUMMYFUNCTION("""COMPUTED_VALUE"""),"")</f>
        <v/>
      </c>
      <c r="G3090" s="44" t="str">
        <f>IFERROR(__xludf.DUMMYFUNCTION("""COMPUTED_VALUE""")," ")</f>
        <v> </v>
      </c>
      <c r="H3090" s="44" t="str">
        <f>IFERROR(__xludf.DUMMYFUNCTION("""COMPUTED_VALUE""")," ")</f>
        <v> </v>
      </c>
      <c r="I3090" s="44" t="str">
        <f>IFERROR(__xludf.DUMMYFUNCTION("""COMPUTED_VALUE"""),"Internado")</f>
        <v>Internado</v>
      </c>
      <c r="J3090" s="44" t="str">
        <f>IFERROR(__xludf.DUMMYFUNCTION("""COMPUTED_VALUE"""),"")</f>
        <v/>
      </c>
      <c r="K3090" s="42" t="str">
        <f>IFERROR(__xludf.DUMMYFUNCTION("""COMPUTED_VALUE"""),"🔍 BUSCAR PACIENTES")</f>
        <v>🔍 BUSCAR PACIENTES</v>
      </c>
    </row>
    <row r="3091">
      <c r="A3091" s="44">
        <v>3090.0</v>
      </c>
      <c r="B3091" s="44" t="str">
        <f>IFERROR(__xludf.DUMMYFUNCTION("""COMPUTED_VALUE"""),"Centro de Acopio Caraballeda")</f>
        <v>Centro de Acopio Caraballeda</v>
      </c>
      <c r="C3091" s="45" t="str">
        <f>IFERROR(__xludf.DUMMYFUNCTION("""COMPUTED_VALUE"""),"PUGARITA YEIBERT")</f>
        <v>PUGARITA YEIBERT</v>
      </c>
      <c r="D3091" s="44" t="str">
        <f>IFERROR(__xludf.DUMMYFUNCTION("""COMPUTED_VALUE""")," ")</f>
        <v> </v>
      </c>
      <c r="E3091" s="44" t="str">
        <f>IFERROR(__xludf.DUMMYFUNCTION("""COMPUTED_VALUE"""),"")</f>
        <v/>
      </c>
      <c r="F3091" s="44" t="str">
        <f>IFERROR(__xludf.DUMMYFUNCTION("""COMPUTED_VALUE"""),"")</f>
        <v/>
      </c>
      <c r="G3091" s="44" t="str">
        <f>IFERROR(__xludf.DUMMYFUNCTION("""COMPUTED_VALUE""")," ")</f>
        <v> </v>
      </c>
      <c r="H3091" s="44" t="str">
        <f>IFERROR(__xludf.DUMMYFUNCTION("""COMPUTED_VALUE""")," ")</f>
        <v> </v>
      </c>
      <c r="I3091" s="44" t="str">
        <f>IFERROR(__xludf.DUMMYFUNCTION("""COMPUTED_VALUE"""),"Internado")</f>
        <v>Internado</v>
      </c>
      <c r="J3091" s="44" t="str">
        <f>IFERROR(__xludf.DUMMYFUNCTION("""COMPUTED_VALUE"""),"")</f>
        <v/>
      </c>
      <c r="K3091" s="42" t="str">
        <f>IFERROR(__xludf.DUMMYFUNCTION("""COMPUTED_VALUE"""),"🔍 BUSCAR PACIENTES")</f>
        <v>🔍 BUSCAR PACIENTES</v>
      </c>
    </row>
    <row r="3092">
      <c r="A3092" s="44">
        <v>3091.0</v>
      </c>
      <c r="B3092" s="44" t="str">
        <f>IFERROR(__xludf.DUMMYFUNCTION("""COMPUTED_VALUE"""),"Hospital Pérez Carreño")</f>
        <v>Hospital Pérez Carreño</v>
      </c>
      <c r="C3092" s="45" t="str">
        <f>IFERROR(__xludf.DUMMYFUNCTION("""COMPUTED_VALUE"""),"PULIDO YURY")</f>
        <v>PULIDO YURY</v>
      </c>
      <c r="D3092" s="44">
        <f>IFERROR(__xludf.DUMMYFUNCTION("""COMPUTED_VALUE"""),41.0)</f>
        <v>41</v>
      </c>
      <c r="E3092" s="44" t="str">
        <f>IFERROR(__xludf.DUMMYFUNCTION("""COMPUTED_VALUE"""),"")</f>
        <v/>
      </c>
      <c r="F3092" s="44" t="str">
        <f>IFERROR(__xludf.DUMMYFUNCTION("""COMPUTED_VALUE"""),"")</f>
        <v/>
      </c>
      <c r="G3092" s="44" t="str">
        <f>IFERROR(__xludf.DUMMYFUNCTION("""COMPUTED_VALUE""")," ")</f>
        <v> </v>
      </c>
      <c r="H3092" s="44" t="str">
        <f>IFERROR(__xludf.DUMMYFUNCTION("""COMPUTED_VALUE""")," ")</f>
        <v> </v>
      </c>
      <c r="I3092" s="44" t="str">
        <f>IFERROR(__xludf.DUMMYFUNCTION("""COMPUTED_VALUE"""),"Traumachok – Cirugía; La Guaira")</f>
        <v>Traumachok – Cirugía; La Guaira</v>
      </c>
      <c r="J3092" s="44" t="str">
        <f>IFERROR(__xludf.DUMMYFUNCTION("""COMPUTED_VALUE"""),"")</f>
        <v/>
      </c>
      <c r="K3092" s="42" t="str">
        <f>IFERROR(__xludf.DUMMYFUNCTION("""COMPUTED_VALUE"""),"🔍 BUSCAR PACIENTES")</f>
        <v>🔍 BUSCAR PACIENTES</v>
      </c>
    </row>
    <row r="3093">
      <c r="A3093" s="44">
        <v>3092.0</v>
      </c>
      <c r="B3093" s="44" t="str">
        <f>IFERROR(__xludf.DUMMYFUNCTION("""COMPUTED_VALUE"""),"Hospital Pérez Carreño")</f>
        <v>Hospital Pérez Carreño</v>
      </c>
      <c r="C3093" s="45" t="str">
        <f>IFERROR(__xludf.DUMMYFUNCTION("""COMPUTED_VALUE"""),"Quenales Justine")</f>
        <v>Quenales Justine</v>
      </c>
      <c r="D3093" s="44"/>
      <c r="E3093" s="44" t="str">
        <f>IFERROR(__xludf.DUMMYFUNCTION("""COMPUTED_VALUE"""),"")</f>
        <v/>
      </c>
      <c r="F3093" s="44" t="str">
        <f>IFERROR(__xludf.DUMMYFUNCTION("""COMPUTED_VALUE"""),"")</f>
        <v/>
      </c>
      <c r="G3093" s="44" t="str">
        <f>IFERROR(__xludf.DUMMYFUNCTION("""COMPUTED_VALUE"""),"Traslados con destino asignado")</f>
        <v>Traslados con destino asignado</v>
      </c>
      <c r="H3093" s="44" t="str">
        <f>IFERROR(__xludf.DUMMYFUNCTION("""COMPUTED_VALUE"""),"Hospital Miguel Perez Carreño")</f>
        <v>Hospital Miguel Perez Carreño</v>
      </c>
      <c r="I3093" s="44"/>
      <c r="J3093" s="44" t="str">
        <f>IFERROR(__xludf.DUMMYFUNCTION("""COMPUTED_VALUE"""),"26/6/26")</f>
        <v>26/6/26</v>
      </c>
      <c r="K3093" s="42" t="str">
        <f>IFERROR(__xludf.DUMMYFUNCTION("""COMPUTED_VALUE"""),"Hospital Pérez Carreño")</f>
        <v>Hospital Pérez Carreño</v>
      </c>
    </row>
    <row r="3094">
      <c r="A3094" s="44">
        <v>3093.0</v>
      </c>
      <c r="B3094" s="44" t="str">
        <f>IFERROR(__xludf.DUMMYFUNCTION("""COMPUTED_VALUE"""),"Hospital Pérez Carreño")</f>
        <v>Hospital Pérez Carreño</v>
      </c>
      <c r="C3094" s="45" t="str">
        <f>IFERROR(__xludf.DUMMYFUNCTION("""COMPUTED_VALUE"""),"Quenan Yidner")</f>
        <v>Quenan Yidner</v>
      </c>
      <c r="D3094" s="44"/>
      <c r="E3094" s="44" t="str">
        <f>IFERROR(__xludf.DUMMYFUNCTION("""COMPUTED_VALUE"""),"")</f>
        <v/>
      </c>
      <c r="F3094" s="44" t="str">
        <f>IFERROR(__xludf.DUMMYFUNCTION("""COMPUTED_VALUE"""),"")</f>
        <v/>
      </c>
      <c r="G3094" s="44" t="str">
        <f>IFERROR(__xludf.DUMMYFUNCTION("""COMPUTED_VALUE"""),"Traslados con destino asignado")</f>
        <v>Traslados con destino asignado</v>
      </c>
      <c r="H3094" s="44" t="str">
        <f>IFERROR(__xludf.DUMMYFUNCTION("""COMPUTED_VALUE"""),"Hospital Miguel Perez Carreño")</f>
        <v>Hospital Miguel Perez Carreño</v>
      </c>
      <c r="I3094" s="44"/>
      <c r="J3094" s="44" t="str">
        <f>IFERROR(__xludf.DUMMYFUNCTION("""COMPUTED_VALUE"""),"26/6/26")</f>
        <v>26/6/26</v>
      </c>
      <c r="K3094" s="42" t="str">
        <f>IFERROR(__xludf.DUMMYFUNCTION("""COMPUTED_VALUE"""),"Hospital Pérez Carreño")</f>
        <v>Hospital Pérez Carreño</v>
      </c>
    </row>
    <row r="3095">
      <c r="A3095" s="44">
        <v>3094.0</v>
      </c>
      <c r="B3095" s="44" t="str">
        <f>IFERROR(__xludf.DUMMYFUNCTION("""COMPUTED_VALUE"""),"Cruz Roja")</f>
        <v>Cruz Roja</v>
      </c>
      <c r="C3095" s="45" t="str">
        <f>IFERROR(__xludf.DUMMYFUNCTION("""COMPUTED_VALUE"""),"QUERALES ALEIDA")</f>
        <v>QUERALES ALEIDA</v>
      </c>
      <c r="D3095" s="44">
        <f>IFERROR(__xludf.DUMMYFUNCTION("""COMPUTED_VALUE"""),64.0)</f>
        <v>64</v>
      </c>
      <c r="E3095" s="44" t="str">
        <f>IFERROR(__xludf.DUMMYFUNCTION("""COMPUTED_VALUE"""),"")</f>
        <v/>
      </c>
      <c r="F3095" s="44" t="str">
        <f>IFERROR(__xludf.DUMMYFUNCTION("""COMPUTED_VALUE"""),"")</f>
        <v/>
      </c>
      <c r="G3095" s="44">
        <f>IFERROR(__xludf.DUMMYFUNCTION("""COMPUTED_VALUE"""),9.9289918E7)</f>
        <v>99289918</v>
      </c>
      <c r="H3095" s="44" t="str">
        <f>IFERROR(__xludf.DUMMYFUNCTION("""COMPUTED_VALUE"""),"La Guaira")</f>
        <v>La Guaira</v>
      </c>
      <c r="I3095" s="44" t="str">
        <f>IFERROR(__xludf.DUMMYFUNCTION("""COMPUTED_VALUE""")," ")</f>
        <v> </v>
      </c>
      <c r="J3095" s="44" t="str">
        <f>IFERROR(__xludf.DUMMYFUNCTION("""COMPUTED_VALUE"""),"")</f>
        <v/>
      </c>
      <c r="K3095" s="42" t="str">
        <f>IFERROR(__xludf.DUMMYFUNCTION("""COMPUTED_VALUE"""),"Cruz Roja")</f>
        <v>Cruz Roja</v>
      </c>
    </row>
    <row r="3096">
      <c r="A3096" s="44">
        <v>3095.0</v>
      </c>
      <c r="B3096" s="44" t="str">
        <f>IFERROR(__xludf.DUMMYFUNCTION("""COMPUTED_VALUE"""),"Periférico de Catia")</f>
        <v>Periférico de Catia</v>
      </c>
      <c r="C3096" s="45" t="str">
        <f>IFERROR(__xludf.DUMMYFUNCTION("""COMPUTED_VALUE"""),"QUETOY YSABEL")</f>
        <v>QUETOY YSABEL</v>
      </c>
      <c r="D3096" s="44">
        <f>IFERROR(__xludf.DUMMYFUNCTION("""COMPUTED_VALUE"""),36.0)</f>
        <v>36</v>
      </c>
      <c r="E3096" s="44" t="str">
        <f>IFERROR(__xludf.DUMMYFUNCTION("""COMPUTED_VALUE"""),"")</f>
        <v/>
      </c>
      <c r="F3096" s="44" t="str">
        <f>IFERROR(__xludf.DUMMYFUNCTION("""COMPUTED_VALUE"""),"")</f>
        <v/>
      </c>
      <c r="G3096" s="44" t="str">
        <f>IFERROR(__xludf.DUMMYFUNCTION("""COMPUTED_VALUE""")," ")</f>
        <v> </v>
      </c>
      <c r="H3096" s="44" t="str">
        <f>IFERROR(__xludf.DUMMYFUNCTION("""COMPUTED_VALUE""")," ")</f>
        <v> </v>
      </c>
      <c r="I3096" s="44" t="str">
        <f>IFERROR(__xludf.DUMMYFUNCTION("""COMPUTED_VALUE""")," ")</f>
        <v> </v>
      </c>
      <c r="J3096" s="44" t="str">
        <f>IFERROR(__xludf.DUMMYFUNCTION("""COMPUTED_VALUE"""),"")</f>
        <v/>
      </c>
      <c r="K3096" s="42" t="str">
        <f>IFERROR(__xludf.DUMMYFUNCTION("""COMPUTED_VALUE"""),"Periférico de Catia")</f>
        <v>Periférico de Catia</v>
      </c>
    </row>
    <row r="3097">
      <c r="A3097" s="44">
        <v>3096.0</v>
      </c>
      <c r="B3097" s="44" t="str">
        <f>IFERROR(__xludf.DUMMYFUNCTION("""COMPUTED_VALUE"""),"Hospital Pérez Carreño")</f>
        <v>Hospital Pérez Carreño</v>
      </c>
      <c r="C3097" s="45" t="str">
        <f>IFERROR(__xludf.DUMMYFUNCTION("""COMPUTED_VALUE"""),"QUIALES JESSIRE")</f>
        <v>QUIALES JESSIRE</v>
      </c>
      <c r="D3097" s="44" t="str">
        <f>IFERROR(__xludf.DUMMYFUNCTION("""COMPUTED_VALUE""")," ")</f>
        <v> </v>
      </c>
      <c r="E3097" s="44" t="str">
        <f>IFERROR(__xludf.DUMMYFUNCTION("""COMPUTED_VALUE"""),"")</f>
        <v/>
      </c>
      <c r="F3097" s="44" t="str">
        <f>IFERROR(__xludf.DUMMYFUNCTION("""COMPUTED_VALUE"""),"")</f>
        <v/>
      </c>
      <c r="G3097" s="44" t="str">
        <f>IFERROR(__xludf.DUMMYFUNCTION("""COMPUTED_VALUE""")," ")</f>
        <v> </v>
      </c>
      <c r="H3097" s="44" t="str">
        <f>IFERROR(__xludf.DUMMYFUNCTION("""COMPUTED_VALUE""")," ")</f>
        <v> </v>
      </c>
      <c r="I3097" s="44" t="str">
        <f>IFERROR(__xludf.DUMMYFUNCTION("""COMPUTED_VALUE"""),"Traumashock")</f>
        <v>Traumashock</v>
      </c>
      <c r="J3097" s="44" t="str">
        <f>IFERROR(__xludf.DUMMYFUNCTION("""COMPUTED_VALUE"""),"25/06/2026")</f>
        <v>25/06/2026</v>
      </c>
      <c r="K3097" s="42" t="str">
        <f>IFERROR(__xludf.DUMMYFUNCTION("""COMPUTED_VALUE"""),"Hospital Pérez Carreño")</f>
        <v>Hospital Pérez Carreño</v>
      </c>
    </row>
    <row r="3098">
      <c r="A3098" s="44">
        <v>3097.0</v>
      </c>
      <c r="B3098" s="44" t="str">
        <f>IFERROR(__xludf.DUMMYFUNCTION("""COMPUTED_VALUE"""),"Hospital Pérez Carreño")</f>
        <v>Hospital Pérez Carreño</v>
      </c>
      <c r="C3098" s="45" t="str">
        <f>IFERROR(__xludf.DUMMYFUNCTION("""COMPUTED_VALUE"""),"Quiñonez Maximiliano")</f>
        <v>Quiñonez Maximiliano</v>
      </c>
      <c r="D3098" s="44" t="str">
        <f>IFERROR(__xludf.DUMMYFUNCTION("""COMPUTED_VALUE"""),"6 años")</f>
        <v>6 años</v>
      </c>
      <c r="E3098" s="44" t="str">
        <f>IFERROR(__xludf.DUMMYFUNCTION("""COMPUTED_VALUE"""),"")</f>
        <v/>
      </c>
      <c r="F3098" s="44" t="str">
        <f>IFERROR(__xludf.DUMMYFUNCTION("""COMPUTED_VALUE"""),"")</f>
        <v/>
      </c>
      <c r="G3098" s="44" t="str">
        <f>IFERROR(__xludf.DUMMYFUNCTION("""COMPUTED_VALUE"""),"Pediatria")</f>
        <v>Pediatria</v>
      </c>
      <c r="H3098" s="44" t="str">
        <f>IFERROR(__xludf.DUMMYFUNCTION("""COMPUTED_VALUE"""),"Hospital Miguel Perez Carreño")</f>
        <v>Hospital Miguel Perez Carreño</v>
      </c>
      <c r="I3098" s="44"/>
      <c r="J3098" s="44" t="str">
        <f>IFERROR(__xludf.DUMMYFUNCTION("""COMPUTED_VALUE"""),"26/6/26")</f>
        <v>26/6/26</v>
      </c>
      <c r="K3098" s="42" t="str">
        <f>IFERROR(__xludf.DUMMYFUNCTION("""COMPUTED_VALUE"""),"Hospital Pérez Carreño")</f>
        <v>Hospital Pérez Carreño</v>
      </c>
    </row>
    <row r="3099">
      <c r="A3099" s="44">
        <v>3098.0</v>
      </c>
      <c r="B3099" s="44" t="str">
        <f>IFERROR(__xludf.DUMMYFUNCTION("""COMPUTED_VALUE"""),"Hospital Pérez Carreño")</f>
        <v>Hospital Pérez Carreño</v>
      </c>
      <c r="C3099" s="45" t="str">
        <f>IFERROR(__xludf.DUMMYFUNCTION("""COMPUTED_VALUE"""),"QUINTANA ALFREDO")</f>
        <v>QUINTANA ALFREDO</v>
      </c>
      <c r="D3099" s="44" t="str">
        <f>IFERROR(__xludf.DUMMYFUNCTION("""COMPUTED_VALUE""")," ")</f>
        <v> </v>
      </c>
      <c r="E3099" s="44" t="str">
        <f>IFERROR(__xludf.DUMMYFUNCTION("""COMPUTED_VALUE"""),"")</f>
        <v/>
      </c>
      <c r="F3099" s="44" t="str">
        <f>IFERROR(__xludf.DUMMYFUNCTION("""COMPUTED_VALUE"""),"")</f>
        <v/>
      </c>
      <c r="G3099" s="44" t="str">
        <f>IFERROR(__xludf.DUMMYFUNCTION("""COMPUTED_VALUE""")," ")</f>
        <v> </v>
      </c>
      <c r="H3099" s="44" t="str">
        <f>IFERROR(__xludf.DUMMYFUNCTION("""COMPUTED_VALUE""")," ")</f>
        <v> </v>
      </c>
      <c r="I3099" s="44" t="str">
        <f>IFERROR(__xludf.DUMMYFUNCTION("""COMPUTED_VALUE"""),"SIN FAMILIAR – Pediátrico")</f>
        <v>SIN FAMILIAR – Pediátrico</v>
      </c>
      <c r="J3099" s="44" t="str">
        <f>IFERROR(__xludf.DUMMYFUNCTION("""COMPUTED_VALUE"""),"25/06/2026")</f>
        <v>25/06/2026</v>
      </c>
      <c r="K3099" s="42" t="str">
        <f>IFERROR(__xludf.DUMMYFUNCTION("""COMPUTED_VALUE"""),"Hospital Pérez Carreño")</f>
        <v>Hospital Pérez Carreño</v>
      </c>
    </row>
    <row r="3100">
      <c r="A3100" s="44">
        <v>3099.0</v>
      </c>
      <c r="B3100" s="44" t="str">
        <f>IFERROR(__xludf.DUMMYFUNCTION("""COMPUTED_VALUE"""),"Hospital Pérez Carreño")</f>
        <v>Hospital Pérez Carreño</v>
      </c>
      <c r="C3100" s="45" t="str">
        <f>IFERROR(__xludf.DUMMYFUNCTION("""COMPUTED_VALUE"""),"Quintero Alfredo")</f>
        <v>Quintero Alfredo</v>
      </c>
      <c r="D3100" s="44"/>
      <c r="E3100" s="44" t="str">
        <f>IFERROR(__xludf.DUMMYFUNCTION("""COMPUTED_VALUE"""),"")</f>
        <v/>
      </c>
      <c r="F3100" s="44" t="str">
        <f>IFERROR(__xludf.DUMMYFUNCTION("""COMPUTED_VALUE"""),"")</f>
        <v/>
      </c>
      <c r="G3100" s="44" t="str">
        <f>IFERROR(__xludf.DUMMYFUNCTION("""COMPUTED_VALUE"""),"Traslados con destino asignado")</f>
        <v>Traslados con destino asignado</v>
      </c>
      <c r="H3100" s="44" t="str">
        <f>IFERROR(__xludf.DUMMYFUNCTION("""COMPUTED_VALUE"""),"Hospital Miguel Perez Carreño")</f>
        <v>Hospital Miguel Perez Carreño</v>
      </c>
      <c r="I3100" s="44"/>
      <c r="J3100" s="44" t="str">
        <f>IFERROR(__xludf.DUMMYFUNCTION("""COMPUTED_VALUE"""),"26/6/26")</f>
        <v>26/6/26</v>
      </c>
      <c r="K3100" s="42" t="str">
        <f>IFERROR(__xludf.DUMMYFUNCTION("""COMPUTED_VALUE"""),"Hospital Pérez Carreño")</f>
        <v>Hospital Pérez Carreño</v>
      </c>
    </row>
    <row r="3101">
      <c r="A3101" s="44">
        <v>3100.0</v>
      </c>
      <c r="B3101" s="44" t="str">
        <f>IFERROR(__xludf.DUMMYFUNCTION("""COMPUTED_VALUE"""),"H. Jose Maria Vargas LG")</f>
        <v>H. Jose Maria Vargas LG</v>
      </c>
      <c r="C3101" s="45" t="str">
        <f>IFERROR(__xludf.DUMMYFUNCTION("""COMPUTED_VALUE"""),"QUINTERO BELEN")</f>
        <v>QUINTERO BELEN</v>
      </c>
      <c r="D3101" s="44" t="str">
        <f>IFERROR(__xludf.DUMMYFUNCTION("""COMPUTED_VALUE""")," ")</f>
        <v> </v>
      </c>
      <c r="E3101" s="44" t="str">
        <f>IFERROR(__xludf.DUMMYFUNCTION("""COMPUTED_VALUE"""),"")</f>
        <v/>
      </c>
      <c r="F3101" s="44" t="str">
        <f>IFERROR(__xludf.DUMMYFUNCTION("""COMPUTED_VALUE"""),"")</f>
        <v/>
      </c>
      <c r="G3101" s="44" t="str">
        <f>IFERROR(__xludf.DUMMYFUNCTION("""COMPUTED_VALUE""")," ")</f>
        <v> </v>
      </c>
      <c r="H3101" s="44" t="str">
        <f>IFERROR(__xludf.DUMMYFUNCTION("""COMPUTED_VALUE""")," ")</f>
        <v> </v>
      </c>
      <c r="I3101" s="44" t="str">
        <f>IFERROR(__xludf.DUMMYFUNCTION("""COMPUTED_VALUE""")," ")</f>
        <v> </v>
      </c>
      <c r="J3101" s="44" t="str">
        <f>IFERROR(__xludf.DUMMYFUNCTION("""COMPUTED_VALUE"""),"")</f>
        <v/>
      </c>
      <c r="K3101" s="42" t="str">
        <f>IFERROR(__xludf.DUMMYFUNCTION("""COMPUTED_VALUE"""),"H. Jose Maria Vargas LG")</f>
        <v>H. Jose Maria Vargas LG</v>
      </c>
    </row>
    <row r="3102">
      <c r="A3102" s="44">
        <v>3101.0</v>
      </c>
      <c r="B3102" s="44" t="str">
        <f>IFERROR(__xludf.DUMMYFUNCTION("""COMPUTED_VALUE"""),"Hospital Vargas de Caracas")</f>
        <v>Hospital Vargas de Caracas</v>
      </c>
      <c r="C3102" s="45" t="str">
        <f>IFERROR(__xludf.DUMMYFUNCTION("""COMPUTED_VALUE"""),"QUINTERO ERINBER")</f>
        <v>QUINTERO ERINBER</v>
      </c>
      <c r="D3102" s="44" t="str">
        <f>IFERROR(__xludf.DUMMYFUNCTION("""COMPUTED_VALUE""")," ")</f>
        <v> </v>
      </c>
      <c r="E3102" s="44" t="str">
        <f>IFERROR(__xludf.DUMMYFUNCTION("""COMPUTED_VALUE"""),"")</f>
        <v/>
      </c>
      <c r="F3102" s="44" t="str">
        <f>IFERROR(__xludf.DUMMYFUNCTION("""COMPUTED_VALUE""")," ")</f>
        <v> </v>
      </c>
      <c r="G3102" s="44" t="str">
        <f>IFERROR(__xludf.DUMMYFUNCTION("""COMPUTED_VALUE"""),"")</f>
        <v/>
      </c>
      <c r="H3102" s="44" t="str">
        <f>IFERROR(__xludf.DUMMYFUNCTION("""COMPUTED_VALUE""")," ")</f>
        <v> </v>
      </c>
      <c r="I3102" s="44" t="str">
        <f>IFERROR(__xludf.DUMMYFUNCTION("""COMPUTED_VALUE""")," ")</f>
        <v> </v>
      </c>
      <c r="J3102" s="44" t="str">
        <f>IFERROR(__xludf.DUMMYFUNCTION("""COMPUTED_VALUE"""),"")</f>
        <v/>
      </c>
      <c r="K3102" s="42" t="str">
        <f>IFERROR(__xludf.DUMMYFUNCTION("""COMPUTED_VALUE"""),"Hospital Vargas de Caracas")</f>
        <v>Hospital Vargas de Caracas</v>
      </c>
    </row>
    <row r="3103">
      <c r="A3103" s="44">
        <v>3102.0</v>
      </c>
      <c r="B3103" s="44" t="str">
        <f>IFERROR(__xludf.DUMMYFUNCTION("""COMPUTED_VALUE"""),"La Guaira Sin Hospital")</f>
        <v>La Guaira Sin Hospital</v>
      </c>
      <c r="C3103" s="45" t="str">
        <f>IFERROR(__xludf.DUMMYFUNCTION("""COMPUTED_VALUE"""),"Quintero Romero Barbara Noduska")</f>
        <v>Quintero Romero Barbara Noduska</v>
      </c>
      <c r="D3103" s="44" t="str">
        <f>IFERROR(__xludf.DUMMYFUNCTION("""COMPUTED_VALUE"""),"")</f>
        <v/>
      </c>
      <c r="E3103" s="44" t="str">
        <f>IFERROR(__xludf.DUMMYFUNCTION("""COMPUTED_VALUE"""),"")</f>
        <v/>
      </c>
      <c r="F3103" s="44" t="str">
        <f>IFERROR(__xludf.DUMMYFUNCTION("""COMPUTED_VALUE"""),"")</f>
        <v/>
      </c>
      <c r="G3103" s="44" t="str">
        <f>IFERROR(__xludf.DUMMYFUNCTION("""COMPUTED_VALUE"""),"")</f>
        <v/>
      </c>
      <c r="H3103" s="44"/>
      <c r="I3103" s="44" t="str">
        <f>IFERROR(__xludf.DUMMYFUNCTION("""COMPUTED_VALUE"""),"Listas solo con nombre")</f>
        <v>Listas solo con nombre</v>
      </c>
      <c r="J3103" s="44" t="str">
        <f>IFERROR(__xludf.DUMMYFUNCTION("""COMPUTED_VALUE"""),"")</f>
        <v/>
      </c>
      <c r="K3103" s="42" t="str">
        <f>IFERROR(__xludf.DUMMYFUNCTION("""COMPUTED_VALUE"""),"La Guaira Sin Hospital")</f>
        <v>La Guaira Sin Hospital</v>
      </c>
    </row>
    <row r="3104">
      <c r="A3104" s="44">
        <v>3103.0</v>
      </c>
      <c r="B3104" s="44" t="str">
        <f>IFERROR(__xludf.DUMMYFUNCTION("""COMPUTED_VALUE"""),"La Guaira Sin Hospital")</f>
        <v>La Guaira Sin Hospital</v>
      </c>
      <c r="C3104" s="45" t="str">
        <f>IFERROR(__xludf.DUMMYFUNCTION("""COMPUTED_VALUE"""),"Quintero Viera Rosa Angela")</f>
        <v>Quintero Viera Rosa Angela</v>
      </c>
      <c r="D3104" s="44" t="str">
        <f>IFERROR(__xludf.DUMMYFUNCTION("""COMPUTED_VALUE"""),"")</f>
        <v/>
      </c>
      <c r="E3104" s="44" t="str">
        <f>IFERROR(__xludf.DUMMYFUNCTION("""COMPUTED_VALUE"""),"")</f>
        <v/>
      </c>
      <c r="F3104" s="44" t="str">
        <f>IFERROR(__xludf.DUMMYFUNCTION("""COMPUTED_VALUE"""),"")</f>
        <v/>
      </c>
      <c r="G3104" s="44" t="str">
        <f>IFERROR(__xludf.DUMMYFUNCTION("""COMPUTED_VALUE"""),"")</f>
        <v/>
      </c>
      <c r="H3104" s="44"/>
      <c r="I3104" s="44" t="str">
        <f>IFERROR(__xludf.DUMMYFUNCTION("""COMPUTED_VALUE"""),"Listas solo con nombre")</f>
        <v>Listas solo con nombre</v>
      </c>
      <c r="J3104" s="44" t="str">
        <f>IFERROR(__xludf.DUMMYFUNCTION("""COMPUTED_VALUE"""),"")</f>
        <v/>
      </c>
      <c r="K3104" s="42" t="str">
        <f>IFERROR(__xludf.DUMMYFUNCTION("""COMPUTED_VALUE"""),"La Guaira Sin Hospital")</f>
        <v>La Guaira Sin Hospital</v>
      </c>
    </row>
    <row r="3105">
      <c r="A3105" s="44">
        <v>3104.0</v>
      </c>
      <c r="B3105" s="44" t="str">
        <f>IFERROR(__xludf.DUMMYFUNCTION("""COMPUTED_VALUE"""),"H. Jose Maria Vargas LG")</f>
        <v>H. Jose Maria Vargas LG</v>
      </c>
      <c r="C3105" s="45" t="str">
        <f>IFERROR(__xludf.DUMMYFUNCTION("""COMPUTED_VALUE"""),"QUISAIRA RIGAL")</f>
        <v>QUISAIRA RIGAL</v>
      </c>
      <c r="D3105" s="44">
        <f>IFERROR(__xludf.DUMMYFUNCTION("""COMPUTED_VALUE"""),52.0)</f>
        <v>52</v>
      </c>
      <c r="E3105" s="44" t="str">
        <f>IFERROR(__xludf.DUMMYFUNCTION("""COMPUTED_VALUE"""),"")</f>
        <v/>
      </c>
      <c r="F3105" s="44" t="str">
        <f>IFERROR(__xludf.DUMMYFUNCTION("""COMPUTED_VALUE"""),"")</f>
        <v/>
      </c>
      <c r="G3105" s="44" t="str">
        <f>IFERROR(__xludf.DUMMYFUNCTION("""COMPUTED_VALUE""")," ")</f>
        <v> </v>
      </c>
      <c r="H3105" s="44" t="str">
        <f>IFERROR(__xludf.DUMMYFUNCTION("""COMPUTED_VALUE"""),"Caribe")</f>
        <v>Caribe</v>
      </c>
      <c r="I3105" s="44" t="str">
        <f>IFERROR(__xludf.DUMMYFUNCTION("""COMPUTED_VALUE""")," ")</f>
        <v> </v>
      </c>
      <c r="J3105" s="44" t="str">
        <f>IFERROR(__xludf.DUMMYFUNCTION("""COMPUTED_VALUE"""),"")</f>
        <v/>
      </c>
      <c r="K3105" s="42" t="str">
        <f>IFERROR(__xludf.DUMMYFUNCTION("""COMPUTED_VALUE"""),"H. Jose Maria Vargas LG")</f>
        <v>H. Jose Maria Vargas LG</v>
      </c>
    </row>
    <row r="3106">
      <c r="A3106" s="44">
        <v>3105.0</v>
      </c>
      <c r="B3106" s="44" t="str">
        <f>IFERROR(__xludf.DUMMYFUNCTION("""COMPUTED_VALUE"""),"H. Jose Maria Vargas LG")</f>
        <v>H. Jose Maria Vargas LG</v>
      </c>
      <c r="C3106" s="45" t="str">
        <f>IFERROR(__xludf.DUMMYFUNCTION("""COMPUTED_VALUE"""),"RADA REINER")</f>
        <v>RADA REINER</v>
      </c>
      <c r="D3106" s="44">
        <f>IFERROR(__xludf.DUMMYFUNCTION("""COMPUTED_VALUE"""),5.0)</f>
        <v>5</v>
      </c>
      <c r="E3106" s="44" t="str">
        <f>IFERROR(__xludf.DUMMYFUNCTION("""COMPUTED_VALUE"""),"")</f>
        <v/>
      </c>
      <c r="F3106" s="44" t="str">
        <f>IFERROR(__xludf.DUMMYFUNCTION("""COMPUTED_VALUE"""),"")</f>
        <v/>
      </c>
      <c r="G3106" s="44" t="str">
        <f>IFERROR(__xludf.DUMMYFUNCTION("""COMPUTED_VALUE""")," ")</f>
        <v> </v>
      </c>
      <c r="H3106" s="44" t="str">
        <f>IFERROR(__xludf.DUMMYFUNCTION("""COMPUTED_VALUE""")," ")</f>
        <v> </v>
      </c>
      <c r="I3106" s="44" t="str">
        <f>IFERROR(__xludf.DUMMYFUNCTION("""COMPUTED_VALUE"""),"Internado")</f>
        <v>Internado</v>
      </c>
      <c r="J3106" s="44" t="str">
        <f>IFERROR(__xludf.DUMMYFUNCTION("""COMPUTED_VALUE"""),"")</f>
        <v/>
      </c>
      <c r="K3106" s="42" t="str">
        <f>IFERROR(__xludf.DUMMYFUNCTION("""COMPUTED_VALUE"""),"H. Jose Maria Vargas LG")</f>
        <v>H. Jose Maria Vargas LG</v>
      </c>
    </row>
    <row r="3107">
      <c r="A3107" s="44">
        <v>3106.0</v>
      </c>
      <c r="B3107" s="44" t="str">
        <f>IFERROR(__xludf.DUMMYFUNCTION("""COMPUTED_VALUE"""),"Hospital Pérez Carreño")</f>
        <v>Hospital Pérez Carreño</v>
      </c>
      <c r="C3107" s="45" t="str">
        <f>IFERROR(__xludf.DUMMYFUNCTION("""COMPUTED_VALUE"""),"Rada Reinier")</f>
        <v>Rada Reinier</v>
      </c>
      <c r="D3107" s="44" t="str">
        <f>IFERROR(__xludf.DUMMYFUNCTION("""COMPUTED_VALUE"""),"5 años")</f>
        <v>5 años</v>
      </c>
      <c r="E3107" s="44" t="str">
        <f>IFERROR(__xludf.DUMMYFUNCTION("""COMPUTED_VALUE"""),"")</f>
        <v/>
      </c>
      <c r="F3107" s="44" t="str">
        <f>IFERROR(__xludf.DUMMYFUNCTION("""COMPUTED_VALUE"""),"")</f>
        <v/>
      </c>
      <c r="G3107" s="44" t="str">
        <f>IFERROR(__xludf.DUMMYFUNCTION("""COMPUTED_VALUE"""),"Pediatria")</f>
        <v>Pediatria</v>
      </c>
      <c r="H3107" s="44" t="str">
        <f>IFERROR(__xludf.DUMMYFUNCTION("""COMPUTED_VALUE"""),"Hospital Miguel Perez Carreño")</f>
        <v>Hospital Miguel Perez Carreño</v>
      </c>
      <c r="I3107" s="44"/>
      <c r="J3107" s="44" t="str">
        <f>IFERROR(__xludf.DUMMYFUNCTION("""COMPUTED_VALUE"""),"26/6/26")</f>
        <v>26/6/26</v>
      </c>
      <c r="K3107" s="42" t="str">
        <f>IFERROR(__xludf.DUMMYFUNCTION("""COMPUTED_VALUE"""),"Hospital Pérez Carreño")</f>
        <v>Hospital Pérez Carreño</v>
      </c>
    </row>
    <row r="3108">
      <c r="A3108" s="44">
        <v>3107.0</v>
      </c>
      <c r="B3108" s="44" t="str">
        <f>IFERROR(__xludf.DUMMYFUNCTION("""COMPUTED_VALUE"""),"Centro de Acopio Caraballeda")</f>
        <v>Centro de Acopio Caraballeda</v>
      </c>
      <c r="C3108" s="45" t="str">
        <f>IFERROR(__xludf.DUMMYFUNCTION("""COMPUTED_VALUE"""),"RADA YEISON")</f>
        <v>RADA YEISON</v>
      </c>
      <c r="D3108" s="44" t="str">
        <f>IFERROR(__xludf.DUMMYFUNCTION("""COMPUTED_VALUE""")," ")</f>
        <v> </v>
      </c>
      <c r="E3108" s="44" t="str">
        <f>IFERROR(__xludf.DUMMYFUNCTION("""COMPUTED_VALUE"""),"")</f>
        <v/>
      </c>
      <c r="F3108" s="44" t="str">
        <f>IFERROR(__xludf.DUMMYFUNCTION("""COMPUTED_VALUE"""),"")</f>
        <v/>
      </c>
      <c r="G3108" s="44" t="str">
        <f>IFERROR(__xludf.DUMMYFUNCTION("""COMPUTED_VALUE""")," ")</f>
        <v> </v>
      </c>
      <c r="H3108" s="44" t="str">
        <f>IFERROR(__xludf.DUMMYFUNCTION("""COMPUTED_VALUE""")," ")</f>
        <v> </v>
      </c>
      <c r="I3108" s="44" t="str">
        <f>IFERROR(__xludf.DUMMYFUNCTION("""COMPUTED_VALUE"""),"Internado")</f>
        <v>Internado</v>
      </c>
      <c r="J3108" s="44" t="str">
        <f>IFERROR(__xludf.DUMMYFUNCTION("""COMPUTED_VALUE"""),"")</f>
        <v/>
      </c>
      <c r="K3108" s="42" t="str">
        <f>IFERROR(__xludf.DUMMYFUNCTION("""COMPUTED_VALUE"""),"🔍 BUSCAR PACIENTES")</f>
        <v>🔍 BUSCAR PACIENTES</v>
      </c>
    </row>
    <row r="3109">
      <c r="A3109" s="44">
        <v>3108.0</v>
      </c>
      <c r="B3109" s="44" t="str">
        <f>IFERROR(__xludf.DUMMYFUNCTION("""COMPUTED_VALUE"""),"Hospital Domingo Luciani")</f>
        <v>Hospital Domingo Luciani</v>
      </c>
      <c r="C3109" s="45" t="str">
        <f>IFERROR(__xludf.DUMMYFUNCTION("""COMPUTED_VALUE"""),"RADHI BOMPARD")</f>
        <v>RADHI BOMPARD</v>
      </c>
      <c r="D3109" s="44" t="str">
        <f>IFERROR(__xludf.DUMMYFUNCTION("""COMPUTED_VALUE""")," ")</f>
        <v> </v>
      </c>
      <c r="E3109" s="44" t="str">
        <f>IFERROR(__xludf.DUMMYFUNCTION("""COMPUTED_VALUE"""),"")</f>
        <v/>
      </c>
      <c r="F3109" s="44" t="str">
        <f>IFERROR(__xludf.DUMMYFUNCTION("""COMPUTED_VALUE"""),"")</f>
        <v/>
      </c>
      <c r="G3109" s="44" t="str">
        <f>IFERROR(__xludf.DUMMYFUNCTION("""COMPUTED_VALUE""")," ")</f>
        <v> </v>
      </c>
      <c r="H3109" s="44" t="str">
        <f>IFERROR(__xludf.DUMMYFUNCTION("""COMPUTED_VALUE""")," ")</f>
        <v> </v>
      </c>
      <c r="I3109" s="44" t="str">
        <f>IFERROR(__xludf.DUMMYFUNCTION("""COMPUTED_VALUE"""),"Politrauma")</f>
        <v>Politrauma</v>
      </c>
      <c r="J3109" s="44" t="str">
        <f>IFERROR(__xludf.DUMMYFUNCTION("""COMPUTED_VALUE"""),"")</f>
        <v/>
      </c>
      <c r="K3109" s="42" t="str">
        <f>IFERROR(__xludf.DUMMYFUNCTION("""COMPUTED_VALUE"""),"🔍 BUSCAR PACIENTES")</f>
        <v>🔍 BUSCAR PACIENTES</v>
      </c>
    </row>
    <row r="3110">
      <c r="A3110" s="44">
        <v>3109.0</v>
      </c>
      <c r="B3110" s="44" t="str">
        <f>IFERROR(__xludf.DUMMYFUNCTION("""COMPUTED_VALUE"""),"H. Jose Maria Vargas LG")</f>
        <v>H. Jose Maria Vargas LG</v>
      </c>
      <c r="C3110" s="45" t="str">
        <f>IFERROR(__xludf.DUMMYFUNCTION("""COMPUTED_VALUE"""),"RADINEZ ALFONZO")</f>
        <v>RADINEZ ALFONZO</v>
      </c>
      <c r="D3110" s="44" t="str">
        <f>IFERROR(__xludf.DUMMYFUNCTION("""COMPUTED_VALUE""")," ")</f>
        <v> </v>
      </c>
      <c r="E3110" s="44" t="str">
        <f>IFERROR(__xludf.DUMMYFUNCTION("""COMPUTED_VALUE"""),"")</f>
        <v/>
      </c>
      <c r="F3110" s="44" t="str">
        <f>IFERROR(__xludf.DUMMYFUNCTION("""COMPUTED_VALUE"""),"")</f>
        <v/>
      </c>
      <c r="G3110" s="44" t="str">
        <f>IFERROR(__xludf.DUMMYFUNCTION("""COMPUTED_VALUE""")," ")</f>
        <v> </v>
      </c>
      <c r="H3110" s="44" t="str">
        <f>IFERROR(__xludf.DUMMYFUNCTION("""COMPUTED_VALUE""")," ")</f>
        <v> </v>
      </c>
      <c r="I3110" s="44" t="str">
        <f>IFERROR(__xludf.DUMMYFUNCTION("""COMPUTED_VALUE"""),"Internado")</f>
        <v>Internado</v>
      </c>
      <c r="J3110" s="44" t="str">
        <f>IFERROR(__xludf.DUMMYFUNCTION("""COMPUTED_VALUE"""),"")</f>
        <v/>
      </c>
      <c r="K3110" s="42" t="str">
        <f>IFERROR(__xludf.DUMMYFUNCTION("""COMPUTED_VALUE"""),"H. Jose Maria Vargas LG")</f>
        <v>H. Jose Maria Vargas LG</v>
      </c>
    </row>
    <row r="3111">
      <c r="A3111" s="44">
        <v>3110.0</v>
      </c>
      <c r="B3111" s="44" t="str">
        <f>IFERROR(__xludf.DUMMYFUNCTION("""COMPUTED_VALUE"""),"Hospital Domingo Luciani")</f>
        <v>Hospital Domingo Luciani</v>
      </c>
      <c r="C3111" s="45" t="str">
        <f>IFERROR(__xludf.DUMMYFUNCTION("""COMPUTED_VALUE"""),"Rafael Coyo")</f>
        <v>Rafael Coyo</v>
      </c>
      <c r="D3111" s="44">
        <f>IFERROR(__xludf.DUMMYFUNCTION("""COMPUTED_VALUE"""),32.0)</f>
        <v>32</v>
      </c>
      <c r="E3111" s="44" t="str">
        <f>IFERROR(__xludf.DUMMYFUNCTION("""COMPUTED_VALUE"""),"")</f>
        <v/>
      </c>
      <c r="F3111" s="44" t="str">
        <f>IFERROR(__xludf.DUMMYFUNCTION("""COMPUTED_VALUE"""),"")</f>
        <v/>
      </c>
      <c r="G3111" s="44"/>
      <c r="H3111" s="44"/>
      <c r="I3111" s="44"/>
      <c r="J3111" s="44" t="str">
        <f>IFERROR(__xludf.DUMMYFUNCTION("""COMPUTED_VALUE"""),"")</f>
        <v/>
      </c>
      <c r="K3111" s="42" t="str">
        <f>IFERROR(__xludf.DUMMYFUNCTION("""COMPUTED_VALUE"""),"Hospital Domingo Luciani")</f>
        <v>Hospital Domingo Luciani</v>
      </c>
    </row>
    <row r="3112">
      <c r="A3112" s="44">
        <v>3111.0</v>
      </c>
      <c r="B3112" s="44" t="str">
        <f>IFERROR(__xludf.DUMMYFUNCTION("""COMPUTED_VALUE"""),"Hospital Domingo Luciani")</f>
        <v>Hospital Domingo Luciani</v>
      </c>
      <c r="C3112" s="45" t="str">
        <f>IFERROR(__xludf.DUMMYFUNCTION("""COMPUTED_VALUE"""),"Rafael Gonzalez")</f>
        <v>Rafael Gonzalez</v>
      </c>
      <c r="D3112" s="44">
        <f>IFERROR(__xludf.DUMMYFUNCTION("""COMPUTED_VALUE"""),34.0)</f>
        <v>34</v>
      </c>
      <c r="E3112" s="44" t="str">
        <f>IFERROR(__xludf.DUMMYFUNCTION("""COMPUTED_VALUE"""),"")</f>
        <v/>
      </c>
      <c r="F3112" s="44" t="str">
        <f>IFERROR(__xludf.DUMMYFUNCTION("""COMPUTED_VALUE"""),"")</f>
        <v/>
      </c>
      <c r="G3112" s="44"/>
      <c r="H3112" s="44"/>
      <c r="I3112" s="44"/>
      <c r="J3112" s="44" t="str">
        <f>IFERROR(__xludf.DUMMYFUNCTION("""COMPUTED_VALUE"""),"")</f>
        <v/>
      </c>
      <c r="K3112" s="42" t="str">
        <f>IFERROR(__xludf.DUMMYFUNCTION("""COMPUTED_VALUE"""),"Hospital Domingo Luciani")</f>
        <v>Hospital Domingo Luciani</v>
      </c>
    </row>
    <row r="3113">
      <c r="A3113" s="44">
        <v>3112.0</v>
      </c>
      <c r="B3113" s="44" t="str">
        <f>IFERROR(__xludf.DUMMYFUNCTION("""COMPUTED_VALUE"""),"Hospital Domingo Luciani")</f>
        <v>Hospital Domingo Luciani</v>
      </c>
      <c r="C3113" s="45" t="str">
        <f>IFERROR(__xludf.DUMMYFUNCTION("""COMPUTED_VALUE"""),"RAFAEL GOYO")</f>
        <v>RAFAEL GOYO</v>
      </c>
      <c r="D3113" s="44" t="str">
        <f>IFERROR(__xludf.DUMMYFUNCTION("""COMPUTED_VALUE""")," ")</f>
        <v> </v>
      </c>
      <c r="E3113" s="44" t="str">
        <f>IFERROR(__xludf.DUMMYFUNCTION("""COMPUTED_VALUE"""),"")</f>
        <v/>
      </c>
      <c r="F3113" s="44" t="str">
        <f>IFERROR(__xludf.DUMMYFUNCTION("""COMPUTED_VALUE"""),"")</f>
        <v/>
      </c>
      <c r="G3113" s="44" t="str">
        <f>IFERROR(__xludf.DUMMYFUNCTION("""COMPUTED_VALUE""")," ")</f>
        <v> </v>
      </c>
      <c r="H3113" s="44" t="str">
        <f>IFERROR(__xludf.DUMMYFUNCTION("""COMPUTED_VALUE""")," ")</f>
        <v> </v>
      </c>
      <c r="I3113" s="44" t="str">
        <f>IFERROR(__xludf.DUMMYFUNCTION("""COMPUTED_VALUE""")," ")</f>
        <v> </v>
      </c>
      <c r="J3113" s="44" t="str">
        <f>IFERROR(__xludf.DUMMYFUNCTION("""COMPUTED_VALUE"""),"")</f>
        <v/>
      </c>
      <c r="K3113" s="42" t="str">
        <f>IFERROR(__xludf.DUMMYFUNCTION("""COMPUTED_VALUE"""),"🔍 BUSCAR PACIENTES")</f>
        <v>🔍 BUSCAR PACIENTES</v>
      </c>
    </row>
    <row r="3114">
      <c r="A3114" s="44">
        <v>3113.0</v>
      </c>
      <c r="B3114" s="44" t="str">
        <f>IFERROR(__xludf.DUMMYFUNCTION("""COMPUTED_VALUE"""),"Hospital Domingo Luciani")</f>
        <v>Hospital Domingo Luciani</v>
      </c>
      <c r="C3114" s="45" t="str">
        <f>IFERROR(__xludf.DUMMYFUNCTION("""COMPUTED_VALUE"""),"Rafael Royas")</f>
        <v>Rafael Royas</v>
      </c>
      <c r="D3114" s="44">
        <f>IFERROR(__xludf.DUMMYFUNCTION("""COMPUTED_VALUE"""),50.0)</f>
        <v>50</v>
      </c>
      <c r="E3114" s="44" t="str">
        <f>IFERROR(__xludf.DUMMYFUNCTION("""COMPUTED_VALUE"""),"")</f>
        <v/>
      </c>
      <c r="F3114" s="44" t="str">
        <f>IFERROR(__xludf.DUMMYFUNCTION("""COMPUTED_VALUE"""),"")</f>
        <v/>
      </c>
      <c r="G3114" s="44"/>
      <c r="H3114" s="44"/>
      <c r="I3114" s="44"/>
      <c r="J3114" s="44" t="str">
        <f>IFERROR(__xludf.DUMMYFUNCTION("""COMPUTED_VALUE"""),"")</f>
        <v/>
      </c>
      <c r="K3114" s="42" t="str">
        <f>IFERROR(__xludf.DUMMYFUNCTION("""COMPUTED_VALUE"""),"Hospital Domingo Luciani")</f>
        <v>Hospital Domingo Luciani</v>
      </c>
    </row>
    <row r="3115">
      <c r="A3115" s="44">
        <v>3114.0</v>
      </c>
      <c r="B3115" s="44" t="str">
        <f>IFERROR(__xludf.DUMMYFUNCTION("""COMPUTED_VALUE"""),"Campo de Golf Playa los Cocos")</f>
        <v>Campo de Golf Playa los Cocos</v>
      </c>
      <c r="C3115" s="45" t="str">
        <f>IFERROR(__xludf.DUMMYFUNCTION("""COMPUTED_VALUE"""),"Rafael Viralles")</f>
        <v>Rafael Viralles</v>
      </c>
      <c r="D3115" s="44" t="str">
        <f>IFERROR(__xludf.DUMMYFUNCTION("""COMPUTED_VALUE"""),"")</f>
        <v/>
      </c>
      <c r="E3115" s="44" t="str">
        <f>IFERROR(__xludf.DUMMYFUNCTION("""COMPUTED_VALUE"""),"")</f>
        <v/>
      </c>
      <c r="F3115" s="44" t="str">
        <f>IFERROR(__xludf.DUMMYFUNCTION("""COMPUTED_VALUE"""),"")</f>
        <v/>
      </c>
      <c r="G3115" s="44" t="str">
        <f>IFERROR(__xludf.DUMMYFUNCTION("""COMPUTED_VALUE"""),"")</f>
        <v/>
      </c>
      <c r="H3115" s="44" t="str">
        <f>IFERROR(__xludf.DUMMYFUNCTION("""COMPUTED_VALUE"""),"")</f>
        <v/>
      </c>
      <c r="I3115" s="44"/>
      <c r="J3115" s="44" t="str">
        <f>IFERROR(__xludf.DUMMYFUNCTION("""COMPUTED_VALUE"""),"")</f>
        <v/>
      </c>
      <c r="K3115" s="42" t="str">
        <f>IFERROR(__xludf.DUMMYFUNCTION("""COMPUTED_VALUE"""),"Campo de Golf Playa los Cocos")</f>
        <v>Campo de Golf Playa los Cocos</v>
      </c>
    </row>
    <row r="3116">
      <c r="A3116" s="44">
        <v>3115.0</v>
      </c>
      <c r="B3116" s="44" t="str">
        <f>IFERROR(__xludf.DUMMYFUNCTION("""COMPUTED_VALUE"""),"Hospital Vargas de Caracas")</f>
        <v>Hospital Vargas de Caracas</v>
      </c>
      <c r="C3116" s="45" t="str">
        <f>IFERROR(__xludf.DUMMYFUNCTION("""COMPUTED_VALUE"""),"Raina Medina")</f>
        <v>Raina Medina</v>
      </c>
      <c r="D3116" s="44"/>
      <c r="E3116" s="44" t="str">
        <f>IFERROR(__xludf.DUMMYFUNCTION("""COMPUTED_VALUE"""),"")</f>
        <v/>
      </c>
      <c r="F3116" s="44"/>
      <c r="G3116" s="44" t="str">
        <f>IFERROR(__xludf.DUMMYFUNCTION("""COMPUTED_VALUE"""),"")</f>
        <v/>
      </c>
      <c r="H3116" s="44"/>
      <c r="I3116" s="44" t="str">
        <f>IFERROR(__xludf.DUMMYFUNCTION("""COMPUTED_VALUE"""),"Nombre tomado de la pizarra de pacientes; no aparece en el formulario con C.I.")</f>
        <v>Nombre tomado de la pizarra de pacientes; no aparece en el formulario con C.I.</v>
      </c>
      <c r="J3116" s="44" t="str">
        <f>IFERROR(__xludf.DUMMYFUNCTION("""COMPUTED_VALUE"""),"")</f>
        <v/>
      </c>
      <c r="K3116" s="42" t="str">
        <f>IFERROR(__xludf.DUMMYFUNCTION("""COMPUTED_VALUE"""),"Hospital Vargas de Caracas")</f>
        <v>Hospital Vargas de Caracas</v>
      </c>
    </row>
    <row r="3117">
      <c r="A3117" s="44">
        <v>3116.0</v>
      </c>
      <c r="B3117" s="44" t="str">
        <f>IFERROR(__xludf.DUMMYFUNCTION("""COMPUTED_VALUE"""),"Campo de Golf Playa los Cocos")</f>
        <v>Campo de Golf Playa los Cocos</v>
      </c>
      <c r="C3117" s="45" t="str">
        <f>IFERROR(__xludf.DUMMYFUNCTION("""COMPUTED_VALUE"""),"Raiza Gonzales")</f>
        <v>Raiza Gonzales</v>
      </c>
      <c r="D3117" s="44" t="str">
        <f>IFERROR(__xludf.DUMMYFUNCTION("""COMPUTED_VALUE"""),"")</f>
        <v/>
      </c>
      <c r="E3117" s="44" t="str">
        <f>IFERROR(__xludf.DUMMYFUNCTION("""COMPUTED_VALUE"""),"")</f>
        <v/>
      </c>
      <c r="F3117" s="44" t="str">
        <f>IFERROR(__xludf.DUMMYFUNCTION("""COMPUTED_VALUE"""),"")</f>
        <v/>
      </c>
      <c r="G3117" s="44" t="str">
        <f>IFERROR(__xludf.DUMMYFUNCTION("""COMPUTED_VALUE"""),"")</f>
        <v/>
      </c>
      <c r="H3117" s="44" t="str">
        <f>IFERROR(__xludf.DUMMYFUNCTION("""COMPUTED_VALUE"""),"")</f>
        <v/>
      </c>
      <c r="I3117" s="44"/>
      <c r="J3117" s="44" t="str">
        <f>IFERROR(__xludf.DUMMYFUNCTION("""COMPUTED_VALUE"""),"")</f>
        <v/>
      </c>
      <c r="K3117" s="42" t="str">
        <f>IFERROR(__xludf.DUMMYFUNCTION("""COMPUTED_VALUE"""),"Campo de Golf Playa los Cocos")</f>
        <v>Campo de Golf Playa los Cocos</v>
      </c>
    </row>
    <row r="3118">
      <c r="A3118" s="44">
        <v>3117.0</v>
      </c>
      <c r="B3118" s="44" t="str">
        <f>IFERROR(__xludf.DUMMYFUNCTION("""COMPUTED_VALUE"""),"Hospital Pérez Carreño")</f>
        <v>Hospital Pérez Carreño</v>
      </c>
      <c r="C3118" s="45" t="str">
        <f>IFERROR(__xludf.DUMMYFUNCTION("""COMPUTED_VALUE"""),"Rambos Vittoria")</f>
        <v>Rambos Vittoria</v>
      </c>
      <c r="D3118" s="44" t="str">
        <f>IFERROR(__xludf.DUMMYFUNCTION("""COMPUTED_VALUE"""),"13 años")</f>
        <v>13 años</v>
      </c>
      <c r="E3118" s="44" t="str">
        <f>IFERROR(__xludf.DUMMYFUNCTION("""COMPUTED_VALUE"""),"")</f>
        <v/>
      </c>
      <c r="F3118" s="44" t="str">
        <f>IFERROR(__xludf.DUMMYFUNCTION("""COMPUTED_VALUE"""),"")</f>
        <v/>
      </c>
      <c r="G3118" s="44" t="str">
        <f>IFERROR(__xludf.DUMMYFUNCTION("""COMPUTED_VALUE"""),"Pediatria")</f>
        <v>Pediatria</v>
      </c>
      <c r="H3118" s="44" t="str">
        <f>IFERROR(__xludf.DUMMYFUNCTION("""COMPUTED_VALUE"""),"Hospital Miguel Perez Carreño")</f>
        <v>Hospital Miguel Perez Carreño</v>
      </c>
      <c r="I3118" s="44"/>
      <c r="J3118" s="44" t="str">
        <f>IFERROR(__xludf.DUMMYFUNCTION("""COMPUTED_VALUE"""),"26/6/26")</f>
        <v>26/6/26</v>
      </c>
      <c r="K3118" s="42" t="str">
        <f>IFERROR(__xludf.DUMMYFUNCTION("""COMPUTED_VALUE"""),"Hospital Pérez Carreño")</f>
        <v>Hospital Pérez Carreño</v>
      </c>
    </row>
    <row r="3119">
      <c r="A3119" s="44">
        <v>3118.0</v>
      </c>
      <c r="B3119" s="44" t="str">
        <f>IFERROR(__xludf.DUMMYFUNCTION("""COMPUTED_VALUE"""),"La Guaira Sin Hospital")</f>
        <v>La Guaira Sin Hospital</v>
      </c>
      <c r="C3119" s="45" t="str">
        <f>IFERROR(__xludf.DUMMYFUNCTION("""COMPUTED_VALUE"""),"Ramirez de Reyes Barbara Danea")</f>
        <v>Ramirez de Reyes Barbara Danea</v>
      </c>
      <c r="D3119" s="44" t="str">
        <f>IFERROR(__xludf.DUMMYFUNCTION("""COMPUTED_VALUE"""),"")</f>
        <v/>
      </c>
      <c r="E3119" s="44" t="str">
        <f>IFERROR(__xludf.DUMMYFUNCTION("""COMPUTED_VALUE"""),"")</f>
        <v/>
      </c>
      <c r="F3119" s="44" t="str">
        <f>IFERROR(__xludf.DUMMYFUNCTION("""COMPUTED_VALUE"""),"")</f>
        <v/>
      </c>
      <c r="G3119" s="44" t="str">
        <f>IFERROR(__xludf.DUMMYFUNCTION("""COMPUTED_VALUE"""),"")</f>
        <v/>
      </c>
      <c r="H3119" s="44"/>
      <c r="I3119" s="44" t="str">
        <f>IFERROR(__xludf.DUMMYFUNCTION("""COMPUTED_VALUE"""),"Listas solo con nombre")</f>
        <v>Listas solo con nombre</v>
      </c>
      <c r="J3119" s="44" t="str">
        <f>IFERROR(__xludf.DUMMYFUNCTION("""COMPUTED_VALUE"""),"")</f>
        <v/>
      </c>
      <c r="K3119" s="42" t="str">
        <f>IFERROR(__xludf.DUMMYFUNCTION("""COMPUTED_VALUE"""),"La Guaira Sin Hospital")</f>
        <v>La Guaira Sin Hospital</v>
      </c>
    </row>
    <row r="3120">
      <c r="A3120" s="44">
        <v>3119.0</v>
      </c>
      <c r="B3120" s="44" t="str">
        <f>IFERROR(__xludf.DUMMYFUNCTION("""COMPUTED_VALUE"""),"Hospital Pérez Carreño")</f>
        <v>Hospital Pérez Carreño</v>
      </c>
      <c r="C3120" s="45" t="str">
        <f>IFERROR(__xludf.DUMMYFUNCTION("""COMPUTED_VALUE"""),"Ramirez de Reyes Barbara Doner")</f>
        <v>Ramirez de Reyes Barbara Doner</v>
      </c>
      <c r="D3120" s="44"/>
      <c r="E3120" s="44" t="str">
        <f>IFERROR(__xludf.DUMMYFUNCTION("""COMPUTED_VALUE"""),"")</f>
        <v/>
      </c>
      <c r="F3120" s="44" t="str">
        <f>IFERROR(__xludf.DUMMYFUNCTION("""COMPUTED_VALUE"""),"")</f>
        <v/>
      </c>
      <c r="G3120" s="44" t="str">
        <f>IFERROR(__xludf.DUMMYFUNCTION("""COMPUTED_VALUE"""),"Traslados")</f>
        <v>Traslados</v>
      </c>
      <c r="H3120" s="44" t="str">
        <f>IFERROR(__xludf.DUMMYFUNCTION("""COMPUTED_VALUE"""),"Hospital Miguel Perez Carreño")</f>
        <v>Hospital Miguel Perez Carreño</v>
      </c>
      <c r="I3120" s="44"/>
      <c r="J3120" s="44" t="str">
        <f>IFERROR(__xludf.DUMMYFUNCTION("""COMPUTED_VALUE"""),"26/6/26")</f>
        <v>26/6/26</v>
      </c>
      <c r="K3120" s="42" t="str">
        <f>IFERROR(__xludf.DUMMYFUNCTION("""COMPUTED_VALUE"""),"Hospital Pérez Carreño")</f>
        <v>Hospital Pérez Carreño</v>
      </c>
    </row>
    <row r="3121">
      <c r="A3121" s="44">
        <v>3120.0</v>
      </c>
      <c r="B3121" s="44" t="str">
        <f>IFERROR(__xludf.DUMMYFUNCTION("""COMPUTED_VALUE"""),"Cruz Roja")</f>
        <v>Cruz Roja</v>
      </c>
      <c r="C3121" s="45" t="str">
        <f>IFERROR(__xludf.DUMMYFUNCTION("""COMPUTED_VALUE"""),"RAMIREZ ELEYSA")</f>
        <v>RAMIREZ ELEYSA</v>
      </c>
      <c r="D3121" s="44">
        <f>IFERROR(__xludf.DUMMYFUNCTION("""COMPUTED_VALUE"""),64.0)</f>
        <v>64</v>
      </c>
      <c r="E3121" s="44" t="str">
        <f>IFERROR(__xludf.DUMMYFUNCTION("""COMPUTED_VALUE"""),"")</f>
        <v/>
      </c>
      <c r="F3121" s="44" t="str">
        <f>IFERROR(__xludf.DUMMYFUNCTION("""COMPUTED_VALUE"""),"")</f>
        <v/>
      </c>
      <c r="G3121" s="44" t="str">
        <f>IFERROR(__xludf.DUMMYFUNCTION("""COMPUTED_VALUE""")," ")</f>
        <v> </v>
      </c>
      <c r="H3121" s="44" t="str">
        <f>IFERROR(__xludf.DUMMYFUNCTION("""COMPUTED_VALUE"""),"Edif Carabobo")</f>
        <v>Edif Carabobo</v>
      </c>
      <c r="I3121" s="44" t="str">
        <f>IFERROR(__xludf.DUMMYFUNCTION("""COMPUTED_VALUE""")," ")</f>
        <v> </v>
      </c>
      <c r="J3121" s="44" t="str">
        <f>IFERROR(__xludf.DUMMYFUNCTION("""COMPUTED_VALUE"""),"")</f>
        <v/>
      </c>
      <c r="K3121" s="42" t="str">
        <f>IFERROR(__xludf.DUMMYFUNCTION("""COMPUTED_VALUE"""),"Cruz Roja")</f>
        <v>Cruz Roja</v>
      </c>
    </row>
    <row r="3122">
      <c r="A3122" s="44">
        <v>3121.0</v>
      </c>
      <c r="B3122" s="44" t="str">
        <f>IFERROR(__xludf.DUMMYFUNCTION("""COMPUTED_VALUE"""),"Hospital Domingo Luciani")</f>
        <v>Hospital Domingo Luciani</v>
      </c>
      <c r="C3122" s="45" t="str">
        <f>IFERROR(__xludf.DUMMYFUNCTION("""COMPUTED_VALUE"""),"RAMIREZ ESCALANTE MARIANGEL")</f>
        <v>RAMIREZ ESCALANTE MARIANGEL</v>
      </c>
      <c r="D3122" s="44" t="str">
        <f>IFERROR(__xludf.DUMMYFUNCTION("""COMPUTED_VALUE""")," ")</f>
        <v> </v>
      </c>
      <c r="E3122" s="44" t="str">
        <f>IFERROR(__xludf.DUMMYFUNCTION("""COMPUTED_VALUE"""),"")</f>
        <v/>
      </c>
      <c r="F3122" s="44" t="str">
        <f>IFERROR(__xludf.DUMMYFUNCTION("""COMPUTED_VALUE"""),"")</f>
        <v/>
      </c>
      <c r="G3122" s="44" t="str">
        <f>IFERROR(__xludf.DUMMYFUNCTION("""COMPUTED_VALUE""")," ")</f>
        <v> </v>
      </c>
      <c r="H3122" s="44" t="str">
        <f>IFERROR(__xludf.DUMMYFUNCTION("""COMPUTED_VALUE""")," ")</f>
        <v> </v>
      </c>
      <c r="I3122" s="44" t="str">
        <f>IFERROR(__xludf.DUMMYFUNCTION("""COMPUTED_VALUE"""),"Politrauma")</f>
        <v>Politrauma</v>
      </c>
      <c r="J3122" s="44" t="str">
        <f>IFERROR(__xludf.DUMMYFUNCTION("""COMPUTED_VALUE"""),"")</f>
        <v/>
      </c>
      <c r="K3122" s="42" t="str">
        <f>IFERROR(__xludf.DUMMYFUNCTION("""COMPUTED_VALUE"""),"🔍 BUSCAR PACIENTES")</f>
        <v>🔍 BUSCAR PACIENTES</v>
      </c>
    </row>
    <row r="3123">
      <c r="A3123" s="44">
        <v>3122.0</v>
      </c>
      <c r="B3123" s="44" t="str">
        <f>IFERROR(__xludf.DUMMYFUNCTION("""COMPUTED_VALUE"""),"Hospital Domingo Luciani")</f>
        <v>Hospital Domingo Luciani</v>
      </c>
      <c r="C3123" s="45" t="str">
        <f>IFERROR(__xludf.DUMMYFUNCTION("""COMPUTED_VALUE"""),"RAMIREZ ESCALANTE MARIANGEL / RAMIREZ MARIANGEL")</f>
        <v>RAMIREZ ESCALANTE MARIANGEL / RAMIREZ MARIANGEL</v>
      </c>
      <c r="D3123" s="44" t="str">
        <f>IFERROR(__xludf.DUMMYFUNCTION("""COMPUTED_VALUE""")," ")</f>
        <v> </v>
      </c>
      <c r="E3123" s="44" t="str">
        <f>IFERROR(__xludf.DUMMYFUNCTION("""COMPUTED_VALUE"""),"")</f>
        <v/>
      </c>
      <c r="F3123" s="44" t="str">
        <f>IFERROR(__xludf.DUMMYFUNCTION("""COMPUTED_VALUE"""),"")</f>
        <v/>
      </c>
      <c r="G3123" s="44" t="str">
        <f>IFERROR(__xludf.DUMMYFUNCTION("""COMPUTED_VALUE""")," ")</f>
        <v> </v>
      </c>
      <c r="H3123" s="44" t="str">
        <f>IFERROR(__xludf.DUMMYFUNCTION("""COMPUTED_VALUE""")," ")</f>
        <v> </v>
      </c>
      <c r="I3123" s="44" t="str">
        <f>IFERROR(__xludf.DUMMYFUNCTION("""COMPUTED_VALUE""")," ")</f>
        <v> </v>
      </c>
      <c r="J3123" s="44" t="str">
        <f>IFERROR(__xludf.DUMMYFUNCTION("""COMPUTED_VALUE"""),"")</f>
        <v/>
      </c>
      <c r="K3123" s="42" t="str">
        <f>IFERROR(__xludf.DUMMYFUNCTION("""COMPUTED_VALUE"""),"🔍 BUSCAR PACIENTES")</f>
        <v>🔍 BUSCAR PACIENTES</v>
      </c>
    </row>
    <row r="3124">
      <c r="A3124" s="44">
        <v>3123.0</v>
      </c>
      <c r="B3124" s="44" t="str">
        <f>IFERROR(__xludf.DUMMYFUNCTION("""COMPUTED_VALUE"""),"H. Jose Maria Vargas LG")</f>
        <v>H. Jose Maria Vargas LG</v>
      </c>
      <c r="C3124" s="45" t="str">
        <f>IFERROR(__xludf.DUMMYFUNCTION("""COMPUTED_VALUE"""),"RAMIREZ FREIDERY")</f>
        <v>RAMIREZ FREIDERY</v>
      </c>
      <c r="D3124" s="44" t="str">
        <f>IFERROR(__xludf.DUMMYFUNCTION("""COMPUTED_VALUE""")," ")</f>
        <v> </v>
      </c>
      <c r="E3124" s="44" t="str">
        <f>IFERROR(__xludf.DUMMYFUNCTION("""COMPUTED_VALUE"""),"")</f>
        <v/>
      </c>
      <c r="F3124" s="44" t="str">
        <f>IFERROR(__xludf.DUMMYFUNCTION("""COMPUTED_VALUE"""),"")</f>
        <v/>
      </c>
      <c r="G3124" s="44" t="str">
        <f>IFERROR(__xludf.DUMMYFUNCTION("""COMPUTED_VALUE""")," ")</f>
        <v> </v>
      </c>
      <c r="H3124" s="44" t="str">
        <f>IFERROR(__xludf.DUMMYFUNCTION("""COMPUTED_VALUE""")," ")</f>
        <v> </v>
      </c>
      <c r="I3124" s="44" t="str">
        <f>IFERROR(__xludf.DUMMYFUNCTION("""COMPUTED_VALUE""")," ")</f>
        <v> </v>
      </c>
      <c r="J3124" s="44" t="str">
        <f>IFERROR(__xludf.DUMMYFUNCTION("""COMPUTED_VALUE"""),"")</f>
        <v/>
      </c>
      <c r="K3124" s="42" t="str">
        <f>IFERROR(__xludf.DUMMYFUNCTION("""COMPUTED_VALUE"""),"H. Jose Maria Vargas LG")</f>
        <v>H. Jose Maria Vargas LG</v>
      </c>
    </row>
    <row r="3125">
      <c r="A3125" s="44">
        <v>3124.0</v>
      </c>
      <c r="B3125" s="44" t="str">
        <f>IFERROR(__xludf.DUMMYFUNCTION("""COMPUTED_VALUE"""),"Hospital Domingo Luciani")</f>
        <v>Hospital Domingo Luciani</v>
      </c>
      <c r="C3125" s="45" t="str">
        <f>IFERROR(__xludf.DUMMYFUNCTION("""COMPUTED_VALUE"""),"RAMIREZ GABRIELA")</f>
        <v>RAMIREZ GABRIELA</v>
      </c>
      <c r="D3125" s="44">
        <f>IFERROR(__xludf.DUMMYFUNCTION("""COMPUTED_VALUE"""),37.0)</f>
        <v>37</v>
      </c>
      <c r="E3125" s="44" t="str">
        <f>IFERROR(__xludf.DUMMYFUNCTION("""COMPUTED_VALUE"""),"")</f>
        <v/>
      </c>
      <c r="F3125" s="44" t="str">
        <f>IFERROR(__xludf.DUMMYFUNCTION("""COMPUTED_VALUE"""),"")</f>
        <v/>
      </c>
      <c r="G3125" s="44" t="str">
        <f>IFERROR(__xludf.DUMMYFUNCTION("""COMPUTED_VALUE""")," ")</f>
        <v> </v>
      </c>
      <c r="H3125" s="44" t="str">
        <f>IFERROR(__xludf.DUMMYFUNCTION("""COMPUTED_VALUE""")," ")</f>
        <v> </v>
      </c>
      <c r="I3125" s="44" t="str">
        <f>IFERROR(__xludf.DUMMYFUNCTION("""COMPUTED_VALUE"""),"Quirófano")</f>
        <v>Quirófano</v>
      </c>
      <c r="J3125" s="44" t="str">
        <f>IFERROR(__xludf.DUMMYFUNCTION("""COMPUTED_VALUE"""),"")</f>
        <v/>
      </c>
      <c r="K3125" s="42" t="str">
        <f>IFERROR(__xludf.DUMMYFUNCTION("""COMPUTED_VALUE"""),"🔍 BUSCAR PACIENTES")</f>
        <v>🔍 BUSCAR PACIENTES</v>
      </c>
    </row>
    <row r="3126">
      <c r="A3126" s="44">
        <v>3125.0</v>
      </c>
      <c r="B3126" s="44" t="str">
        <f>IFERROR(__xludf.DUMMYFUNCTION("""COMPUTED_VALUE"""),"Hospital Pérez Carreño")</f>
        <v>Hospital Pérez Carreño</v>
      </c>
      <c r="C3126" s="45" t="str">
        <f>IFERROR(__xludf.DUMMYFUNCTION("""COMPUTED_VALUE"""),"RAMIREZ HILARY")</f>
        <v>RAMIREZ HILARY</v>
      </c>
      <c r="D3126" s="44">
        <f>IFERROR(__xludf.DUMMYFUNCTION("""COMPUTED_VALUE"""),10.0)</f>
        <v>10</v>
      </c>
      <c r="E3126" s="44" t="str">
        <f>IFERROR(__xludf.DUMMYFUNCTION("""COMPUTED_VALUE"""),"")</f>
        <v/>
      </c>
      <c r="F3126" s="44" t="str">
        <f>IFERROR(__xludf.DUMMYFUNCTION("""COMPUTED_VALUE"""),"")</f>
        <v/>
      </c>
      <c r="G3126" s="44" t="str">
        <f>IFERROR(__xludf.DUMMYFUNCTION("""COMPUTED_VALUE""")," ")</f>
        <v> </v>
      </c>
      <c r="H3126" s="44" t="str">
        <f>IFERROR(__xludf.DUMMYFUNCTION("""COMPUTED_VALUE""")," ")</f>
        <v> </v>
      </c>
      <c r="I3126" s="44" t="str">
        <f>IFERROR(__xludf.DUMMYFUNCTION("""COMPUTED_VALUE"""),"Pediatría – Lista alta; Mamá: Melanie Castellanos")</f>
        <v>Pediatría – Lista alta; Mamá: Melanie Castellanos</v>
      </c>
      <c r="J3126" s="44" t="str">
        <f>IFERROR(__xludf.DUMMYFUNCTION("""COMPUTED_VALUE"""),"")</f>
        <v/>
      </c>
      <c r="K3126" s="42" t="str">
        <f>IFERROR(__xludf.DUMMYFUNCTION("""COMPUTED_VALUE"""),"🔍 BUSCAR PACIENTES")</f>
        <v>🔍 BUSCAR PACIENTES</v>
      </c>
    </row>
    <row r="3127">
      <c r="A3127" s="44">
        <v>3126.0</v>
      </c>
      <c r="B3127" s="44" t="str">
        <f>IFERROR(__xludf.DUMMYFUNCTION("""COMPUTED_VALUE"""),"Centro de Acopio Caraballeda")</f>
        <v>Centro de Acopio Caraballeda</v>
      </c>
      <c r="C3127" s="45" t="str">
        <f>IFERROR(__xludf.DUMMYFUNCTION("""COMPUTED_VALUE"""),"RAMIREZ JEAN")</f>
        <v>RAMIREZ JEAN</v>
      </c>
      <c r="D3127" s="44" t="str">
        <f>IFERROR(__xludf.DUMMYFUNCTION("""COMPUTED_VALUE""")," ")</f>
        <v> </v>
      </c>
      <c r="E3127" s="44" t="str">
        <f>IFERROR(__xludf.DUMMYFUNCTION("""COMPUTED_VALUE"""),"")</f>
        <v/>
      </c>
      <c r="F3127" s="44" t="str">
        <f>IFERROR(__xludf.DUMMYFUNCTION("""COMPUTED_VALUE"""),"")</f>
        <v/>
      </c>
      <c r="G3127" s="44" t="str">
        <f>IFERROR(__xludf.DUMMYFUNCTION("""COMPUTED_VALUE""")," ")</f>
        <v> </v>
      </c>
      <c r="H3127" s="44" t="str">
        <f>IFERROR(__xludf.DUMMYFUNCTION("""COMPUTED_VALUE""")," ")</f>
        <v> </v>
      </c>
      <c r="I3127" s="44" t="str">
        <f>IFERROR(__xludf.DUMMYFUNCTION("""COMPUTED_VALUE"""),"Internado")</f>
        <v>Internado</v>
      </c>
      <c r="J3127" s="44" t="str">
        <f>IFERROR(__xludf.DUMMYFUNCTION("""COMPUTED_VALUE"""),"")</f>
        <v/>
      </c>
      <c r="K3127" s="42" t="str">
        <f>IFERROR(__xludf.DUMMYFUNCTION("""COMPUTED_VALUE"""),"🔍 BUSCAR PACIENTES")</f>
        <v>🔍 BUSCAR PACIENTES</v>
      </c>
    </row>
    <row r="3128">
      <c r="A3128" s="44">
        <v>3127.0</v>
      </c>
      <c r="B3128" s="44" t="str">
        <f>IFERROR(__xludf.DUMMYFUNCTION("""COMPUTED_VALUE"""),"Hospital Pérez Carreño")</f>
        <v>Hospital Pérez Carreño</v>
      </c>
      <c r="C3128" s="45" t="str">
        <f>IFERROR(__xludf.DUMMYFUNCTION("""COMPUTED_VALUE"""),"RAMIREZ JESUS")</f>
        <v>RAMIREZ JESUS</v>
      </c>
      <c r="D3128" s="44" t="str">
        <f>IFERROR(__xludf.DUMMYFUNCTION("""COMPUTED_VALUE""")," ")</f>
        <v> </v>
      </c>
      <c r="E3128" s="44" t="str">
        <f>IFERROR(__xludf.DUMMYFUNCTION("""COMPUTED_VALUE"""),"")</f>
        <v/>
      </c>
      <c r="F3128" s="44" t="str">
        <f>IFERROR(__xludf.DUMMYFUNCTION("""COMPUTED_VALUE"""),"")</f>
        <v/>
      </c>
      <c r="G3128" s="44" t="str">
        <f>IFERROR(__xludf.DUMMYFUNCTION("""COMPUTED_VALUE""")," ")</f>
        <v> </v>
      </c>
      <c r="H3128" s="44" t="str">
        <f>IFERROR(__xludf.DUMMYFUNCTION("""COMPUTED_VALUE""")," ")</f>
        <v> </v>
      </c>
      <c r="I3128" s="44" t="str">
        <f>IFERROR(__xludf.DUMMYFUNCTION("""COMPUTED_VALUE"""),"Traumashock")</f>
        <v>Traumashock</v>
      </c>
      <c r="J3128" s="44" t="str">
        <f>IFERROR(__xludf.DUMMYFUNCTION("""COMPUTED_VALUE"""),"25/06/2026")</f>
        <v>25/06/2026</v>
      </c>
      <c r="K3128" s="42" t="str">
        <f>IFERROR(__xludf.DUMMYFUNCTION("""COMPUTED_VALUE"""),"Hospital Pérez Carreño")</f>
        <v>Hospital Pérez Carreño</v>
      </c>
    </row>
    <row r="3129">
      <c r="A3129" s="44">
        <v>3128.0</v>
      </c>
      <c r="B3129" s="44" t="str">
        <f>IFERROR(__xludf.DUMMYFUNCTION("""COMPUTED_VALUE"""),"Hospital Domingo Luciani")</f>
        <v>Hospital Domingo Luciani</v>
      </c>
      <c r="C3129" s="45" t="str">
        <f>IFERROR(__xludf.DUMMYFUNCTION("""COMPUTED_VALUE"""),"RAMIREZ JOSE")</f>
        <v>RAMIREZ JOSE</v>
      </c>
      <c r="D3129" s="44" t="str">
        <f>IFERROR(__xludf.DUMMYFUNCTION("""COMPUTED_VALUE""")," ")</f>
        <v> </v>
      </c>
      <c r="E3129" s="44" t="str">
        <f>IFERROR(__xludf.DUMMYFUNCTION("""COMPUTED_VALUE"""),"")</f>
        <v/>
      </c>
      <c r="F3129" s="44" t="str">
        <f>IFERROR(__xludf.DUMMYFUNCTION("""COMPUTED_VALUE"""),"")</f>
        <v/>
      </c>
      <c r="G3129" s="44" t="str">
        <f>IFERROR(__xludf.DUMMYFUNCTION("""COMPUTED_VALUE""")," ")</f>
        <v> </v>
      </c>
      <c r="H3129" s="44" t="str">
        <f>IFERROR(__xludf.DUMMYFUNCTION("""COMPUTED_VALUE""")," ")</f>
        <v> </v>
      </c>
      <c r="I3129" s="44" t="str">
        <f>IFERROR(__xludf.DUMMYFUNCTION("""COMPUTED_VALUE"""),"Politrauma")</f>
        <v>Politrauma</v>
      </c>
      <c r="J3129" s="44" t="str">
        <f>IFERROR(__xludf.DUMMYFUNCTION("""COMPUTED_VALUE"""),"")</f>
        <v/>
      </c>
      <c r="K3129" s="42" t="str">
        <f>IFERROR(__xludf.DUMMYFUNCTION("""COMPUTED_VALUE"""),"🔍 BUSCAR PACIENTES")</f>
        <v>🔍 BUSCAR PACIENTES</v>
      </c>
    </row>
    <row r="3130">
      <c r="A3130" s="44">
        <v>3129.0</v>
      </c>
      <c r="B3130" s="44" t="str">
        <f>IFERROR(__xludf.DUMMYFUNCTION("""COMPUTED_VALUE"""),"H. Jose Maria Vargas LG")</f>
        <v>H. Jose Maria Vargas LG</v>
      </c>
      <c r="C3130" s="45" t="str">
        <f>IFERROR(__xludf.DUMMYFUNCTION("""COMPUTED_VALUE"""),"RAMIREZ JULIAM")</f>
        <v>RAMIREZ JULIAM</v>
      </c>
      <c r="D3130" s="44" t="str">
        <f>IFERROR(__xludf.DUMMYFUNCTION("""COMPUTED_VALUE""")," ")</f>
        <v> </v>
      </c>
      <c r="E3130" s="44" t="str">
        <f>IFERROR(__xludf.DUMMYFUNCTION("""COMPUTED_VALUE"""),"")</f>
        <v/>
      </c>
      <c r="F3130" s="44" t="str">
        <f>IFERROR(__xludf.DUMMYFUNCTION("""COMPUTED_VALUE"""),"")</f>
        <v/>
      </c>
      <c r="G3130" s="44" t="str">
        <f>IFERROR(__xludf.DUMMYFUNCTION("""COMPUTED_VALUE""")," ")</f>
        <v> </v>
      </c>
      <c r="H3130" s="44" t="str">
        <f>IFERROR(__xludf.DUMMYFUNCTION("""COMPUTED_VALUE""")," ")</f>
        <v> </v>
      </c>
      <c r="I3130" s="44" t="str">
        <f>IFERROR(__xludf.DUMMYFUNCTION("""COMPUTED_VALUE""")," ")</f>
        <v> </v>
      </c>
      <c r="J3130" s="44" t="str">
        <f>IFERROR(__xludf.DUMMYFUNCTION("""COMPUTED_VALUE"""),"")</f>
        <v/>
      </c>
      <c r="K3130" s="42" t="str">
        <f>IFERROR(__xludf.DUMMYFUNCTION("""COMPUTED_VALUE"""),"H. Jose Maria Vargas LG")</f>
        <v>H. Jose Maria Vargas LG</v>
      </c>
    </row>
    <row r="3131">
      <c r="A3131" s="44">
        <v>3130.0</v>
      </c>
      <c r="B3131" s="44" t="str">
        <f>IFERROR(__xludf.DUMMYFUNCTION("""COMPUTED_VALUE"""),"H. Jose Maria Vargas LG")</f>
        <v>H. Jose Maria Vargas LG</v>
      </c>
      <c r="C3131" s="45" t="str">
        <f>IFERROR(__xludf.DUMMYFUNCTION("""COMPUTED_VALUE"""),"RAMIREZ LUCIAN")</f>
        <v>RAMIREZ LUCIAN</v>
      </c>
      <c r="D3131" s="44" t="str">
        <f>IFERROR(__xludf.DUMMYFUNCTION("""COMPUTED_VALUE""")," ")</f>
        <v> </v>
      </c>
      <c r="E3131" s="44" t="str">
        <f>IFERROR(__xludf.DUMMYFUNCTION("""COMPUTED_VALUE"""),"")</f>
        <v/>
      </c>
      <c r="F3131" s="44" t="str">
        <f>IFERROR(__xludf.DUMMYFUNCTION("""COMPUTED_VALUE"""),"")</f>
        <v/>
      </c>
      <c r="G3131" s="44" t="str">
        <f>IFERROR(__xludf.DUMMYFUNCTION("""COMPUTED_VALUE""")," ")</f>
        <v> </v>
      </c>
      <c r="H3131" s="44" t="str">
        <f>IFERROR(__xludf.DUMMYFUNCTION("""COMPUTED_VALUE""")," ")</f>
        <v> </v>
      </c>
      <c r="I3131" s="44" t="str">
        <f>IFERROR(__xludf.DUMMYFUNCTION("""COMPUTED_VALUE""")," ")</f>
        <v> </v>
      </c>
      <c r="J3131" s="44" t="str">
        <f>IFERROR(__xludf.DUMMYFUNCTION("""COMPUTED_VALUE"""),"")</f>
        <v/>
      </c>
      <c r="K3131" s="42" t="str">
        <f>IFERROR(__xludf.DUMMYFUNCTION("""COMPUTED_VALUE"""),"H. Jose Maria Vargas LG")</f>
        <v>H. Jose Maria Vargas LG</v>
      </c>
    </row>
    <row r="3132">
      <c r="A3132" s="44">
        <v>3131.0</v>
      </c>
      <c r="B3132" s="44" t="str">
        <f>IFERROR(__xludf.DUMMYFUNCTION("""COMPUTED_VALUE"""),"Hospital Domingo Luciani")</f>
        <v>Hospital Domingo Luciani</v>
      </c>
      <c r="C3132" s="45" t="str">
        <f>IFERROR(__xludf.DUMMYFUNCTION("""COMPUTED_VALUE"""),"RAMÍREZ MARIANGEL")</f>
        <v>RAMÍREZ MARIANGEL</v>
      </c>
      <c r="D3132" s="44">
        <f>IFERROR(__xludf.DUMMYFUNCTION("""COMPUTED_VALUE"""),33.0)</f>
        <v>33</v>
      </c>
      <c r="E3132" s="44" t="str">
        <f>IFERROR(__xludf.DUMMYFUNCTION("""COMPUTED_VALUE"""),"")</f>
        <v/>
      </c>
      <c r="F3132" s="44" t="str">
        <f>IFERROR(__xludf.DUMMYFUNCTION("""COMPUTED_VALUE"""),"")</f>
        <v/>
      </c>
      <c r="G3132" s="44" t="str">
        <f>IFERROR(__xludf.DUMMYFUNCTION("""COMPUTED_VALUE""")," ")</f>
        <v> </v>
      </c>
      <c r="H3132" s="44" t="str">
        <f>IFERROR(__xludf.DUMMYFUNCTION("""COMPUTED_VALUE""")," ")</f>
        <v> </v>
      </c>
      <c r="I3132" s="44" t="str">
        <f>IFERROR(__xludf.DUMMYFUNCTION("""COMPUTED_VALUE""")," ")</f>
        <v> </v>
      </c>
      <c r="J3132" s="44" t="str">
        <f>IFERROR(__xludf.DUMMYFUNCTION("""COMPUTED_VALUE"""),"")</f>
        <v/>
      </c>
      <c r="K3132" s="42" t="str">
        <f>IFERROR(__xludf.DUMMYFUNCTION("""COMPUTED_VALUE"""),"🔍 BUSCAR PACIENTES")</f>
        <v>🔍 BUSCAR PACIENTES</v>
      </c>
    </row>
    <row r="3133">
      <c r="A3133" s="44">
        <v>3132.0</v>
      </c>
      <c r="B3133" s="44" t="str">
        <f>IFERROR(__xludf.DUMMYFUNCTION("""COMPUTED_VALUE"""),"Centro de Acopio Caraballeda")</f>
        <v>Centro de Acopio Caraballeda</v>
      </c>
      <c r="C3133" s="45" t="str">
        <f>IFERROR(__xludf.DUMMYFUNCTION("""COMPUTED_VALUE"""),"RAMIREZ (MENOR) NIRZO")</f>
        <v>RAMIREZ (MENOR) NIRZO</v>
      </c>
      <c r="D3133" s="44" t="str">
        <f>IFERROR(__xludf.DUMMYFUNCTION("""COMPUTED_VALUE""")," ")</f>
        <v> </v>
      </c>
      <c r="E3133" s="44" t="str">
        <f>IFERROR(__xludf.DUMMYFUNCTION("""COMPUTED_VALUE"""),"")</f>
        <v/>
      </c>
      <c r="F3133" s="44" t="str">
        <f>IFERROR(__xludf.DUMMYFUNCTION("""COMPUTED_VALUE"""),"")</f>
        <v/>
      </c>
      <c r="G3133" s="44" t="str">
        <f>IFERROR(__xludf.DUMMYFUNCTION("""COMPUTED_VALUE""")," ")</f>
        <v> </v>
      </c>
      <c r="H3133" s="44" t="str">
        <f>IFERROR(__xludf.DUMMYFUNCTION("""COMPUTED_VALUE""")," ")</f>
        <v> </v>
      </c>
      <c r="I3133" s="44" t="str">
        <f>IFERROR(__xludf.DUMMYFUNCTION("""COMPUTED_VALUE"""),"Internado")</f>
        <v>Internado</v>
      </c>
      <c r="J3133" s="44" t="str">
        <f>IFERROR(__xludf.DUMMYFUNCTION("""COMPUTED_VALUE"""),"")</f>
        <v/>
      </c>
      <c r="K3133" s="42" t="str">
        <f>IFERROR(__xludf.DUMMYFUNCTION("""COMPUTED_VALUE"""),"🔍 BUSCAR PACIENTES")</f>
        <v>🔍 BUSCAR PACIENTES</v>
      </c>
    </row>
    <row r="3134">
      <c r="A3134" s="44">
        <v>3133.0</v>
      </c>
      <c r="B3134" s="44" t="str">
        <f>IFERROR(__xludf.DUMMYFUNCTION("""COMPUTED_VALUE"""),"Hospital Domingo Luciani")</f>
        <v>Hospital Domingo Luciani</v>
      </c>
      <c r="C3134" s="45" t="str">
        <f>IFERROR(__xludf.DUMMYFUNCTION("""COMPUTED_VALUE"""),"RAMIREZ NAIROBY")</f>
        <v>RAMIREZ NAIROBY</v>
      </c>
      <c r="D3134" s="44" t="str">
        <f>IFERROR(__xludf.DUMMYFUNCTION("""COMPUTED_VALUE""")," ")</f>
        <v> </v>
      </c>
      <c r="E3134" s="44" t="str">
        <f>IFERROR(__xludf.DUMMYFUNCTION("""COMPUTED_VALUE"""),"")</f>
        <v/>
      </c>
      <c r="F3134" s="44" t="str">
        <f>IFERROR(__xludf.DUMMYFUNCTION("""COMPUTED_VALUE"""),"")</f>
        <v/>
      </c>
      <c r="G3134" s="44" t="str">
        <f>IFERROR(__xludf.DUMMYFUNCTION("""COMPUTED_VALUE""")," ")</f>
        <v> </v>
      </c>
      <c r="H3134" s="44" t="str">
        <f>IFERROR(__xludf.DUMMYFUNCTION("""COMPUTED_VALUE""")," ")</f>
        <v> </v>
      </c>
      <c r="I3134" s="44" t="str">
        <f>IFERROR(__xludf.DUMMYFUNCTION("""COMPUTED_VALUE"""),"Politrauma Emerg. Nueva")</f>
        <v>Politrauma Emerg. Nueva</v>
      </c>
      <c r="J3134" s="44" t="str">
        <f>IFERROR(__xludf.DUMMYFUNCTION("""COMPUTED_VALUE"""),"")</f>
        <v/>
      </c>
      <c r="K3134" s="42" t="str">
        <f>IFERROR(__xludf.DUMMYFUNCTION("""COMPUTED_VALUE"""),"🔍 BUSCAR PACIENTES")</f>
        <v>🔍 BUSCAR PACIENTES</v>
      </c>
    </row>
    <row r="3135">
      <c r="A3135" s="44">
        <v>3134.0</v>
      </c>
      <c r="B3135" s="44" t="str">
        <f>IFERROR(__xludf.DUMMYFUNCTION("""COMPUTED_VALUE"""),"Periférico de Catia")</f>
        <v>Periférico de Catia</v>
      </c>
      <c r="C3135" s="45" t="str">
        <f>IFERROR(__xludf.DUMMYFUNCTION("""COMPUTED_VALUE"""),"Ramirez Naudry")</f>
        <v>Ramirez Naudry</v>
      </c>
      <c r="D3135" s="44">
        <f>IFERROR(__xludf.DUMMYFUNCTION("""COMPUTED_VALUE"""),32.0)</f>
        <v>32</v>
      </c>
      <c r="E3135" s="44" t="str">
        <f>IFERROR(__xludf.DUMMYFUNCTION("""COMPUTED_VALUE"""),"")</f>
        <v/>
      </c>
      <c r="F3135" s="44" t="str">
        <f>IFERROR(__xludf.DUMMYFUNCTION("""COMPUTED_VALUE"""),"")</f>
        <v/>
      </c>
      <c r="G3135" s="44"/>
      <c r="H3135" s="44"/>
      <c r="I3135" s="44" t="str">
        <f>IFERROR(__xludf.DUMMYFUNCTION("""COMPUTED_VALUE"""),"Poli Emerg. Nueva (hoja 'Sandoval Nelly')")</f>
        <v>Poli Emerg. Nueva (hoja 'Sandoval Nelly')</v>
      </c>
      <c r="J3135" s="44" t="str">
        <f>IFERROR(__xludf.DUMMYFUNCTION("""COMPUTED_VALUE"""),"")</f>
        <v/>
      </c>
      <c r="K3135" s="42" t="str">
        <f>IFERROR(__xludf.DUMMYFUNCTION("""COMPUTED_VALUE"""),"Periférico de Catia")</f>
        <v>Periférico de Catia</v>
      </c>
    </row>
    <row r="3136">
      <c r="A3136" s="44">
        <v>3135.0</v>
      </c>
      <c r="B3136" s="44" t="str">
        <f>IFERROR(__xludf.DUMMYFUNCTION("""COMPUTED_VALUE"""),"Hospital Domingo Luciani")</f>
        <v>Hospital Domingo Luciani</v>
      </c>
      <c r="C3136" s="45" t="str">
        <f>IFERROR(__xludf.DUMMYFUNCTION("""COMPUTED_VALUE"""),"RAMIREZ QUINTANA")</f>
        <v>RAMIREZ QUINTANA</v>
      </c>
      <c r="D3136" s="44">
        <f>IFERROR(__xludf.DUMMYFUNCTION("""COMPUTED_VALUE"""),32.0)</f>
        <v>32</v>
      </c>
      <c r="E3136" s="44" t="str">
        <f>IFERROR(__xludf.DUMMYFUNCTION("""COMPUTED_VALUE"""),"")</f>
        <v/>
      </c>
      <c r="F3136" s="44" t="str">
        <f>IFERROR(__xludf.DUMMYFUNCTION("""COMPUTED_VALUE"""),"")</f>
        <v/>
      </c>
      <c r="G3136" s="44" t="str">
        <f>IFERROR(__xludf.DUMMYFUNCTION("""COMPUTED_VALUE""")," ")</f>
        <v> </v>
      </c>
      <c r="H3136" s="44" t="str">
        <f>IFERROR(__xludf.DUMMYFUNCTION("""COMPUTED_VALUE""")," ")</f>
        <v> </v>
      </c>
      <c r="I3136" s="44" t="str">
        <f>IFERROR(__xludf.DUMMYFUNCTION("""COMPUTED_VALUE"""),"Internado; SALA DE PARTO")</f>
        <v>Internado; SALA DE PARTO</v>
      </c>
      <c r="J3136" s="44" t="str">
        <f>IFERROR(__xludf.DUMMYFUNCTION("""COMPUTED_VALUE"""),"")</f>
        <v/>
      </c>
      <c r="K3136" s="42" t="str">
        <f>IFERROR(__xludf.DUMMYFUNCTION("""COMPUTED_VALUE"""),"🔍 BUSCAR PACIENTES")</f>
        <v>🔍 BUSCAR PACIENTES</v>
      </c>
    </row>
    <row r="3137">
      <c r="A3137" s="44">
        <v>3136.0</v>
      </c>
      <c r="B3137" s="44" t="str">
        <f>IFERROR(__xludf.DUMMYFUNCTION("""COMPUTED_VALUE"""),"Hospital Domingo Luciani")</f>
        <v>Hospital Domingo Luciani</v>
      </c>
      <c r="C3137" s="45" t="str">
        <f>IFERROR(__xludf.DUMMYFUNCTION("""COMPUTED_VALUE"""),"RAMIREZ QUINTERO")</f>
        <v>RAMIREZ QUINTERO</v>
      </c>
      <c r="D3137" s="44">
        <f>IFERROR(__xludf.DUMMYFUNCTION("""COMPUTED_VALUE"""),32.0)</f>
        <v>32</v>
      </c>
      <c r="E3137" s="44" t="str">
        <f>IFERROR(__xludf.DUMMYFUNCTION("""COMPUTED_VALUE"""),"")</f>
        <v/>
      </c>
      <c r="F3137" s="44" t="str">
        <f>IFERROR(__xludf.DUMMYFUNCTION("""COMPUTED_VALUE"""),"")</f>
        <v/>
      </c>
      <c r="G3137" s="44" t="str">
        <f>IFERROR(__xludf.DUMMYFUNCTION("""COMPUTED_VALUE""")," ")</f>
        <v> </v>
      </c>
      <c r="H3137" s="44" t="str">
        <f>IFERROR(__xludf.DUMMYFUNCTION("""COMPUTED_VALUE""")," ")</f>
        <v> </v>
      </c>
      <c r="I3137" s="44" t="str">
        <f>IFERROR(__xludf.DUMMYFUNCTION("""COMPUTED_VALUE"""),"Sala de Parto")</f>
        <v>Sala de Parto</v>
      </c>
      <c r="J3137" s="44" t="str">
        <f>IFERROR(__xludf.DUMMYFUNCTION("""COMPUTED_VALUE"""),"")</f>
        <v/>
      </c>
      <c r="K3137" s="42" t="str">
        <f>IFERROR(__xludf.DUMMYFUNCTION("""COMPUTED_VALUE"""),"🔍 BUSCAR PACIENTES")</f>
        <v>🔍 BUSCAR PACIENTES</v>
      </c>
    </row>
    <row r="3138">
      <c r="A3138" s="44">
        <v>3137.0</v>
      </c>
      <c r="B3138" s="44" t="str">
        <f>IFERROR(__xludf.DUMMYFUNCTION("""COMPUTED_VALUE"""),"Centro de Acopio Caraballeda")</f>
        <v>Centro de Acopio Caraballeda</v>
      </c>
      <c r="C3138" s="45" t="str">
        <f>IFERROR(__xludf.DUMMYFUNCTION("""COMPUTED_VALUE"""),"RAMIREZ VICTOR")</f>
        <v>RAMIREZ VICTOR</v>
      </c>
      <c r="D3138" s="44" t="str">
        <f>IFERROR(__xludf.DUMMYFUNCTION("""COMPUTED_VALUE""")," ")</f>
        <v> </v>
      </c>
      <c r="E3138" s="44" t="str">
        <f>IFERROR(__xludf.DUMMYFUNCTION("""COMPUTED_VALUE"""),"")</f>
        <v/>
      </c>
      <c r="F3138" s="44" t="str">
        <f>IFERROR(__xludf.DUMMYFUNCTION("""COMPUTED_VALUE"""),"")</f>
        <v/>
      </c>
      <c r="G3138" s="44" t="str">
        <f>IFERROR(__xludf.DUMMYFUNCTION("""COMPUTED_VALUE""")," ")</f>
        <v> </v>
      </c>
      <c r="H3138" s="44" t="str">
        <f>IFERROR(__xludf.DUMMYFUNCTION("""COMPUTED_VALUE""")," ")</f>
        <v> </v>
      </c>
      <c r="I3138" s="44" t="str">
        <f>IFERROR(__xludf.DUMMYFUNCTION("""COMPUTED_VALUE"""),"Internado")</f>
        <v>Internado</v>
      </c>
      <c r="J3138" s="44" t="str">
        <f>IFERROR(__xludf.DUMMYFUNCTION("""COMPUTED_VALUE"""),"")</f>
        <v/>
      </c>
      <c r="K3138" s="42" t="str">
        <f>IFERROR(__xludf.DUMMYFUNCTION("""COMPUTED_VALUE"""),"🔍 BUSCAR PACIENTES")</f>
        <v>🔍 BUSCAR PACIENTES</v>
      </c>
    </row>
    <row r="3139">
      <c r="A3139" s="44">
        <v>3138.0</v>
      </c>
      <c r="B3139" s="44" t="str">
        <f>IFERROR(__xludf.DUMMYFUNCTION("""COMPUTED_VALUE"""),"Campo de Golf Playa los Cocos")</f>
        <v>Campo de Golf Playa los Cocos</v>
      </c>
      <c r="C3139" s="45" t="str">
        <f>IFERROR(__xludf.DUMMYFUNCTION("""COMPUTED_VALUE"""),"Ramon Medina")</f>
        <v>Ramon Medina</v>
      </c>
      <c r="D3139" s="44" t="str">
        <f>IFERROR(__xludf.DUMMYFUNCTION("""COMPUTED_VALUE"""),"")</f>
        <v/>
      </c>
      <c r="E3139" s="44" t="str">
        <f>IFERROR(__xludf.DUMMYFUNCTION("""COMPUTED_VALUE"""),"")</f>
        <v/>
      </c>
      <c r="F3139" s="44" t="str">
        <f>IFERROR(__xludf.DUMMYFUNCTION("""COMPUTED_VALUE"""),"")</f>
        <v/>
      </c>
      <c r="G3139" s="44" t="str">
        <f>IFERROR(__xludf.DUMMYFUNCTION("""COMPUTED_VALUE"""),"")</f>
        <v/>
      </c>
      <c r="H3139" s="44" t="str">
        <f>IFERROR(__xludf.DUMMYFUNCTION("""COMPUTED_VALUE"""),"")</f>
        <v/>
      </c>
      <c r="I3139" s="44"/>
      <c r="J3139" s="44" t="str">
        <f>IFERROR(__xludf.DUMMYFUNCTION("""COMPUTED_VALUE"""),"")</f>
        <v/>
      </c>
      <c r="K3139" s="42" t="str">
        <f>IFERROR(__xludf.DUMMYFUNCTION("""COMPUTED_VALUE"""),"Campo de Golf Playa los Cocos")</f>
        <v>Campo de Golf Playa los Cocos</v>
      </c>
    </row>
    <row r="3140">
      <c r="A3140" s="44">
        <v>3139.0</v>
      </c>
      <c r="B3140" s="44" t="str">
        <f>IFERROR(__xludf.DUMMYFUNCTION("""COMPUTED_VALUE"""),"Hospital Pérez Carreño")</f>
        <v>Hospital Pérez Carreño</v>
      </c>
      <c r="C3140" s="45" t="str">
        <f>IFERROR(__xludf.DUMMYFUNCTION("""COMPUTED_VALUE"""),"Ramon Perez")</f>
        <v>Ramon Perez</v>
      </c>
      <c r="D3140" s="44"/>
      <c r="E3140" s="44" t="str">
        <f>IFERROR(__xludf.DUMMYFUNCTION("""COMPUTED_VALUE"""),"")</f>
        <v/>
      </c>
      <c r="F3140" s="44" t="str">
        <f>IFERROR(__xludf.DUMMYFUNCTION("""COMPUTED_VALUE"""),"")</f>
        <v/>
      </c>
      <c r="G3140" s="44" t="str">
        <f>IFERROR(__xludf.DUMMYFUNCTION("""COMPUTED_VALUE"""),"Traumashock ")</f>
        <v>Traumashock </v>
      </c>
      <c r="H3140" s="44" t="str">
        <f>IFERROR(__xludf.DUMMYFUNCTION("""COMPUTED_VALUE"""),"Hospital Miguel Perez Carreño")</f>
        <v>Hospital Miguel Perez Carreño</v>
      </c>
      <c r="I3140" s="44"/>
      <c r="J3140" s="44" t="str">
        <f>IFERROR(__xludf.DUMMYFUNCTION("""COMPUTED_VALUE"""),"26/6/26")</f>
        <v>26/6/26</v>
      </c>
      <c r="K3140" s="42" t="str">
        <f>IFERROR(__xludf.DUMMYFUNCTION("""COMPUTED_VALUE"""),"Hospital Pérez Carreño")</f>
        <v>Hospital Pérez Carreño</v>
      </c>
    </row>
    <row r="3141">
      <c r="A3141" s="44">
        <v>3140.0</v>
      </c>
      <c r="B3141" s="44" t="str">
        <f>IFERROR(__xludf.DUMMYFUNCTION("""COMPUTED_VALUE"""),"Hospital Pérez Carreño")</f>
        <v>Hospital Pérez Carreño</v>
      </c>
      <c r="C3141" s="45" t="str">
        <f>IFERROR(__xludf.DUMMYFUNCTION("""COMPUTED_VALUE"""),"RAMOS DIAZ FELIX EDUARDO")</f>
        <v>RAMOS DIAZ FELIX EDUARDO</v>
      </c>
      <c r="D3141" s="44" t="str">
        <f>IFERROR(__xludf.DUMMYFUNCTION("""COMPUTED_VALUE""")," ")</f>
        <v> </v>
      </c>
      <c r="E3141" s="44" t="str">
        <f>IFERROR(__xludf.DUMMYFUNCTION("""COMPUTED_VALUE"""),"")</f>
        <v/>
      </c>
      <c r="F3141" s="44" t="str">
        <f>IFERROR(__xludf.DUMMYFUNCTION("""COMPUTED_VALUE"""),"")</f>
        <v/>
      </c>
      <c r="G3141" s="44" t="str">
        <f>IFERROR(__xludf.DUMMYFUNCTION("""COMPUTED_VALUE""")," ")</f>
        <v> </v>
      </c>
      <c r="H3141" s="44" t="str">
        <f>IFERROR(__xludf.DUMMYFUNCTION("""COMPUTED_VALUE""")," ")</f>
        <v> </v>
      </c>
      <c r="I3141" s="44" t="str">
        <f>IFERROR(__xludf.DUMMYFUNCTION("""COMPUTED_VALUE"""),"Internado")</f>
        <v>Internado</v>
      </c>
      <c r="J3141" s="44" t="str">
        <f>IFERROR(__xludf.DUMMYFUNCTION("""COMPUTED_VALUE"""),"")</f>
        <v/>
      </c>
      <c r="K3141" s="42" t="str">
        <f>IFERROR(__xludf.DUMMYFUNCTION("""COMPUTED_VALUE"""),"🔍 BUSCAR PACIENTES")</f>
        <v>🔍 BUSCAR PACIENTES</v>
      </c>
    </row>
    <row r="3142">
      <c r="A3142" s="44">
        <v>3141.0</v>
      </c>
      <c r="B3142" s="44" t="str">
        <f>IFERROR(__xludf.DUMMYFUNCTION("""COMPUTED_VALUE"""),"Hospital Pérez Carreño")</f>
        <v>Hospital Pérez Carreño</v>
      </c>
      <c r="C3142" s="45" t="str">
        <f>IFERROR(__xludf.DUMMYFUNCTION("""COMPUTED_VALUE"""),"RAMOS EMELY")</f>
        <v>RAMOS EMELY</v>
      </c>
      <c r="D3142" s="44">
        <f>IFERROR(__xludf.DUMMYFUNCTION("""COMPUTED_VALUE"""),10.0)</f>
        <v>10</v>
      </c>
      <c r="E3142" s="44" t="str">
        <f>IFERROR(__xludf.DUMMYFUNCTION("""COMPUTED_VALUE"""),"")</f>
        <v/>
      </c>
      <c r="F3142" s="44" t="str">
        <f>IFERROR(__xludf.DUMMYFUNCTION("""COMPUTED_VALUE"""),"")</f>
        <v/>
      </c>
      <c r="G3142" s="44" t="str">
        <f>IFERROR(__xludf.DUMMYFUNCTION("""COMPUTED_VALUE""")," ")</f>
        <v> </v>
      </c>
      <c r="H3142" s="44" t="str">
        <f>IFERROR(__xludf.DUMMYFUNCTION("""COMPUTED_VALUE""")," ")</f>
        <v> </v>
      </c>
      <c r="I3142" s="44" t="str">
        <f>IFERROR(__xludf.DUMMYFUNCTION("""COMPUTED_VALUE"""),"Pediatría – Lista alta; Papá José Ramos")</f>
        <v>Pediatría – Lista alta; Papá José Ramos</v>
      </c>
      <c r="J3142" s="44" t="str">
        <f>IFERROR(__xludf.DUMMYFUNCTION("""COMPUTED_VALUE"""),"")</f>
        <v/>
      </c>
      <c r="K3142" s="42" t="str">
        <f>IFERROR(__xludf.DUMMYFUNCTION("""COMPUTED_VALUE"""),"🔍 BUSCAR PACIENTES")</f>
        <v>🔍 BUSCAR PACIENTES</v>
      </c>
    </row>
    <row r="3143">
      <c r="A3143" s="44">
        <v>3142.0</v>
      </c>
      <c r="B3143" s="44" t="str">
        <f>IFERROR(__xludf.DUMMYFUNCTION("""COMPUTED_VALUE"""),"Hospital Pérez Carreño")</f>
        <v>Hospital Pérez Carreño</v>
      </c>
      <c r="C3143" s="45" t="str">
        <f>IFERROR(__xludf.DUMMYFUNCTION("""COMPUTED_VALUE"""),"RAMOS EMILY / RAMOS EMELY")</f>
        <v>RAMOS EMILY / RAMOS EMELY</v>
      </c>
      <c r="D3143" s="44">
        <f>IFERROR(__xludf.DUMMYFUNCTION("""COMPUTED_VALUE"""),10.0)</f>
        <v>10</v>
      </c>
      <c r="E3143" s="44" t="str">
        <f>IFERROR(__xludf.DUMMYFUNCTION("""COMPUTED_VALUE"""),"")</f>
        <v/>
      </c>
      <c r="F3143" s="44" t="str">
        <f>IFERROR(__xludf.DUMMYFUNCTION("""COMPUTED_VALUE"""),"")</f>
        <v/>
      </c>
      <c r="G3143" s="44" t="str">
        <f>IFERROR(__xludf.DUMMYFUNCTION("""COMPUTED_VALUE""")," ")</f>
        <v> </v>
      </c>
      <c r="H3143" s="44" t="str">
        <f>IFERROR(__xludf.DUMMYFUNCTION("""COMPUTED_VALUE""")," ")</f>
        <v> </v>
      </c>
      <c r="I3143" s="44" t="str">
        <f>IFERROR(__xludf.DUMMYFUNCTION("""COMPUTED_VALUE"""),"SIN FAMILIAR – Pediátrico")</f>
        <v>SIN FAMILIAR – Pediátrico</v>
      </c>
      <c r="J3143" s="44" t="str">
        <f>IFERROR(__xludf.DUMMYFUNCTION("""COMPUTED_VALUE"""),"25/06/2026")</f>
        <v>25/06/2026</v>
      </c>
      <c r="K3143" s="42" t="str">
        <f>IFERROR(__xludf.DUMMYFUNCTION("""COMPUTED_VALUE"""),"Hospital Pérez Carreño")</f>
        <v>Hospital Pérez Carreño</v>
      </c>
    </row>
    <row r="3144">
      <c r="A3144" s="44">
        <v>3143.0</v>
      </c>
      <c r="B3144" s="44" t="str">
        <f>IFERROR(__xludf.DUMMYFUNCTION("""COMPUTED_VALUE"""),"Hospital Pérez Carreño")</f>
        <v>Hospital Pérez Carreño</v>
      </c>
      <c r="C3144" s="45" t="str">
        <f>IFERROR(__xludf.DUMMYFUNCTION("""COMPUTED_VALUE"""),"Ramos Emilys")</f>
        <v>Ramos Emilys</v>
      </c>
      <c r="D3144" s="44" t="str">
        <f>IFERROR(__xludf.DUMMYFUNCTION("""COMPUTED_VALUE"""),"10 años")</f>
        <v>10 años</v>
      </c>
      <c r="E3144" s="44" t="str">
        <f>IFERROR(__xludf.DUMMYFUNCTION("""COMPUTED_VALUE"""),"")</f>
        <v/>
      </c>
      <c r="F3144" s="44" t="str">
        <f>IFERROR(__xludf.DUMMYFUNCTION("""COMPUTED_VALUE"""),"")</f>
        <v/>
      </c>
      <c r="G3144" s="44" t="str">
        <f>IFERROR(__xludf.DUMMYFUNCTION("""COMPUTED_VALUE"""),"Pediatria")</f>
        <v>Pediatria</v>
      </c>
      <c r="H3144" s="44" t="str">
        <f>IFERROR(__xludf.DUMMYFUNCTION("""COMPUTED_VALUE"""),"Hospital Miguel Perez Carreño")</f>
        <v>Hospital Miguel Perez Carreño</v>
      </c>
      <c r="I3144" s="44"/>
      <c r="J3144" s="44" t="str">
        <f>IFERROR(__xludf.DUMMYFUNCTION("""COMPUTED_VALUE"""),"26/6/26")</f>
        <v>26/6/26</v>
      </c>
      <c r="K3144" s="42" t="str">
        <f>IFERROR(__xludf.DUMMYFUNCTION("""COMPUTED_VALUE"""),"Hospital Pérez Carreño")</f>
        <v>Hospital Pérez Carreño</v>
      </c>
    </row>
    <row r="3145">
      <c r="A3145" s="44">
        <v>3144.0</v>
      </c>
      <c r="B3145" s="44" t="str">
        <f>IFERROR(__xludf.DUMMYFUNCTION("""COMPUTED_VALUE"""),"Centro de Acopio Caraballeda")</f>
        <v>Centro de Acopio Caraballeda</v>
      </c>
      <c r="C3145" s="45" t="str">
        <f>IFERROR(__xludf.DUMMYFUNCTION("""COMPUTED_VALUE"""),"RAMOS JOEL")</f>
        <v>RAMOS JOEL</v>
      </c>
      <c r="D3145" s="44" t="str">
        <f>IFERROR(__xludf.DUMMYFUNCTION("""COMPUTED_VALUE""")," ")</f>
        <v> </v>
      </c>
      <c r="E3145" s="44" t="str">
        <f>IFERROR(__xludf.DUMMYFUNCTION("""COMPUTED_VALUE"""),"")</f>
        <v/>
      </c>
      <c r="F3145" s="44" t="str">
        <f>IFERROR(__xludf.DUMMYFUNCTION("""COMPUTED_VALUE"""),"")</f>
        <v/>
      </c>
      <c r="G3145" s="44" t="str">
        <f>IFERROR(__xludf.DUMMYFUNCTION("""COMPUTED_VALUE""")," ")</f>
        <v> </v>
      </c>
      <c r="H3145" s="44" t="str">
        <f>IFERROR(__xludf.DUMMYFUNCTION("""COMPUTED_VALUE""")," ")</f>
        <v> </v>
      </c>
      <c r="I3145" s="44" t="str">
        <f>IFERROR(__xludf.DUMMYFUNCTION("""COMPUTED_VALUE"""),"Internado")</f>
        <v>Internado</v>
      </c>
      <c r="J3145" s="44" t="str">
        <f>IFERROR(__xludf.DUMMYFUNCTION("""COMPUTED_VALUE"""),"")</f>
        <v/>
      </c>
      <c r="K3145" s="42" t="str">
        <f>IFERROR(__xludf.DUMMYFUNCTION("""COMPUTED_VALUE"""),"🔍 BUSCAR PACIENTES")</f>
        <v>🔍 BUSCAR PACIENTES</v>
      </c>
    </row>
    <row r="3146">
      <c r="A3146" s="44">
        <v>3145.0</v>
      </c>
      <c r="B3146" s="44" t="str">
        <f>IFERROR(__xludf.DUMMYFUNCTION("""COMPUTED_VALUE"""),"H. Jose Maria Vargas LG")</f>
        <v>H. Jose Maria Vargas LG</v>
      </c>
      <c r="C3146" s="45" t="str">
        <f>IFERROR(__xludf.DUMMYFUNCTION("""COMPUTED_VALUE"""),"RAMOS KATERIN")</f>
        <v>RAMOS KATERIN</v>
      </c>
      <c r="D3146" s="44" t="str">
        <f>IFERROR(__xludf.DUMMYFUNCTION("""COMPUTED_VALUE""")," ")</f>
        <v> </v>
      </c>
      <c r="E3146" s="44" t="str">
        <f>IFERROR(__xludf.DUMMYFUNCTION("""COMPUTED_VALUE"""),"")</f>
        <v/>
      </c>
      <c r="F3146" s="44" t="str">
        <f>IFERROR(__xludf.DUMMYFUNCTION("""COMPUTED_VALUE"""),"")</f>
        <v/>
      </c>
      <c r="G3146" s="44" t="str">
        <f>IFERROR(__xludf.DUMMYFUNCTION("""COMPUTED_VALUE""")," ")</f>
        <v> </v>
      </c>
      <c r="H3146" s="44" t="str">
        <f>IFERROR(__xludf.DUMMYFUNCTION("""COMPUTED_VALUE""")," ")</f>
        <v> </v>
      </c>
      <c r="I3146" s="44" t="str">
        <f>IFERROR(__xludf.DUMMYFUNCTION("""COMPUTED_VALUE""")," ")</f>
        <v> </v>
      </c>
      <c r="J3146" s="44" t="str">
        <f>IFERROR(__xludf.DUMMYFUNCTION("""COMPUTED_VALUE"""),"")</f>
        <v/>
      </c>
      <c r="K3146" s="42" t="str">
        <f>IFERROR(__xludf.DUMMYFUNCTION("""COMPUTED_VALUE"""),"H. Jose Maria Vargas LG")</f>
        <v>H. Jose Maria Vargas LG</v>
      </c>
    </row>
    <row r="3147">
      <c r="A3147" s="44">
        <v>3146.0</v>
      </c>
      <c r="B3147" s="44" t="str">
        <f>IFERROR(__xludf.DUMMYFUNCTION("""COMPUTED_VALUE"""),"Centro de Acopio Caraballeda")</f>
        <v>Centro de Acopio Caraballeda</v>
      </c>
      <c r="C3147" s="45" t="str">
        <f>IFERROR(__xludf.DUMMYFUNCTION("""COMPUTED_VALUE"""),"RAMOS LOURDES")</f>
        <v>RAMOS LOURDES</v>
      </c>
      <c r="D3147" s="44" t="str">
        <f>IFERROR(__xludf.DUMMYFUNCTION("""COMPUTED_VALUE""")," ")</f>
        <v> </v>
      </c>
      <c r="E3147" s="44" t="str">
        <f>IFERROR(__xludf.DUMMYFUNCTION("""COMPUTED_VALUE"""),"")</f>
        <v/>
      </c>
      <c r="F3147" s="44" t="str">
        <f>IFERROR(__xludf.DUMMYFUNCTION("""COMPUTED_VALUE"""),"")</f>
        <v/>
      </c>
      <c r="G3147" s="44" t="str">
        <f>IFERROR(__xludf.DUMMYFUNCTION("""COMPUTED_VALUE""")," ")</f>
        <v> </v>
      </c>
      <c r="H3147" s="44" t="str">
        <f>IFERROR(__xludf.DUMMYFUNCTION("""COMPUTED_VALUE""")," ")</f>
        <v> </v>
      </c>
      <c r="I3147" s="44" t="str">
        <f>IFERROR(__xludf.DUMMYFUNCTION("""COMPUTED_VALUE"""),"Internado")</f>
        <v>Internado</v>
      </c>
      <c r="J3147" s="44" t="str">
        <f>IFERROR(__xludf.DUMMYFUNCTION("""COMPUTED_VALUE"""),"")</f>
        <v/>
      </c>
      <c r="K3147" s="42" t="str">
        <f>IFERROR(__xludf.DUMMYFUNCTION("""COMPUTED_VALUE"""),"🔍 BUSCAR PACIENTES")</f>
        <v>🔍 BUSCAR PACIENTES</v>
      </c>
    </row>
    <row r="3148">
      <c r="A3148" s="44">
        <v>3147.0</v>
      </c>
      <c r="B3148" s="44" t="str">
        <f>IFERROR(__xludf.DUMMYFUNCTION("""COMPUTED_VALUE"""),"Hospital Universitario de Carac")</f>
        <v>Hospital Universitario de Carac</v>
      </c>
      <c r="C3148" s="45" t="str">
        <f>IFERROR(__xludf.DUMMYFUNCTION("""COMPUTED_VALUE"""),"RAMOS NOHEMI")</f>
        <v>RAMOS NOHEMI</v>
      </c>
      <c r="D3148" s="44" t="str">
        <f>IFERROR(__xludf.DUMMYFUNCTION("""COMPUTED_VALUE""")," ")</f>
        <v> </v>
      </c>
      <c r="E3148" s="44" t="str">
        <f>IFERROR(__xludf.DUMMYFUNCTION("""COMPUTED_VALUE"""),"")</f>
        <v/>
      </c>
      <c r="F3148" s="44" t="str">
        <f>IFERROR(__xludf.DUMMYFUNCTION("""COMPUTED_VALUE"""),"")</f>
        <v/>
      </c>
      <c r="G3148" s="44" t="str">
        <f>IFERROR(__xludf.DUMMYFUNCTION("""COMPUTED_VALUE""")," ")</f>
        <v> </v>
      </c>
      <c r="H3148" s="44" t="str">
        <f>IFERROR(__xludf.DUMMYFUNCTION("""COMPUTED_VALUE""")," ")</f>
        <v> </v>
      </c>
      <c r="I3148" s="44" t="str">
        <f>IFERROR(__xludf.DUMMYFUNCTION("""COMPUTED_VALUE"""),"Emergencia Med 5 – CHS4 supratesional + rabdomiólisis; Internado")</f>
        <v>Emergencia Med 5 – CHS4 supratesional + rabdomiólisis; Internado</v>
      </c>
      <c r="J3148" s="44" t="str">
        <f>IFERROR(__xludf.DUMMYFUNCTION("""COMPUTED_VALUE"""),"")</f>
        <v/>
      </c>
      <c r="K3148" s="42" t="str">
        <f>IFERROR(__xludf.DUMMYFUNCTION("""COMPUTED_VALUE"""),"Hospital Universitario de Carac")</f>
        <v>Hospital Universitario de Carac</v>
      </c>
    </row>
    <row r="3149">
      <c r="A3149" s="44">
        <v>3148.0</v>
      </c>
      <c r="B3149" s="44" t="str">
        <f>IFERROR(__xludf.DUMMYFUNCTION("""COMPUTED_VALUE"""),"Hospital Pérez Carreño")</f>
        <v>Hospital Pérez Carreño</v>
      </c>
      <c r="C3149" s="45" t="str">
        <f>IFERROR(__xludf.DUMMYFUNCTION("""COMPUTED_VALUE"""),"RAMOS RAMOS")</f>
        <v>RAMOS RAMOS</v>
      </c>
      <c r="D3149" s="44">
        <f>IFERROR(__xludf.DUMMYFUNCTION("""COMPUTED_VALUE"""),10.0)</f>
        <v>10</v>
      </c>
      <c r="E3149" s="44" t="str">
        <f>IFERROR(__xludf.DUMMYFUNCTION("""COMPUTED_VALUE"""),"")</f>
        <v/>
      </c>
      <c r="F3149" s="44" t="str">
        <f>IFERROR(__xludf.DUMMYFUNCTION("""COMPUTED_VALUE"""),"")</f>
        <v/>
      </c>
      <c r="G3149" s="44" t="str">
        <f>IFERROR(__xludf.DUMMYFUNCTION("""COMPUTED_VALUE""")," ")</f>
        <v> </v>
      </c>
      <c r="H3149" s="44" t="str">
        <f>IFERROR(__xludf.DUMMYFUNCTION("""COMPUTED_VALUE""")," ")</f>
        <v> </v>
      </c>
      <c r="I3149" s="44" t="str">
        <f>IFERROR(__xludf.DUMMYFUNCTION("""COMPUTED_VALUE"""),"Internado; 4.20 pm")</f>
        <v>Internado; 4.20 pm</v>
      </c>
      <c r="J3149" s="44" t="str">
        <f>IFERROR(__xludf.DUMMYFUNCTION("""COMPUTED_VALUE"""),"")</f>
        <v/>
      </c>
      <c r="K3149" s="42" t="str">
        <f>IFERROR(__xludf.DUMMYFUNCTION("""COMPUTED_VALUE"""),"🔍 BUSCAR PACIENTES")</f>
        <v>🔍 BUSCAR PACIENTES</v>
      </c>
    </row>
    <row r="3150">
      <c r="A3150" s="44">
        <v>3149.0</v>
      </c>
      <c r="B3150" s="44" t="str">
        <f>IFERROR(__xludf.DUMMYFUNCTION("""COMPUTED_VALUE"""),"Hospital Pérez Carreño")</f>
        <v>Hospital Pérez Carreño</v>
      </c>
      <c r="C3150" s="45" t="str">
        <f>IFERROR(__xludf.DUMMYFUNCTION("""COMPUTED_VALUE"""),"RAMOS VARGAS EMILY ESTEFANIA")</f>
        <v>RAMOS VARGAS EMILY ESTEFANIA</v>
      </c>
      <c r="D3150" s="44">
        <f>IFERROR(__xludf.DUMMYFUNCTION("""COMPUTED_VALUE"""),10.0)</f>
        <v>10</v>
      </c>
      <c r="E3150" s="44" t="str">
        <f>IFERROR(__xludf.DUMMYFUNCTION("""COMPUTED_VALUE"""),"")</f>
        <v/>
      </c>
      <c r="F3150" s="44" t="str">
        <f>IFERROR(__xludf.DUMMYFUNCTION("""COMPUTED_VALUE"""),"")</f>
        <v/>
      </c>
      <c r="G3150" s="44" t="str">
        <f>IFERROR(__xludf.DUMMYFUNCTION("""COMPUTED_VALUE""")," ")</f>
        <v> </v>
      </c>
      <c r="H3150" s="44" t="str">
        <f>IFERROR(__xludf.DUMMYFUNCTION("""COMPUTED_VALUE""")," ")</f>
        <v> </v>
      </c>
      <c r="I3150" s="44" t="str">
        <f>IFERROR(__xludf.DUMMYFUNCTION("""COMPUTED_VALUE""")," ")</f>
        <v> </v>
      </c>
      <c r="J3150" s="44" t="str">
        <f>IFERROR(__xludf.DUMMYFUNCTION("""COMPUTED_VALUE"""),"25/06/2026")</f>
        <v>25/06/2026</v>
      </c>
      <c r="K3150" s="42" t="str">
        <f>IFERROR(__xludf.DUMMYFUNCTION("""COMPUTED_VALUE"""),"Hospital Pérez Carreño")</f>
        <v>Hospital Pérez Carreño</v>
      </c>
    </row>
    <row r="3151">
      <c r="A3151" s="44">
        <v>3150.0</v>
      </c>
      <c r="B3151" s="44" t="str">
        <f>IFERROR(__xludf.DUMMYFUNCTION("""COMPUTED_VALUE"""),"La Guaira Sin Hospital")</f>
        <v>La Guaira Sin Hospital</v>
      </c>
      <c r="C3151" s="45" t="str">
        <f>IFERROR(__xludf.DUMMYFUNCTION("""COMPUTED_VALUE"""),"Ramos Vargas Emily Stefania")</f>
        <v>Ramos Vargas Emily Stefania</v>
      </c>
      <c r="D3151" s="44" t="str">
        <f>IFERROR(__xludf.DUMMYFUNCTION("""COMPUTED_VALUE"""),"")</f>
        <v/>
      </c>
      <c r="E3151" s="44" t="str">
        <f>IFERROR(__xludf.DUMMYFUNCTION("""COMPUTED_VALUE"""),"")</f>
        <v/>
      </c>
      <c r="F3151" s="44" t="str">
        <f>IFERROR(__xludf.DUMMYFUNCTION("""COMPUTED_VALUE"""),"")</f>
        <v/>
      </c>
      <c r="G3151" s="44" t="str">
        <f>IFERROR(__xludf.DUMMYFUNCTION("""COMPUTED_VALUE"""),"")</f>
        <v/>
      </c>
      <c r="H3151" s="44"/>
      <c r="I3151" s="44" t="str">
        <f>IFERROR(__xludf.DUMMYFUNCTION("""COMPUTED_VALUE"""),"Listas solo con nombre")</f>
        <v>Listas solo con nombre</v>
      </c>
      <c r="J3151" s="44" t="str">
        <f>IFERROR(__xludf.DUMMYFUNCTION("""COMPUTED_VALUE"""),"")</f>
        <v/>
      </c>
      <c r="K3151" s="42" t="str">
        <f>IFERROR(__xludf.DUMMYFUNCTION("""COMPUTED_VALUE"""),"La Guaira Sin Hospital")</f>
        <v>La Guaira Sin Hospital</v>
      </c>
    </row>
    <row r="3152">
      <c r="A3152" s="44">
        <v>3151.0</v>
      </c>
      <c r="B3152" s="44" t="str">
        <f>IFERROR(__xludf.DUMMYFUNCTION("""COMPUTED_VALUE"""),"H. Jose Maria Vargas LG")</f>
        <v>H. Jose Maria Vargas LG</v>
      </c>
      <c r="C3152" s="45" t="str">
        <f>IFERROR(__xludf.DUMMYFUNCTION("""COMPUTED_VALUE"""),"RAMOS YONNIS")</f>
        <v>RAMOS YONNIS</v>
      </c>
      <c r="D3152" s="44" t="str">
        <f>IFERROR(__xludf.DUMMYFUNCTION("""COMPUTED_VALUE""")," ")</f>
        <v> </v>
      </c>
      <c r="E3152" s="44" t="str">
        <f>IFERROR(__xludf.DUMMYFUNCTION("""COMPUTED_VALUE"""),"")</f>
        <v/>
      </c>
      <c r="F3152" s="44" t="str">
        <f>IFERROR(__xludf.DUMMYFUNCTION("""COMPUTED_VALUE"""),"")</f>
        <v/>
      </c>
      <c r="G3152" s="44" t="str">
        <f>IFERROR(__xludf.DUMMYFUNCTION("""COMPUTED_VALUE""")," ")</f>
        <v> </v>
      </c>
      <c r="H3152" s="44" t="str">
        <f>IFERROR(__xludf.DUMMYFUNCTION("""COMPUTED_VALUE""")," ")</f>
        <v> </v>
      </c>
      <c r="I3152" s="44" t="str">
        <f>IFERROR(__xludf.DUMMYFUNCTION("""COMPUTED_VALUE""")," ")</f>
        <v> </v>
      </c>
      <c r="J3152" s="44" t="str">
        <f>IFERROR(__xludf.DUMMYFUNCTION("""COMPUTED_VALUE"""),"")</f>
        <v/>
      </c>
      <c r="K3152" s="42" t="str">
        <f>IFERROR(__xludf.DUMMYFUNCTION("""COMPUTED_VALUE"""),"H. Jose Maria Vargas LG")</f>
        <v>H. Jose Maria Vargas LG</v>
      </c>
    </row>
    <row r="3153">
      <c r="A3153" s="44">
        <v>3152.0</v>
      </c>
      <c r="B3153" s="44" t="str">
        <f>IFERROR(__xludf.DUMMYFUNCTION("""COMPUTED_VALUE"""),"Hospital Pérez Carreño")</f>
        <v>Hospital Pérez Carreño</v>
      </c>
      <c r="C3153" s="45" t="str">
        <f>IFERROR(__xludf.DUMMYFUNCTION("""COMPUTED_VALUE"""),"RANFI RAMON")</f>
        <v>RANFI RAMON</v>
      </c>
      <c r="D3153" s="44">
        <f>IFERROR(__xludf.DUMMYFUNCTION("""COMPUTED_VALUE"""),34.0)</f>
        <v>34</v>
      </c>
      <c r="E3153" s="44" t="str">
        <f>IFERROR(__xludf.DUMMYFUNCTION("""COMPUTED_VALUE"""),"")</f>
        <v/>
      </c>
      <c r="F3153" s="44" t="str">
        <f>IFERROR(__xludf.DUMMYFUNCTION("""COMPUTED_VALUE"""),"")</f>
        <v/>
      </c>
      <c r="G3153" s="44" t="str">
        <f>IFERROR(__xludf.DUMMYFUNCTION("""COMPUTED_VALUE""")," ")</f>
        <v> </v>
      </c>
      <c r="H3153" s="44" t="str">
        <f>IFERROR(__xludf.DUMMYFUNCTION("""COMPUTED_VALUE""")," ")</f>
        <v> </v>
      </c>
      <c r="I3153" s="44" t="str">
        <f>IFERROR(__xludf.DUMMYFUNCTION("""COMPUTED_VALUE"""),"Piso 3 – Traumachok; La Guaira")</f>
        <v>Piso 3 – Traumachok; La Guaira</v>
      </c>
      <c r="J3153" s="44" t="str">
        <f>IFERROR(__xludf.DUMMYFUNCTION("""COMPUTED_VALUE"""),"")</f>
        <v/>
      </c>
      <c r="K3153" s="42" t="str">
        <f>IFERROR(__xludf.DUMMYFUNCTION("""COMPUTED_VALUE"""),"🔍 BUSCAR PACIENTES")</f>
        <v>🔍 BUSCAR PACIENTES</v>
      </c>
    </row>
    <row r="3154">
      <c r="A3154" s="44">
        <v>3153.0</v>
      </c>
      <c r="B3154" s="44" t="str">
        <f>IFERROR(__xludf.DUMMYFUNCTION("""COMPUTED_VALUE"""),"Hospital Pérez Carreño")</f>
        <v>Hospital Pérez Carreño</v>
      </c>
      <c r="C3154" s="45" t="str">
        <f>IFERROR(__xludf.DUMMYFUNCTION("""COMPUTED_VALUE"""),"Ranfi Ramos")</f>
        <v>Ranfi Ramos</v>
      </c>
      <c r="D3154" s="44" t="str">
        <f>IFERROR(__xludf.DUMMYFUNCTION("""COMPUTED_VALUE"""),"34 años")</f>
        <v>34 años</v>
      </c>
      <c r="E3154" s="44" t="str">
        <f>IFERROR(__xludf.DUMMYFUNCTION("""COMPUTED_VALUE"""),"")</f>
        <v/>
      </c>
      <c r="F3154" s="44" t="str">
        <f>IFERROR(__xludf.DUMMYFUNCTION("""COMPUTED_VALUE"""),"")</f>
        <v/>
      </c>
      <c r="G3154" s="44" t="str">
        <f>IFERROR(__xludf.DUMMYFUNCTION("""COMPUTED_VALUE"""),"Traumashock")</f>
        <v>Traumashock</v>
      </c>
      <c r="H3154" s="44" t="str">
        <f>IFERROR(__xludf.DUMMYFUNCTION("""COMPUTED_VALUE"""),"Hospital Miguel Perez Carreño")</f>
        <v>Hospital Miguel Perez Carreño</v>
      </c>
      <c r="I3154" s="44"/>
      <c r="J3154" s="44" t="str">
        <f>IFERROR(__xludf.DUMMYFUNCTION("""COMPUTED_VALUE"""),"26/6/26")</f>
        <v>26/6/26</v>
      </c>
      <c r="K3154" s="42" t="str">
        <f>IFERROR(__xludf.DUMMYFUNCTION("""COMPUTED_VALUE"""),"Hospital Pérez Carreño")</f>
        <v>Hospital Pérez Carreño</v>
      </c>
    </row>
    <row r="3155">
      <c r="A3155" s="44">
        <v>3154.0</v>
      </c>
      <c r="B3155" s="44" t="str">
        <f>IFERROR(__xludf.DUMMYFUNCTION("""COMPUTED_VALUE"""),"Centro de Acopio Caraballeda")</f>
        <v>Centro de Acopio Caraballeda</v>
      </c>
      <c r="C3155" s="45" t="str">
        <f>IFERROR(__xludf.DUMMYFUNCTION("""COMPUTED_VALUE"""),"RANGEL DENNIS")</f>
        <v>RANGEL DENNIS</v>
      </c>
      <c r="D3155" s="44" t="str">
        <f>IFERROR(__xludf.DUMMYFUNCTION("""COMPUTED_VALUE""")," ")</f>
        <v> </v>
      </c>
      <c r="E3155" s="44" t="str">
        <f>IFERROR(__xludf.DUMMYFUNCTION("""COMPUTED_VALUE"""),"")</f>
        <v/>
      </c>
      <c r="F3155" s="44" t="str">
        <f>IFERROR(__xludf.DUMMYFUNCTION("""COMPUTED_VALUE"""),"")</f>
        <v/>
      </c>
      <c r="G3155" s="44" t="str">
        <f>IFERROR(__xludf.DUMMYFUNCTION("""COMPUTED_VALUE""")," ")</f>
        <v> </v>
      </c>
      <c r="H3155" s="44" t="str">
        <f>IFERROR(__xludf.DUMMYFUNCTION("""COMPUTED_VALUE""")," ")</f>
        <v> </v>
      </c>
      <c r="I3155" s="44" t="str">
        <f>IFERROR(__xludf.DUMMYFUNCTION("""COMPUTED_VALUE"""),"Internado")</f>
        <v>Internado</v>
      </c>
      <c r="J3155" s="44" t="str">
        <f>IFERROR(__xludf.DUMMYFUNCTION("""COMPUTED_VALUE"""),"")</f>
        <v/>
      </c>
      <c r="K3155" s="42" t="str">
        <f>IFERROR(__xludf.DUMMYFUNCTION("""COMPUTED_VALUE"""),"🔍 BUSCAR PACIENTES")</f>
        <v>🔍 BUSCAR PACIENTES</v>
      </c>
    </row>
    <row r="3156">
      <c r="A3156" s="44">
        <v>3155.0</v>
      </c>
      <c r="B3156" s="44" t="str">
        <f>IFERROR(__xludf.DUMMYFUNCTION("""COMPUTED_VALUE"""),"Periférico de Catia")</f>
        <v>Periférico de Catia</v>
      </c>
      <c r="C3156" s="45" t="str">
        <f>IFERROR(__xludf.DUMMYFUNCTION("""COMPUTED_VALUE"""),"RANGEL ENDER")</f>
        <v>RANGEL ENDER</v>
      </c>
      <c r="D3156" s="44">
        <f>IFERROR(__xludf.DUMMYFUNCTION("""COMPUTED_VALUE"""),30.0)</f>
        <v>30</v>
      </c>
      <c r="E3156" s="44" t="str">
        <f>IFERROR(__xludf.DUMMYFUNCTION("""COMPUTED_VALUE"""),"")</f>
        <v/>
      </c>
      <c r="F3156" s="44" t="str">
        <f>IFERROR(__xludf.DUMMYFUNCTION("""COMPUTED_VALUE"""),"")</f>
        <v/>
      </c>
      <c r="G3156" s="44" t="str">
        <f>IFERROR(__xludf.DUMMYFUNCTION("""COMPUTED_VALUE""")," ")</f>
        <v> </v>
      </c>
      <c r="H3156" s="44" t="str">
        <f>IFERROR(__xludf.DUMMYFUNCTION("""COMPUTED_VALUE""")," ")</f>
        <v> </v>
      </c>
      <c r="I3156" s="44" t="str">
        <f>IFERROR(__xludf.DUMMYFUNCTION("""COMPUTED_VALUE"""),"Solo")</f>
        <v>Solo</v>
      </c>
      <c r="J3156" s="44" t="str">
        <f>IFERROR(__xludf.DUMMYFUNCTION("""COMPUTED_VALUE"""),"")</f>
        <v/>
      </c>
      <c r="K3156" s="42" t="str">
        <f>IFERROR(__xludf.DUMMYFUNCTION("""COMPUTED_VALUE"""),"Periférico de Catia")</f>
        <v>Periférico de Catia</v>
      </c>
    </row>
    <row r="3157">
      <c r="A3157" s="44">
        <v>3156.0</v>
      </c>
      <c r="B3157" s="44" t="str">
        <f>IFERROR(__xludf.DUMMYFUNCTION("""COMPUTED_VALUE"""),"Hospital Domingo Luciani")</f>
        <v>Hospital Domingo Luciani</v>
      </c>
      <c r="C3157" s="45" t="str">
        <f>IFERROR(__xludf.DUMMYFUNCTION("""COMPUTED_VALUE"""),"RE YVAIRE")</f>
        <v>RE YVAIRE</v>
      </c>
      <c r="D3157" s="44">
        <f>IFERROR(__xludf.DUMMYFUNCTION("""COMPUTED_VALUE"""),29.0)</f>
        <v>29</v>
      </c>
      <c r="E3157" s="44" t="str">
        <f>IFERROR(__xludf.DUMMYFUNCTION("""COMPUTED_VALUE"""),"")</f>
        <v/>
      </c>
      <c r="F3157" s="44" t="str">
        <f>IFERROR(__xludf.DUMMYFUNCTION("""COMPUTED_VALUE"""),"")</f>
        <v/>
      </c>
      <c r="G3157" s="44" t="str">
        <f>IFERROR(__xludf.DUMMYFUNCTION("""COMPUTED_VALUE""")," ")</f>
        <v> </v>
      </c>
      <c r="H3157" s="44" t="str">
        <f>IFERROR(__xludf.DUMMYFUNCTION("""COMPUTED_VALUE""")," ")</f>
        <v> </v>
      </c>
      <c r="I3157" s="44" t="str">
        <f>IFERROR(__xludf.DUMMYFUNCTION("""COMPUTED_VALUE"""),"Cardiología Piso 2 – H-10 – F")</f>
        <v>Cardiología Piso 2 – H-10 – F</v>
      </c>
      <c r="J3157" s="44" t="str">
        <f>IFERROR(__xludf.DUMMYFUNCTION("""COMPUTED_VALUE"""),"")</f>
        <v/>
      </c>
      <c r="K3157" s="42" t="str">
        <f>IFERROR(__xludf.DUMMYFUNCTION("""COMPUTED_VALUE"""),"🔍 BUSCAR PACIENTES")</f>
        <v>🔍 BUSCAR PACIENTES</v>
      </c>
    </row>
    <row r="3158">
      <c r="A3158" s="44">
        <v>3157.0</v>
      </c>
      <c r="B3158" s="44" t="str">
        <f>IFERROR(__xludf.DUMMYFUNCTION("""COMPUTED_VALUE"""),"Hospital Pérez Carreño")</f>
        <v>Hospital Pérez Carreño</v>
      </c>
      <c r="C3158" s="45" t="str">
        <f>IFERROR(__xludf.DUMMYFUNCTION("""COMPUTED_VALUE"""),"REBOLLEDO ISABELLA")</f>
        <v>REBOLLEDO ISABELLA</v>
      </c>
      <c r="D3158" s="44">
        <f>IFERROR(__xludf.DUMMYFUNCTION("""COMPUTED_VALUE"""),10.0)</f>
        <v>10</v>
      </c>
      <c r="E3158" s="44" t="str">
        <f>IFERROR(__xludf.DUMMYFUNCTION("""COMPUTED_VALUE"""),"")</f>
        <v/>
      </c>
      <c r="F3158" s="44" t="str">
        <f>IFERROR(__xludf.DUMMYFUNCTION("""COMPUTED_VALUE"""),"")</f>
        <v/>
      </c>
      <c r="G3158" s="44" t="str">
        <f>IFERROR(__xludf.DUMMYFUNCTION("""COMPUTED_VALUE""")," ")</f>
        <v> </v>
      </c>
      <c r="H3158" s="44" t="str">
        <f>IFERROR(__xludf.DUMMYFUNCTION("""COMPUTED_VALUE""")," ")</f>
        <v> </v>
      </c>
      <c r="I3158" s="44" t="str">
        <f>IFERROR(__xludf.DUMMYFUNCTION("""COMPUTED_VALUE"""),"Emerg. Pediátrica – La Guaira")</f>
        <v>Emerg. Pediátrica – La Guaira</v>
      </c>
      <c r="J3158" s="44" t="str">
        <f>IFERROR(__xludf.DUMMYFUNCTION("""COMPUTED_VALUE"""),"25/06/2026")</f>
        <v>25/06/2026</v>
      </c>
      <c r="K3158" s="42" t="str">
        <f>IFERROR(__xludf.DUMMYFUNCTION("""COMPUTED_VALUE"""),"Hospital Pérez Carreño")</f>
        <v>Hospital Pérez Carreño</v>
      </c>
    </row>
    <row r="3159">
      <c r="A3159" s="44">
        <v>3158.0</v>
      </c>
      <c r="B3159" s="44" t="str">
        <f>IFERROR(__xludf.DUMMYFUNCTION("""COMPUTED_VALUE"""),"H. Jose Maria Vargas LG")</f>
        <v>H. Jose Maria Vargas LG</v>
      </c>
      <c r="C3159" s="45" t="str">
        <f>IFERROR(__xludf.DUMMYFUNCTION("""COMPUTED_VALUE"""),"REBOREDO ALEXANDRA")</f>
        <v>REBOREDO ALEXANDRA</v>
      </c>
      <c r="D3159" s="44" t="str">
        <f>IFERROR(__xludf.DUMMYFUNCTION("""COMPUTED_VALUE""")," ")</f>
        <v> </v>
      </c>
      <c r="E3159" s="44" t="str">
        <f>IFERROR(__xludf.DUMMYFUNCTION("""COMPUTED_VALUE"""),"")</f>
        <v/>
      </c>
      <c r="F3159" s="44" t="str">
        <f>IFERROR(__xludf.DUMMYFUNCTION("""COMPUTED_VALUE"""),"")</f>
        <v/>
      </c>
      <c r="G3159" s="44" t="str">
        <f>IFERROR(__xludf.DUMMYFUNCTION("""COMPUTED_VALUE""")," ")</f>
        <v> </v>
      </c>
      <c r="H3159" s="44" t="str">
        <f>IFERROR(__xludf.DUMMYFUNCTION("""COMPUTED_VALUE""")," ")</f>
        <v> </v>
      </c>
      <c r="I3159" s="44" t="str">
        <f>IFERROR(__xludf.DUMMYFUNCTION("""COMPUTED_VALUE""")," ")</f>
        <v> </v>
      </c>
      <c r="J3159" s="44" t="str">
        <f>IFERROR(__xludf.DUMMYFUNCTION("""COMPUTED_VALUE"""),"")</f>
        <v/>
      </c>
      <c r="K3159" s="42" t="str">
        <f>IFERROR(__xludf.DUMMYFUNCTION("""COMPUTED_VALUE"""),"H. Jose Maria Vargas LG")</f>
        <v>H. Jose Maria Vargas LG</v>
      </c>
    </row>
    <row r="3160">
      <c r="A3160" s="44">
        <v>3159.0</v>
      </c>
      <c r="B3160" s="44" t="str">
        <f>IFERROR(__xludf.DUMMYFUNCTION("""COMPUTED_VALUE"""),"Hospital Domingo Luciani")</f>
        <v>Hospital Domingo Luciani</v>
      </c>
      <c r="C3160" s="45" t="str">
        <f>IFERROR(__xludf.DUMMYFUNCTION("""COMPUTED_VALUE"""),"REBOREDO LUIS")</f>
        <v>REBOREDO LUIS</v>
      </c>
      <c r="D3160" s="44">
        <f>IFERROR(__xludf.DUMMYFUNCTION("""COMPUTED_VALUE"""),57.0)</f>
        <v>57</v>
      </c>
      <c r="E3160" s="44" t="str">
        <f>IFERROR(__xludf.DUMMYFUNCTION("""COMPUTED_VALUE"""),"")</f>
        <v/>
      </c>
      <c r="F3160" s="44" t="str">
        <f>IFERROR(__xludf.DUMMYFUNCTION("""COMPUTED_VALUE"""),"")</f>
        <v/>
      </c>
      <c r="G3160" s="44" t="str">
        <f>IFERROR(__xludf.DUMMYFUNCTION("""COMPUTED_VALUE""")," ")</f>
        <v> </v>
      </c>
      <c r="H3160" s="44" t="str">
        <f>IFERROR(__xludf.DUMMYFUNCTION("""COMPUTED_VALUE""")," ")</f>
        <v> </v>
      </c>
      <c r="I3160" s="44" t="str">
        <f>IFERROR(__xludf.DUMMYFUNCTION("""COMPUTED_VALUE"""),"Pol I – M")</f>
        <v>Pol I – M</v>
      </c>
      <c r="J3160" s="44" t="str">
        <f>IFERROR(__xludf.DUMMYFUNCTION("""COMPUTED_VALUE"""),"")</f>
        <v/>
      </c>
      <c r="K3160" s="42" t="str">
        <f>IFERROR(__xludf.DUMMYFUNCTION("""COMPUTED_VALUE"""),"🔍 BUSCAR PACIENTES")</f>
        <v>🔍 BUSCAR PACIENTES</v>
      </c>
    </row>
    <row r="3161">
      <c r="A3161" s="44">
        <v>3160.0</v>
      </c>
      <c r="B3161" s="44" t="str">
        <f>IFERROR(__xludf.DUMMYFUNCTION("""COMPUTED_VALUE"""),"Hospital Pérez Carreño")</f>
        <v>Hospital Pérez Carreño</v>
      </c>
      <c r="C3161" s="45" t="str">
        <f>IFERROR(__xludf.DUMMYFUNCTION("""COMPUTED_VALUE"""),"Reina Marco")</f>
        <v>Reina Marco</v>
      </c>
      <c r="D3161" s="44"/>
      <c r="E3161" s="44" t="str">
        <f>IFERROR(__xludf.DUMMYFUNCTION("""COMPUTED_VALUE"""),"")</f>
        <v/>
      </c>
      <c r="F3161" s="44" t="str">
        <f>IFERROR(__xludf.DUMMYFUNCTION("""COMPUTED_VALUE"""),"")</f>
        <v/>
      </c>
      <c r="G3161" s="44" t="str">
        <f>IFERROR(__xludf.DUMMYFUNCTION("""COMPUTED_VALUE"""),"Traslados con destino asignado")</f>
        <v>Traslados con destino asignado</v>
      </c>
      <c r="H3161" s="44" t="str">
        <f>IFERROR(__xludf.DUMMYFUNCTION("""COMPUTED_VALUE"""),"Hospital Miguel Perez Carreño")</f>
        <v>Hospital Miguel Perez Carreño</v>
      </c>
      <c r="I3161" s="44"/>
      <c r="J3161" s="44" t="str">
        <f>IFERROR(__xludf.DUMMYFUNCTION("""COMPUTED_VALUE"""),"26/6/26")</f>
        <v>26/6/26</v>
      </c>
      <c r="K3161" s="42" t="str">
        <f>IFERROR(__xludf.DUMMYFUNCTION("""COMPUTED_VALUE"""),"Hospital Pérez Carreño")</f>
        <v>Hospital Pérez Carreño</v>
      </c>
    </row>
    <row r="3162">
      <c r="A3162" s="44">
        <v>3161.0</v>
      </c>
      <c r="B3162" s="44" t="str">
        <f>IFERROR(__xludf.DUMMYFUNCTION("""COMPUTED_VALUE"""),"HOSPITAL VARGAS")</f>
        <v>HOSPITAL VARGAS</v>
      </c>
      <c r="C3162" s="45" t="str">
        <f>IFERROR(__xludf.DUMMYFUNCTION("""COMPUTED_VALUE"""),"Reina Medina")</f>
        <v>Reina Medina</v>
      </c>
      <c r="D3162" s="44"/>
      <c r="E3162" s="44" t="str">
        <f>IFERROR(__xludf.DUMMYFUNCTION("""COMPUTED_VALUE"""),"")</f>
        <v/>
      </c>
      <c r="F3162" s="44" t="str">
        <f>IFERROR(__xludf.DUMMYFUNCTION("""COMPUTED_VALUE"""),"")</f>
        <v/>
      </c>
      <c r="G3162" s="44" t="str">
        <f>IFERROR(__xludf.DUMMYFUNCTION("""COMPUTED_VALUE"""),"")</f>
        <v/>
      </c>
      <c r="H3162" s="44" t="str">
        <f>IFERROR(__xludf.DUMMYFUNCTION("""COMPUTED_VALUE"""),"")</f>
        <v/>
      </c>
      <c r="I3162" s="44" t="str">
        <f>IFERROR(__xludf.DUMMYFUNCTION("""COMPUTED_VALUE"""),"Herido / atendido")</f>
        <v>Herido / atendido</v>
      </c>
      <c r="J3162" s="44" t="str">
        <f>IFERROR(__xludf.DUMMYFUNCTION("""COMPUTED_VALUE"""),"24.06.2026 ")</f>
        <v>24.06.2026 </v>
      </c>
      <c r="K3162" s="42" t="str">
        <f>IFERROR(__xludf.DUMMYFUNCTION("""COMPUTED_VALUE"""),"HOSPITAL VARGAS")</f>
        <v>HOSPITAL VARGAS</v>
      </c>
    </row>
    <row r="3163">
      <c r="A3163" s="44">
        <v>3162.0</v>
      </c>
      <c r="B3163" s="44" t="str">
        <f>IFERROR(__xludf.DUMMYFUNCTION("""COMPUTED_VALUE"""),"Campo de Golf Playa los Cocos")</f>
        <v>Campo de Golf Playa los Cocos</v>
      </c>
      <c r="C3163" s="45" t="str">
        <f>IFERROR(__xludf.DUMMYFUNCTION("""COMPUTED_VALUE"""),"Reinal Suescum")</f>
        <v>Reinal Suescum</v>
      </c>
      <c r="D3163" s="44" t="str">
        <f>IFERROR(__xludf.DUMMYFUNCTION("""COMPUTED_VALUE"""),"")</f>
        <v/>
      </c>
      <c r="E3163" s="44" t="str">
        <f>IFERROR(__xludf.DUMMYFUNCTION("""COMPUTED_VALUE"""),"")</f>
        <v/>
      </c>
      <c r="F3163" s="44" t="str">
        <f>IFERROR(__xludf.DUMMYFUNCTION("""COMPUTED_VALUE"""),"")</f>
        <v/>
      </c>
      <c r="G3163" s="44" t="str">
        <f>IFERROR(__xludf.DUMMYFUNCTION("""COMPUTED_VALUE"""),"")</f>
        <v/>
      </c>
      <c r="H3163" s="44" t="str">
        <f>IFERROR(__xludf.DUMMYFUNCTION("""COMPUTED_VALUE"""),"")</f>
        <v/>
      </c>
      <c r="I3163" s="44"/>
      <c r="J3163" s="44" t="str">
        <f>IFERROR(__xludf.DUMMYFUNCTION("""COMPUTED_VALUE"""),"")</f>
        <v/>
      </c>
      <c r="K3163" s="42" t="str">
        <f>IFERROR(__xludf.DUMMYFUNCTION("""COMPUTED_VALUE"""),"Campo de Golf Playa los Cocos")</f>
        <v>Campo de Golf Playa los Cocos</v>
      </c>
    </row>
    <row r="3164">
      <c r="A3164" s="44">
        <v>3163.0</v>
      </c>
      <c r="B3164" s="44" t="str">
        <f>IFERROR(__xludf.DUMMYFUNCTION("""COMPUTED_VALUE"""),"Hospital Domingo Luciani")</f>
        <v>Hospital Domingo Luciani</v>
      </c>
      <c r="C3164" s="45" t="str">
        <f>IFERROR(__xludf.DUMMYFUNCTION("""COMPUTED_VALUE"""),"Rene Suarez")</f>
        <v>Rene Suarez</v>
      </c>
      <c r="D3164" s="44">
        <f>IFERROR(__xludf.DUMMYFUNCTION("""COMPUTED_VALUE"""),62.0)</f>
        <v>62</v>
      </c>
      <c r="E3164" s="44" t="str">
        <f>IFERROR(__xludf.DUMMYFUNCTION("""COMPUTED_VALUE"""),"")</f>
        <v/>
      </c>
      <c r="F3164" s="44" t="str">
        <f>IFERROR(__xludf.DUMMYFUNCTION("""COMPUTED_VALUE"""),"")</f>
        <v/>
      </c>
      <c r="G3164" s="44"/>
      <c r="H3164" s="44"/>
      <c r="I3164" s="44"/>
      <c r="J3164" s="44" t="str">
        <f>IFERROR(__xludf.DUMMYFUNCTION("""COMPUTED_VALUE"""),"")</f>
        <v/>
      </c>
      <c r="K3164" s="42" t="str">
        <f>IFERROR(__xludf.DUMMYFUNCTION("""COMPUTED_VALUE"""),"Hospital Domingo Luciani")</f>
        <v>Hospital Domingo Luciani</v>
      </c>
    </row>
    <row r="3165">
      <c r="A3165" s="44">
        <v>3164.0</v>
      </c>
      <c r="B3165" s="44" t="str">
        <f>IFERROR(__xludf.DUMMYFUNCTION("""COMPUTED_VALUE"""),"Hospital Domingo Luciani")</f>
        <v>Hospital Domingo Luciani</v>
      </c>
      <c r="C3165" s="45" t="str">
        <f>IFERROR(__xludf.DUMMYFUNCTION("""COMPUTED_VALUE"""),"René Suarez Granado")</f>
        <v>René Suarez Granado</v>
      </c>
      <c r="D3165" s="44">
        <f>IFERROR(__xludf.DUMMYFUNCTION("""COMPUTED_VALUE"""),0.0)</f>
        <v>0</v>
      </c>
      <c r="E3165" s="44" t="str">
        <f>IFERROR(__xludf.DUMMYFUNCTION("""COMPUTED_VALUE"""),"")</f>
        <v/>
      </c>
      <c r="F3165" s="44" t="str">
        <f>IFERROR(__xludf.DUMMYFUNCTION("""COMPUTED_VALUE"""),"")</f>
        <v/>
      </c>
      <c r="G3165" s="44"/>
      <c r="H3165" s="44"/>
      <c r="I3165" s="44"/>
      <c r="J3165" s="44" t="str">
        <f>IFERROR(__xludf.DUMMYFUNCTION("""COMPUTED_VALUE"""),"")</f>
        <v/>
      </c>
      <c r="K3165" s="42" t="str">
        <f>IFERROR(__xludf.DUMMYFUNCTION("""COMPUTED_VALUE"""),"Hospital Domingo Luciani")</f>
        <v>Hospital Domingo Luciani</v>
      </c>
    </row>
    <row r="3166">
      <c r="A3166" s="44">
        <v>3165.0</v>
      </c>
      <c r="B3166" s="44" t="str">
        <f>IFERROR(__xludf.DUMMYFUNCTION("""COMPUTED_VALUE"""),"Hospital Pérez Carreño")</f>
        <v>Hospital Pérez Carreño</v>
      </c>
      <c r="C3166" s="45" t="str">
        <f>IFERROR(__xludf.DUMMYFUNCTION("""COMPUTED_VALUE"""),"Renez Vargas Emily Stefanny")</f>
        <v>Renez Vargas Emily Stefanny</v>
      </c>
      <c r="D3166" s="44"/>
      <c r="E3166" s="44" t="str">
        <f>IFERROR(__xludf.DUMMYFUNCTION("""COMPUTED_VALUE"""),"")</f>
        <v/>
      </c>
      <c r="F3166" s="44" t="str">
        <f>IFERROR(__xludf.DUMMYFUNCTION("""COMPUTED_VALUE"""),"")</f>
        <v/>
      </c>
      <c r="G3166" s="44" t="str">
        <f>IFERROR(__xludf.DUMMYFUNCTION("""COMPUTED_VALUE"""),"Traslados")</f>
        <v>Traslados</v>
      </c>
      <c r="H3166" s="44" t="str">
        <f>IFERROR(__xludf.DUMMYFUNCTION("""COMPUTED_VALUE"""),"Hospital Miguel Perez Carreño")</f>
        <v>Hospital Miguel Perez Carreño</v>
      </c>
      <c r="I3166" s="44"/>
      <c r="J3166" s="44" t="str">
        <f>IFERROR(__xludf.DUMMYFUNCTION("""COMPUTED_VALUE"""),"26/6/26")</f>
        <v>26/6/26</v>
      </c>
      <c r="K3166" s="42" t="str">
        <f>IFERROR(__xludf.DUMMYFUNCTION("""COMPUTED_VALUE"""),"Hospital Pérez Carreño")</f>
        <v>Hospital Pérez Carreño</v>
      </c>
    </row>
    <row r="3167">
      <c r="A3167" s="44">
        <v>3166.0</v>
      </c>
      <c r="B3167" s="44" t="str">
        <f>IFERROR(__xludf.DUMMYFUNCTION("""COMPUTED_VALUE"""),"Hospital Domingo Luciani")</f>
        <v>Hospital Domingo Luciani</v>
      </c>
      <c r="C3167" s="45" t="str">
        <f>IFERROR(__xludf.DUMMYFUNCTION("""COMPUTED_VALUE"""),"RENGIFO ADELSO")</f>
        <v>RENGIFO ADELSO</v>
      </c>
      <c r="D3167" s="44">
        <f>IFERROR(__xludf.DUMMYFUNCTION("""COMPUTED_VALUE"""),59.0)</f>
        <v>59</v>
      </c>
      <c r="E3167" s="44" t="str">
        <f>IFERROR(__xludf.DUMMYFUNCTION("""COMPUTED_VALUE"""),"")</f>
        <v/>
      </c>
      <c r="F3167" s="44" t="str">
        <f>IFERROR(__xludf.DUMMYFUNCTION("""COMPUTED_VALUE"""),"")</f>
        <v/>
      </c>
      <c r="G3167" s="44" t="str">
        <f>IFERROR(__xludf.DUMMYFUNCTION("""COMPUTED_VALUE""")," ")</f>
        <v> </v>
      </c>
      <c r="H3167" s="44" t="str">
        <f>IFERROR(__xludf.DUMMYFUNCTION("""COMPUTED_VALUE"""),"La Guaira")</f>
        <v>La Guaira</v>
      </c>
      <c r="I3167" s="44" t="str">
        <f>IFERROR(__xludf.DUMMYFUNCTION("""COMPUTED_VALUE"""),"Ingresos 6am-9:20pm")</f>
        <v>Ingresos 6am-9:20pm</v>
      </c>
      <c r="J3167" s="44" t="str">
        <f>IFERROR(__xludf.DUMMYFUNCTION("""COMPUTED_VALUE"""),"")</f>
        <v/>
      </c>
      <c r="K3167" s="42" t="str">
        <f>IFERROR(__xludf.DUMMYFUNCTION("""COMPUTED_VALUE"""),"🔍 BUSCAR PACIENTES")</f>
        <v>🔍 BUSCAR PACIENTES</v>
      </c>
    </row>
    <row r="3168">
      <c r="A3168" s="44">
        <v>3167.0</v>
      </c>
      <c r="B3168" s="44" t="str">
        <f>IFERROR(__xludf.DUMMYFUNCTION("""COMPUTED_VALUE"""),"Hospital Domingo Luciani")</f>
        <v>Hospital Domingo Luciani</v>
      </c>
      <c r="C3168" s="45" t="str">
        <f>IFERROR(__xludf.DUMMYFUNCTION("""COMPUTED_VALUE"""),"RENGIFO ADOLFO")</f>
        <v>RENGIFO ADOLFO</v>
      </c>
      <c r="D3168" s="44">
        <f>IFERROR(__xludf.DUMMYFUNCTION("""COMPUTED_VALUE"""),59.0)</f>
        <v>59</v>
      </c>
      <c r="E3168" s="44" t="str">
        <f>IFERROR(__xludf.DUMMYFUNCTION("""COMPUTED_VALUE"""),"")</f>
        <v/>
      </c>
      <c r="F3168" s="44" t="str">
        <f>IFERROR(__xludf.DUMMYFUNCTION("""COMPUTED_VALUE"""),"")</f>
        <v/>
      </c>
      <c r="G3168" s="44" t="str">
        <f>IFERROR(__xludf.DUMMYFUNCTION("""COMPUTED_VALUE""")," ")</f>
        <v> </v>
      </c>
      <c r="H3168" s="44" t="str">
        <f>IFERROR(__xludf.DUMMYFUNCTION("""COMPUTED_VALUE""")," ")</f>
        <v> </v>
      </c>
      <c r="I3168" s="44" t="str">
        <f>IFERROR(__xludf.DUMMYFUNCTION("""COMPUTED_VALUE"""),"Internado; POLITRAUMA")</f>
        <v>Internado; POLITRAUMA</v>
      </c>
      <c r="J3168" s="44" t="str">
        <f>IFERROR(__xludf.DUMMYFUNCTION("""COMPUTED_VALUE"""),"")</f>
        <v/>
      </c>
      <c r="K3168" s="42" t="str">
        <f>IFERROR(__xludf.DUMMYFUNCTION("""COMPUTED_VALUE"""),"🔍 BUSCAR PACIENTES")</f>
        <v>🔍 BUSCAR PACIENTES</v>
      </c>
    </row>
    <row r="3169">
      <c r="A3169" s="44">
        <v>3168.0</v>
      </c>
      <c r="B3169" s="44" t="str">
        <f>IFERROR(__xludf.DUMMYFUNCTION("""COMPUTED_VALUE"""),"Hospital Domingo Luciani")</f>
        <v>Hospital Domingo Luciani</v>
      </c>
      <c r="C3169" s="45" t="str">
        <f>IFERROR(__xludf.DUMMYFUNCTION("""COMPUTED_VALUE"""),"RENGIFO DELLI")</f>
        <v>RENGIFO DELLI</v>
      </c>
      <c r="D3169" s="44">
        <f>IFERROR(__xludf.DUMMYFUNCTION("""COMPUTED_VALUE"""),46.0)</f>
        <v>46</v>
      </c>
      <c r="E3169" s="44" t="str">
        <f>IFERROR(__xludf.DUMMYFUNCTION("""COMPUTED_VALUE"""),"")</f>
        <v/>
      </c>
      <c r="F3169" s="44" t="str">
        <f>IFERROR(__xludf.DUMMYFUNCTION("""COMPUTED_VALUE"""),"")</f>
        <v/>
      </c>
      <c r="G3169" s="44" t="str">
        <f>IFERROR(__xludf.DUMMYFUNCTION("""COMPUTED_VALUE""")," ")</f>
        <v> </v>
      </c>
      <c r="H3169" s="44" t="str">
        <f>IFERROR(__xludf.DUMMYFUNCTION("""COMPUTED_VALUE""")," ")</f>
        <v> </v>
      </c>
      <c r="I3169" s="44" t="str">
        <f>IFERROR(__xludf.DUMMYFUNCTION("""COMPUTED_VALUE""")," ")</f>
        <v> </v>
      </c>
      <c r="J3169" s="44" t="str">
        <f>IFERROR(__xludf.DUMMYFUNCTION("""COMPUTED_VALUE"""),"")</f>
        <v/>
      </c>
      <c r="K3169" s="42" t="str">
        <f>IFERROR(__xludf.DUMMYFUNCTION("""COMPUTED_VALUE"""),"🔍 BUSCAR PACIENTES")</f>
        <v>🔍 BUSCAR PACIENTES</v>
      </c>
    </row>
    <row r="3170">
      <c r="A3170" s="44">
        <v>3169.0</v>
      </c>
      <c r="B3170" s="44" t="str">
        <f>IFERROR(__xludf.DUMMYFUNCTION("""COMPUTED_VALUE"""),"Hospital Domingo Luciani")</f>
        <v>Hospital Domingo Luciani</v>
      </c>
      <c r="C3170" s="45" t="str">
        <f>IFERROR(__xludf.DUMMYFUNCTION("""COMPUTED_VALUE"""),"RENGIFO GUILLERMINA")</f>
        <v>RENGIFO GUILLERMINA</v>
      </c>
      <c r="D3170" s="44">
        <f>IFERROR(__xludf.DUMMYFUNCTION("""COMPUTED_VALUE"""),46.0)</f>
        <v>46</v>
      </c>
      <c r="E3170" s="44" t="str">
        <f>IFERROR(__xludf.DUMMYFUNCTION("""COMPUTED_VALUE"""),"")</f>
        <v/>
      </c>
      <c r="F3170" s="44" t="str">
        <f>IFERROR(__xludf.DUMMYFUNCTION("""COMPUTED_VALUE"""),"")</f>
        <v/>
      </c>
      <c r="G3170" s="44" t="str">
        <f>IFERROR(__xludf.DUMMYFUNCTION("""COMPUTED_VALUE""")," ")</f>
        <v> </v>
      </c>
      <c r="H3170" s="44" t="str">
        <f>IFERROR(__xludf.DUMMYFUNCTION("""COMPUTED_VALUE""")," ")</f>
        <v> </v>
      </c>
      <c r="I3170" s="44" t="str">
        <f>IFERROR(__xludf.DUMMYFUNCTION("""COMPUTED_VALUE""")," ")</f>
        <v> </v>
      </c>
      <c r="J3170" s="44" t="str">
        <f>IFERROR(__xludf.DUMMYFUNCTION("""COMPUTED_VALUE"""),"")</f>
        <v/>
      </c>
      <c r="K3170" s="42" t="str">
        <f>IFERROR(__xludf.DUMMYFUNCTION("""COMPUTED_VALUE"""),"🔍 BUSCAR PACIENTES")</f>
        <v>🔍 BUSCAR PACIENTES</v>
      </c>
    </row>
    <row r="3171">
      <c r="A3171" s="44">
        <v>3170.0</v>
      </c>
      <c r="B3171" s="44" t="str">
        <f>IFERROR(__xludf.DUMMYFUNCTION("""COMPUTED_VALUE"""),"Centro de Acopio Caraballeda")</f>
        <v>Centro de Acopio Caraballeda</v>
      </c>
      <c r="C3171" s="45" t="str">
        <f>IFERROR(__xludf.DUMMYFUNCTION("""COMPUTED_VALUE"""),"RENOTT ABIGAIL")</f>
        <v>RENOTT ABIGAIL</v>
      </c>
      <c r="D3171" s="44" t="str">
        <f>IFERROR(__xludf.DUMMYFUNCTION("""COMPUTED_VALUE""")," ")</f>
        <v> </v>
      </c>
      <c r="E3171" s="44" t="str">
        <f>IFERROR(__xludf.DUMMYFUNCTION("""COMPUTED_VALUE"""),"")</f>
        <v/>
      </c>
      <c r="F3171" s="44" t="str">
        <f>IFERROR(__xludf.DUMMYFUNCTION("""COMPUTED_VALUE"""),"")</f>
        <v/>
      </c>
      <c r="G3171" s="44" t="str">
        <f>IFERROR(__xludf.DUMMYFUNCTION("""COMPUTED_VALUE""")," ")</f>
        <v> </v>
      </c>
      <c r="H3171" s="44" t="str">
        <f>IFERROR(__xludf.DUMMYFUNCTION("""COMPUTED_VALUE""")," ")</f>
        <v> </v>
      </c>
      <c r="I3171" s="44" t="str">
        <f>IFERROR(__xludf.DUMMYFUNCTION("""COMPUTED_VALUE"""),"Internado")</f>
        <v>Internado</v>
      </c>
      <c r="J3171" s="44" t="str">
        <f>IFERROR(__xludf.DUMMYFUNCTION("""COMPUTED_VALUE"""),"")</f>
        <v/>
      </c>
      <c r="K3171" s="42" t="str">
        <f>IFERROR(__xludf.DUMMYFUNCTION("""COMPUTED_VALUE"""),"🔍 BUSCAR PACIENTES")</f>
        <v>🔍 BUSCAR PACIENTES</v>
      </c>
    </row>
    <row r="3172">
      <c r="A3172" s="44">
        <v>3171.0</v>
      </c>
      <c r="B3172" s="44" t="str">
        <f>IFERROR(__xludf.DUMMYFUNCTION("""COMPUTED_VALUE"""),"Centro de Acopio Caraballeda")</f>
        <v>Centro de Acopio Caraballeda</v>
      </c>
      <c r="C3172" s="45" t="str">
        <f>IFERROR(__xludf.DUMMYFUNCTION("""COMPUTED_VALUE"""),"RENOTT JOSE")</f>
        <v>RENOTT JOSE</v>
      </c>
      <c r="D3172" s="44" t="str">
        <f>IFERROR(__xludf.DUMMYFUNCTION("""COMPUTED_VALUE""")," ")</f>
        <v> </v>
      </c>
      <c r="E3172" s="44" t="str">
        <f>IFERROR(__xludf.DUMMYFUNCTION("""COMPUTED_VALUE"""),"")</f>
        <v/>
      </c>
      <c r="F3172" s="44" t="str">
        <f>IFERROR(__xludf.DUMMYFUNCTION("""COMPUTED_VALUE"""),"")</f>
        <v/>
      </c>
      <c r="G3172" s="44" t="str">
        <f>IFERROR(__xludf.DUMMYFUNCTION("""COMPUTED_VALUE""")," ")</f>
        <v> </v>
      </c>
      <c r="H3172" s="44" t="str">
        <f>IFERROR(__xludf.DUMMYFUNCTION("""COMPUTED_VALUE""")," ")</f>
        <v> </v>
      </c>
      <c r="I3172" s="44" t="str">
        <f>IFERROR(__xludf.DUMMYFUNCTION("""COMPUTED_VALUE"""),"Internado")</f>
        <v>Internado</v>
      </c>
      <c r="J3172" s="44" t="str">
        <f>IFERROR(__xludf.DUMMYFUNCTION("""COMPUTED_VALUE"""),"")</f>
        <v/>
      </c>
      <c r="K3172" s="42" t="str">
        <f>IFERROR(__xludf.DUMMYFUNCTION("""COMPUTED_VALUE"""),"🔍 BUSCAR PACIENTES")</f>
        <v>🔍 BUSCAR PACIENTES</v>
      </c>
    </row>
    <row r="3173">
      <c r="A3173" s="44">
        <v>3172.0</v>
      </c>
      <c r="B3173" s="44" t="str">
        <f>IFERROR(__xludf.DUMMYFUNCTION("""COMPUTED_VALUE"""),"Centro de Acopio Caraballeda")</f>
        <v>Centro de Acopio Caraballeda</v>
      </c>
      <c r="C3173" s="45" t="str">
        <f>IFERROR(__xludf.DUMMYFUNCTION("""COMPUTED_VALUE"""),"RENOTT KENEDY")</f>
        <v>RENOTT KENEDY</v>
      </c>
      <c r="D3173" s="44" t="str">
        <f>IFERROR(__xludf.DUMMYFUNCTION("""COMPUTED_VALUE""")," ")</f>
        <v> </v>
      </c>
      <c r="E3173" s="44" t="str">
        <f>IFERROR(__xludf.DUMMYFUNCTION("""COMPUTED_VALUE"""),"")</f>
        <v/>
      </c>
      <c r="F3173" s="44" t="str">
        <f>IFERROR(__xludf.DUMMYFUNCTION("""COMPUTED_VALUE"""),"")</f>
        <v/>
      </c>
      <c r="G3173" s="44" t="str">
        <f>IFERROR(__xludf.DUMMYFUNCTION("""COMPUTED_VALUE""")," ")</f>
        <v> </v>
      </c>
      <c r="H3173" s="44" t="str">
        <f>IFERROR(__xludf.DUMMYFUNCTION("""COMPUTED_VALUE""")," ")</f>
        <v> </v>
      </c>
      <c r="I3173" s="44" t="str">
        <f>IFERROR(__xludf.DUMMYFUNCTION("""COMPUTED_VALUE"""),"Internado")</f>
        <v>Internado</v>
      </c>
      <c r="J3173" s="44" t="str">
        <f>IFERROR(__xludf.DUMMYFUNCTION("""COMPUTED_VALUE"""),"")</f>
        <v/>
      </c>
      <c r="K3173" s="42" t="str">
        <f>IFERROR(__xludf.DUMMYFUNCTION("""COMPUTED_VALUE"""),"🔍 BUSCAR PACIENTES")</f>
        <v>🔍 BUSCAR PACIENTES</v>
      </c>
    </row>
    <row r="3174">
      <c r="A3174" s="44">
        <v>3173.0</v>
      </c>
      <c r="B3174" s="44" t="str">
        <f>IFERROR(__xludf.DUMMYFUNCTION("""COMPUTED_VALUE"""),"Hospital Pérez Carreño")</f>
        <v>Hospital Pérez Carreño</v>
      </c>
      <c r="C3174" s="45" t="str">
        <f>IFERROR(__xludf.DUMMYFUNCTION("""COMPUTED_VALUE"""),"REQUENA AILANO")</f>
        <v>REQUENA AILANO</v>
      </c>
      <c r="D3174" s="44" t="str">
        <f>IFERROR(__xludf.DUMMYFUNCTION("""COMPUTED_VALUE""")," ")</f>
        <v> </v>
      </c>
      <c r="E3174" s="44" t="str">
        <f>IFERROR(__xludf.DUMMYFUNCTION("""COMPUTED_VALUE"""),"")</f>
        <v/>
      </c>
      <c r="F3174" s="44" t="str">
        <f>IFERROR(__xludf.DUMMYFUNCTION("""COMPUTED_VALUE"""),"")</f>
        <v/>
      </c>
      <c r="G3174" s="44" t="str">
        <f>IFERROR(__xludf.DUMMYFUNCTION("""COMPUTED_VALUE""")," ")</f>
        <v> </v>
      </c>
      <c r="H3174" s="44" t="str">
        <f>IFERROR(__xludf.DUMMYFUNCTION("""COMPUTED_VALUE""")," ")</f>
        <v> </v>
      </c>
      <c r="I3174" s="44" t="str">
        <f>IFERROR(__xludf.DUMMYFUNCTION("""COMPUTED_VALUE"""),"Pediatría – 2 meses; Mamá: María Piñada")</f>
        <v>Pediatría – 2 meses; Mamá: María Piñada</v>
      </c>
      <c r="J3174" s="44" t="str">
        <f>IFERROR(__xludf.DUMMYFUNCTION("""COMPUTED_VALUE"""),"")</f>
        <v/>
      </c>
      <c r="K3174" s="42" t="str">
        <f>IFERROR(__xludf.DUMMYFUNCTION("""COMPUTED_VALUE"""),"🔍 BUSCAR PACIENTES")</f>
        <v>🔍 BUSCAR PACIENTES</v>
      </c>
    </row>
    <row r="3175">
      <c r="A3175" s="44">
        <v>3174.0</v>
      </c>
      <c r="B3175" s="44" t="str">
        <f>IFERROR(__xludf.DUMMYFUNCTION("""COMPUTED_VALUE"""),"Hospital Domingo Luciani")</f>
        <v>Hospital Domingo Luciani</v>
      </c>
      <c r="C3175" s="45" t="str">
        <f>IFERROR(__xludf.DUMMYFUNCTION("""COMPUTED_VALUE"""),"REQUENA DILIA")</f>
        <v>REQUENA DILIA</v>
      </c>
      <c r="D3175" s="44">
        <f>IFERROR(__xludf.DUMMYFUNCTION("""COMPUTED_VALUE"""),52.0)</f>
        <v>52</v>
      </c>
      <c r="E3175" s="44" t="str">
        <f>IFERROR(__xludf.DUMMYFUNCTION("""COMPUTED_VALUE"""),"")</f>
        <v/>
      </c>
      <c r="F3175" s="44" t="str">
        <f>IFERROR(__xludf.DUMMYFUNCTION("""COMPUTED_VALUE"""),"")</f>
        <v/>
      </c>
      <c r="G3175" s="44" t="str">
        <f>IFERROR(__xludf.DUMMYFUNCTION("""COMPUTED_VALUE""")," ")</f>
        <v> </v>
      </c>
      <c r="H3175" s="44" t="str">
        <f>IFERROR(__xludf.DUMMYFUNCTION("""COMPUTED_VALUE""")," ")</f>
        <v> </v>
      </c>
      <c r="I3175" s="44" t="str">
        <f>IFERROR(__xludf.DUMMYFUNCTION("""COMPUTED_VALUE"""),"Internado; Tiene familia")</f>
        <v>Internado; Tiene familia</v>
      </c>
      <c r="J3175" s="44" t="str">
        <f>IFERROR(__xludf.DUMMYFUNCTION("""COMPUTED_VALUE"""),"")</f>
        <v/>
      </c>
      <c r="K3175" s="42" t="str">
        <f>IFERROR(__xludf.DUMMYFUNCTION("""COMPUTED_VALUE"""),"🔍 BUSCAR PACIENTES")</f>
        <v>🔍 BUSCAR PACIENTES</v>
      </c>
    </row>
    <row r="3176">
      <c r="A3176" s="44">
        <v>3175.0</v>
      </c>
      <c r="B3176" s="44" t="str">
        <f>IFERROR(__xludf.DUMMYFUNCTION("""COMPUTED_VALUE"""),"Hospital Vargas de Caracas")</f>
        <v>Hospital Vargas de Caracas</v>
      </c>
      <c r="C3176" s="45" t="str">
        <f>IFERROR(__xludf.DUMMYFUNCTION("""COMPUTED_VALUE"""),"REQUENA YUSNEILY")</f>
        <v>REQUENA YUSNEILY</v>
      </c>
      <c r="D3176" s="44" t="str">
        <f>IFERROR(__xludf.DUMMYFUNCTION("""COMPUTED_VALUE""")," ")</f>
        <v> </v>
      </c>
      <c r="E3176" s="44" t="str">
        <f>IFERROR(__xludf.DUMMYFUNCTION("""COMPUTED_VALUE"""),"")</f>
        <v/>
      </c>
      <c r="F3176" s="44" t="str">
        <f>IFERROR(__xludf.DUMMYFUNCTION("""COMPUTED_VALUE""")," ")</f>
        <v> </v>
      </c>
      <c r="G3176" s="44" t="str">
        <f>IFERROR(__xludf.DUMMYFUNCTION("""COMPUTED_VALUE"""),"")</f>
        <v/>
      </c>
      <c r="H3176" s="44" t="str">
        <f>IFERROR(__xludf.DUMMYFUNCTION("""COMPUTED_VALUE""")," ")</f>
        <v> </v>
      </c>
      <c r="I3176" s="44" t="str">
        <f>IFERROR(__xludf.DUMMYFUNCTION("""COMPUTED_VALUE""")," ")</f>
        <v> </v>
      </c>
      <c r="J3176" s="44" t="str">
        <f>IFERROR(__xludf.DUMMYFUNCTION("""COMPUTED_VALUE"""),"")</f>
        <v/>
      </c>
      <c r="K3176" s="42" t="str">
        <f>IFERROR(__xludf.DUMMYFUNCTION("""COMPUTED_VALUE"""),"Hospital Vargas de Caracas")</f>
        <v>Hospital Vargas de Caracas</v>
      </c>
    </row>
    <row r="3177">
      <c r="A3177" s="44">
        <v>3176.0</v>
      </c>
      <c r="B3177" s="44" t="str">
        <f>IFERROR(__xludf.DUMMYFUNCTION("""COMPUTED_VALUE"""),"Hospital Pérez Carreño")</f>
        <v>Hospital Pérez Carreño</v>
      </c>
      <c r="C3177" s="45" t="str">
        <f>IFERROR(__xludf.DUMMYFUNCTION("""COMPUTED_VALUE"""),"Reverdo Isabela")</f>
        <v>Reverdo Isabela</v>
      </c>
      <c r="D3177" s="44"/>
      <c r="E3177" s="44" t="str">
        <f>IFERROR(__xludf.DUMMYFUNCTION("""COMPUTED_VALUE"""),"")</f>
        <v/>
      </c>
      <c r="F3177" s="44" t="str">
        <f>IFERROR(__xludf.DUMMYFUNCTION("""COMPUTED_VALUE"""),"")</f>
        <v/>
      </c>
      <c r="G3177" s="44" t="str">
        <f>IFERROR(__xludf.DUMMYFUNCTION("""COMPUTED_VALUE"""),"Traslados con destino asignado")</f>
        <v>Traslados con destino asignado</v>
      </c>
      <c r="H3177" s="44" t="str">
        <f>IFERROR(__xludf.DUMMYFUNCTION("""COMPUTED_VALUE"""),"Hospital Miguel Perez Carreño")</f>
        <v>Hospital Miguel Perez Carreño</v>
      </c>
      <c r="I3177" s="44"/>
      <c r="J3177" s="44" t="str">
        <f>IFERROR(__xludf.DUMMYFUNCTION("""COMPUTED_VALUE"""),"26/6/26")</f>
        <v>26/6/26</v>
      </c>
      <c r="K3177" s="42" t="str">
        <f>IFERROR(__xludf.DUMMYFUNCTION("""COMPUTED_VALUE"""),"Hospital Pérez Carreño")</f>
        <v>Hospital Pérez Carreño</v>
      </c>
    </row>
    <row r="3178">
      <c r="A3178" s="44">
        <v>3177.0</v>
      </c>
      <c r="B3178" s="44" t="str">
        <f>IFERROR(__xludf.DUMMYFUNCTION("""COMPUTED_VALUE"""),"La Guaira Sin Hospital")</f>
        <v>La Guaira Sin Hospital</v>
      </c>
      <c r="C3178" s="45" t="str">
        <f>IFERROR(__xludf.DUMMYFUNCTION("""COMPUTED_VALUE"""),"Revoredo Isabela")</f>
        <v>Revoredo Isabela</v>
      </c>
      <c r="D3178" s="44" t="str">
        <f>IFERROR(__xludf.DUMMYFUNCTION("""COMPUTED_VALUE"""),"")</f>
        <v/>
      </c>
      <c r="E3178" s="44" t="str">
        <f>IFERROR(__xludf.DUMMYFUNCTION("""COMPUTED_VALUE"""),"")</f>
        <v/>
      </c>
      <c r="F3178" s="44" t="str">
        <f>IFERROR(__xludf.DUMMYFUNCTION("""COMPUTED_VALUE"""),"")</f>
        <v/>
      </c>
      <c r="G3178" s="44" t="str">
        <f>IFERROR(__xludf.DUMMYFUNCTION("""COMPUTED_VALUE"""),"")</f>
        <v/>
      </c>
      <c r="H3178" s="44" t="str">
        <f>IFERROR(__xludf.DUMMYFUNCTION("""COMPUTED_VALUE"""),"La Guaira Caribe")</f>
        <v>La Guaira Caribe</v>
      </c>
      <c r="I3178" s="44" t="str">
        <f>IFERROR(__xludf.DUMMYFUNCTION("""COMPUTED_VALUE"""),"Listas con ubicación")</f>
        <v>Listas con ubicación</v>
      </c>
      <c r="J3178" s="44" t="str">
        <f>IFERROR(__xludf.DUMMYFUNCTION("""COMPUTED_VALUE"""),"")</f>
        <v/>
      </c>
      <c r="K3178" s="42" t="str">
        <f>IFERROR(__xludf.DUMMYFUNCTION("""COMPUTED_VALUE"""),"La Guaira Sin Hospital")</f>
        <v>La Guaira Sin Hospital</v>
      </c>
    </row>
    <row r="3179">
      <c r="A3179" s="44">
        <v>3178.0</v>
      </c>
      <c r="B3179" s="44" t="str">
        <f>IFERROR(__xludf.DUMMYFUNCTION("""COMPUTED_VALUE"""),"Hospital Pérez Carreño")</f>
        <v>Hospital Pérez Carreño</v>
      </c>
      <c r="C3179" s="45" t="str">
        <f>IFERROR(__xludf.DUMMYFUNCTION("""COMPUTED_VALUE"""),"Revoredo Isabella")</f>
        <v>Revoredo Isabella</v>
      </c>
      <c r="D3179" s="44" t="str">
        <f>IFERROR(__xludf.DUMMYFUNCTION("""COMPUTED_VALUE"""),"10 años")</f>
        <v>10 años</v>
      </c>
      <c r="E3179" s="44" t="str">
        <f>IFERROR(__xludf.DUMMYFUNCTION("""COMPUTED_VALUE"""),"")</f>
        <v/>
      </c>
      <c r="F3179" s="44" t="str">
        <f>IFERROR(__xludf.DUMMYFUNCTION("""COMPUTED_VALUE"""),"")</f>
        <v/>
      </c>
      <c r="G3179" s="44" t="str">
        <f>IFERROR(__xludf.DUMMYFUNCTION("""COMPUTED_VALUE"""),"Pediatria")</f>
        <v>Pediatria</v>
      </c>
      <c r="H3179" s="44" t="str">
        <f>IFERROR(__xludf.DUMMYFUNCTION("""COMPUTED_VALUE"""),"Hospital Miguel Perez Carreño")</f>
        <v>Hospital Miguel Perez Carreño</v>
      </c>
      <c r="I3179" s="44"/>
      <c r="J3179" s="44" t="str">
        <f>IFERROR(__xludf.DUMMYFUNCTION("""COMPUTED_VALUE"""),"26/6/26")</f>
        <v>26/6/26</v>
      </c>
      <c r="K3179" s="42" t="str">
        <f>IFERROR(__xludf.DUMMYFUNCTION("""COMPUTED_VALUE"""),"Hospital Pérez Carreño")</f>
        <v>Hospital Pérez Carreño</v>
      </c>
    </row>
    <row r="3180">
      <c r="A3180" s="44">
        <v>3179.0</v>
      </c>
      <c r="B3180" s="44" t="str">
        <f>IFERROR(__xludf.DUMMYFUNCTION("""COMPUTED_VALUE"""),"Hospital Domingo Luciani")</f>
        <v>Hospital Domingo Luciani</v>
      </c>
      <c r="C3180" s="45" t="str">
        <f>IFERROR(__xludf.DUMMYFUNCTION("""COMPUTED_VALUE"""),"REY JENNAL")</f>
        <v>REY JENNAL</v>
      </c>
      <c r="D3180" s="44">
        <f>IFERROR(__xludf.DUMMYFUNCTION("""COMPUTED_VALUE"""),29.0)</f>
        <v>29</v>
      </c>
      <c r="E3180" s="44" t="str">
        <f>IFERROR(__xludf.DUMMYFUNCTION("""COMPUTED_VALUE"""),"")</f>
        <v/>
      </c>
      <c r="F3180" s="44" t="str">
        <f>IFERROR(__xludf.DUMMYFUNCTION("""COMPUTED_VALUE"""),"")</f>
        <v/>
      </c>
      <c r="G3180" s="44" t="str">
        <f>IFERROR(__xludf.DUMMYFUNCTION("""COMPUTED_VALUE""")," ")</f>
        <v> </v>
      </c>
      <c r="H3180" s="44" t="str">
        <f>IFERROR(__xludf.DUMMYFUNCTION("""COMPUTED_VALUE""")," ")</f>
        <v> </v>
      </c>
      <c r="I3180" s="44" t="str">
        <f>IFERROR(__xludf.DUMMYFUNCTION("""COMPUTED_VALUE""")," ")</f>
        <v> </v>
      </c>
      <c r="J3180" s="44" t="str">
        <f>IFERROR(__xludf.DUMMYFUNCTION("""COMPUTED_VALUE"""),"")</f>
        <v/>
      </c>
      <c r="K3180" s="42" t="str">
        <f>IFERROR(__xludf.DUMMYFUNCTION("""COMPUTED_VALUE"""),"🔍 BUSCAR PACIENTES")</f>
        <v>🔍 BUSCAR PACIENTES</v>
      </c>
    </row>
    <row r="3181">
      <c r="A3181" s="44">
        <v>3180.0</v>
      </c>
      <c r="B3181" s="44" t="str">
        <f>IFERROR(__xludf.DUMMYFUNCTION("""COMPUTED_VALUE"""),"Hospital Domingo Luciani")</f>
        <v>Hospital Domingo Luciani</v>
      </c>
      <c r="C3181" s="45" t="str">
        <f>IFERROR(__xludf.DUMMYFUNCTION("""COMPUTED_VALUE"""),"REY JENNCEL")</f>
        <v>REY JENNCEL</v>
      </c>
      <c r="D3181" s="44">
        <f>IFERROR(__xludf.DUMMYFUNCTION("""COMPUTED_VALUE"""),29.0)</f>
        <v>29</v>
      </c>
      <c r="E3181" s="44" t="str">
        <f>IFERROR(__xludf.DUMMYFUNCTION("""COMPUTED_VALUE"""),"")</f>
        <v/>
      </c>
      <c r="F3181" s="44" t="str">
        <f>IFERROR(__xludf.DUMMYFUNCTION("""COMPUTED_VALUE"""),"")</f>
        <v/>
      </c>
      <c r="G3181" s="44" t="str">
        <f>IFERROR(__xludf.DUMMYFUNCTION("""COMPUTED_VALUE""")," ")</f>
        <v> </v>
      </c>
      <c r="H3181" s="44" t="str">
        <f>IFERROR(__xludf.DUMMYFUNCTION("""COMPUTED_VALUE"""),"chacao")</f>
        <v>chacao</v>
      </c>
      <c r="I3181" s="44" t="str">
        <f>IFERROR(__xludf.DUMMYFUNCTION("""COMPUTED_VALUE"""),"  | Quirófano")</f>
        <v>  | Quirófano</v>
      </c>
      <c r="J3181" s="44" t="str">
        <f>IFERROR(__xludf.DUMMYFUNCTION("""COMPUTED_VALUE"""),"")</f>
        <v/>
      </c>
      <c r="K3181" s="42" t="str">
        <f>IFERROR(__xludf.DUMMYFUNCTION("""COMPUTED_VALUE"""),"🔍 BUSCAR PACIENTES")</f>
        <v>🔍 BUSCAR PACIENTES</v>
      </c>
    </row>
    <row r="3182">
      <c r="A3182" s="44">
        <v>3181.0</v>
      </c>
      <c r="B3182" s="44" t="str">
        <f>IFERROR(__xludf.DUMMYFUNCTION("""COMPUTED_VALUE"""),"Hospital Domingo Luciani")</f>
        <v>Hospital Domingo Luciani</v>
      </c>
      <c r="C3182" s="45" t="str">
        <f>IFERROR(__xludf.DUMMYFUNCTION("""COMPUTED_VALUE"""),"REY JENNICEL / REY JENNAIL")</f>
        <v>REY JENNICEL / REY JENNAIL</v>
      </c>
      <c r="D3182" s="44">
        <f>IFERROR(__xludf.DUMMYFUNCTION("""COMPUTED_VALUE"""),29.0)</f>
        <v>29</v>
      </c>
      <c r="E3182" s="44" t="str">
        <f>IFERROR(__xludf.DUMMYFUNCTION("""COMPUTED_VALUE"""),"")</f>
        <v/>
      </c>
      <c r="F3182" s="44" t="str">
        <f>IFERROR(__xludf.DUMMYFUNCTION("""COMPUTED_VALUE"""),"")</f>
        <v/>
      </c>
      <c r="G3182" s="44" t="str">
        <f>IFERROR(__xludf.DUMMYFUNCTION("""COMPUTED_VALUE""")," ")</f>
        <v> </v>
      </c>
      <c r="H3182" s="44" t="str">
        <f>IFERROR(__xludf.DUMMYFUNCTION("""COMPUTED_VALUE""")," ")</f>
        <v> </v>
      </c>
      <c r="I3182" s="44" t="str">
        <f>IFERROR(__xludf.DUMMYFUNCTION("""COMPUTED_VALUE""")," ")</f>
        <v> </v>
      </c>
      <c r="J3182" s="44" t="str">
        <f>IFERROR(__xludf.DUMMYFUNCTION("""COMPUTED_VALUE"""),"")</f>
        <v/>
      </c>
      <c r="K3182" s="42" t="str">
        <f>IFERROR(__xludf.DUMMYFUNCTION("""COMPUTED_VALUE"""),"🔍 BUSCAR PACIENTES")</f>
        <v>🔍 BUSCAR PACIENTES</v>
      </c>
    </row>
    <row r="3183">
      <c r="A3183" s="44">
        <v>3182.0</v>
      </c>
      <c r="B3183" s="44" t="str">
        <f>IFERROR(__xludf.DUMMYFUNCTION("""COMPUTED_VALUE"""),"Periférico de Catia")</f>
        <v>Periférico de Catia</v>
      </c>
      <c r="C3183" s="45" t="str">
        <f>IFERROR(__xludf.DUMMYFUNCTION("""COMPUTED_VALUE"""),"Rey Sennicel")</f>
        <v>Rey Sennicel</v>
      </c>
      <c r="D3183" s="44">
        <f>IFERROR(__xludf.DUMMYFUNCTION("""COMPUTED_VALUE"""),29.0)</f>
        <v>29</v>
      </c>
      <c r="E3183" s="44" t="str">
        <f>IFERROR(__xludf.DUMMYFUNCTION("""COMPUTED_VALUE"""),"")</f>
        <v/>
      </c>
      <c r="F3183" s="44" t="str">
        <f>IFERROR(__xludf.DUMMYFUNCTION("""COMPUTED_VALUE"""),"")</f>
        <v/>
      </c>
      <c r="G3183" s="44"/>
      <c r="H3183" s="44"/>
      <c r="I3183" s="44" t="str">
        <f>IFERROR(__xludf.DUMMYFUNCTION("""COMPUTED_VALUE"""),"Lista adicional (pizarra extensa sin titulo de sala especifico) — posible duplicado de 'Sencel Rey 29' (Quirofano)")</f>
        <v>Lista adicional (pizarra extensa sin titulo de sala especifico) — posible duplicado de 'Sencel Rey 29' (Quirofano)</v>
      </c>
      <c r="J3183" s="44" t="str">
        <f>IFERROR(__xludf.DUMMYFUNCTION("""COMPUTED_VALUE"""),"")</f>
        <v/>
      </c>
      <c r="K3183" s="42" t="str">
        <f>IFERROR(__xludf.DUMMYFUNCTION("""COMPUTED_VALUE"""),"Periférico de Catia")</f>
        <v>Periférico de Catia</v>
      </c>
    </row>
    <row r="3184">
      <c r="A3184" s="44">
        <v>3183.0</v>
      </c>
      <c r="B3184" s="44" t="str">
        <f>IFERROR(__xludf.DUMMYFUNCTION("""COMPUTED_VALUE"""),"Periférico de Catia")</f>
        <v>Periférico de Catia</v>
      </c>
      <c r="C3184" s="45" t="str">
        <f>IFERROR(__xludf.DUMMYFUNCTION("""COMPUTED_VALUE"""),"Ribas Fabiola")</f>
        <v>Ribas Fabiola</v>
      </c>
      <c r="D3184" s="44">
        <f>IFERROR(__xludf.DUMMYFUNCTION("""COMPUTED_VALUE"""),23.0)</f>
        <v>23</v>
      </c>
      <c r="E3184" s="44" t="str">
        <f>IFERROR(__xludf.DUMMYFUNCTION("""COMPUTED_VALUE"""),"")</f>
        <v/>
      </c>
      <c r="F3184" s="44" t="str">
        <f>IFERROR(__xludf.DUMMYFUNCTION("""COMPUTED_VALUE"""),"")</f>
        <v/>
      </c>
      <c r="G3184" s="44"/>
      <c r="H3184" s="44"/>
      <c r="I3184" s="44" t="str">
        <f>IFERROR(__xludf.DUMMYFUNCTION("""COMPUTED_VALUE"""),"Lista adicional (pizarra extensa sin titulo de sala especifico)")</f>
        <v>Lista adicional (pizarra extensa sin titulo de sala especifico)</v>
      </c>
      <c r="J3184" s="44" t="str">
        <f>IFERROR(__xludf.DUMMYFUNCTION("""COMPUTED_VALUE"""),"")</f>
        <v/>
      </c>
      <c r="K3184" s="42" t="str">
        <f>IFERROR(__xludf.DUMMYFUNCTION("""COMPUTED_VALUE"""),"Periférico de Catia")</f>
        <v>Periférico de Catia</v>
      </c>
    </row>
    <row r="3185">
      <c r="A3185" s="44">
        <v>3184.0</v>
      </c>
      <c r="B3185" s="44" t="str">
        <f>IFERROR(__xludf.DUMMYFUNCTION("""COMPUTED_VALUE"""),"Hospital Universitario de Carac")</f>
        <v>Hospital Universitario de Carac</v>
      </c>
      <c r="C3185" s="45" t="str">
        <f>IFERROR(__xludf.DUMMYFUNCTION("""COMPUTED_VALUE"""),"RIBAS YOSELIN")</f>
        <v>RIBAS YOSELIN</v>
      </c>
      <c r="D3185" s="44">
        <f>IFERROR(__xludf.DUMMYFUNCTION("""COMPUTED_VALUE"""),34.0)</f>
        <v>34</v>
      </c>
      <c r="E3185" s="44" t="str">
        <f>IFERROR(__xludf.DUMMYFUNCTION("""COMPUTED_VALUE"""),"")</f>
        <v/>
      </c>
      <c r="F3185" s="44" t="str">
        <f>IFERROR(__xludf.DUMMYFUNCTION("""COMPUTED_VALUE"""),"")</f>
        <v/>
      </c>
      <c r="G3185" s="44" t="str">
        <f>IFERROR(__xludf.DUMMYFUNCTION("""COMPUTED_VALUE""")," ")</f>
        <v> </v>
      </c>
      <c r="H3185" s="44" t="str">
        <f>IFERROR(__xludf.DUMMYFUNCTION("""COMPUTED_VALUE""")," ")</f>
        <v> </v>
      </c>
      <c r="I3185" s="44" t="str">
        <f>IFERROR(__xludf.DUMMYFUNCTION("""COMPUTED_VALUE"""),"Sala Cirugía 30-B – Fx nasal; Fx orbitaria; Fx húmero izq; Fx pelvis")</f>
        <v>Sala Cirugía 30-B – Fx nasal; Fx orbitaria; Fx húmero izq; Fx pelvis</v>
      </c>
      <c r="J3185" s="44" t="str">
        <f>IFERROR(__xludf.DUMMYFUNCTION("""COMPUTED_VALUE"""),"")</f>
        <v/>
      </c>
      <c r="K3185" s="42" t="str">
        <f>IFERROR(__xludf.DUMMYFUNCTION("""COMPUTED_VALUE"""),"Hospital Universitario de Carac")</f>
        <v>Hospital Universitario de Carac</v>
      </c>
    </row>
    <row r="3186">
      <c r="A3186" s="44">
        <v>3185.0</v>
      </c>
      <c r="B3186" s="44" t="str">
        <f>IFERROR(__xludf.DUMMYFUNCTION("""COMPUTED_VALUE"""),"Hospital Domingo Luciani")</f>
        <v>Hospital Domingo Luciani</v>
      </c>
      <c r="C3186" s="45" t="str">
        <f>IFERROR(__xludf.DUMMYFUNCTION("""COMPUTED_VALUE"""),"Ricardo Barrera")</f>
        <v>Ricardo Barrera</v>
      </c>
      <c r="D3186" s="44">
        <f>IFERROR(__xludf.DUMMYFUNCTION("""COMPUTED_VALUE"""),41.0)</f>
        <v>41</v>
      </c>
      <c r="E3186" s="44" t="str">
        <f>IFERROR(__xludf.DUMMYFUNCTION("""COMPUTED_VALUE"""),"")</f>
        <v/>
      </c>
      <c r="F3186" s="44" t="str">
        <f>IFERROR(__xludf.DUMMYFUNCTION("""COMPUTED_VALUE"""),"")</f>
        <v/>
      </c>
      <c r="G3186" s="44"/>
      <c r="H3186" s="44"/>
      <c r="I3186" s="44"/>
      <c r="J3186" s="44" t="str">
        <f>IFERROR(__xludf.DUMMYFUNCTION("""COMPUTED_VALUE"""),"")</f>
        <v/>
      </c>
      <c r="K3186" s="42" t="str">
        <f>IFERROR(__xludf.DUMMYFUNCTION("""COMPUTED_VALUE"""),"Hospital Domingo Luciani")</f>
        <v>Hospital Domingo Luciani</v>
      </c>
    </row>
    <row r="3187">
      <c r="A3187" s="44">
        <v>3186.0</v>
      </c>
      <c r="B3187" s="44" t="str">
        <f>IFERROR(__xludf.DUMMYFUNCTION("""COMPUTED_VALUE"""),"Hospital Domingo Luciani")</f>
        <v>Hospital Domingo Luciani</v>
      </c>
      <c r="C3187" s="45" t="str">
        <f>IFERROR(__xludf.DUMMYFUNCTION("""COMPUTED_VALUE"""),"RICARDO BARRETO")</f>
        <v>RICARDO BARRETO</v>
      </c>
      <c r="D3187" s="44" t="str">
        <f>IFERROR(__xludf.DUMMYFUNCTION("""COMPUTED_VALUE""")," ")</f>
        <v> </v>
      </c>
      <c r="E3187" s="44" t="str">
        <f>IFERROR(__xludf.DUMMYFUNCTION("""COMPUTED_VALUE"""),"")</f>
        <v/>
      </c>
      <c r="F3187" s="44" t="str">
        <f>IFERROR(__xludf.DUMMYFUNCTION("""COMPUTED_VALUE"""),"")</f>
        <v/>
      </c>
      <c r="G3187" s="44" t="str">
        <f>IFERROR(__xludf.DUMMYFUNCTION("""COMPUTED_VALUE""")," ")</f>
        <v> </v>
      </c>
      <c r="H3187" s="44" t="str">
        <f>IFERROR(__xludf.DUMMYFUNCTION("""COMPUTED_VALUE""")," ")</f>
        <v> </v>
      </c>
      <c r="I3187" s="44" t="str">
        <f>IFERROR(__xludf.DUMMYFUNCTION("""COMPUTED_VALUE""")," ")</f>
        <v> </v>
      </c>
      <c r="J3187" s="44" t="str">
        <f>IFERROR(__xludf.DUMMYFUNCTION("""COMPUTED_VALUE"""),"")</f>
        <v/>
      </c>
      <c r="K3187" s="42" t="str">
        <f>IFERROR(__xludf.DUMMYFUNCTION("""COMPUTED_VALUE"""),"🔍 BUSCAR PACIENTES")</f>
        <v>🔍 BUSCAR PACIENTES</v>
      </c>
    </row>
    <row r="3188">
      <c r="A3188" s="44">
        <v>3187.0</v>
      </c>
      <c r="B3188" s="44" t="str">
        <f>IFERROR(__xludf.DUMMYFUNCTION("""COMPUTED_VALUE"""),"Campo de Golf Playa los Cocos")</f>
        <v>Campo de Golf Playa los Cocos</v>
      </c>
      <c r="C3188" s="45" t="str">
        <f>IFERROR(__xludf.DUMMYFUNCTION("""COMPUTED_VALUE"""),"Richard Gonzalez")</f>
        <v>Richard Gonzalez</v>
      </c>
      <c r="D3188" s="44" t="str">
        <f>IFERROR(__xludf.DUMMYFUNCTION("""COMPUTED_VALUE"""),"")</f>
        <v/>
      </c>
      <c r="E3188" s="44" t="str">
        <f>IFERROR(__xludf.DUMMYFUNCTION("""COMPUTED_VALUE"""),"")</f>
        <v/>
      </c>
      <c r="F3188" s="44" t="str">
        <f>IFERROR(__xludf.DUMMYFUNCTION("""COMPUTED_VALUE"""),"")</f>
        <v/>
      </c>
      <c r="G3188" s="44" t="str">
        <f>IFERROR(__xludf.DUMMYFUNCTION("""COMPUTED_VALUE"""),"")</f>
        <v/>
      </c>
      <c r="H3188" s="44" t="str">
        <f>IFERROR(__xludf.DUMMYFUNCTION("""COMPUTED_VALUE"""),"")</f>
        <v/>
      </c>
      <c r="I3188" s="44"/>
      <c r="J3188" s="44" t="str">
        <f>IFERROR(__xludf.DUMMYFUNCTION("""COMPUTED_VALUE"""),"")</f>
        <v/>
      </c>
      <c r="K3188" s="42" t="str">
        <f>IFERROR(__xludf.DUMMYFUNCTION("""COMPUTED_VALUE"""),"Campo de Golf Playa los Cocos")</f>
        <v>Campo de Golf Playa los Cocos</v>
      </c>
    </row>
    <row r="3189">
      <c r="A3189" s="44">
        <v>3188.0</v>
      </c>
      <c r="B3189" s="44" t="str">
        <f>IFERROR(__xludf.DUMMYFUNCTION("""COMPUTED_VALUE"""),"H. Jose Maria Vargas LG")</f>
        <v>H. Jose Maria Vargas LG</v>
      </c>
      <c r="C3189" s="45" t="str">
        <f>IFERROR(__xludf.DUMMYFUNCTION("""COMPUTED_VALUE"""),"RICKAC MALAVE")</f>
        <v>RICKAC MALAVE</v>
      </c>
      <c r="D3189" s="44" t="str">
        <f>IFERROR(__xludf.DUMMYFUNCTION("""COMPUTED_VALUE""")," ")</f>
        <v> </v>
      </c>
      <c r="E3189" s="44" t="str">
        <f>IFERROR(__xludf.DUMMYFUNCTION("""COMPUTED_VALUE"""),"")</f>
        <v/>
      </c>
      <c r="F3189" s="44" t="str">
        <f>IFERROR(__xludf.DUMMYFUNCTION("""COMPUTED_VALUE"""),"")</f>
        <v/>
      </c>
      <c r="G3189" s="44" t="str">
        <f>IFERROR(__xludf.DUMMYFUNCTION("""COMPUTED_VALUE""")," ")</f>
        <v> </v>
      </c>
      <c r="H3189" s="44" t="str">
        <f>IFERROR(__xludf.DUMMYFUNCTION("""COMPUTED_VALUE""")," ")</f>
        <v> </v>
      </c>
      <c r="I3189" s="44" t="str">
        <f>IFERROR(__xludf.DUMMYFUNCTION("""COMPUTED_VALUE""")," ")</f>
        <v> </v>
      </c>
      <c r="J3189" s="44" t="str">
        <f>IFERROR(__xludf.DUMMYFUNCTION("""COMPUTED_VALUE"""),"")</f>
        <v/>
      </c>
      <c r="K3189" s="42" t="str">
        <f>IFERROR(__xludf.DUMMYFUNCTION("""COMPUTED_VALUE"""),"H. Jose Maria Vargas LG")</f>
        <v>H. Jose Maria Vargas LG</v>
      </c>
    </row>
    <row r="3190">
      <c r="A3190" s="44">
        <v>3189.0</v>
      </c>
      <c r="B3190" s="44" t="str">
        <f>IFERROR(__xludf.DUMMYFUNCTION("""COMPUTED_VALUE"""),"Hospital Vargas de Caracas")</f>
        <v>Hospital Vargas de Caracas</v>
      </c>
      <c r="C3190" s="45" t="str">
        <f>IFERROR(__xludf.DUMMYFUNCTION("""COMPUTED_VALUE"""),"RICO GUSTAVO ANIBAL")</f>
        <v>RICO GUSTAVO ANIBAL</v>
      </c>
      <c r="D3190" s="44" t="str">
        <f>IFERROR(__xludf.DUMMYFUNCTION("""COMPUTED_VALUE""")," ")</f>
        <v> </v>
      </c>
      <c r="E3190" s="44" t="str">
        <f>IFERROR(__xludf.DUMMYFUNCTION("""COMPUTED_VALUE"""),"")</f>
        <v/>
      </c>
      <c r="F3190" s="44" t="str">
        <f>IFERROR(__xludf.DUMMYFUNCTION("""COMPUTED_VALUE""")," ")</f>
        <v> </v>
      </c>
      <c r="G3190" s="44" t="str">
        <f>IFERROR(__xludf.DUMMYFUNCTION("""COMPUTED_VALUE"""),"")</f>
        <v/>
      </c>
      <c r="H3190" s="44" t="str">
        <f>IFERROR(__xludf.DUMMYFUNCTION("""COMPUTED_VALUE"""),"Guaira")</f>
        <v>Guaira</v>
      </c>
      <c r="I3190" s="44" t="str">
        <f>IFERROR(__xludf.DUMMYFUNCTION("""COMPUTED_VALUE"""),"Golipani")</f>
        <v>Golipani</v>
      </c>
      <c r="J3190" s="44" t="str">
        <f>IFERROR(__xludf.DUMMYFUNCTION("""COMPUTED_VALUE"""),"")</f>
        <v/>
      </c>
      <c r="K3190" s="42" t="str">
        <f>IFERROR(__xludf.DUMMYFUNCTION("""COMPUTED_VALUE"""),"Hospital Vargas de Caracas")</f>
        <v>Hospital Vargas de Caracas</v>
      </c>
    </row>
    <row r="3191">
      <c r="A3191" s="44">
        <v>3190.0</v>
      </c>
      <c r="B3191" s="44" t="str">
        <f>IFERROR(__xludf.DUMMYFUNCTION("""COMPUTED_VALUE"""),"Hospital Pérez Carreño")</f>
        <v>Hospital Pérez Carreño</v>
      </c>
      <c r="C3191" s="45" t="str">
        <f>IFERROR(__xludf.DUMMYFUNCTION("""COMPUTED_VALUE"""),"Riego Enrique")</f>
        <v>Riego Enrique</v>
      </c>
      <c r="D3191" s="44"/>
      <c r="E3191" s="44" t="str">
        <f>IFERROR(__xludf.DUMMYFUNCTION("""COMPUTED_VALUE"""),"")</f>
        <v/>
      </c>
      <c r="F3191" s="44" t="str">
        <f>IFERROR(__xludf.DUMMYFUNCTION("""COMPUTED_VALUE"""),"")</f>
        <v/>
      </c>
      <c r="G3191" s="44" t="str">
        <f>IFERROR(__xludf.DUMMYFUNCTION("""COMPUTED_VALUE"""),"Traslados con destino asignado")</f>
        <v>Traslados con destino asignado</v>
      </c>
      <c r="H3191" s="44" t="str">
        <f>IFERROR(__xludf.DUMMYFUNCTION("""COMPUTED_VALUE"""),"Hospital Miguel Perez Carreño")</f>
        <v>Hospital Miguel Perez Carreño</v>
      </c>
      <c r="I3191" s="44"/>
      <c r="J3191" s="44" t="str">
        <f>IFERROR(__xludf.DUMMYFUNCTION("""COMPUTED_VALUE"""),"26/6/26")</f>
        <v>26/6/26</v>
      </c>
      <c r="K3191" s="42" t="str">
        <f>IFERROR(__xludf.DUMMYFUNCTION("""COMPUTED_VALUE"""),"Hospital Pérez Carreño")</f>
        <v>Hospital Pérez Carreño</v>
      </c>
    </row>
    <row r="3192">
      <c r="A3192" s="44">
        <v>3191.0</v>
      </c>
      <c r="B3192" s="44" t="str">
        <f>IFERROR(__xludf.DUMMYFUNCTION("""COMPUTED_VALUE"""),"Hospital Pérez Carreño")</f>
        <v>Hospital Pérez Carreño</v>
      </c>
      <c r="C3192" s="45" t="str">
        <f>IFERROR(__xludf.DUMMYFUNCTION("""COMPUTED_VALUE"""),"Riego Yenires")</f>
        <v>Riego Yenires</v>
      </c>
      <c r="D3192" s="44"/>
      <c r="E3192" s="44" t="str">
        <f>IFERROR(__xludf.DUMMYFUNCTION("""COMPUTED_VALUE"""),"")</f>
        <v/>
      </c>
      <c r="F3192" s="44" t="str">
        <f>IFERROR(__xludf.DUMMYFUNCTION("""COMPUTED_VALUE"""),"")</f>
        <v/>
      </c>
      <c r="G3192" s="44" t="str">
        <f>IFERROR(__xludf.DUMMYFUNCTION("""COMPUTED_VALUE"""),"Traslados con destino asignado")</f>
        <v>Traslados con destino asignado</v>
      </c>
      <c r="H3192" s="44" t="str">
        <f>IFERROR(__xludf.DUMMYFUNCTION("""COMPUTED_VALUE"""),"Hospital Miguel Perez Carreño")</f>
        <v>Hospital Miguel Perez Carreño</v>
      </c>
      <c r="I3192" s="44"/>
      <c r="J3192" s="44" t="str">
        <f>IFERROR(__xludf.DUMMYFUNCTION("""COMPUTED_VALUE"""),"26/6/26")</f>
        <v>26/6/26</v>
      </c>
      <c r="K3192" s="42" t="str">
        <f>IFERROR(__xludf.DUMMYFUNCTION("""COMPUTED_VALUE"""),"Hospital Pérez Carreño")</f>
        <v>Hospital Pérez Carreño</v>
      </c>
    </row>
    <row r="3193">
      <c r="A3193" s="44">
        <v>3192.0</v>
      </c>
      <c r="B3193" s="44" t="str">
        <f>IFERROR(__xludf.DUMMYFUNCTION("""COMPUTED_VALUE"""),"Hospital Vargas de Caracas")</f>
        <v>Hospital Vargas de Caracas</v>
      </c>
      <c r="C3193" s="45" t="str">
        <f>IFERROR(__xludf.DUMMYFUNCTION("""COMPUTED_VALUE"""),"RIERA CARLOS LUIS")</f>
        <v>RIERA CARLOS LUIS</v>
      </c>
      <c r="D3193" s="44" t="str">
        <f>IFERROR(__xludf.DUMMYFUNCTION("""COMPUTED_VALUE""")," ")</f>
        <v> </v>
      </c>
      <c r="E3193" s="44" t="str">
        <f>IFERROR(__xludf.DUMMYFUNCTION("""COMPUTED_VALUE"""),"")</f>
        <v/>
      </c>
      <c r="F3193" s="44" t="str">
        <f>IFERROR(__xludf.DUMMYFUNCTION("""COMPUTED_VALUE""")," ")</f>
        <v> </v>
      </c>
      <c r="G3193" s="44" t="str">
        <f>IFERROR(__xludf.DUMMYFUNCTION("""COMPUTED_VALUE"""),"")</f>
        <v/>
      </c>
      <c r="H3193" s="44" t="str">
        <f>IFERROR(__xludf.DUMMYFUNCTION("""COMPUTED_VALUE""")," ")</f>
        <v> </v>
      </c>
      <c r="I3193" s="44" t="str">
        <f>IFERROR(__xludf.DUMMYFUNCTION("""COMPUTED_VALUE""")," ")</f>
        <v> </v>
      </c>
      <c r="J3193" s="44" t="str">
        <f>IFERROR(__xludf.DUMMYFUNCTION("""COMPUTED_VALUE"""),"")</f>
        <v/>
      </c>
      <c r="K3193" s="42" t="str">
        <f>IFERROR(__xludf.DUMMYFUNCTION("""COMPUTED_VALUE"""),"Hospital Vargas de Caracas")</f>
        <v>Hospital Vargas de Caracas</v>
      </c>
    </row>
    <row r="3194">
      <c r="A3194" s="44">
        <v>3193.0</v>
      </c>
      <c r="B3194" s="44" t="str">
        <f>IFERROR(__xludf.DUMMYFUNCTION("""COMPUTED_VALUE"""),"H. Jose Maria Vargas LG")</f>
        <v>H. Jose Maria Vargas LG</v>
      </c>
      <c r="C3194" s="45" t="str">
        <f>IFERROR(__xludf.DUMMYFUNCTION("""COMPUTED_VALUE"""),"RINCON GUSTAVO")</f>
        <v>RINCON GUSTAVO</v>
      </c>
      <c r="D3194" s="44" t="str">
        <f>IFERROR(__xludf.DUMMYFUNCTION("""COMPUTED_VALUE""")," ")</f>
        <v> </v>
      </c>
      <c r="E3194" s="44" t="str">
        <f>IFERROR(__xludf.DUMMYFUNCTION("""COMPUTED_VALUE"""),"")</f>
        <v/>
      </c>
      <c r="F3194" s="44" t="str">
        <f>IFERROR(__xludf.DUMMYFUNCTION("""COMPUTED_VALUE"""),"")</f>
        <v/>
      </c>
      <c r="G3194" s="44" t="str">
        <f>IFERROR(__xludf.DUMMYFUNCTION("""COMPUTED_VALUE""")," ")</f>
        <v> </v>
      </c>
      <c r="H3194" s="44" t="str">
        <f>IFERROR(__xludf.DUMMYFUNCTION("""COMPUTED_VALUE""")," ")</f>
        <v> </v>
      </c>
      <c r="I3194" s="44" t="str">
        <f>IFERROR(__xludf.DUMMYFUNCTION("""COMPUTED_VALUE""")," ")</f>
        <v> </v>
      </c>
      <c r="J3194" s="44" t="str">
        <f>IFERROR(__xludf.DUMMYFUNCTION("""COMPUTED_VALUE"""),"")</f>
        <v/>
      </c>
      <c r="K3194" s="42" t="str">
        <f>IFERROR(__xludf.DUMMYFUNCTION("""COMPUTED_VALUE"""),"H. Jose Maria Vargas LG")</f>
        <v>H. Jose Maria Vargas LG</v>
      </c>
    </row>
    <row r="3195">
      <c r="A3195" s="44">
        <v>3194.0</v>
      </c>
      <c r="B3195" s="44" t="str">
        <f>IFERROR(__xludf.DUMMYFUNCTION("""COMPUTED_VALUE"""),"Hospital Pérez Carreño")</f>
        <v>Hospital Pérez Carreño</v>
      </c>
      <c r="C3195" s="45" t="str">
        <f>IFERROR(__xludf.DUMMYFUNCTION("""COMPUTED_VALUE"""),"Riniguez Yorinef")</f>
        <v>Riniguez Yorinef</v>
      </c>
      <c r="D3195" s="44"/>
      <c r="E3195" s="44" t="str">
        <f>IFERROR(__xludf.DUMMYFUNCTION("""COMPUTED_VALUE"""),"")</f>
        <v/>
      </c>
      <c r="F3195" s="44" t="str">
        <f>IFERROR(__xludf.DUMMYFUNCTION("""COMPUTED_VALUE"""),"")</f>
        <v/>
      </c>
      <c r="G3195" s="44" t="str">
        <f>IFERROR(__xludf.DUMMYFUNCTION("""COMPUTED_VALUE"""),"Traslados con destino asignado")</f>
        <v>Traslados con destino asignado</v>
      </c>
      <c r="H3195" s="44" t="str">
        <f>IFERROR(__xludf.DUMMYFUNCTION("""COMPUTED_VALUE"""),"Hospital Miguel Perez Carreño")</f>
        <v>Hospital Miguel Perez Carreño</v>
      </c>
      <c r="I3195" s="44"/>
      <c r="J3195" s="44" t="str">
        <f>IFERROR(__xludf.DUMMYFUNCTION("""COMPUTED_VALUE"""),"26/6/26")</f>
        <v>26/6/26</v>
      </c>
      <c r="K3195" s="42" t="str">
        <f>IFERROR(__xludf.DUMMYFUNCTION("""COMPUTED_VALUE"""),"Hospital Pérez Carreño")</f>
        <v>Hospital Pérez Carreño</v>
      </c>
    </row>
    <row r="3196">
      <c r="A3196" s="44">
        <v>3195.0</v>
      </c>
      <c r="B3196" s="44" t="str">
        <f>IFERROR(__xludf.DUMMYFUNCTION("""COMPUTED_VALUE"""),"H. Jose Maria Vargas LG")</f>
        <v>H. Jose Maria Vargas LG</v>
      </c>
      <c r="C3196" s="45" t="str">
        <f>IFERROR(__xludf.DUMMYFUNCTION("""COMPUTED_VALUE"""),"RIVAS FABIAN")</f>
        <v>RIVAS FABIAN</v>
      </c>
      <c r="D3196" s="44" t="str">
        <f>IFERROR(__xludf.DUMMYFUNCTION("""COMPUTED_VALUE""")," ")</f>
        <v> </v>
      </c>
      <c r="E3196" s="44" t="str">
        <f>IFERROR(__xludf.DUMMYFUNCTION("""COMPUTED_VALUE"""),"")</f>
        <v/>
      </c>
      <c r="F3196" s="44" t="str">
        <f>IFERROR(__xludf.DUMMYFUNCTION("""COMPUTED_VALUE"""),"")</f>
        <v/>
      </c>
      <c r="G3196" s="44" t="str">
        <f>IFERROR(__xludf.DUMMYFUNCTION("""COMPUTED_VALUE""")," ")</f>
        <v> </v>
      </c>
      <c r="H3196" s="44" t="str">
        <f>IFERROR(__xludf.DUMMYFUNCTION("""COMPUTED_VALUE""")," ")</f>
        <v> </v>
      </c>
      <c r="I3196" s="44" t="str">
        <f>IFERROR(__xludf.DUMMYFUNCTION("""COMPUTED_VALUE""")," ")</f>
        <v> </v>
      </c>
      <c r="J3196" s="44" t="str">
        <f>IFERROR(__xludf.DUMMYFUNCTION("""COMPUTED_VALUE"""),"")</f>
        <v/>
      </c>
      <c r="K3196" s="42" t="str">
        <f>IFERROR(__xludf.DUMMYFUNCTION("""COMPUTED_VALUE"""),"H. Jose Maria Vargas LG")</f>
        <v>H. Jose Maria Vargas LG</v>
      </c>
    </row>
    <row r="3197">
      <c r="A3197" s="44">
        <v>3196.0</v>
      </c>
      <c r="B3197" s="44" t="str">
        <f>IFERROR(__xludf.DUMMYFUNCTION("""COMPUTED_VALUE"""),"Hospital Domingo Luciani")</f>
        <v>Hospital Domingo Luciani</v>
      </c>
      <c r="C3197" s="45" t="str">
        <f>IFERROR(__xludf.DUMMYFUNCTION("""COMPUTED_VALUE"""),"RIVAS FABINA")</f>
        <v>RIVAS FABINA</v>
      </c>
      <c r="D3197" s="44">
        <f>IFERROR(__xludf.DUMMYFUNCTION("""COMPUTED_VALUE"""),23.0)</f>
        <v>23</v>
      </c>
      <c r="E3197" s="44" t="str">
        <f>IFERROR(__xludf.DUMMYFUNCTION("""COMPUTED_VALUE"""),"")</f>
        <v/>
      </c>
      <c r="F3197" s="44" t="str">
        <f>IFERROR(__xludf.DUMMYFUNCTION("""COMPUTED_VALUE"""),"")</f>
        <v/>
      </c>
      <c r="G3197" s="44" t="str">
        <f>IFERROR(__xludf.DUMMYFUNCTION("""COMPUTED_VALUE""")," ")</f>
        <v> </v>
      </c>
      <c r="H3197" s="44" t="str">
        <f>IFERROR(__xludf.DUMMYFUNCTION("""COMPUTED_VALUE""")," ")</f>
        <v> </v>
      </c>
      <c r="I3197" s="44" t="str">
        <f>IFERROR(__xludf.DUMMYFUNCTION("""COMPUTED_VALUE"""),"  | Trauma")</f>
        <v>  | Trauma</v>
      </c>
      <c r="J3197" s="44" t="str">
        <f>IFERROR(__xludf.DUMMYFUNCTION("""COMPUTED_VALUE"""),"")</f>
        <v/>
      </c>
      <c r="K3197" s="42" t="str">
        <f>IFERROR(__xludf.DUMMYFUNCTION("""COMPUTED_VALUE"""),"🔍 BUSCAR PACIENTES")</f>
        <v>🔍 BUSCAR PACIENTES</v>
      </c>
    </row>
    <row r="3198">
      <c r="A3198" s="44">
        <v>3197.0</v>
      </c>
      <c r="B3198" s="44" t="str">
        <f>IFERROR(__xludf.DUMMYFUNCTION("""COMPUTED_VALUE"""),"Hospital Domingo Luciani")</f>
        <v>Hospital Domingo Luciani</v>
      </c>
      <c r="C3198" s="45" t="str">
        <f>IFERROR(__xludf.DUMMYFUNCTION("""COMPUTED_VALUE"""),"RIVAS FRANCIS")</f>
        <v>RIVAS FRANCIS</v>
      </c>
      <c r="D3198" s="44" t="str">
        <f>IFERROR(__xludf.DUMMYFUNCTION("""COMPUTED_VALUE""")," ")</f>
        <v> </v>
      </c>
      <c r="E3198" s="44" t="str">
        <f>IFERROR(__xludf.DUMMYFUNCTION("""COMPUTED_VALUE"""),"")</f>
        <v/>
      </c>
      <c r="F3198" s="44" t="str">
        <f>IFERROR(__xludf.DUMMYFUNCTION("""COMPUTED_VALUE"""),"")</f>
        <v/>
      </c>
      <c r="G3198" s="44" t="str">
        <f>IFERROR(__xludf.DUMMYFUNCTION("""COMPUTED_VALUE""")," ")</f>
        <v> </v>
      </c>
      <c r="H3198" s="44" t="str">
        <f>IFERROR(__xludf.DUMMYFUNCTION("""COMPUTED_VALUE""")," ")</f>
        <v> </v>
      </c>
      <c r="I3198" s="44" t="str">
        <f>IFERROR(__xludf.DUMMYFUNCTION("""COMPUTED_VALUE""")," ")</f>
        <v> </v>
      </c>
      <c r="J3198" s="44" t="str">
        <f>IFERROR(__xludf.DUMMYFUNCTION("""COMPUTED_VALUE"""),"")</f>
        <v/>
      </c>
      <c r="K3198" s="42" t="str">
        <f>IFERROR(__xludf.DUMMYFUNCTION("""COMPUTED_VALUE"""),"🔍 BUSCAR PACIENTES")</f>
        <v>🔍 BUSCAR PACIENTES</v>
      </c>
    </row>
    <row r="3199">
      <c r="A3199" s="44">
        <v>3198.0</v>
      </c>
      <c r="B3199" s="44" t="str">
        <f>IFERROR(__xludf.DUMMYFUNCTION("""COMPUTED_VALUE"""),"Hospital Domingo Luciani")</f>
        <v>Hospital Domingo Luciani</v>
      </c>
      <c r="C3199" s="45" t="str">
        <f>IFERROR(__xludf.DUMMYFUNCTION("""COMPUTED_VALUE"""),"RIVAS FRANKENIL")</f>
        <v>RIVAS FRANKENIL</v>
      </c>
      <c r="D3199" s="44">
        <f>IFERROR(__xludf.DUMMYFUNCTION("""COMPUTED_VALUE"""),53.0)</f>
        <v>53</v>
      </c>
      <c r="E3199" s="44" t="str">
        <f>IFERROR(__xludf.DUMMYFUNCTION("""COMPUTED_VALUE"""),"")</f>
        <v/>
      </c>
      <c r="F3199" s="44" t="str">
        <f>IFERROR(__xludf.DUMMYFUNCTION("""COMPUTED_VALUE"""),"")</f>
        <v/>
      </c>
      <c r="G3199" s="44" t="str">
        <f>IFERROR(__xludf.DUMMYFUNCTION("""COMPUTED_VALUE""")," ")</f>
        <v> </v>
      </c>
      <c r="H3199" s="44" t="str">
        <f>IFERROR(__xludf.DUMMYFUNCTION("""COMPUTED_VALUE""")," ")</f>
        <v> </v>
      </c>
      <c r="I3199" s="44" t="str">
        <f>IFERROR(__xludf.DUMMYFUNCTION("""COMPUTED_VALUE""")," ")</f>
        <v> </v>
      </c>
      <c r="J3199" s="44" t="str">
        <f>IFERROR(__xludf.DUMMYFUNCTION("""COMPUTED_VALUE"""),"")</f>
        <v/>
      </c>
      <c r="K3199" s="42" t="str">
        <f>IFERROR(__xludf.DUMMYFUNCTION("""COMPUTED_VALUE"""),"🔍 BUSCAR PACIENTES")</f>
        <v>🔍 BUSCAR PACIENTES</v>
      </c>
    </row>
    <row r="3200">
      <c r="A3200" s="44">
        <v>3199.0</v>
      </c>
      <c r="B3200" s="44" t="str">
        <f>IFERROR(__xludf.DUMMYFUNCTION("""COMPUTED_VALUE"""),"H. Jose Maria Vargas LG")</f>
        <v>H. Jose Maria Vargas LG</v>
      </c>
      <c r="C3200" s="45" t="str">
        <f>IFERROR(__xludf.DUMMYFUNCTION("""COMPUTED_VALUE"""),"RIVAS FRANMY")</f>
        <v>RIVAS FRANMY</v>
      </c>
      <c r="D3200" s="44" t="str">
        <f>IFERROR(__xludf.DUMMYFUNCTION("""COMPUTED_VALUE""")," ")</f>
        <v> </v>
      </c>
      <c r="E3200" s="44" t="str">
        <f>IFERROR(__xludf.DUMMYFUNCTION("""COMPUTED_VALUE"""),"")</f>
        <v/>
      </c>
      <c r="F3200" s="44" t="str">
        <f>IFERROR(__xludf.DUMMYFUNCTION("""COMPUTED_VALUE"""),"")</f>
        <v/>
      </c>
      <c r="G3200" s="44" t="str">
        <f>IFERROR(__xludf.DUMMYFUNCTION("""COMPUTED_VALUE""")," ")</f>
        <v> </v>
      </c>
      <c r="H3200" s="44" t="str">
        <f>IFERROR(__xludf.DUMMYFUNCTION("""COMPUTED_VALUE""")," ")</f>
        <v> </v>
      </c>
      <c r="I3200" s="44" t="str">
        <f>IFERROR(__xludf.DUMMYFUNCTION("""COMPUTED_VALUE""")," ")</f>
        <v> </v>
      </c>
      <c r="J3200" s="44" t="str">
        <f>IFERROR(__xludf.DUMMYFUNCTION("""COMPUTED_VALUE"""),"")</f>
        <v/>
      </c>
      <c r="K3200" s="42" t="str">
        <f>IFERROR(__xludf.DUMMYFUNCTION("""COMPUTED_VALUE"""),"H. Jose Maria Vargas LG")</f>
        <v>H. Jose Maria Vargas LG</v>
      </c>
    </row>
    <row r="3201">
      <c r="A3201" s="44">
        <v>3200.0</v>
      </c>
      <c r="B3201" s="44" t="str">
        <f>IFERROR(__xludf.DUMMYFUNCTION("""COMPUTED_VALUE"""),"Hospital Domingo Luciani")</f>
        <v>Hospital Domingo Luciani</v>
      </c>
      <c r="C3201" s="45" t="str">
        <f>IFERROR(__xludf.DUMMYFUNCTION("""COMPUTED_VALUE"""),"RIVAS JOSE")</f>
        <v>RIVAS JOSE</v>
      </c>
      <c r="D3201" s="44">
        <f>IFERROR(__xludf.DUMMYFUNCTION("""COMPUTED_VALUE"""),53.0)</f>
        <v>53</v>
      </c>
      <c r="E3201" s="44" t="str">
        <f>IFERROR(__xludf.DUMMYFUNCTION("""COMPUTED_VALUE"""),"")</f>
        <v/>
      </c>
      <c r="F3201" s="44" t="str">
        <f>IFERROR(__xludf.DUMMYFUNCTION("""COMPUTED_VALUE"""),"")</f>
        <v/>
      </c>
      <c r="G3201" s="44" t="str">
        <f>IFERROR(__xludf.DUMMYFUNCTION("""COMPUTED_VALUE""")," ")</f>
        <v> </v>
      </c>
      <c r="H3201" s="44" t="str">
        <f>IFERROR(__xludf.DUMMYFUNCTION("""COMPUTED_VALUE""")," ")</f>
        <v> </v>
      </c>
      <c r="I3201" s="44" t="str">
        <f>IFERROR(__xludf.DUMMYFUNCTION("""COMPUTED_VALUE"""),"La Guaira – Ingresos 9am")</f>
        <v>La Guaira – Ingresos 9am</v>
      </c>
      <c r="J3201" s="44" t="str">
        <f>IFERROR(__xludf.DUMMYFUNCTION("""COMPUTED_VALUE"""),"")</f>
        <v/>
      </c>
      <c r="K3201" s="42" t="str">
        <f>IFERROR(__xludf.DUMMYFUNCTION("""COMPUTED_VALUE"""),"🔍 BUSCAR PACIENTES")</f>
        <v>🔍 BUSCAR PACIENTES</v>
      </c>
    </row>
    <row r="3202">
      <c r="A3202" s="44">
        <v>3201.0</v>
      </c>
      <c r="B3202" s="44" t="str">
        <f>IFERROR(__xludf.DUMMYFUNCTION("""COMPUTED_VALUE"""),"Hospital Domingo Luciani")</f>
        <v>Hospital Domingo Luciani</v>
      </c>
      <c r="C3202" s="45" t="str">
        <f>IFERROR(__xludf.DUMMYFUNCTION("""COMPUTED_VALUE"""),"RIVAS LOPEZ FRANCIS")</f>
        <v>RIVAS LOPEZ FRANCIS</v>
      </c>
      <c r="D3202" s="44" t="str">
        <f>IFERROR(__xludf.DUMMYFUNCTION("""COMPUTED_VALUE""")," ")</f>
        <v> </v>
      </c>
      <c r="E3202" s="44" t="str">
        <f>IFERROR(__xludf.DUMMYFUNCTION("""COMPUTED_VALUE"""),"")</f>
        <v/>
      </c>
      <c r="F3202" s="44" t="str">
        <f>IFERROR(__xludf.DUMMYFUNCTION("""COMPUTED_VALUE"""),"")</f>
        <v/>
      </c>
      <c r="G3202" s="44" t="str">
        <f>IFERROR(__xludf.DUMMYFUNCTION("""COMPUTED_VALUE""")," ")</f>
        <v> </v>
      </c>
      <c r="H3202" s="44" t="str">
        <f>IFERROR(__xludf.DUMMYFUNCTION("""COMPUTED_VALUE""")," ")</f>
        <v> </v>
      </c>
      <c r="I3202" s="44" t="str">
        <f>IFERROR(__xludf.DUMMYFUNCTION("""COMPUTED_VALUE"""),"Politrauma")</f>
        <v>Politrauma</v>
      </c>
      <c r="J3202" s="44" t="str">
        <f>IFERROR(__xludf.DUMMYFUNCTION("""COMPUTED_VALUE"""),"")</f>
        <v/>
      </c>
      <c r="K3202" s="42" t="str">
        <f>IFERROR(__xludf.DUMMYFUNCTION("""COMPUTED_VALUE"""),"🔍 BUSCAR PACIENTES")</f>
        <v>🔍 BUSCAR PACIENTES</v>
      </c>
    </row>
    <row r="3203">
      <c r="A3203" s="44">
        <v>3202.0</v>
      </c>
      <c r="B3203" s="44" t="str">
        <f>IFERROR(__xludf.DUMMYFUNCTION("""COMPUTED_VALUE"""),"Periférico de Catia")</f>
        <v>Periférico de Catia</v>
      </c>
      <c r="C3203" s="45" t="str">
        <f>IFERROR(__xludf.DUMMYFUNCTION("""COMPUTED_VALUE"""),"RIVAS MARY")</f>
        <v>RIVAS MARY</v>
      </c>
      <c r="D3203" s="44">
        <f>IFERROR(__xludf.DUMMYFUNCTION("""COMPUTED_VALUE"""),30.0)</f>
        <v>30</v>
      </c>
      <c r="E3203" s="44" t="str">
        <f>IFERROR(__xludf.DUMMYFUNCTION("""COMPUTED_VALUE"""),"")</f>
        <v/>
      </c>
      <c r="F3203" s="44" t="str">
        <f>IFERROR(__xludf.DUMMYFUNCTION("""COMPUTED_VALUE"""),"")</f>
        <v/>
      </c>
      <c r="G3203" s="44" t="str">
        <f>IFERROR(__xludf.DUMMYFUNCTION("""COMPUTED_VALUE""")," ")</f>
        <v> </v>
      </c>
      <c r="H3203" s="44" t="str">
        <f>IFERROR(__xludf.DUMMYFUNCTION("""COMPUTED_VALUE"""),"La Cortada de Calle")</f>
        <v>La Cortada de Calle</v>
      </c>
      <c r="I3203" s="44" t="str">
        <f>IFERROR(__xludf.DUMMYFUNCTION("""COMPUTED_VALUE""")," ")</f>
        <v> </v>
      </c>
      <c r="J3203" s="44" t="str">
        <f>IFERROR(__xludf.DUMMYFUNCTION("""COMPUTED_VALUE"""),"")</f>
        <v/>
      </c>
      <c r="K3203" s="42" t="str">
        <f>IFERROR(__xludf.DUMMYFUNCTION("""COMPUTED_VALUE"""),"Periférico de Catia")</f>
        <v>Periférico de Catia</v>
      </c>
    </row>
    <row r="3204">
      <c r="A3204" s="44">
        <v>3203.0</v>
      </c>
      <c r="B3204" s="44" t="str">
        <f>IFERROR(__xludf.DUMMYFUNCTION("""COMPUTED_VALUE"""),"H. Jose Maria Vargas LG")</f>
        <v>H. Jose Maria Vargas LG</v>
      </c>
      <c r="C3204" s="45" t="str">
        <f>IFERROR(__xludf.DUMMYFUNCTION("""COMPUTED_VALUE"""),"RIVAS RICHARD")</f>
        <v>RIVAS RICHARD</v>
      </c>
      <c r="D3204" s="44" t="str">
        <f>IFERROR(__xludf.DUMMYFUNCTION("""COMPUTED_VALUE""")," ")</f>
        <v> </v>
      </c>
      <c r="E3204" s="44" t="str">
        <f>IFERROR(__xludf.DUMMYFUNCTION("""COMPUTED_VALUE"""),"")</f>
        <v/>
      </c>
      <c r="F3204" s="44" t="str">
        <f>IFERROR(__xludf.DUMMYFUNCTION("""COMPUTED_VALUE"""),"")</f>
        <v/>
      </c>
      <c r="G3204" s="44" t="str">
        <f>IFERROR(__xludf.DUMMYFUNCTION("""COMPUTED_VALUE""")," ")</f>
        <v> </v>
      </c>
      <c r="H3204" s="44" t="str">
        <f>IFERROR(__xludf.DUMMYFUNCTION("""COMPUTED_VALUE""")," ")</f>
        <v> </v>
      </c>
      <c r="I3204" s="44" t="str">
        <f>IFERROR(__xludf.DUMMYFUNCTION("""COMPUTED_VALUE""")," ")</f>
        <v> </v>
      </c>
      <c r="J3204" s="44" t="str">
        <f>IFERROR(__xludf.DUMMYFUNCTION("""COMPUTED_VALUE"""),"")</f>
        <v/>
      </c>
      <c r="K3204" s="42" t="str">
        <f>IFERROR(__xludf.DUMMYFUNCTION("""COMPUTED_VALUE"""),"H. Jose Maria Vargas LG")</f>
        <v>H. Jose Maria Vargas LG</v>
      </c>
    </row>
    <row r="3205">
      <c r="A3205" s="44">
        <v>3204.0</v>
      </c>
      <c r="B3205" s="44" t="str">
        <f>IFERROR(__xludf.DUMMYFUNCTION("""COMPUTED_VALUE"""),"Centro de Acopio Caraballeda")</f>
        <v>Centro de Acopio Caraballeda</v>
      </c>
      <c r="C3205" s="45" t="str">
        <f>IFERROR(__xludf.DUMMYFUNCTION("""COMPUTED_VALUE"""),"RIVAS WILBERT")</f>
        <v>RIVAS WILBERT</v>
      </c>
      <c r="D3205" s="44" t="str">
        <f>IFERROR(__xludf.DUMMYFUNCTION("""COMPUTED_VALUE""")," ")</f>
        <v> </v>
      </c>
      <c r="E3205" s="44" t="str">
        <f>IFERROR(__xludf.DUMMYFUNCTION("""COMPUTED_VALUE"""),"")</f>
        <v/>
      </c>
      <c r="F3205" s="44" t="str">
        <f>IFERROR(__xludf.DUMMYFUNCTION("""COMPUTED_VALUE"""),"")</f>
        <v/>
      </c>
      <c r="G3205" s="44" t="str">
        <f>IFERROR(__xludf.DUMMYFUNCTION("""COMPUTED_VALUE""")," ")</f>
        <v> </v>
      </c>
      <c r="H3205" s="44" t="str">
        <f>IFERROR(__xludf.DUMMYFUNCTION("""COMPUTED_VALUE""")," ")</f>
        <v> </v>
      </c>
      <c r="I3205" s="44" t="str">
        <f>IFERROR(__xludf.DUMMYFUNCTION("""COMPUTED_VALUE"""),"Internado")</f>
        <v>Internado</v>
      </c>
      <c r="J3205" s="44" t="str">
        <f>IFERROR(__xludf.DUMMYFUNCTION("""COMPUTED_VALUE"""),"")</f>
        <v/>
      </c>
      <c r="K3205" s="42" t="str">
        <f>IFERROR(__xludf.DUMMYFUNCTION("""COMPUTED_VALUE"""),"🔍 BUSCAR PACIENTES")</f>
        <v>🔍 BUSCAR PACIENTES</v>
      </c>
    </row>
    <row r="3206">
      <c r="A3206" s="44">
        <v>3205.0</v>
      </c>
      <c r="B3206" s="44" t="str">
        <f>IFERROR(__xludf.DUMMYFUNCTION("""COMPUTED_VALUE"""),"Hospital Domingo Luciani")</f>
        <v>Hospital Domingo Luciani</v>
      </c>
      <c r="C3206" s="45" t="str">
        <f>IFERROR(__xludf.DUMMYFUNCTION("""COMPUTED_VALUE"""),"RIVERO DANIEL")</f>
        <v>RIVERO DANIEL</v>
      </c>
      <c r="D3206" s="44">
        <f>IFERROR(__xludf.DUMMYFUNCTION("""COMPUTED_VALUE"""),60.0)</f>
        <v>60</v>
      </c>
      <c r="E3206" s="44" t="str">
        <f>IFERROR(__xludf.DUMMYFUNCTION("""COMPUTED_VALUE"""),"")</f>
        <v/>
      </c>
      <c r="F3206" s="44" t="str">
        <f>IFERROR(__xludf.DUMMYFUNCTION("""COMPUTED_VALUE"""),"")</f>
        <v/>
      </c>
      <c r="G3206" s="44" t="str">
        <f>IFERROR(__xludf.DUMMYFUNCTION("""COMPUTED_VALUE""")," ")</f>
        <v> </v>
      </c>
      <c r="H3206" s="44" t="str">
        <f>IFERROR(__xludf.DUMMYFUNCTION("""COMPUTED_VALUE""")," ")</f>
        <v> </v>
      </c>
      <c r="I3206" s="44" t="str">
        <f>IFERROR(__xludf.DUMMYFUNCTION("""COMPUTED_VALUE""")," ")</f>
        <v> </v>
      </c>
      <c r="J3206" s="44" t="str">
        <f>IFERROR(__xludf.DUMMYFUNCTION("""COMPUTED_VALUE"""),"")</f>
        <v/>
      </c>
      <c r="K3206" s="42" t="str">
        <f>IFERROR(__xludf.DUMMYFUNCTION("""COMPUTED_VALUE"""),"🔍 BUSCAR PACIENTES")</f>
        <v>🔍 BUSCAR PACIENTES</v>
      </c>
    </row>
    <row r="3207">
      <c r="A3207" s="44">
        <v>3206.0</v>
      </c>
      <c r="B3207" s="44" t="str">
        <f>IFERROR(__xludf.DUMMYFUNCTION("""COMPUTED_VALUE"""),"Hospital Domingo Luciani")</f>
        <v>Hospital Domingo Luciani</v>
      </c>
      <c r="C3207" s="45" t="str">
        <f>IFERROR(__xludf.DUMMYFUNCTION("""COMPUTED_VALUE"""),"RIVERO JOSE")</f>
        <v>RIVERO JOSE</v>
      </c>
      <c r="D3207" s="44">
        <f>IFERROR(__xludf.DUMMYFUNCTION("""COMPUTED_VALUE"""),53.0)</f>
        <v>53</v>
      </c>
      <c r="E3207" s="44" t="str">
        <f>IFERROR(__xludf.DUMMYFUNCTION("""COMPUTED_VALUE"""),"")</f>
        <v/>
      </c>
      <c r="F3207" s="44" t="str">
        <f>IFERROR(__xludf.DUMMYFUNCTION("""COMPUTED_VALUE"""),"")</f>
        <v/>
      </c>
      <c r="G3207" s="44" t="str">
        <f>IFERROR(__xludf.DUMMYFUNCTION("""COMPUTED_VALUE""")," ")</f>
        <v> </v>
      </c>
      <c r="H3207" s="44" t="str">
        <f>IFERROR(__xludf.DUMMYFUNCTION("""COMPUTED_VALUE""")," ")</f>
        <v> </v>
      </c>
      <c r="I3207" s="44" t="str">
        <f>IFERROR(__xludf.DUMMYFUNCTION("""COMPUTED_VALUE"""),"Internado; PISO 4")</f>
        <v>Internado; PISO 4</v>
      </c>
      <c r="J3207" s="44" t="str">
        <f>IFERROR(__xludf.DUMMYFUNCTION("""COMPUTED_VALUE"""),"")</f>
        <v/>
      </c>
      <c r="K3207" s="42" t="str">
        <f>IFERROR(__xludf.DUMMYFUNCTION("""COMPUTED_VALUE"""),"🔍 BUSCAR PACIENTES")</f>
        <v>🔍 BUSCAR PACIENTES</v>
      </c>
    </row>
    <row r="3208">
      <c r="A3208" s="44">
        <v>3207.0</v>
      </c>
      <c r="B3208" s="44" t="str">
        <f>IFERROR(__xludf.DUMMYFUNCTION("""COMPUTED_VALUE"""),"Periférico de Catia")</f>
        <v>Periférico de Catia</v>
      </c>
      <c r="C3208" s="45" t="str">
        <f>IFERROR(__xludf.DUMMYFUNCTION("""COMPUTED_VALUE"""),"Rivol Lopez Fronin")</f>
        <v>Rivol Lopez Fronin</v>
      </c>
      <c r="D3208" s="44"/>
      <c r="E3208" s="44" t="str">
        <f>IFERROR(__xludf.DUMMYFUNCTION("""COMPUTED_VALUE"""),"")</f>
        <v/>
      </c>
      <c r="F3208" s="44" t="str">
        <f>IFERROR(__xludf.DUMMYFUNCTION("""COMPUTED_VALUE"""),"")</f>
        <v/>
      </c>
      <c r="G3208" s="44"/>
      <c r="H3208" s="44"/>
      <c r="I3208" s="44" t="str">
        <f>IFERROR(__xludf.DUMMYFUNCTION("""COMPUTED_VALUE"""),"Politrauma (continuacion, hoja sin edades)")</f>
        <v>Politrauma (continuacion, hoja sin edades)</v>
      </c>
      <c r="J3208" s="44" t="str">
        <f>IFERROR(__xludf.DUMMYFUNCTION("""COMPUTED_VALUE"""),"")</f>
        <v/>
      </c>
      <c r="K3208" s="42" t="str">
        <f>IFERROR(__xludf.DUMMYFUNCTION("""COMPUTED_VALUE"""),"Periférico de Catia")</f>
        <v>Periférico de Catia</v>
      </c>
    </row>
    <row r="3209">
      <c r="A3209" s="44">
        <v>3208.0</v>
      </c>
      <c r="B3209" s="44" t="str">
        <f>IFERROR(__xludf.DUMMYFUNCTION("""COMPUTED_VALUE"""),"Hospital Pérez Carreño")</f>
        <v>Hospital Pérez Carreño</v>
      </c>
      <c r="C3209" s="45" t="str">
        <f>IFERROR(__xludf.DUMMYFUNCTION("""COMPUTED_VALUE"""),"Riz Bello Sanchez")</f>
        <v>Riz Bello Sanchez</v>
      </c>
      <c r="D3209" s="44"/>
      <c r="E3209" s="44" t="str">
        <f>IFERROR(__xludf.DUMMYFUNCTION("""COMPUTED_VALUE"""),"")</f>
        <v/>
      </c>
      <c r="F3209" s="44" t="str">
        <f>IFERROR(__xludf.DUMMYFUNCTION("""COMPUTED_VALUE"""),"")</f>
        <v/>
      </c>
      <c r="G3209" s="44" t="str">
        <f>IFERROR(__xludf.DUMMYFUNCTION("""COMPUTED_VALUE"""),"Traslados con destino asignado")</f>
        <v>Traslados con destino asignado</v>
      </c>
      <c r="H3209" s="44" t="str">
        <f>IFERROR(__xludf.DUMMYFUNCTION("""COMPUTED_VALUE"""),"Hospital Miguel Perez Carreño")</f>
        <v>Hospital Miguel Perez Carreño</v>
      </c>
      <c r="I3209" s="44"/>
      <c r="J3209" s="44" t="str">
        <f>IFERROR(__xludf.DUMMYFUNCTION("""COMPUTED_VALUE"""),"26/6/26")</f>
        <v>26/6/26</v>
      </c>
      <c r="K3209" s="42" t="str">
        <f>IFERROR(__xludf.DUMMYFUNCTION("""COMPUTED_VALUE"""),"Hospital Pérez Carreño")</f>
        <v>Hospital Pérez Carreño</v>
      </c>
    </row>
    <row r="3210">
      <c r="A3210" s="44">
        <v>3209.0</v>
      </c>
      <c r="B3210" s="44" t="str">
        <f>IFERROR(__xludf.DUMMYFUNCTION("""COMPUTED_VALUE"""),"Centro de Acopio Caraballeda")</f>
        <v>Centro de Acopio Caraballeda</v>
      </c>
      <c r="C3210" s="45" t="str">
        <f>IFERROR(__xludf.DUMMYFUNCTION("""COMPUTED_VALUE"""),"ROA CATHERINE")</f>
        <v>ROA CATHERINE</v>
      </c>
      <c r="D3210" s="44" t="str">
        <f>IFERROR(__xludf.DUMMYFUNCTION("""COMPUTED_VALUE""")," ")</f>
        <v> </v>
      </c>
      <c r="E3210" s="44" t="str">
        <f>IFERROR(__xludf.DUMMYFUNCTION("""COMPUTED_VALUE"""),"")</f>
        <v/>
      </c>
      <c r="F3210" s="44" t="str">
        <f>IFERROR(__xludf.DUMMYFUNCTION("""COMPUTED_VALUE"""),"")</f>
        <v/>
      </c>
      <c r="G3210" s="44" t="str">
        <f>IFERROR(__xludf.DUMMYFUNCTION("""COMPUTED_VALUE""")," ")</f>
        <v> </v>
      </c>
      <c r="H3210" s="44" t="str">
        <f>IFERROR(__xludf.DUMMYFUNCTION("""COMPUTED_VALUE""")," ")</f>
        <v> </v>
      </c>
      <c r="I3210" s="44" t="str">
        <f>IFERROR(__xludf.DUMMYFUNCTION("""COMPUTED_VALUE"""),"Internado")</f>
        <v>Internado</v>
      </c>
      <c r="J3210" s="44" t="str">
        <f>IFERROR(__xludf.DUMMYFUNCTION("""COMPUTED_VALUE"""),"")</f>
        <v/>
      </c>
      <c r="K3210" s="42" t="str">
        <f>IFERROR(__xludf.DUMMYFUNCTION("""COMPUTED_VALUE"""),"🔍 BUSCAR PACIENTES")</f>
        <v>🔍 BUSCAR PACIENTES</v>
      </c>
    </row>
    <row r="3211">
      <c r="A3211" s="44">
        <v>3210.0</v>
      </c>
      <c r="B3211" s="44" t="str">
        <f>IFERROR(__xludf.DUMMYFUNCTION("""COMPUTED_VALUE"""),"Hospital Pérez Carreño")</f>
        <v>Hospital Pérez Carreño</v>
      </c>
      <c r="C3211" s="45" t="str">
        <f>IFERROR(__xludf.DUMMYFUNCTION("""COMPUTED_VALUE"""),"Robert Marquez")</f>
        <v>Robert Marquez</v>
      </c>
      <c r="D3211" s="44" t="str">
        <f>IFERROR(__xludf.DUMMYFUNCTION("""COMPUTED_VALUE"""),"21 años")</f>
        <v>21 años</v>
      </c>
      <c r="E3211" s="44" t="str">
        <f>IFERROR(__xludf.DUMMYFUNCTION("""COMPUTED_VALUE"""),"")</f>
        <v/>
      </c>
      <c r="F3211" s="44" t="str">
        <f>IFERROR(__xludf.DUMMYFUNCTION("""COMPUTED_VALUE"""),"")</f>
        <v/>
      </c>
      <c r="G3211" s="44" t="str">
        <f>IFERROR(__xludf.DUMMYFUNCTION("""COMPUTED_VALUE"""),"Traumashock ")</f>
        <v>Traumashock </v>
      </c>
      <c r="H3211" s="44" t="str">
        <f>IFERROR(__xludf.DUMMYFUNCTION("""COMPUTED_VALUE"""),"Hospital Miguel Perez Carreño")</f>
        <v>Hospital Miguel Perez Carreño</v>
      </c>
      <c r="I3211" s="44"/>
      <c r="J3211" s="44" t="str">
        <f>IFERROR(__xludf.DUMMYFUNCTION("""COMPUTED_VALUE"""),"26/6/26")</f>
        <v>26/6/26</v>
      </c>
      <c r="K3211" s="42" t="str">
        <f>IFERROR(__xludf.DUMMYFUNCTION("""COMPUTED_VALUE"""),"Hospital Pérez Carreño")</f>
        <v>Hospital Pérez Carreño</v>
      </c>
    </row>
    <row r="3212">
      <c r="A3212" s="44">
        <v>3211.0</v>
      </c>
      <c r="B3212" s="44" t="str">
        <f>IFERROR(__xludf.DUMMYFUNCTION("""COMPUTED_VALUE"""),"Campo de Golf Playa los Cocos")</f>
        <v>Campo de Golf Playa los Cocos</v>
      </c>
      <c r="C3212" s="45" t="str">
        <f>IFERROR(__xludf.DUMMYFUNCTION("""COMPUTED_VALUE"""),"Robert Rodriguez")</f>
        <v>Robert Rodriguez</v>
      </c>
      <c r="D3212" s="44" t="str">
        <f>IFERROR(__xludf.DUMMYFUNCTION("""COMPUTED_VALUE"""),"")</f>
        <v/>
      </c>
      <c r="E3212" s="44" t="str">
        <f>IFERROR(__xludf.DUMMYFUNCTION("""COMPUTED_VALUE"""),"")</f>
        <v/>
      </c>
      <c r="F3212" s="44" t="str">
        <f>IFERROR(__xludf.DUMMYFUNCTION("""COMPUTED_VALUE"""),"")</f>
        <v/>
      </c>
      <c r="G3212" s="44" t="str">
        <f>IFERROR(__xludf.DUMMYFUNCTION("""COMPUTED_VALUE"""),"")</f>
        <v/>
      </c>
      <c r="H3212" s="44" t="str">
        <f>IFERROR(__xludf.DUMMYFUNCTION("""COMPUTED_VALUE"""),"")</f>
        <v/>
      </c>
      <c r="I3212" s="44"/>
      <c r="J3212" s="44" t="str">
        <f>IFERROR(__xludf.DUMMYFUNCTION("""COMPUTED_VALUE"""),"")</f>
        <v/>
      </c>
      <c r="K3212" s="42" t="str">
        <f>IFERROR(__xludf.DUMMYFUNCTION("""COMPUTED_VALUE"""),"Campo de Golf Playa los Cocos")</f>
        <v>Campo de Golf Playa los Cocos</v>
      </c>
    </row>
    <row r="3213">
      <c r="A3213" s="44">
        <v>3212.0</v>
      </c>
      <c r="B3213" s="44" t="str">
        <f>IFERROR(__xludf.DUMMYFUNCTION("""COMPUTED_VALUE"""),"Periférico de Catia")</f>
        <v>Periférico de Catia</v>
      </c>
      <c r="C3213" s="45" t="str">
        <f>IFERROR(__xludf.DUMMYFUNCTION("""COMPUTED_VALUE"""),"Roda Aleida")</f>
        <v>Roda Aleida</v>
      </c>
      <c r="D3213" s="44">
        <f>IFERROR(__xludf.DUMMYFUNCTION("""COMPUTED_VALUE"""),71.0)</f>
        <v>71</v>
      </c>
      <c r="E3213" s="44" t="str">
        <f>IFERROR(__xludf.DUMMYFUNCTION("""COMPUTED_VALUE"""),"")</f>
        <v/>
      </c>
      <c r="F3213" s="44" t="str">
        <f>IFERROR(__xludf.DUMMYFUNCTION("""COMPUTED_VALUE"""),"")</f>
        <v/>
      </c>
      <c r="G3213" s="44"/>
      <c r="H3213" s="44"/>
      <c r="I3213" s="44" t="str">
        <f>IFERROR(__xludf.DUMMYFUNCTION("""COMPUTED_VALUE"""),"Poli Emerg. Nueva (hoja 'Sandoval Nelly')")</f>
        <v>Poli Emerg. Nueva (hoja 'Sandoval Nelly')</v>
      </c>
      <c r="J3213" s="44" t="str">
        <f>IFERROR(__xludf.DUMMYFUNCTION("""COMPUTED_VALUE"""),"")</f>
        <v/>
      </c>
      <c r="K3213" s="42" t="str">
        <f>IFERROR(__xludf.DUMMYFUNCTION("""COMPUTED_VALUE"""),"Periférico de Catia")</f>
        <v>Periférico de Catia</v>
      </c>
    </row>
    <row r="3214">
      <c r="A3214" s="44">
        <v>3213.0</v>
      </c>
      <c r="B3214" s="44" t="str">
        <f>IFERROR(__xludf.DUMMYFUNCTION("""COMPUTED_VALUE"""),"Hospital Domingo Luciani")</f>
        <v>Hospital Domingo Luciani</v>
      </c>
      <c r="C3214" s="45" t="str">
        <f>IFERROR(__xludf.DUMMYFUNCTION("""COMPUTED_VALUE"""),"RODA HEIDA")</f>
        <v>RODA HEIDA</v>
      </c>
      <c r="D3214" s="44">
        <f>IFERROR(__xludf.DUMMYFUNCTION("""COMPUTED_VALUE"""),71.0)</f>
        <v>71</v>
      </c>
      <c r="E3214" s="44" t="str">
        <f>IFERROR(__xludf.DUMMYFUNCTION("""COMPUTED_VALUE"""),"")</f>
        <v/>
      </c>
      <c r="F3214" s="44" t="str">
        <f>IFERROR(__xludf.DUMMYFUNCTION("""COMPUTED_VALUE"""),"")</f>
        <v/>
      </c>
      <c r="G3214" s="44" t="str">
        <f>IFERROR(__xludf.DUMMYFUNCTION("""COMPUTED_VALUE""")," ")</f>
        <v> </v>
      </c>
      <c r="H3214" s="44" t="str">
        <f>IFERROR(__xludf.DUMMYFUNCTION("""COMPUTED_VALUE""")," ")</f>
        <v> </v>
      </c>
      <c r="I3214" s="44" t="str">
        <f>IFERROR(__xludf.DUMMYFUNCTION("""COMPUTED_VALUE"""),"Internado; POLITRAUMA EMERG NUEVA")</f>
        <v>Internado; POLITRAUMA EMERG NUEVA</v>
      </c>
      <c r="J3214" s="44" t="str">
        <f>IFERROR(__xludf.DUMMYFUNCTION("""COMPUTED_VALUE"""),"")</f>
        <v/>
      </c>
      <c r="K3214" s="42" t="str">
        <f>IFERROR(__xludf.DUMMYFUNCTION("""COMPUTED_VALUE"""),"🔍 BUSCAR PACIENTES")</f>
        <v>🔍 BUSCAR PACIENTES</v>
      </c>
    </row>
    <row r="3215">
      <c r="A3215" s="44">
        <v>3214.0</v>
      </c>
      <c r="B3215" s="44" t="str">
        <f>IFERROR(__xludf.DUMMYFUNCTION("""COMPUTED_VALUE"""),"Hospital Domingo Luciani")</f>
        <v>Hospital Domingo Luciani</v>
      </c>
      <c r="C3215" s="45" t="str">
        <f>IFERROR(__xludf.DUMMYFUNCTION("""COMPUTED_VALUE"""),"RODAS GALICIA")</f>
        <v>RODAS GALICIA</v>
      </c>
      <c r="D3215" s="44">
        <f>IFERROR(__xludf.DUMMYFUNCTION("""COMPUTED_VALUE"""),71.0)</f>
        <v>71</v>
      </c>
      <c r="E3215" s="44" t="str">
        <f>IFERROR(__xludf.DUMMYFUNCTION("""COMPUTED_VALUE"""),"")</f>
        <v/>
      </c>
      <c r="F3215" s="44" t="str">
        <f>IFERROR(__xludf.DUMMYFUNCTION("""COMPUTED_VALUE"""),"")</f>
        <v/>
      </c>
      <c r="G3215" s="44" t="str">
        <f>IFERROR(__xludf.DUMMYFUNCTION("""COMPUTED_VALUE""")," ")</f>
        <v> </v>
      </c>
      <c r="H3215" s="44" t="str">
        <f>IFERROR(__xludf.DUMMYFUNCTION("""COMPUTED_VALUE""")," ")</f>
        <v> </v>
      </c>
      <c r="I3215" s="44" t="str">
        <f>IFERROR(__xludf.DUMMYFUNCTION("""COMPUTED_VALUE"""),"Internado; POLITRAUMA EMERG VIEJA")</f>
        <v>Internado; POLITRAUMA EMERG VIEJA</v>
      </c>
      <c r="J3215" s="44" t="str">
        <f>IFERROR(__xludf.DUMMYFUNCTION("""COMPUTED_VALUE"""),"")</f>
        <v/>
      </c>
      <c r="K3215" s="42" t="str">
        <f>IFERROR(__xludf.DUMMYFUNCTION("""COMPUTED_VALUE"""),"🔍 BUSCAR PACIENTES")</f>
        <v>🔍 BUSCAR PACIENTES</v>
      </c>
    </row>
    <row r="3216">
      <c r="A3216" s="44">
        <v>3215.0</v>
      </c>
      <c r="B3216" s="44" t="str">
        <f>IFERROR(__xludf.DUMMYFUNCTION("""COMPUTED_VALUE"""),"Hospital Domingo Luciani")</f>
        <v>Hospital Domingo Luciani</v>
      </c>
      <c r="C3216" s="45" t="str">
        <f>IFERROR(__xludf.DUMMYFUNCTION("""COMPUTED_VALUE"""),"RODES GALICIA")</f>
        <v>RODES GALICIA</v>
      </c>
      <c r="D3216" s="44" t="str">
        <f>IFERROR(__xludf.DUMMYFUNCTION("""COMPUTED_VALUE""")," ")</f>
        <v> </v>
      </c>
      <c r="E3216" s="44" t="str">
        <f>IFERROR(__xludf.DUMMYFUNCTION("""COMPUTED_VALUE"""),"")</f>
        <v/>
      </c>
      <c r="F3216" s="44" t="str">
        <f>IFERROR(__xludf.DUMMYFUNCTION("""COMPUTED_VALUE"""),"")</f>
        <v/>
      </c>
      <c r="G3216" s="44" t="str">
        <f>IFERROR(__xludf.DUMMYFUNCTION("""COMPUTED_VALUE""")," ")</f>
        <v> </v>
      </c>
      <c r="H3216" s="44" t="str">
        <f>IFERROR(__xludf.DUMMYFUNCTION("""COMPUTED_VALUE""")," ")</f>
        <v> </v>
      </c>
      <c r="I3216" s="44" t="str">
        <f>IFERROR(__xludf.DUMMYFUNCTION("""COMPUTED_VALUE"""),"Internado; Alta")</f>
        <v>Internado; Alta</v>
      </c>
      <c r="J3216" s="44" t="str">
        <f>IFERROR(__xludf.DUMMYFUNCTION("""COMPUTED_VALUE"""),"")</f>
        <v/>
      </c>
      <c r="K3216" s="42" t="str">
        <f>IFERROR(__xludf.DUMMYFUNCTION("""COMPUTED_VALUE"""),"🔍 BUSCAR PACIENTES")</f>
        <v>🔍 BUSCAR PACIENTES</v>
      </c>
    </row>
    <row r="3217">
      <c r="A3217" s="44">
        <v>3216.0</v>
      </c>
      <c r="B3217" s="44" t="str">
        <f>IFERROR(__xludf.DUMMYFUNCTION("""COMPUTED_VALUE"""),"Periférico de Catia")</f>
        <v>Periférico de Catia</v>
      </c>
      <c r="C3217" s="45" t="str">
        <f>IFERROR(__xludf.DUMMYFUNCTION("""COMPUTED_VALUE"""),"Rodni Bompard")</f>
        <v>Rodni Bompard</v>
      </c>
      <c r="D3217" s="44"/>
      <c r="E3217" s="44" t="str">
        <f>IFERROR(__xludf.DUMMYFUNCTION("""COMPUTED_VALUE"""),"")</f>
        <v/>
      </c>
      <c r="F3217" s="44" t="str">
        <f>IFERROR(__xludf.DUMMYFUNCTION("""COMPUTED_VALUE"""),"")</f>
        <v/>
      </c>
      <c r="G3217" s="44"/>
      <c r="H3217" s="44"/>
      <c r="I3217" s="44" t="str">
        <f>IFERROR(__xludf.DUMMYFUNCTION("""COMPUTED_VALUE"""),"Politrauma (pizarra con anotaciones de ubicacion/estudio: Piso, Rx, Triaje, Trauma)")</f>
        <v>Politrauma (pizarra con anotaciones de ubicacion/estudio: Piso, Rx, Triaje, Trauma)</v>
      </c>
      <c r="J3217" s="44" t="str">
        <f>IFERROR(__xludf.DUMMYFUNCTION("""COMPUTED_VALUE"""),"")</f>
        <v/>
      </c>
      <c r="K3217" s="42" t="str">
        <f>IFERROR(__xludf.DUMMYFUNCTION("""COMPUTED_VALUE"""),"Periférico de Catia")</f>
        <v>Periférico de Catia</v>
      </c>
    </row>
    <row r="3218">
      <c r="A3218" s="44">
        <v>3217.0</v>
      </c>
      <c r="B3218" s="44" t="str">
        <f>IFERROR(__xludf.DUMMYFUNCTION("""COMPUTED_VALUE"""),"Hospital Domingo Luciani")</f>
        <v>Hospital Domingo Luciani</v>
      </c>
      <c r="C3218" s="45" t="str">
        <f>IFERROR(__xludf.DUMMYFUNCTION("""COMPUTED_VALUE"""),"RODOSKI PADILLA")</f>
        <v>RODOSKI PADILLA</v>
      </c>
      <c r="D3218" s="44">
        <f>IFERROR(__xludf.DUMMYFUNCTION("""COMPUTED_VALUE"""),52.0)</f>
        <v>52</v>
      </c>
      <c r="E3218" s="44" t="str">
        <f>IFERROR(__xludf.DUMMYFUNCTION("""COMPUTED_VALUE"""),"")</f>
        <v/>
      </c>
      <c r="F3218" s="44" t="str">
        <f>IFERROR(__xludf.DUMMYFUNCTION("""COMPUTED_VALUE"""),"")</f>
        <v/>
      </c>
      <c r="G3218" s="44" t="str">
        <f>IFERROR(__xludf.DUMMYFUNCTION("""COMPUTED_VALUE""")," ")</f>
        <v> </v>
      </c>
      <c r="H3218" s="44" t="str">
        <f>IFERROR(__xludf.DUMMYFUNCTION("""COMPUTED_VALUE""")," ")</f>
        <v> </v>
      </c>
      <c r="I3218" s="44" t="str">
        <f>IFERROR(__xludf.DUMMYFUNCTION("""COMPUTED_VALUE""")," ")</f>
        <v> </v>
      </c>
      <c r="J3218" s="44" t="str">
        <f>IFERROR(__xludf.DUMMYFUNCTION("""COMPUTED_VALUE"""),"")</f>
        <v/>
      </c>
      <c r="K3218" s="42" t="str">
        <f>IFERROR(__xludf.DUMMYFUNCTION("""COMPUTED_VALUE"""),"🔍 BUSCAR PACIENTES")</f>
        <v>🔍 BUSCAR PACIENTES</v>
      </c>
    </row>
    <row r="3219">
      <c r="A3219" s="44">
        <v>3218.0</v>
      </c>
      <c r="B3219" s="44" t="str">
        <f>IFERROR(__xludf.DUMMYFUNCTION("""COMPUTED_VALUE"""),"Hospital Domingo Luciani")</f>
        <v>Hospital Domingo Luciani</v>
      </c>
      <c r="C3219" s="45" t="str">
        <f>IFERROR(__xludf.DUMMYFUNCTION("""COMPUTED_VALUE"""),"Rodri Bompard")</f>
        <v>Rodri Bompard</v>
      </c>
      <c r="D3219" s="44">
        <f>IFERROR(__xludf.DUMMYFUNCTION("""COMPUTED_VALUE"""),0.0)</f>
        <v>0</v>
      </c>
      <c r="E3219" s="44" t="str">
        <f>IFERROR(__xludf.DUMMYFUNCTION("""COMPUTED_VALUE"""),"")</f>
        <v/>
      </c>
      <c r="F3219" s="44" t="str">
        <f>IFERROR(__xludf.DUMMYFUNCTION("""COMPUTED_VALUE"""),"")</f>
        <v/>
      </c>
      <c r="G3219" s="44"/>
      <c r="H3219" s="44"/>
      <c r="I3219" s="44"/>
      <c r="J3219" s="44" t="str">
        <f>IFERROR(__xludf.DUMMYFUNCTION("""COMPUTED_VALUE"""),"")</f>
        <v/>
      </c>
      <c r="K3219" s="42" t="str">
        <f>IFERROR(__xludf.DUMMYFUNCTION("""COMPUTED_VALUE"""),"Hospital Domingo Luciani")</f>
        <v>Hospital Domingo Luciani</v>
      </c>
    </row>
    <row r="3220">
      <c r="A3220" s="44">
        <v>3219.0</v>
      </c>
      <c r="B3220" s="44" t="str">
        <f>IFERROR(__xludf.DUMMYFUNCTION("""COMPUTED_VALUE"""),"Hospital Pérez Carreño")</f>
        <v>Hospital Pérez Carreño</v>
      </c>
      <c r="C3220" s="45" t="str">
        <f>IFERROR(__xludf.DUMMYFUNCTION("""COMPUTED_VALUE"""),"RODRIGO FERNANDEZ")</f>
        <v>RODRIGO FERNANDEZ</v>
      </c>
      <c r="D3220" s="44" t="str">
        <f>IFERROR(__xludf.DUMMYFUNCTION("""COMPUTED_VALUE""")," ")</f>
        <v> </v>
      </c>
      <c r="E3220" s="44" t="str">
        <f>IFERROR(__xludf.DUMMYFUNCTION("""COMPUTED_VALUE"""),"")</f>
        <v/>
      </c>
      <c r="F3220" s="44" t="str">
        <f>IFERROR(__xludf.DUMMYFUNCTION("""COMPUTED_VALUE"""),"")</f>
        <v/>
      </c>
      <c r="G3220" s="44" t="str">
        <f>IFERROR(__xludf.DUMMYFUNCTION("""COMPUTED_VALUE""")," ")</f>
        <v> </v>
      </c>
      <c r="H3220" s="44" t="str">
        <f>IFERROR(__xludf.DUMMYFUNCTION("""COMPUTED_VALUE""")," ")</f>
        <v> </v>
      </c>
      <c r="I3220" s="44" t="str">
        <f>IFERROR(__xludf.DUMMYFUNCTION("""COMPUTED_VALUE""")," ")</f>
        <v> </v>
      </c>
      <c r="J3220" s="44" t="str">
        <f>IFERROR(__xludf.DUMMYFUNCTION("""COMPUTED_VALUE"""),"25/06/2026")</f>
        <v>25/06/2026</v>
      </c>
      <c r="K3220" s="42" t="str">
        <f>IFERROR(__xludf.DUMMYFUNCTION("""COMPUTED_VALUE"""),"Hospital Pérez Carreño")</f>
        <v>Hospital Pérez Carreño</v>
      </c>
    </row>
    <row r="3221">
      <c r="A3221" s="44">
        <v>3220.0</v>
      </c>
      <c r="B3221" s="44" t="str">
        <f>IFERROR(__xludf.DUMMYFUNCTION("""COMPUTED_VALUE"""),"Hospital Pérez Carreño")</f>
        <v>Hospital Pérez Carreño</v>
      </c>
      <c r="C3221" s="45" t="str">
        <f>IFERROR(__xludf.DUMMYFUNCTION("""COMPUTED_VALUE"""),"RODRIGO RODRIGO")</f>
        <v>RODRIGO RODRIGO</v>
      </c>
      <c r="D3221" s="44" t="str">
        <f>IFERROR(__xludf.DUMMYFUNCTION("""COMPUTED_VALUE""")," ")</f>
        <v> </v>
      </c>
      <c r="E3221" s="44" t="str">
        <f>IFERROR(__xludf.DUMMYFUNCTION("""COMPUTED_VALUE"""),"")</f>
        <v/>
      </c>
      <c r="F3221" s="44" t="str">
        <f>IFERROR(__xludf.DUMMYFUNCTION("""COMPUTED_VALUE"""),"")</f>
        <v/>
      </c>
      <c r="G3221" s="44" t="str">
        <f>IFERROR(__xludf.DUMMYFUNCTION("""COMPUTED_VALUE""")," ")</f>
        <v> </v>
      </c>
      <c r="H3221" s="44" t="str">
        <f>IFERROR(__xludf.DUMMYFUNCTION("""COMPUTED_VALUE""")," ")</f>
        <v> </v>
      </c>
      <c r="I3221" s="44" t="str">
        <f>IFERROR(__xludf.DUMMYFUNCTION("""COMPUTED_VALUE"""),"Internado; 4.20 pm")</f>
        <v>Internado; 4.20 pm</v>
      </c>
      <c r="J3221" s="44" t="str">
        <f>IFERROR(__xludf.DUMMYFUNCTION("""COMPUTED_VALUE"""),"")</f>
        <v/>
      </c>
      <c r="K3221" s="42" t="str">
        <f>IFERROR(__xludf.DUMMYFUNCTION("""COMPUTED_VALUE"""),"🔍 BUSCAR PACIENTES")</f>
        <v>🔍 BUSCAR PACIENTES</v>
      </c>
    </row>
    <row r="3222">
      <c r="A3222" s="44">
        <v>3221.0</v>
      </c>
      <c r="B3222" s="44" t="str">
        <f>IFERROR(__xludf.DUMMYFUNCTION("""COMPUTED_VALUE"""),"Hospital Vargas de Caracas")</f>
        <v>Hospital Vargas de Caracas</v>
      </c>
      <c r="C3222" s="45" t="str">
        <f>IFERROR(__xludf.DUMMYFUNCTION("""COMPUTED_VALUE"""),"RODRIGUEZ ANTONIA")</f>
        <v>RODRIGUEZ ANTONIA</v>
      </c>
      <c r="D3222" s="44" t="str">
        <f>IFERROR(__xludf.DUMMYFUNCTION("""COMPUTED_VALUE""")," ")</f>
        <v> </v>
      </c>
      <c r="E3222" s="44" t="str">
        <f>IFERROR(__xludf.DUMMYFUNCTION("""COMPUTED_VALUE"""),"")</f>
        <v/>
      </c>
      <c r="F3222" s="44" t="str">
        <f>IFERROR(__xludf.DUMMYFUNCTION("""COMPUTED_VALUE""")," ")</f>
        <v> </v>
      </c>
      <c r="G3222" s="44" t="str">
        <f>IFERROR(__xludf.DUMMYFUNCTION("""COMPUTED_VALUE"""),"")</f>
        <v/>
      </c>
      <c r="H3222" s="44" t="str">
        <f>IFERROR(__xludf.DUMMYFUNCTION("""COMPUTED_VALUE"""),"Guaira")</f>
        <v>Guaira</v>
      </c>
      <c r="I3222" s="44" t="str">
        <f>IFERROR(__xludf.DUMMYFUNCTION("""COMPUTED_VALUE""")," ")</f>
        <v> </v>
      </c>
      <c r="J3222" s="44" t="str">
        <f>IFERROR(__xludf.DUMMYFUNCTION("""COMPUTED_VALUE"""),"")</f>
        <v/>
      </c>
      <c r="K3222" s="42" t="str">
        <f>IFERROR(__xludf.DUMMYFUNCTION("""COMPUTED_VALUE"""),"Hospital Vargas de Caracas")</f>
        <v>Hospital Vargas de Caracas</v>
      </c>
    </row>
    <row r="3223">
      <c r="A3223" s="44">
        <v>3222.0</v>
      </c>
      <c r="B3223" s="44" t="str">
        <f>IFERROR(__xludf.DUMMYFUNCTION("""COMPUTED_VALUE"""),"Periférico de Catia")</f>
        <v>Periférico de Catia</v>
      </c>
      <c r="C3223" s="45" t="str">
        <f>IFERROR(__xludf.DUMMYFUNCTION("""COMPUTED_VALUE"""),"RODRIGUEZ CINDY")</f>
        <v>RODRIGUEZ CINDY</v>
      </c>
      <c r="D3223" s="44">
        <f>IFERROR(__xludf.DUMMYFUNCTION("""COMPUTED_VALUE"""),21.0)</f>
        <v>21</v>
      </c>
      <c r="E3223" s="44" t="str">
        <f>IFERROR(__xludf.DUMMYFUNCTION("""COMPUTED_VALUE"""),"")</f>
        <v/>
      </c>
      <c r="F3223" s="44" t="str">
        <f>IFERROR(__xludf.DUMMYFUNCTION("""COMPUTED_VALUE"""),"")</f>
        <v/>
      </c>
      <c r="G3223" s="44" t="str">
        <f>IFERROR(__xludf.DUMMYFUNCTION("""COMPUTED_VALUE""")," ")</f>
        <v> </v>
      </c>
      <c r="H3223" s="44" t="str">
        <f>IFERROR(__xludf.DUMMYFUNCTION("""COMPUTED_VALUE""")," ")</f>
        <v> </v>
      </c>
      <c r="I3223" s="44" t="str">
        <f>IFERROR(__xludf.DUMMYFUNCTION("""COMPUTED_VALUE"""),"Mama |  ")</f>
        <v>Mama |  </v>
      </c>
      <c r="J3223" s="44" t="str">
        <f>IFERROR(__xludf.DUMMYFUNCTION("""COMPUTED_VALUE"""),"")</f>
        <v/>
      </c>
      <c r="K3223" s="42" t="str">
        <f>IFERROR(__xludf.DUMMYFUNCTION("""COMPUTED_VALUE"""),"Periférico de Catia")</f>
        <v>Periférico de Catia</v>
      </c>
    </row>
    <row r="3224">
      <c r="A3224" s="44">
        <v>3223.0</v>
      </c>
      <c r="B3224" s="44" t="str">
        <f>IFERROR(__xludf.DUMMYFUNCTION("""COMPUTED_VALUE"""),"Centro de Acopio Caraballeda")</f>
        <v>Centro de Acopio Caraballeda</v>
      </c>
      <c r="C3224" s="45" t="str">
        <f>IFERROR(__xludf.DUMMYFUNCTION("""COMPUTED_VALUE"""),"RODRIGUEZ CRISMAR")</f>
        <v>RODRIGUEZ CRISMAR</v>
      </c>
      <c r="D3224" s="44" t="str">
        <f>IFERROR(__xludf.DUMMYFUNCTION("""COMPUTED_VALUE""")," ")</f>
        <v> </v>
      </c>
      <c r="E3224" s="44" t="str">
        <f>IFERROR(__xludf.DUMMYFUNCTION("""COMPUTED_VALUE"""),"")</f>
        <v/>
      </c>
      <c r="F3224" s="44" t="str">
        <f>IFERROR(__xludf.DUMMYFUNCTION("""COMPUTED_VALUE"""),"")</f>
        <v/>
      </c>
      <c r="G3224" s="44" t="str">
        <f>IFERROR(__xludf.DUMMYFUNCTION("""COMPUTED_VALUE""")," ")</f>
        <v> </v>
      </c>
      <c r="H3224" s="44" t="str">
        <f>IFERROR(__xludf.DUMMYFUNCTION("""COMPUTED_VALUE""")," ")</f>
        <v> </v>
      </c>
      <c r="I3224" s="44" t="str">
        <f>IFERROR(__xludf.DUMMYFUNCTION("""COMPUTED_VALUE"""),"Internado")</f>
        <v>Internado</v>
      </c>
      <c r="J3224" s="44" t="str">
        <f>IFERROR(__xludf.DUMMYFUNCTION("""COMPUTED_VALUE"""),"")</f>
        <v/>
      </c>
      <c r="K3224" s="42" t="str">
        <f>IFERROR(__xludf.DUMMYFUNCTION("""COMPUTED_VALUE"""),"🔍 BUSCAR PACIENTES")</f>
        <v>🔍 BUSCAR PACIENTES</v>
      </c>
    </row>
    <row r="3225">
      <c r="A3225" s="44">
        <v>3224.0</v>
      </c>
      <c r="B3225" s="44" t="str">
        <f>IFERROR(__xludf.DUMMYFUNCTION("""COMPUTED_VALUE"""),"Centro de Acopio Caraballeda")</f>
        <v>Centro de Acopio Caraballeda</v>
      </c>
      <c r="C3225" s="45" t="str">
        <f>IFERROR(__xludf.DUMMYFUNCTION("""COMPUTED_VALUE"""),"RODRIGUEZ DANIELA")</f>
        <v>RODRIGUEZ DANIELA</v>
      </c>
      <c r="D3225" s="44" t="str">
        <f>IFERROR(__xludf.DUMMYFUNCTION("""COMPUTED_VALUE""")," ")</f>
        <v> </v>
      </c>
      <c r="E3225" s="44" t="str">
        <f>IFERROR(__xludf.DUMMYFUNCTION("""COMPUTED_VALUE"""),"")</f>
        <v/>
      </c>
      <c r="F3225" s="44" t="str">
        <f>IFERROR(__xludf.DUMMYFUNCTION("""COMPUTED_VALUE"""),"")</f>
        <v/>
      </c>
      <c r="G3225" s="44" t="str">
        <f>IFERROR(__xludf.DUMMYFUNCTION("""COMPUTED_VALUE""")," ")</f>
        <v> </v>
      </c>
      <c r="H3225" s="44" t="str">
        <f>IFERROR(__xludf.DUMMYFUNCTION("""COMPUTED_VALUE""")," ")</f>
        <v> </v>
      </c>
      <c r="I3225" s="44" t="str">
        <f>IFERROR(__xludf.DUMMYFUNCTION("""COMPUTED_VALUE"""),"Internado")</f>
        <v>Internado</v>
      </c>
      <c r="J3225" s="44" t="str">
        <f>IFERROR(__xludf.DUMMYFUNCTION("""COMPUTED_VALUE"""),"")</f>
        <v/>
      </c>
      <c r="K3225" s="42" t="str">
        <f>IFERROR(__xludf.DUMMYFUNCTION("""COMPUTED_VALUE"""),"🔍 BUSCAR PACIENTES")</f>
        <v>🔍 BUSCAR PACIENTES</v>
      </c>
    </row>
    <row r="3226">
      <c r="A3226" s="44">
        <v>3225.0</v>
      </c>
      <c r="B3226" s="44" t="str">
        <f>IFERROR(__xludf.DUMMYFUNCTION("""COMPUTED_VALUE"""),"Hospital Pérez Carreño")</f>
        <v>Hospital Pérez Carreño</v>
      </c>
      <c r="C3226" s="45" t="str">
        <f>IFERROR(__xludf.DUMMYFUNCTION("""COMPUTED_VALUE"""),"Rodriguez Diaz Yeumis Freddy Alixi")</f>
        <v>Rodriguez Diaz Yeumis Freddy Alixi</v>
      </c>
      <c r="D3226" s="44"/>
      <c r="E3226" s="44" t="str">
        <f>IFERROR(__xludf.DUMMYFUNCTION("""COMPUTED_VALUE"""),"")</f>
        <v/>
      </c>
      <c r="F3226" s="44" t="str">
        <f>IFERROR(__xludf.DUMMYFUNCTION("""COMPUTED_VALUE"""),"")</f>
        <v/>
      </c>
      <c r="G3226" s="44" t="str">
        <f>IFERROR(__xludf.DUMMYFUNCTION("""COMPUTED_VALUE"""),"Traslados")</f>
        <v>Traslados</v>
      </c>
      <c r="H3226" s="44" t="str">
        <f>IFERROR(__xludf.DUMMYFUNCTION("""COMPUTED_VALUE"""),"Hospital Miguel Perez Carreño")</f>
        <v>Hospital Miguel Perez Carreño</v>
      </c>
      <c r="I3226" s="44"/>
      <c r="J3226" s="44" t="str">
        <f>IFERROR(__xludf.DUMMYFUNCTION("""COMPUTED_VALUE"""),"26/6/26")</f>
        <v>26/6/26</v>
      </c>
      <c r="K3226" s="42" t="str">
        <f>IFERROR(__xludf.DUMMYFUNCTION("""COMPUTED_VALUE"""),"Hospital Pérez Carreño")</f>
        <v>Hospital Pérez Carreño</v>
      </c>
    </row>
    <row r="3227">
      <c r="A3227" s="44">
        <v>3226.0</v>
      </c>
      <c r="B3227" s="44" t="str">
        <f>IFERROR(__xludf.DUMMYFUNCTION("""COMPUTED_VALUE"""),"Hospital Domingo Luciani")</f>
        <v>Hospital Domingo Luciani</v>
      </c>
      <c r="C3227" s="45" t="str">
        <f>IFERROR(__xludf.DUMMYFUNCTION("""COMPUTED_VALUE"""),"RODRIGUEZ EDUARDO")</f>
        <v>RODRIGUEZ EDUARDO</v>
      </c>
      <c r="D3227" s="44">
        <f>IFERROR(__xludf.DUMMYFUNCTION("""COMPUTED_VALUE"""),65.0)</f>
        <v>65</v>
      </c>
      <c r="E3227" s="44" t="str">
        <f>IFERROR(__xludf.DUMMYFUNCTION("""COMPUTED_VALUE"""),"")</f>
        <v/>
      </c>
      <c r="F3227" s="44" t="str">
        <f>IFERROR(__xludf.DUMMYFUNCTION("""COMPUTED_VALUE"""),"")</f>
        <v/>
      </c>
      <c r="G3227" s="44" t="str">
        <f>IFERROR(__xludf.DUMMYFUNCTION("""COMPUTED_VALUE""")," ")</f>
        <v> </v>
      </c>
      <c r="H3227" s="44" t="str">
        <f>IFERROR(__xludf.DUMMYFUNCTION("""COMPUTED_VALUE""")," ")</f>
        <v> </v>
      </c>
      <c r="I3227" s="44" t="str">
        <f>IFERROR(__xludf.DUMMYFUNCTION("""COMPUTED_VALUE""")," ")</f>
        <v> </v>
      </c>
      <c r="J3227" s="44" t="str">
        <f>IFERROR(__xludf.DUMMYFUNCTION("""COMPUTED_VALUE"""),"")</f>
        <v/>
      </c>
      <c r="K3227" s="42" t="str">
        <f>IFERROR(__xludf.DUMMYFUNCTION("""COMPUTED_VALUE"""),"🔍 BUSCAR PACIENTES")</f>
        <v>🔍 BUSCAR PACIENTES</v>
      </c>
    </row>
    <row r="3228">
      <c r="A3228" s="44">
        <v>3227.0</v>
      </c>
      <c r="B3228" s="44" t="str">
        <f>IFERROR(__xludf.DUMMYFUNCTION("""COMPUTED_VALUE"""),"Centro de Acopio Caraballeda")</f>
        <v>Centro de Acopio Caraballeda</v>
      </c>
      <c r="C3228" s="45" t="str">
        <f>IFERROR(__xludf.DUMMYFUNCTION("""COMPUTED_VALUE"""),"RODRIGUEZ ENDER")</f>
        <v>RODRIGUEZ ENDER</v>
      </c>
      <c r="D3228" s="44" t="str">
        <f>IFERROR(__xludf.DUMMYFUNCTION("""COMPUTED_VALUE""")," ")</f>
        <v> </v>
      </c>
      <c r="E3228" s="44" t="str">
        <f>IFERROR(__xludf.DUMMYFUNCTION("""COMPUTED_VALUE"""),"")</f>
        <v/>
      </c>
      <c r="F3228" s="44" t="str">
        <f>IFERROR(__xludf.DUMMYFUNCTION("""COMPUTED_VALUE"""),"")</f>
        <v/>
      </c>
      <c r="G3228" s="44" t="str">
        <f>IFERROR(__xludf.DUMMYFUNCTION("""COMPUTED_VALUE""")," ")</f>
        <v> </v>
      </c>
      <c r="H3228" s="44" t="str">
        <f>IFERROR(__xludf.DUMMYFUNCTION("""COMPUTED_VALUE""")," ")</f>
        <v> </v>
      </c>
      <c r="I3228" s="44" t="str">
        <f>IFERROR(__xludf.DUMMYFUNCTION("""COMPUTED_VALUE"""),"Internado")</f>
        <v>Internado</v>
      </c>
      <c r="J3228" s="44" t="str">
        <f>IFERROR(__xludf.DUMMYFUNCTION("""COMPUTED_VALUE"""),"")</f>
        <v/>
      </c>
      <c r="K3228" s="42" t="str">
        <f>IFERROR(__xludf.DUMMYFUNCTION("""COMPUTED_VALUE"""),"🔍 BUSCAR PACIENTES")</f>
        <v>🔍 BUSCAR PACIENTES</v>
      </c>
    </row>
    <row r="3229">
      <c r="A3229" s="44">
        <v>3228.0</v>
      </c>
      <c r="B3229" s="44" t="str">
        <f>IFERROR(__xludf.DUMMYFUNCTION("""COMPUTED_VALUE"""),"Centro de Acopio Caraballeda")</f>
        <v>Centro de Acopio Caraballeda</v>
      </c>
      <c r="C3229" s="45" t="str">
        <f>IFERROR(__xludf.DUMMYFUNCTION("""COMPUTED_VALUE"""),"RODRIGUEZ EULOGIO")</f>
        <v>RODRIGUEZ EULOGIO</v>
      </c>
      <c r="D3229" s="44" t="str">
        <f>IFERROR(__xludf.DUMMYFUNCTION("""COMPUTED_VALUE""")," ")</f>
        <v> </v>
      </c>
      <c r="E3229" s="44" t="str">
        <f>IFERROR(__xludf.DUMMYFUNCTION("""COMPUTED_VALUE"""),"")</f>
        <v/>
      </c>
      <c r="F3229" s="44" t="str">
        <f>IFERROR(__xludf.DUMMYFUNCTION("""COMPUTED_VALUE"""),"")</f>
        <v/>
      </c>
      <c r="G3229" s="44" t="str">
        <f>IFERROR(__xludf.DUMMYFUNCTION("""COMPUTED_VALUE""")," ")</f>
        <v> </v>
      </c>
      <c r="H3229" s="44" t="str">
        <f>IFERROR(__xludf.DUMMYFUNCTION("""COMPUTED_VALUE""")," ")</f>
        <v> </v>
      </c>
      <c r="I3229" s="44" t="str">
        <f>IFERROR(__xludf.DUMMYFUNCTION("""COMPUTED_VALUE"""),"Internado")</f>
        <v>Internado</v>
      </c>
      <c r="J3229" s="44" t="str">
        <f>IFERROR(__xludf.DUMMYFUNCTION("""COMPUTED_VALUE"""),"")</f>
        <v/>
      </c>
      <c r="K3229" s="42" t="str">
        <f>IFERROR(__xludf.DUMMYFUNCTION("""COMPUTED_VALUE"""),"🔍 BUSCAR PACIENTES")</f>
        <v>🔍 BUSCAR PACIENTES</v>
      </c>
    </row>
    <row r="3230">
      <c r="A3230" s="44">
        <v>3229.0</v>
      </c>
      <c r="B3230" s="44" t="str">
        <f>IFERROR(__xludf.DUMMYFUNCTION("""COMPUTED_VALUE"""),"Centro de Acopio Caraballeda")</f>
        <v>Centro de Acopio Caraballeda</v>
      </c>
      <c r="C3230" s="45" t="str">
        <f>IFERROR(__xludf.DUMMYFUNCTION("""COMPUTED_VALUE"""),"RODRIGUEZ GENESIS")</f>
        <v>RODRIGUEZ GENESIS</v>
      </c>
      <c r="D3230" s="44" t="str">
        <f>IFERROR(__xludf.DUMMYFUNCTION("""COMPUTED_VALUE""")," ")</f>
        <v> </v>
      </c>
      <c r="E3230" s="44" t="str">
        <f>IFERROR(__xludf.DUMMYFUNCTION("""COMPUTED_VALUE"""),"")</f>
        <v/>
      </c>
      <c r="F3230" s="44" t="str">
        <f>IFERROR(__xludf.DUMMYFUNCTION("""COMPUTED_VALUE"""),"")</f>
        <v/>
      </c>
      <c r="G3230" s="44" t="str">
        <f>IFERROR(__xludf.DUMMYFUNCTION("""COMPUTED_VALUE""")," ")</f>
        <v> </v>
      </c>
      <c r="H3230" s="44" t="str">
        <f>IFERROR(__xludf.DUMMYFUNCTION("""COMPUTED_VALUE""")," ")</f>
        <v> </v>
      </c>
      <c r="I3230" s="44" t="str">
        <f>IFERROR(__xludf.DUMMYFUNCTION("""COMPUTED_VALUE"""),"Internado")</f>
        <v>Internado</v>
      </c>
      <c r="J3230" s="44" t="str">
        <f>IFERROR(__xludf.DUMMYFUNCTION("""COMPUTED_VALUE"""),"")</f>
        <v/>
      </c>
      <c r="K3230" s="42" t="str">
        <f>IFERROR(__xludf.DUMMYFUNCTION("""COMPUTED_VALUE"""),"🔍 BUSCAR PACIENTES")</f>
        <v>🔍 BUSCAR PACIENTES</v>
      </c>
    </row>
    <row r="3231">
      <c r="A3231" s="44">
        <v>3230.0</v>
      </c>
      <c r="B3231" s="44" t="str">
        <f>IFERROR(__xludf.DUMMYFUNCTION("""COMPUTED_VALUE"""),"Hospital Pérez Carreño")</f>
        <v>Hospital Pérez Carreño</v>
      </c>
      <c r="C3231" s="45" t="str">
        <f>IFERROR(__xludf.DUMMYFUNCTION("""COMPUTED_VALUE"""),"RODRIGUEZ GLEIDYS")</f>
        <v>RODRIGUEZ GLEIDYS</v>
      </c>
      <c r="D3231" s="44">
        <f>IFERROR(__xludf.DUMMYFUNCTION("""COMPUTED_VALUE"""),25.0)</f>
        <v>25</v>
      </c>
      <c r="E3231" s="44" t="str">
        <f>IFERROR(__xludf.DUMMYFUNCTION("""COMPUTED_VALUE"""),"")</f>
        <v/>
      </c>
      <c r="F3231" s="44" t="str">
        <f>IFERROR(__xludf.DUMMYFUNCTION("""COMPUTED_VALUE"""),"")</f>
        <v/>
      </c>
      <c r="G3231" s="44" t="str">
        <f>IFERROR(__xludf.DUMMYFUNCTION("""COMPUTED_VALUE""")," ")</f>
        <v> </v>
      </c>
      <c r="H3231" s="44" t="str">
        <f>IFERROR(__xludf.DUMMYFUNCTION("""COMPUTED_VALUE""")," ")</f>
        <v> </v>
      </c>
      <c r="I3231" s="44" t="str">
        <f>IFERROR(__xludf.DUMMYFUNCTION("""COMPUTED_VALUE"""),"Traumachok; Charalleve (La Guaira)")</f>
        <v>Traumachok; Charalleve (La Guaira)</v>
      </c>
      <c r="J3231" s="44" t="str">
        <f>IFERROR(__xludf.DUMMYFUNCTION("""COMPUTED_VALUE"""),"")</f>
        <v/>
      </c>
      <c r="K3231" s="42" t="str">
        <f>IFERROR(__xludf.DUMMYFUNCTION("""COMPUTED_VALUE"""),"🔍 BUSCAR PACIENTES")</f>
        <v>🔍 BUSCAR PACIENTES</v>
      </c>
    </row>
    <row r="3232">
      <c r="A3232" s="44">
        <v>3231.0</v>
      </c>
      <c r="B3232" s="44" t="str">
        <f>IFERROR(__xludf.DUMMYFUNCTION("""COMPUTED_VALUE"""),"Hospital Pérez Carreño")</f>
        <v>Hospital Pérez Carreño</v>
      </c>
      <c r="C3232" s="45" t="str">
        <f>IFERROR(__xludf.DUMMYFUNCTION("""COMPUTED_VALUE"""),"Rodriguez Glendy")</f>
        <v>Rodriguez Glendy</v>
      </c>
      <c r="D3232" s="44"/>
      <c r="E3232" s="44" t="str">
        <f>IFERROR(__xludf.DUMMYFUNCTION("""COMPUTED_VALUE"""),"")</f>
        <v/>
      </c>
      <c r="F3232" s="44" t="str">
        <f>IFERROR(__xludf.DUMMYFUNCTION("""COMPUTED_VALUE"""),"")</f>
        <v/>
      </c>
      <c r="G3232" s="44" t="str">
        <f>IFERROR(__xludf.DUMMYFUNCTION("""COMPUTED_VALUE"""),"Traslados con destino asignado")</f>
        <v>Traslados con destino asignado</v>
      </c>
      <c r="H3232" s="44" t="str">
        <f>IFERROR(__xludf.DUMMYFUNCTION("""COMPUTED_VALUE"""),"Hospital Miguel Perez Carreño")</f>
        <v>Hospital Miguel Perez Carreño</v>
      </c>
      <c r="I3232" s="44"/>
      <c r="J3232" s="44" t="str">
        <f>IFERROR(__xludf.DUMMYFUNCTION("""COMPUTED_VALUE"""),"26/6/26")</f>
        <v>26/6/26</v>
      </c>
      <c r="K3232" s="42" t="str">
        <f>IFERROR(__xludf.DUMMYFUNCTION("""COMPUTED_VALUE"""),"Hospital Pérez Carreño")</f>
        <v>Hospital Pérez Carreño</v>
      </c>
    </row>
    <row r="3233">
      <c r="A3233" s="44">
        <v>3232.0</v>
      </c>
      <c r="B3233" s="44" t="str">
        <f>IFERROR(__xludf.DUMMYFUNCTION("""COMPUTED_VALUE"""),"Hospital Domingo Luciani")</f>
        <v>Hospital Domingo Luciani</v>
      </c>
      <c r="C3233" s="45" t="str">
        <f>IFERROR(__xludf.DUMMYFUNCTION("""COMPUTED_VALUE"""),"RODRIGUEZ HARIA")</f>
        <v>RODRIGUEZ HARIA</v>
      </c>
      <c r="D3233" s="44">
        <f>IFERROR(__xludf.DUMMYFUNCTION("""COMPUTED_VALUE"""),52.0)</f>
        <v>52</v>
      </c>
      <c r="E3233" s="44" t="str">
        <f>IFERROR(__xludf.DUMMYFUNCTION("""COMPUTED_VALUE"""),"")</f>
        <v/>
      </c>
      <c r="F3233" s="44" t="str">
        <f>IFERROR(__xludf.DUMMYFUNCTION("""COMPUTED_VALUE"""),"")</f>
        <v/>
      </c>
      <c r="G3233" s="44" t="str">
        <f>IFERROR(__xludf.DUMMYFUNCTION("""COMPUTED_VALUE""")," ")</f>
        <v> </v>
      </c>
      <c r="H3233" s="44" t="str">
        <f>IFERROR(__xludf.DUMMYFUNCTION("""COMPUTED_VALUE""")," ")</f>
        <v> </v>
      </c>
      <c r="I3233" s="44" t="str">
        <f>IFERROR(__xludf.DUMMYFUNCTION("""COMPUTED_VALUE"""),"Trauma")</f>
        <v>Trauma</v>
      </c>
      <c r="J3233" s="44" t="str">
        <f>IFERROR(__xludf.DUMMYFUNCTION("""COMPUTED_VALUE"""),"")</f>
        <v/>
      </c>
      <c r="K3233" s="42" t="str">
        <f>IFERROR(__xludf.DUMMYFUNCTION("""COMPUTED_VALUE"""),"🔍 BUSCAR PACIENTES")</f>
        <v>🔍 BUSCAR PACIENTES</v>
      </c>
    </row>
    <row r="3234">
      <c r="A3234" s="44">
        <v>3233.0</v>
      </c>
      <c r="B3234" s="44" t="str">
        <f>IFERROR(__xludf.DUMMYFUNCTION("""COMPUTED_VALUE"""),"Hospital Domingo Luciani")</f>
        <v>Hospital Domingo Luciani</v>
      </c>
      <c r="C3234" s="45" t="str">
        <f>IFERROR(__xludf.DUMMYFUNCTION("""COMPUTED_VALUE"""),"RODRIGUEZ HELARY")</f>
        <v>RODRIGUEZ HELARY</v>
      </c>
      <c r="D3234" s="44">
        <f>IFERROR(__xludf.DUMMYFUNCTION("""COMPUTED_VALUE"""),32.0)</f>
        <v>32</v>
      </c>
      <c r="E3234" s="44" t="str">
        <f>IFERROR(__xludf.DUMMYFUNCTION("""COMPUTED_VALUE"""),"")</f>
        <v/>
      </c>
      <c r="F3234" s="44" t="str">
        <f>IFERROR(__xludf.DUMMYFUNCTION("""COMPUTED_VALUE"""),"")</f>
        <v/>
      </c>
      <c r="G3234" s="44" t="str">
        <f>IFERROR(__xludf.DUMMYFUNCTION("""COMPUTED_VALUE""")," ")</f>
        <v> </v>
      </c>
      <c r="H3234" s="44" t="str">
        <f>IFERROR(__xludf.DUMMYFUNCTION("""COMPUTED_VALUE""")," ")</f>
        <v> </v>
      </c>
      <c r="I3234" s="44" t="str">
        <f>IFERROR(__xludf.DUMMYFUNCTION("""COMPUTED_VALUE"""),"Quirófano – F")</f>
        <v>Quirófano – F</v>
      </c>
      <c r="J3234" s="44" t="str">
        <f>IFERROR(__xludf.DUMMYFUNCTION("""COMPUTED_VALUE"""),"")</f>
        <v/>
      </c>
      <c r="K3234" s="42" t="str">
        <f>IFERROR(__xludf.DUMMYFUNCTION("""COMPUTED_VALUE"""),"🔍 BUSCAR PACIENTES")</f>
        <v>🔍 BUSCAR PACIENTES</v>
      </c>
    </row>
    <row r="3235">
      <c r="A3235" s="44">
        <v>3234.0</v>
      </c>
      <c r="B3235" s="44" t="str">
        <f>IFERROR(__xludf.DUMMYFUNCTION("""COMPUTED_VALUE"""),"Hospital Domingo Luciani")</f>
        <v>Hospital Domingo Luciani</v>
      </c>
      <c r="C3235" s="45" t="str">
        <f>IFERROR(__xludf.DUMMYFUNCTION("""COMPUTED_VALUE"""),"RODRIGUEZ HERNANDEZ JESUS ENRIQUE")</f>
        <v>RODRIGUEZ HERNANDEZ JESUS ENRIQUE</v>
      </c>
      <c r="D3235" s="44">
        <f>IFERROR(__xludf.DUMMYFUNCTION("""COMPUTED_VALUE"""),28.0)</f>
        <v>28</v>
      </c>
      <c r="E3235" s="44" t="str">
        <f>IFERROR(__xludf.DUMMYFUNCTION("""COMPUTED_VALUE"""),"")</f>
        <v/>
      </c>
      <c r="F3235" s="44" t="str">
        <f>IFERROR(__xludf.DUMMYFUNCTION("""COMPUTED_VALUE"""),"")</f>
        <v/>
      </c>
      <c r="G3235" s="44" t="str">
        <f>IFERROR(__xludf.DUMMYFUNCTION("""COMPUTED_VALUE""")," ")</f>
        <v> </v>
      </c>
      <c r="H3235" s="44" t="str">
        <f>IFERROR(__xludf.DUMMYFUNCTION("""COMPUTED_VALUE""")," ")</f>
        <v> </v>
      </c>
      <c r="I3235" s="44" t="str">
        <f>IFERROR(__xludf.DUMMYFUNCTION("""COMPUTED_VALUE"""),"Politrauma Emerg. Nueva")</f>
        <v>Politrauma Emerg. Nueva</v>
      </c>
      <c r="J3235" s="44" t="str">
        <f>IFERROR(__xludf.DUMMYFUNCTION("""COMPUTED_VALUE"""),"")</f>
        <v/>
      </c>
      <c r="K3235" s="42" t="str">
        <f>IFERROR(__xludf.DUMMYFUNCTION("""COMPUTED_VALUE"""),"🔍 BUSCAR PACIENTES")</f>
        <v>🔍 BUSCAR PACIENTES</v>
      </c>
    </row>
    <row r="3236">
      <c r="A3236" s="44">
        <v>3235.0</v>
      </c>
      <c r="B3236" s="44" t="str">
        <f>IFERROR(__xludf.DUMMYFUNCTION("""COMPUTED_VALUE"""),"Hospital Domingo Luciani")</f>
        <v>Hospital Domingo Luciani</v>
      </c>
      <c r="C3236" s="45" t="str">
        <f>IFERROR(__xludf.DUMMYFUNCTION("""COMPUTED_VALUE"""),"RODRIGUEZ JOKSE")</f>
        <v>RODRIGUEZ JOKSE</v>
      </c>
      <c r="D3236" s="44">
        <f>IFERROR(__xludf.DUMMYFUNCTION("""COMPUTED_VALUE"""),32.0)</f>
        <v>32</v>
      </c>
      <c r="E3236" s="44" t="str">
        <f>IFERROR(__xludf.DUMMYFUNCTION("""COMPUTED_VALUE"""),"")</f>
        <v/>
      </c>
      <c r="F3236" s="44" t="str">
        <f>IFERROR(__xludf.DUMMYFUNCTION("""COMPUTED_VALUE"""),"")</f>
        <v/>
      </c>
      <c r="G3236" s="44" t="str">
        <f>IFERROR(__xludf.DUMMYFUNCTION("""COMPUTED_VALUE""")," ")</f>
        <v> </v>
      </c>
      <c r="H3236" s="44" t="str">
        <f>IFERROR(__xludf.DUMMYFUNCTION("""COMPUTED_VALUE""")," ")</f>
        <v> </v>
      </c>
      <c r="I3236" s="44" t="str">
        <f>IFERROR(__xludf.DUMMYFUNCTION("""COMPUTED_VALUE""")," ")</f>
        <v> </v>
      </c>
      <c r="J3236" s="44" t="str">
        <f>IFERROR(__xludf.DUMMYFUNCTION("""COMPUTED_VALUE"""),"")</f>
        <v/>
      </c>
      <c r="K3236" s="42" t="str">
        <f>IFERROR(__xludf.DUMMYFUNCTION("""COMPUTED_VALUE"""),"🔍 BUSCAR PACIENTES")</f>
        <v>🔍 BUSCAR PACIENTES</v>
      </c>
    </row>
    <row r="3237">
      <c r="A3237" s="44">
        <v>3236.0</v>
      </c>
      <c r="B3237" s="44" t="str">
        <f>IFERROR(__xludf.DUMMYFUNCTION("""COMPUTED_VALUE"""),"Centro de Acopio Caraballeda")</f>
        <v>Centro de Acopio Caraballeda</v>
      </c>
      <c r="C3237" s="45" t="str">
        <f>IFERROR(__xludf.DUMMYFUNCTION("""COMPUTED_VALUE"""),"RODRIGUEZ JOSE G")</f>
        <v>RODRIGUEZ JOSE G</v>
      </c>
      <c r="D3237" s="44" t="str">
        <f>IFERROR(__xludf.DUMMYFUNCTION("""COMPUTED_VALUE""")," ")</f>
        <v> </v>
      </c>
      <c r="E3237" s="44" t="str">
        <f>IFERROR(__xludf.DUMMYFUNCTION("""COMPUTED_VALUE"""),"")</f>
        <v/>
      </c>
      <c r="F3237" s="44" t="str">
        <f>IFERROR(__xludf.DUMMYFUNCTION("""COMPUTED_VALUE"""),"")</f>
        <v/>
      </c>
      <c r="G3237" s="44" t="str">
        <f>IFERROR(__xludf.DUMMYFUNCTION("""COMPUTED_VALUE""")," ")</f>
        <v> </v>
      </c>
      <c r="H3237" s="44" t="str">
        <f>IFERROR(__xludf.DUMMYFUNCTION("""COMPUTED_VALUE""")," ")</f>
        <v> </v>
      </c>
      <c r="I3237" s="44" t="str">
        <f>IFERROR(__xludf.DUMMYFUNCTION("""COMPUTED_VALUE"""),"Internado")</f>
        <v>Internado</v>
      </c>
      <c r="J3237" s="44" t="str">
        <f>IFERROR(__xludf.DUMMYFUNCTION("""COMPUTED_VALUE"""),"")</f>
        <v/>
      </c>
      <c r="K3237" s="42" t="str">
        <f>IFERROR(__xludf.DUMMYFUNCTION("""COMPUTED_VALUE"""),"🔍 BUSCAR PACIENTES")</f>
        <v>🔍 BUSCAR PACIENTES</v>
      </c>
    </row>
    <row r="3238">
      <c r="A3238" s="44">
        <v>3237.0</v>
      </c>
      <c r="B3238" s="44" t="str">
        <f>IFERROR(__xludf.DUMMYFUNCTION("""COMPUTED_VALUE"""),"Hospital Universitario de Carac")</f>
        <v>Hospital Universitario de Carac</v>
      </c>
      <c r="C3238" s="45" t="str">
        <f>IFERROR(__xludf.DUMMYFUNCTION("""COMPUTED_VALUE"""),"RODRIGUEZ JUAN")</f>
        <v>RODRIGUEZ JUAN</v>
      </c>
      <c r="D3238" s="44">
        <f>IFERROR(__xludf.DUMMYFUNCTION("""COMPUTED_VALUE"""),28.0)</f>
        <v>28</v>
      </c>
      <c r="E3238" s="44" t="str">
        <f>IFERROR(__xludf.DUMMYFUNCTION("""COMPUTED_VALUE"""),"")</f>
        <v/>
      </c>
      <c r="F3238" s="44" t="str">
        <f>IFERROR(__xludf.DUMMYFUNCTION("""COMPUTED_VALUE"""),"")</f>
        <v/>
      </c>
      <c r="G3238" s="44" t="str">
        <f>IFERROR(__xludf.DUMMYFUNCTION("""COMPUTED_VALUE""")," ")</f>
        <v> </v>
      </c>
      <c r="H3238" s="44" t="str">
        <f>IFERROR(__xludf.DUMMYFUNCTION("""COMPUTED_VALUE""")," ")</f>
        <v> </v>
      </c>
      <c r="I3238" s="44" t="str">
        <f>IFERROR(__xludf.DUMMYFUNCTION("""COMPUTED_VALUE"""),"Sala Cirugía 19-M – Tx torácico cerrado complicado")</f>
        <v>Sala Cirugía 19-M – Tx torácico cerrado complicado</v>
      </c>
      <c r="J3238" s="44" t="str">
        <f>IFERROR(__xludf.DUMMYFUNCTION("""COMPUTED_VALUE"""),"")</f>
        <v/>
      </c>
      <c r="K3238" s="42" t="str">
        <f>IFERROR(__xludf.DUMMYFUNCTION("""COMPUTED_VALUE"""),"Hospital Universitario de Carac")</f>
        <v>Hospital Universitario de Carac</v>
      </c>
    </row>
    <row r="3239">
      <c r="A3239" s="44">
        <v>3238.0</v>
      </c>
      <c r="B3239" s="44" t="str">
        <f>IFERROR(__xludf.DUMMYFUNCTION("""COMPUTED_VALUE"""),"Hospital Vargas de Caracas")</f>
        <v>Hospital Vargas de Caracas</v>
      </c>
      <c r="C3239" s="45" t="str">
        <f>IFERROR(__xludf.DUMMYFUNCTION("""COMPUTED_VALUE"""),"RODRIGUEZ KIARA ANTONIA")</f>
        <v>RODRIGUEZ KIARA ANTONIA</v>
      </c>
      <c r="D3239" s="44" t="str">
        <f>IFERROR(__xludf.DUMMYFUNCTION("""COMPUTED_VALUE""")," ")</f>
        <v> </v>
      </c>
      <c r="E3239" s="44" t="str">
        <f>IFERROR(__xludf.DUMMYFUNCTION("""COMPUTED_VALUE"""),"")</f>
        <v/>
      </c>
      <c r="F3239" s="44" t="str">
        <f>IFERROR(__xludf.DUMMYFUNCTION("""COMPUTED_VALUE""")," ")</f>
        <v> </v>
      </c>
      <c r="G3239" s="44" t="str">
        <f>IFERROR(__xludf.DUMMYFUNCTION("""COMPUTED_VALUE"""),"")</f>
        <v/>
      </c>
      <c r="H3239" s="44" t="str">
        <f>IFERROR(__xludf.DUMMYFUNCTION("""COMPUTED_VALUE""")," ")</f>
        <v> </v>
      </c>
      <c r="I3239" s="44" t="str">
        <f>IFERROR(__xludf.DUMMYFUNCTION("""COMPUTED_VALUE""")," ")</f>
        <v> </v>
      </c>
      <c r="J3239" s="44" t="str">
        <f>IFERROR(__xludf.DUMMYFUNCTION("""COMPUTED_VALUE"""),"")</f>
        <v/>
      </c>
      <c r="K3239" s="42" t="str">
        <f>IFERROR(__xludf.DUMMYFUNCTION("""COMPUTED_VALUE"""),"Hospital Vargas de Caracas")</f>
        <v>Hospital Vargas de Caracas</v>
      </c>
    </row>
    <row r="3240">
      <c r="A3240" s="44">
        <v>3239.0</v>
      </c>
      <c r="B3240" s="44" t="str">
        <f>IFERROR(__xludf.DUMMYFUNCTION("""COMPUTED_VALUE"""),"H. Jose Maria Vargas LG")</f>
        <v>H. Jose Maria Vargas LG</v>
      </c>
      <c r="C3240" s="45" t="str">
        <f>IFERROR(__xludf.DUMMYFUNCTION("""COMPUTED_VALUE"""),"RODRIGUEZ LIBIA")</f>
        <v>RODRIGUEZ LIBIA</v>
      </c>
      <c r="D3240" s="44" t="str">
        <f>IFERROR(__xludf.DUMMYFUNCTION("""COMPUTED_VALUE""")," ")</f>
        <v> </v>
      </c>
      <c r="E3240" s="44" t="str">
        <f>IFERROR(__xludf.DUMMYFUNCTION("""COMPUTED_VALUE"""),"")</f>
        <v/>
      </c>
      <c r="F3240" s="44" t="str">
        <f>IFERROR(__xludf.DUMMYFUNCTION("""COMPUTED_VALUE"""),"")</f>
        <v/>
      </c>
      <c r="G3240" s="44" t="str">
        <f>IFERROR(__xludf.DUMMYFUNCTION("""COMPUTED_VALUE""")," ")</f>
        <v> </v>
      </c>
      <c r="H3240" s="44" t="str">
        <f>IFERROR(__xludf.DUMMYFUNCTION("""COMPUTED_VALUE""")," ")</f>
        <v> </v>
      </c>
      <c r="I3240" s="44" t="str">
        <f>IFERROR(__xludf.DUMMYFUNCTION("""COMPUTED_VALUE""")," ")</f>
        <v> </v>
      </c>
      <c r="J3240" s="44" t="str">
        <f>IFERROR(__xludf.DUMMYFUNCTION("""COMPUTED_VALUE"""),"")</f>
        <v/>
      </c>
      <c r="K3240" s="42" t="str">
        <f>IFERROR(__xludf.DUMMYFUNCTION("""COMPUTED_VALUE"""),"H. Jose Maria Vargas LG")</f>
        <v>H. Jose Maria Vargas LG</v>
      </c>
    </row>
    <row r="3241">
      <c r="A3241" s="44">
        <v>3240.0</v>
      </c>
      <c r="B3241" s="44" t="str">
        <f>IFERROR(__xludf.DUMMYFUNCTION("""COMPUTED_VALUE"""),"Hospital Pérez Carreño")</f>
        <v>Hospital Pérez Carreño</v>
      </c>
      <c r="C3241" s="45" t="str">
        <f>IFERROR(__xludf.DUMMYFUNCTION("""COMPUTED_VALUE"""),"RODRIGUEZ LUCENA FREDDY ALIXO")</f>
        <v>RODRIGUEZ LUCENA FREDDY ALIXO</v>
      </c>
      <c r="D3241" s="44" t="str">
        <f>IFERROR(__xludf.DUMMYFUNCTION("""COMPUTED_VALUE""")," ")</f>
        <v> </v>
      </c>
      <c r="E3241" s="44" t="str">
        <f>IFERROR(__xludf.DUMMYFUNCTION("""COMPUTED_VALUE"""),"")</f>
        <v/>
      </c>
      <c r="F3241" s="44" t="str">
        <f>IFERROR(__xludf.DUMMYFUNCTION("""COMPUTED_VALUE"""),"")</f>
        <v/>
      </c>
      <c r="G3241" s="44" t="str">
        <f>IFERROR(__xludf.DUMMYFUNCTION("""COMPUTED_VALUE""")," ")</f>
        <v> </v>
      </c>
      <c r="H3241" s="44" t="str">
        <f>IFERROR(__xludf.DUMMYFUNCTION("""COMPUTED_VALUE""")," ")</f>
        <v> </v>
      </c>
      <c r="I3241" s="44" t="str">
        <f>IFERROR(__xludf.DUMMYFUNCTION("""COMPUTED_VALUE"""),"Internado")</f>
        <v>Internado</v>
      </c>
      <c r="J3241" s="44" t="str">
        <f>IFERROR(__xludf.DUMMYFUNCTION("""COMPUTED_VALUE"""),"")</f>
        <v/>
      </c>
      <c r="K3241" s="42" t="str">
        <f>IFERROR(__xludf.DUMMYFUNCTION("""COMPUTED_VALUE"""),"🔍 BUSCAR PACIENTES")</f>
        <v>🔍 BUSCAR PACIENTES</v>
      </c>
    </row>
    <row r="3242">
      <c r="A3242" s="44">
        <v>3241.0</v>
      </c>
      <c r="B3242" s="44" t="str">
        <f>IFERROR(__xludf.DUMMYFUNCTION("""COMPUTED_VALUE"""),"Cruz Roja")</f>
        <v>Cruz Roja</v>
      </c>
      <c r="C3242" s="45" t="str">
        <f>IFERROR(__xludf.DUMMYFUNCTION("""COMPUTED_VALUE"""),"RODRIGUEZ MARBELIS")</f>
        <v>RODRIGUEZ MARBELIS</v>
      </c>
      <c r="D3242" s="44">
        <f>IFERROR(__xludf.DUMMYFUNCTION("""COMPUTED_VALUE"""),52.0)</f>
        <v>52</v>
      </c>
      <c r="E3242" s="44" t="str">
        <f>IFERROR(__xludf.DUMMYFUNCTION("""COMPUTED_VALUE"""),"")</f>
        <v/>
      </c>
      <c r="F3242" s="44" t="str">
        <f>IFERROR(__xludf.DUMMYFUNCTION("""COMPUTED_VALUE"""),"")</f>
        <v/>
      </c>
      <c r="G3242" s="44" t="str">
        <f>IFERROR(__xludf.DUMMYFUNCTION("""COMPUTED_VALUE""")," ")</f>
        <v> </v>
      </c>
      <c r="H3242" s="44" t="str">
        <f>IFERROR(__xludf.DUMMYFUNCTION("""COMPUTED_VALUE"""),"Av Lecuna")</f>
        <v>Av Lecuna</v>
      </c>
      <c r="I3242" s="44" t="str">
        <f>IFERROR(__xludf.DUMMYFUNCTION("""COMPUTED_VALUE""")," ")</f>
        <v> </v>
      </c>
      <c r="J3242" s="44" t="str">
        <f>IFERROR(__xludf.DUMMYFUNCTION("""COMPUTED_VALUE"""),"")</f>
        <v/>
      </c>
      <c r="K3242" s="42" t="str">
        <f>IFERROR(__xludf.DUMMYFUNCTION("""COMPUTED_VALUE"""),"Cruz Roja")</f>
        <v>Cruz Roja</v>
      </c>
    </row>
    <row r="3243">
      <c r="A3243" s="44">
        <v>3242.0</v>
      </c>
      <c r="B3243" s="44" t="str">
        <f>IFERROR(__xludf.DUMMYFUNCTION("""COMPUTED_VALUE"""),"H. Jose Maria Vargas LG")</f>
        <v>H. Jose Maria Vargas LG</v>
      </c>
      <c r="C3243" s="45" t="str">
        <f>IFERROR(__xludf.DUMMYFUNCTION("""COMPUTED_VALUE"""),"RODRIGUEZ MARI")</f>
        <v>RODRIGUEZ MARI</v>
      </c>
      <c r="D3243" s="44" t="str">
        <f>IFERROR(__xludf.DUMMYFUNCTION("""COMPUTED_VALUE""")," ")</f>
        <v> </v>
      </c>
      <c r="E3243" s="44" t="str">
        <f>IFERROR(__xludf.DUMMYFUNCTION("""COMPUTED_VALUE"""),"")</f>
        <v/>
      </c>
      <c r="F3243" s="44" t="str">
        <f>IFERROR(__xludf.DUMMYFUNCTION("""COMPUTED_VALUE"""),"")</f>
        <v/>
      </c>
      <c r="G3243" s="44" t="str">
        <f>IFERROR(__xludf.DUMMYFUNCTION("""COMPUTED_VALUE""")," ")</f>
        <v> </v>
      </c>
      <c r="H3243" s="44" t="str">
        <f>IFERROR(__xludf.DUMMYFUNCTION("""COMPUTED_VALUE""")," ")</f>
        <v> </v>
      </c>
      <c r="I3243" s="44" t="str">
        <f>IFERROR(__xludf.DUMMYFUNCTION("""COMPUTED_VALUE""")," ")</f>
        <v> </v>
      </c>
      <c r="J3243" s="44" t="str">
        <f>IFERROR(__xludf.DUMMYFUNCTION("""COMPUTED_VALUE"""),"")</f>
        <v/>
      </c>
      <c r="K3243" s="42" t="str">
        <f>IFERROR(__xludf.DUMMYFUNCTION("""COMPUTED_VALUE"""),"H. Jose Maria Vargas LG")</f>
        <v>H. Jose Maria Vargas LG</v>
      </c>
    </row>
    <row r="3244">
      <c r="A3244" s="44">
        <v>3243.0</v>
      </c>
      <c r="B3244" s="44" t="str">
        <f>IFERROR(__xludf.DUMMYFUNCTION("""COMPUTED_VALUE"""),"Centro de Acopio Caraballeda")</f>
        <v>Centro de Acopio Caraballeda</v>
      </c>
      <c r="C3244" s="45" t="str">
        <f>IFERROR(__xludf.DUMMYFUNCTION("""COMPUTED_VALUE"""),"RODRIGUEZ MARIA")</f>
        <v>RODRIGUEZ MARIA</v>
      </c>
      <c r="D3244" s="44" t="str">
        <f>IFERROR(__xludf.DUMMYFUNCTION("""COMPUTED_VALUE""")," ")</f>
        <v> </v>
      </c>
      <c r="E3244" s="44" t="str">
        <f>IFERROR(__xludf.DUMMYFUNCTION("""COMPUTED_VALUE"""),"")</f>
        <v/>
      </c>
      <c r="F3244" s="44" t="str">
        <f>IFERROR(__xludf.DUMMYFUNCTION("""COMPUTED_VALUE"""),"")</f>
        <v/>
      </c>
      <c r="G3244" s="44" t="str">
        <f>IFERROR(__xludf.DUMMYFUNCTION("""COMPUTED_VALUE""")," ")</f>
        <v> </v>
      </c>
      <c r="H3244" s="44" t="str">
        <f>IFERROR(__xludf.DUMMYFUNCTION("""COMPUTED_VALUE""")," ")</f>
        <v> </v>
      </c>
      <c r="I3244" s="44" t="str">
        <f>IFERROR(__xludf.DUMMYFUNCTION("""COMPUTED_VALUE"""),"Internado")</f>
        <v>Internado</v>
      </c>
      <c r="J3244" s="44" t="str">
        <f>IFERROR(__xludf.DUMMYFUNCTION("""COMPUTED_VALUE"""),"")</f>
        <v/>
      </c>
      <c r="K3244" s="42" t="str">
        <f>IFERROR(__xludf.DUMMYFUNCTION("""COMPUTED_VALUE"""),"🔍 BUSCAR PACIENTES")</f>
        <v>🔍 BUSCAR PACIENTES</v>
      </c>
    </row>
    <row r="3245">
      <c r="A3245" s="44">
        <v>3244.0</v>
      </c>
      <c r="B3245" s="44" t="str">
        <f>IFERROR(__xludf.DUMMYFUNCTION("""COMPUTED_VALUE"""),"Hospital Vargas de Caracas")</f>
        <v>Hospital Vargas de Caracas</v>
      </c>
      <c r="C3245" s="45" t="str">
        <f>IFERROR(__xludf.DUMMYFUNCTION("""COMPUTED_VALUE"""),"RODRIGUEZ MARIA ELENA")</f>
        <v>RODRIGUEZ MARIA ELENA</v>
      </c>
      <c r="D3245" s="44" t="str">
        <f>IFERROR(__xludf.DUMMYFUNCTION("""COMPUTED_VALUE""")," ")</f>
        <v> </v>
      </c>
      <c r="E3245" s="44" t="str">
        <f>IFERROR(__xludf.DUMMYFUNCTION("""COMPUTED_VALUE"""),"")</f>
        <v/>
      </c>
      <c r="F3245" s="44" t="str">
        <f>IFERROR(__xludf.DUMMYFUNCTION("""COMPUTED_VALUE""")," ")</f>
        <v> </v>
      </c>
      <c r="G3245" s="44" t="str">
        <f>IFERROR(__xludf.DUMMYFUNCTION("""COMPUTED_VALUE"""),"")</f>
        <v/>
      </c>
      <c r="H3245" s="44" t="str">
        <f>IFERROR(__xludf.DUMMYFUNCTION("""COMPUTED_VALUE""")," ")</f>
        <v> </v>
      </c>
      <c r="I3245" s="44" t="str">
        <f>IFERROR(__xludf.DUMMYFUNCTION("""COMPUTED_VALUE""")," ")</f>
        <v> </v>
      </c>
      <c r="J3245" s="44" t="str">
        <f>IFERROR(__xludf.DUMMYFUNCTION("""COMPUTED_VALUE"""),"")</f>
        <v/>
      </c>
      <c r="K3245" s="42" t="str">
        <f>IFERROR(__xludf.DUMMYFUNCTION("""COMPUTED_VALUE"""),"Hospital Vargas de Caracas")</f>
        <v>Hospital Vargas de Caracas</v>
      </c>
    </row>
    <row r="3246">
      <c r="A3246" s="44">
        <v>3245.0</v>
      </c>
      <c r="B3246" s="44" t="str">
        <f>IFERROR(__xludf.DUMMYFUNCTION("""COMPUTED_VALUE"""),"Clínica El Ávila")</f>
        <v>Clínica El Ávila</v>
      </c>
      <c r="C3246" s="45" t="str">
        <f>IFERROR(__xludf.DUMMYFUNCTION("""COMPUTED_VALUE"""),"RODRIGUEZ MARIALEJANDRA")</f>
        <v>RODRIGUEZ MARIALEJANDRA</v>
      </c>
      <c r="D3246" s="44" t="str">
        <f>IFERROR(__xludf.DUMMYFUNCTION("""COMPUTED_VALUE""")," ")</f>
        <v> </v>
      </c>
      <c r="E3246" s="44" t="str">
        <f>IFERROR(__xludf.DUMMYFUNCTION("""COMPUTED_VALUE"""),"")</f>
        <v/>
      </c>
      <c r="F3246" s="44" t="str">
        <f>IFERROR(__xludf.DUMMYFUNCTION("""COMPUTED_VALUE"""),"")</f>
        <v/>
      </c>
      <c r="G3246" s="44" t="str">
        <f>IFERROR(__xludf.DUMMYFUNCTION("""COMPUTED_VALUE""")," ")</f>
        <v> </v>
      </c>
      <c r="H3246" s="44" t="str">
        <f>IFERROR(__xludf.DUMMYFUNCTION("""COMPUTED_VALUE""")," ")</f>
        <v> </v>
      </c>
      <c r="I3246" s="44" t="str">
        <f>IFERROR(__xludf.DUMMYFUNCTION("""COMPUTED_VALUE""")," ")</f>
        <v> </v>
      </c>
      <c r="J3246" s="44" t="str">
        <f>IFERROR(__xludf.DUMMYFUNCTION("""COMPUTED_VALUE"""),"")</f>
        <v/>
      </c>
      <c r="K3246" s="42" t="str">
        <f>IFERROR(__xludf.DUMMYFUNCTION("""COMPUTED_VALUE"""),"Clínica El Ávila")</f>
        <v>Clínica El Ávila</v>
      </c>
    </row>
    <row r="3247">
      <c r="A3247" s="44">
        <v>3246.0</v>
      </c>
      <c r="B3247" s="44" t="str">
        <f>IFERROR(__xludf.DUMMYFUNCTION("""COMPUTED_VALUE"""),"Seguro Social La Guaira")</f>
        <v>Seguro Social La Guaira</v>
      </c>
      <c r="C3247" s="45" t="str">
        <f>IFERROR(__xludf.DUMMYFUNCTION("""COMPUTED_VALUE"""),"RODRIGUEZ MARISELA")</f>
        <v>RODRIGUEZ MARISELA</v>
      </c>
      <c r="D3247" s="44" t="str">
        <f>IFERROR(__xludf.DUMMYFUNCTION("""COMPUTED_VALUE""")," ")</f>
        <v> </v>
      </c>
      <c r="E3247" s="44" t="str">
        <f>IFERROR(__xludf.DUMMYFUNCTION("""COMPUTED_VALUE"""),"")</f>
        <v/>
      </c>
      <c r="F3247" s="44" t="str">
        <f>IFERROR(__xludf.DUMMYFUNCTION("""COMPUTED_VALUE"""),"")</f>
        <v/>
      </c>
      <c r="G3247" s="44" t="str">
        <f>IFERROR(__xludf.DUMMYFUNCTION("""COMPUTED_VALUE""")," ")</f>
        <v> </v>
      </c>
      <c r="H3247" s="44" t="str">
        <f>IFERROR(__xludf.DUMMYFUNCTION("""COMPUTED_VALUE"""),"Caribe")</f>
        <v>Caribe</v>
      </c>
      <c r="I3247" s="44" t="str">
        <f>IFERROR(__xludf.DUMMYFUNCTION("""COMPUTED_VALUE""")," ")</f>
        <v> </v>
      </c>
      <c r="J3247" s="44" t="str">
        <f>IFERROR(__xludf.DUMMYFUNCTION("""COMPUTED_VALUE"""),"")</f>
        <v/>
      </c>
      <c r="K3247" s="42" t="str">
        <f>IFERROR(__xludf.DUMMYFUNCTION("""COMPUTED_VALUE"""),"Seguro Social La Guaira")</f>
        <v>Seguro Social La Guaira</v>
      </c>
    </row>
    <row r="3248">
      <c r="A3248" s="44">
        <v>3247.0</v>
      </c>
      <c r="B3248" s="44" t="str">
        <f>IFERROR(__xludf.DUMMYFUNCTION("""COMPUTED_VALUE"""),"Clínica El Ávila")</f>
        <v>Clínica El Ávila</v>
      </c>
      <c r="C3248" s="45" t="str">
        <f>IFERROR(__xludf.DUMMYFUNCTION("""COMPUTED_VALUE"""),"RODRIGUEZ MIGUEL")</f>
        <v>RODRIGUEZ MIGUEL</v>
      </c>
      <c r="D3248" s="44" t="str">
        <f>IFERROR(__xludf.DUMMYFUNCTION("""COMPUTED_VALUE""")," ")</f>
        <v> </v>
      </c>
      <c r="E3248" s="44" t="str">
        <f>IFERROR(__xludf.DUMMYFUNCTION("""COMPUTED_VALUE"""),"")</f>
        <v/>
      </c>
      <c r="F3248" s="44" t="str">
        <f>IFERROR(__xludf.DUMMYFUNCTION("""COMPUTED_VALUE"""),"")</f>
        <v/>
      </c>
      <c r="G3248" s="44" t="str">
        <f>IFERROR(__xludf.DUMMYFUNCTION("""COMPUTED_VALUE""")," ")</f>
        <v> </v>
      </c>
      <c r="H3248" s="44" t="str">
        <f>IFERROR(__xludf.DUMMYFUNCTION("""COMPUTED_VALUE""")," ")</f>
        <v> </v>
      </c>
      <c r="I3248" s="44" t="str">
        <f>IFERROR(__xludf.DUMMYFUNCTION("""COMPUTED_VALUE""")," ")</f>
        <v> </v>
      </c>
      <c r="J3248" s="44" t="str">
        <f>IFERROR(__xludf.DUMMYFUNCTION("""COMPUTED_VALUE"""),"")</f>
        <v/>
      </c>
      <c r="K3248" s="42" t="str">
        <f>IFERROR(__xludf.DUMMYFUNCTION("""COMPUTED_VALUE"""),"Clínica El Ávila")</f>
        <v>Clínica El Ávila</v>
      </c>
    </row>
    <row r="3249">
      <c r="A3249" s="44">
        <v>3248.0</v>
      </c>
      <c r="B3249" s="44" t="str">
        <f>IFERROR(__xludf.DUMMYFUNCTION("""COMPUTED_VALUE"""),"La Guaira Sin Hospital")</f>
        <v>La Guaira Sin Hospital</v>
      </c>
      <c r="C3249" s="45" t="str">
        <f>IFERROR(__xludf.DUMMYFUNCTION("""COMPUTED_VALUE"""),"Rodriguez Moneivar")</f>
        <v>Rodriguez Moneivar</v>
      </c>
      <c r="D3249" s="44" t="str">
        <f>IFERROR(__xludf.DUMMYFUNCTION("""COMPUTED_VALUE"""),"")</f>
        <v/>
      </c>
      <c r="E3249" s="44" t="str">
        <f>IFERROR(__xludf.DUMMYFUNCTION("""COMPUTED_VALUE"""),"")</f>
        <v/>
      </c>
      <c r="F3249" s="44" t="str">
        <f>IFERROR(__xludf.DUMMYFUNCTION("""COMPUTED_VALUE"""),"")</f>
        <v/>
      </c>
      <c r="G3249" s="44" t="str">
        <f>IFERROR(__xludf.DUMMYFUNCTION("""COMPUTED_VALUE"""),"")</f>
        <v/>
      </c>
      <c r="H3249" s="44" t="str">
        <f>IFERROR(__xludf.DUMMYFUNCTION("""COMPUTED_VALUE"""),"La Guaira Caribe")</f>
        <v>La Guaira Caribe</v>
      </c>
      <c r="I3249" s="44" t="str">
        <f>IFERROR(__xludf.DUMMYFUNCTION("""COMPUTED_VALUE"""),"Listas con ubicación")</f>
        <v>Listas con ubicación</v>
      </c>
      <c r="J3249" s="44" t="str">
        <f>IFERROR(__xludf.DUMMYFUNCTION("""COMPUTED_VALUE"""),"")</f>
        <v/>
      </c>
      <c r="K3249" s="42" t="str">
        <f>IFERROR(__xludf.DUMMYFUNCTION("""COMPUTED_VALUE"""),"La Guaira Sin Hospital")</f>
        <v>La Guaira Sin Hospital</v>
      </c>
    </row>
    <row r="3250">
      <c r="A3250" s="44">
        <v>3249.0</v>
      </c>
      <c r="B3250" s="44" t="str">
        <f>IFERROR(__xludf.DUMMYFUNCTION("""COMPUTED_VALUE"""),"Centro de Acopio Caraballeda")</f>
        <v>Centro de Acopio Caraballeda</v>
      </c>
      <c r="C3250" s="45" t="str">
        <f>IFERROR(__xludf.DUMMYFUNCTION("""COMPUTED_VALUE"""),"RODRIGUEZ NAOMI")</f>
        <v>RODRIGUEZ NAOMI</v>
      </c>
      <c r="D3250" s="44" t="str">
        <f>IFERROR(__xludf.DUMMYFUNCTION("""COMPUTED_VALUE""")," ")</f>
        <v> </v>
      </c>
      <c r="E3250" s="44" t="str">
        <f>IFERROR(__xludf.DUMMYFUNCTION("""COMPUTED_VALUE"""),"")</f>
        <v/>
      </c>
      <c r="F3250" s="44" t="str">
        <f>IFERROR(__xludf.DUMMYFUNCTION("""COMPUTED_VALUE"""),"")</f>
        <v/>
      </c>
      <c r="G3250" s="44" t="str">
        <f>IFERROR(__xludf.DUMMYFUNCTION("""COMPUTED_VALUE""")," ")</f>
        <v> </v>
      </c>
      <c r="H3250" s="44" t="str">
        <f>IFERROR(__xludf.DUMMYFUNCTION("""COMPUTED_VALUE""")," ")</f>
        <v> </v>
      </c>
      <c r="I3250" s="44" t="str">
        <f>IFERROR(__xludf.DUMMYFUNCTION("""COMPUTED_VALUE"""),"Internado")</f>
        <v>Internado</v>
      </c>
      <c r="J3250" s="44" t="str">
        <f>IFERROR(__xludf.DUMMYFUNCTION("""COMPUTED_VALUE"""),"")</f>
        <v/>
      </c>
      <c r="K3250" s="42" t="str">
        <f>IFERROR(__xludf.DUMMYFUNCTION("""COMPUTED_VALUE"""),"🔍 BUSCAR PACIENTES")</f>
        <v>🔍 BUSCAR PACIENTES</v>
      </c>
    </row>
    <row r="3251">
      <c r="A3251" s="44">
        <v>3250.0</v>
      </c>
      <c r="B3251" s="44" t="str">
        <f>IFERROR(__xludf.DUMMYFUNCTION("""COMPUTED_VALUE"""),"Centro de Acopio Caraballeda")</f>
        <v>Centro de Acopio Caraballeda</v>
      </c>
      <c r="C3251" s="45" t="str">
        <f>IFERROR(__xludf.DUMMYFUNCTION("""COMPUTED_VALUE"""),"RODRIGUEZ NEICE")</f>
        <v>RODRIGUEZ NEICE</v>
      </c>
      <c r="D3251" s="44" t="str">
        <f>IFERROR(__xludf.DUMMYFUNCTION("""COMPUTED_VALUE""")," ")</f>
        <v> </v>
      </c>
      <c r="E3251" s="44" t="str">
        <f>IFERROR(__xludf.DUMMYFUNCTION("""COMPUTED_VALUE"""),"")</f>
        <v/>
      </c>
      <c r="F3251" s="44" t="str">
        <f>IFERROR(__xludf.DUMMYFUNCTION("""COMPUTED_VALUE"""),"")</f>
        <v/>
      </c>
      <c r="G3251" s="44" t="str">
        <f>IFERROR(__xludf.DUMMYFUNCTION("""COMPUTED_VALUE""")," ")</f>
        <v> </v>
      </c>
      <c r="H3251" s="44" t="str">
        <f>IFERROR(__xludf.DUMMYFUNCTION("""COMPUTED_VALUE""")," ")</f>
        <v> </v>
      </c>
      <c r="I3251" s="44" t="str">
        <f>IFERROR(__xludf.DUMMYFUNCTION("""COMPUTED_VALUE"""),"Internado")</f>
        <v>Internado</v>
      </c>
      <c r="J3251" s="44" t="str">
        <f>IFERROR(__xludf.DUMMYFUNCTION("""COMPUTED_VALUE"""),"")</f>
        <v/>
      </c>
      <c r="K3251" s="42" t="str">
        <f>IFERROR(__xludf.DUMMYFUNCTION("""COMPUTED_VALUE"""),"🔍 BUSCAR PACIENTES")</f>
        <v>🔍 BUSCAR PACIENTES</v>
      </c>
    </row>
    <row r="3252">
      <c r="A3252" s="44">
        <v>3251.0</v>
      </c>
      <c r="B3252" s="44" t="str">
        <f>IFERROR(__xludf.DUMMYFUNCTION("""COMPUTED_VALUE"""),"Hospital Pérez Carreño")</f>
        <v>Hospital Pérez Carreño</v>
      </c>
      <c r="C3252" s="45" t="str">
        <f>IFERROR(__xludf.DUMMYFUNCTION("""COMPUTED_VALUE"""),"Rodriguez Olivo Joelinger Jesus")</f>
        <v>Rodriguez Olivo Joelinger Jesus</v>
      </c>
      <c r="D3252" s="44"/>
      <c r="E3252" s="44" t="str">
        <f>IFERROR(__xludf.DUMMYFUNCTION("""COMPUTED_VALUE"""),"")</f>
        <v/>
      </c>
      <c r="F3252" s="44" t="str">
        <f>IFERROR(__xludf.DUMMYFUNCTION("""COMPUTED_VALUE"""),"")</f>
        <v/>
      </c>
      <c r="G3252" s="44" t="str">
        <f>IFERROR(__xludf.DUMMYFUNCTION("""COMPUTED_VALUE"""),"Traslados")</f>
        <v>Traslados</v>
      </c>
      <c r="H3252" s="44" t="str">
        <f>IFERROR(__xludf.DUMMYFUNCTION("""COMPUTED_VALUE"""),"Hospital Miguel Perez Carreño")</f>
        <v>Hospital Miguel Perez Carreño</v>
      </c>
      <c r="I3252" s="44"/>
      <c r="J3252" s="44" t="str">
        <f>IFERROR(__xludf.DUMMYFUNCTION("""COMPUTED_VALUE"""),"26/6/26")</f>
        <v>26/6/26</v>
      </c>
      <c r="K3252" s="42" t="str">
        <f>IFERROR(__xludf.DUMMYFUNCTION("""COMPUTED_VALUE"""),"Hospital Pérez Carreño")</f>
        <v>Hospital Pérez Carreño</v>
      </c>
    </row>
    <row r="3253">
      <c r="A3253" s="44">
        <v>3252.0</v>
      </c>
      <c r="B3253" s="44" t="str">
        <f>IFERROR(__xludf.DUMMYFUNCTION("""COMPUTED_VALUE"""),"Hospital Pérez Carreño")</f>
        <v>Hospital Pérez Carreño</v>
      </c>
      <c r="C3253" s="45" t="str">
        <f>IFERROR(__xludf.DUMMYFUNCTION("""COMPUTED_VALUE"""),"RODRIGUEZ OLIVO JOELVINGER JESUS")</f>
        <v>RODRIGUEZ OLIVO JOELVINGER JESUS</v>
      </c>
      <c r="D3253" s="44">
        <f>IFERROR(__xludf.DUMMYFUNCTION("""COMPUTED_VALUE"""),9.0)</f>
        <v>9</v>
      </c>
      <c r="E3253" s="44" t="str">
        <f>IFERROR(__xludf.DUMMYFUNCTION("""COMPUTED_VALUE"""),"")</f>
        <v/>
      </c>
      <c r="F3253" s="44" t="str">
        <f>IFERROR(__xludf.DUMMYFUNCTION("""COMPUTED_VALUE"""),"")</f>
        <v/>
      </c>
      <c r="G3253" s="44" t="str">
        <f>IFERROR(__xludf.DUMMYFUNCTION("""COMPUTED_VALUE""")," ")</f>
        <v> </v>
      </c>
      <c r="H3253" s="44" t="str">
        <f>IFERROR(__xludf.DUMMYFUNCTION("""COMPUTED_VALUE""")," ")</f>
        <v> </v>
      </c>
      <c r="I3253" s="44" t="str">
        <f>IFERROR(__xludf.DUMMYFUNCTION("""COMPUTED_VALUE"""),"Pediatría")</f>
        <v>Pediatría</v>
      </c>
      <c r="J3253" s="44" t="str">
        <f>IFERROR(__xludf.DUMMYFUNCTION("""COMPUTED_VALUE"""),"25/06/2026")</f>
        <v>25/06/2026</v>
      </c>
      <c r="K3253" s="42" t="str">
        <f>IFERROR(__xludf.DUMMYFUNCTION("""COMPUTED_VALUE"""),"Hospital Pérez Carreño")</f>
        <v>Hospital Pérez Carreño</v>
      </c>
    </row>
    <row r="3254">
      <c r="A3254" s="44">
        <v>3253.0</v>
      </c>
      <c r="B3254" s="44" t="str">
        <f>IFERROR(__xludf.DUMMYFUNCTION("""COMPUTED_VALUE"""),"Centro de Acopio Caraballeda")</f>
        <v>Centro de Acopio Caraballeda</v>
      </c>
      <c r="C3254" s="45" t="str">
        <f>IFERROR(__xludf.DUMMYFUNCTION("""COMPUTED_VALUE"""),"RODRIGUEZ ORIANNI")</f>
        <v>RODRIGUEZ ORIANNI</v>
      </c>
      <c r="D3254" s="44" t="str">
        <f>IFERROR(__xludf.DUMMYFUNCTION("""COMPUTED_VALUE""")," ")</f>
        <v> </v>
      </c>
      <c r="E3254" s="44" t="str">
        <f>IFERROR(__xludf.DUMMYFUNCTION("""COMPUTED_VALUE"""),"")</f>
        <v/>
      </c>
      <c r="F3254" s="44" t="str">
        <f>IFERROR(__xludf.DUMMYFUNCTION("""COMPUTED_VALUE"""),"")</f>
        <v/>
      </c>
      <c r="G3254" s="44" t="str">
        <f>IFERROR(__xludf.DUMMYFUNCTION("""COMPUTED_VALUE""")," ")</f>
        <v> </v>
      </c>
      <c r="H3254" s="44" t="str">
        <f>IFERROR(__xludf.DUMMYFUNCTION("""COMPUTED_VALUE""")," ")</f>
        <v> </v>
      </c>
      <c r="I3254" s="44" t="str">
        <f>IFERROR(__xludf.DUMMYFUNCTION("""COMPUTED_VALUE"""),"Internado")</f>
        <v>Internado</v>
      </c>
      <c r="J3254" s="44" t="str">
        <f>IFERROR(__xludf.DUMMYFUNCTION("""COMPUTED_VALUE"""),"")</f>
        <v/>
      </c>
      <c r="K3254" s="42" t="str">
        <f>IFERROR(__xludf.DUMMYFUNCTION("""COMPUTED_VALUE"""),"🔍 BUSCAR PACIENTES")</f>
        <v>🔍 BUSCAR PACIENTES</v>
      </c>
    </row>
    <row r="3255">
      <c r="A3255" s="44">
        <v>3254.0</v>
      </c>
      <c r="B3255" s="44" t="str">
        <f>IFERROR(__xludf.DUMMYFUNCTION("""COMPUTED_VALUE"""),"La Guaira Sin Hospital")</f>
        <v>La Guaira Sin Hospital</v>
      </c>
      <c r="C3255" s="45" t="str">
        <f>IFERROR(__xludf.DUMMYFUNCTION("""COMPUTED_VALUE"""),"Rodriguez Oviedo Joelviger Javier")</f>
        <v>Rodriguez Oviedo Joelviger Javier</v>
      </c>
      <c r="D3255" s="44" t="str">
        <f>IFERROR(__xludf.DUMMYFUNCTION("""COMPUTED_VALUE"""),"")</f>
        <v/>
      </c>
      <c r="E3255" s="44" t="str">
        <f>IFERROR(__xludf.DUMMYFUNCTION("""COMPUTED_VALUE"""),"")</f>
        <v/>
      </c>
      <c r="F3255" s="44" t="str">
        <f>IFERROR(__xludf.DUMMYFUNCTION("""COMPUTED_VALUE"""),"")</f>
        <v/>
      </c>
      <c r="G3255" s="44" t="str">
        <f>IFERROR(__xludf.DUMMYFUNCTION("""COMPUTED_VALUE"""),"")</f>
        <v/>
      </c>
      <c r="H3255" s="44"/>
      <c r="I3255" s="44" t="str">
        <f>IFERROR(__xludf.DUMMYFUNCTION("""COMPUTED_VALUE"""),"Listas solo con nombre")</f>
        <v>Listas solo con nombre</v>
      </c>
      <c r="J3255" s="44" t="str">
        <f>IFERROR(__xludf.DUMMYFUNCTION("""COMPUTED_VALUE"""),"")</f>
        <v/>
      </c>
      <c r="K3255" s="42" t="str">
        <f>IFERROR(__xludf.DUMMYFUNCTION("""COMPUTED_VALUE"""),"La Guaira Sin Hospital")</f>
        <v>La Guaira Sin Hospital</v>
      </c>
    </row>
    <row r="3256">
      <c r="A3256" s="44">
        <v>3255.0</v>
      </c>
      <c r="B3256" s="44" t="str">
        <f>IFERROR(__xludf.DUMMYFUNCTION("""COMPUTED_VALUE"""),"Periférico de Catia")</f>
        <v>Periférico de Catia</v>
      </c>
      <c r="C3256" s="45" t="str">
        <f>IFERROR(__xludf.DUMMYFUNCTION("""COMPUTED_VALUE"""),"RODRIGUEZ PINDIHOLE")</f>
        <v>RODRIGUEZ PINDIHOLE</v>
      </c>
      <c r="D3256" s="44">
        <f>IFERROR(__xludf.DUMMYFUNCTION("""COMPUTED_VALUE"""),51.0)</f>
        <v>51</v>
      </c>
      <c r="E3256" s="44" t="str">
        <f>IFERROR(__xludf.DUMMYFUNCTION("""COMPUTED_VALUE"""),"")</f>
        <v/>
      </c>
      <c r="F3256" s="44" t="str">
        <f>IFERROR(__xludf.DUMMYFUNCTION("""COMPUTED_VALUE"""),"")</f>
        <v/>
      </c>
      <c r="G3256" s="44" t="str">
        <f>IFERROR(__xludf.DUMMYFUNCTION("""COMPUTED_VALUE""")," ")</f>
        <v> </v>
      </c>
      <c r="H3256" s="44" t="str">
        <f>IFERROR(__xludf.DUMMYFUNCTION("""COMPUTED_VALUE"""),"Calle Principal")</f>
        <v>Calle Principal</v>
      </c>
      <c r="I3256" s="44" t="str">
        <f>IFERROR(__xludf.DUMMYFUNCTION("""COMPUTED_VALUE""")," ")</f>
        <v> </v>
      </c>
      <c r="J3256" s="44" t="str">
        <f>IFERROR(__xludf.DUMMYFUNCTION("""COMPUTED_VALUE"""),"")</f>
        <v/>
      </c>
      <c r="K3256" s="42" t="str">
        <f>IFERROR(__xludf.DUMMYFUNCTION("""COMPUTED_VALUE"""),"Periférico de Catia")</f>
        <v>Periférico de Catia</v>
      </c>
    </row>
    <row r="3257">
      <c r="A3257" s="44">
        <v>3256.0</v>
      </c>
      <c r="B3257" s="44" t="str">
        <f>IFERROR(__xludf.DUMMYFUNCTION("""COMPUTED_VALUE"""),"Hospital Pérez Carreño")</f>
        <v>Hospital Pérez Carreño</v>
      </c>
      <c r="C3257" s="45" t="str">
        <f>IFERROR(__xludf.DUMMYFUNCTION("""COMPUTED_VALUE"""),"RODRIGUEZ RODRIGO")</f>
        <v>RODRIGUEZ RODRIGO</v>
      </c>
      <c r="D3257" s="44" t="str">
        <f>IFERROR(__xludf.DUMMYFUNCTION("""COMPUTED_VALUE""")," ")</f>
        <v> </v>
      </c>
      <c r="E3257" s="44" t="str">
        <f>IFERROR(__xludf.DUMMYFUNCTION("""COMPUTED_VALUE"""),"")</f>
        <v/>
      </c>
      <c r="F3257" s="44" t="str">
        <f>IFERROR(__xludf.DUMMYFUNCTION("""COMPUTED_VALUE"""),"")</f>
        <v/>
      </c>
      <c r="G3257" s="44" t="str">
        <f>IFERROR(__xludf.DUMMYFUNCTION("""COMPUTED_VALUE""")," ")</f>
        <v> </v>
      </c>
      <c r="H3257" s="44" t="str">
        <f>IFERROR(__xludf.DUMMYFUNCTION("""COMPUTED_VALUE""")," ")</f>
        <v> </v>
      </c>
      <c r="I3257" s="44" t="str">
        <f>IFERROR(__xludf.DUMMYFUNCTION("""COMPUTED_VALUE"""),"Internado")</f>
        <v>Internado</v>
      </c>
      <c r="J3257" s="44" t="str">
        <f>IFERROR(__xludf.DUMMYFUNCTION("""COMPUTED_VALUE"""),"")</f>
        <v/>
      </c>
      <c r="K3257" s="42" t="str">
        <f>IFERROR(__xludf.DUMMYFUNCTION("""COMPUTED_VALUE"""),"🔍 BUSCAR PACIENTES")</f>
        <v>🔍 BUSCAR PACIENTES</v>
      </c>
    </row>
    <row r="3258">
      <c r="A3258" s="44">
        <v>3257.0</v>
      </c>
      <c r="B3258" s="44" t="str">
        <f>IFERROR(__xludf.DUMMYFUNCTION("""COMPUTED_VALUE"""),"Periférico de Catia")</f>
        <v>Periférico de Catia</v>
      </c>
      <c r="C3258" s="45" t="str">
        <f>IFERROR(__xludf.DUMMYFUNCTION("""COMPUTED_VALUE"""),"RODRIGUEZ SANELLY")</f>
        <v>RODRIGUEZ SANELLY</v>
      </c>
      <c r="D3258" s="44">
        <f>IFERROR(__xludf.DUMMYFUNCTION("""COMPUTED_VALUE"""),42.0)</f>
        <v>42</v>
      </c>
      <c r="E3258" s="44" t="str">
        <f>IFERROR(__xludf.DUMMYFUNCTION("""COMPUTED_VALUE"""),"")</f>
        <v/>
      </c>
      <c r="F3258" s="44" t="str">
        <f>IFERROR(__xludf.DUMMYFUNCTION("""COMPUTED_VALUE"""),"")</f>
        <v/>
      </c>
      <c r="G3258" s="44" t="str">
        <f>IFERROR(__xludf.DUMMYFUNCTION("""COMPUTED_VALUE""")," ")</f>
        <v> </v>
      </c>
      <c r="H3258" s="44" t="str">
        <f>IFERROR(__xludf.DUMMYFUNCTION("""COMPUTED_VALUE"""),"Caraballeda La Guaira")</f>
        <v>Caraballeda La Guaira</v>
      </c>
      <c r="I3258" s="44" t="str">
        <f>IFERROR(__xludf.DUMMYFUNCTION("""COMPUTED_VALUE""")," ")</f>
        <v> </v>
      </c>
      <c r="J3258" s="44" t="str">
        <f>IFERROR(__xludf.DUMMYFUNCTION("""COMPUTED_VALUE"""),"")</f>
        <v/>
      </c>
      <c r="K3258" s="42" t="str">
        <f>IFERROR(__xludf.DUMMYFUNCTION("""COMPUTED_VALUE"""),"Periférico de Catia")</f>
        <v>Periférico de Catia</v>
      </c>
    </row>
    <row r="3259">
      <c r="A3259" s="44">
        <v>3258.0</v>
      </c>
      <c r="B3259" s="44" t="str">
        <f>IFERROR(__xludf.DUMMYFUNCTION("""COMPUTED_VALUE"""),"La Guaira Sin Hospital")</f>
        <v>La Guaira Sin Hospital</v>
      </c>
      <c r="C3259" s="45" t="str">
        <f>IFERROR(__xludf.DUMMYFUNCTION("""COMPUTED_VALUE"""),"Rodriguez Severino Freddy Alexis")</f>
        <v>Rodriguez Severino Freddy Alexis</v>
      </c>
      <c r="D3259" s="44" t="str">
        <f>IFERROR(__xludf.DUMMYFUNCTION("""COMPUTED_VALUE"""),"")</f>
        <v/>
      </c>
      <c r="E3259" s="44" t="str">
        <f>IFERROR(__xludf.DUMMYFUNCTION("""COMPUTED_VALUE"""),"")</f>
        <v/>
      </c>
      <c r="F3259" s="44" t="str">
        <f>IFERROR(__xludf.DUMMYFUNCTION("""COMPUTED_VALUE"""),"")</f>
        <v/>
      </c>
      <c r="G3259" s="44" t="str">
        <f>IFERROR(__xludf.DUMMYFUNCTION("""COMPUTED_VALUE"""),"")</f>
        <v/>
      </c>
      <c r="H3259" s="44"/>
      <c r="I3259" s="44" t="str">
        <f>IFERROR(__xludf.DUMMYFUNCTION("""COMPUTED_VALUE"""),"Listas solo con nombre")</f>
        <v>Listas solo con nombre</v>
      </c>
      <c r="J3259" s="44" t="str">
        <f>IFERROR(__xludf.DUMMYFUNCTION("""COMPUTED_VALUE"""),"")</f>
        <v/>
      </c>
      <c r="K3259" s="42" t="str">
        <f>IFERROR(__xludf.DUMMYFUNCTION("""COMPUTED_VALUE"""),"La Guaira Sin Hospital")</f>
        <v>La Guaira Sin Hospital</v>
      </c>
    </row>
    <row r="3260">
      <c r="A3260" s="44">
        <v>3259.0</v>
      </c>
      <c r="B3260" s="44" t="str">
        <f>IFERROR(__xludf.DUMMYFUNCTION("""COMPUTED_VALUE"""),"Cruz Roja")</f>
        <v>Cruz Roja</v>
      </c>
      <c r="C3260" s="45" t="str">
        <f>IFERROR(__xludf.DUMMYFUNCTION("""COMPUTED_VALUE"""),"RODRIGUEZ YALITZA")</f>
        <v>RODRIGUEZ YALITZA</v>
      </c>
      <c r="D3260" s="44">
        <f>IFERROR(__xludf.DUMMYFUNCTION("""COMPUTED_VALUE"""),57.0)</f>
        <v>57</v>
      </c>
      <c r="E3260" s="44" t="str">
        <f>IFERROR(__xludf.DUMMYFUNCTION("""COMPUTED_VALUE"""),"")</f>
        <v/>
      </c>
      <c r="F3260" s="44" t="str">
        <f>IFERROR(__xludf.DUMMYFUNCTION("""COMPUTED_VALUE"""),"")</f>
        <v/>
      </c>
      <c r="G3260" s="44" t="str">
        <f>IFERROR(__xludf.DUMMYFUNCTION("""COMPUTED_VALUE""")," ")</f>
        <v> </v>
      </c>
      <c r="H3260" s="44" t="str">
        <f>IFERROR(__xludf.DUMMYFUNCTION("""COMPUTED_VALUE"""),"Av Lecuna")</f>
        <v>Av Lecuna</v>
      </c>
      <c r="I3260" s="44" t="str">
        <f>IFERROR(__xludf.DUMMYFUNCTION("""COMPUTED_VALUE""")," ")</f>
        <v> </v>
      </c>
      <c r="J3260" s="44" t="str">
        <f>IFERROR(__xludf.DUMMYFUNCTION("""COMPUTED_VALUE"""),"")</f>
        <v/>
      </c>
      <c r="K3260" s="42" t="str">
        <f>IFERROR(__xludf.DUMMYFUNCTION("""COMPUTED_VALUE"""),"Cruz Roja")</f>
        <v>Cruz Roja</v>
      </c>
    </row>
    <row r="3261">
      <c r="A3261" s="44">
        <v>3260.0</v>
      </c>
      <c r="B3261" s="44" t="str">
        <f>IFERROR(__xludf.DUMMYFUNCTION("""COMPUTED_VALUE"""),"Centro de Acopio Caraballeda")</f>
        <v>Centro de Acopio Caraballeda</v>
      </c>
      <c r="C3261" s="45" t="str">
        <f>IFERROR(__xludf.DUMMYFUNCTION("""COMPUTED_VALUE"""),"RODRIGUEZ YEISON")</f>
        <v>RODRIGUEZ YEISON</v>
      </c>
      <c r="D3261" s="44" t="str">
        <f>IFERROR(__xludf.DUMMYFUNCTION("""COMPUTED_VALUE""")," ")</f>
        <v> </v>
      </c>
      <c r="E3261" s="44" t="str">
        <f>IFERROR(__xludf.DUMMYFUNCTION("""COMPUTED_VALUE"""),"")</f>
        <v/>
      </c>
      <c r="F3261" s="44" t="str">
        <f>IFERROR(__xludf.DUMMYFUNCTION("""COMPUTED_VALUE"""),"")</f>
        <v/>
      </c>
      <c r="G3261" s="44" t="str">
        <f>IFERROR(__xludf.DUMMYFUNCTION("""COMPUTED_VALUE""")," ")</f>
        <v> </v>
      </c>
      <c r="H3261" s="44" t="str">
        <f>IFERROR(__xludf.DUMMYFUNCTION("""COMPUTED_VALUE""")," ")</f>
        <v> </v>
      </c>
      <c r="I3261" s="44" t="str">
        <f>IFERROR(__xludf.DUMMYFUNCTION("""COMPUTED_VALUE"""),"Internado")</f>
        <v>Internado</v>
      </c>
      <c r="J3261" s="44" t="str">
        <f>IFERROR(__xludf.DUMMYFUNCTION("""COMPUTED_VALUE"""),"")</f>
        <v/>
      </c>
      <c r="K3261" s="42" t="str">
        <f>IFERROR(__xludf.DUMMYFUNCTION("""COMPUTED_VALUE"""),"🔍 BUSCAR PACIENTES")</f>
        <v>🔍 BUSCAR PACIENTES</v>
      </c>
    </row>
    <row r="3262">
      <c r="A3262" s="44">
        <v>3261.0</v>
      </c>
      <c r="B3262" s="44" t="str">
        <f>IFERROR(__xludf.DUMMYFUNCTION("""COMPUTED_VALUE"""),"Hospital Pérez Carreño")</f>
        <v>Hospital Pérez Carreño</v>
      </c>
      <c r="C3262" s="45" t="str">
        <f>IFERROR(__xludf.DUMMYFUNCTION("""COMPUTED_VALUE"""),"RODRIGUEZ YOELBINYER")</f>
        <v>RODRIGUEZ YOELBINYER</v>
      </c>
      <c r="D3262" s="44">
        <f>IFERROR(__xludf.DUMMYFUNCTION("""COMPUTED_VALUE"""),9.0)</f>
        <v>9</v>
      </c>
      <c r="E3262" s="44" t="str">
        <f>IFERROR(__xludf.DUMMYFUNCTION("""COMPUTED_VALUE"""),"")</f>
        <v/>
      </c>
      <c r="F3262" s="44" t="str">
        <f>IFERROR(__xludf.DUMMYFUNCTION("""COMPUTED_VALUE"""),"")</f>
        <v/>
      </c>
      <c r="G3262" s="44" t="str">
        <f>IFERROR(__xludf.DUMMYFUNCTION("""COMPUTED_VALUE""")," ")</f>
        <v> </v>
      </c>
      <c r="H3262" s="44" t="str">
        <f>IFERROR(__xludf.DUMMYFUNCTION("""COMPUTED_VALUE""")," ")</f>
        <v> </v>
      </c>
      <c r="I3262" s="44" t="str">
        <f>IFERROR(__xludf.DUMMYFUNCTION("""COMPUTED_VALUE"""),"Emerg. Pediátrica – Caracas")</f>
        <v>Emerg. Pediátrica – Caracas</v>
      </c>
      <c r="J3262" s="44" t="str">
        <f>IFERROR(__xludf.DUMMYFUNCTION("""COMPUTED_VALUE"""),"25/06/2026")</f>
        <v>25/06/2026</v>
      </c>
      <c r="K3262" s="42" t="str">
        <f>IFERROR(__xludf.DUMMYFUNCTION("""COMPUTED_VALUE"""),"Hospital Pérez Carreño")</f>
        <v>Hospital Pérez Carreño</v>
      </c>
    </row>
    <row r="3263">
      <c r="A3263" s="44">
        <v>3262.0</v>
      </c>
      <c r="B3263" s="44" t="str">
        <f>IFERROR(__xludf.DUMMYFUNCTION("""COMPUTED_VALUE"""),"H. Jose Maria Vargas LG")</f>
        <v>H. Jose Maria Vargas LG</v>
      </c>
      <c r="C3263" s="45" t="str">
        <f>IFERROR(__xludf.DUMMYFUNCTION("""COMPUTED_VALUE"""),"RODRIGUEZ YOEVIYER")</f>
        <v>RODRIGUEZ YOEVIYER</v>
      </c>
      <c r="D3263" s="44" t="str">
        <f>IFERROR(__xludf.DUMMYFUNCTION("""COMPUTED_VALUE""")," ")</f>
        <v> </v>
      </c>
      <c r="E3263" s="44" t="str">
        <f>IFERROR(__xludf.DUMMYFUNCTION("""COMPUTED_VALUE"""),"")</f>
        <v/>
      </c>
      <c r="F3263" s="44" t="str">
        <f>IFERROR(__xludf.DUMMYFUNCTION("""COMPUTED_VALUE"""),"")</f>
        <v/>
      </c>
      <c r="G3263" s="44" t="str">
        <f>IFERROR(__xludf.DUMMYFUNCTION("""COMPUTED_VALUE""")," ")</f>
        <v> </v>
      </c>
      <c r="H3263" s="44" t="str">
        <f>IFERROR(__xludf.DUMMYFUNCTION("""COMPUTED_VALUE"""),"OPPE 26")</f>
        <v>OPPE 26</v>
      </c>
      <c r="I3263" s="44" t="str">
        <f>IFERROR(__xludf.DUMMYFUNCTION("""COMPUTED_VALUE""")," ")</f>
        <v> </v>
      </c>
      <c r="J3263" s="44" t="str">
        <f>IFERROR(__xludf.DUMMYFUNCTION("""COMPUTED_VALUE"""),"")</f>
        <v/>
      </c>
      <c r="K3263" s="42" t="str">
        <f>IFERROR(__xludf.DUMMYFUNCTION("""COMPUTED_VALUE"""),"H. Jose Maria Vargas LG")</f>
        <v>H. Jose Maria Vargas LG</v>
      </c>
    </row>
    <row r="3264">
      <c r="A3264" s="44">
        <v>3263.0</v>
      </c>
      <c r="B3264" s="44" t="str">
        <f>IFERROR(__xludf.DUMMYFUNCTION("""COMPUTED_VALUE"""),"Hospital Pérez Carreño")</f>
        <v>Hospital Pérez Carreño</v>
      </c>
      <c r="C3264" s="45" t="str">
        <f>IFERROR(__xludf.DUMMYFUNCTION("""COMPUTED_VALUE"""),"RODRIGUEZ YOISBELYS")</f>
        <v>RODRIGUEZ YOISBELYS</v>
      </c>
      <c r="D3264" s="44">
        <f>IFERROR(__xludf.DUMMYFUNCTION("""COMPUTED_VALUE"""),3.0)</f>
        <v>3</v>
      </c>
      <c r="E3264" s="44" t="str">
        <f>IFERROR(__xludf.DUMMYFUNCTION("""COMPUTED_VALUE"""),"")</f>
        <v/>
      </c>
      <c r="F3264" s="44" t="str">
        <f>IFERROR(__xludf.DUMMYFUNCTION("""COMPUTED_VALUE"""),"")</f>
        <v/>
      </c>
      <c r="G3264" s="44" t="str">
        <f>IFERROR(__xludf.DUMMYFUNCTION("""COMPUTED_VALUE""")," ")</f>
        <v> </v>
      </c>
      <c r="H3264" s="44" t="str">
        <f>IFERROR(__xludf.DUMMYFUNCTION("""COMPUTED_VALUE""")," ")</f>
        <v> </v>
      </c>
      <c r="I3264" s="44" t="str">
        <f>IFERROR(__xludf.DUMMYFUNCTION("""COMPUTED_VALUE"""),"SIN FAMILIAR – Pediátrico")</f>
        <v>SIN FAMILIAR – Pediátrico</v>
      </c>
      <c r="J3264" s="44" t="str">
        <f>IFERROR(__xludf.DUMMYFUNCTION("""COMPUTED_VALUE"""),"25/06/2026")</f>
        <v>25/06/2026</v>
      </c>
      <c r="K3264" s="42" t="str">
        <f>IFERROR(__xludf.DUMMYFUNCTION("""COMPUTED_VALUE"""),"Hospital Pérez Carreño")</f>
        <v>Hospital Pérez Carreño</v>
      </c>
    </row>
    <row r="3265">
      <c r="A3265" s="44">
        <v>3264.0</v>
      </c>
      <c r="B3265" s="44" t="str">
        <f>IFERROR(__xludf.DUMMYFUNCTION("""COMPUTED_VALUE"""),"Hospital Pérez Carreño")</f>
        <v>Hospital Pérez Carreño</v>
      </c>
      <c r="C3265" s="45" t="str">
        <f>IFERROR(__xludf.DUMMYFUNCTION("""COMPUTED_VALUE"""),"RODRIGUEZ YONEIVER")</f>
        <v>RODRIGUEZ YONEIVER</v>
      </c>
      <c r="D3265" s="44" t="str">
        <f>IFERROR(__xludf.DUMMYFUNCTION("""COMPUTED_VALUE""")," ")</f>
        <v> </v>
      </c>
      <c r="E3265" s="44" t="str">
        <f>IFERROR(__xludf.DUMMYFUNCTION("""COMPUTED_VALUE"""),"")</f>
        <v/>
      </c>
      <c r="F3265" s="44" t="str">
        <f>IFERROR(__xludf.DUMMYFUNCTION("""COMPUTED_VALUE"""),"")</f>
        <v/>
      </c>
      <c r="G3265" s="44" t="str">
        <f>IFERROR(__xludf.DUMMYFUNCTION("""COMPUTED_VALUE""")," ")</f>
        <v> </v>
      </c>
      <c r="H3265" s="44" t="str">
        <f>IFERROR(__xludf.DUMMYFUNCTION("""COMPUTED_VALUE""")," ")</f>
        <v> </v>
      </c>
      <c r="I3265" s="44" t="str">
        <f>IFERROR(__xludf.DUMMYFUNCTION("""COMPUTED_VALUE"""),"Internado")</f>
        <v>Internado</v>
      </c>
      <c r="J3265" s="44" t="str">
        <f>IFERROR(__xludf.DUMMYFUNCTION("""COMPUTED_VALUE"""),"")</f>
        <v/>
      </c>
      <c r="K3265" s="42" t="str">
        <f>IFERROR(__xludf.DUMMYFUNCTION("""COMPUTED_VALUE"""),"🔍 BUSCAR PACIENTES")</f>
        <v>🔍 BUSCAR PACIENTES</v>
      </c>
    </row>
    <row r="3266">
      <c r="A3266" s="44">
        <v>3265.0</v>
      </c>
      <c r="B3266" s="44" t="str">
        <f>IFERROR(__xludf.DUMMYFUNCTION("""COMPUTED_VALUE"""),"Hospital Pérez Carreño")</f>
        <v>Hospital Pérez Carreño</v>
      </c>
      <c r="C3266" s="45" t="str">
        <f>IFERROR(__xludf.DUMMYFUNCTION("""COMPUTED_VALUE"""),"RODRIGUEZ YONIELBYS")</f>
        <v>RODRIGUEZ YONIELBYS</v>
      </c>
      <c r="D3266" s="44">
        <f>IFERROR(__xludf.DUMMYFUNCTION("""COMPUTED_VALUE"""),1.0)</f>
        <v>1</v>
      </c>
      <c r="E3266" s="44" t="str">
        <f>IFERROR(__xludf.DUMMYFUNCTION("""COMPUTED_VALUE"""),"")</f>
        <v/>
      </c>
      <c r="F3266" s="44" t="str">
        <f>IFERROR(__xludf.DUMMYFUNCTION("""COMPUTED_VALUE"""),"")</f>
        <v/>
      </c>
      <c r="G3266" s="44" t="str">
        <f>IFERROR(__xludf.DUMMYFUNCTION("""COMPUTED_VALUE""")," ")</f>
        <v> </v>
      </c>
      <c r="H3266" s="44" t="str">
        <f>IFERROR(__xludf.DUMMYFUNCTION("""COMPUTED_VALUE""")," ")</f>
        <v> </v>
      </c>
      <c r="I3266" s="44" t="str">
        <f>IFERROR(__xludf.DUMMYFUNCTION("""COMPUTED_VALUE"""),"SIN FAMILIAR – Pediátrico | Pediatría – Lista alta; de alta con Lilian Olivo")</f>
        <v>SIN FAMILIAR – Pediátrico | Pediatría – Lista alta; de alta con Lilian Olivo</v>
      </c>
      <c r="J3266" s="44" t="str">
        <f>IFERROR(__xludf.DUMMYFUNCTION("""COMPUTED_VALUE"""),"25/06/2026")</f>
        <v>25/06/2026</v>
      </c>
      <c r="K3266" s="42" t="str">
        <f>IFERROR(__xludf.DUMMYFUNCTION("""COMPUTED_VALUE"""),"Hospital Pérez Carreño")</f>
        <v>Hospital Pérez Carreño</v>
      </c>
    </row>
    <row r="3267">
      <c r="A3267" s="44">
        <v>3266.0</v>
      </c>
      <c r="B3267" s="44" t="str">
        <f>IFERROR(__xludf.DUMMYFUNCTION("""COMPUTED_VALUE"""),"H. Jose Maria Vargas LG")</f>
        <v>H. Jose Maria Vargas LG</v>
      </c>
      <c r="C3267" s="45" t="str">
        <f>IFERROR(__xludf.DUMMYFUNCTION("""COMPUTED_VALUE"""),"RODRIGUEZ YONIERVIS")</f>
        <v>RODRIGUEZ YONIERVIS</v>
      </c>
      <c r="D3267" s="44">
        <f>IFERROR(__xludf.DUMMYFUNCTION("""COMPUTED_VALUE"""),1.0)</f>
        <v>1</v>
      </c>
      <c r="E3267" s="44" t="str">
        <f>IFERROR(__xludf.DUMMYFUNCTION("""COMPUTED_VALUE"""),"")</f>
        <v/>
      </c>
      <c r="F3267" s="44" t="str">
        <f>IFERROR(__xludf.DUMMYFUNCTION("""COMPUTED_VALUE"""),"")</f>
        <v/>
      </c>
      <c r="G3267" s="44" t="str">
        <f>IFERROR(__xludf.DUMMYFUNCTION("""COMPUTED_VALUE""")," ")</f>
        <v> </v>
      </c>
      <c r="H3267" s="44" t="str">
        <f>IFERROR(__xludf.DUMMYFUNCTION("""COMPUTED_VALUE""")," ")</f>
        <v> </v>
      </c>
      <c r="I3267" s="44" t="str">
        <f>IFERROR(__xludf.DUMMYFUNCTION("""COMPUTED_VALUE"""),"Internado")</f>
        <v>Internado</v>
      </c>
      <c r="J3267" s="44" t="str">
        <f>IFERROR(__xludf.DUMMYFUNCTION("""COMPUTED_VALUE"""),"")</f>
        <v/>
      </c>
      <c r="K3267" s="42" t="str">
        <f>IFERROR(__xludf.DUMMYFUNCTION("""COMPUTED_VALUE"""),"H. Jose Maria Vargas LG")</f>
        <v>H. Jose Maria Vargas LG</v>
      </c>
    </row>
    <row r="3268">
      <c r="A3268" s="44">
        <v>3267.0</v>
      </c>
      <c r="B3268" s="44" t="str">
        <f>IFERROR(__xludf.DUMMYFUNCTION("""COMPUTED_VALUE"""),"Hospital Pérez Carreño")</f>
        <v>Hospital Pérez Carreño</v>
      </c>
      <c r="C3268" s="45" t="str">
        <f>IFERROR(__xludf.DUMMYFUNCTION("""COMPUTED_VALUE"""),"RODRIGUEZ YOSBEILY")</f>
        <v>RODRIGUEZ YOSBEILY</v>
      </c>
      <c r="D3268" s="44" t="str">
        <f>IFERROR(__xludf.DUMMYFUNCTION("""COMPUTED_VALUE""")," ")</f>
        <v> </v>
      </c>
      <c r="E3268" s="44" t="str">
        <f>IFERROR(__xludf.DUMMYFUNCTION("""COMPUTED_VALUE"""),"")</f>
        <v/>
      </c>
      <c r="F3268" s="44" t="str">
        <f>IFERROR(__xludf.DUMMYFUNCTION("""COMPUTED_VALUE"""),"")</f>
        <v/>
      </c>
      <c r="G3268" s="44" t="str">
        <f>IFERROR(__xludf.DUMMYFUNCTION("""COMPUTED_VALUE""")," ")</f>
        <v> </v>
      </c>
      <c r="H3268" s="44" t="str">
        <f>IFERROR(__xludf.DUMMYFUNCTION("""COMPUTED_VALUE""")," ")</f>
        <v> </v>
      </c>
      <c r="I3268" s="44" t="str">
        <f>IFERROR(__xludf.DUMMYFUNCTION("""COMPUTED_VALUE"""),"Pediatría – Lista alta; de alta con Lilian Olivo")</f>
        <v>Pediatría – Lista alta; de alta con Lilian Olivo</v>
      </c>
      <c r="J3268" s="44" t="str">
        <f>IFERROR(__xludf.DUMMYFUNCTION("""COMPUTED_VALUE"""),"")</f>
        <v/>
      </c>
      <c r="K3268" s="42" t="str">
        <f>IFERROR(__xludf.DUMMYFUNCTION("""COMPUTED_VALUE"""),"🔍 BUSCAR PACIENTES")</f>
        <v>🔍 BUSCAR PACIENTES</v>
      </c>
    </row>
    <row r="3269">
      <c r="A3269" s="44">
        <v>3268.0</v>
      </c>
      <c r="B3269" s="44" t="str">
        <f>IFERROR(__xludf.DUMMYFUNCTION("""COMPUTED_VALUE"""),"La Guaira Sin Hospital")</f>
        <v>La Guaira Sin Hospital</v>
      </c>
      <c r="C3269" s="45" t="str">
        <f>IFERROR(__xludf.DUMMYFUNCTION("""COMPUTED_VALUE"""),"Rodriguez Yosbelly")</f>
        <v>Rodriguez Yosbelly</v>
      </c>
      <c r="D3269" s="44" t="str">
        <f>IFERROR(__xludf.DUMMYFUNCTION("""COMPUTED_VALUE"""),"")</f>
        <v/>
      </c>
      <c r="E3269" s="44" t="str">
        <f>IFERROR(__xludf.DUMMYFUNCTION("""COMPUTED_VALUE"""),"")</f>
        <v/>
      </c>
      <c r="F3269" s="44" t="str">
        <f>IFERROR(__xludf.DUMMYFUNCTION("""COMPUTED_VALUE"""),"")</f>
        <v/>
      </c>
      <c r="G3269" s="44" t="str">
        <f>IFERROR(__xludf.DUMMYFUNCTION("""COMPUTED_VALUE"""),"")</f>
        <v/>
      </c>
      <c r="H3269" s="44" t="str">
        <f>IFERROR(__xludf.DUMMYFUNCTION("""COMPUTED_VALUE"""),"La Guaira Caribe")</f>
        <v>La Guaira Caribe</v>
      </c>
      <c r="I3269" s="44" t="str">
        <f>IFERROR(__xludf.DUMMYFUNCTION("""COMPUTED_VALUE"""),"Listas con ubicación")</f>
        <v>Listas con ubicación</v>
      </c>
      <c r="J3269" s="44" t="str">
        <f>IFERROR(__xludf.DUMMYFUNCTION("""COMPUTED_VALUE"""),"")</f>
        <v/>
      </c>
      <c r="K3269" s="42" t="str">
        <f>IFERROR(__xludf.DUMMYFUNCTION("""COMPUTED_VALUE"""),"La Guaira Sin Hospital")</f>
        <v>La Guaira Sin Hospital</v>
      </c>
    </row>
    <row r="3270">
      <c r="A3270" s="44">
        <v>3269.0</v>
      </c>
      <c r="B3270" s="44" t="str">
        <f>IFERROR(__xludf.DUMMYFUNCTION("""COMPUTED_VALUE"""),"Centro de Acopio Caraballeda")</f>
        <v>Centro de Acopio Caraballeda</v>
      </c>
      <c r="C3270" s="45" t="str">
        <f>IFERROR(__xludf.DUMMYFUNCTION("""COMPUTED_VALUE"""),"RODRIGUEZ YOSGUAR")</f>
        <v>RODRIGUEZ YOSGUAR</v>
      </c>
      <c r="D3270" s="44" t="str">
        <f>IFERROR(__xludf.DUMMYFUNCTION("""COMPUTED_VALUE""")," ")</f>
        <v> </v>
      </c>
      <c r="E3270" s="44" t="str">
        <f>IFERROR(__xludf.DUMMYFUNCTION("""COMPUTED_VALUE"""),"")</f>
        <v/>
      </c>
      <c r="F3270" s="44" t="str">
        <f>IFERROR(__xludf.DUMMYFUNCTION("""COMPUTED_VALUE"""),"")</f>
        <v/>
      </c>
      <c r="G3270" s="44" t="str">
        <f>IFERROR(__xludf.DUMMYFUNCTION("""COMPUTED_VALUE""")," ")</f>
        <v> </v>
      </c>
      <c r="H3270" s="44" t="str">
        <f>IFERROR(__xludf.DUMMYFUNCTION("""COMPUTED_VALUE""")," ")</f>
        <v> </v>
      </c>
      <c r="I3270" s="44" t="str">
        <f>IFERROR(__xludf.DUMMYFUNCTION("""COMPUTED_VALUE"""),"Internado")</f>
        <v>Internado</v>
      </c>
      <c r="J3270" s="44" t="str">
        <f>IFERROR(__xludf.DUMMYFUNCTION("""COMPUTED_VALUE"""),"")</f>
        <v/>
      </c>
      <c r="K3270" s="42" t="str">
        <f>IFERROR(__xludf.DUMMYFUNCTION("""COMPUTED_VALUE"""),"🔍 BUSCAR PACIENTES")</f>
        <v>🔍 BUSCAR PACIENTES</v>
      </c>
    </row>
    <row r="3271">
      <c r="A3271" s="44">
        <v>3270.0</v>
      </c>
      <c r="B3271" s="44" t="str">
        <f>IFERROR(__xludf.DUMMYFUNCTION("""COMPUTED_VALUE"""),"Hospital Pérez Carreño")</f>
        <v>Hospital Pérez Carreño</v>
      </c>
      <c r="C3271" s="45" t="str">
        <f>IFERROR(__xludf.DUMMYFUNCTION("""COMPUTED_VALUE"""),"Rodriguez Yulaity")</f>
        <v>Rodriguez Yulaity</v>
      </c>
      <c r="D3271" s="44"/>
      <c r="E3271" s="44" t="str">
        <f>IFERROR(__xludf.DUMMYFUNCTION("""COMPUTED_VALUE"""),"")</f>
        <v/>
      </c>
      <c r="F3271" s="44" t="str">
        <f>IFERROR(__xludf.DUMMYFUNCTION("""COMPUTED_VALUE"""),"")</f>
        <v/>
      </c>
      <c r="G3271" s="44" t="str">
        <f>IFERROR(__xludf.DUMMYFUNCTION("""COMPUTED_VALUE"""),"Traslados con destino asignado")</f>
        <v>Traslados con destino asignado</v>
      </c>
      <c r="H3271" s="44" t="str">
        <f>IFERROR(__xludf.DUMMYFUNCTION("""COMPUTED_VALUE"""),"Hospital Miguel Perez Carreño")</f>
        <v>Hospital Miguel Perez Carreño</v>
      </c>
      <c r="I3271" s="44"/>
      <c r="J3271" s="44" t="str">
        <f>IFERROR(__xludf.DUMMYFUNCTION("""COMPUTED_VALUE"""),"26/6/26")</f>
        <v>26/6/26</v>
      </c>
      <c r="K3271" s="42" t="str">
        <f>IFERROR(__xludf.DUMMYFUNCTION("""COMPUTED_VALUE"""),"Hospital Pérez Carreño")</f>
        <v>Hospital Pérez Carreño</v>
      </c>
    </row>
    <row r="3272">
      <c r="A3272" s="44">
        <v>3271.0</v>
      </c>
      <c r="B3272" s="44" t="str">
        <f>IFERROR(__xludf.DUMMYFUNCTION("""COMPUTED_VALUE"""),"Centro de Acopio Caraballeda")</f>
        <v>Centro de Acopio Caraballeda</v>
      </c>
      <c r="C3272" s="45" t="str">
        <f>IFERROR(__xludf.DUMMYFUNCTION("""COMPUTED_VALUE"""),"ROGER CAMARGO")</f>
        <v>ROGER CAMARGO</v>
      </c>
      <c r="D3272" s="44" t="str">
        <f>IFERROR(__xludf.DUMMYFUNCTION("""COMPUTED_VALUE""")," ")</f>
        <v> </v>
      </c>
      <c r="E3272" s="44" t="str">
        <f>IFERROR(__xludf.DUMMYFUNCTION("""COMPUTED_VALUE"""),"")</f>
        <v/>
      </c>
      <c r="F3272" s="44" t="str">
        <f>IFERROR(__xludf.DUMMYFUNCTION("""COMPUTED_VALUE"""),"")</f>
        <v/>
      </c>
      <c r="G3272" s="44" t="str">
        <f>IFERROR(__xludf.DUMMYFUNCTION("""COMPUTED_VALUE""")," ")</f>
        <v> </v>
      </c>
      <c r="H3272" s="44" t="str">
        <f>IFERROR(__xludf.DUMMYFUNCTION("""COMPUTED_VALUE""")," ")</f>
        <v> </v>
      </c>
      <c r="I3272" s="44" t="str">
        <f>IFERROR(__xludf.DUMMYFUNCTION("""COMPUTED_VALUE"""),"Internado")</f>
        <v>Internado</v>
      </c>
      <c r="J3272" s="44" t="str">
        <f>IFERROR(__xludf.DUMMYFUNCTION("""COMPUTED_VALUE"""),"")</f>
        <v/>
      </c>
      <c r="K3272" s="42" t="str">
        <f>IFERROR(__xludf.DUMMYFUNCTION("""COMPUTED_VALUE"""),"🔍 BUSCAR PACIENTES")</f>
        <v>🔍 BUSCAR PACIENTES</v>
      </c>
    </row>
    <row r="3273">
      <c r="A3273" s="44">
        <v>3272.0</v>
      </c>
      <c r="B3273" s="44" t="str">
        <f>IFERROR(__xludf.DUMMYFUNCTION("""COMPUTED_VALUE"""),"Campo de Golf Playa los Cocos")</f>
        <v>Campo de Golf Playa los Cocos</v>
      </c>
      <c r="C3273" s="45" t="str">
        <f>IFERROR(__xludf.DUMMYFUNCTION("""COMPUTED_VALUE"""),"Roger Nieves")</f>
        <v>Roger Nieves</v>
      </c>
      <c r="D3273" s="44" t="str">
        <f>IFERROR(__xludf.DUMMYFUNCTION("""COMPUTED_VALUE"""),"")</f>
        <v/>
      </c>
      <c r="E3273" s="44" t="str">
        <f>IFERROR(__xludf.DUMMYFUNCTION("""COMPUTED_VALUE"""),"")</f>
        <v/>
      </c>
      <c r="F3273" s="44" t="str">
        <f>IFERROR(__xludf.DUMMYFUNCTION("""COMPUTED_VALUE"""),"")</f>
        <v/>
      </c>
      <c r="G3273" s="44" t="str">
        <f>IFERROR(__xludf.DUMMYFUNCTION("""COMPUTED_VALUE"""),"")</f>
        <v/>
      </c>
      <c r="H3273" s="44" t="str">
        <f>IFERROR(__xludf.DUMMYFUNCTION("""COMPUTED_VALUE"""),"")</f>
        <v/>
      </c>
      <c r="I3273" s="44"/>
      <c r="J3273" s="44" t="str">
        <f>IFERROR(__xludf.DUMMYFUNCTION("""COMPUTED_VALUE"""),"")</f>
        <v/>
      </c>
      <c r="K3273" s="42" t="str">
        <f>IFERROR(__xludf.DUMMYFUNCTION("""COMPUTED_VALUE"""),"Campo de Golf Playa los Cocos")</f>
        <v>Campo de Golf Playa los Cocos</v>
      </c>
    </row>
    <row r="3274">
      <c r="A3274" s="44">
        <v>3273.0</v>
      </c>
      <c r="B3274" s="44" t="str">
        <f>IFERROR(__xludf.DUMMYFUNCTION("""COMPUTED_VALUE"""),"H. Jose Maria Vargas LG")</f>
        <v>H. Jose Maria Vargas LG</v>
      </c>
      <c r="C3274" s="45" t="str">
        <f>IFERROR(__xludf.DUMMYFUNCTION("""COMPUTED_VALUE"""),"ROJAS ANDREA")</f>
        <v>ROJAS ANDREA</v>
      </c>
      <c r="D3274" s="44">
        <f>IFERROR(__xludf.DUMMYFUNCTION("""COMPUTED_VALUE"""),12.0)</f>
        <v>12</v>
      </c>
      <c r="E3274" s="44" t="str">
        <f>IFERROR(__xludf.DUMMYFUNCTION("""COMPUTED_VALUE"""),"")</f>
        <v/>
      </c>
      <c r="F3274" s="44" t="str">
        <f>IFERROR(__xludf.DUMMYFUNCTION("""COMPUTED_VALUE"""),"")</f>
        <v/>
      </c>
      <c r="G3274" s="44" t="str">
        <f>IFERROR(__xludf.DUMMYFUNCTION("""COMPUTED_VALUE""")," ")</f>
        <v> </v>
      </c>
      <c r="H3274" s="44" t="str">
        <f>IFERROR(__xludf.DUMMYFUNCTION("""COMPUTED_VALUE"""),"Naiguata")</f>
        <v>Naiguata</v>
      </c>
      <c r="I3274" s="44" t="str">
        <f>IFERROR(__xludf.DUMMYFUNCTION("""COMPUTED_VALUE""")," ")</f>
        <v> </v>
      </c>
      <c r="J3274" s="44" t="str">
        <f>IFERROR(__xludf.DUMMYFUNCTION("""COMPUTED_VALUE"""),"")</f>
        <v/>
      </c>
      <c r="K3274" s="42" t="str">
        <f>IFERROR(__xludf.DUMMYFUNCTION("""COMPUTED_VALUE"""),"H. Jose Maria Vargas LG")</f>
        <v>H. Jose Maria Vargas LG</v>
      </c>
    </row>
    <row r="3275">
      <c r="A3275" s="44">
        <v>3274.0</v>
      </c>
      <c r="B3275" s="44" t="str">
        <f>IFERROR(__xludf.DUMMYFUNCTION("""COMPUTED_VALUE"""),"Centro de Acopio Caraballeda")</f>
        <v>Centro de Acopio Caraballeda</v>
      </c>
      <c r="C3275" s="45" t="str">
        <f>IFERROR(__xludf.DUMMYFUNCTION("""COMPUTED_VALUE"""),"ROJAS MIGUEL")</f>
        <v>ROJAS MIGUEL</v>
      </c>
      <c r="D3275" s="44" t="str">
        <f>IFERROR(__xludf.DUMMYFUNCTION("""COMPUTED_VALUE""")," ")</f>
        <v> </v>
      </c>
      <c r="E3275" s="44" t="str">
        <f>IFERROR(__xludf.DUMMYFUNCTION("""COMPUTED_VALUE"""),"")</f>
        <v/>
      </c>
      <c r="F3275" s="44" t="str">
        <f>IFERROR(__xludf.DUMMYFUNCTION("""COMPUTED_VALUE"""),"")</f>
        <v/>
      </c>
      <c r="G3275" s="44" t="str">
        <f>IFERROR(__xludf.DUMMYFUNCTION("""COMPUTED_VALUE""")," ")</f>
        <v> </v>
      </c>
      <c r="H3275" s="44" t="str">
        <f>IFERROR(__xludf.DUMMYFUNCTION("""COMPUTED_VALUE""")," ")</f>
        <v> </v>
      </c>
      <c r="I3275" s="44" t="str">
        <f>IFERROR(__xludf.DUMMYFUNCTION("""COMPUTED_VALUE"""),"Internado")</f>
        <v>Internado</v>
      </c>
      <c r="J3275" s="44" t="str">
        <f>IFERROR(__xludf.DUMMYFUNCTION("""COMPUTED_VALUE"""),"")</f>
        <v/>
      </c>
      <c r="K3275" s="42" t="str">
        <f>IFERROR(__xludf.DUMMYFUNCTION("""COMPUTED_VALUE"""),"🔍 BUSCAR PACIENTES")</f>
        <v>🔍 BUSCAR PACIENTES</v>
      </c>
    </row>
    <row r="3276">
      <c r="A3276" s="44">
        <v>3275.0</v>
      </c>
      <c r="B3276" s="44" t="str">
        <f>IFERROR(__xludf.DUMMYFUNCTION("""COMPUTED_VALUE"""),"Hospital Domingo Luciani")</f>
        <v>Hospital Domingo Luciani</v>
      </c>
      <c r="C3276" s="45" t="str">
        <f>IFERROR(__xludf.DUMMYFUNCTION("""COMPUTED_VALUE"""),"ROJAS RAFAEL")</f>
        <v>ROJAS RAFAEL</v>
      </c>
      <c r="D3276" s="44">
        <f>IFERROR(__xludf.DUMMYFUNCTION("""COMPUTED_VALUE"""),50.0)</f>
        <v>50</v>
      </c>
      <c r="E3276" s="44" t="str">
        <f>IFERROR(__xludf.DUMMYFUNCTION("""COMPUTED_VALUE"""),"")</f>
        <v/>
      </c>
      <c r="F3276" s="44" t="str">
        <f>IFERROR(__xludf.DUMMYFUNCTION("""COMPUTED_VALUE"""),"")</f>
        <v/>
      </c>
      <c r="G3276" s="44" t="str">
        <f>IFERROR(__xludf.DUMMYFUNCTION("""COMPUTED_VALUE""")," ")</f>
        <v> </v>
      </c>
      <c r="H3276" s="44" t="str">
        <f>IFERROR(__xludf.DUMMYFUNCTION("""COMPUTED_VALUE""")," ")</f>
        <v> </v>
      </c>
      <c r="I3276" s="44" t="str">
        <f>IFERROR(__xludf.DUMMYFUNCTION("""COMPUTED_VALUE""")," ")</f>
        <v> </v>
      </c>
      <c r="J3276" s="44" t="str">
        <f>IFERROR(__xludf.DUMMYFUNCTION("""COMPUTED_VALUE"""),"")</f>
        <v/>
      </c>
      <c r="K3276" s="42" t="str">
        <f>IFERROR(__xludf.DUMMYFUNCTION("""COMPUTED_VALUE"""),"🔍 BUSCAR PACIENTES")</f>
        <v>🔍 BUSCAR PACIENTES</v>
      </c>
    </row>
    <row r="3277">
      <c r="A3277" s="44">
        <v>3276.0</v>
      </c>
      <c r="B3277" s="44" t="str">
        <f>IFERROR(__xludf.DUMMYFUNCTION("""COMPUTED_VALUE"""),"Hospital Pérez Carreño")</f>
        <v>Hospital Pérez Carreño</v>
      </c>
      <c r="C3277" s="45" t="str">
        <f>IFERROR(__xludf.DUMMYFUNCTION("""COMPUTED_VALUE"""),"ROMAN VULEIDY")</f>
        <v>ROMAN VULEIDY</v>
      </c>
      <c r="D3277" s="44" t="str">
        <f>IFERROR(__xludf.DUMMYFUNCTION("""COMPUTED_VALUE""")," ")</f>
        <v> </v>
      </c>
      <c r="E3277" s="44" t="str">
        <f>IFERROR(__xludf.DUMMYFUNCTION("""COMPUTED_VALUE"""),"")</f>
        <v/>
      </c>
      <c r="F3277" s="44" t="str">
        <f>IFERROR(__xludf.DUMMYFUNCTION("""COMPUTED_VALUE"""),"")</f>
        <v/>
      </c>
      <c r="G3277" s="44" t="str">
        <f>IFERROR(__xludf.DUMMYFUNCTION("""COMPUTED_VALUE""")," ")</f>
        <v> </v>
      </c>
      <c r="H3277" s="44" t="str">
        <f>IFERROR(__xludf.DUMMYFUNCTION("""COMPUTED_VALUE""")," ")</f>
        <v> </v>
      </c>
      <c r="I3277" s="44" t="str">
        <f>IFERROR(__xludf.DUMMYFUNCTION("""COMPUTED_VALUE"""),"Traumachok – Triaje Neuro; La Guaira")</f>
        <v>Traumachok – Triaje Neuro; La Guaira</v>
      </c>
      <c r="J3277" s="44" t="str">
        <f>IFERROR(__xludf.DUMMYFUNCTION("""COMPUTED_VALUE"""),"")</f>
        <v/>
      </c>
      <c r="K3277" s="42" t="str">
        <f>IFERROR(__xludf.DUMMYFUNCTION("""COMPUTED_VALUE"""),"🔍 BUSCAR PACIENTES")</f>
        <v>🔍 BUSCAR PACIENTES</v>
      </c>
    </row>
    <row r="3278">
      <c r="A3278" s="44">
        <v>3277.0</v>
      </c>
      <c r="B3278" s="44" t="str">
        <f>IFERROR(__xludf.DUMMYFUNCTION("""COMPUTED_VALUE"""),"H. Jose Maria Vargas LG")</f>
        <v>H. Jose Maria Vargas LG</v>
      </c>
      <c r="C3278" s="45" t="str">
        <f>IFERROR(__xludf.DUMMYFUNCTION("""COMPUTED_VALUE"""),"ROMDON ARIYELIS")</f>
        <v>ROMDON ARIYELIS</v>
      </c>
      <c r="D3278" s="44" t="str">
        <f>IFERROR(__xludf.DUMMYFUNCTION("""COMPUTED_VALUE""")," ")</f>
        <v> </v>
      </c>
      <c r="E3278" s="44" t="str">
        <f>IFERROR(__xludf.DUMMYFUNCTION("""COMPUTED_VALUE"""),"")</f>
        <v/>
      </c>
      <c r="F3278" s="44" t="str">
        <f>IFERROR(__xludf.DUMMYFUNCTION("""COMPUTED_VALUE"""),"")</f>
        <v/>
      </c>
      <c r="G3278" s="44" t="str">
        <f>IFERROR(__xludf.DUMMYFUNCTION("""COMPUTED_VALUE""")," ")</f>
        <v> </v>
      </c>
      <c r="H3278" s="44" t="str">
        <f>IFERROR(__xludf.DUMMYFUNCTION("""COMPUTED_VALUE""")," ")</f>
        <v> </v>
      </c>
      <c r="I3278" s="44" t="str">
        <f>IFERROR(__xludf.DUMMYFUNCTION("""COMPUTED_VALUE""")," ")</f>
        <v> </v>
      </c>
      <c r="J3278" s="44" t="str">
        <f>IFERROR(__xludf.DUMMYFUNCTION("""COMPUTED_VALUE"""),"")</f>
        <v/>
      </c>
      <c r="K3278" s="42" t="str">
        <f>IFERROR(__xludf.DUMMYFUNCTION("""COMPUTED_VALUE"""),"H. Jose Maria Vargas LG")</f>
        <v>H. Jose Maria Vargas LG</v>
      </c>
    </row>
    <row r="3279">
      <c r="A3279" s="44">
        <v>3278.0</v>
      </c>
      <c r="B3279" s="44" t="str">
        <f>IFERROR(__xludf.DUMMYFUNCTION("""COMPUTED_VALUE"""),"Centro de Acopio Caraballeda")</f>
        <v>Centro de Acopio Caraballeda</v>
      </c>
      <c r="C3279" s="45" t="str">
        <f>IFERROR(__xludf.DUMMYFUNCTION("""COMPUTED_VALUE"""),"ROMERO ARIANGEL")</f>
        <v>ROMERO ARIANGEL</v>
      </c>
      <c r="D3279" s="44" t="str">
        <f>IFERROR(__xludf.DUMMYFUNCTION("""COMPUTED_VALUE""")," ")</f>
        <v> </v>
      </c>
      <c r="E3279" s="44" t="str">
        <f>IFERROR(__xludf.DUMMYFUNCTION("""COMPUTED_VALUE"""),"")</f>
        <v/>
      </c>
      <c r="F3279" s="44" t="str">
        <f>IFERROR(__xludf.DUMMYFUNCTION("""COMPUTED_VALUE"""),"")</f>
        <v/>
      </c>
      <c r="G3279" s="44" t="str">
        <f>IFERROR(__xludf.DUMMYFUNCTION("""COMPUTED_VALUE""")," ")</f>
        <v> </v>
      </c>
      <c r="H3279" s="44" t="str">
        <f>IFERROR(__xludf.DUMMYFUNCTION("""COMPUTED_VALUE""")," ")</f>
        <v> </v>
      </c>
      <c r="I3279" s="44" t="str">
        <f>IFERROR(__xludf.DUMMYFUNCTION("""COMPUTED_VALUE"""),"Internado")</f>
        <v>Internado</v>
      </c>
      <c r="J3279" s="44" t="str">
        <f>IFERROR(__xludf.DUMMYFUNCTION("""COMPUTED_VALUE"""),"")</f>
        <v/>
      </c>
      <c r="K3279" s="42" t="str">
        <f>IFERROR(__xludf.DUMMYFUNCTION("""COMPUTED_VALUE"""),"🔍 BUSCAR PACIENTES")</f>
        <v>🔍 BUSCAR PACIENTES</v>
      </c>
    </row>
    <row r="3280">
      <c r="A3280" s="44">
        <v>3279.0</v>
      </c>
      <c r="B3280" s="44" t="str">
        <f>IFERROR(__xludf.DUMMYFUNCTION("""COMPUTED_VALUE"""),"Centro de Acopio Caraballeda")</f>
        <v>Centro de Acopio Caraballeda</v>
      </c>
      <c r="C3280" s="45" t="str">
        <f>IFERROR(__xludf.DUMMYFUNCTION("""COMPUTED_VALUE"""),"ROMERO DANYER")</f>
        <v>ROMERO DANYER</v>
      </c>
      <c r="D3280" s="44" t="str">
        <f>IFERROR(__xludf.DUMMYFUNCTION("""COMPUTED_VALUE""")," ")</f>
        <v> </v>
      </c>
      <c r="E3280" s="44" t="str">
        <f>IFERROR(__xludf.DUMMYFUNCTION("""COMPUTED_VALUE"""),"")</f>
        <v/>
      </c>
      <c r="F3280" s="44" t="str">
        <f>IFERROR(__xludf.DUMMYFUNCTION("""COMPUTED_VALUE"""),"")</f>
        <v/>
      </c>
      <c r="G3280" s="44" t="str">
        <f>IFERROR(__xludf.DUMMYFUNCTION("""COMPUTED_VALUE""")," ")</f>
        <v> </v>
      </c>
      <c r="H3280" s="44" t="str">
        <f>IFERROR(__xludf.DUMMYFUNCTION("""COMPUTED_VALUE""")," ")</f>
        <v> </v>
      </c>
      <c r="I3280" s="44" t="str">
        <f>IFERROR(__xludf.DUMMYFUNCTION("""COMPUTED_VALUE"""),"Internado")</f>
        <v>Internado</v>
      </c>
      <c r="J3280" s="44" t="str">
        <f>IFERROR(__xludf.DUMMYFUNCTION("""COMPUTED_VALUE"""),"")</f>
        <v/>
      </c>
      <c r="K3280" s="42" t="str">
        <f>IFERROR(__xludf.DUMMYFUNCTION("""COMPUTED_VALUE"""),"🔍 BUSCAR PACIENTES")</f>
        <v>🔍 BUSCAR PACIENTES</v>
      </c>
    </row>
    <row r="3281">
      <c r="A3281" s="44">
        <v>3280.0</v>
      </c>
      <c r="B3281" s="44" t="str">
        <f>IFERROR(__xludf.DUMMYFUNCTION("""COMPUTED_VALUE"""),"Hospital Pérez Carreño")</f>
        <v>Hospital Pérez Carreño</v>
      </c>
      <c r="C3281" s="45" t="str">
        <f>IFERROR(__xludf.DUMMYFUNCTION("""COMPUTED_VALUE"""),"Romero Duque Yaubelin Whaphira")</f>
        <v>Romero Duque Yaubelin Whaphira</v>
      </c>
      <c r="D3281" s="44"/>
      <c r="E3281" s="44" t="str">
        <f>IFERROR(__xludf.DUMMYFUNCTION("""COMPUTED_VALUE"""),"")</f>
        <v/>
      </c>
      <c r="F3281" s="44" t="str">
        <f>IFERROR(__xludf.DUMMYFUNCTION("""COMPUTED_VALUE"""),"")</f>
        <v/>
      </c>
      <c r="G3281" s="44" t="str">
        <f>IFERROR(__xludf.DUMMYFUNCTION("""COMPUTED_VALUE"""),"Traslados con destino asignado")</f>
        <v>Traslados con destino asignado</v>
      </c>
      <c r="H3281" s="44" t="str">
        <f>IFERROR(__xludf.DUMMYFUNCTION("""COMPUTED_VALUE"""),"Hospital Miguel Perez Carreño")</f>
        <v>Hospital Miguel Perez Carreño</v>
      </c>
      <c r="I3281" s="44"/>
      <c r="J3281" s="44" t="str">
        <f>IFERROR(__xludf.DUMMYFUNCTION("""COMPUTED_VALUE"""),"26/6/26")</f>
        <v>26/6/26</v>
      </c>
      <c r="K3281" s="42" t="str">
        <f>IFERROR(__xludf.DUMMYFUNCTION("""COMPUTED_VALUE"""),"Hospital Pérez Carreño")</f>
        <v>Hospital Pérez Carreño</v>
      </c>
    </row>
    <row r="3282">
      <c r="A3282" s="44">
        <v>3281.0</v>
      </c>
      <c r="B3282" s="44" t="str">
        <f>IFERROR(__xludf.DUMMYFUNCTION("""COMPUTED_VALUE"""),"H. Jose Maria Vargas LG")</f>
        <v>H. Jose Maria Vargas LG</v>
      </c>
      <c r="C3282" s="45" t="str">
        <f>IFERROR(__xludf.DUMMYFUNCTION("""COMPUTED_VALUE"""),"ROMERO FRAIDELI")</f>
        <v>ROMERO FRAIDELI</v>
      </c>
      <c r="D3282" s="44" t="str">
        <f>IFERROR(__xludf.DUMMYFUNCTION("""COMPUTED_VALUE""")," ")</f>
        <v> </v>
      </c>
      <c r="E3282" s="44" t="str">
        <f>IFERROR(__xludf.DUMMYFUNCTION("""COMPUTED_VALUE"""),"")</f>
        <v/>
      </c>
      <c r="F3282" s="44" t="str">
        <f>IFERROR(__xludf.DUMMYFUNCTION("""COMPUTED_VALUE"""),"")</f>
        <v/>
      </c>
      <c r="G3282" s="44" t="str">
        <f>IFERROR(__xludf.DUMMYFUNCTION("""COMPUTED_VALUE""")," ")</f>
        <v> </v>
      </c>
      <c r="H3282" s="44" t="str">
        <f>IFERROR(__xludf.DUMMYFUNCTION("""COMPUTED_VALUE""")," ")</f>
        <v> </v>
      </c>
      <c r="I3282" s="44" t="str">
        <f>IFERROR(__xludf.DUMMYFUNCTION("""COMPUTED_VALUE""")," ")</f>
        <v> </v>
      </c>
      <c r="J3282" s="44" t="str">
        <f>IFERROR(__xludf.DUMMYFUNCTION("""COMPUTED_VALUE"""),"")</f>
        <v/>
      </c>
      <c r="K3282" s="42" t="str">
        <f>IFERROR(__xludf.DUMMYFUNCTION("""COMPUTED_VALUE"""),"H. Jose Maria Vargas LG")</f>
        <v>H. Jose Maria Vargas LG</v>
      </c>
    </row>
    <row r="3283">
      <c r="A3283" s="44">
        <v>3282.0</v>
      </c>
      <c r="B3283" s="44" t="str">
        <f>IFERROR(__xludf.DUMMYFUNCTION("""COMPUTED_VALUE"""),"Hospital Pérez Carreño")</f>
        <v>Hospital Pérez Carreño</v>
      </c>
      <c r="C3283" s="45" t="str">
        <f>IFERROR(__xludf.DUMMYFUNCTION("""COMPUTED_VALUE"""),"ROMERO JESUS")</f>
        <v>ROMERO JESUS</v>
      </c>
      <c r="D3283" s="44" t="str">
        <f>IFERROR(__xludf.DUMMYFUNCTION("""COMPUTED_VALUE""")," ")</f>
        <v> </v>
      </c>
      <c r="E3283" s="44" t="str">
        <f>IFERROR(__xludf.DUMMYFUNCTION("""COMPUTED_VALUE"""),"")</f>
        <v/>
      </c>
      <c r="F3283" s="44" t="str">
        <f>IFERROR(__xludf.DUMMYFUNCTION("""COMPUTED_VALUE"""),"")</f>
        <v/>
      </c>
      <c r="G3283" s="44" t="str">
        <f>IFERROR(__xludf.DUMMYFUNCTION("""COMPUTED_VALUE""")," ")</f>
        <v> </v>
      </c>
      <c r="H3283" s="44" t="str">
        <f>IFERROR(__xludf.DUMMYFUNCTION("""COMPUTED_VALUE""")," ")</f>
        <v> </v>
      </c>
      <c r="I3283" s="44" t="str">
        <f>IFERROR(__xludf.DUMMYFUNCTION("""COMPUTED_VALUE"""),"Traumatología – Pasillo Asesor; Piso 1; La Guaira")</f>
        <v>Traumatología – Pasillo Asesor; Piso 1; La Guaira</v>
      </c>
      <c r="J3283" s="44" t="str">
        <f>IFERROR(__xludf.DUMMYFUNCTION("""COMPUTED_VALUE"""),"")</f>
        <v/>
      </c>
      <c r="K3283" s="42" t="str">
        <f>IFERROR(__xludf.DUMMYFUNCTION("""COMPUTED_VALUE"""),"🔍 BUSCAR PACIENTES")</f>
        <v>🔍 BUSCAR PACIENTES</v>
      </c>
    </row>
    <row r="3284">
      <c r="A3284" s="44">
        <v>3283.0</v>
      </c>
      <c r="B3284" s="44" t="str">
        <f>IFERROR(__xludf.DUMMYFUNCTION("""COMPUTED_VALUE"""),"Centro de Acopio Caraballeda")</f>
        <v>Centro de Acopio Caraballeda</v>
      </c>
      <c r="C3284" s="45" t="str">
        <f>IFERROR(__xludf.DUMMYFUNCTION("""COMPUTED_VALUE"""),"ROMERO JOHALIS")</f>
        <v>ROMERO JOHALIS</v>
      </c>
      <c r="D3284" s="44" t="str">
        <f>IFERROR(__xludf.DUMMYFUNCTION("""COMPUTED_VALUE""")," ")</f>
        <v> </v>
      </c>
      <c r="E3284" s="44" t="str">
        <f>IFERROR(__xludf.DUMMYFUNCTION("""COMPUTED_VALUE"""),"")</f>
        <v/>
      </c>
      <c r="F3284" s="44" t="str">
        <f>IFERROR(__xludf.DUMMYFUNCTION("""COMPUTED_VALUE"""),"")</f>
        <v/>
      </c>
      <c r="G3284" s="44" t="str">
        <f>IFERROR(__xludf.DUMMYFUNCTION("""COMPUTED_VALUE""")," ")</f>
        <v> </v>
      </c>
      <c r="H3284" s="44" t="str">
        <f>IFERROR(__xludf.DUMMYFUNCTION("""COMPUTED_VALUE""")," ")</f>
        <v> </v>
      </c>
      <c r="I3284" s="44" t="str">
        <f>IFERROR(__xludf.DUMMYFUNCTION("""COMPUTED_VALUE"""),"Internado")</f>
        <v>Internado</v>
      </c>
      <c r="J3284" s="44" t="str">
        <f>IFERROR(__xludf.DUMMYFUNCTION("""COMPUTED_VALUE"""),"")</f>
        <v/>
      </c>
      <c r="K3284" s="42" t="str">
        <f>IFERROR(__xludf.DUMMYFUNCTION("""COMPUTED_VALUE"""),"🔍 BUSCAR PACIENTES")</f>
        <v>🔍 BUSCAR PACIENTES</v>
      </c>
    </row>
    <row r="3285">
      <c r="A3285" s="44">
        <v>3284.0</v>
      </c>
      <c r="B3285" s="44" t="str">
        <f>IFERROR(__xludf.DUMMYFUNCTION("""COMPUTED_VALUE"""),"H. Jose Maria Vargas LG")</f>
        <v>H. Jose Maria Vargas LG</v>
      </c>
      <c r="C3285" s="45" t="str">
        <f>IFERROR(__xludf.DUMMYFUNCTION("""COMPUTED_VALUE"""),"ROMERO JONATAN")</f>
        <v>ROMERO JONATAN</v>
      </c>
      <c r="D3285" s="44">
        <f>IFERROR(__xludf.DUMMYFUNCTION("""COMPUTED_VALUE"""),45.0)</f>
        <v>45</v>
      </c>
      <c r="E3285" s="44" t="str">
        <f>IFERROR(__xludf.DUMMYFUNCTION("""COMPUTED_VALUE"""),"")</f>
        <v/>
      </c>
      <c r="F3285" s="44" t="str">
        <f>IFERROR(__xludf.DUMMYFUNCTION("""COMPUTED_VALUE"""),"")</f>
        <v/>
      </c>
      <c r="G3285" s="44" t="str">
        <f>IFERROR(__xludf.DUMMYFUNCTION("""COMPUTED_VALUE""")," ")</f>
        <v> </v>
      </c>
      <c r="H3285" s="44" t="str">
        <f>IFERROR(__xludf.DUMMYFUNCTION("""COMPUTED_VALUE"""),"Caribe")</f>
        <v>Caribe</v>
      </c>
      <c r="I3285" s="44" t="str">
        <f>IFERROR(__xludf.DUMMYFUNCTION("""COMPUTED_VALUE""")," ")</f>
        <v> </v>
      </c>
      <c r="J3285" s="44" t="str">
        <f>IFERROR(__xludf.DUMMYFUNCTION("""COMPUTED_VALUE"""),"")</f>
        <v/>
      </c>
      <c r="K3285" s="42" t="str">
        <f>IFERROR(__xludf.DUMMYFUNCTION("""COMPUTED_VALUE"""),"H. Jose Maria Vargas LG")</f>
        <v>H. Jose Maria Vargas LG</v>
      </c>
    </row>
    <row r="3286">
      <c r="A3286" s="44">
        <v>3285.0</v>
      </c>
      <c r="B3286" s="44" t="str">
        <f>IFERROR(__xludf.DUMMYFUNCTION("""COMPUTED_VALUE"""),"Hospital Domingo Luciani")</f>
        <v>Hospital Domingo Luciani</v>
      </c>
      <c r="C3286" s="45" t="str">
        <f>IFERROR(__xludf.DUMMYFUNCTION("""COMPUTED_VALUE"""),"ROMERO JOSE")</f>
        <v>ROMERO JOSE</v>
      </c>
      <c r="D3286" s="44" t="str">
        <f>IFERROR(__xludf.DUMMYFUNCTION("""COMPUTED_VALUE""")," ")</f>
        <v> </v>
      </c>
      <c r="E3286" s="44" t="str">
        <f>IFERROR(__xludf.DUMMYFUNCTION("""COMPUTED_VALUE"""),"")</f>
        <v/>
      </c>
      <c r="F3286" s="44" t="str">
        <f>IFERROR(__xludf.DUMMYFUNCTION("""COMPUTED_VALUE"""),"")</f>
        <v/>
      </c>
      <c r="G3286" s="44" t="str">
        <f>IFERROR(__xludf.DUMMYFUNCTION("""COMPUTED_VALUE""")," ")</f>
        <v> </v>
      </c>
      <c r="H3286" s="44" t="str">
        <f>IFERROR(__xludf.DUMMYFUNCTION("""COMPUTED_VALUE""")," ")</f>
        <v> </v>
      </c>
      <c r="I3286" s="44" t="str">
        <f>IFERROR(__xludf.DUMMYFUNCTION("""COMPUTED_VALUE"""),"Edad ilegible")</f>
        <v>Edad ilegible</v>
      </c>
      <c r="J3286" s="44" t="str">
        <f>IFERROR(__xludf.DUMMYFUNCTION("""COMPUTED_VALUE"""),"")</f>
        <v/>
      </c>
      <c r="K3286" s="42" t="str">
        <f>IFERROR(__xludf.DUMMYFUNCTION("""COMPUTED_VALUE"""),"🔍 BUSCAR PACIENTES")</f>
        <v>🔍 BUSCAR PACIENTES</v>
      </c>
    </row>
    <row r="3287">
      <c r="A3287" s="44">
        <v>3286.0</v>
      </c>
      <c r="B3287" s="44" t="str">
        <f>IFERROR(__xludf.DUMMYFUNCTION("""COMPUTED_VALUE"""),"H. Jose Maria Vargas LG")</f>
        <v>H. Jose Maria Vargas LG</v>
      </c>
      <c r="C3287" s="45" t="str">
        <f>IFERROR(__xludf.DUMMYFUNCTION("""COMPUTED_VALUE"""),"ROMERO LUIS")</f>
        <v>ROMERO LUIS</v>
      </c>
      <c r="D3287" s="44" t="str">
        <f>IFERROR(__xludf.DUMMYFUNCTION("""COMPUTED_VALUE""")," ")</f>
        <v> </v>
      </c>
      <c r="E3287" s="44" t="str">
        <f>IFERROR(__xludf.DUMMYFUNCTION("""COMPUTED_VALUE"""),"")</f>
        <v/>
      </c>
      <c r="F3287" s="44" t="str">
        <f>IFERROR(__xludf.DUMMYFUNCTION("""COMPUTED_VALUE"""),"")</f>
        <v/>
      </c>
      <c r="G3287" s="44" t="str">
        <f>IFERROR(__xludf.DUMMYFUNCTION("""COMPUTED_VALUE""")," ")</f>
        <v> </v>
      </c>
      <c r="H3287" s="44" t="str">
        <f>IFERROR(__xludf.DUMMYFUNCTION("""COMPUTED_VALUE""")," ")</f>
        <v> </v>
      </c>
      <c r="I3287" s="44" t="str">
        <f>IFERROR(__xludf.DUMMYFUNCTION("""COMPUTED_VALUE""")," ")</f>
        <v> </v>
      </c>
      <c r="J3287" s="44" t="str">
        <f>IFERROR(__xludf.DUMMYFUNCTION("""COMPUTED_VALUE"""),"")</f>
        <v/>
      </c>
      <c r="K3287" s="42" t="str">
        <f>IFERROR(__xludf.DUMMYFUNCTION("""COMPUTED_VALUE"""),"H. Jose Maria Vargas LG")</f>
        <v>H. Jose Maria Vargas LG</v>
      </c>
    </row>
    <row r="3288">
      <c r="A3288" s="44">
        <v>3287.0</v>
      </c>
      <c r="B3288" s="44" t="str">
        <f>IFERROR(__xludf.DUMMYFUNCTION("""COMPUTED_VALUE"""),"Hospital Pérez Carreño")</f>
        <v>Hospital Pérez Carreño</v>
      </c>
      <c r="C3288" s="45" t="str">
        <f>IFERROR(__xludf.DUMMYFUNCTION("""COMPUTED_VALUE"""),"ROMERO NATALIO")</f>
        <v>ROMERO NATALIO</v>
      </c>
      <c r="D3288" s="44">
        <f>IFERROR(__xludf.DUMMYFUNCTION("""COMPUTED_VALUE"""),5.0)</f>
        <v>5</v>
      </c>
      <c r="E3288" s="44" t="str">
        <f>IFERROR(__xludf.DUMMYFUNCTION("""COMPUTED_VALUE"""),"")</f>
        <v/>
      </c>
      <c r="F3288" s="44" t="str">
        <f>IFERROR(__xludf.DUMMYFUNCTION("""COMPUTED_VALUE"""),"")</f>
        <v/>
      </c>
      <c r="G3288" s="44" t="str">
        <f>IFERROR(__xludf.DUMMYFUNCTION("""COMPUTED_VALUE""")," ")</f>
        <v> </v>
      </c>
      <c r="H3288" s="44" t="str">
        <f>IFERROR(__xludf.DUMMYFUNCTION("""COMPUTED_VALUE""")," ")</f>
        <v> </v>
      </c>
      <c r="I3288" s="44" t="str">
        <f>IFERROR(__xludf.DUMMYFUNCTION("""COMPUTED_VALUE"""),"SIN FAMILIAR – Pediátrico")</f>
        <v>SIN FAMILIAR – Pediátrico</v>
      </c>
      <c r="J3288" s="44" t="str">
        <f>IFERROR(__xludf.DUMMYFUNCTION("""COMPUTED_VALUE"""),"25/06/2026")</f>
        <v>25/06/2026</v>
      </c>
      <c r="K3288" s="42" t="str">
        <f>IFERROR(__xludf.DUMMYFUNCTION("""COMPUTED_VALUE"""),"Hospital Pérez Carreño")</f>
        <v>Hospital Pérez Carreño</v>
      </c>
    </row>
    <row r="3289">
      <c r="A3289" s="44">
        <v>3288.0</v>
      </c>
      <c r="B3289" s="44" t="str">
        <f>IFERROR(__xludf.DUMMYFUNCTION("""COMPUTED_VALUE"""),"Centro de Acopio Caraballeda")</f>
        <v>Centro de Acopio Caraballeda</v>
      </c>
      <c r="C3289" s="45" t="str">
        <f>IFERROR(__xludf.DUMMYFUNCTION("""COMPUTED_VALUE"""),"ROMERO SORELIS")</f>
        <v>ROMERO SORELIS</v>
      </c>
      <c r="D3289" s="44" t="str">
        <f>IFERROR(__xludf.DUMMYFUNCTION("""COMPUTED_VALUE""")," ")</f>
        <v> </v>
      </c>
      <c r="E3289" s="44" t="str">
        <f>IFERROR(__xludf.DUMMYFUNCTION("""COMPUTED_VALUE"""),"")</f>
        <v/>
      </c>
      <c r="F3289" s="44" t="str">
        <f>IFERROR(__xludf.DUMMYFUNCTION("""COMPUTED_VALUE"""),"")</f>
        <v/>
      </c>
      <c r="G3289" s="44" t="str">
        <f>IFERROR(__xludf.DUMMYFUNCTION("""COMPUTED_VALUE""")," ")</f>
        <v> </v>
      </c>
      <c r="H3289" s="44" t="str">
        <f>IFERROR(__xludf.DUMMYFUNCTION("""COMPUTED_VALUE""")," ")</f>
        <v> </v>
      </c>
      <c r="I3289" s="44" t="str">
        <f>IFERROR(__xludf.DUMMYFUNCTION("""COMPUTED_VALUE"""),"Internado")</f>
        <v>Internado</v>
      </c>
      <c r="J3289" s="44" t="str">
        <f>IFERROR(__xludf.DUMMYFUNCTION("""COMPUTED_VALUE"""),"")</f>
        <v/>
      </c>
      <c r="K3289" s="42" t="str">
        <f>IFERROR(__xludf.DUMMYFUNCTION("""COMPUTED_VALUE"""),"🔍 BUSCAR PACIENTES")</f>
        <v>🔍 BUSCAR PACIENTES</v>
      </c>
    </row>
    <row r="3290">
      <c r="A3290" s="44">
        <v>3289.0</v>
      </c>
      <c r="B3290" s="44" t="str">
        <f>IFERROR(__xludf.DUMMYFUNCTION("""COMPUTED_VALUE"""),"Centro de Acopio Caraballeda")</f>
        <v>Centro de Acopio Caraballeda</v>
      </c>
      <c r="C3290" s="45" t="str">
        <f>IFERROR(__xludf.DUMMYFUNCTION("""COMPUTED_VALUE"""),"ROMERO SORLI")</f>
        <v>ROMERO SORLI</v>
      </c>
      <c r="D3290" s="44" t="str">
        <f>IFERROR(__xludf.DUMMYFUNCTION("""COMPUTED_VALUE""")," ")</f>
        <v> </v>
      </c>
      <c r="E3290" s="44" t="str">
        <f>IFERROR(__xludf.DUMMYFUNCTION("""COMPUTED_VALUE"""),"")</f>
        <v/>
      </c>
      <c r="F3290" s="44" t="str">
        <f>IFERROR(__xludf.DUMMYFUNCTION("""COMPUTED_VALUE"""),"")</f>
        <v/>
      </c>
      <c r="G3290" s="44" t="str">
        <f>IFERROR(__xludf.DUMMYFUNCTION("""COMPUTED_VALUE""")," ")</f>
        <v> </v>
      </c>
      <c r="H3290" s="44" t="str">
        <f>IFERROR(__xludf.DUMMYFUNCTION("""COMPUTED_VALUE""")," ")</f>
        <v> </v>
      </c>
      <c r="I3290" s="44" t="str">
        <f>IFERROR(__xludf.DUMMYFUNCTION("""COMPUTED_VALUE"""),"Internado")</f>
        <v>Internado</v>
      </c>
      <c r="J3290" s="44" t="str">
        <f>IFERROR(__xludf.DUMMYFUNCTION("""COMPUTED_VALUE"""),"")</f>
        <v/>
      </c>
      <c r="K3290" s="42" t="str">
        <f>IFERROR(__xludf.DUMMYFUNCTION("""COMPUTED_VALUE"""),"🔍 BUSCAR PACIENTES")</f>
        <v>🔍 BUSCAR PACIENTES</v>
      </c>
    </row>
    <row r="3291">
      <c r="A3291" s="44">
        <v>3290.0</v>
      </c>
      <c r="B3291" s="44" t="str">
        <f>IFERROR(__xludf.DUMMYFUNCTION("""COMPUTED_VALUE"""),"Hospital Pérez Carreño")</f>
        <v>Hospital Pérez Carreño</v>
      </c>
      <c r="C3291" s="45" t="str">
        <f>IFERROR(__xludf.DUMMYFUNCTION("""COMPUTED_VALUE"""),"ROMERO YULEIDYS")</f>
        <v>ROMERO YULEIDYS</v>
      </c>
      <c r="D3291" s="44" t="str">
        <f>IFERROR(__xludf.DUMMYFUNCTION("""COMPUTED_VALUE""")," ")</f>
        <v> </v>
      </c>
      <c r="E3291" s="44" t="str">
        <f>IFERROR(__xludf.DUMMYFUNCTION("""COMPUTED_VALUE"""),"")</f>
        <v/>
      </c>
      <c r="F3291" s="44" t="str">
        <f>IFERROR(__xludf.DUMMYFUNCTION("""COMPUTED_VALUE"""),"")</f>
        <v/>
      </c>
      <c r="G3291" s="44" t="str">
        <f>IFERROR(__xludf.DUMMYFUNCTION("""COMPUTED_VALUE""")," ")</f>
        <v> </v>
      </c>
      <c r="H3291" s="44" t="str">
        <f>IFERROR(__xludf.DUMMYFUNCTION("""COMPUTED_VALUE""")," ")</f>
        <v> </v>
      </c>
      <c r="I3291" s="44" t="str">
        <f>IFERROR(__xludf.DUMMYFUNCTION("""COMPUTED_VALUE"""),"Internado; Trauma Shock / Triaje/ Neurocirugía")</f>
        <v>Internado; Trauma Shock / Triaje/ Neurocirugía</v>
      </c>
      <c r="J3291" s="44" t="str">
        <f>IFERROR(__xludf.DUMMYFUNCTION("""COMPUTED_VALUE"""),"")</f>
        <v/>
      </c>
      <c r="K3291" s="42" t="str">
        <f>IFERROR(__xludf.DUMMYFUNCTION("""COMPUTED_VALUE"""),"🔍 BUSCAR PACIENTES")</f>
        <v>🔍 BUSCAR PACIENTES</v>
      </c>
    </row>
    <row r="3292">
      <c r="A3292" s="44">
        <v>3291.0</v>
      </c>
      <c r="B3292" s="44" t="str">
        <f>IFERROR(__xludf.DUMMYFUNCTION("""COMPUTED_VALUE"""),"La Guaira Sin Hospital")</f>
        <v>La Guaira Sin Hospital</v>
      </c>
      <c r="C3292" s="45" t="str">
        <f>IFERROR(__xludf.DUMMYFUNCTION("""COMPUTED_VALUE"""),"Romero Yusleivens")</f>
        <v>Romero Yusleivens</v>
      </c>
      <c r="D3292" s="44" t="str">
        <f>IFERROR(__xludf.DUMMYFUNCTION("""COMPUTED_VALUE"""),"")</f>
        <v/>
      </c>
      <c r="E3292" s="44" t="str">
        <f>IFERROR(__xludf.DUMMYFUNCTION("""COMPUTED_VALUE"""),"")</f>
        <v/>
      </c>
      <c r="F3292" s="44" t="str">
        <f>IFERROR(__xludf.DUMMYFUNCTION("""COMPUTED_VALUE"""),"")</f>
        <v/>
      </c>
      <c r="G3292" s="44" t="str">
        <f>IFERROR(__xludf.DUMMYFUNCTION("""COMPUTED_VALUE"""),"")</f>
        <v/>
      </c>
      <c r="H3292" s="44" t="str">
        <f>IFERROR(__xludf.DUMMYFUNCTION("""COMPUTED_VALUE"""),"Caribe")</f>
        <v>Caribe</v>
      </c>
      <c r="I3292" s="44" t="str">
        <f>IFERROR(__xludf.DUMMYFUNCTION("""COMPUTED_VALUE"""),"Listas con ubicación")</f>
        <v>Listas con ubicación</v>
      </c>
      <c r="J3292" s="44" t="str">
        <f>IFERROR(__xludf.DUMMYFUNCTION("""COMPUTED_VALUE"""),"")</f>
        <v/>
      </c>
      <c r="K3292" s="42" t="str">
        <f>IFERROR(__xludf.DUMMYFUNCTION("""COMPUTED_VALUE"""),"La Guaira Sin Hospital")</f>
        <v>La Guaira Sin Hospital</v>
      </c>
    </row>
    <row r="3293">
      <c r="A3293" s="44">
        <v>3292.0</v>
      </c>
      <c r="B3293" s="44" t="str">
        <f>IFERROR(__xludf.DUMMYFUNCTION("""COMPUTED_VALUE"""),"Hospital Pérez Carreño")</f>
        <v>Hospital Pérez Carreño</v>
      </c>
      <c r="C3293" s="45" t="str">
        <f>IFERROR(__xludf.DUMMYFUNCTION("""COMPUTED_VALUE"""),"Romiel Fajardo")</f>
        <v>Romiel Fajardo</v>
      </c>
      <c r="D3293" s="44" t="str">
        <f>IFERROR(__xludf.DUMMYFUNCTION("""COMPUTED_VALUE"""),"33 años")</f>
        <v>33 años</v>
      </c>
      <c r="E3293" s="44" t="str">
        <f>IFERROR(__xludf.DUMMYFUNCTION("""COMPUTED_VALUE"""),"")</f>
        <v/>
      </c>
      <c r="F3293" s="44" t="str">
        <f>IFERROR(__xludf.DUMMYFUNCTION("""COMPUTED_VALUE"""),"")</f>
        <v/>
      </c>
      <c r="G3293" s="44" t="str">
        <f>IFERROR(__xludf.DUMMYFUNCTION("""COMPUTED_VALUE"""),"Traumashock ")</f>
        <v>Traumashock </v>
      </c>
      <c r="H3293" s="44" t="str">
        <f>IFERROR(__xludf.DUMMYFUNCTION("""COMPUTED_VALUE"""),"Hospital Miguel Perez Carreño")</f>
        <v>Hospital Miguel Perez Carreño</v>
      </c>
      <c r="I3293" s="44"/>
      <c r="J3293" s="44" t="str">
        <f>IFERROR(__xludf.DUMMYFUNCTION("""COMPUTED_VALUE"""),"26/6/26")</f>
        <v>26/6/26</v>
      </c>
      <c r="K3293" s="42" t="str">
        <f>IFERROR(__xludf.DUMMYFUNCTION("""COMPUTED_VALUE"""),"Hospital Pérez Carreño")</f>
        <v>Hospital Pérez Carreño</v>
      </c>
    </row>
    <row r="3294">
      <c r="A3294" s="44">
        <v>3293.0</v>
      </c>
      <c r="B3294" s="44" t="str">
        <f>IFERROR(__xludf.DUMMYFUNCTION("""COMPUTED_VALUE"""),"Hospital Pérez Carreño")</f>
        <v>Hospital Pérez Carreño</v>
      </c>
      <c r="C3294" s="45" t="str">
        <f>IFERROR(__xludf.DUMMYFUNCTION("""COMPUTED_VALUE"""),"Romirez Hilary Xarielys")</f>
        <v>Romirez Hilary Xarielys</v>
      </c>
      <c r="D3294" s="44"/>
      <c r="E3294" s="44" t="str">
        <f>IFERROR(__xludf.DUMMYFUNCTION("""COMPUTED_VALUE"""),"")</f>
        <v/>
      </c>
      <c r="F3294" s="44" t="str">
        <f>IFERROR(__xludf.DUMMYFUNCTION("""COMPUTED_VALUE"""),"")</f>
        <v/>
      </c>
      <c r="G3294" s="44" t="str">
        <f>IFERROR(__xludf.DUMMYFUNCTION("""COMPUTED_VALUE"""),"Traslados con destino asignado")</f>
        <v>Traslados con destino asignado</v>
      </c>
      <c r="H3294" s="44" t="str">
        <f>IFERROR(__xludf.DUMMYFUNCTION("""COMPUTED_VALUE"""),"Hospital Miguel Perez Carreño")</f>
        <v>Hospital Miguel Perez Carreño</v>
      </c>
      <c r="I3294" s="44"/>
      <c r="J3294" s="44" t="str">
        <f>IFERROR(__xludf.DUMMYFUNCTION("""COMPUTED_VALUE"""),"26/6/26")</f>
        <v>26/6/26</v>
      </c>
      <c r="K3294" s="42" t="str">
        <f>IFERROR(__xludf.DUMMYFUNCTION("""COMPUTED_VALUE"""),"Hospital Pérez Carreño")</f>
        <v>Hospital Pérez Carreño</v>
      </c>
    </row>
    <row r="3295">
      <c r="A3295" s="44">
        <v>3294.0</v>
      </c>
      <c r="B3295" s="44" t="str">
        <f>IFERROR(__xludf.DUMMYFUNCTION("""COMPUTED_VALUE"""),"Campo de Golf Playa los Cocos")</f>
        <v>Campo de Golf Playa los Cocos</v>
      </c>
      <c r="C3295" s="45" t="str">
        <f>IFERROR(__xludf.DUMMYFUNCTION("""COMPUTED_VALUE"""),"Ronaiker Olivares")</f>
        <v>Ronaiker Olivares</v>
      </c>
      <c r="D3295" s="44" t="str">
        <f>IFERROR(__xludf.DUMMYFUNCTION("""COMPUTED_VALUE"""),"")</f>
        <v/>
      </c>
      <c r="E3295" s="44" t="str">
        <f>IFERROR(__xludf.DUMMYFUNCTION("""COMPUTED_VALUE"""),"")</f>
        <v/>
      </c>
      <c r="F3295" s="44" t="str">
        <f>IFERROR(__xludf.DUMMYFUNCTION("""COMPUTED_VALUE"""),"")</f>
        <v/>
      </c>
      <c r="G3295" s="44" t="str">
        <f>IFERROR(__xludf.DUMMYFUNCTION("""COMPUTED_VALUE"""),"")</f>
        <v/>
      </c>
      <c r="H3295" s="44" t="str">
        <f>IFERROR(__xludf.DUMMYFUNCTION("""COMPUTED_VALUE"""),"")</f>
        <v/>
      </c>
      <c r="I3295" s="44"/>
      <c r="J3295" s="44" t="str">
        <f>IFERROR(__xludf.DUMMYFUNCTION("""COMPUTED_VALUE"""),"")</f>
        <v/>
      </c>
      <c r="K3295" s="42" t="str">
        <f>IFERROR(__xludf.DUMMYFUNCTION("""COMPUTED_VALUE"""),"Campo de Golf Playa los Cocos")</f>
        <v>Campo de Golf Playa los Cocos</v>
      </c>
    </row>
    <row r="3296">
      <c r="A3296" s="44">
        <v>3295.0</v>
      </c>
      <c r="B3296" s="44" t="str">
        <f>IFERROR(__xludf.DUMMYFUNCTION("""COMPUTED_VALUE"""),"Campo de Golf Playa los Cocos")</f>
        <v>Campo de Golf Playa los Cocos</v>
      </c>
      <c r="C3296" s="45" t="str">
        <f>IFERROR(__xludf.DUMMYFUNCTION("""COMPUTED_VALUE"""),"Ronangel Olivares")</f>
        <v>Ronangel Olivares</v>
      </c>
      <c r="D3296" s="44" t="str">
        <f>IFERROR(__xludf.DUMMYFUNCTION("""COMPUTED_VALUE"""),"")</f>
        <v/>
      </c>
      <c r="E3296" s="44" t="str">
        <f>IFERROR(__xludf.DUMMYFUNCTION("""COMPUTED_VALUE"""),"")</f>
        <v/>
      </c>
      <c r="F3296" s="44" t="str">
        <f>IFERROR(__xludf.DUMMYFUNCTION("""COMPUTED_VALUE"""),"")</f>
        <v/>
      </c>
      <c r="G3296" s="44" t="str">
        <f>IFERROR(__xludf.DUMMYFUNCTION("""COMPUTED_VALUE"""),"")</f>
        <v/>
      </c>
      <c r="H3296" s="44" t="str">
        <f>IFERROR(__xludf.DUMMYFUNCTION("""COMPUTED_VALUE"""),"")</f>
        <v/>
      </c>
      <c r="I3296" s="44"/>
      <c r="J3296" s="44" t="str">
        <f>IFERROR(__xludf.DUMMYFUNCTION("""COMPUTED_VALUE"""),"")</f>
        <v/>
      </c>
      <c r="K3296" s="42" t="str">
        <f>IFERROR(__xludf.DUMMYFUNCTION("""COMPUTED_VALUE"""),"Campo de Golf Playa los Cocos")</f>
        <v>Campo de Golf Playa los Cocos</v>
      </c>
    </row>
    <row r="3297">
      <c r="A3297" s="44">
        <v>3296.0</v>
      </c>
      <c r="B3297" s="44" t="str">
        <f>IFERROR(__xludf.DUMMYFUNCTION("""COMPUTED_VALUE"""),"Hospital Domingo Luciani")</f>
        <v>Hospital Domingo Luciani</v>
      </c>
      <c r="C3297" s="45" t="str">
        <f>IFERROR(__xludf.DUMMYFUNCTION("""COMPUTED_VALUE"""),"RONDON ANGEL")</f>
        <v>RONDON ANGEL</v>
      </c>
      <c r="D3297" s="44">
        <f>IFERROR(__xludf.DUMMYFUNCTION("""COMPUTED_VALUE"""),12.0)</f>
        <v>12</v>
      </c>
      <c r="E3297" s="44" t="str">
        <f>IFERROR(__xludf.DUMMYFUNCTION("""COMPUTED_VALUE"""),"")</f>
        <v/>
      </c>
      <c r="F3297" s="44" t="str">
        <f>IFERROR(__xludf.DUMMYFUNCTION("""COMPUTED_VALUE"""),"")</f>
        <v/>
      </c>
      <c r="G3297" s="44" t="str">
        <f>IFERROR(__xludf.DUMMYFUNCTION("""COMPUTED_VALUE""")," ")</f>
        <v> </v>
      </c>
      <c r="H3297" s="44" t="str">
        <f>IFERROR(__xludf.DUMMYFUNCTION("""COMPUTED_VALUE""")," ")</f>
        <v> </v>
      </c>
      <c r="I3297" s="44" t="str">
        <f>IFERROR(__xludf.DUMMYFUNCTION("""COMPUTED_VALUE""")," ")</f>
        <v> </v>
      </c>
      <c r="J3297" s="44" t="str">
        <f>IFERROR(__xludf.DUMMYFUNCTION("""COMPUTED_VALUE"""),"")</f>
        <v/>
      </c>
      <c r="K3297" s="42" t="str">
        <f>IFERROR(__xludf.DUMMYFUNCTION("""COMPUTED_VALUE"""),"🔍 BUSCAR PACIENTES")</f>
        <v>🔍 BUSCAR PACIENTES</v>
      </c>
    </row>
    <row r="3298">
      <c r="A3298" s="44">
        <v>3297.0</v>
      </c>
      <c r="B3298" s="44" t="str">
        <f>IFERROR(__xludf.DUMMYFUNCTION("""COMPUTED_VALUE"""),"Hospital Pérez Carreño")</f>
        <v>Hospital Pérez Carreño</v>
      </c>
      <c r="C3298" s="45" t="str">
        <f>IFERROR(__xludf.DUMMYFUNCTION("""COMPUTED_VALUE"""),"RONDON DAYANA")</f>
        <v>RONDON DAYANA</v>
      </c>
      <c r="D3298" s="44">
        <f>IFERROR(__xludf.DUMMYFUNCTION("""COMPUTED_VALUE"""),18.0)</f>
        <v>18</v>
      </c>
      <c r="E3298" s="44" t="str">
        <f>IFERROR(__xludf.DUMMYFUNCTION("""COMPUTED_VALUE"""),"")</f>
        <v/>
      </c>
      <c r="F3298" s="44" t="str">
        <f>IFERROR(__xludf.DUMMYFUNCTION("""COMPUTED_VALUE"""),"")</f>
        <v/>
      </c>
      <c r="G3298" s="44" t="str">
        <f>IFERROR(__xludf.DUMMYFUNCTION("""COMPUTED_VALUE""")," ")</f>
        <v> </v>
      </c>
      <c r="H3298" s="44" t="str">
        <f>IFERROR(__xludf.DUMMYFUNCTION("""COMPUTED_VALUE""")," ")</f>
        <v> </v>
      </c>
      <c r="I3298" s="44" t="str">
        <f>IFERROR(__xludf.DUMMYFUNCTION("""COMPUTED_VALUE""")," ")</f>
        <v> </v>
      </c>
      <c r="J3298" s="44" t="str">
        <f>IFERROR(__xludf.DUMMYFUNCTION("""COMPUTED_VALUE"""),"25/06/2026")</f>
        <v>25/06/2026</v>
      </c>
      <c r="K3298" s="42" t="str">
        <f>IFERROR(__xludf.DUMMYFUNCTION("""COMPUTED_VALUE"""),"Hospital Pérez Carreño")</f>
        <v>Hospital Pérez Carreño</v>
      </c>
    </row>
    <row r="3299">
      <c r="A3299" s="44">
        <v>3298.0</v>
      </c>
      <c r="B3299" s="44" t="str">
        <f>IFERROR(__xludf.DUMMYFUNCTION("""COMPUTED_VALUE"""),"Hospital Pérez Carreño")</f>
        <v>Hospital Pérez Carreño</v>
      </c>
      <c r="C3299" s="45" t="str">
        <f>IFERROR(__xludf.DUMMYFUNCTION("""COMPUTED_VALUE"""),"RONDON DAYANARA")</f>
        <v>RONDON DAYANARA</v>
      </c>
      <c r="D3299" s="44" t="str">
        <f>IFERROR(__xludf.DUMMYFUNCTION("""COMPUTED_VALUE"""),"18 años")</f>
        <v>18 años</v>
      </c>
      <c r="E3299" s="44" t="str">
        <f>IFERROR(__xludf.DUMMYFUNCTION("""COMPUTED_VALUE"""),"")</f>
        <v/>
      </c>
      <c r="F3299" s="44" t="str">
        <f>IFERROR(__xludf.DUMMYFUNCTION("""COMPUTED_VALUE"""),"")</f>
        <v/>
      </c>
      <c r="G3299" s="44" t="str">
        <f>IFERROR(__xludf.DUMMYFUNCTION("""COMPUTED_VALUE""")," ")</f>
        <v> </v>
      </c>
      <c r="H3299" s="44" t="str">
        <f>IFERROR(__xludf.DUMMYFUNCTION("""COMPUTED_VALUE""")," ")</f>
        <v> </v>
      </c>
      <c r="I3299" s="44" t="str">
        <f>IFERROR(__xludf.DUMMYFUNCTION("""COMPUTED_VALUE""")," ")</f>
        <v> </v>
      </c>
      <c r="J3299" s="44" t="str">
        <f>IFERROR(__xludf.DUMMYFUNCTION("""COMPUTED_VALUE"""),"25/06/2026")</f>
        <v>25/06/2026</v>
      </c>
      <c r="K3299" s="42" t="str">
        <f>IFERROR(__xludf.DUMMYFUNCTION("""COMPUTED_VALUE"""),"Hospital Pérez Carreño")</f>
        <v>Hospital Pérez Carreño</v>
      </c>
    </row>
    <row r="3300">
      <c r="A3300" s="44">
        <v>3299.0</v>
      </c>
      <c r="B3300" s="44" t="str">
        <f>IFERROR(__xludf.DUMMYFUNCTION("""COMPUTED_VALUE"""),"Hospital Pérez Carreño")</f>
        <v>Hospital Pérez Carreño</v>
      </c>
      <c r="C3300" s="45" t="str">
        <f>IFERROR(__xludf.DUMMYFUNCTION("""COMPUTED_VALUE"""),"Rondon Doyanara")</f>
        <v>Rondon Doyanara</v>
      </c>
      <c r="D3300" s="44"/>
      <c r="E3300" s="44" t="str">
        <f>IFERROR(__xludf.DUMMYFUNCTION("""COMPUTED_VALUE"""),"")</f>
        <v/>
      </c>
      <c r="F3300" s="44" t="str">
        <f>IFERROR(__xludf.DUMMYFUNCTION("""COMPUTED_VALUE"""),"")</f>
        <v/>
      </c>
      <c r="G3300" s="44" t="str">
        <f>IFERROR(__xludf.DUMMYFUNCTION("""COMPUTED_VALUE"""),"Traslados")</f>
        <v>Traslados</v>
      </c>
      <c r="H3300" s="44" t="str">
        <f>IFERROR(__xludf.DUMMYFUNCTION("""COMPUTED_VALUE"""),"Hospital Miguel Perez Carreño")</f>
        <v>Hospital Miguel Perez Carreño</v>
      </c>
      <c r="I3300" s="44"/>
      <c r="J3300" s="44" t="str">
        <f>IFERROR(__xludf.DUMMYFUNCTION("""COMPUTED_VALUE"""),"26/6/26")</f>
        <v>26/6/26</v>
      </c>
      <c r="K3300" s="42" t="str">
        <f>IFERROR(__xludf.DUMMYFUNCTION("""COMPUTED_VALUE"""),"Hospital Pérez Carreño")</f>
        <v>Hospital Pérez Carreño</v>
      </c>
    </row>
    <row r="3301">
      <c r="A3301" s="44">
        <v>3300.0</v>
      </c>
      <c r="B3301" s="44" t="str">
        <f>IFERROR(__xludf.DUMMYFUNCTION("""COMPUTED_VALUE"""),"Campo de Golf Playa los Cocos")</f>
        <v>Campo de Golf Playa los Cocos</v>
      </c>
      <c r="C3301" s="45" t="str">
        <f>IFERROR(__xludf.DUMMYFUNCTION("""COMPUTED_VALUE"""),"Ronielys Peralta")</f>
        <v>Ronielys Peralta</v>
      </c>
      <c r="D3301" s="44" t="str">
        <f>IFERROR(__xludf.DUMMYFUNCTION("""COMPUTED_VALUE"""),"")</f>
        <v/>
      </c>
      <c r="E3301" s="44" t="str">
        <f>IFERROR(__xludf.DUMMYFUNCTION("""COMPUTED_VALUE"""),"")</f>
        <v/>
      </c>
      <c r="F3301" s="44" t="str">
        <f>IFERROR(__xludf.DUMMYFUNCTION("""COMPUTED_VALUE"""),"")</f>
        <v/>
      </c>
      <c r="G3301" s="44" t="str">
        <f>IFERROR(__xludf.DUMMYFUNCTION("""COMPUTED_VALUE"""),"")</f>
        <v/>
      </c>
      <c r="H3301" s="44" t="str">
        <f>IFERROR(__xludf.DUMMYFUNCTION("""COMPUTED_VALUE"""),"")</f>
        <v/>
      </c>
      <c r="I3301" s="44"/>
      <c r="J3301" s="44" t="str">
        <f>IFERROR(__xludf.DUMMYFUNCTION("""COMPUTED_VALUE"""),"")</f>
        <v/>
      </c>
      <c r="K3301" s="42" t="str">
        <f>IFERROR(__xludf.DUMMYFUNCTION("""COMPUTED_VALUE"""),"Campo de Golf Playa los Cocos")</f>
        <v>Campo de Golf Playa los Cocos</v>
      </c>
    </row>
    <row r="3302">
      <c r="A3302" s="44">
        <v>3301.0</v>
      </c>
      <c r="B3302" s="44" t="str">
        <f>IFERROR(__xludf.DUMMYFUNCTION("""COMPUTED_VALUE"""),"Campo de Golf Playa los Cocos")</f>
        <v>Campo de Golf Playa los Cocos</v>
      </c>
      <c r="C3302" s="45" t="str">
        <f>IFERROR(__xludf.DUMMYFUNCTION("""COMPUTED_VALUE"""),"Ronner Camargo")</f>
        <v>Ronner Camargo</v>
      </c>
      <c r="D3302" s="44" t="str">
        <f>IFERROR(__xludf.DUMMYFUNCTION("""COMPUTED_VALUE"""),"")</f>
        <v/>
      </c>
      <c r="E3302" s="44" t="str">
        <f>IFERROR(__xludf.DUMMYFUNCTION("""COMPUTED_VALUE"""),"")</f>
        <v/>
      </c>
      <c r="F3302" s="44" t="str">
        <f>IFERROR(__xludf.DUMMYFUNCTION("""COMPUTED_VALUE"""),"")</f>
        <v/>
      </c>
      <c r="G3302" s="44" t="str">
        <f>IFERROR(__xludf.DUMMYFUNCTION("""COMPUTED_VALUE"""),"")</f>
        <v/>
      </c>
      <c r="H3302" s="44" t="str">
        <f>IFERROR(__xludf.DUMMYFUNCTION("""COMPUTED_VALUE"""),"")</f>
        <v/>
      </c>
      <c r="I3302" s="44"/>
      <c r="J3302" s="44" t="str">
        <f>IFERROR(__xludf.DUMMYFUNCTION("""COMPUTED_VALUE"""),"")</f>
        <v/>
      </c>
      <c r="K3302" s="42" t="str">
        <f>IFERROR(__xludf.DUMMYFUNCTION("""COMPUTED_VALUE"""),"Campo de Golf Playa los Cocos")</f>
        <v>Campo de Golf Playa los Cocos</v>
      </c>
    </row>
    <row r="3303">
      <c r="A3303" s="44">
        <v>3302.0</v>
      </c>
      <c r="B3303" s="44" t="str">
        <f>IFERROR(__xludf.DUMMYFUNCTION("""COMPUTED_VALUE"""),"Campo de Golf Playa los Cocos")</f>
        <v>Campo de Golf Playa los Cocos</v>
      </c>
      <c r="C3303" s="45" t="str">
        <f>IFERROR(__xludf.DUMMYFUNCTION("""COMPUTED_VALUE"""),"Ronni Pugarita")</f>
        <v>Ronni Pugarita</v>
      </c>
      <c r="D3303" s="44" t="str">
        <f>IFERROR(__xludf.DUMMYFUNCTION("""COMPUTED_VALUE"""),"")</f>
        <v/>
      </c>
      <c r="E3303" s="44" t="str">
        <f>IFERROR(__xludf.DUMMYFUNCTION("""COMPUTED_VALUE"""),"")</f>
        <v/>
      </c>
      <c r="F3303" s="44" t="str">
        <f>IFERROR(__xludf.DUMMYFUNCTION("""COMPUTED_VALUE"""),"")</f>
        <v/>
      </c>
      <c r="G3303" s="44" t="str">
        <f>IFERROR(__xludf.DUMMYFUNCTION("""COMPUTED_VALUE"""),"")</f>
        <v/>
      </c>
      <c r="H3303" s="44" t="str">
        <f>IFERROR(__xludf.DUMMYFUNCTION("""COMPUTED_VALUE"""),"")</f>
        <v/>
      </c>
      <c r="I3303" s="44"/>
      <c r="J3303" s="44" t="str">
        <f>IFERROR(__xludf.DUMMYFUNCTION("""COMPUTED_VALUE"""),"")</f>
        <v/>
      </c>
      <c r="K3303" s="42" t="str">
        <f>IFERROR(__xludf.DUMMYFUNCTION("""COMPUTED_VALUE"""),"Campo de Golf Playa los Cocos")</f>
        <v>Campo de Golf Playa los Cocos</v>
      </c>
    </row>
    <row r="3304">
      <c r="A3304" s="44">
        <v>3303.0</v>
      </c>
      <c r="B3304" s="44" t="str">
        <f>IFERROR(__xludf.DUMMYFUNCTION("""COMPUTED_VALUE"""),"Hospital Domingo Luciani")</f>
        <v>Hospital Domingo Luciani</v>
      </c>
      <c r="C3304" s="45" t="str">
        <f>IFERROR(__xludf.DUMMYFUNCTION("""COMPUTED_VALUE"""),"RONNY BOSPARTE")</f>
        <v>RONNY BOSPARTE</v>
      </c>
      <c r="D3304" s="44" t="str">
        <f>IFERROR(__xludf.DUMMYFUNCTION("""COMPUTED_VALUE""")," ")</f>
        <v> </v>
      </c>
      <c r="E3304" s="44" t="str">
        <f>IFERROR(__xludf.DUMMYFUNCTION("""COMPUTED_VALUE"""),"")</f>
        <v/>
      </c>
      <c r="F3304" s="44" t="str">
        <f>IFERROR(__xludf.DUMMYFUNCTION("""COMPUTED_VALUE"""),"")</f>
        <v/>
      </c>
      <c r="G3304" s="44" t="str">
        <f>IFERROR(__xludf.DUMMYFUNCTION("""COMPUTED_VALUE""")," ")</f>
        <v> </v>
      </c>
      <c r="H3304" s="44" t="str">
        <f>IFERROR(__xludf.DUMMYFUNCTION("""COMPUTED_VALUE""")," ")</f>
        <v> </v>
      </c>
      <c r="I3304" s="44" t="str">
        <f>IFERROR(__xludf.DUMMYFUNCTION("""COMPUTED_VALUE""")," ")</f>
        <v> </v>
      </c>
      <c r="J3304" s="44" t="str">
        <f>IFERROR(__xludf.DUMMYFUNCTION("""COMPUTED_VALUE"""),"")</f>
        <v/>
      </c>
      <c r="K3304" s="42" t="str">
        <f>IFERROR(__xludf.DUMMYFUNCTION("""COMPUTED_VALUE"""),"🔍 BUSCAR PACIENTES")</f>
        <v>🔍 BUSCAR PACIENTES</v>
      </c>
    </row>
    <row r="3305">
      <c r="A3305" s="44">
        <v>3304.0</v>
      </c>
      <c r="B3305" s="44" t="str">
        <f>IFERROR(__xludf.DUMMYFUNCTION("""COMPUTED_VALUE"""),"Periférico de Catia")</f>
        <v>Periférico de Catia</v>
      </c>
      <c r="C3305" s="45" t="str">
        <f>IFERROR(__xludf.DUMMYFUNCTION("""COMPUTED_VALUE"""),"ROOMEL REINA")</f>
        <v>ROOMEL REINA</v>
      </c>
      <c r="D3305" s="44">
        <f>IFERROR(__xludf.DUMMYFUNCTION("""COMPUTED_VALUE"""),30.0)</f>
        <v>30</v>
      </c>
      <c r="E3305" s="44" t="str">
        <f>IFERROR(__xludf.DUMMYFUNCTION("""COMPUTED_VALUE"""),"")</f>
        <v/>
      </c>
      <c r="F3305" s="44" t="str">
        <f>IFERROR(__xludf.DUMMYFUNCTION("""COMPUTED_VALUE"""),"")</f>
        <v/>
      </c>
      <c r="G3305" s="44" t="str">
        <f>IFERROR(__xludf.DUMMYFUNCTION("""COMPUTED_VALUE""")," ")</f>
        <v> </v>
      </c>
      <c r="H3305" s="44" t="str">
        <f>IFERROR(__xludf.DUMMYFUNCTION("""COMPUTED_VALUE"""),"Santa Maria, Aragua")</f>
        <v>Santa Maria, Aragua</v>
      </c>
      <c r="I3305" s="44" t="str">
        <f>IFERROR(__xludf.DUMMYFUNCTION("""COMPUTED_VALUE"""),"H.I")</f>
        <v>H.I</v>
      </c>
      <c r="J3305" s="44" t="str">
        <f>IFERROR(__xludf.DUMMYFUNCTION("""COMPUTED_VALUE"""),"")</f>
        <v/>
      </c>
      <c r="K3305" s="42" t="str">
        <f>IFERROR(__xludf.DUMMYFUNCTION("""COMPUTED_VALUE"""),"Periférico de Catia")</f>
        <v>Periférico de Catia</v>
      </c>
    </row>
    <row r="3306">
      <c r="A3306" s="44">
        <v>3305.0</v>
      </c>
      <c r="B3306" s="44" t="str">
        <f>IFERROR(__xludf.DUMMYFUNCTION("""COMPUTED_VALUE"""),"Hospital Domingo Luciani")</f>
        <v>Hospital Domingo Luciani</v>
      </c>
      <c r="C3306" s="45" t="str">
        <f>IFERROR(__xludf.DUMMYFUNCTION("""COMPUTED_VALUE"""),"ROSA CISNERO")</f>
        <v>ROSA CISNERO</v>
      </c>
      <c r="D3306" s="44" t="str">
        <f>IFERROR(__xludf.DUMMYFUNCTION("""COMPUTED_VALUE""")," ")</f>
        <v> </v>
      </c>
      <c r="E3306" s="44" t="str">
        <f>IFERROR(__xludf.DUMMYFUNCTION("""COMPUTED_VALUE"""),"")</f>
        <v/>
      </c>
      <c r="F3306" s="44" t="str">
        <f>IFERROR(__xludf.DUMMYFUNCTION("""COMPUTED_VALUE"""),"")</f>
        <v/>
      </c>
      <c r="G3306" s="44" t="str">
        <f>IFERROR(__xludf.DUMMYFUNCTION("""COMPUTED_VALUE""")," ")</f>
        <v> </v>
      </c>
      <c r="H3306" s="44" t="str">
        <f>IFERROR(__xludf.DUMMYFUNCTION("""COMPUTED_VALUE""")," ")</f>
        <v> </v>
      </c>
      <c r="I3306" s="44" t="str">
        <f>IFERROR(__xludf.DUMMYFUNCTION("""COMPUTED_VALUE""")," ")</f>
        <v> </v>
      </c>
      <c r="J3306" s="44" t="str">
        <f>IFERROR(__xludf.DUMMYFUNCTION("""COMPUTED_VALUE"""),"")</f>
        <v/>
      </c>
      <c r="K3306" s="42" t="str">
        <f>IFERROR(__xludf.DUMMYFUNCTION("""COMPUTED_VALUE"""),"🔍 BUSCAR PACIENTES")</f>
        <v>🔍 BUSCAR PACIENTES</v>
      </c>
    </row>
    <row r="3307">
      <c r="A3307" s="44">
        <v>3306.0</v>
      </c>
      <c r="B3307" s="44" t="str">
        <f>IFERROR(__xludf.DUMMYFUNCTION("""COMPUTED_VALUE"""),"Hospital Domingo Luciani")</f>
        <v>Hospital Domingo Luciani</v>
      </c>
      <c r="C3307" s="45" t="str">
        <f>IFERROR(__xludf.DUMMYFUNCTION("""COMPUTED_VALUE"""),"Rosa Cispero")</f>
        <v>Rosa Cispero</v>
      </c>
      <c r="D3307" s="44">
        <f>IFERROR(__xludf.DUMMYFUNCTION("""COMPUTED_VALUE"""),57.0)</f>
        <v>57</v>
      </c>
      <c r="E3307" s="44" t="str">
        <f>IFERROR(__xludf.DUMMYFUNCTION("""COMPUTED_VALUE"""),"")</f>
        <v/>
      </c>
      <c r="F3307" s="44" t="str">
        <f>IFERROR(__xludf.DUMMYFUNCTION("""COMPUTED_VALUE"""),"")</f>
        <v/>
      </c>
      <c r="G3307" s="44"/>
      <c r="H3307" s="44"/>
      <c r="I3307" s="44"/>
      <c r="J3307" s="44" t="str">
        <f>IFERROR(__xludf.DUMMYFUNCTION("""COMPUTED_VALUE"""),"")</f>
        <v/>
      </c>
      <c r="K3307" s="42" t="str">
        <f>IFERROR(__xludf.DUMMYFUNCTION("""COMPUTED_VALUE"""),"Hospital Domingo Luciani")</f>
        <v>Hospital Domingo Luciani</v>
      </c>
    </row>
    <row r="3308">
      <c r="A3308" s="44">
        <v>3307.0</v>
      </c>
      <c r="B3308" s="44" t="str">
        <f>IFERROR(__xludf.DUMMYFUNCTION("""COMPUTED_VALUE"""),"Campo de Golf Playa los Cocos")</f>
        <v>Campo de Golf Playa los Cocos</v>
      </c>
      <c r="C3308" s="45" t="str">
        <f>IFERROR(__xludf.DUMMYFUNCTION("""COMPUTED_VALUE"""),"Rosa Marquez")</f>
        <v>Rosa Marquez</v>
      </c>
      <c r="D3308" s="44" t="str">
        <f>IFERROR(__xludf.DUMMYFUNCTION("""COMPUTED_VALUE"""),"")</f>
        <v/>
      </c>
      <c r="E3308" s="44" t="str">
        <f>IFERROR(__xludf.DUMMYFUNCTION("""COMPUTED_VALUE"""),"")</f>
        <v/>
      </c>
      <c r="F3308" s="44" t="str">
        <f>IFERROR(__xludf.DUMMYFUNCTION("""COMPUTED_VALUE"""),"")</f>
        <v/>
      </c>
      <c r="G3308" s="44" t="str">
        <f>IFERROR(__xludf.DUMMYFUNCTION("""COMPUTED_VALUE"""),"")</f>
        <v/>
      </c>
      <c r="H3308" s="44" t="str">
        <f>IFERROR(__xludf.DUMMYFUNCTION("""COMPUTED_VALUE"""),"")</f>
        <v/>
      </c>
      <c r="I3308" s="44"/>
      <c r="J3308" s="44" t="str">
        <f>IFERROR(__xludf.DUMMYFUNCTION("""COMPUTED_VALUE"""),"")</f>
        <v/>
      </c>
      <c r="K3308" s="42" t="str">
        <f>IFERROR(__xludf.DUMMYFUNCTION("""COMPUTED_VALUE"""),"Campo de Golf Playa los Cocos")</f>
        <v>Campo de Golf Playa los Cocos</v>
      </c>
    </row>
    <row r="3309">
      <c r="A3309" s="44">
        <v>3308.0</v>
      </c>
      <c r="B3309" s="44" t="str">
        <f>IFERROR(__xludf.DUMMYFUNCTION("""COMPUTED_VALUE"""),"H. Jose Maria Vargas LG")</f>
        <v>H. Jose Maria Vargas LG</v>
      </c>
      <c r="C3309" s="45" t="str">
        <f>IFERROR(__xludf.DUMMYFUNCTION("""COMPUTED_VALUE"""),"ROSALES JHOALUI")</f>
        <v>ROSALES JHOALUI</v>
      </c>
      <c r="D3309" s="44">
        <f>IFERROR(__xludf.DUMMYFUNCTION("""COMPUTED_VALUE"""),32.0)</f>
        <v>32</v>
      </c>
      <c r="E3309" s="44" t="str">
        <f>IFERROR(__xludf.DUMMYFUNCTION("""COMPUTED_VALUE"""),"")</f>
        <v/>
      </c>
      <c r="F3309" s="44" t="str">
        <f>IFERROR(__xludf.DUMMYFUNCTION("""COMPUTED_VALUE"""),"")</f>
        <v/>
      </c>
      <c r="G3309" s="44" t="str">
        <f>IFERROR(__xludf.DUMMYFUNCTION("""COMPUTED_VALUE""")," ")</f>
        <v> </v>
      </c>
      <c r="H3309" s="44" t="str">
        <f>IFERROR(__xludf.DUMMYFUNCTION("""COMPUTED_VALUE"""),"Macuto")</f>
        <v>Macuto</v>
      </c>
      <c r="I3309" s="44" t="str">
        <f>IFERROR(__xludf.DUMMYFUNCTION("""COMPUTED_VALUE""")," ")</f>
        <v> </v>
      </c>
      <c r="J3309" s="44" t="str">
        <f>IFERROR(__xludf.DUMMYFUNCTION("""COMPUTED_VALUE"""),"")</f>
        <v/>
      </c>
      <c r="K3309" s="42" t="str">
        <f>IFERROR(__xludf.DUMMYFUNCTION("""COMPUTED_VALUE"""),"H. Jose Maria Vargas LG")</f>
        <v>H. Jose Maria Vargas LG</v>
      </c>
    </row>
    <row r="3310">
      <c r="A3310" s="44">
        <v>3309.0</v>
      </c>
      <c r="B3310" s="44" t="str">
        <f>IFERROR(__xludf.DUMMYFUNCTION("""COMPUTED_VALUE"""),"Hospital Pérez Carreño")</f>
        <v>Hospital Pérez Carreño</v>
      </c>
      <c r="C3310" s="45" t="str">
        <f>IFERROR(__xludf.DUMMYFUNCTION("""COMPUTED_VALUE"""),"Rosalinda Viera")</f>
        <v>Rosalinda Viera</v>
      </c>
      <c r="D3310" s="44" t="str">
        <f>IFERROR(__xludf.DUMMYFUNCTION("""COMPUTED_VALUE"""),"51 años")</f>
        <v>51 años</v>
      </c>
      <c r="E3310" s="44" t="str">
        <f>IFERROR(__xludf.DUMMYFUNCTION("""COMPUTED_VALUE"""),"")</f>
        <v/>
      </c>
      <c r="F3310" s="44" t="str">
        <f>IFERROR(__xludf.DUMMYFUNCTION("""COMPUTED_VALUE"""),"")</f>
        <v/>
      </c>
      <c r="G3310" s="44" t="str">
        <f>IFERROR(__xludf.DUMMYFUNCTION("""COMPUTED_VALUE"""),"Traumashock")</f>
        <v>Traumashock</v>
      </c>
      <c r="H3310" s="44" t="str">
        <f>IFERROR(__xludf.DUMMYFUNCTION("""COMPUTED_VALUE"""),"Hospital Miguel Perez Carreño")</f>
        <v>Hospital Miguel Perez Carreño</v>
      </c>
      <c r="I3310" s="44"/>
      <c r="J3310" s="44" t="str">
        <f>IFERROR(__xludf.DUMMYFUNCTION("""COMPUTED_VALUE"""),"26/6/26")</f>
        <v>26/6/26</v>
      </c>
      <c r="K3310" s="42" t="str">
        <f>IFERROR(__xludf.DUMMYFUNCTION("""COMPUTED_VALUE"""),"Hospital Pérez Carreño")</f>
        <v>Hospital Pérez Carreño</v>
      </c>
    </row>
    <row r="3311">
      <c r="A3311" s="44">
        <v>3310.0</v>
      </c>
      <c r="B3311" s="44" t="str">
        <f>IFERROR(__xludf.DUMMYFUNCTION("""COMPUTED_VALUE"""),"Hospital Domingo Luciani")</f>
        <v>Hospital Domingo Luciani</v>
      </c>
      <c r="C3311" s="45" t="str">
        <f>IFERROR(__xludf.DUMMYFUNCTION("""COMPUTED_VALUE"""),"ROSALIS VASQUEZ")</f>
        <v>ROSALIS VASQUEZ</v>
      </c>
      <c r="D3311" s="44">
        <f>IFERROR(__xludf.DUMMYFUNCTION("""COMPUTED_VALUE"""),18.0)</f>
        <v>18</v>
      </c>
      <c r="E3311" s="44" t="str">
        <f>IFERROR(__xludf.DUMMYFUNCTION("""COMPUTED_VALUE"""),"")</f>
        <v/>
      </c>
      <c r="F3311" s="44" t="str">
        <f>IFERROR(__xludf.DUMMYFUNCTION("""COMPUTED_VALUE"""),"")</f>
        <v/>
      </c>
      <c r="G3311" s="44" t="str">
        <f>IFERROR(__xludf.DUMMYFUNCTION("""COMPUTED_VALUE""")," ")</f>
        <v> </v>
      </c>
      <c r="H3311" s="44" t="str">
        <f>IFERROR(__xludf.DUMMYFUNCTION("""COMPUTED_VALUE""")," ")</f>
        <v> </v>
      </c>
      <c r="I3311" s="44" t="str">
        <f>IFERROR(__xludf.DUMMYFUNCTION("""COMPUTED_VALUE"""),"Politrauma Emerg. Nueva")</f>
        <v>Politrauma Emerg. Nueva</v>
      </c>
      <c r="J3311" s="44" t="str">
        <f>IFERROR(__xludf.DUMMYFUNCTION("""COMPUTED_VALUE"""),"")</f>
        <v/>
      </c>
      <c r="K3311" s="42" t="str">
        <f>IFERROR(__xludf.DUMMYFUNCTION("""COMPUTED_VALUE"""),"🔍 BUSCAR PACIENTES")</f>
        <v>🔍 BUSCAR PACIENTES</v>
      </c>
    </row>
    <row r="3312">
      <c r="A3312" s="44">
        <v>3311.0</v>
      </c>
      <c r="B3312" s="44" t="str">
        <f>IFERROR(__xludf.DUMMYFUNCTION("""COMPUTED_VALUE"""),"Campo de Golf Playa los Cocos")</f>
        <v>Campo de Golf Playa los Cocos</v>
      </c>
      <c r="C3312" s="45" t="str">
        <f>IFERROR(__xludf.DUMMYFUNCTION("""COMPUTED_VALUE"""),"Rosana Medina")</f>
        <v>Rosana Medina</v>
      </c>
      <c r="D3312" s="44" t="str">
        <f>IFERROR(__xludf.DUMMYFUNCTION("""COMPUTED_VALUE"""),"")</f>
        <v/>
      </c>
      <c r="E3312" s="44" t="str">
        <f>IFERROR(__xludf.DUMMYFUNCTION("""COMPUTED_VALUE"""),"")</f>
        <v/>
      </c>
      <c r="F3312" s="44" t="str">
        <f>IFERROR(__xludf.DUMMYFUNCTION("""COMPUTED_VALUE"""),"")</f>
        <v/>
      </c>
      <c r="G3312" s="44" t="str">
        <f>IFERROR(__xludf.DUMMYFUNCTION("""COMPUTED_VALUE"""),"")</f>
        <v/>
      </c>
      <c r="H3312" s="44" t="str">
        <f>IFERROR(__xludf.DUMMYFUNCTION("""COMPUTED_VALUE"""),"")</f>
        <v/>
      </c>
      <c r="I3312" s="44"/>
      <c r="J3312" s="44" t="str">
        <f>IFERROR(__xludf.DUMMYFUNCTION("""COMPUTED_VALUE"""),"")</f>
        <v/>
      </c>
      <c r="K3312" s="42" t="str">
        <f>IFERROR(__xludf.DUMMYFUNCTION("""COMPUTED_VALUE"""),"Campo de Golf Playa los Cocos")</f>
        <v>Campo de Golf Playa los Cocos</v>
      </c>
    </row>
    <row r="3313">
      <c r="A3313" s="44">
        <v>3312.0</v>
      </c>
      <c r="B3313" s="44" t="str">
        <f>IFERROR(__xludf.DUMMYFUNCTION("""COMPUTED_VALUE"""),"Campo de Golf Playa los Cocos")</f>
        <v>Campo de Golf Playa los Cocos</v>
      </c>
      <c r="C3313" s="45" t="str">
        <f>IFERROR(__xludf.DUMMYFUNCTION("""COMPUTED_VALUE"""),"Rosana Monge")</f>
        <v>Rosana Monge</v>
      </c>
      <c r="D3313" s="44" t="str">
        <f>IFERROR(__xludf.DUMMYFUNCTION("""COMPUTED_VALUE"""),"")</f>
        <v/>
      </c>
      <c r="E3313" s="44" t="str">
        <f>IFERROR(__xludf.DUMMYFUNCTION("""COMPUTED_VALUE"""),"")</f>
        <v/>
      </c>
      <c r="F3313" s="44" t="str">
        <f>IFERROR(__xludf.DUMMYFUNCTION("""COMPUTED_VALUE"""),"")</f>
        <v/>
      </c>
      <c r="G3313" s="44" t="str">
        <f>IFERROR(__xludf.DUMMYFUNCTION("""COMPUTED_VALUE"""),"")</f>
        <v/>
      </c>
      <c r="H3313" s="44" t="str">
        <f>IFERROR(__xludf.DUMMYFUNCTION("""COMPUTED_VALUE"""),"")</f>
        <v/>
      </c>
      <c r="I3313" s="44"/>
      <c r="J3313" s="44" t="str">
        <f>IFERROR(__xludf.DUMMYFUNCTION("""COMPUTED_VALUE"""),"")</f>
        <v/>
      </c>
      <c r="K3313" s="42" t="str">
        <f>IFERROR(__xludf.DUMMYFUNCTION("""COMPUTED_VALUE"""),"Campo de Golf Playa los Cocos")</f>
        <v>Campo de Golf Playa los Cocos</v>
      </c>
    </row>
    <row r="3314">
      <c r="A3314" s="44">
        <v>3313.0</v>
      </c>
      <c r="B3314" s="44" t="str">
        <f>IFERROR(__xludf.DUMMYFUNCTION("""COMPUTED_VALUE"""),"H. Jose Maria Vargas LG")</f>
        <v>H. Jose Maria Vargas LG</v>
      </c>
      <c r="C3314" s="45" t="str">
        <f>IFERROR(__xludf.DUMMYFUNCTION("""COMPUTED_VALUE"""),"ROSAS JOSE ANGEL")</f>
        <v>ROSAS JOSE ANGEL</v>
      </c>
      <c r="D3314" s="44">
        <f>IFERROR(__xludf.DUMMYFUNCTION("""COMPUTED_VALUE"""),44.0)</f>
        <v>44</v>
      </c>
      <c r="E3314" s="44" t="str">
        <f>IFERROR(__xludf.DUMMYFUNCTION("""COMPUTED_VALUE"""),"")</f>
        <v/>
      </c>
      <c r="F3314" s="44" t="str">
        <f>IFERROR(__xludf.DUMMYFUNCTION("""COMPUTED_VALUE"""),"")</f>
        <v/>
      </c>
      <c r="G3314" s="44" t="str">
        <f>IFERROR(__xludf.DUMMYFUNCTION("""COMPUTED_VALUE""")," ")</f>
        <v> </v>
      </c>
      <c r="H3314" s="44" t="str">
        <f>IFERROR(__xludf.DUMMYFUNCTION("""COMPUTED_VALUE"""),"Caribe")</f>
        <v>Caribe</v>
      </c>
      <c r="I3314" s="44" t="str">
        <f>IFERROR(__xludf.DUMMYFUNCTION("""COMPUTED_VALUE""")," ")</f>
        <v> </v>
      </c>
      <c r="J3314" s="44" t="str">
        <f>IFERROR(__xludf.DUMMYFUNCTION("""COMPUTED_VALUE"""),"")</f>
        <v/>
      </c>
      <c r="K3314" s="42" t="str">
        <f>IFERROR(__xludf.DUMMYFUNCTION("""COMPUTED_VALUE"""),"H. Jose Maria Vargas LG")</f>
        <v>H. Jose Maria Vargas LG</v>
      </c>
    </row>
    <row r="3315">
      <c r="A3315" s="44">
        <v>3314.0</v>
      </c>
      <c r="B3315" s="44" t="str">
        <f>IFERROR(__xludf.DUMMYFUNCTION("""COMPUTED_VALUE"""),"Campo de Golf Playa los Cocos")</f>
        <v>Campo de Golf Playa los Cocos</v>
      </c>
      <c r="C3315" s="45" t="str">
        <f>IFERROR(__xludf.DUMMYFUNCTION("""COMPUTED_VALUE"""),"Rosely Marquez")</f>
        <v>Rosely Marquez</v>
      </c>
      <c r="D3315" s="44" t="str">
        <f>IFERROR(__xludf.DUMMYFUNCTION("""COMPUTED_VALUE"""),"")</f>
        <v/>
      </c>
      <c r="E3315" s="44" t="str">
        <f>IFERROR(__xludf.DUMMYFUNCTION("""COMPUTED_VALUE"""),"")</f>
        <v/>
      </c>
      <c r="F3315" s="44" t="str">
        <f>IFERROR(__xludf.DUMMYFUNCTION("""COMPUTED_VALUE"""),"")</f>
        <v/>
      </c>
      <c r="G3315" s="44" t="str">
        <f>IFERROR(__xludf.DUMMYFUNCTION("""COMPUTED_VALUE"""),"")</f>
        <v/>
      </c>
      <c r="H3315" s="44" t="str">
        <f>IFERROR(__xludf.DUMMYFUNCTION("""COMPUTED_VALUE"""),"")</f>
        <v/>
      </c>
      <c r="I3315" s="44"/>
      <c r="J3315" s="44" t="str">
        <f>IFERROR(__xludf.DUMMYFUNCTION("""COMPUTED_VALUE"""),"")</f>
        <v/>
      </c>
      <c r="K3315" s="42" t="str">
        <f>IFERROR(__xludf.DUMMYFUNCTION("""COMPUTED_VALUE"""),"Campo de Golf Playa los Cocos")</f>
        <v>Campo de Golf Playa los Cocos</v>
      </c>
    </row>
    <row r="3316">
      <c r="A3316" s="44">
        <v>3315.0</v>
      </c>
      <c r="B3316" s="44" t="str">
        <f>IFERROR(__xludf.DUMMYFUNCTION("""COMPUTED_VALUE"""),"Campo de Golf Playa los Cocos")</f>
        <v>Campo de Golf Playa los Cocos</v>
      </c>
      <c r="C3316" s="45" t="str">
        <f>IFERROR(__xludf.DUMMYFUNCTION("""COMPUTED_VALUE"""),"Roselyn Sotil")</f>
        <v>Roselyn Sotil</v>
      </c>
      <c r="D3316" s="44" t="str">
        <f>IFERROR(__xludf.DUMMYFUNCTION("""COMPUTED_VALUE"""),"")</f>
        <v/>
      </c>
      <c r="E3316" s="44" t="str">
        <f>IFERROR(__xludf.DUMMYFUNCTION("""COMPUTED_VALUE"""),"")</f>
        <v/>
      </c>
      <c r="F3316" s="44" t="str">
        <f>IFERROR(__xludf.DUMMYFUNCTION("""COMPUTED_VALUE"""),"")</f>
        <v/>
      </c>
      <c r="G3316" s="44" t="str">
        <f>IFERROR(__xludf.DUMMYFUNCTION("""COMPUTED_VALUE"""),"")</f>
        <v/>
      </c>
      <c r="H3316" s="44" t="str">
        <f>IFERROR(__xludf.DUMMYFUNCTION("""COMPUTED_VALUE"""),"")</f>
        <v/>
      </c>
      <c r="I3316" s="44"/>
      <c r="J3316" s="44" t="str">
        <f>IFERROR(__xludf.DUMMYFUNCTION("""COMPUTED_VALUE"""),"")</f>
        <v/>
      </c>
      <c r="K3316" s="42" t="str">
        <f>IFERROR(__xludf.DUMMYFUNCTION("""COMPUTED_VALUE"""),"Campo de Golf Playa los Cocos")</f>
        <v>Campo de Golf Playa los Cocos</v>
      </c>
    </row>
    <row r="3317">
      <c r="A3317" s="44">
        <v>3316.0</v>
      </c>
      <c r="B3317" s="44" t="str">
        <f>IFERROR(__xludf.DUMMYFUNCTION("""COMPUTED_VALUE"""),"Campo de Golf Playa los Cocos")</f>
        <v>Campo de Golf Playa los Cocos</v>
      </c>
      <c r="C3317" s="45" t="str">
        <f>IFERROR(__xludf.DUMMYFUNCTION("""COMPUTED_VALUE"""),"Rosi de Barrios")</f>
        <v>Rosi de Barrios</v>
      </c>
      <c r="D3317" s="44" t="str">
        <f>IFERROR(__xludf.DUMMYFUNCTION("""COMPUTED_VALUE"""),"")</f>
        <v/>
      </c>
      <c r="E3317" s="44" t="str">
        <f>IFERROR(__xludf.DUMMYFUNCTION("""COMPUTED_VALUE"""),"")</f>
        <v/>
      </c>
      <c r="F3317" s="44" t="str">
        <f>IFERROR(__xludf.DUMMYFUNCTION("""COMPUTED_VALUE"""),"")</f>
        <v/>
      </c>
      <c r="G3317" s="44" t="str">
        <f>IFERROR(__xludf.DUMMYFUNCTION("""COMPUTED_VALUE"""),"")</f>
        <v/>
      </c>
      <c r="H3317" s="44" t="str">
        <f>IFERROR(__xludf.DUMMYFUNCTION("""COMPUTED_VALUE"""),"")</f>
        <v/>
      </c>
      <c r="I3317" s="44"/>
      <c r="J3317" s="44" t="str">
        <f>IFERROR(__xludf.DUMMYFUNCTION("""COMPUTED_VALUE"""),"")</f>
        <v/>
      </c>
      <c r="K3317" s="42" t="str">
        <f>IFERROR(__xludf.DUMMYFUNCTION("""COMPUTED_VALUE"""),"Campo de Golf Playa los Cocos")</f>
        <v>Campo de Golf Playa los Cocos</v>
      </c>
    </row>
    <row r="3318">
      <c r="A3318" s="44">
        <v>3317.0</v>
      </c>
      <c r="B3318" s="44" t="str">
        <f>IFERROR(__xludf.DUMMYFUNCTION("""COMPUTED_VALUE"""),"Seguro Social La Guaira")</f>
        <v>Seguro Social La Guaira</v>
      </c>
      <c r="C3318" s="45" t="str">
        <f>IFERROR(__xludf.DUMMYFUNCTION("""COMPUTED_VALUE"""),"ROSIS GONZALES")</f>
        <v>ROSIS GONZALES</v>
      </c>
      <c r="D3318" s="44">
        <f>IFERROR(__xludf.DUMMYFUNCTION("""COMPUTED_VALUE"""),41.0)</f>
        <v>41</v>
      </c>
      <c r="E3318" s="44" t="str">
        <f>IFERROR(__xludf.DUMMYFUNCTION("""COMPUTED_VALUE"""),"")</f>
        <v/>
      </c>
      <c r="F3318" s="44" t="str">
        <f>IFERROR(__xludf.DUMMYFUNCTION("""COMPUTED_VALUE"""),"")</f>
        <v/>
      </c>
      <c r="G3318" s="44" t="str">
        <f>IFERROR(__xludf.DUMMYFUNCTION("""COMPUTED_VALUE""")," ")</f>
        <v> </v>
      </c>
      <c r="H3318" s="44" t="str">
        <f>IFERROR(__xludf.DUMMYFUNCTION("""COMPUTED_VALUE"""),"Caribe")</f>
        <v>Caribe</v>
      </c>
      <c r="I3318" s="44" t="str">
        <f>IFERROR(__xludf.DUMMYFUNCTION("""COMPUTED_VALUE""")," ")</f>
        <v> </v>
      </c>
      <c r="J3318" s="44" t="str">
        <f>IFERROR(__xludf.DUMMYFUNCTION("""COMPUTED_VALUE"""),"")</f>
        <v/>
      </c>
      <c r="K3318" s="42" t="str">
        <f>IFERROR(__xludf.DUMMYFUNCTION("""COMPUTED_VALUE"""),"Seguro Social La Guaira")</f>
        <v>Seguro Social La Guaira</v>
      </c>
    </row>
    <row r="3319">
      <c r="A3319" s="44">
        <v>3318.0</v>
      </c>
      <c r="B3319" s="44" t="str">
        <f>IFERROR(__xludf.DUMMYFUNCTION("""COMPUTED_VALUE"""),"Periférico de Catia")</f>
        <v>Periférico de Catia</v>
      </c>
      <c r="C3319" s="45" t="str">
        <f>IFERROR(__xludf.DUMMYFUNCTION("""COMPUTED_VALUE"""),"ROSMEL MAJIA")</f>
        <v>ROSMEL MAJIA</v>
      </c>
      <c r="D3319" s="44">
        <f>IFERROR(__xludf.DUMMYFUNCTION("""COMPUTED_VALUE"""),17.0)</f>
        <v>17</v>
      </c>
      <c r="E3319" s="44" t="str">
        <f>IFERROR(__xludf.DUMMYFUNCTION("""COMPUTED_VALUE"""),"")</f>
        <v/>
      </c>
      <c r="F3319" s="44" t="str">
        <f>IFERROR(__xludf.DUMMYFUNCTION("""COMPUTED_VALUE"""),"")</f>
        <v/>
      </c>
      <c r="G3319" s="44" t="str">
        <f>IFERROR(__xludf.DUMMYFUNCTION("""COMPUTED_VALUE""")," ")</f>
        <v> </v>
      </c>
      <c r="H3319" s="44" t="str">
        <f>IFERROR(__xludf.DUMMYFUNCTION("""COMPUTED_VALUE""")," ")</f>
        <v> </v>
      </c>
      <c r="I3319" s="44" t="str">
        <f>IFERROR(__xludf.DUMMYFUNCTION("""COMPUTED_VALUE"""),"Solo")</f>
        <v>Solo</v>
      </c>
      <c r="J3319" s="44" t="str">
        <f>IFERROR(__xludf.DUMMYFUNCTION("""COMPUTED_VALUE"""),"")</f>
        <v/>
      </c>
      <c r="K3319" s="42" t="str">
        <f>IFERROR(__xludf.DUMMYFUNCTION("""COMPUTED_VALUE"""),"Periférico de Catia")</f>
        <v>Periférico de Catia</v>
      </c>
    </row>
    <row r="3320">
      <c r="A3320" s="44">
        <v>3319.0</v>
      </c>
      <c r="B3320" s="44" t="str">
        <f>IFERROR(__xludf.DUMMYFUNCTION("""COMPUTED_VALUE"""),"Hospital Domingo Luciani")</f>
        <v>Hospital Domingo Luciani</v>
      </c>
      <c r="C3320" s="45" t="str">
        <f>IFERROR(__xludf.DUMMYFUNCTION("""COMPUTED_VALUE"""),"Roy Sercel")</f>
        <v>Roy Sercel</v>
      </c>
      <c r="D3320" s="44">
        <f>IFERROR(__xludf.DUMMYFUNCTION("""COMPUTED_VALUE"""),29.0)</f>
        <v>29</v>
      </c>
      <c r="E3320" s="44" t="str">
        <f>IFERROR(__xludf.DUMMYFUNCTION("""COMPUTED_VALUE"""),"")</f>
        <v/>
      </c>
      <c r="F3320" s="44" t="str">
        <f>IFERROR(__xludf.DUMMYFUNCTION("""COMPUTED_VALUE"""),"")</f>
        <v/>
      </c>
      <c r="G3320" s="44"/>
      <c r="H3320" s="44"/>
      <c r="I3320" s="44"/>
      <c r="J3320" s="44" t="str">
        <f>IFERROR(__xludf.DUMMYFUNCTION("""COMPUTED_VALUE"""),"")</f>
        <v/>
      </c>
      <c r="K3320" s="42" t="str">
        <f>IFERROR(__xludf.DUMMYFUNCTION("""COMPUTED_VALUE"""),"Hospital Domingo Luciani")</f>
        <v>Hospital Domingo Luciani</v>
      </c>
    </row>
    <row r="3321">
      <c r="A3321" s="44">
        <v>3320.0</v>
      </c>
      <c r="B3321" s="44" t="str">
        <f>IFERROR(__xludf.DUMMYFUNCTION("""COMPUTED_VALUE"""),"Hospital Domingo Luciani")</f>
        <v>Hospital Domingo Luciani</v>
      </c>
      <c r="C3321" s="45" t="str">
        <f>IFERROR(__xludf.DUMMYFUNCTION("""COMPUTED_VALUE"""),"RREZ ELIOMOR")</f>
        <v>RREZ ELIOMOR</v>
      </c>
      <c r="D3321" s="44">
        <f>IFERROR(__xludf.DUMMYFUNCTION("""COMPUTED_VALUE"""),23.0)</f>
        <v>23</v>
      </c>
      <c r="E3321" s="44" t="str">
        <f>IFERROR(__xludf.DUMMYFUNCTION("""COMPUTED_VALUE"""),"")</f>
        <v/>
      </c>
      <c r="F3321" s="44" t="str">
        <f>IFERROR(__xludf.DUMMYFUNCTION("""COMPUTED_VALUE"""),"")</f>
        <v/>
      </c>
      <c r="G3321" s="44" t="str">
        <f>IFERROR(__xludf.DUMMYFUNCTION("""COMPUTED_VALUE""")," ")</f>
        <v> </v>
      </c>
      <c r="H3321" s="44" t="str">
        <f>IFERROR(__xludf.DUMMYFUNCTION("""COMPUTED_VALUE"""),"La Guaira")</f>
        <v>La Guaira</v>
      </c>
      <c r="I3321" s="44" t="str">
        <f>IFERROR(__xludf.DUMMYFUNCTION("""COMPUTED_VALUE"""),"Ingresos 6am-9:20pm")</f>
        <v>Ingresos 6am-9:20pm</v>
      </c>
      <c r="J3321" s="44" t="str">
        <f>IFERROR(__xludf.DUMMYFUNCTION("""COMPUTED_VALUE"""),"")</f>
        <v/>
      </c>
      <c r="K3321" s="42" t="str">
        <f>IFERROR(__xludf.DUMMYFUNCTION("""COMPUTED_VALUE"""),"🔍 BUSCAR PACIENTES")</f>
        <v>🔍 BUSCAR PACIENTES</v>
      </c>
    </row>
    <row r="3322">
      <c r="A3322" s="44">
        <v>3321.0</v>
      </c>
      <c r="B3322" s="44" t="str">
        <f>IFERROR(__xludf.DUMMYFUNCTION("""COMPUTED_VALUE"""),"Campo de Golf Playa los Cocos")</f>
        <v>Campo de Golf Playa los Cocos</v>
      </c>
      <c r="C3322" s="45" t="str">
        <f>IFERROR(__xludf.DUMMYFUNCTION("""COMPUTED_VALUE"""),"Ruben Santana")</f>
        <v>Ruben Santana</v>
      </c>
      <c r="D3322" s="44" t="str">
        <f>IFERROR(__xludf.DUMMYFUNCTION("""COMPUTED_VALUE"""),"")</f>
        <v/>
      </c>
      <c r="E3322" s="44" t="str">
        <f>IFERROR(__xludf.DUMMYFUNCTION("""COMPUTED_VALUE"""),"")</f>
        <v/>
      </c>
      <c r="F3322" s="44" t="str">
        <f>IFERROR(__xludf.DUMMYFUNCTION("""COMPUTED_VALUE"""),"")</f>
        <v/>
      </c>
      <c r="G3322" s="44" t="str">
        <f>IFERROR(__xludf.DUMMYFUNCTION("""COMPUTED_VALUE"""),"")</f>
        <v/>
      </c>
      <c r="H3322" s="44" t="str">
        <f>IFERROR(__xludf.DUMMYFUNCTION("""COMPUTED_VALUE"""),"")</f>
        <v/>
      </c>
      <c r="I3322" s="44"/>
      <c r="J3322" s="44" t="str">
        <f>IFERROR(__xludf.DUMMYFUNCTION("""COMPUTED_VALUE"""),"")</f>
        <v/>
      </c>
      <c r="K3322" s="42" t="str">
        <f>IFERROR(__xludf.DUMMYFUNCTION("""COMPUTED_VALUE"""),"Campo de Golf Playa los Cocos")</f>
        <v>Campo de Golf Playa los Cocos</v>
      </c>
    </row>
    <row r="3323">
      <c r="A3323" s="44">
        <v>3322.0</v>
      </c>
      <c r="B3323" s="44" t="str">
        <f>IFERROR(__xludf.DUMMYFUNCTION("""COMPUTED_VALUE"""),"Hospital Domingo Luciani")</f>
        <v>Hospital Domingo Luciani</v>
      </c>
      <c r="C3323" s="45" t="str">
        <f>IFERROR(__xludf.DUMMYFUNCTION("""COMPUTED_VALUE"""),"RUEDA ISABEL")</f>
        <v>RUEDA ISABEL</v>
      </c>
      <c r="D3323" s="44">
        <f>IFERROR(__xludf.DUMMYFUNCTION("""COMPUTED_VALUE"""),50.0)</f>
        <v>50</v>
      </c>
      <c r="E3323" s="44" t="str">
        <f>IFERROR(__xludf.DUMMYFUNCTION("""COMPUTED_VALUE"""),"")</f>
        <v/>
      </c>
      <c r="F3323" s="44" t="str">
        <f>IFERROR(__xludf.DUMMYFUNCTION("""COMPUTED_VALUE"""),"")</f>
        <v/>
      </c>
      <c r="G3323" s="44" t="str">
        <f>IFERROR(__xludf.DUMMYFUNCTION("""COMPUTED_VALUE""")," ")</f>
        <v> </v>
      </c>
      <c r="H3323" s="44" t="str">
        <f>IFERROR(__xludf.DUMMYFUNCTION("""COMPUTED_VALUE""")," ")</f>
        <v> </v>
      </c>
      <c r="I3323" s="44" t="str">
        <f>IFERROR(__xludf.DUMMYFUNCTION("""COMPUTED_VALUE"""),"Trauma")</f>
        <v>Trauma</v>
      </c>
      <c r="J3323" s="44" t="str">
        <f>IFERROR(__xludf.DUMMYFUNCTION("""COMPUTED_VALUE"""),"")</f>
        <v/>
      </c>
      <c r="K3323" s="42" t="str">
        <f>IFERROR(__xludf.DUMMYFUNCTION("""COMPUTED_VALUE"""),"🔍 BUSCAR PACIENTES")</f>
        <v>🔍 BUSCAR PACIENTES</v>
      </c>
    </row>
    <row r="3324">
      <c r="A3324" s="44">
        <v>3323.0</v>
      </c>
      <c r="B3324" s="44" t="str">
        <f>IFERROR(__xludf.DUMMYFUNCTION("""COMPUTED_VALUE"""),"Hospital Domingo Luciani")</f>
        <v>Hospital Domingo Luciani</v>
      </c>
      <c r="C3324" s="45" t="str">
        <f>IFERROR(__xludf.DUMMYFUNCTION("""COMPUTED_VALUE"""),"Ruisora Oreloz")</f>
        <v>Ruisora Oreloz</v>
      </c>
      <c r="D3324" s="44">
        <f>IFERROR(__xludf.DUMMYFUNCTION("""COMPUTED_VALUE"""),0.0)</f>
        <v>0</v>
      </c>
      <c r="E3324" s="44" t="str">
        <f>IFERROR(__xludf.DUMMYFUNCTION("""COMPUTED_VALUE"""),"")</f>
        <v/>
      </c>
      <c r="F3324" s="44" t="str">
        <f>IFERROR(__xludf.DUMMYFUNCTION("""COMPUTED_VALUE"""),"")</f>
        <v/>
      </c>
      <c r="G3324" s="44"/>
      <c r="H3324" s="44"/>
      <c r="I3324" s="44"/>
      <c r="J3324" s="44" t="str">
        <f>IFERROR(__xludf.DUMMYFUNCTION("""COMPUTED_VALUE"""),"")</f>
        <v/>
      </c>
      <c r="K3324" s="42" t="str">
        <f>IFERROR(__xludf.DUMMYFUNCTION("""COMPUTED_VALUE"""),"Hospital Domingo Luciani")</f>
        <v>Hospital Domingo Luciani</v>
      </c>
    </row>
    <row r="3325">
      <c r="A3325" s="44">
        <v>3324.0</v>
      </c>
      <c r="B3325" s="44" t="str">
        <f>IFERROR(__xludf.DUMMYFUNCTION("""COMPUTED_VALUE"""),"Hospital Domingo Luciani")</f>
        <v>Hospital Domingo Luciani</v>
      </c>
      <c r="C3325" s="45" t="str">
        <f>IFERROR(__xludf.DUMMYFUNCTION("""COMPUTED_VALUE"""),"RUIZ DENNI")</f>
        <v>RUIZ DENNI</v>
      </c>
      <c r="D3325" s="44">
        <f>IFERROR(__xludf.DUMMYFUNCTION("""COMPUTED_VALUE"""),49.0)</f>
        <v>49</v>
      </c>
      <c r="E3325" s="44" t="str">
        <f>IFERROR(__xludf.DUMMYFUNCTION("""COMPUTED_VALUE"""),"")</f>
        <v/>
      </c>
      <c r="F3325" s="44" t="str">
        <f>IFERROR(__xludf.DUMMYFUNCTION("""COMPUTED_VALUE"""),"")</f>
        <v/>
      </c>
      <c r="G3325" s="44" t="str">
        <f>IFERROR(__xludf.DUMMYFUNCTION("""COMPUTED_VALUE""")," ")</f>
        <v> </v>
      </c>
      <c r="H3325" s="44" t="str">
        <f>IFERROR(__xludf.DUMMYFUNCTION("""COMPUTED_VALUE""")," ")</f>
        <v> </v>
      </c>
      <c r="I3325" s="44" t="str">
        <f>IFERROR(__xludf.DUMMYFUNCTION("""COMPUTED_VALUE"""),"Politrauma – La Guaira")</f>
        <v>Politrauma – La Guaira</v>
      </c>
      <c r="J3325" s="44" t="str">
        <f>IFERROR(__xludf.DUMMYFUNCTION("""COMPUTED_VALUE"""),"")</f>
        <v/>
      </c>
      <c r="K3325" s="42" t="str">
        <f>IFERROR(__xludf.DUMMYFUNCTION("""COMPUTED_VALUE"""),"🔍 BUSCAR PACIENTES")</f>
        <v>🔍 BUSCAR PACIENTES</v>
      </c>
    </row>
    <row r="3326">
      <c r="A3326" s="44">
        <v>3325.0</v>
      </c>
      <c r="B3326" s="44" t="str">
        <f>IFERROR(__xludf.DUMMYFUNCTION("""COMPUTED_VALUE"""),"Hospital Pérez Carreño")</f>
        <v>Hospital Pérez Carreño</v>
      </c>
      <c r="C3326" s="45" t="str">
        <f>IFERROR(__xludf.DUMMYFUNCTION("""COMPUTED_VALUE"""),"RUIZ JESUS / RUIZ JUNIOR JESUS")</f>
        <v>RUIZ JESUS / RUIZ JUNIOR JESUS</v>
      </c>
      <c r="D3326" s="44">
        <f>IFERROR(__xludf.DUMMYFUNCTION("""COMPUTED_VALUE"""),8.0)</f>
        <v>8</v>
      </c>
      <c r="E3326" s="44" t="str">
        <f>IFERROR(__xludf.DUMMYFUNCTION("""COMPUTED_VALUE"""),"")</f>
        <v/>
      </c>
      <c r="F3326" s="44" t="str">
        <f>IFERROR(__xludf.DUMMYFUNCTION("""COMPUTED_VALUE"""),"")</f>
        <v/>
      </c>
      <c r="G3326" s="44" t="str">
        <f>IFERROR(__xludf.DUMMYFUNCTION("""COMPUTED_VALUE""")," ")</f>
        <v> </v>
      </c>
      <c r="H3326" s="44" t="str">
        <f>IFERROR(__xludf.DUMMYFUNCTION("""COMPUTED_VALUE""")," ")</f>
        <v> </v>
      </c>
      <c r="I3326" s="44" t="str">
        <f>IFERROR(__xludf.DUMMYFUNCTION("""COMPUTED_VALUE"""),"Emerg. Pediátrica")</f>
        <v>Emerg. Pediátrica</v>
      </c>
      <c r="J3326" s="44" t="str">
        <f>IFERROR(__xludf.DUMMYFUNCTION("""COMPUTED_VALUE"""),"25/06/2026")</f>
        <v>25/06/2026</v>
      </c>
      <c r="K3326" s="42" t="str">
        <f>IFERROR(__xludf.DUMMYFUNCTION("""COMPUTED_VALUE"""),"Hospital Pérez Carreño")</f>
        <v>Hospital Pérez Carreño</v>
      </c>
    </row>
    <row r="3327">
      <c r="A3327" s="44">
        <v>3326.0</v>
      </c>
      <c r="B3327" s="44" t="str">
        <f>IFERROR(__xludf.DUMMYFUNCTION("""COMPUTED_VALUE"""),"Hospital Pérez Carreño")</f>
        <v>Hospital Pérez Carreño</v>
      </c>
      <c r="C3327" s="45" t="str">
        <f>IFERROR(__xludf.DUMMYFUNCTION("""COMPUTED_VALUE"""),"Ruiz Junior")</f>
        <v>Ruiz Junior</v>
      </c>
      <c r="D3327" s="44" t="str">
        <f>IFERROR(__xludf.DUMMYFUNCTION("""COMPUTED_VALUE"""),"8 años")</f>
        <v>8 años</v>
      </c>
      <c r="E3327" s="44" t="str">
        <f>IFERROR(__xludf.DUMMYFUNCTION("""COMPUTED_VALUE"""),"")</f>
        <v/>
      </c>
      <c r="F3327" s="44" t="str">
        <f>IFERROR(__xludf.DUMMYFUNCTION("""COMPUTED_VALUE"""),"")</f>
        <v/>
      </c>
      <c r="G3327" s="44" t="str">
        <f>IFERROR(__xludf.DUMMYFUNCTION("""COMPUTED_VALUE"""),"Pediatria")</f>
        <v>Pediatria</v>
      </c>
      <c r="H3327" s="44" t="str">
        <f>IFERROR(__xludf.DUMMYFUNCTION("""COMPUTED_VALUE"""),"Hospital Miguel Perez Carreño")</f>
        <v>Hospital Miguel Perez Carreño</v>
      </c>
      <c r="I3327" s="44"/>
      <c r="J3327" s="44" t="str">
        <f>IFERROR(__xludf.DUMMYFUNCTION("""COMPUTED_VALUE"""),"26/6/26")</f>
        <v>26/6/26</v>
      </c>
      <c r="K3327" s="42" t="str">
        <f>IFERROR(__xludf.DUMMYFUNCTION("""COMPUTED_VALUE"""),"Hospital Pérez Carreño")</f>
        <v>Hospital Pérez Carreño</v>
      </c>
    </row>
    <row r="3328">
      <c r="A3328" s="44">
        <v>3327.0</v>
      </c>
      <c r="B3328" s="44" t="str">
        <f>IFERROR(__xludf.DUMMYFUNCTION("""COMPUTED_VALUE"""),"Hospital Vargas de Caracas")</f>
        <v>Hospital Vargas de Caracas</v>
      </c>
      <c r="C3328" s="45" t="str">
        <f>IFERROR(__xludf.DUMMYFUNCTION("""COMPUTED_VALUE"""),"RUIZ NELIA")</f>
        <v>RUIZ NELIA</v>
      </c>
      <c r="D3328" s="44" t="str">
        <f>IFERROR(__xludf.DUMMYFUNCTION("""COMPUTED_VALUE""")," ")</f>
        <v> </v>
      </c>
      <c r="E3328" s="44" t="str">
        <f>IFERROR(__xludf.DUMMYFUNCTION("""COMPUTED_VALUE"""),"")</f>
        <v/>
      </c>
      <c r="F3328" s="44" t="str">
        <f>IFERROR(__xludf.DUMMYFUNCTION("""COMPUTED_VALUE""")," ")</f>
        <v> </v>
      </c>
      <c r="G3328" s="44" t="str">
        <f>IFERROR(__xludf.DUMMYFUNCTION("""COMPUTED_VALUE"""),"")</f>
        <v/>
      </c>
      <c r="H3328" s="44" t="str">
        <f>IFERROR(__xludf.DUMMYFUNCTION("""COMPUTED_VALUE""")," ")</f>
        <v> </v>
      </c>
      <c r="I3328" s="44" t="str">
        <f>IFERROR(__xludf.DUMMYFUNCTION("""COMPUTED_VALUE""")," ")</f>
        <v> </v>
      </c>
      <c r="J3328" s="44" t="str">
        <f>IFERROR(__xludf.DUMMYFUNCTION("""COMPUTED_VALUE"""),"")</f>
        <v/>
      </c>
      <c r="K3328" s="42" t="str">
        <f>IFERROR(__xludf.DUMMYFUNCTION("""COMPUTED_VALUE"""),"Hospital Vargas de Caracas")</f>
        <v>Hospital Vargas de Caracas</v>
      </c>
    </row>
    <row r="3329">
      <c r="A3329" s="44">
        <v>3328.0</v>
      </c>
      <c r="B3329" s="44" t="str">
        <f>IFERROR(__xludf.DUMMYFUNCTION("""COMPUTED_VALUE"""),"Centro de Acopio Caraballeda")</f>
        <v>Centro de Acopio Caraballeda</v>
      </c>
      <c r="C3329" s="45" t="str">
        <f>IFERROR(__xludf.DUMMYFUNCTION("""COMPUTED_VALUE"""),"RUIZ VICTOR")</f>
        <v>RUIZ VICTOR</v>
      </c>
      <c r="D3329" s="44" t="str">
        <f>IFERROR(__xludf.DUMMYFUNCTION("""COMPUTED_VALUE""")," ")</f>
        <v> </v>
      </c>
      <c r="E3329" s="44" t="str">
        <f>IFERROR(__xludf.DUMMYFUNCTION("""COMPUTED_VALUE"""),"")</f>
        <v/>
      </c>
      <c r="F3329" s="44" t="str">
        <f>IFERROR(__xludf.DUMMYFUNCTION("""COMPUTED_VALUE"""),"")</f>
        <v/>
      </c>
      <c r="G3329" s="44" t="str">
        <f>IFERROR(__xludf.DUMMYFUNCTION("""COMPUTED_VALUE""")," ")</f>
        <v> </v>
      </c>
      <c r="H3329" s="44" t="str">
        <f>IFERROR(__xludf.DUMMYFUNCTION("""COMPUTED_VALUE""")," ")</f>
        <v> </v>
      </c>
      <c r="I3329" s="44" t="str">
        <f>IFERROR(__xludf.DUMMYFUNCTION("""COMPUTED_VALUE"""),"Internado")</f>
        <v>Internado</v>
      </c>
      <c r="J3329" s="44" t="str">
        <f>IFERROR(__xludf.DUMMYFUNCTION("""COMPUTED_VALUE"""),"")</f>
        <v/>
      </c>
      <c r="K3329" s="42" t="str">
        <f>IFERROR(__xludf.DUMMYFUNCTION("""COMPUTED_VALUE"""),"🔍 BUSCAR PACIENTES")</f>
        <v>🔍 BUSCAR PACIENTES</v>
      </c>
    </row>
    <row r="3330">
      <c r="A3330" s="44">
        <v>3329.0</v>
      </c>
      <c r="B3330" s="44" t="str">
        <f>IFERROR(__xludf.DUMMYFUNCTION("""COMPUTED_VALUE"""),"Hospital Pérez Carreño")</f>
        <v>Hospital Pérez Carreño</v>
      </c>
      <c r="C3330" s="45" t="str">
        <f>IFERROR(__xludf.DUMMYFUNCTION("""COMPUTED_VALUE"""),"RUMBOS VICTORIA")</f>
        <v>RUMBOS VICTORIA</v>
      </c>
      <c r="D3330" s="44">
        <f>IFERROR(__xludf.DUMMYFUNCTION("""COMPUTED_VALUE"""),13.0)</f>
        <v>13</v>
      </c>
      <c r="E3330" s="44" t="str">
        <f>IFERROR(__xludf.DUMMYFUNCTION("""COMPUTED_VALUE"""),"")</f>
        <v/>
      </c>
      <c r="F3330" s="44" t="str">
        <f>IFERROR(__xludf.DUMMYFUNCTION("""COMPUTED_VALUE"""),"")</f>
        <v/>
      </c>
      <c r="G3330" s="44" t="str">
        <f>IFERROR(__xludf.DUMMYFUNCTION("""COMPUTED_VALUE""")," ")</f>
        <v> </v>
      </c>
      <c r="H3330" s="44" t="str">
        <f>IFERROR(__xludf.DUMMYFUNCTION("""COMPUTED_VALUE""")," ")</f>
        <v> </v>
      </c>
      <c r="I3330" s="44" t="str">
        <f>IFERROR(__xludf.DUMMYFUNCTION("""COMPUTED_VALUE"""),"Emerg. Pediátrica – La Guaira")</f>
        <v>Emerg. Pediátrica – La Guaira</v>
      </c>
      <c r="J3330" s="44" t="str">
        <f>IFERROR(__xludf.DUMMYFUNCTION("""COMPUTED_VALUE"""),"25/06/2026")</f>
        <v>25/06/2026</v>
      </c>
      <c r="K3330" s="42" t="str">
        <f>IFERROR(__xludf.DUMMYFUNCTION("""COMPUTED_VALUE"""),"Hospital Pérez Carreño")</f>
        <v>Hospital Pérez Carreño</v>
      </c>
    </row>
    <row r="3331">
      <c r="A3331" s="44">
        <v>3330.0</v>
      </c>
      <c r="B3331" s="44" t="str">
        <f>IFERROR(__xludf.DUMMYFUNCTION("""COMPUTED_VALUE"""),"Campo de Golf Playa los Cocos")</f>
        <v>Campo de Golf Playa los Cocos</v>
      </c>
      <c r="C3331" s="45" t="str">
        <f>IFERROR(__xludf.DUMMYFUNCTION("""COMPUTED_VALUE"""),"Rusbelma Santana")</f>
        <v>Rusbelma Santana</v>
      </c>
      <c r="D3331" s="44" t="str">
        <f>IFERROR(__xludf.DUMMYFUNCTION("""COMPUTED_VALUE"""),"")</f>
        <v/>
      </c>
      <c r="E3331" s="44" t="str">
        <f>IFERROR(__xludf.DUMMYFUNCTION("""COMPUTED_VALUE"""),"")</f>
        <v/>
      </c>
      <c r="F3331" s="44" t="str">
        <f>IFERROR(__xludf.DUMMYFUNCTION("""COMPUTED_VALUE"""),"")</f>
        <v/>
      </c>
      <c r="G3331" s="44" t="str">
        <f>IFERROR(__xludf.DUMMYFUNCTION("""COMPUTED_VALUE"""),"")</f>
        <v/>
      </c>
      <c r="H3331" s="44" t="str">
        <f>IFERROR(__xludf.DUMMYFUNCTION("""COMPUTED_VALUE"""),"")</f>
        <v/>
      </c>
      <c r="I3331" s="44"/>
      <c r="J3331" s="44" t="str">
        <f>IFERROR(__xludf.DUMMYFUNCTION("""COMPUTED_VALUE"""),"")</f>
        <v/>
      </c>
      <c r="K3331" s="42" t="str">
        <f>IFERROR(__xludf.DUMMYFUNCTION("""COMPUTED_VALUE"""),"Campo de Golf Playa los Cocos")</f>
        <v>Campo de Golf Playa los Cocos</v>
      </c>
    </row>
    <row r="3332">
      <c r="A3332" s="44">
        <v>3331.0</v>
      </c>
      <c r="B3332" s="44" t="str">
        <f>IFERROR(__xludf.DUMMYFUNCTION("""COMPUTED_VALUE"""),"H. Jose Maria Vargas LG")</f>
        <v>H. Jose Maria Vargas LG</v>
      </c>
      <c r="C3332" s="45" t="str">
        <f>IFERROR(__xludf.DUMMYFUNCTION("""COMPUTED_VALUE"""),"RUSEN SAUL")</f>
        <v>RUSEN SAUL</v>
      </c>
      <c r="D3332" s="44" t="str">
        <f>IFERROR(__xludf.DUMMYFUNCTION("""COMPUTED_VALUE""")," ")</f>
        <v> </v>
      </c>
      <c r="E3332" s="44" t="str">
        <f>IFERROR(__xludf.DUMMYFUNCTION("""COMPUTED_VALUE"""),"")</f>
        <v/>
      </c>
      <c r="F3332" s="44" t="str">
        <f>IFERROR(__xludf.DUMMYFUNCTION("""COMPUTED_VALUE"""),"")</f>
        <v/>
      </c>
      <c r="G3332" s="44" t="str">
        <f>IFERROR(__xludf.DUMMYFUNCTION("""COMPUTED_VALUE""")," ")</f>
        <v> </v>
      </c>
      <c r="H3332" s="44" t="str">
        <f>IFERROR(__xludf.DUMMYFUNCTION("""COMPUTED_VALUE"""),"Caribe")</f>
        <v>Caribe</v>
      </c>
      <c r="I3332" s="44" t="str">
        <f>IFERROR(__xludf.DUMMYFUNCTION("""COMPUTED_VALUE""")," ")</f>
        <v> </v>
      </c>
      <c r="J3332" s="44" t="str">
        <f>IFERROR(__xludf.DUMMYFUNCTION("""COMPUTED_VALUE"""),"")</f>
        <v/>
      </c>
      <c r="K3332" s="42" t="str">
        <f>IFERROR(__xludf.DUMMYFUNCTION("""COMPUTED_VALUE"""),"H. Jose Maria Vargas LG")</f>
        <v>H. Jose Maria Vargas LG</v>
      </c>
    </row>
    <row r="3333">
      <c r="A3333" s="44">
        <v>3332.0</v>
      </c>
      <c r="B3333" s="44" t="str">
        <f>IFERROR(__xludf.DUMMYFUNCTION("""COMPUTED_VALUE"""),"H. Jose Maria Vargas LG")</f>
        <v>H. Jose Maria Vargas LG</v>
      </c>
      <c r="C3333" s="45" t="str">
        <f>IFERROR(__xludf.DUMMYFUNCTION("""COMPUTED_VALUE"""),"RUTH CLEMO")</f>
        <v>RUTH CLEMO</v>
      </c>
      <c r="D3333" s="44" t="str">
        <f>IFERROR(__xludf.DUMMYFUNCTION("""COMPUTED_VALUE""")," ")</f>
        <v> </v>
      </c>
      <c r="E3333" s="44" t="str">
        <f>IFERROR(__xludf.DUMMYFUNCTION("""COMPUTED_VALUE"""),"")</f>
        <v/>
      </c>
      <c r="F3333" s="44" t="str">
        <f>IFERROR(__xludf.DUMMYFUNCTION("""COMPUTED_VALUE"""),"")</f>
        <v/>
      </c>
      <c r="G3333" s="44" t="str">
        <f>IFERROR(__xludf.DUMMYFUNCTION("""COMPUTED_VALUE""")," ")</f>
        <v> </v>
      </c>
      <c r="H3333" s="44" t="str">
        <f>IFERROR(__xludf.DUMMYFUNCTION("""COMPUTED_VALUE""")," ")</f>
        <v> </v>
      </c>
      <c r="I3333" s="44" t="str">
        <f>IFERROR(__xludf.DUMMYFUNCTION("""COMPUTED_VALUE""")," ")</f>
        <v> </v>
      </c>
      <c r="J3333" s="44" t="str">
        <f>IFERROR(__xludf.DUMMYFUNCTION("""COMPUTED_VALUE"""),"")</f>
        <v/>
      </c>
      <c r="K3333" s="42" t="str">
        <f>IFERROR(__xludf.DUMMYFUNCTION("""COMPUTED_VALUE"""),"H. Jose Maria Vargas LG")</f>
        <v>H. Jose Maria Vargas LG</v>
      </c>
    </row>
    <row r="3334">
      <c r="A3334" s="44">
        <v>3333.0</v>
      </c>
      <c r="B3334" s="44" t="str">
        <f>IFERROR(__xludf.DUMMYFUNCTION("""COMPUTED_VALUE"""),"Hospital Pérez Carreño")</f>
        <v>Hospital Pérez Carreño</v>
      </c>
      <c r="C3334" s="45" t="str">
        <f>IFERROR(__xludf.DUMMYFUNCTION("""COMPUTED_VALUE"""),"SAAVEDRA ANYI")</f>
        <v>SAAVEDRA ANYI</v>
      </c>
      <c r="D3334" s="44" t="str">
        <f>IFERROR(__xludf.DUMMYFUNCTION("""COMPUTED_VALUE""")," ")</f>
        <v> </v>
      </c>
      <c r="E3334" s="44" t="str">
        <f>IFERROR(__xludf.DUMMYFUNCTION("""COMPUTED_VALUE"""),"")</f>
        <v/>
      </c>
      <c r="F3334" s="44" t="str">
        <f>IFERROR(__xludf.DUMMYFUNCTION("""COMPUTED_VALUE"""),"")</f>
        <v/>
      </c>
      <c r="G3334" s="44" t="str">
        <f>IFERROR(__xludf.DUMMYFUNCTION("""COMPUTED_VALUE""")," ")</f>
        <v> </v>
      </c>
      <c r="H3334" s="44" t="str">
        <f>IFERROR(__xludf.DUMMYFUNCTION("""COMPUTED_VALUE""")," ")</f>
        <v> </v>
      </c>
      <c r="I3334" s="44" t="str">
        <f>IFERROR(__xludf.DUMMYFUNCTION("""COMPUTED_VALUE"""),"Traumashock")</f>
        <v>Traumashock</v>
      </c>
      <c r="J3334" s="44" t="str">
        <f>IFERROR(__xludf.DUMMYFUNCTION("""COMPUTED_VALUE"""),"25/06/2026")</f>
        <v>25/06/2026</v>
      </c>
      <c r="K3334" s="42" t="str">
        <f>IFERROR(__xludf.DUMMYFUNCTION("""COMPUTED_VALUE"""),"Hospital Pérez Carreño")</f>
        <v>Hospital Pérez Carreño</v>
      </c>
    </row>
    <row r="3335">
      <c r="A3335" s="44">
        <v>3334.0</v>
      </c>
      <c r="B3335" s="44" t="str">
        <f>IFERROR(__xludf.DUMMYFUNCTION("""COMPUTED_VALUE"""),"Hospital Universitario de Carac")</f>
        <v>Hospital Universitario de Carac</v>
      </c>
      <c r="C3335" s="45" t="str">
        <f>IFERROR(__xludf.DUMMYFUNCTION("""COMPUTED_VALUE"""),"Sabrina Paez")</f>
        <v>Sabrina Paez</v>
      </c>
      <c r="D3335" s="44">
        <f>IFERROR(__xludf.DUMMYFUNCTION("""COMPUTED_VALUE"""),18.0)</f>
        <v>18</v>
      </c>
      <c r="E3335" s="44" t="str">
        <f>IFERROR(__xludf.DUMMYFUNCTION("""COMPUTED_VALUE"""),"")</f>
        <v/>
      </c>
      <c r="F3335" s="44" t="str">
        <f>IFERROR(__xludf.DUMMYFUNCTION("""COMPUTED_VALUE"""),"")</f>
        <v/>
      </c>
      <c r="G3335" s="44"/>
      <c r="H3335" s="44" t="str">
        <f>IFERROR(__xludf.DUMMYFUNCTION("""COMPUTED_VALUE"""),"La Guaira")</f>
        <v>La Guaira</v>
      </c>
      <c r="I3335" s="44" t="str">
        <f>IFERROR(__xludf.DUMMYFUNCTION("""COMPUTED_VALUE"""),"Politraumatismo")</f>
        <v>Politraumatismo</v>
      </c>
      <c r="J3335" s="44" t="str">
        <f>IFERROR(__xludf.DUMMYFUNCTION("""COMPUTED_VALUE"""),"")</f>
        <v/>
      </c>
      <c r="K3335" s="42" t="str">
        <f>IFERROR(__xludf.DUMMYFUNCTION("""COMPUTED_VALUE"""),"Hospital Universitario de Carac")</f>
        <v>Hospital Universitario de Carac</v>
      </c>
    </row>
    <row r="3336">
      <c r="A3336" s="44">
        <v>3335.0</v>
      </c>
      <c r="B3336" s="44" t="str">
        <f>IFERROR(__xludf.DUMMYFUNCTION("""COMPUTED_VALUE"""),"Hospital Pérez Carreño")</f>
        <v>Hospital Pérez Carreño</v>
      </c>
      <c r="C3336" s="45" t="str">
        <f>IFERROR(__xludf.DUMMYFUNCTION("""COMPUTED_VALUE"""),"Sala Camila")</f>
        <v>Sala Camila</v>
      </c>
      <c r="D3336" s="44"/>
      <c r="E3336" s="44" t="str">
        <f>IFERROR(__xludf.DUMMYFUNCTION("""COMPUTED_VALUE"""),"")</f>
        <v/>
      </c>
      <c r="F3336" s="44" t="str">
        <f>IFERROR(__xludf.DUMMYFUNCTION("""COMPUTED_VALUE"""),"")</f>
        <v/>
      </c>
      <c r="G3336" s="44" t="str">
        <f>IFERROR(__xludf.DUMMYFUNCTION("""COMPUTED_VALUE"""),"Traslados con destino asignado")</f>
        <v>Traslados con destino asignado</v>
      </c>
      <c r="H3336" s="44" t="str">
        <f>IFERROR(__xludf.DUMMYFUNCTION("""COMPUTED_VALUE"""),"Hospital Miguel Perez Carreño")</f>
        <v>Hospital Miguel Perez Carreño</v>
      </c>
      <c r="I3336" s="44"/>
      <c r="J3336" s="44" t="str">
        <f>IFERROR(__xludf.DUMMYFUNCTION("""COMPUTED_VALUE"""),"26/6/26")</f>
        <v>26/6/26</v>
      </c>
      <c r="K3336" s="42" t="str">
        <f>IFERROR(__xludf.DUMMYFUNCTION("""COMPUTED_VALUE"""),"Hospital Pérez Carreño")</f>
        <v>Hospital Pérez Carreño</v>
      </c>
    </row>
    <row r="3337">
      <c r="A3337" s="44">
        <v>3336.0</v>
      </c>
      <c r="B3337" s="44" t="str">
        <f>IFERROR(__xludf.DUMMYFUNCTION("""COMPUTED_VALUE"""),"Clínica El Ávila")</f>
        <v>Clínica El Ávila</v>
      </c>
      <c r="C3337" s="45" t="str">
        <f>IFERROR(__xludf.DUMMYFUNCTION("""COMPUTED_VALUE"""),"SALAH HASEM")</f>
        <v>SALAH HASEM</v>
      </c>
      <c r="D3337" s="44" t="str">
        <f>IFERROR(__xludf.DUMMYFUNCTION("""COMPUTED_VALUE""")," ")</f>
        <v> </v>
      </c>
      <c r="E3337" s="44" t="str">
        <f>IFERROR(__xludf.DUMMYFUNCTION("""COMPUTED_VALUE"""),"")</f>
        <v/>
      </c>
      <c r="F3337" s="44" t="str">
        <f>IFERROR(__xludf.DUMMYFUNCTION("""COMPUTED_VALUE"""),"")</f>
        <v/>
      </c>
      <c r="G3337" s="44" t="str">
        <f>IFERROR(__xludf.DUMMYFUNCTION("""COMPUTED_VALUE""")," ")</f>
        <v> </v>
      </c>
      <c r="H3337" s="44" t="str">
        <f>IFERROR(__xludf.DUMMYFUNCTION("""COMPUTED_VALUE""")," ")</f>
        <v> </v>
      </c>
      <c r="I3337" s="44" t="str">
        <f>IFERROR(__xludf.DUMMYFUNCTION("""COMPUTED_VALUE""")," ")</f>
        <v> </v>
      </c>
      <c r="J3337" s="44" t="str">
        <f>IFERROR(__xludf.DUMMYFUNCTION("""COMPUTED_VALUE"""),"")</f>
        <v/>
      </c>
      <c r="K3337" s="42" t="str">
        <f>IFERROR(__xludf.DUMMYFUNCTION("""COMPUTED_VALUE"""),"Clínica El Ávila")</f>
        <v>Clínica El Ávila</v>
      </c>
    </row>
    <row r="3338">
      <c r="A3338" s="44">
        <v>3337.0</v>
      </c>
      <c r="B3338" s="44" t="str">
        <f>IFERROR(__xludf.DUMMYFUNCTION("""COMPUTED_VALUE"""),"Hospital Domingo Luciani")</f>
        <v>Hospital Domingo Luciani</v>
      </c>
      <c r="C3338" s="45" t="str">
        <f>IFERROR(__xludf.DUMMYFUNCTION("""COMPUTED_VALUE"""),"SALASAB ARTURO")</f>
        <v>SALASAB ARTURO</v>
      </c>
      <c r="D3338" s="44" t="str">
        <f>IFERROR(__xludf.DUMMYFUNCTION("""COMPUTED_VALUE""")," ")</f>
        <v> </v>
      </c>
      <c r="E3338" s="44" t="str">
        <f>IFERROR(__xludf.DUMMYFUNCTION("""COMPUTED_VALUE"""),"")</f>
        <v/>
      </c>
      <c r="F3338" s="44" t="str">
        <f>IFERROR(__xludf.DUMMYFUNCTION("""COMPUTED_VALUE"""),"")</f>
        <v/>
      </c>
      <c r="G3338" s="44" t="str">
        <f>IFERROR(__xludf.DUMMYFUNCTION("""COMPUTED_VALUE""")," ")</f>
        <v> </v>
      </c>
      <c r="H3338" s="44" t="str">
        <f>IFERROR(__xludf.DUMMYFUNCTION("""COMPUTED_VALUE""")," ")</f>
        <v> </v>
      </c>
      <c r="I3338" s="44" t="str">
        <f>IFERROR(__xludf.DUMMYFUNCTION("""COMPUTED_VALUE"""),"Pediatría")</f>
        <v>Pediatría</v>
      </c>
      <c r="J3338" s="44" t="str">
        <f>IFERROR(__xludf.DUMMYFUNCTION("""COMPUTED_VALUE"""),"")</f>
        <v/>
      </c>
      <c r="K3338" s="42" t="str">
        <f>IFERROR(__xludf.DUMMYFUNCTION("""COMPUTED_VALUE"""),"🔍 BUSCAR PACIENTES")</f>
        <v>🔍 BUSCAR PACIENTES</v>
      </c>
    </row>
    <row r="3339">
      <c r="A3339" s="44">
        <v>3338.0</v>
      </c>
      <c r="B3339" s="44" t="str">
        <f>IFERROR(__xludf.DUMMYFUNCTION("""COMPUTED_VALUE"""),"Centro de Acopio Caraballeda")</f>
        <v>Centro de Acopio Caraballeda</v>
      </c>
      <c r="C3339" s="45" t="str">
        <f>IFERROR(__xludf.DUMMYFUNCTION("""COMPUTED_VALUE"""),"SALAZAR ANA")</f>
        <v>SALAZAR ANA</v>
      </c>
      <c r="D3339" s="44" t="str">
        <f>IFERROR(__xludf.DUMMYFUNCTION("""COMPUTED_VALUE""")," ")</f>
        <v> </v>
      </c>
      <c r="E3339" s="44" t="str">
        <f>IFERROR(__xludf.DUMMYFUNCTION("""COMPUTED_VALUE"""),"")</f>
        <v/>
      </c>
      <c r="F3339" s="44" t="str">
        <f>IFERROR(__xludf.DUMMYFUNCTION("""COMPUTED_VALUE"""),"")</f>
        <v/>
      </c>
      <c r="G3339" s="44" t="str">
        <f>IFERROR(__xludf.DUMMYFUNCTION("""COMPUTED_VALUE""")," ")</f>
        <v> </v>
      </c>
      <c r="H3339" s="44" t="str">
        <f>IFERROR(__xludf.DUMMYFUNCTION("""COMPUTED_VALUE""")," ")</f>
        <v> </v>
      </c>
      <c r="I3339" s="44" t="str">
        <f>IFERROR(__xludf.DUMMYFUNCTION("""COMPUTED_VALUE"""),"Internado")</f>
        <v>Internado</v>
      </c>
      <c r="J3339" s="44" t="str">
        <f>IFERROR(__xludf.DUMMYFUNCTION("""COMPUTED_VALUE"""),"")</f>
        <v/>
      </c>
      <c r="K3339" s="42" t="str">
        <f>IFERROR(__xludf.DUMMYFUNCTION("""COMPUTED_VALUE"""),"🔍 BUSCAR PACIENTES")</f>
        <v>🔍 BUSCAR PACIENTES</v>
      </c>
    </row>
    <row r="3340">
      <c r="A3340" s="44">
        <v>3339.0</v>
      </c>
      <c r="B3340" s="44" t="str">
        <f>IFERROR(__xludf.DUMMYFUNCTION("""COMPUTED_VALUE"""),"Centro de Acopio Caraballeda")</f>
        <v>Centro de Acopio Caraballeda</v>
      </c>
      <c r="C3340" s="45" t="str">
        <f>IFERROR(__xludf.DUMMYFUNCTION("""COMPUTED_VALUE"""),"SALAZAR ANTHONY")</f>
        <v>SALAZAR ANTHONY</v>
      </c>
      <c r="D3340" s="44" t="str">
        <f>IFERROR(__xludf.DUMMYFUNCTION("""COMPUTED_VALUE""")," ")</f>
        <v> </v>
      </c>
      <c r="E3340" s="44" t="str">
        <f>IFERROR(__xludf.DUMMYFUNCTION("""COMPUTED_VALUE"""),"")</f>
        <v/>
      </c>
      <c r="F3340" s="44" t="str">
        <f>IFERROR(__xludf.DUMMYFUNCTION("""COMPUTED_VALUE"""),"")</f>
        <v/>
      </c>
      <c r="G3340" s="44" t="str">
        <f>IFERROR(__xludf.DUMMYFUNCTION("""COMPUTED_VALUE""")," ")</f>
        <v> </v>
      </c>
      <c r="H3340" s="44" t="str">
        <f>IFERROR(__xludf.DUMMYFUNCTION("""COMPUTED_VALUE""")," ")</f>
        <v> </v>
      </c>
      <c r="I3340" s="44" t="str">
        <f>IFERROR(__xludf.DUMMYFUNCTION("""COMPUTED_VALUE"""),"Internado")</f>
        <v>Internado</v>
      </c>
      <c r="J3340" s="44" t="str">
        <f>IFERROR(__xludf.DUMMYFUNCTION("""COMPUTED_VALUE"""),"")</f>
        <v/>
      </c>
      <c r="K3340" s="42" t="str">
        <f>IFERROR(__xludf.DUMMYFUNCTION("""COMPUTED_VALUE"""),"🔍 BUSCAR PACIENTES")</f>
        <v>🔍 BUSCAR PACIENTES</v>
      </c>
    </row>
    <row r="3341">
      <c r="A3341" s="44">
        <v>3340.0</v>
      </c>
      <c r="B3341" s="44" t="str">
        <f>IFERROR(__xludf.DUMMYFUNCTION("""COMPUTED_VALUE"""),"Hospital Domingo Luciani")</f>
        <v>Hospital Domingo Luciani</v>
      </c>
      <c r="C3341" s="45" t="str">
        <f>IFERROR(__xludf.DUMMYFUNCTION("""COMPUTED_VALUE"""),"SALAZAR ARTURO")</f>
        <v>SALAZAR ARTURO</v>
      </c>
      <c r="D3341" s="44">
        <f>IFERROR(__xludf.DUMMYFUNCTION("""COMPUTED_VALUE"""),13.0)</f>
        <v>13</v>
      </c>
      <c r="E3341" s="44" t="str">
        <f>IFERROR(__xludf.DUMMYFUNCTION("""COMPUTED_VALUE"""),"")</f>
        <v/>
      </c>
      <c r="F3341" s="44" t="str">
        <f>IFERROR(__xludf.DUMMYFUNCTION("""COMPUTED_VALUE"""),"")</f>
        <v/>
      </c>
      <c r="G3341" s="44" t="str">
        <f>IFERROR(__xludf.DUMMYFUNCTION("""COMPUTED_VALUE""")," ")</f>
        <v> </v>
      </c>
      <c r="H3341" s="44" t="str">
        <f>IFERROR(__xludf.DUMMYFUNCTION("""COMPUTED_VALUE""")," ")</f>
        <v> </v>
      </c>
      <c r="I3341" s="44" t="str">
        <f>IFERROR(__xludf.DUMMYFUNCTION("""COMPUTED_VALUE"""),"Pediatría")</f>
        <v>Pediatría</v>
      </c>
      <c r="J3341" s="44" t="str">
        <f>IFERROR(__xludf.DUMMYFUNCTION("""COMPUTED_VALUE"""),"")</f>
        <v/>
      </c>
      <c r="K3341" s="42" t="str">
        <f>IFERROR(__xludf.DUMMYFUNCTION("""COMPUTED_VALUE"""),"🔍 BUSCAR PACIENTES")</f>
        <v>🔍 BUSCAR PACIENTES</v>
      </c>
    </row>
    <row r="3342">
      <c r="A3342" s="44">
        <v>3341.0</v>
      </c>
      <c r="B3342" s="44" t="str">
        <f>IFERROR(__xludf.DUMMYFUNCTION("""COMPUTED_VALUE"""),"Periférico de Catia")</f>
        <v>Periférico de Catia</v>
      </c>
      <c r="C3342" s="45" t="str">
        <f>IFERROR(__xludf.DUMMYFUNCTION("""COMPUTED_VALUE"""),"SALAZAR CANCILES")</f>
        <v>SALAZAR CANCILES</v>
      </c>
      <c r="D3342" s="44">
        <f>IFERROR(__xludf.DUMMYFUNCTION("""COMPUTED_VALUE"""),30.0)</f>
        <v>30</v>
      </c>
      <c r="E3342" s="44" t="str">
        <f>IFERROR(__xludf.DUMMYFUNCTION("""COMPUTED_VALUE"""),"")</f>
        <v/>
      </c>
      <c r="F3342" s="44" t="str">
        <f>IFERROR(__xludf.DUMMYFUNCTION("""COMPUTED_VALUE"""),"")</f>
        <v/>
      </c>
      <c r="G3342" s="44" t="str">
        <f>IFERROR(__xludf.DUMMYFUNCTION("""COMPUTED_VALUE""")," ")</f>
        <v> </v>
      </c>
      <c r="H3342" s="44" t="str">
        <f>IFERROR(__xludf.DUMMYFUNCTION("""COMPUTED_VALUE""")," ")</f>
        <v> </v>
      </c>
      <c r="I3342" s="44" t="str">
        <f>IFERROR(__xludf.DUMMYFUNCTION("""COMPUTED_VALUE"""),"Sola")</f>
        <v>Sola</v>
      </c>
      <c r="J3342" s="44" t="str">
        <f>IFERROR(__xludf.DUMMYFUNCTION("""COMPUTED_VALUE"""),"")</f>
        <v/>
      </c>
      <c r="K3342" s="42" t="str">
        <f>IFERROR(__xludf.DUMMYFUNCTION("""COMPUTED_VALUE"""),"Periférico de Catia")</f>
        <v>Periférico de Catia</v>
      </c>
    </row>
    <row r="3343">
      <c r="A3343" s="44">
        <v>3342.0</v>
      </c>
      <c r="B3343" s="44" t="str">
        <f>IFERROR(__xludf.DUMMYFUNCTION("""COMPUTED_VALUE"""),"Periférico de Catia")</f>
        <v>Periférico de Catia</v>
      </c>
      <c r="C3343" s="45" t="str">
        <f>IFERROR(__xludf.DUMMYFUNCTION("""COMPUTED_VALUE"""),"SALAZAR CAROLINE")</f>
        <v>SALAZAR CAROLINE</v>
      </c>
      <c r="D3343" s="44">
        <f>IFERROR(__xludf.DUMMYFUNCTION("""COMPUTED_VALUE"""),6.0)</f>
        <v>6</v>
      </c>
      <c r="E3343" s="44" t="str">
        <f>IFERROR(__xludf.DUMMYFUNCTION("""COMPUTED_VALUE"""),"")</f>
        <v/>
      </c>
      <c r="F3343" s="44" t="str">
        <f>IFERROR(__xludf.DUMMYFUNCTION("""COMPUTED_VALUE"""),"")</f>
        <v/>
      </c>
      <c r="G3343" s="44" t="str">
        <f>IFERROR(__xludf.DUMMYFUNCTION("""COMPUTED_VALUE""")," ")</f>
        <v> </v>
      </c>
      <c r="H3343" s="44" t="str">
        <f>IFERROR(__xludf.DUMMYFUNCTION("""COMPUTED_VALUE"""),"Ly/ Guiñare")</f>
        <v>Ly/ Guiñare</v>
      </c>
      <c r="I3343" s="44" t="str">
        <f>IFERROR(__xludf.DUMMYFUNCTION("""COMPUTED_VALUE""")," ")</f>
        <v> </v>
      </c>
      <c r="J3343" s="44" t="str">
        <f>IFERROR(__xludf.DUMMYFUNCTION("""COMPUTED_VALUE"""),"")</f>
        <v/>
      </c>
      <c r="K3343" s="42" t="str">
        <f>IFERROR(__xludf.DUMMYFUNCTION("""COMPUTED_VALUE"""),"Periférico de Catia")</f>
        <v>Periférico de Catia</v>
      </c>
    </row>
    <row r="3344">
      <c r="A3344" s="44">
        <v>3343.0</v>
      </c>
      <c r="B3344" s="44" t="str">
        <f>IFERROR(__xludf.DUMMYFUNCTION("""COMPUTED_VALUE"""),"Hospital Pérez Carreño")</f>
        <v>Hospital Pérez Carreño</v>
      </c>
      <c r="C3344" s="45" t="str">
        <f>IFERROR(__xludf.DUMMYFUNCTION("""COMPUTED_VALUE"""),"Salazar Eddy")</f>
        <v>Salazar Eddy</v>
      </c>
      <c r="D3344" s="44"/>
      <c r="E3344" s="44" t="str">
        <f>IFERROR(__xludf.DUMMYFUNCTION("""COMPUTED_VALUE"""),"")</f>
        <v/>
      </c>
      <c r="F3344" s="44" t="str">
        <f>IFERROR(__xludf.DUMMYFUNCTION("""COMPUTED_VALUE"""),"")</f>
        <v/>
      </c>
      <c r="G3344" s="44" t="str">
        <f>IFERROR(__xludf.DUMMYFUNCTION("""COMPUTED_VALUE"""),"Traslados con destino asignado")</f>
        <v>Traslados con destino asignado</v>
      </c>
      <c r="H3344" s="44" t="str">
        <f>IFERROR(__xludf.DUMMYFUNCTION("""COMPUTED_VALUE"""),"Hospital Miguel Perez Carreño")</f>
        <v>Hospital Miguel Perez Carreño</v>
      </c>
      <c r="I3344" s="44"/>
      <c r="J3344" s="44" t="str">
        <f>IFERROR(__xludf.DUMMYFUNCTION("""COMPUTED_VALUE"""),"26/6/26")</f>
        <v>26/6/26</v>
      </c>
      <c r="K3344" s="42" t="str">
        <f>IFERROR(__xludf.DUMMYFUNCTION("""COMPUTED_VALUE"""),"Hospital Pérez Carreño")</f>
        <v>Hospital Pérez Carreño</v>
      </c>
    </row>
    <row r="3345">
      <c r="A3345" s="44">
        <v>3344.0</v>
      </c>
      <c r="B3345" s="44" t="str">
        <f>IFERROR(__xludf.DUMMYFUNCTION("""COMPUTED_VALUE"""),"Seguro Social La Guaira")</f>
        <v>Seguro Social La Guaira</v>
      </c>
      <c r="C3345" s="45" t="str">
        <f>IFERROR(__xludf.DUMMYFUNCTION("""COMPUTED_VALUE"""),"SALAZAR ELEM")</f>
        <v>SALAZAR ELEM</v>
      </c>
      <c r="D3345" s="44" t="str">
        <f>IFERROR(__xludf.DUMMYFUNCTION("""COMPUTED_VALUE""")," ")</f>
        <v> </v>
      </c>
      <c r="E3345" s="44" t="str">
        <f>IFERROR(__xludf.DUMMYFUNCTION("""COMPUTED_VALUE"""),"")</f>
        <v/>
      </c>
      <c r="F3345" s="44" t="str">
        <f>IFERROR(__xludf.DUMMYFUNCTION("""COMPUTED_VALUE"""),"")</f>
        <v/>
      </c>
      <c r="G3345" s="44" t="str">
        <f>IFERROR(__xludf.DUMMYFUNCTION("""COMPUTED_VALUE""")," ")</f>
        <v> </v>
      </c>
      <c r="H3345" s="44" t="str">
        <f>IFERROR(__xludf.DUMMYFUNCTION("""COMPUTED_VALUE"""),"Caribe")</f>
        <v>Caribe</v>
      </c>
      <c r="I3345" s="44" t="str">
        <f>IFERROR(__xludf.DUMMYFUNCTION("""COMPUTED_VALUE""")," ")</f>
        <v> </v>
      </c>
      <c r="J3345" s="44" t="str">
        <f>IFERROR(__xludf.DUMMYFUNCTION("""COMPUTED_VALUE"""),"")</f>
        <v/>
      </c>
      <c r="K3345" s="42" t="str">
        <f>IFERROR(__xludf.DUMMYFUNCTION("""COMPUTED_VALUE"""),"Seguro Social La Guaira")</f>
        <v>Seguro Social La Guaira</v>
      </c>
    </row>
    <row r="3346">
      <c r="A3346" s="44">
        <v>3345.0</v>
      </c>
      <c r="B3346" s="44" t="str">
        <f>IFERROR(__xludf.DUMMYFUNCTION("""COMPUTED_VALUE"""),"H. Jose Maria Vargas LG")</f>
        <v>H. Jose Maria Vargas LG</v>
      </c>
      <c r="C3346" s="45" t="str">
        <f>IFERROR(__xludf.DUMMYFUNCTION("""COMPUTED_VALUE"""),"SALAZAR ELON")</f>
        <v>SALAZAR ELON</v>
      </c>
      <c r="D3346" s="44" t="str">
        <f>IFERROR(__xludf.DUMMYFUNCTION("""COMPUTED_VALUE""")," ")</f>
        <v> </v>
      </c>
      <c r="E3346" s="44" t="str">
        <f>IFERROR(__xludf.DUMMYFUNCTION("""COMPUTED_VALUE"""),"")</f>
        <v/>
      </c>
      <c r="F3346" s="44" t="str">
        <f>IFERROR(__xludf.DUMMYFUNCTION("""COMPUTED_VALUE"""),"")</f>
        <v/>
      </c>
      <c r="G3346" s="44" t="str">
        <f>IFERROR(__xludf.DUMMYFUNCTION("""COMPUTED_VALUE""")," ")</f>
        <v> </v>
      </c>
      <c r="H3346" s="44" t="str">
        <f>IFERROR(__xludf.DUMMYFUNCTION("""COMPUTED_VALUE""")," ")</f>
        <v> </v>
      </c>
      <c r="I3346" s="44" t="str">
        <f>IFERROR(__xludf.DUMMYFUNCTION("""COMPUTED_VALUE"""),"Internado")</f>
        <v>Internado</v>
      </c>
      <c r="J3346" s="44" t="str">
        <f>IFERROR(__xludf.DUMMYFUNCTION("""COMPUTED_VALUE"""),"")</f>
        <v/>
      </c>
      <c r="K3346" s="42" t="str">
        <f>IFERROR(__xludf.DUMMYFUNCTION("""COMPUTED_VALUE"""),"H. Jose Maria Vargas LG")</f>
        <v>H. Jose Maria Vargas LG</v>
      </c>
    </row>
    <row r="3347">
      <c r="A3347" s="44">
        <v>3346.0</v>
      </c>
      <c r="B3347" s="44" t="str">
        <f>IFERROR(__xludf.DUMMYFUNCTION("""COMPUTED_VALUE"""),"H. Jose Maria Vargas LG")</f>
        <v>H. Jose Maria Vargas LG</v>
      </c>
      <c r="C3347" s="45" t="str">
        <f>IFERROR(__xludf.DUMMYFUNCTION("""COMPUTED_VALUE"""),"SALAZAR ERIK")</f>
        <v>SALAZAR ERIK</v>
      </c>
      <c r="D3347" s="44">
        <f>IFERROR(__xludf.DUMMYFUNCTION("""COMPUTED_VALUE"""),45.0)</f>
        <v>45</v>
      </c>
      <c r="E3347" s="44" t="str">
        <f>IFERROR(__xludf.DUMMYFUNCTION("""COMPUTED_VALUE"""),"")</f>
        <v/>
      </c>
      <c r="F3347" s="44" t="str">
        <f>IFERROR(__xludf.DUMMYFUNCTION("""COMPUTED_VALUE"""),"")</f>
        <v/>
      </c>
      <c r="G3347" s="44" t="str">
        <f>IFERROR(__xludf.DUMMYFUNCTION("""COMPUTED_VALUE""")," ")</f>
        <v> </v>
      </c>
      <c r="H3347" s="44" t="str">
        <f>IFERROR(__xludf.DUMMYFUNCTION("""COMPUTED_VALUE""")," ")</f>
        <v> </v>
      </c>
      <c r="I3347" s="44" t="str">
        <f>IFERROR(__xludf.DUMMYFUNCTION("""COMPUTED_VALUE"""),"Internado")</f>
        <v>Internado</v>
      </c>
      <c r="J3347" s="44" t="str">
        <f>IFERROR(__xludf.DUMMYFUNCTION("""COMPUTED_VALUE"""),"")</f>
        <v/>
      </c>
      <c r="K3347" s="42" t="str">
        <f>IFERROR(__xludf.DUMMYFUNCTION("""COMPUTED_VALUE"""),"H. Jose Maria Vargas LG")</f>
        <v>H. Jose Maria Vargas LG</v>
      </c>
    </row>
    <row r="3348">
      <c r="A3348" s="44">
        <v>3347.0</v>
      </c>
      <c r="B3348" s="44" t="str">
        <f>IFERROR(__xludf.DUMMYFUNCTION("""COMPUTED_VALUE"""),"Hospital Domingo Luciani")</f>
        <v>Hospital Domingo Luciani</v>
      </c>
      <c r="C3348" s="45" t="str">
        <f>IFERROR(__xludf.DUMMYFUNCTION("""COMPUTED_VALUE"""),"SALAZAR HELEN")</f>
        <v>SALAZAR HELEN</v>
      </c>
      <c r="D3348" s="44" t="str">
        <f>IFERROR(__xludf.DUMMYFUNCTION("""COMPUTED_VALUE""")," ")</f>
        <v> </v>
      </c>
      <c r="E3348" s="44" t="str">
        <f>IFERROR(__xludf.DUMMYFUNCTION("""COMPUTED_VALUE"""),"")</f>
        <v/>
      </c>
      <c r="F3348" s="44" t="str">
        <f>IFERROR(__xludf.DUMMYFUNCTION("""COMPUTED_VALUE"""),"")</f>
        <v/>
      </c>
      <c r="G3348" s="44" t="str">
        <f>IFERROR(__xludf.DUMMYFUNCTION("""COMPUTED_VALUE""")," ")</f>
        <v> </v>
      </c>
      <c r="H3348" s="44" t="str">
        <f>IFERROR(__xludf.DUMMYFUNCTION("""COMPUTED_VALUE""")," ")</f>
        <v> </v>
      </c>
      <c r="I3348" s="44" t="str">
        <f>IFERROR(__xludf.DUMMYFUNCTION("""COMPUTED_VALUE"""),"Politrauma Emerg. Nueva")</f>
        <v>Politrauma Emerg. Nueva</v>
      </c>
      <c r="J3348" s="44" t="str">
        <f>IFERROR(__xludf.DUMMYFUNCTION("""COMPUTED_VALUE"""),"")</f>
        <v/>
      </c>
      <c r="K3348" s="42" t="str">
        <f>IFERROR(__xludf.DUMMYFUNCTION("""COMPUTED_VALUE"""),"🔍 BUSCAR PACIENTES")</f>
        <v>🔍 BUSCAR PACIENTES</v>
      </c>
    </row>
    <row r="3349">
      <c r="A3349" s="44">
        <v>3348.0</v>
      </c>
      <c r="B3349" s="44" t="str">
        <f>IFERROR(__xludf.DUMMYFUNCTION("""COMPUTED_VALUE"""),"Hospital Pérez Carreño")</f>
        <v>Hospital Pérez Carreño</v>
      </c>
      <c r="C3349" s="45" t="str">
        <f>IFERROR(__xludf.DUMMYFUNCTION("""COMPUTED_VALUE"""),"SALAZAR KAMILA")</f>
        <v>SALAZAR KAMILA</v>
      </c>
      <c r="D3349" s="44">
        <f>IFERROR(__xludf.DUMMYFUNCTION("""COMPUTED_VALUE"""),23.0)</f>
        <v>23</v>
      </c>
      <c r="E3349" s="44" t="str">
        <f>IFERROR(__xludf.DUMMYFUNCTION("""COMPUTED_VALUE"""),"")</f>
        <v/>
      </c>
      <c r="F3349" s="44" t="str">
        <f>IFERROR(__xludf.DUMMYFUNCTION("""COMPUTED_VALUE"""),"")</f>
        <v/>
      </c>
      <c r="G3349" s="44" t="str">
        <f>IFERROR(__xludf.DUMMYFUNCTION("""COMPUTED_VALUE""")," ")</f>
        <v> </v>
      </c>
      <c r="H3349" s="44" t="str">
        <f>IFERROR(__xludf.DUMMYFUNCTION("""COMPUTED_VALUE""")," ")</f>
        <v> </v>
      </c>
      <c r="I3349" s="44" t="str">
        <f>IFERROR(__xludf.DUMMYFUNCTION("""COMPUTED_VALUE"""),"Traumachok – Cirugía; La Guaira; Alta")</f>
        <v>Traumachok – Cirugía; La Guaira; Alta</v>
      </c>
      <c r="J3349" s="44" t="str">
        <f>IFERROR(__xludf.DUMMYFUNCTION("""COMPUTED_VALUE"""),"")</f>
        <v/>
      </c>
      <c r="K3349" s="42" t="str">
        <f>IFERROR(__xludf.DUMMYFUNCTION("""COMPUTED_VALUE"""),"🔍 BUSCAR PACIENTES")</f>
        <v>🔍 BUSCAR PACIENTES</v>
      </c>
    </row>
    <row r="3350">
      <c r="A3350" s="44">
        <v>3349.0</v>
      </c>
      <c r="B3350" s="44" t="str">
        <f>IFERROR(__xludf.DUMMYFUNCTION("""COMPUTED_VALUE"""),"Hospital Pérez Carreño")</f>
        <v>Hospital Pérez Carreño</v>
      </c>
      <c r="C3350" s="45" t="str">
        <f>IFERROR(__xludf.DUMMYFUNCTION("""COMPUTED_VALUE"""),"SALAZAR RIHANNA")</f>
        <v>SALAZAR RIHANNA</v>
      </c>
      <c r="D3350" s="44">
        <f>IFERROR(__xludf.DUMMYFUNCTION("""COMPUTED_VALUE"""),4.0)</f>
        <v>4</v>
      </c>
      <c r="E3350" s="44" t="str">
        <f>IFERROR(__xludf.DUMMYFUNCTION("""COMPUTED_VALUE"""),"")</f>
        <v/>
      </c>
      <c r="F3350" s="44" t="str">
        <f>IFERROR(__xludf.DUMMYFUNCTION("""COMPUTED_VALUE"""),"")</f>
        <v/>
      </c>
      <c r="G3350" s="44" t="str">
        <f>IFERROR(__xludf.DUMMYFUNCTION("""COMPUTED_VALUE""")," ")</f>
        <v> </v>
      </c>
      <c r="H3350" s="44" t="str">
        <f>IFERROR(__xludf.DUMMYFUNCTION("""COMPUTED_VALUE""")," ")</f>
        <v> </v>
      </c>
      <c r="I3350" s="44" t="str">
        <f>IFERROR(__xludf.DUMMYFUNCTION("""COMPUTED_VALUE"""),"Pediatría – Lista alta; Mamá Marisol Gil")</f>
        <v>Pediatría – Lista alta; Mamá Marisol Gil</v>
      </c>
      <c r="J3350" s="44" t="str">
        <f>IFERROR(__xludf.DUMMYFUNCTION("""COMPUTED_VALUE"""),"")</f>
        <v/>
      </c>
      <c r="K3350" s="42" t="str">
        <f>IFERROR(__xludf.DUMMYFUNCTION("""COMPUTED_VALUE"""),"🔍 BUSCAR PACIENTES")</f>
        <v>🔍 BUSCAR PACIENTES</v>
      </c>
    </row>
    <row r="3351">
      <c r="A3351" s="44">
        <v>3350.0</v>
      </c>
      <c r="B3351" s="44" t="str">
        <f>IFERROR(__xludf.DUMMYFUNCTION("""COMPUTED_VALUE"""),"Hospital Pérez Carreño")</f>
        <v>Hospital Pérez Carreño</v>
      </c>
      <c r="C3351" s="45" t="str">
        <f>IFERROR(__xludf.DUMMYFUNCTION("""COMPUTED_VALUE"""),"SALAZAR YOAN")</f>
        <v>SALAZAR YOAN</v>
      </c>
      <c r="D3351" s="44" t="str">
        <f>IFERROR(__xludf.DUMMYFUNCTION("""COMPUTED_VALUE""")," ")</f>
        <v> </v>
      </c>
      <c r="E3351" s="44" t="str">
        <f>IFERROR(__xludf.DUMMYFUNCTION("""COMPUTED_VALUE"""),"")</f>
        <v/>
      </c>
      <c r="F3351" s="44" t="str">
        <f>IFERROR(__xludf.DUMMYFUNCTION("""COMPUTED_VALUE"""),"")</f>
        <v/>
      </c>
      <c r="G3351" s="44" t="str">
        <f>IFERROR(__xludf.DUMMYFUNCTION("""COMPUTED_VALUE""")," ")</f>
        <v> </v>
      </c>
      <c r="H3351" s="44" t="str">
        <f>IFERROR(__xludf.DUMMYFUNCTION("""COMPUTED_VALUE""")," ")</f>
        <v> </v>
      </c>
      <c r="I3351" s="44" t="str">
        <f>IFERROR(__xludf.DUMMYFUNCTION("""COMPUTED_VALUE"""),"Traumachok – Pasillo Asesor – Triaje Neuro; La Guaira")</f>
        <v>Traumachok – Pasillo Asesor – Triaje Neuro; La Guaira</v>
      </c>
      <c r="J3351" s="44" t="str">
        <f>IFERROR(__xludf.DUMMYFUNCTION("""COMPUTED_VALUE"""),"")</f>
        <v/>
      </c>
      <c r="K3351" s="42" t="str">
        <f>IFERROR(__xludf.DUMMYFUNCTION("""COMPUTED_VALUE"""),"🔍 BUSCAR PACIENTES")</f>
        <v>🔍 BUSCAR PACIENTES</v>
      </c>
    </row>
    <row r="3352">
      <c r="A3352" s="44">
        <v>3351.0</v>
      </c>
      <c r="B3352" s="44" t="str">
        <f>IFERROR(__xludf.DUMMYFUNCTION("""COMPUTED_VALUE"""),"Hospital Pérez Carreño")</f>
        <v>Hospital Pérez Carreño</v>
      </c>
      <c r="C3352" s="45" t="str">
        <f>IFERROR(__xludf.DUMMYFUNCTION("""COMPUTED_VALUE"""),"SALAZAR YOAU")</f>
        <v>SALAZAR YOAU</v>
      </c>
      <c r="D3352" s="44" t="str">
        <f>IFERROR(__xludf.DUMMYFUNCTION("""COMPUTED_VALUE""")," ")</f>
        <v> </v>
      </c>
      <c r="E3352" s="44" t="str">
        <f>IFERROR(__xludf.DUMMYFUNCTION("""COMPUTED_VALUE"""),"")</f>
        <v/>
      </c>
      <c r="F3352" s="44" t="str">
        <f>IFERROR(__xludf.DUMMYFUNCTION("""COMPUTED_VALUE"""),"")</f>
        <v/>
      </c>
      <c r="G3352" s="44" t="str">
        <f>IFERROR(__xludf.DUMMYFUNCTION("""COMPUTED_VALUE""")," ")</f>
        <v> </v>
      </c>
      <c r="H3352" s="44" t="str">
        <f>IFERROR(__xludf.DUMMYFUNCTION("""COMPUTED_VALUE""")," ")</f>
        <v> </v>
      </c>
      <c r="I3352" s="44" t="str">
        <f>IFERROR(__xludf.DUMMYFUNCTION("""COMPUTED_VALUE"""),"Traumashock")</f>
        <v>Traumashock</v>
      </c>
      <c r="J3352" s="44" t="str">
        <f>IFERROR(__xludf.DUMMYFUNCTION("""COMPUTED_VALUE"""),"25/06/2026")</f>
        <v>25/06/2026</v>
      </c>
      <c r="K3352" s="42" t="str">
        <f>IFERROR(__xludf.DUMMYFUNCTION("""COMPUTED_VALUE"""),"Hospital Pérez Carreño")</f>
        <v>Hospital Pérez Carreño</v>
      </c>
    </row>
    <row r="3353">
      <c r="A3353" s="44">
        <v>3352.0</v>
      </c>
      <c r="B3353" s="44" t="str">
        <f>IFERROR(__xludf.DUMMYFUNCTION("""COMPUTED_VALUE"""),"H. Jose Maria Vargas LG")</f>
        <v>H. Jose Maria Vargas LG</v>
      </c>
      <c r="C3353" s="45" t="str">
        <f>IFERROR(__xludf.DUMMYFUNCTION("""COMPUTED_VALUE"""),"SALAZAR YOHAN")</f>
        <v>SALAZAR YOHAN</v>
      </c>
      <c r="D3353" s="44">
        <f>IFERROR(__xludf.DUMMYFUNCTION("""COMPUTED_VALUE"""),32.0)</f>
        <v>32</v>
      </c>
      <c r="E3353" s="44" t="str">
        <f>IFERROR(__xludf.DUMMYFUNCTION("""COMPUTED_VALUE"""),"")</f>
        <v/>
      </c>
      <c r="F3353" s="44" t="str">
        <f>IFERROR(__xludf.DUMMYFUNCTION("""COMPUTED_VALUE"""),"")</f>
        <v/>
      </c>
      <c r="G3353" s="44" t="str">
        <f>IFERROR(__xludf.DUMMYFUNCTION("""COMPUTED_VALUE""")," ")</f>
        <v> </v>
      </c>
      <c r="H3353" s="44" t="str">
        <f>IFERROR(__xludf.DUMMYFUNCTION("""COMPUTED_VALUE""")," ")</f>
        <v> </v>
      </c>
      <c r="I3353" s="44" t="str">
        <f>IFERROR(__xludf.DUMMYFUNCTION("""COMPUTED_VALUE""")," ")</f>
        <v> </v>
      </c>
      <c r="J3353" s="44" t="str">
        <f>IFERROR(__xludf.DUMMYFUNCTION("""COMPUTED_VALUE"""),"")</f>
        <v/>
      </c>
      <c r="K3353" s="42" t="str">
        <f>IFERROR(__xludf.DUMMYFUNCTION("""COMPUTED_VALUE"""),"H. Jose Maria Vargas LG")</f>
        <v>H. Jose Maria Vargas LG</v>
      </c>
    </row>
    <row r="3354">
      <c r="A3354" s="44">
        <v>3353.0</v>
      </c>
      <c r="B3354" s="44" t="str">
        <f>IFERROR(__xludf.DUMMYFUNCTION("""COMPUTED_VALUE"""),"Hospital Pérez Carreño")</f>
        <v>Hospital Pérez Carreño</v>
      </c>
      <c r="C3354" s="45" t="str">
        <f>IFERROR(__xludf.DUMMYFUNCTION("""COMPUTED_VALUE"""),"SALAZAR ZAMBRANO JOHAN ALEXANDER")</f>
        <v>SALAZAR ZAMBRANO JOHAN ALEXANDER</v>
      </c>
      <c r="D3354" s="44" t="str">
        <f>IFERROR(__xludf.DUMMYFUNCTION("""COMPUTED_VALUE""")," ")</f>
        <v> </v>
      </c>
      <c r="E3354" s="44" t="str">
        <f>IFERROR(__xludf.DUMMYFUNCTION("""COMPUTED_VALUE"""),"")</f>
        <v/>
      </c>
      <c r="F3354" s="44" t="str">
        <f>IFERROR(__xludf.DUMMYFUNCTION("""COMPUTED_VALUE"""),"")</f>
        <v/>
      </c>
      <c r="G3354" s="44" t="str">
        <f>IFERROR(__xludf.DUMMYFUNCTION("""COMPUTED_VALUE""")," ")</f>
        <v> </v>
      </c>
      <c r="H3354" s="44" t="str">
        <f>IFERROR(__xludf.DUMMYFUNCTION("""COMPUTED_VALUE""")," ")</f>
        <v> </v>
      </c>
      <c r="I3354" s="44" t="str">
        <f>IFERROR(__xludf.DUMMYFUNCTION("""COMPUTED_VALUE"""),"Internado")</f>
        <v>Internado</v>
      </c>
      <c r="J3354" s="44" t="str">
        <f>IFERROR(__xludf.DUMMYFUNCTION("""COMPUTED_VALUE"""),"")</f>
        <v/>
      </c>
      <c r="K3354" s="42" t="str">
        <f>IFERROR(__xludf.DUMMYFUNCTION("""COMPUTED_VALUE"""),"🔍 BUSCAR PACIENTES")</f>
        <v>🔍 BUSCAR PACIENTES</v>
      </c>
    </row>
    <row r="3355">
      <c r="A3355" s="44">
        <v>3354.0</v>
      </c>
      <c r="B3355" s="44" t="str">
        <f>IFERROR(__xludf.DUMMYFUNCTION("""COMPUTED_VALUE"""),"Hospital Pérez Carreño")</f>
        <v>Hospital Pérez Carreño</v>
      </c>
      <c r="C3355" s="45" t="str">
        <f>IFERROR(__xludf.DUMMYFUNCTION("""COMPUTED_VALUE"""),"SALCEDO ACOSTA SEBASTIAN JOSE")</f>
        <v>SALCEDO ACOSTA SEBASTIAN JOSE</v>
      </c>
      <c r="D3355" s="44">
        <f>IFERROR(__xludf.DUMMYFUNCTION("""COMPUTED_VALUE"""),9.0)</f>
        <v>9</v>
      </c>
      <c r="E3355" s="44" t="str">
        <f>IFERROR(__xludf.DUMMYFUNCTION("""COMPUTED_VALUE"""),"")</f>
        <v/>
      </c>
      <c r="F3355" s="44" t="str">
        <f>IFERROR(__xludf.DUMMYFUNCTION("""COMPUTED_VALUE"""),"")</f>
        <v/>
      </c>
      <c r="G3355" s="44" t="str">
        <f>IFERROR(__xludf.DUMMYFUNCTION("""COMPUTED_VALUE""")," ")</f>
        <v> </v>
      </c>
      <c r="H3355" s="44" t="str">
        <f>IFERROR(__xludf.DUMMYFUNCTION("""COMPUTED_VALUE""")," ")</f>
        <v> </v>
      </c>
      <c r="I3355" s="44" t="str">
        <f>IFERROR(__xludf.DUMMYFUNCTION("""COMPUTED_VALUE"""),"Pediatría – Lista alta; Papá César Salcedo")</f>
        <v>Pediatría – Lista alta; Papá César Salcedo</v>
      </c>
      <c r="J3355" s="44" t="str">
        <f>IFERROR(__xludf.DUMMYFUNCTION("""COMPUTED_VALUE"""),"")</f>
        <v/>
      </c>
      <c r="K3355" s="42" t="str">
        <f>IFERROR(__xludf.DUMMYFUNCTION("""COMPUTED_VALUE"""),"🔍 BUSCAR PACIENTES")</f>
        <v>🔍 BUSCAR PACIENTES</v>
      </c>
    </row>
    <row r="3356">
      <c r="A3356" s="44">
        <v>3355.0</v>
      </c>
      <c r="B3356" s="44" t="str">
        <f>IFERROR(__xludf.DUMMYFUNCTION("""COMPUTED_VALUE"""),"H. Jose Maria Vargas LG")</f>
        <v>H. Jose Maria Vargas LG</v>
      </c>
      <c r="C3356" s="45" t="str">
        <f>IFERROR(__xludf.DUMMYFUNCTION("""COMPUTED_VALUE"""),"SALCEDO JOSE SEBASTIAN")</f>
        <v>SALCEDO JOSE SEBASTIAN</v>
      </c>
      <c r="D3356" s="44" t="str">
        <f>IFERROR(__xludf.DUMMYFUNCTION("""COMPUTED_VALUE""")," ")</f>
        <v> </v>
      </c>
      <c r="E3356" s="44" t="str">
        <f>IFERROR(__xludf.DUMMYFUNCTION("""COMPUTED_VALUE"""),"")</f>
        <v/>
      </c>
      <c r="F3356" s="44" t="str">
        <f>IFERROR(__xludf.DUMMYFUNCTION("""COMPUTED_VALUE"""),"")</f>
        <v/>
      </c>
      <c r="G3356" s="44" t="str">
        <f>IFERROR(__xludf.DUMMYFUNCTION("""COMPUTED_VALUE""")," ")</f>
        <v> </v>
      </c>
      <c r="H3356" s="44" t="str">
        <f>IFERROR(__xludf.DUMMYFUNCTION("""COMPUTED_VALUE""")," ")</f>
        <v> </v>
      </c>
      <c r="I3356" s="44" t="str">
        <f>IFERROR(__xludf.DUMMYFUNCTION("""COMPUTED_VALUE""")," ")</f>
        <v> </v>
      </c>
      <c r="J3356" s="44" t="str">
        <f>IFERROR(__xludf.DUMMYFUNCTION("""COMPUTED_VALUE"""),"")</f>
        <v/>
      </c>
      <c r="K3356" s="42" t="str">
        <f>IFERROR(__xludf.DUMMYFUNCTION("""COMPUTED_VALUE"""),"H. Jose Maria Vargas LG")</f>
        <v>H. Jose Maria Vargas LG</v>
      </c>
    </row>
    <row r="3357">
      <c r="A3357" s="44">
        <v>3356.0</v>
      </c>
      <c r="B3357" s="44" t="str">
        <f>IFERROR(__xludf.DUMMYFUNCTION("""COMPUTED_VALUE"""),"Hospital Pérez Carreño")</f>
        <v>Hospital Pérez Carreño</v>
      </c>
      <c r="C3357" s="45" t="str">
        <f>IFERROR(__xludf.DUMMYFUNCTION("""COMPUTED_VALUE"""),"Salcedo Perez Joses Jose")</f>
        <v>Salcedo Perez Joses Jose</v>
      </c>
      <c r="D3357" s="44"/>
      <c r="E3357" s="44" t="str">
        <f>IFERROR(__xludf.DUMMYFUNCTION("""COMPUTED_VALUE"""),"")</f>
        <v/>
      </c>
      <c r="F3357" s="44" t="str">
        <f>IFERROR(__xludf.DUMMYFUNCTION("""COMPUTED_VALUE"""),"")</f>
        <v/>
      </c>
      <c r="G3357" s="44" t="str">
        <f>IFERROR(__xludf.DUMMYFUNCTION("""COMPUTED_VALUE"""),"Traslados")</f>
        <v>Traslados</v>
      </c>
      <c r="H3357" s="44" t="str">
        <f>IFERROR(__xludf.DUMMYFUNCTION("""COMPUTED_VALUE"""),"Hospital Miguel Perez Carreño")</f>
        <v>Hospital Miguel Perez Carreño</v>
      </c>
      <c r="I3357" s="44"/>
      <c r="J3357" s="44" t="str">
        <f>IFERROR(__xludf.DUMMYFUNCTION("""COMPUTED_VALUE"""),"26/6/26")</f>
        <v>26/6/26</v>
      </c>
      <c r="K3357" s="42" t="str">
        <f>IFERROR(__xludf.DUMMYFUNCTION("""COMPUTED_VALUE"""),"Hospital Pérez Carreño")</f>
        <v>Hospital Pérez Carreño</v>
      </c>
    </row>
    <row r="3358">
      <c r="A3358" s="44">
        <v>3357.0</v>
      </c>
      <c r="B3358" s="44" t="str">
        <f>IFERROR(__xludf.DUMMYFUNCTION("""COMPUTED_VALUE"""),"Hospital Pérez Carreño")</f>
        <v>Hospital Pérez Carreño</v>
      </c>
      <c r="C3358" s="45" t="str">
        <f>IFERROR(__xludf.DUMMYFUNCTION("""COMPUTED_VALUE"""),"Salcedo Sebastian")</f>
        <v>Salcedo Sebastian</v>
      </c>
      <c r="D3358" s="44" t="str">
        <f>IFERROR(__xludf.DUMMYFUNCTION("""COMPUTED_VALUE"""),"9 años")</f>
        <v>9 años</v>
      </c>
      <c r="E3358" s="44" t="str">
        <f>IFERROR(__xludf.DUMMYFUNCTION("""COMPUTED_VALUE"""),"")</f>
        <v/>
      </c>
      <c r="F3358" s="44" t="str">
        <f>IFERROR(__xludf.DUMMYFUNCTION("""COMPUTED_VALUE"""),"")</f>
        <v/>
      </c>
      <c r="G3358" s="44" t="str">
        <f>IFERROR(__xludf.DUMMYFUNCTION("""COMPUTED_VALUE"""),"Pediatria")</f>
        <v>Pediatria</v>
      </c>
      <c r="H3358" s="44" t="str">
        <f>IFERROR(__xludf.DUMMYFUNCTION("""COMPUTED_VALUE"""),"Hospital Miguel Perez Carreño")</f>
        <v>Hospital Miguel Perez Carreño</v>
      </c>
      <c r="I3358" s="44"/>
      <c r="J3358" s="44" t="str">
        <f>IFERROR(__xludf.DUMMYFUNCTION("""COMPUTED_VALUE"""),"26/6/26")</f>
        <v>26/6/26</v>
      </c>
      <c r="K3358" s="42" t="str">
        <f>IFERROR(__xludf.DUMMYFUNCTION("""COMPUTED_VALUE"""),"Hospital Pérez Carreño")</f>
        <v>Hospital Pérez Carreño</v>
      </c>
    </row>
    <row r="3359">
      <c r="A3359" s="44">
        <v>3358.0</v>
      </c>
      <c r="B3359" s="44" t="str">
        <f>IFERROR(__xludf.DUMMYFUNCTION("""COMPUTED_VALUE"""),"Hospital Domingo Luciani")</f>
        <v>Hospital Domingo Luciani</v>
      </c>
      <c r="C3359" s="45" t="str">
        <f>IFERROR(__xludf.DUMMYFUNCTION("""COMPUTED_VALUE"""),"SALEGA GAEM")</f>
        <v>SALEGA GAEM</v>
      </c>
      <c r="D3359" s="44">
        <f>IFERROR(__xludf.DUMMYFUNCTION("""COMPUTED_VALUE"""),23.0)</f>
        <v>23</v>
      </c>
      <c r="E3359" s="44" t="str">
        <f>IFERROR(__xludf.DUMMYFUNCTION("""COMPUTED_VALUE"""),"")</f>
        <v/>
      </c>
      <c r="F3359" s="44" t="str">
        <f>IFERROR(__xludf.DUMMYFUNCTION("""COMPUTED_VALUE"""),"")</f>
        <v/>
      </c>
      <c r="G3359" s="44" t="str">
        <f>IFERROR(__xludf.DUMMYFUNCTION("""COMPUTED_VALUE""")," ")</f>
        <v> </v>
      </c>
      <c r="H3359" s="44" t="str">
        <f>IFERROR(__xludf.DUMMYFUNCTION("""COMPUTED_VALUE""")," ")</f>
        <v> </v>
      </c>
      <c r="I3359" s="44" t="str">
        <f>IFERROR(__xludf.DUMMYFUNCTION("""COMPUTED_VALUE"""),"CI: 29819565")</f>
        <v>CI: 29819565</v>
      </c>
      <c r="J3359" s="44" t="str">
        <f>IFERROR(__xludf.DUMMYFUNCTION("""COMPUTED_VALUE"""),"")</f>
        <v/>
      </c>
      <c r="K3359" s="42" t="str">
        <f>IFERROR(__xludf.DUMMYFUNCTION("""COMPUTED_VALUE"""),"🔍 BUSCAR PACIENTES")</f>
        <v>🔍 BUSCAR PACIENTES</v>
      </c>
    </row>
    <row r="3360">
      <c r="A3360" s="44">
        <v>3359.0</v>
      </c>
      <c r="B3360" s="44" t="str">
        <f>IFERROR(__xludf.DUMMYFUNCTION("""COMPUTED_VALUE"""),"Hospital Domingo Luciani")</f>
        <v>Hospital Domingo Luciani</v>
      </c>
      <c r="C3360" s="45" t="str">
        <f>IFERROR(__xludf.DUMMYFUNCTION("""COMPUTED_VALUE"""),"SALOGAR ARTURO")</f>
        <v>SALOGAR ARTURO</v>
      </c>
      <c r="D3360" s="44">
        <f>IFERROR(__xludf.DUMMYFUNCTION("""COMPUTED_VALUE"""),13.0)</f>
        <v>13</v>
      </c>
      <c r="E3360" s="44" t="str">
        <f>IFERROR(__xludf.DUMMYFUNCTION("""COMPUTED_VALUE"""),"")</f>
        <v/>
      </c>
      <c r="F3360" s="44" t="str">
        <f>IFERROR(__xludf.DUMMYFUNCTION("""COMPUTED_VALUE"""),"")</f>
        <v/>
      </c>
      <c r="G3360" s="44" t="str">
        <f>IFERROR(__xludf.DUMMYFUNCTION("""COMPUTED_VALUE""")," ")</f>
        <v> </v>
      </c>
      <c r="H3360" s="44" t="str">
        <f>IFERROR(__xludf.DUMMYFUNCTION("""COMPUTED_VALUE""")," ")</f>
        <v> </v>
      </c>
      <c r="I3360" s="44" t="str">
        <f>IFERROR(__xludf.DUMMYFUNCTION("""COMPUTED_VALUE""")," ")</f>
        <v> </v>
      </c>
      <c r="J3360" s="44" t="str">
        <f>IFERROR(__xludf.DUMMYFUNCTION("""COMPUTED_VALUE"""),"")</f>
        <v/>
      </c>
      <c r="K3360" s="42" t="str">
        <f>IFERROR(__xludf.DUMMYFUNCTION("""COMPUTED_VALUE"""),"🔍 BUSCAR PACIENTES")</f>
        <v>🔍 BUSCAR PACIENTES</v>
      </c>
    </row>
    <row r="3361">
      <c r="A3361" s="44">
        <v>3360.0</v>
      </c>
      <c r="B3361" s="44" t="str">
        <f>IFERROR(__xludf.DUMMYFUNCTION("""COMPUTED_VALUE"""),"Campo de Golf Playa los Cocos")</f>
        <v>Campo de Golf Playa los Cocos</v>
      </c>
      <c r="C3361" s="45" t="str">
        <f>IFERROR(__xludf.DUMMYFUNCTION("""COMPUTED_VALUE"""),"Sam Olivares")</f>
        <v>Sam Olivares</v>
      </c>
      <c r="D3361" s="44" t="str">
        <f>IFERROR(__xludf.DUMMYFUNCTION("""COMPUTED_VALUE"""),"")</f>
        <v/>
      </c>
      <c r="E3361" s="44" t="str">
        <f>IFERROR(__xludf.DUMMYFUNCTION("""COMPUTED_VALUE"""),"")</f>
        <v/>
      </c>
      <c r="F3361" s="44" t="str">
        <f>IFERROR(__xludf.DUMMYFUNCTION("""COMPUTED_VALUE"""),"")</f>
        <v/>
      </c>
      <c r="G3361" s="44" t="str">
        <f>IFERROR(__xludf.DUMMYFUNCTION("""COMPUTED_VALUE"""),"")</f>
        <v/>
      </c>
      <c r="H3361" s="44" t="str">
        <f>IFERROR(__xludf.DUMMYFUNCTION("""COMPUTED_VALUE"""),"")</f>
        <v/>
      </c>
      <c r="I3361" s="44"/>
      <c r="J3361" s="44" t="str">
        <f>IFERROR(__xludf.DUMMYFUNCTION("""COMPUTED_VALUE"""),"")</f>
        <v/>
      </c>
      <c r="K3361" s="42" t="str">
        <f>IFERROR(__xludf.DUMMYFUNCTION("""COMPUTED_VALUE"""),"Campo de Golf Playa los Cocos")</f>
        <v>Campo de Golf Playa los Cocos</v>
      </c>
    </row>
    <row r="3362">
      <c r="A3362" s="44">
        <v>3361.0</v>
      </c>
      <c r="B3362" s="44" t="str">
        <f>IFERROR(__xludf.DUMMYFUNCTION("""COMPUTED_VALUE"""),"Hospital Pérez Carreño")</f>
        <v>Hospital Pérez Carreño</v>
      </c>
      <c r="C3362" s="45" t="str">
        <f>IFERROR(__xludf.DUMMYFUNCTION("""COMPUTED_VALUE"""),"SAMA MALAVE")</f>
        <v>SAMA MALAVE</v>
      </c>
      <c r="D3362" s="44">
        <f>IFERROR(__xludf.DUMMYFUNCTION("""COMPUTED_VALUE"""),10.0)</f>
        <v>10</v>
      </c>
      <c r="E3362" s="44" t="str">
        <f>IFERROR(__xludf.DUMMYFUNCTION("""COMPUTED_VALUE"""),"")</f>
        <v/>
      </c>
      <c r="F3362" s="44" t="str">
        <f>IFERROR(__xludf.DUMMYFUNCTION("""COMPUTED_VALUE"""),"")</f>
        <v/>
      </c>
      <c r="G3362" s="44" t="str">
        <f>IFERROR(__xludf.DUMMYFUNCTION("""COMPUTED_VALUE""")," ")</f>
        <v> </v>
      </c>
      <c r="H3362" s="44" t="str">
        <f>IFERROR(__xludf.DUMMYFUNCTION("""COMPUTED_VALUE""")," ")</f>
        <v> </v>
      </c>
      <c r="I3362" s="44" t="str">
        <f>IFERROR(__xludf.DUMMYFUNCTION("""COMPUTED_VALUE""")," ")</f>
        <v> </v>
      </c>
      <c r="J3362" s="44" t="str">
        <f>IFERROR(__xludf.DUMMYFUNCTION("""COMPUTED_VALUE"""),"25/06/2026")</f>
        <v>25/06/2026</v>
      </c>
      <c r="K3362" s="42" t="str">
        <f>IFERROR(__xludf.DUMMYFUNCTION("""COMPUTED_VALUE"""),"Hospital Pérez Carreño")</f>
        <v>Hospital Pérez Carreño</v>
      </c>
    </row>
    <row r="3363">
      <c r="A3363" s="44">
        <v>3362.0</v>
      </c>
      <c r="B3363" s="44" t="str">
        <f>IFERROR(__xludf.DUMMYFUNCTION("""COMPUTED_VALUE"""),"Hospital Pérez Carreño")</f>
        <v>Hospital Pérez Carreño</v>
      </c>
      <c r="C3363" s="45" t="str">
        <f>IFERROR(__xludf.DUMMYFUNCTION("""COMPUTED_VALUE"""),"Samara Silva")</f>
        <v>Samara Silva</v>
      </c>
      <c r="D3363" s="44" t="str">
        <f>IFERROR(__xludf.DUMMYFUNCTION("""COMPUTED_VALUE"""),"Catia La Mar")</f>
        <v>Catia La Mar</v>
      </c>
      <c r="E3363" s="44" t="str">
        <f>IFERROR(__xludf.DUMMYFUNCTION("""COMPUTED_VALUE"""),"")</f>
        <v/>
      </c>
      <c r="F3363" s="44" t="str">
        <f>IFERROR(__xludf.DUMMYFUNCTION("""COMPUTED_VALUE"""),"")</f>
        <v/>
      </c>
      <c r="G3363" s="44"/>
      <c r="H3363" s="44"/>
      <c r="I3363" s="44"/>
      <c r="J3363" s="44"/>
      <c r="K3363" s="42" t="str">
        <f>IFERROR(__xludf.DUMMYFUNCTION("""COMPUTED_VALUE"""),"Hospital Pérez Carreño")</f>
        <v>Hospital Pérez Carreño</v>
      </c>
    </row>
    <row r="3364">
      <c r="A3364" s="44">
        <v>3363.0</v>
      </c>
      <c r="B3364" s="44" t="str">
        <f>IFERROR(__xludf.DUMMYFUNCTION("""COMPUTED_VALUE"""),"H. Jose Maria Vargas LG")</f>
        <v>H. Jose Maria Vargas LG</v>
      </c>
      <c r="C3364" s="45" t="str">
        <f>IFERROR(__xludf.DUMMYFUNCTION("""COMPUTED_VALUE"""),"SAMBRANO NAIKE")</f>
        <v>SAMBRANO NAIKE</v>
      </c>
      <c r="D3364" s="44" t="str">
        <f>IFERROR(__xludf.DUMMYFUNCTION("""COMPUTED_VALUE""")," ")</f>
        <v> </v>
      </c>
      <c r="E3364" s="44" t="str">
        <f>IFERROR(__xludf.DUMMYFUNCTION("""COMPUTED_VALUE"""),"")</f>
        <v/>
      </c>
      <c r="F3364" s="44" t="str">
        <f>IFERROR(__xludf.DUMMYFUNCTION("""COMPUTED_VALUE"""),"")</f>
        <v/>
      </c>
      <c r="G3364" s="44" t="str">
        <f>IFERROR(__xludf.DUMMYFUNCTION("""COMPUTED_VALUE""")," ")</f>
        <v> </v>
      </c>
      <c r="H3364" s="44" t="str">
        <f>IFERROR(__xludf.DUMMYFUNCTION("""COMPUTED_VALUE"""),"Tanaguarena")</f>
        <v>Tanaguarena</v>
      </c>
      <c r="I3364" s="44" t="str">
        <f>IFERROR(__xludf.DUMMYFUNCTION("""COMPUTED_VALUE""")," ")</f>
        <v> </v>
      </c>
      <c r="J3364" s="44" t="str">
        <f>IFERROR(__xludf.DUMMYFUNCTION("""COMPUTED_VALUE"""),"")</f>
        <v/>
      </c>
      <c r="K3364" s="42" t="str">
        <f>IFERROR(__xludf.DUMMYFUNCTION("""COMPUTED_VALUE"""),"H. Jose Maria Vargas LG")</f>
        <v>H. Jose Maria Vargas LG</v>
      </c>
    </row>
    <row r="3365">
      <c r="A3365" s="44">
        <v>3364.0</v>
      </c>
      <c r="B3365" s="44" t="str">
        <f>IFERROR(__xludf.DUMMYFUNCTION("""COMPUTED_VALUE"""),"HOSPITAL VARGAS")</f>
        <v>HOSPITAL VARGAS</v>
      </c>
      <c r="C3365" s="45" t="str">
        <f>IFERROR(__xludf.DUMMYFUNCTION("""COMPUTED_VALUE"""),"Samuel Allen")</f>
        <v>Samuel Allen</v>
      </c>
      <c r="D3365" s="44"/>
      <c r="E3365" s="44" t="str">
        <f>IFERROR(__xludf.DUMMYFUNCTION("""COMPUTED_VALUE"""),"")</f>
        <v/>
      </c>
      <c r="F3365" s="44" t="str">
        <f>IFERROR(__xludf.DUMMYFUNCTION("""COMPUTED_VALUE"""),"")</f>
        <v/>
      </c>
      <c r="G3365" s="44" t="str">
        <f>IFERROR(__xludf.DUMMYFUNCTION("""COMPUTED_VALUE"""),"")</f>
        <v/>
      </c>
      <c r="H3365" s="44" t="str">
        <f>IFERROR(__xludf.DUMMYFUNCTION("""COMPUTED_VALUE"""),"")</f>
        <v/>
      </c>
      <c r="I3365" s="44" t="str">
        <f>IFERROR(__xludf.DUMMYFUNCTION("""COMPUTED_VALUE"""),"Herido / atendido")</f>
        <v>Herido / atendido</v>
      </c>
      <c r="J3365" s="44" t="str">
        <f>IFERROR(__xludf.DUMMYFUNCTION("""COMPUTED_VALUE"""),"24.06.2026 ")</f>
        <v>24.06.2026 </v>
      </c>
      <c r="K3365" s="42" t="str">
        <f>IFERROR(__xludf.DUMMYFUNCTION("""COMPUTED_VALUE"""),"HOSPITAL VARGAS")</f>
        <v>HOSPITAL VARGAS</v>
      </c>
    </row>
    <row r="3366">
      <c r="A3366" s="44">
        <v>3365.0</v>
      </c>
      <c r="B3366" s="44" t="str">
        <f>IFERROR(__xludf.DUMMYFUNCTION("""COMPUTED_VALUE"""),"Hospital Pérez Carreño")</f>
        <v>Hospital Pérez Carreño</v>
      </c>
      <c r="C3366" s="45" t="str">
        <f>IFERROR(__xludf.DUMMYFUNCTION("""COMPUTED_VALUE"""),"SANABRIA ANGI")</f>
        <v>SANABRIA ANGI</v>
      </c>
      <c r="D3366" s="44" t="str">
        <f>IFERROR(__xludf.DUMMYFUNCTION("""COMPUTED_VALUE""")," ")</f>
        <v> </v>
      </c>
      <c r="E3366" s="44" t="str">
        <f>IFERROR(__xludf.DUMMYFUNCTION("""COMPUTED_VALUE"""),"")</f>
        <v/>
      </c>
      <c r="F3366" s="44" t="str">
        <f>IFERROR(__xludf.DUMMYFUNCTION("""COMPUTED_VALUE"""),"")</f>
        <v/>
      </c>
      <c r="G3366" s="44" t="str">
        <f>IFERROR(__xludf.DUMMYFUNCTION("""COMPUTED_VALUE""")," ")</f>
        <v> </v>
      </c>
      <c r="H3366" s="44" t="str">
        <f>IFERROR(__xludf.DUMMYFUNCTION("""COMPUTED_VALUE""")," ")</f>
        <v> </v>
      </c>
      <c r="I3366" s="44" t="str">
        <f>IFERROR(__xludf.DUMMYFUNCTION("""COMPUTED_VALUE"""),"Traumatología – Pasillo Asesor; Piso 1; La Guaira")</f>
        <v>Traumatología – Pasillo Asesor; Piso 1; La Guaira</v>
      </c>
      <c r="J3366" s="44" t="str">
        <f>IFERROR(__xludf.DUMMYFUNCTION("""COMPUTED_VALUE"""),"")</f>
        <v/>
      </c>
      <c r="K3366" s="42" t="str">
        <f>IFERROR(__xludf.DUMMYFUNCTION("""COMPUTED_VALUE"""),"🔍 BUSCAR PACIENTES")</f>
        <v>🔍 BUSCAR PACIENTES</v>
      </c>
    </row>
    <row r="3367">
      <c r="A3367" s="44">
        <v>3366.0</v>
      </c>
      <c r="B3367" s="44" t="str">
        <f>IFERROR(__xludf.DUMMYFUNCTION("""COMPUTED_VALUE"""),"H. Jose Maria Vargas LG")</f>
        <v>H. Jose Maria Vargas LG</v>
      </c>
      <c r="C3367" s="45" t="str">
        <f>IFERROR(__xludf.DUMMYFUNCTION("""COMPUTED_VALUE"""),"SANBRANO NOIKER")</f>
        <v>SANBRANO NOIKER</v>
      </c>
      <c r="D3367" s="44" t="str">
        <f>IFERROR(__xludf.DUMMYFUNCTION("""COMPUTED_VALUE""")," ")</f>
        <v> </v>
      </c>
      <c r="E3367" s="44" t="str">
        <f>IFERROR(__xludf.DUMMYFUNCTION("""COMPUTED_VALUE"""),"")</f>
        <v/>
      </c>
      <c r="F3367" s="44" t="str">
        <f>IFERROR(__xludf.DUMMYFUNCTION("""COMPUTED_VALUE"""),"")</f>
        <v/>
      </c>
      <c r="G3367" s="44" t="str">
        <f>IFERROR(__xludf.DUMMYFUNCTION("""COMPUTED_VALUE""")," ")</f>
        <v> </v>
      </c>
      <c r="H3367" s="44" t="str">
        <f>IFERROR(__xludf.DUMMYFUNCTION("""COMPUTED_VALUE""")," ")</f>
        <v> </v>
      </c>
      <c r="I3367" s="44" t="str">
        <f>IFERROR(__xludf.DUMMYFUNCTION("""COMPUTED_VALUE""")," ")</f>
        <v> </v>
      </c>
      <c r="J3367" s="44" t="str">
        <f>IFERROR(__xludf.DUMMYFUNCTION("""COMPUTED_VALUE"""),"")</f>
        <v/>
      </c>
      <c r="K3367" s="42" t="str">
        <f>IFERROR(__xludf.DUMMYFUNCTION("""COMPUTED_VALUE"""),"H. Jose Maria Vargas LG")</f>
        <v>H. Jose Maria Vargas LG</v>
      </c>
    </row>
    <row r="3368">
      <c r="A3368" s="44">
        <v>3367.0</v>
      </c>
      <c r="B3368" s="44" t="str">
        <f>IFERROR(__xludf.DUMMYFUNCTION("""COMPUTED_VALUE"""),"Hospital Domingo Luciani")</f>
        <v>Hospital Domingo Luciani</v>
      </c>
      <c r="C3368" s="45" t="str">
        <f>IFERROR(__xludf.DUMMYFUNCTION("""COMPUTED_VALUE"""),"SANCHEZ ARELIS F")</f>
        <v>SANCHEZ ARELIS F</v>
      </c>
      <c r="D3368" s="44">
        <f>IFERROR(__xludf.DUMMYFUNCTION("""COMPUTED_VALUE"""),53.0)</f>
        <v>53</v>
      </c>
      <c r="E3368" s="44" t="str">
        <f>IFERROR(__xludf.DUMMYFUNCTION("""COMPUTED_VALUE"""),"")</f>
        <v/>
      </c>
      <c r="F3368" s="44" t="str">
        <f>IFERROR(__xludf.DUMMYFUNCTION("""COMPUTED_VALUE"""),"")</f>
        <v/>
      </c>
      <c r="G3368" s="44" t="str">
        <f>IFERROR(__xludf.DUMMYFUNCTION("""COMPUTED_VALUE""")," ")</f>
        <v> </v>
      </c>
      <c r="H3368" s="44" t="str">
        <f>IFERROR(__xludf.DUMMYFUNCTION("""COMPUTED_VALUE""")," ")</f>
        <v> </v>
      </c>
      <c r="I3368" s="44" t="str">
        <f>IFERROR(__xludf.DUMMYFUNCTION("""COMPUTED_VALUE"""),"Internado; POLITRAUMA MI")</f>
        <v>Internado; POLITRAUMA MI</v>
      </c>
      <c r="J3368" s="44" t="str">
        <f>IFERROR(__xludf.DUMMYFUNCTION("""COMPUTED_VALUE"""),"")</f>
        <v/>
      </c>
      <c r="K3368" s="42" t="str">
        <f>IFERROR(__xludf.DUMMYFUNCTION("""COMPUTED_VALUE"""),"🔍 BUSCAR PACIENTES")</f>
        <v>🔍 BUSCAR PACIENTES</v>
      </c>
    </row>
    <row r="3369">
      <c r="A3369" s="44">
        <v>3368.0</v>
      </c>
      <c r="B3369" s="44" t="str">
        <f>IFERROR(__xludf.DUMMYFUNCTION("""COMPUTED_VALUE"""),"Hospital Domingo Luciani")</f>
        <v>Hospital Domingo Luciani</v>
      </c>
      <c r="C3369" s="45" t="str">
        <f>IFERROR(__xludf.DUMMYFUNCTION("""COMPUTED_VALUE"""),"SANCHEZ ASILDARO")</f>
        <v>SANCHEZ ASILDARO</v>
      </c>
      <c r="D3369" s="44">
        <f>IFERROR(__xludf.DUMMYFUNCTION("""COMPUTED_VALUE"""),85.0)</f>
        <v>85</v>
      </c>
      <c r="E3369" s="44" t="str">
        <f>IFERROR(__xludf.DUMMYFUNCTION("""COMPUTED_VALUE"""),"")</f>
        <v/>
      </c>
      <c r="F3369" s="44" t="str">
        <f>IFERROR(__xludf.DUMMYFUNCTION("""COMPUTED_VALUE"""),"")</f>
        <v/>
      </c>
      <c r="G3369" s="44" t="str">
        <f>IFERROR(__xludf.DUMMYFUNCTION("""COMPUTED_VALUE""")," ")</f>
        <v> </v>
      </c>
      <c r="H3369" s="44" t="str">
        <f>IFERROR(__xludf.DUMMYFUNCTION("""COMPUTED_VALUE""")," ")</f>
        <v> </v>
      </c>
      <c r="I3369" s="44" t="str">
        <f>IFERROR(__xludf.DUMMYFUNCTION("""COMPUTED_VALUE"""),"La Guaira – Ingresos 9am")</f>
        <v>La Guaira – Ingresos 9am</v>
      </c>
      <c r="J3369" s="44" t="str">
        <f>IFERROR(__xludf.DUMMYFUNCTION("""COMPUTED_VALUE"""),"")</f>
        <v/>
      </c>
      <c r="K3369" s="42" t="str">
        <f>IFERROR(__xludf.DUMMYFUNCTION("""COMPUTED_VALUE"""),"🔍 BUSCAR PACIENTES")</f>
        <v>🔍 BUSCAR PACIENTES</v>
      </c>
    </row>
    <row r="3370">
      <c r="A3370" s="44">
        <v>3369.0</v>
      </c>
      <c r="B3370" s="44" t="str">
        <f>IFERROR(__xludf.DUMMYFUNCTION("""COMPUTED_VALUE"""),"Hospital Domingo Luciani")</f>
        <v>Hospital Domingo Luciani</v>
      </c>
      <c r="C3370" s="45" t="str">
        <f>IFERROR(__xludf.DUMMYFUNCTION("""COMPUTED_VALUE"""),"SANCHEZ CAMILLAS")</f>
        <v>SANCHEZ CAMILLAS</v>
      </c>
      <c r="D3370" s="44" t="str">
        <f>IFERROR(__xludf.DUMMYFUNCTION("""COMPUTED_VALUE""")," ")</f>
        <v> </v>
      </c>
      <c r="E3370" s="44" t="str">
        <f>IFERROR(__xludf.DUMMYFUNCTION("""COMPUTED_VALUE"""),"")</f>
        <v/>
      </c>
      <c r="F3370" s="44" t="str">
        <f>IFERROR(__xludf.DUMMYFUNCTION("""COMPUTED_VALUE"""),"")</f>
        <v/>
      </c>
      <c r="G3370" s="44" t="str">
        <f>IFERROR(__xludf.DUMMYFUNCTION("""COMPUTED_VALUE""")," ")</f>
        <v> </v>
      </c>
      <c r="H3370" s="44" t="str">
        <f>IFERROR(__xludf.DUMMYFUNCTION("""COMPUTED_VALUE""")," ")</f>
        <v> </v>
      </c>
      <c r="I3370" s="44" t="str">
        <f>IFERROR(__xludf.DUMMYFUNCTION("""COMPUTED_VALUE"""),"La Guaira – Ingresos 9am")</f>
        <v>La Guaira – Ingresos 9am</v>
      </c>
      <c r="J3370" s="44" t="str">
        <f>IFERROR(__xludf.DUMMYFUNCTION("""COMPUTED_VALUE"""),"")</f>
        <v/>
      </c>
      <c r="K3370" s="42" t="str">
        <f>IFERROR(__xludf.DUMMYFUNCTION("""COMPUTED_VALUE"""),"🔍 BUSCAR PACIENTES")</f>
        <v>🔍 BUSCAR PACIENTES</v>
      </c>
    </row>
    <row r="3371">
      <c r="A3371" s="44">
        <v>3370.0</v>
      </c>
      <c r="B3371" s="44" t="str">
        <f>IFERROR(__xludf.DUMMYFUNCTION("""COMPUTED_VALUE"""),"Hospital Domingo Luciani")</f>
        <v>Hospital Domingo Luciani</v>
      </c>
      <c r="C3371" s="45" t="str">
        <f>IFERROR(__xludf.DUMMYFUNCTION("""COMPUTED_VALUE"""),"SANCHEZ CATALINA / CATALINA SANCHEZ")</f>
        <v>SANCHEZ CATALINA / CATALINA SANCHEZ</v>
      </c>
      <c r="D3371" s="44" t="str">
        <f>IFERROR(__xludf.DUMMYFUNCTION("""COMPUTED_VALUE""")," ")</f>
        <v> </v>
      </c>
      <c r="E3371" s="44" t="str">
        <f>IFERROR(__xludf.DUMMYFUNCTION("""COMPUTED_VALUE"""),"")</f>
        <v/>
      </c>
      <c r="F3371" s="44" t="str">
        <f>IFERROR(__xludf.DUMMYFUNCTION("""COMPUTED_VALUE"""),"")</f>
        <v/>
      </c>
      <c r="G3371" s="44" t="str">
        <f>IFERROR(__xludf.DUMMYFUNCTION("""COMPUTED_VALUE""")," ")</f>
        <v> </v>
      </c>
      <c r="H3371" s="44" t="str">
        <f>IFERROR(__xludf.DUMMYFUNCTION("""COMPUTED_VALUE"""),"La Guaira")</f>
        <v>La Guaira</v>
      </c>
      <c r="I3371" s="44" t="str">
        <f>IFERROR(__xludf.DUMMYFUNCTION("""COMPUTED_VALUE"""),"Ingresos 6am-9:20pm")</f>
        <v>Ingresos 6am-9:20pm</v>
      </c>
      <c r="J3371" s="44" t="str">
        <f>IFERROR(__xludf.DUMMYFUNCTION("""COMPUTED_VALUE"""),"")</f>
        <v/>
      </c>
      <c r="K3371" s="42" t="str">
        <f>IFERROR(__xludf.DUMMYFUNCTION("""COMPUTED_VALUE"""),"🔍 BUSCAR PACIENTES")</f>
        <v>🔍 BUSCAR PACIENTES</v>
      </c>
    </row>
    <row r="3372">
      <c r="A3372" s="44">
        <v>3371.0</v>
      </c>
      <c r="B3372" s="44" t="str">
        <f>IFERROR(__xludf.DUMMYFUNCTION("""COMPUTED_VALUE"""),"H. Jose Maria Vargas LG")</f>
        <v>H. Jose Maria Vargas LG</v>
      </c>
      <c r="C3372" s="45" t="str">
        <f>IFERROR(__xludf.DUMMYFUNCTION("""COMPUTED_VALUE"""),"SANCHEZ EDGAR")</f>
        <v>SANCHEZ EDGAR</v>
      </c>
      <c r="D3372" s="44" t="str">
        <f>IFERROR(__xludf.DUMMYFUNCTION("""COMPUTED_VALUE""")," ")</f>
        <v> </v>
      </c>
      <c r="E3372" s="44" t="str">
        <f>IFERROR(__xludf.DUMMYFUNCTION("""COMPUTED_VALUE"""),"")</f>
        <v/>
      </c>
      <c r="F3372" s="44" t="str">
        <f>IFERROR(__xludf.DUMMYFUNCTION("""COMPUTED_VALUE"""),"")</f>
        <v/>
      </c>
      <c r="G3372" s="44" t="str">
        <f>IFERROR(__xludf.DUMMYFUNCTION("""COMPUTED_VALUE""")," ")</f>
        <v> </v>
      </c>
      <c r="H3372" s="44" t="str">
        <f>IFERROR(__xludf.DUMMYFUNCTION("""COMPUTED_VALUE""")," ")</f>
        <v> </v>
      </c>
      <c r="I3372" s="44" t="str">
        <f>IFERROR(__xludf.DUMMYFUNCTION("""COMPUTED_VALUE""")," ")</f>
        <v> </v>
      </c>
      <c r="J3372" s="44" t="str">
        <f>IFERROR(__xludf.DUMMYFUNCTION("""COMPUTED_VALUE"""),"")</f>
        <v/>
      </c>
      <c r="K3372" s="42" t="str">
        <f>IFERROR(__xludf.DUMMYFUNCTION("""COMPUTED_VALUE"""),"H. Jose Maria Vargas LG")</f>
        <v>H. Jose Maria Vargas LG</v>
      </c>
    </row>
    <row r="3373">
      <c r="A3373" s="44">
        <v>3372.0</v>
      </c>
      <c r="B3373" s="44" t="str">
        <f>IFERROR(__xludf.DUMMYFUNCTION("""COMPUTED_VALUE"""),"Centro de Acopio Caraballeda")</f>
        <v>Centro de Acopio Caraballeda</v>
      </c>
      <c r="C3373" s="45" t="str">
        <f>IFERROR(__xludf.DUMMYFUNCTION("""COMPUTED_VALUE"""),"SANCHEZ ENEIDA")</f>
        <v>SANCHEZ ENEIDA</v>
      </c>
      <c r="D3373" s="44" t="str">
        <f>IFERROR(__xludf.DUMMYFUNCTION("""COMPUTED_VALUE""")," ")</f>
        <v> </v>
      </c>
      <c r="E3373" s="44" t="str">
        <f>IFERROR(__xludf.DUMMYFUNCTION("""COMPUTED_VALUE"""),"")</f>
        <v/>
      </c>
      <c r="F3373" s="44" t="str">
        <f>IFERROR(__xludf.DUMMYFUNCTION("""COMPUTED_VALUE"""),"")</f>
        <v/>
      </c>
      <c r="G3373" s="44" t="str">
        <f>IFERROR(__xludf.DUMMYFUNCTION("""COMPUTED_VALUE""")," ")</f>
        <v> </v>
      </c>
      <c r="H3373" s="44" t="str">
        <f>IFERROR(__xludf.DUMMYFUNCTION("""COMPUTED_VALUE""")," ")</f>
        <v> </v>
      </c>
      <c r="I3373" s="44" t="str">
        <f>IFERROR(__xludf.DUMMYFUNCTION("""COMPUTED_VALUE"""),"Internado")</f>
        <v>Internado</v>
      </c>
      <c r="J3373" s="44" t="str">
        <f>IFERROR(__xludf.DUMMYFUNCTION("""COMPUTED_VALUE"""),"")</f>
        <v/>
      </c>
      <c r="K3373" s="42" t="str">
        <f>IFERROR(__xludf.DUMMYFUNCTION("""COMPUTED_VALUE"""),"🔍 BUSCAR PACIENTES")</f>
        <v>🔍 BUSCAR PACIENTES</v>
      </c>
    </row>
    <row r="3374">
      <c r="A3374" s="44">
        <v>3373.0</v>
      </c>
      <c r="B3374" s="44" t="str">
        <f>IFERROR(__xludf.DUMMYFUNCTION("""COMPUTED_VALUE"""),"Hospital Domingo Luciani")</f>
        <v>Hospital Domingo Luciani</v>
      </c>
      <c r="C3374" s="45" t="str">
        <f>IFERROR(__xludf.DUMMYFUNCTION("""COMPUTED_VALUE"""),"SANCHEZ KATALINA")</f>
        <v>SANCHEZ KATALINA</v>
      </c>
      <c r="D3374" s="44">
        <f>IFERROR(__xludf.DUMMYFUNCTION("""COMPUTED_VALUE"""),65.0)</f>
        <v>65</v>
      </c>
      <c r="E3374" s="44" t="str">
        <f>IFERROR(__xludf.DUMMYFUNCTION("""COMPUTED_VALUE"""),"")</f>
        <v/>
      </c>
      <c r="F3374" s="44" t="str">
        <f>IFERROR(__xludf.DUMMYFUNCTION("""COMPUTED_VALUE"""),"")</f>
        <v/>
      </c>
      <c r="G3374" s="44" t="str">
        <f>IFERROR(__xludf.DUMMYFUNCTION("""COMPUTED_VALUE""")," ")</f>
        <v> </v>
      </c>
      <c r="H3374" s="44" t="str">
        <f>IFERROR(__xludf.DUMMYFUNCTION("""COMPUTED_VALUE"""),"La Guaira")</f>
        <v>La Guaira</v>
      </c>
      <c r="I3374" s="44" t="str">
        <f>IFERROR(__xludf.DUMMYFUNCTION("""COMPUTED_VALUE"""),"Ingresos 6am-9:20pm")</f>
        <v>Ingresos 6am-9:20pm</v>
      </c>
      <c r="J3374" s="44" t="str">
        <f>IFERROR(__xludf.DUMMYFUNCTION("""COMPUTED_VALUE"""),"")</f>
        <v/>
      </c>
      <c r="K3374" s="42" t="str">
        <f>IFERROR(__xludf.DUMMYFUNCTION("""COMPUTED_VALUE"""),"🔍 BUSCAR PACIENTES")</f>
        <v>🔍 BUSCAR PACIENTES</v>
      </c>
    </row>
    <row r="3375">
      <c r="A3375" s="44">
        <v>3374.0</v>
      </c>
      <c r="B3375" s="44" t="str">
        <f>IFERROR(__xludf.DUMMYFUNCTION("""COMPUTED_VALUE"""),"Periférico de Catia")</f>
        <v>Periférico de Catia</v>
      </c>
      <c r="C3375" s="45" t="str">
        <f>IFERROR(__xludf.DUMMYFUNCTION("""COMPUTED_VALUE"""),"SANCHEZ MARIA")</f>
        <v>SANCHEZ MARIA</v>
      </c>
      <c r="D3375" s="44">
        <f>IFERROR(__xludf.DUMMYFUNCTION("""COMPUTED_VALUE"""),30.0)</f>
        <v>30</v>
      </c>
      <c r="E3375" s="44" t="str">
        <f>IFERROR(__xludf.DUMMYFUNCTION("""COMPUTED_VALUE"""),"")</f>
        <v/>
      </c>
      <c r="F3375" s="44" t="str">
        <f>IFERROR(__xludf.DUMMYFUNCTION("""COMPUTED_VALUE"""),"")</f>
        <v/>
      </c>
      <c r="G3375" s="44" t="str">
        <f>IFERROR(__xludf.DUMMYFUNCTION("""COMPUTED_VALUE""")," ")</f>
        <v> </v>
      </c>
      <c r="H3375" s="44" t="str">
        <f>IFERROR(__xludf.DUMMYFUNCTION("""COMPUTED_VALUE""")," ")</f>
        <v> </v>
      </c>
      <c r="I3375" s="44" t="str">
        <f>IFERROR(__xludf.DUMMYFUNCTION("""COMPUTED_VALUE"""),"Mama")</f>
        <v>Mama</v>
      </c>
      <c r="J3375" s="44" t="str">
        <f>IFERROR(__xludf.DUMMYFUNCTION("""COMPUTED_VALUE"""),"")</f>
        <v/>
      </c>
      <c r="K3375" s="42" t="str">
        <f>IFERROR(__xludf.DUMMYFUNCTION("""COMPUTED_VALUE"""),"Periférico de Catia")</f>
        <v>Periférico de Catia</v>
      </c>
    </row>
    <row r="3376">
      <c r="A3376" s="44">
        <v>3375.0</v>
      </c>
      <c r="B3376" s="44" t="str">
        <f>IFERROR(__xludf.DUMMYFUNCTION("""COMPUTED_VALUE"""),"Periférico de Catia")</f>
        <v>Periférico de Catia</v>
      </c>
      <c r="C3376" s="45" t="str">
        <f>IFERROR(__xludf.DUMMYFUNCTION("""COMPUTED_VALUE"""),"SÁNCHEZ MARIA")</f>
        <v>SÁNCHEZ MARIA</v>
      </c>
      <c r="D3376" s="44">
        <f>IFERROR(__xludf.DUMMYFUNCTION("""COMPUTED_VALUE"""),77.0)</f>
        <v>77</v>
      </c>
      <c r="E3376" s="44" t="str">
        <f>IFERROR(__xludf.DUMMYFUNCTION("""COMPUTED_VALUE"""),"")</f>
        <v/>
      </c>
      <c r="F3376" s="44" t="str">
        <f>IFERROR(__xludf.DUMMYFUNCTION("""COMPUTED_VALUE"""),"")</f>
        <v/>
      </c>
      <c r="G3376" s="44" t="str">
        <f>IFERROR(__xludf.DUMMYFUNCTION("""COMPUTED_VALUE""")," ")</f>
        <v> </v>
      </c>
      <c r="H3376" s="44" t="str">
        <f>IFERROR(__xludf.DUMMYFUNCTION("""COMPUTED_VALUE""")," ")</f>
        <v> </v>
      </c>
      <c r="I3376" s="44" t="str">
        <f>IFERROR(__xludf.DUMMYFUNCTION("""COMPUTED_VALUE""")," ")</f>
        <v> </v>
      </c>
      <c r="J3376" s="44" t="str">
        <f>IFERROR(__xludf.DUMMYFUNCTION("""COMPUTED_VALUE"""),"")</f>
        <v/>
      </c>
      <c r="K3376" s="42" t="str">
        <f>IFERROR(__xludf.DUMMYFUNCTION("""COMPUTED_VALUE"""),"Periférico de Catia")</f>
        <v>Periférico de Catia</v>
      </c>
    </row>
    <row r="3377">
      <c r="A3377" s="44">
        <v>3376.0</v>
      </c>
      <c r="B3377" s="44" t="str">
        <f>IFERROR(__xludf.DUMMYFUNCTION("""COMPUTED_VALUE"""),"Hospital Domingo Luciani")</f>
        <v>Hospital Domingo Luciani</v>
      </c>
      <c r="C3377" s="45" t="str">
        <f>IFERROR(__xludf.DUMMYFUNCTION("""COMPUTED_VALUE"""),"SANDOVAL ADRIANA")</f>
        <v>SANDOVAL ADRIANA</v>
      </c>
      <c r="D3377" s="44" t="str">
        <f>IFERROR(__xludf.DUMMYFUNCTION("""COMPUTED_VALUE""")," ")</f>
        <v> </v>
      </c>
      <c r="E3377" s="44" t="str">
        <f>IFERROR(__xludf.DUMMYFUNCTION("""COMPUTED_VALUE"""),"")</f>
        <v/>
      </c>
      <c r="F3377" s="44" t="str">
        <f>IFERROR(__xludf.DUMMYFUNCTION("""COMPUTED_VALUE"""),"")</f>
        <v/>
      </c>
      <c r="G3377" s="44" t="str">
        <f>IFERROR(__xludf.DUMMYFUNCTION("""COMPUTED_VALUE""")," ")</f>
        <v> </v>
      </c>
      <c r="H3377" s="44" t="str">
        <f>IFERROR(__xludf.DUMMYFUNCTION("""COMPUTED_VALUE""")," ")</f>
        <v> </v>
      </c>
      <c r="I3377" s="44" t="str">
        <f>IFERROR(__xludf.DUMMYFUNCTION("""COMPUTED_VALUE"""),"Internado")</f>
        <v>Internado</v>
      </c>
      <c r="J3377" s="44" t="str">
        <f>IFERROR(__xludf.DUMMYFUNCTION("""COMPUTED_VALUE"""),"")</f>
        <v/>
      </c>
      <c r="K3377" s="42" t="str">
        <f>IFERROR(__xludf.DUMMYFUNCTION("""COMPUTED_VALUE"""),"🔍 BUSCAR PACIENTES")</f>
        <v>🔍 BUSCAR PACIENTES</v>
      </c>
    </row>
    <row r="3378">
      <c r="A3378" s="44">
        <v>3377.0</v>
      </c>
      <c r="B3378" s="44" t="str">
        <f>IFERROR(__xludf.DUMMYFUNCTION("""COMPUTED_VALUE"""),"Hospital Pérez Carreño")</f>
        <v>Hospital Pérez Carreño</v>
      </c>
      <c r="C3378" s="45" t="str">
        <f>IFERROR(__xludf.DUMMYFUNCTION("""COMPUTED_VALUE"""),"SANDOVAL LOPEZ JESUARNY SOFIA")</f>
        <v>SANDOVAL LOPEZ JESUARNY SOFIA</v>
      </c>
      <c r="D3378" s="44" t="str">
        <f>IFERROR(__xludf.DUMMYFUNCTION("""COMPUTED_VALUE""")," ")</f>
        <v> </v>
      </c>
      <c r="E3378" s="44" t="str">
        <f>IFERROR(__xludf.DUMMYFUNCTION("""COMPUTED_VALUE"""),"")</f>
        <v/>
      </c>
      <c r="F3378" s="44" t="str">
        <f>IFERROR(__xludf.DUMMYFUNCTION("""COMPUTED_VALUE"""),"")</f>
        <v/>
      </c>
      <c r="G3378" s="44" t="str">
        <f>IFERROR(__xludf.DUMMYFUNCTION("""COMPUTED_VALUE""")," ")</f>
        <v> </v>
      </c>
      <c r="H3378" s="44" t="str">
        <f>IFERROR(__xludf.DUMMYFUNCTION("""COMPUTED_VALUE""")," ")</f>
        <v> </v>
      </c>
      <c r="I3378" s="44" t="str">
        <f>IFERROR(__xludf.DUMMYFUNCTION("""COMPUTED_VALUE"""),"Internado")</f>
        <v>Internado</v>
      </c>
      <c r="J3378" s="44" t="str">
        <f>IFERROR(__xludf.DUMMYFUNCTION("""COMPUTED_VALUE"""),"")</f>
        <v/>
      </c>
      <c r="K3378" s="42" t="str">
        <f>IFERROR(__xludf.DUMMYFUNCTION("""COMPUTED_VALUE"""),"🔍 BUSCAR PACIENTES")</f>
        <v>🔍 BUSCAR PACIENTES</v>
      </c>
    </row>
    <row r="3379">
      <c r="A3379" s="44">
        <v>3378.0</v>
      </c>
      <c r="B3379" s="44" t="str">
        <f>IFERROR(__xludf.DUMMYFUNCTION("""COMPUTED_VALUE"""),"Hospital Pérez Carreño")</f>
        <v>Hospital Pérez Carreño</v>
      </c>
      <c r="C3379" s="45" t="str">
        <f>IFERROR(__xludf.DUMMYFUNCTION("""COMPUTED_VALUE"""),"Sandoval Lopez Jesvarmy Sofia")</f>
        <v>Sandoval Lopez Jesvarmy Sofia</v>
      </c>
      <c r="D3379" s="44"/>
      <c r="E3379" s="44" t="str">
        <f>IFERROR(__xludf.DUMMYFUNCTION("""COMPUTED_VALUE"""),"")</f>
        <v/>
      </c>
      <c r="F3379" s="44" t="str">
        <f>IFERROR(__xludf.DUMMYFUNCTION("""COMPUTED_VALUE"""),"")</f>
        <v/>
      </c>
      <c r="G3379" s="44" t="str">
        <f>IFERROR(__xludf.DUMMYFUNCTION("""COMPUTED_VALUE"""),"Traslados")</f>
        <v>Traslados</v>
      </c>
      <c r="H3379" s="44" t="str">
        <f>IFERROR(__xludf.DUMMYFUNCTION("""COMPUTED_VALUE"""),"Hospital Miguel Perez Carreño")</f>
        <v>Hospital Miguel Perez Carreño</v>
      </c>
      <c r="I3379" s="44"/>
      <c r="J3379" s="44" t="str">
        <f>IFERROR(__xludf.DUMMYFUNCTION("""COMPUTED_VALUE"""),"26/6/26")</f>
        <v>26/6/26</v>
      </c>
      <c r="K3379" s="42" t="str">
        <f>IFERROR(__xludf.DUMMYFUNCTION("""COMPUTED_VALUE"""),"Hospital Pérez Carreño")</f>
        <v>Hospital Pérez Carreño</v>
      </c>
    </row>
    <row r="3380">
      <c r="A3380" s="44">
        <v>3379.0</v>
      </c>
      <c r="B3380" s="44" t="str">
        <f>IFERROR(__xludf.DUMMYFUNCTION("""COMPUTED_VALUE"""),"Hospital Domingo Luciani")</f>
        <v>Hospital Domingo Luciani</v>
      </c>
      <c r="C3380" s="45" t="str">
        <f>IFERROR(__xludf.DUMMYFUNCTION("""COMPUTED_VALUE"""),"SANDOVAL NELLY")</f>
        <v>SANDOVAL NELLY</v>
      </c>
      <c r="D3380" s="44">
        <f>IFERROR(__xludf.DUMMYFUNCTION("""COMPUTED_VALUE"""),62.0)</f>
        <v>62</v>
      </c>
      <c r="E3380" s="44" t="str">
        <f>IFERROR(__xludf.DUMMYFUNCTION("""COMPUTED_VALUE"""),"")</f>
        <v/>
      </c>
      <c r="F3380" s="44" t="str">
        <f>IFERROR(__xludf.DUMMYFUNCTION("""COMPUTED_VALUE"""),"")</f>
        <v/>
      </c>
      <c r="G3380" s="44" t="str">
        <f>IFERROR(__xludf.DUMMYFUNCTION("""COMPUTED_VALUE""")," ")</f>
        <v> </v>
      </c>
      <c r="H3380" s="44" t="str">
        <f>IFERROR(__xludf.DUMMYFUNCTION("""COMPUTED_VALUE""")," ")</f>
        <v> </v>
      </c>
      <c r="I3380" s="44" t="str">
        <f>IFERROR(__xludf.DUMMYFUNCTION("""COMPUTED_VALUE""")," ")</f>
        <v> </v>
      </c>
      <c r="J3380" s="44" t="str">
        <f>IFERROR(__xludf.DUMMYFUNCTION("""COMPUTED_VALUE"""),"")</f>
        <v/>
      </c>
      <c r="K3380" s="42" t="str">
        <f>IFERROR(__xludf.DUMMYFUNCTION("""COMPUTED_VALUE"""),"🔍 BUSCAR PACIENTES")</f>
        <v>🔍 BUSCAR PACIENTES</v>
      </c>
    </row>
    <row r="3381">
      <c r="A3381" s="44">
        <v>3380.0</v>
      </c>
      <c r="B3381" s="44" t="str">
        <f>IFERROR(__xludf.DUMMYFUNCTION("""COMPUTED_VALUE"""),"Centro de Acopio Caraballeda")</f>
        <v>Centro de Acopio Caraballeda</v>
      </c>
      <c r="C3381" s="45" t="str">
        <f>IFERROR(__xludf.DUMMYFUNCTION("""COMPUTED_VALUE"""),"SANDOVAL YENDERSON")</f>
        <v>SANDOVAL YENDERSON</v>
      </c>
      <c r="D3381" s="44" t="str">
        <f>IFERROR(__xludf.DUMMYFUNCTION("""COMPUTED_VALUE""")," ")</f>
        <v> </v>
      </c>
      <c r="E3381" s="44" t="str">
        <f>IFERROR(__xludf.DUMMYFUNCTION("""COMPUTED_VALUE"""),"")</f>
        <v/>
      </c>
      <c r="F3381" s="44" t="str">
        <f>IFERROR(__xludf.DUMMYFUNCTION("""COMPUTED_VALUE"""),"")</f>
        <v/>
      </c>
      <c r="G3381" s="44" t="str">
        <f>IFERROR(__xludf.DUMMYFUNCTION("""COMPUTED_VALUE""")," ")</f>
        <v> </v>
      </c>
      <c r="H3381" s="44" t="str">
        <f>IFERROR(__xludf.DUMMYFUNCTION("""COMPUTED_VALUE""")," ")</f>
        <v> </v>
      </c>
      <c r="I3381" s="44" t="str">
        <f>IFERROR(__xludf.DUMMYFUNCTION("""COMPUTED_VALUE"""),"Internado")</f>
        <v>Internado</v>
      </c>
      <c r="J3381" s="44" t="str">
        <f>IFERROR(__xludf.DUMMYFUNCTION("""COMPUTED_VALUE"""),"")</f>
        <v/>
      </c>
      <c r="K3381" s="42" t="str">
        <f>IFERROR(__xludf.DUMMYFUNCTION("""COMPUTED_VALUE"""),"🔍 BUSCAR PACIENTES")</f>
        <v>🔍 BUSCAR PACIENTES</v>
      </c>
    </row>
    <row r="3382">
      <c r="A3382" s="44">
        <v>3381.0</v>
      </c>
      <c r="B3382" s="44" t="str">
        <f>IFERROR(__xludf.DUMMYFUNCTION("""COMPUTED_VALUE"""),"H. Jose Maria Vargas LG")</f>
        <v>H. Jose Maria Vargas LG</v>
      </c>
      <c r="C3382" s="45" t="str">
        <f>IFERROR(__xludf.DUMMYFUNCTION("""COMPUTED_VALUE"""),"SANDOVAL YULEIVIS")</f>
        <v>SANDOVAL YULEIVIS</v>
      </c>
      <c r="D3382" s="44" t="str">
        <f>IFERROR(__xludf.DUMMYFUNCTION("""COMPUTED_VALUE""")," ")</f>
        <v> </v>
      </c>
      <c r="E3382" s="44" t="str">
        <f>IFERROR(__xludf.DUMMYFUNCTION("""COMPUTED_VALUE"""),"")</f>
        <v/>
      </c>
      <c r="F3382" s="44" t="str">
        <f>IFERROR(__xludf.DUMMYFUNCTION("""COMPUTED_VALUE"""),"")</f>
        <v/>
      </c>
      <c r="G3382" s="44" t="str">
        <f>IFERROR(__xludf.DUMMYFUNCTION("""COMPUTED_VALUE""")," ")</f>
        <v> </v>
      </c>
      <c r="H3382" s="44" t="str">
        <f>IFERROR(__xludf.DUMMYFUNCTION("""COMPUTED_VALUE"""),"Maiquetia")</f>
        <v>Maiquetia</v>
      </c>
      <c r="I3382" s="44" t="str">
        <f>IFERROR(__xludf.DUMMYFUNCTION("""COMPUTED_VALUE""")," ")</f>
        <v> </v>
      </c>
      <c r="J3382" s="44" t="str">
        <f>IFERROR(__xludf.DUMMYFUNCTION("""COMPUTED_VALUE"""),"")</f>
        <v/>
      </c>
      <c r="K3382" s="42" t="str">
        <f>IFERROR(__xludf.DUMMYFUNCTION("""COMPUTED_VALUE"""),"H. Jose Maria Vargas LG")</f>
        <v>H. Jose Maria Vargas LG</v>
      </c>
    </row>
    <row r="3383">
      <c r="A3383" s="44">
        <v>3382.0</v>
      </c>
      <c r="B3383" s="44" t="str">
        <f>IFERROR(__xludf.DUMMYFUNCTION("""COMPUTED_VALUE"""),"Hospital Domingo Luciani")</f>
        <v>Hospital Domingo Luciani</v>
      </c>
      <c r="C3383" s="45" t="str">
        <f>IFERROR(__xludf.DUMMYFUNCTION("""COMPUTED_VALUE"""),"SANETH ATABONI")</f>
        <v>SANETH ATABONI</v>
      </c>
      <c r="D3383" s="44" t="str">
        <f>IFERROR(__xludf.DUMMYFUNCTION("""COMPUTED_VALUE""")," ")</f>
        <v> </v>
      </c>
      <c r="E3383" s="44" t="str">
        <f>IFERROR(__xludf.DUMMYFUNCTION("""COMPUTED_VALUE"""),"")</f>
        <v/>
      </c>
      <c r="F3383" s="44" t="str">
        <f>IFERROR(__xludf.DUMMYFUNCTION("""COMPUTED_VALUE"""),"")</f>
        <v/>
      </c>
      <c r="G3383" s="44" t="str">
        <f>IFERROR(__xludf.DUMMYFUNCTION("""COMPUTED_VALUE""")," ")</f>
        <v> </v>
      </c>
      <c r="H3383" s="44" t="str">
        <f>IFERROR(__xludf.DUMMYFUNCTION("""COMPUTED_VALUE""")," ")</f>
        <v> </v>
      </c>
      <c r="I3383" s="44" t="str">
        <f>IFERROR(__xludf.DUMMYFUNCTION("""COMPUTED_VALUE"""),"Trauma")</f>
        <v>Trauma</v>
      </c>
      <c r="J3383" s="44" t="str">
        <f>IFERROR(__xludf.DUMMYFUNCTION("""COMPUTED_VALUE"""),"")</f>
        <v/>
      </c>
      <c r="K3383" s="42" t="str">
        <f>IFERROR(__xludf.DUMMYFUNCTION("""COMPUTED_VALUE"""),"🔍 BUSCAR PACIENTES")</f>
        <v>🔍 BUSCAR PACIENTES</v>
      </c>
    </row>
    <row r="3384">
      <c r="A3384" s="44">
        <v>3383.0</v>
      </c>
      <c r="B3384" s="44" t="str">
        <f>IFERROR(__xludf.DUMMYFUNCTION("""COMPUTED_VALUE"""),"Centro de Acopio Caraballeda")</f>
        <v>Centro de Acopio Caraballeda</v>
      </c>
      <c r="C3384" s="45" t="str">
        <f>IFERROR(__xludf.DUMMYFUNCTION("""COMPUTED_VALUE"""),"SANOJA AIXA")</f>
        <v>SANOJA AIXA</v>
      </c>
      <c r="D3384" s="44" t="str">
        <f>IFERROR(__xludf.DUMMYFUNCTION("""COMPUTED_VALUE""")," ")</f>
        <v> </v>
      </c>
      <c r="E3384" s="44" t="str">
        <f>IFERROR(__xludf.DUMMYFUNCTION("""COMPUTED_VALUE"""),"")</f>
        <v/>
      </c>
      <c r="F3384" s="44" t="str">
        <f>IFERROR(__xludf.DUMMYFUNCTION("""COMPUTED_VALUE"""),"")</f>
        <v/>
      </c>
      <c r="G3384" s="44" t="str">
        <f>IFERROR(__xludf.DUMMYFUNCTION("""COMPUTED_VALUE""")," ")</f>
        <v> </v>
      </c>
      <c r="H3384" s="44" t="str">
        <f>IFERROR(__xludf.DUMMYFUNCTION("""COMPUTED_VALUE""")," ")</f>
        <v> </v>
      </c>
      <c r="I3384" s="44" t="str">
        <f>IFERROR(__xludf.DUMMYFUNCTION("""COMPUTED_VALUE"""),"Internado")</f>
        <v>Internado</v>
      </c>
      <c r="J3384" s="44" t="str">
        <f>IFERROR(__xludf.DUMMYFUNCTION("""COMPUTED_VALUE"""),"")</f>
        <v/>
      </c>
      <c r="K3384" s="42" t="str">
        <f>IFERROR(__xludf.DUMMYFUNCTION("""COMPUTED_VALUE"""),"🔍 BUSCAR PACIENTES")</f>
        <v>🔍 BUSCAR PACIENTES</v>
      </c>
    </row>
    <row r="3385">
      <c r="A3385" s="44">
        <v>3384.0</v>
      </c>
      <c r="B3385" s="44" t="str">
        <f>IFERROR(__xludf.DUMMYFUNCTION("""COMPUTED_VALUE"""),"Centro de Acopio Caraballeda")</f>
        <v>Centro de Acopio Caraballeda</v>
      </c>
      <c r="C3385" s="45" t="str">
        <f>IFERROR(__xludf.DUMMYFUNCTION("""COMPUTED_VALUE"""),"SANTADER SOE")</f>
        <v>SANTADER SOE</v>
      </c>
      <c r="D3385" s="44" t="str">
        <f>IFERROR(__xludf.DUMMYFUNCTION("""COMPUTED_VALUE""")," ")</f>
        <v> </v>
      </c>
      <c r="E3385" s="44" t="str">
        <f>IFERROR(__xludf.DUMMYFUNCTION("""COMPUTED_VALUE"""),"")</f>
        <v/>
      </c>
      <c r="F3385" s="44" t="str">
        <f>IFERROR(__xludf.DUMMYFUNCTION("""COMPUTED_VALUE"""),"")</f>
        <v/>
      </c>
      <c r="G3385" s="44" t="str">
        <f>IFERROR(__xludf.DUMMYFUNCTION("""COMPUTED_VALUE""")," ")</f>
        <v> </v>
      </c>
      <c r="H3385" s="44" t="str">
        <f>IFERROR(__xludf.DUMMYFUNCTION("""COMPUTED_VALUE""")," ")</f>
        <v> </v>
      </c>
      <c r="I3385" s="44" t="str">
        <f>IFERROR(__xludf.DUMMYFUNCTION("""COMPUTED_VALUE"""),"Internado")</f>
        <v>Internado</v>
      </c>
      <c r="J3385" s="44" t="str">
        <f>IFERROR(__xludf.DUMMYFUNCTION("""COMPUTED_VALUE"""),"")</f>
        <v/>
      </c>
      <c r="K3385" s="42" t="str">
        <f>IFERROR(__xludf.DUMMYFUNCTION("""COMPUTED_VALUE"""),"🔍 BUSCAR PACIENTES")</f>
        <v>🔍 BUSCAR PACIENTES</v>
      </c>
    </row>
    <row r="3386">
      <c r="A3386" s="44">
        <v>3385.0</v>
      </c>
      <c r="B3386" s="44" t="str">
        <f>IFERROR(__xludf.DUMMYFUNCTION("""COMPUTED_VALUE"""),"H. Jose Maria Vargas LG")</f>
        <v>H. Jose Maria Vargas LG</v>
      </c>
      <c r="C3386" s="45" t="str">
        <f>IFERROR(__xludf.DUMMYFUNCTION("""COMPUTED_VALUE"""),"SANTAELLA GABRIEL")</f>
        <v>SANTAELLA GABRIEL</v>
      </c>
      <c r="D3386" s="44" t="str">
        <f>IFERROR(__xludf.DUMMYFUNCTION("""COMPUTED_VALUE""")," ")</f>
        <v> </v>
      </c>
      <c r="E3386" s="44" t="str">
        <f>IFERROR(__xludf.DUMMYFUNCTION("""COMPUTED_VALUE"""),"")</f>
        <v/>
      </c>
      <c r="F3386" s="44" t="str">
        <f>IFERROR(__xludf.DUMMYFUNCTION("""COMPUTED_VALUE"""),"")</f>
        <v/>
      </c>
      <c r="G3386" s="44" t="str">
        <f>IFERROR(__xludf.DUMMYFUNCTION("""COMPUTED_VALUE""")," ")</f>
        <v> </v>
      </c>
      <c r="H3386" s="44" t="str">
        <f>IFERROR(__xludf.DUMMYFUNCTION("""COMPUTED_VALUE""")," ")</f>
        <v> </v>
      </c>
      <c r="I3386" s="44" t="str">
        <f>IFERROR(__xludf.DUMMYFUNCTION("""COMPUTED_VALUE""")," ")</f>
        <v> </v>
      </c>
      <c r="J3386" s="44" t="str">
        <f>IFERROR(__xludf.DUMMYFUNCTION("""COMPUTED_VALUE"""),"")</f>
        <v/>
      </c>
      <c r="K3386" s="42" t="str">
        <f>IFERROR(__xludf.DUMMYFUNCTION("""COMPUTED_VALUE"""),"H. Jose Maria Vargas LG")</f>
        <v>H. Jose Maria Vargas LG</v>
      </c>
    </row>
    <row r="3387">
      <c r="A3387" s="44">
        <v>3386.0</v>
      </c>
      <c r="B3387" s="44" t="str">
        <f>IFERROR(__xludf.DUMMYFUNCTION("""COMPUTED_VALUE"""),"Hospital Vargas de Caracas")</f>
        <v>Hospital Vargas de Caracas</v>
      </c>
      <c r="C3387" s="45" t="str">
        <f>IFERROR(__xludf.DUMMYFUNCTION("""COMPUTED_VALUE"""),"SANTANA MARIA ELENA")</f>
        <v>SANTANA MARIA ELENA</v>
      </c>
      <c r="D3387" s="44" t="str">
        <f>IFERROR(__xludf.DUMMYFUNCTION("""COMPUTED_VALUE""")," ")</f>
        <v> </v>
      </c>
      <c r="E3387" s="44" t="str">
        <f>IFERROR(__xludf.DUMMYFUNCTION("""COMPUTED_VALUE"""),"")</f>
        <v/>
      </c>
      <c r="F3387" s="44" t="str">
        <f>IFERROR(__xludf.DUMMYFUNCTION("""COMPUTED_VALUE""")," ")</f>
        <v> </v>
      </c>
      <c r="G3387" s="44" t="str">
        <f>IFERROR(__xludf.DUMMYFUNCTION("""COMPUTED_VALUE"""),"")</f>
        <v/>
      </c>
      <c r="H3387" s="44" t="str">
        <f>IFERROR(__xludf.DUMMYFUNCTION("""COMPUTED_VALUE""")," ")</f>
        <v> </v>
      </c>
      <c r="I3387" s="44" t="str">
        <f>IFERROR(__xludf.DUMMYFUNCTION("""COMPUTED_VALUE""")," ")</f>
        <v> </v>
      </c>
      <c r="J3387" s="44" t="str">
        <f>IFERROR(__xludf.DUMMYFUNCTION("""COMPUTED_VALUE"""),"")</f>
        <v/>
      </c>
      <c r="K3387" s="42" t="str">
        <f>IFERROR(__xludf.DUMMYFUNCTION("""COMPUTED_VALUE"""),"Hospital Vargas de Caracas")</f>
        <v>Hospital Vargas de Caracas</v>
      </c>
    </row>
    <row r="3388">
      <c r="A3388" s="44">
        <v>3387.0</v>
      </c>
      <c r="B3388" s="44" t="str">
        <f>IFERROR(__xludf.DUMMYFUNCTION("""COMPUTED_VALUE"""),"Centro de Acopio Caraballeda")</f>
        <v>Centro de Acopio Caraballeda</v>
      </c>
      <c r="C3388" s="45" t="str">
        <f>IFERROR(__xludf.DUMMYFUNCTION("""COMPUTED_VALUE"""),"SANTANA ROSBELMA")</f>
        <v>SANTANA ROSBELMA</v>
      </c>
      <c r="D3388" s="44" t="str">
        <f>IFERROR(__xludf.DUMMYFUNCTION("""COMPUTED_VALUE""")," ")</f>
        <v> </v>
      </c>
      <c r="E3388" s="44" t="str">
        <f>IFERROR(__xludf.DUMMYFUNCTION("""COMPUTED_VALUE"""),"")</f>
        <v/>
      </c>
      <c r="F3388" s="44" t="str">
        <f>IFERROR(__xludf.DUMMYFUNCTION("""COMPUTED_VALUE"""),"")</f>
        <v/>
      </c>
      <c r="G3388" s="44" t="str">
        <f>IFERROR(__xludf.DUMMYFUNCTION("""COMPUTED_VALUE""")," ")</f>
        <v> </v>
      </c>
      <c r="H3388" s="44" t="str">
        <f>IFERROR(__xludf.DUMMYFUNCTION("""COMPUTED_VALUE""")," ")</f>
        <v> </v>
      </c>
      <c r="I3388" s="44" t="str">
        <f>IFERROR(__xludf.DUMMYFUNCTION("""COMPUTED_VALUE"""),"Internado")</f>
        <v>Internado</v>
      </c>
      <c r="J3388" s="44" t="str">
        <f>IFERROR(__xludf.DUMMYFUNCTION("""COMPUTED_VALUE"""),"")</f>
        <v/>
      </c>
      <c r="K3388" s="42" t="str">
        <f>IFERROR(__xludf.DUMMYFUNCTION("""COMPUTED_VALUE"""),"🔍 BUSCAR PACIENTES")</f>
        <v>🔍 BUSCAR PACIENTES</v>
      </c>
    </row>
    <row r="3389">
      <c r="A3389" s="44">
        <v>3388.0</v>
      </c>
      <c r="B3389" s="44" t="str">
        <f>IFERROR(__xludf.DUMMYFUNCTION("""COMPUTED_VALUE"""),"Periférico de Catia")</f>
        <v>Periférico de Catia</v>
      </c>
      <c r="C3389" s="45" t="str">
        <f>IFERROR(__xludf.DUMMYFUNCTION("""COMPUTED_VALUE"""),"Santiago Carrasquel")</f>
        <v>Santiago Carrasquel</v>
      </c>
      <c r="D3389" s="44">
        <f>IFERROR(__xludf.DUMMYFUNCTION("""COMPUTED_VALUE"""),14.0)</f>
        <v>14</v>
      </c>
      <c r="E3389" s="44" t="str">
        <f>IFERROR(__xludf.DUMMYFUNCTION("""COMPUTED_VALUE"""),"")</f>
        <v/>
      </c>
      <c r="F3389" s="44" t="str">
        <f>IFERROR(__xludf.DUMMYFUNCTION("""COMPUTED_VALUE"""),"")</f>
        <v/>
      </c>
      <c r="G3389" s="44"/>
      <c r="H3389" s="44"/>
      <c r="I3389" s="44" t="str">
        <f>IFERROR(__xludf.DUMMYFUNCTION("""COMPUTED_VALUE"""),"Nota adicional 8:30pm (mismo grupo Politrauma)")</f>
        <v>Nota adicional 8:30pm (mismo grupo Politrauma)</v>
      </c>
      <c r="J3389" s="44" t="str">
        <f>IFERROR(__xludf.DUMMYFUNCTION("""COMPUTED_VALUE"""),"")</f>
        <v/>
      </c>
      <c r="K3389" s="42" t="str">
        <f>IFERROR(__xludf.DUMMYFUNCTION("""COMPUTED_VALUE"""),"Periférico de Catia")</f>
        <v>Periférico de Catia</v>
      </c>
    </row>
    <row r="3390">
      <c r="A3390" s="44">
        <v>3389.0</v>
      </c>
      <c r="B3390" s="44" t="str">
        <f>IFERROR(__xludf.DUMMYFUNCTION("""COMPUTED_VALUE"""),"Hospital Pérez Carreño")</f>
        <v>Hospital Pérez Carreño</v>
      </c>
      <c r="C3390" s="45" t="str">
        <f>IFERROR(__xludf.DUMMYFUNCTION("""COMPUTED_VALUE"""),"SANVICENTE LIAM")</f>
        <v>SANVICENTE LIAM</v>
      </c>
      <c r="D3390" s="44">
        <f>IFERROR(__xludf.DUMMYFUNCTION("""COMPUTED_VALUE"""),5.0)</f>
        <v>5</v>
      </c>
      <c r="E3390" s="44" t="str">
        <f>IFERROR(__xludf.DUMMYFUNCTION("""COMPUTED_VALUE"""),"")</f>
        <v/>
      </c>
      <c r="F3390" s="44" t="str">
        <f>IFERROR(__xludf.DUMMYFUNCTION("""COMPUTED_VALUE"""),"")</f>
        <v/>
      </c>
      <c r="G3390" s="44" t="str">
        <f>IFERROR(__xludf.DUMMYFUNCTION("""COMPUTED_VALUE""")," ")</f>
        <v> </v>
      </c>
      <c r="H3390" s="44" t="str">
        <f>IFERROR(__xludf.DUMMYFUNCTION("""COMPUTED_VALUE""")," ")</f>
        <v> </v>
      </c>
      <c r="I3390" s="44" t="str">
        <f>IFERROR(__xludf.DUMMYFUNCTION("""COMPUTED_VALUE"""),"Pediatría – Lista alta; Mamá Frangelis Mejía; Argenis Sanvicente")</f>
        <v>Pediatría – Lista alta; Mamá Frangelis Mejía; Argenis Sanvicente</v>
      </c>
      <c r="J3390" s="44" t="str">
        <f>IFERROR(__xludf.DUMMYFUNCTION("""COMPUTED_VALUE"""),"")</f>
        <v/>
      </c>
      <c r="K3390" s="42" t="str">
        <f>IFERROR(__xludf.DUMMYFUNCTION("""COMPUTED_VALUE"""),"🔍 BUSCAR PACIENTES")</f>
        <v>🔍 BUSCAR PACIENTES</v>
      </c>
    </row>
    <row r="3391">
      <c r="A3391" s="44">
        <v>3390.0</v>
      </c>
      <c r="B3391" s="44" t="str">
        <f>IFERROR(__xludf.DUMMYFUNCTION("""COMPUTED_VALUE"""),"Campo de Golf Playa los Cocos")</f>
        <v>Campo de Golf Playa los Cocos</v>
      </c>
      <c r="C3391" s="45" t="str">
        <f>IFERROR(__xludf.DUMMYFUNCTION("""COMPUTED_VALUE"""),"Sarai Contramaestre")</f>
        <v>Sarai Contramaestre</v>
      </c>
      <c r="D3391" s="44" t="str">
        <f>IFERROR(__xludf.DUMMYFUNCTION("""COMPUTED_VALUE"""),"")</f>
        <v/>
      </c>
      <c r="E3391" s="44" t="str">
        <f>IFERROR(__xludf.DUMMYFUNCTION("""COMPUTED_VALUE"""),"")</f>
        <v/>
      </c>
      <c r="F3391" s="44" t="str">
        <f>IFERROR(__xludf.DUMMYFUNCTION("""COMPUTED_VALUE"""),"")</f>
        <v/>
      </c>
      <c r="G3391" s="44" t="str">
        <f>IFERROR(__xludf.DUMMYFUNCTION("""COMPUTED_VALUE"""),"")</f>
        <v/>
      </c>
      <c r="H3391" s="44" t="str">
        <f>IFERROR(__xludf.DUMMYFUNCTION("""COMPUTED_VALUE"""),"")</f>
        <v/>
      </c>
      <c r="I3391" s="44" t="str">
        <f>IFERROR(__xludf.DUMMYFUNCTION("""COMPUTED_VALUE"""),"menor")</f>
        <v>menor</v>
      </c>
      <c r="J3391" s="44" t="str">
        <f>IFERROR(__xludf.DUMMYFUNCTION("""COMPUTED_VALUE"""),"")</f>
        <v/>
      </c>
      <c r="K3391" s="42" t="str">
        <f>IFERROR(__xludf.DUMMYFUNCTION("""COMPUTED_VALUE"""),"Campo de Golf Playa los Cocos")</f>
        <v>Campo de Golf Playa los Cocos</v>
      </c>
    </row>
    <row r="3392">
      <c r="A3392" s="44">
        <v>3391.0</v>
      </c>
      <c r="B3392" s="44" t="str">
        <f>IFERROR(__xludf.DUMMYFUNCTION("""COMPUTED_VALUE"""),"Campo de Golf Playa los Cocos")</f>
        <v>Campo de Golf Playa los Cocos</v>
      </c>
      <c r="C3392" s="45" t="str">
        <f>IFERROR(__xludf.DUMMYFUNCTION("""COMPUTED_VALUE"""),"Saray Sepulpeda")</f>
        <v>Saray Sepulpeda</v>
      </c>
      <c r="D3392" s="44" t="str">
        <f>IFERROR(__xludf.DUMMYFUNCTION("""COMPUTED_VALUE"""),"")</f>
        <v/>
      </c>
      <c r="E3392" s="44" t="str">
        <f>IFERROR(__xludf.DUMMYFUNCTION("""COMPUTED_VALUE"""),"")</f>
        <v/>
      </c>
      <c r="F3392" s="44" t="str">
        <f>IFERROR(__xludf.DUMMYFUNCTION("""COMPUTED_VALUE"""),"")</f>
        <v/>
      </c>
      <c r="G3392" s="44" t="str">
        <f>IFERROR(__xludf.DUMMYFUNCTION("""COMPUTED_VALUE"""),"")</f>
        <v/>
      </c>
      <c r="H3392" s="44" t="str">
        <f>IFERROR(__xludf.DUMMYFUNCTION("""COMPUTED_VALUE"""),"")</f>
        <v/>
      </c>
      <c r="I3392" s="44"/>
      <c r="J3392" s="44" t="str">
        <f>IFERROR(__xludf.DUMMYFUNCTION("""COMPUTED_VALUE"""),"")</f>
        <v/>
      </c>
      <c r="K3392" s="42" t="str">
        <f>IFERROR(__xludf.DUMMYFUNCTION("""COMPUTED_VALUE"""),"Campo de Golf Playa los Cocos")</f>
        <v>Campo de Golf Playa los Cocos</v>
      </c>
    </row>
    <row r="3393">
      <c r="A3393" s="44">
        <v>3392.0</v>
      </c>
      <c r="B3393" s="44" t="str">
        <f>IFERROR(__xludf.DUMMYFUNCTION("""COMPUTED_VALUE"""),"Hospital Pérez Carreño")</f>
        <v>Hospital Pérez Carreño</v>
      </c>
      <c r="C3393" s="45" t="str">
        <f>IFERROR(__xludf.DUMMYFUNCTION("""COMPUTED_VALUE"""),"SARMIENTO BRIGADA")</f>
        <v>SARMIENTO BRIGADA</v>
      </c>
      <c r="D3393" s="44">
        <f>IFERROR(__xludf.DUMMYFUNCTION("""COMPUTED_VALUE"""),57.0)</f>
        <v>57</v>
      </c>
      <c r="E3393" s="44" t="str">
        <f>IFERROR(__xludf.DUMMYFUNCTION("""COMPUTED_VALUE"""),"")</f>
        <v/>
      </c>
      <c r="F3393" s="44" t="str">
        <f>IFERROR(__xludf.DUMMYFUNCTION("""COMPUTED_VALUE"""),"")</f>
        <v/>
      </c>
      <c r="G3393" s="44" t="str">
        <f>IFERROR(__xludf.DUMMYFUNCTION("""COMPUTED_VALUE""")," ")</f>
        <v> </v>
      </c>
      <c r="H3393" s="44" t="str">
        <f>IFERROR(__xludf.DUMMYFUNCTION("""COMPUTED_VALUE""")," ")</f>
        <v> </v>
      </c>
      <c r="I3393" s="44" t="str">
        <f>IFERROR(__xludf.DUMMYFUNCTION("""COMPUTED_VALUE"""),"Traumashock | Traumachok – Pasillo Asesor; La Guaira")</f>
        <v>Traumashock | Traumachok – Pasillo Asesor; La Guaira</v>
      </c>
      <c r="J3393" s="44" t="str">
        <f>IFERROR(__xludf.DUMMYFUNCTION("""COMPUTED_VALUE"""),"25/06/2026")</f>
        <v>25/06/2026</v>
      </c>
      <c r="K3393" s="42" t="str">
        <f>IFERROR(__xludf.DUMMYFUNCTION("""COMPUTED_VALUE"""),"Hospital Pérez Carreño")</f>
        <v>Hospital Pérez Carreño</v>
      </c>
    </row>
    <row r="3394">
      <c r="A3394" s="44">
        <v>3393.0</v>
      </c>
      <c r="B3394" s="44" t="str">
        <f>IFERROR(__xludf.DUMMYFUNCTION("""COMPUTED_VALUE"""),"Hospital Pérez Carreño")</f>
        <v>Hospital Pérez Carreño</v>
      </c>
      <c r="C3394" s="45" t="str">
        <f>IFERROR(__xludf.DUMMYFUNCTION("""COMPUTED_VALUE"""),"Saunsett Burgos Carla Antonia")</f>
        <v>Saunsett Burgos Carla Antonia</v>
      </c>
      <c r="D3394" s="44"/>
      <c r="E3394" s="44" t="str">
        <f>IFERROR(__xludf.DUMMYFUNCTION("""COMPUTED_VALUE"""),"")</f>
        <v/>
      </c>
      <c r="F3394" s="44" t="str">
        <f>IFERROR(__xludf.DUMMYFUNCTION("""COMPUTED_VALUE"""),"")</f>
        <v/>
      </c>
      <c r="G3394" s="44" t="str">
        <f>IFERROR(__xludf.DUMMYFUNCTION("""COMPUTED_VALUE"""),"Traslados")</f>
        <v>Traslados</v>
      </c>
      <c r="H3394" s="44" t="str">
        <f>IFERROR(__xludf.DUMMYFUNCTION("""COMPUTED_VALUE"""),"Hospital Miguel Perez Carreño")</f>
        <v>Hospital Miguel Perez Carreño</v>
      </c>
      <c r="I3394" s="44"/>
      <c r="J3394" s="44" t="str">
        <f>IFERROR(__xludf.DUMMYFUNCTION("""COMPUTED_VALUE"""),"26/6/26")</f>
        <v>26/6/26</v>
      </c>
      <c r="K3394" s="42" t="str">
        <f>IFERROR(__xludf.DUMMYFUNCTION("""COMPUTED_VALUE"""),"Hospital Pérez Carreño")</f>
        <v>Hospital Pérez Carreño</v>
      </c>
    </row>
    <row r="3395">
      <c r="A3395" s="44">
        <v>3394.0</v>
      </c>
      <c r="B3395" s="44" t="str">
        <f>IFERROR(__xludf.DUMMYFUNCTION("""COMPUTED_VALUE"""),"Seguro Social La Guaira")</f>
        <v>Seguro Social La Guaira</v>
      </c>
      <c r="C3395" s="45" t="str">
        <f>IFERROR(__xludf.DUMMYFUNCTION("""COMPUTED_VALUE"""),"SEBASTIAN BLANDI")</f>
        <v>SEBASTIAN BLANDI</v>
      </c>
      <c r="D3395" s="44">
        <f>IFERROR(__xludf.DUMMYFUNCTION("""COMPUTED_VALUE"""),7.0)</f>
        <v>7</v>
      </c>
      <c r="E3395" s="44" t="str">
        <f>IFERROR(__xludf.DUMMYFUNCTION("""COMPUTED_VALUE"""),"")</f>
        <v/>
      </c>
      <c r="F3395" s="44" t="str">
        <f>IFERROR(__xludf.DUMMYFUNCTION("""COMPUTED_VALUE"""),"")</f>
        <v/>
      </c>
      <c r="G3395" s="44" t="str">
        <f>IFERROR(__xludf.DUMMYFUNCTION("""COMPUTED_VALUE""")," ")</f>
        <v> </v>
      </c>
      <c r="H3395" s="44" t="str">
        <f>IFERROR(__xludf.DUMMYFUNCTION("""COMPUTED_VALUE""")," ")</f>
        <v> </v>
      </c>
      <c r="I3395" s="44" t="str">
        <f>IFERROR(__xludf.DUMMYFUNCTION("""COMPUTED_VALUE""")," ")</f>
        <v> </v>
      </c>
      <c r="J3395" s="44" t="str">
        <f>IFERROR(__xludf.DUMMYFUNCTION("""COMPUTED_VALUE"""),"")</f>
        <v/>
      </c>
      <c r="K3395" s="42" t="str">
        <f>IFERROR(__xludf.DUMMYFUNCTION("""COMPUTED_VALUE"""),"Seguro Social La Guaira")</f>
        <v>Seguro Social La Guaira</v>
      </c>
    </row>
    <row r="3396">
      <c r="A3396" s="44">
        <v>3395.0</v>
      </c>
      <c r="B3396" s="44" t="str">
        <f>IFERROR(__xludf.DUMMYFUNCTION("""COMPUTED_VALUE"""),"Periférico de Catia")</f>
        <v>Periférico de Catia</v>
      </c>
      <c r="C3396" s="45" t="str">
        <f>IFERROR(__xludf.DUMMYFUNCTION("""COMPUTED_VALUE"""),"Sebastian Donacimiento")</f>
        <v>Sebastian Donacimiento</v>
      </c>
      <c r="D3396" s="44">
        <f>IFERROR(__xludf.DUMMYFUNCTION("""COMPUTED_VALUE"""),16.0)</f>
        <v>16</v>
      </c>
      <c r="E3396" s="44" t="str">
        <f>IFERROR(__xludf.DUMMYFUNCTION("""COMPUTED_VALUE"""),"")</f>
        <v/>
      </c>
      <c r="F3396" s="44" t="str">
        <f>IFERROR(__xludf.DUMMYFUNCTION("""COMPUTED_VALUE"""),"")</f>
        <v/>
      </c>
      <c r="G3396" s="44"/>
      <c r="H3396" s="44"/>
      <c r="I3396" s="44" t="str">
        <f>IFERROR(__xludf.DUMMYFUNCTION("""COMPUTED_VALUE"""),"UCI (version anterior, lista UCI sin hora)")</f>
        <v>UCI (version anterior, lista UCI sin hora)</v>
      </c>
      <c r="J3396" s="44" t="str">
        <f>IFERROR(__xludf.DUMMYFUNCTION("""COMPUTED_VALUE"""),"")</f>
        <v/>
      </c>
      <c r="K3396" s="42" t="str">
        <f>IFERROR(__xludf.DUMMYFUNCTION("""COMPUTED_VALUE"""),"Periférico de Catia")</f>
        <v>Periférico de Catia</v>
      </c>
    </row>
    <row r="3397">
      <c r="A3397" s="44">
        <v>3396.0</v>
      </c>
      <c r="B3397" s="44" t="str">
        <f>IFERROR(__xludf.DUMMYFUNCTION("""COMPUTED_VALUE"""),"Hospital Domingo Luciani")</f>
        <v>Hospital Domingo Luciani</v>
      </c>
      <c r="C3397" s="45" t="str">
        <f>IFERROR(__xludf.DUMMYFUNCTION("""COMPUTED_VALUE"""),"Sebastian Doraciento")</f>
        <v>Sebastian Doraciento</v>
      </c>
      <c r="D3397" s="44">
        <f>IFERROR(__xludf.DUMMYFUNCTION("""COMPUTED_VALUE"""),0.0)</f>
        <v>0</v>
      </c>
      <c r="E3397" s="44" t="str">
        <f>IFERROR(__xludf.DUMMYFUNCTION("""COMPUTED_VALUE"""),"")</f>
        <v/>
      </c>
      <c r="F3397" s="44" t="str">
        <f>IFERROR(__xludf.DUMMYFUNCTION("""COMPUTED_VALUE"""),"")</f>
        <v/>
      </c>
      <c r="G3397" s="44"/>
      <c r="H3397" s="44"/>
      <c r="I3397" s="44"/>
      <c r="J3397" s="44" t="str">
        <f>IFERROR(__xludf.DUMMYFUNCTION("""COMPUTED_VALUE"""),"")</f>
        <v/>
      </c>
      <c r="K3397" s="42" t="str">
        <f>IFERROR(__xludf.DUMMYFUNCTION("""COMPUTED_VALUE"""),"Hospital Domingo Luciani")</f>
        <v>Hospital Domingo Luciani</v>
      </c>
    </row>
    <row r="3398">
      <c r="A3398" s="44">
        <v>3397.0</v>
      </c>
      <c r="B3398" s="44" t="str">
        <f>IFERROR(__xludf.DUMMYFUNCTION("""COMPUTED_VALUE"""),"Hospital Domingo Luciani")</f>
        <v>Hospital Domingo Luciani</v>
      </c>
      <c r="C3398" s="45" t="str">
        <f>IFERROR(__xludf.DUMMYFUNCTION("""COMPUTED_VALUE"""),"Sebastian Doracimiento")</f>
        <v>Sebastian Doracimiento</v>
      </c>
      <c r="D3398" s="44">
        <f>IFERROR(__xludf.DUMMYFUNCTION("""COMPUTED_VALUE"""),16.0)</f>
        <v>16</v>
      </c>
      <c r="E3398" s="44" t="str">
        <f>IFERROR(__xludf.DUMMYFUNCTION("""COMPUTED_VALUE"""),"")</f>
        <v/>
      </c>
      <c r="F3398" s="44" t="str">
        <f>IFERROR(__xludf.DUMMYFUNCTION("""COMPUTED_VALUE"""),"")</f>
        <v/>
      </c>
      <c r="G3398" s="44"/>
      <c r="H3398" s="44"/>
      <c r="I3398" s="44"/>
      <c r="J3398" s="44" t="str">
        <f>IFERROR(__xludf.DUMMYFUNCTION("""COMPUTED_VALUE"""),"")</f>
        <v/>
      </c>
      <c r="K3398" s="42" t="str">
        <f>IFERROR(__xludf.DUMMYFUNCTION("""COMPUTED_VALUE"""),"Hospital Domingo Luciani")</f>
        <v>Hospital Domingo Luciani</v>
      </c>
    </row>
    <row r="3399">
      <c r="A3399" s="44">
        <v>3398.0</v>
      </c>
      <c r="B3399" s="44" t="str">
        <f>IFERROR(__xludf.DUMMYFUNCTION("""COMPUTED_VALUE"""),"Seguro Social La Guaira")</f>
        <v>Seguro Social La Guaira</v>
      </c>
      <c r="C3399" s="45" t="str">
        <f>IFERROR(__xludf.DUMMYFUNCTION("""COMPUTED_VALUE"""),"SEBASTIAN JOSE SALCEDO")</f>
        <v>SEBASTIAN JOSE SALCEDO</v>
      </c>
      <c r="D3399" s="44" t="str">
        <f>IFERROR(__xludf.DUMMYFUNCTION("""COMPUTED_VALUE""")," ")</f>
        <v> </v>
      </c>
      <c r="E3399" s="44" t="str">
        <f>IFERROR(__xludf.DUMMYFUNCTION("""COMPUTED_VALUE"""),"")</f>
        <v/>
      </c>
      <c r="F3399" s="44" t="str">
        <f>IFERROR(__xludf.DUMMYFUNCTION("""COMPUTED_VALUE"""),"")</f>
        <v/>
      </c>
      <c r="G3399" s="44" t="str">
        <f>IFERROR(__xludf.DUMMYFUNCTION("""COMPUTED_VALUE""")," ")</f>
        <v> </v>
      </c>
      <c r="H3399" s="44" t="str">
        <f>IFERROR(__xludf.DUMMYFUNCTION("""COMPUTED_VALUE"""),"Edif Blanco")</f>
        <v>Edif Blanco</v>
      </c>
      <c r="I3399" s="44" t="str">
        <f>IFERROR(__xludf.DUMMYFUNCTION("""COMPUTED_VALUE""")," ")</f>
        <v> </v>
      </c>
      <c r="J3399" s="44" t="str">
        <f>IFERROR(__xludf.DUMMYFUNCTION("""COMPUTED_VALUE"""),"")</f>
        <v/>
      </c>
      <c r="K3399" s="42" t="str">
        <f>IFERROR(__xludf.DUMMYFUNCTION("""COMPUTED_VALUE"""),"Seguro Social La Guaira")</f>
        <v>Seguro Social La Guaira</v>
      </c>
    </row>
    <row r="3400">
      <c r="A3400" s="44">
        <v>3399.0</v>
      </c>
      <c r="B3400" s="44" t="str">
        <f>IFERROR(__xludf.DUMMYFUNCTION("""COMPUTED_VALUE"""),"Hospital Domingo Luciani")</f>
        <v>Hospital Domingo Luciani</v>
      </c>
      <c r="C3400" s="45" t="str">
        <f>IFERROR(__xludf.DUMMYFUNCTION("""COMPUTED_VALUE"""),"Sebastian Lander")</f>
        <v>Sebastian Lander</v>
      </c>
      <c r="D3400" s="44">
        <f>IFERROR(__xludf.DUMMYFUNCTION("""COMPUTED_VALUE"""),21.0)</f>
        <v>21</v>
      </c>
      <c r="E3400" s="44" t="str">
        <f>IFERROR(__xludf.DUMMYFUNCTION("""COMPUTED_VALUE"""),"")</f>
        <v/>
      </c>
      <c r="F3400" s="44" t="str">
        <f>IFERROR(__xludf.DUMMYFUNCTION("""COMPUTED_VALUE"""),"")</f>
        <v/>
      </c>
      <c r="G3400" s="44"/>
      <c r="H3400" s="44"/>
      <c r="I3400" s="44"/>
      <c r="J3400" s="44" t="str">
        <f>IFERROR(__xludf.DUMMYFUNCTION("""COMPUTED_VALUE"""),"")</f>
        <v/>
      </c>
      <c r="K3400" s="42" t="str">
        <f>IFERROR(__xludf.DUMMYFUNCTION("""COMPUTED_VALUE"""),"Hospital Domingo Luciani")</f>
        <v>Hospital Domingo Luciani</v>
      </c>
    </row>
    <row r="3401">
      <c r="A3401" s="44">
        <v>3400.0</v>
      </c>
      <c r="B3401" s="44" t="str">
        <f>IFERROR(__xludf.DUMMYFUNCTION("""COMPUTED_VALUE"""),"Periférico de Catia")</f>
        <v>Periférico de Catia</v>
      </c>
      <c r="C3401" s="45" t="str">
        <f>IFERROR(__xludf.DUMMYFUNCTION("""COMPUTED_VALUE"""),"Sebastian Landi")</f>
        <v>Sebastian Landi</v>
      </c>
      <c r="D3401" s="44">
        <f>IFERROR(__xludf.DUMMYFUNCTION("""COMPUTED_VALUE"""),7.0)</f>
        <v>7</v>
      </c>
      <c r="E3401" s="44" t="str">
        <f>IFERROR(__xludf.DUMMYFUNCTION("""COMPUTED_VALUE"""),"")</f>
        <v/>
      </c>
      <c r="F3401" s="44" t="str">
        <f>IFERROR(__xludf.DUMMYFUNCTION("""COMPUTED_VALUE"""),"")</f>
        <v/>
      </c>
      <c r="G3401" s="44"/>
      <c r="H3401" s="44" t="str">
        <f>IFERROR(__xludf.DUMMYFUNCTION("""COMPUTED_VALUE"""),"La Guaira")</f>
        <v>La Guaira</v>
      </c>
      <c r="I3401" s="44" t="str">
        <f>IFERROR(__xludf.DUMMYFUNCTION("""COMPUTED_VALUE"""),"Pediatria. Todos procedentes de La Guaira segun nota del 26/06 7:00am — en quirofano segun nota anterior")</f>
        <v>Pediatria. Todos procedentes de La Guaira segun nota del 26/06 7:00am — en quirofano segun nota anterior</v>
      </c>
      <c r="J3401" s="44" t="str">
        <f>IFERROR(__xludf.DUMMYFUNCTION("""COMPUTED_VALUE"""),"")</f>
        <v/>
      </c>
      <c r="K3401" s="42" t="str">
        <f>IFERROR(__xludf.DUMMYFUNCTION("""COMPUTED_VALUE"""),"Periférico de Catia")</f>
        <v>Periférico de Catia</v>
      </c>
    </row>
    <row r="3402">
      <c r="A3402" s="44">
        <v>3401.0</v>
      </c>
      <c r="B3402" s="44" t="str">
        <f>IFERROR(__xludf.DUMMYFUNCTION("""COMPUTED_VALUE"""),"Hospital Domingo Luciani")</f>
        <v>Hospital Domingo Luciani</v>
      </c>
      <c r="C3402" s="45" t="str">
        <f>IFERROR(__xludf.DUMMYFUNCTION("""COMPUTED_VALUE"""),"Sebastian Omamento")</f>
        <v>Sebastian Omamento</v>
      </c>
      <c r="D3402" s="44">
        <f>IFERROR(__xludf.DUMMYFUNCTION("""COMPUTED_VALUE"""),16.0)</f>
        <v>16</v>
      </c>
      <c r="E3402" s="44" t="str">
        <f>IFERROR(__xludf.DUMMYFUNCTION("""COMPUTED_VALUE"""),"")</f>
        <v/>
      </c>
      <c r="F3402" s="44" t="str">
        <f>IFERROR(__xludf.DUMMYFUNCTION("""COMPUTED_VALUE"""),"")</f>
        <v/>
      </c>
      <c r="G3402" s="44"/>
      <c r="H3402" s="44"/>
      <c r="I3402" s="44"/>
      <c r="J3402" s="44" t="str">
        <f>IFERROR(__xludf.DUMMYFUNCTION("""COMPUTED_VALUE"""),"")</f>
        <v/>
      </c>
      <c r="K3402" s="42" t="str">
        <f>IFERROR(__xludf.DUMMYFUNCTION("""COMPUTED_VALUE"""),"Hospital Domingo Luciani")</f>
        <v>Hospital Domingo Luciani</v>
      </c>
    </row>
    <row r="3403">
      <c r="A3403" s="44">
        <v>3402.0</v>
      </c>
      <c r="B3403" s="44" t="str">
        <f>IFERROR(__xludf.DUMMYFUNCTION("""COMPUTED_VALUE"""),"Hospital Domingo Luciani")</f>
        <v>Hospital Domingo Luciani</v>
      </c>
      <c r="C3403" s="45" t="str">
        <f>IFERROR(__xludf.DUMMYFUNCTION("""COMPUTED_VALUE"""),"SEBASTIAN PIÑERO")</f>
        <v>SEBASTIAN PIÑERO</v>
      </c>
      <c r="D3403" s="44" t="str">
        <f>IFERROR(__xludf.DUMMYFUNCTION("""COMPUTED_VALUE""")," ")</f>
        <v> </v>
      </c>
      <c r="E3403" s="44" t="str">
        <f>IFERROR(__xludf.DUMMYFUNCTION("""COMPUTED_VALUE"""),"")</f>
        <v/>
      </c>
      <c r="F3403" s="44" t="str">
        <f>IFERROR(__xludf.DUMMYFUNCTION("""COMPUTED_VALUE"""),"")</f>
        <v/>
      </c>
      <c r="G3403" s="44" t="str">
        <f>IFERROR(__xludf.DUMMYFUNCTION("""COMPUTED_VALUE""")," ")</f>
        <v> </v>
      </c>
      <c r="H3403" s="44" t="str">
        <f>IFERROR(__xludf.DUMMYFUNCTION("""COMPUTED_VALUE""")," ")</f>
        <v> </v>
      </c>
      <c r="I3403" s="44" t="str">
        <f>IFERROR(__xludf.DUMMYFUNCTION("""COMPUTED_VALUE"""),"Posible misma persona que 'Omacuento Sebastian'")</f>
        <v>Posible misma persona que 'Omacuento Sebastian'</v>
      </c>
      <c r="J3403" s="44" t="str">
        <f>IFERROR(__xludf.DUMMYFUNCTION("""COMPUTED_VALUE"""),"")</f>
        <v/>
      </c>
      <c r="K3403" s="42" t="str">
        <f>IFERROR(__xludf.DUMMYFUNCTION("""COMPUTED_VALUE"""),"🔍 BUSCAR PACIENTES")</f>
        <v>🔍 BUSCAR PACIENTES</v>
      </c>
    </row>
    <row r="3404">
      <c r="A3404" s="44">
        <v>3403.0</v>
      </c>
      <c r="B3404" s="44" t="str">
        <f>IFERROR(__xludf.DUMMYFUNCTION("""COMPUTED_VALUE"""),"Hospital Pérez Carreño")</f>
        <v>Hospital Pérez Carreño</v>
      </c>
      <c r="C3404" s="45" t="str">
        <f>IFERROR(__xludf.DUMMYFUNCTION("""COMPUTED_VALUE"""),"Sebastian Salcedo")</f>
        <v>Sebastian Salcedo</v>
      </c>
      <c r="D3404" s="44" t="str">
        <f>IFERROR(__xludf.DUMMYFUNCTION("""COMPUTED_VALUE"""),"La Guaira")</f>
        <v>La Guaira</v>
      </c>
      <c r="E3404" s="44" t="str">
        <f>IFERROR(__xludf.DUMMYFUNCTION("""COMPUTED_VALUE"""),"")</f>
        <v/>
      </c>
      <c r="F3404" s="44" t="str">
        <f>IFERROR(__xludf.DUMMYFUNCTION("""COMPUTED_VALUE"""),"")</f>
        <v/>
      </c>
      <c r="G3404" s="44"/>
      <c r="H3404" s="44"/>
      <c r="I3404" s="44"/>
      <c r="J3404" s="44"/>
      <c r="K3404" s="42" t="str">
        <f>IFERROR(__xludf.DUMMYFUNCTION("""COMPUTED_VALUE"""),"Hospital Pérez Carreño")</f>
        <v>Hospital Pérez Carreño</v>
      </c>
    </row>
    <row r="3405">
      <c r="A3405" s="44">
        <v>3404.0</v>
      </c>
      <c r="B3405" s="44" t="str">
        <f>IFERROR(__xludf.DUMMYFUNCTION("""COMPUTED_VALUE"""),"Hospital Domingo Luciani")</f>
        <v>Hospital Domingo Luciani</v>
      </c>
      <c r="C3405" s="45" t="str">
        <f>IFERROR(__xludf.DUMMYFUNCTION("""COMPUTED_VALUE"""),"Sebastien Enci")</f>
        <v>Sebastien Enci</v>
      </c>
      <c r="D3405" s="44">
        <f>IFERROR(__xludf.DUMMYFUNCTION("""COMPUTED_VALUE"""),2.0)</f>
        <v>2</v>
      </c>
      <c r="E3405" s="44" t="str">
        <f>IFERROR(__xludf.DUMMYFUNCTION("""COMPUTED_VALUE"""),"")</f>
        <v/>
      </c>
      <c r="F3405" s="44" t="str">
        <f>IFERROR(__xludf.DUMMYFUNCTION("""COMPUTED_VALUE"""),"")</f>
        <v/>
      </c>
      <c r="G3405" s="44"/>
      <c r="H3405" s="44"/>
      <c r="I3405" s="44"/>
      <c r="J3405" s="44" t="str">
        <f>IFERROR(__xludf.DUMMYFUNCTION("""COMPUTED_VALUE"""),"")</f>
        <v/>
      </c>
      <c r="K3405" s="42" t="str">
        <f>IFERROR(__xludf.DUMMYFUNCTION("""COMPUTED_VALUE"""),"Hospital Domingo Luciani")</f>
        <v>Hospital Domingo Luciani</v>
      </c>
    </row>
    <row r="3406">
      <c r="A3406" s="44">
        <v>3405.0</v>
      </c>
      <c r="B3406" s="44" t="str">
        <f>IFERROR(__xludf.DUMMYFUNCTION("""COMPUTED_VALUE"""),"Periférico de Catia")</f>
        <v>Periférico de Catia</v>
      </c>
      <c r="C3406" s="45" t="str">
        <f>IFERROR(__xludf.DUMMYFUNCTION("""COMPUTED_VALUE"""),"SEEISANGELY ZAPATA")</f>
        <v>SEEISANGELY ZAPATA</v>
      </c>
      <c r="D3406" s="44">
        <f>IFERROR(__xludf.DUMMYFUNCTION("""COMPUTED_VALUE"""),20.0)</f>
        <v>20</v>
      </c>
      <c r="E3406" s="44" t="str">
        <f>IFERROR(__xludf.DUMMYFUNCTION("""COMPUTED_VALUE"""),"")</f>
        <v/>
      </c>
      <c r="F3406" s="44" t="str">
        <f>IFERROR(__xludf.DUMMYFUNCTION("""COMPUTED_VALUE"""),"")</f>
        <v/>
      </c>
      <c r="G3406" s="44" t="str">
        <f>IFERROR(__xludf.DUMMYFUNCTION("""COMPUTED_VALUE""")," ")</f>
        <v> </v>
      </c>
      <c r="H3406" s="44" t="str">
        <f>IFERROR(__xludf.DUMMYFUNCTION("""COMPUTED_VALUE"""),"La Guaira, Maiquetia")</f>
        <v>La Guaira, Maiquetia</v>
      </c>
      <c r="I3406" s="44" t="str">
        <f>IFERROR(__xludf.DUMMYFUNCTION("""COMPUTED_VALUE"""),"TRM")</f>
        <v>TRM</v>
      </c>
      <c r="J3406" s="44" t="str">
        <f>IFERROR(__xludf.DUMMYFUNCTION("""COMPUTED_VALUE"""),"")</f>
        <v/>
      </c>
      <c r="K3406" s="42" t="str">
        <f>IFERROR(__xludf.DUMMYFUNCTION("""COMPUTED_VALUE"""),"Periférico de Catia")</f>
        <v>Periférico de Catia</v>
      </c>
    </row>
    <row r="3407">
      <c r="A3407" s="44">
        <v>3406.0</v>
      </c>
      <c r="B3407" s="44" t="str">
        <f>IFERROR(__xludf.DUMMYFUNCTION("""COMPUTED_VALUE"""),"Periférico de Catia")</f>
        <v>Periférico de Catia</v>
      </c>
      <c r="C3407" s="45" t="str">
        <f>IFERROR(__xludf.DUMMYFUNCTION("""COMPUTED_VALUE"""),"Segura Blanco Sofia")</f>
        <v>Segura Blanco Sofia</v>
      </c>
      <c r="D3407" s="44"/>
      <c r="E3407" s="44" t="str">
        <f>IFERROR(__xludf.DUMMYFUNCTION("""COMPUTED_VALUE"""),"")</f>
        <v/>
      </c>
      <c r="F3407" s="44" t="str">
        <f>IFERROR(__xludf.DUMMYFUNCTION("""COMPUTED_VALUE"""),"")</f>
        <v/>
      </c>
      <c r="G3407" s="44"/>
      <c r="H3407" s="44"/>
      <c r="I3407" s="44" t="str">
        <f>IFERROR(__xludf.DUMMYFUNCTION("""COMPUTED_VALUE"""),"Politrauma (continuacion, hoja sin edades)")</f>
        <v>Politrauma (continuacion, hoja sin edades)</v>
      </c>
      <c r="J3407" s="44" t="str">
        <f>IFERROR(__xludf.DUMMYFUNCTION("""COMPUTED_VALUE"""),"")</f>
        <v/>
      </c>
      <c r="K3407" s="42" t="str">
        <f>IFERROR(__xludf.DUMMYFUNCTION("""COMPUTED_VALUE"""),"Periférico de Catia")</f>
        <v>Periférico de Catia</v>
      </c>
    </row>
    <row r="3408">
      <c r="A3408" s="44">
        <v>3407.0</v>
      </c>
      <c r="B3408" s="44" t="str">
        <f>IFERROR(__xludf.DUMMYFUNCTION("""COMPUTED_VALUE"""),"Periférico de Catia")</f>
        <v>Periférico de Catia</v>
      </c>
      <c r="C3408" s="45" t="str">
        <f>IFERROR(__xludf.DUMMYFUNCTION("""COMPUTED_VALUE"""),"Segura Sofia")</f>
        <v>Segura Sofia</v>
      </c>
      <c r="D3408" s="44">
        <f>IFERROR(__xludf.DUMMYFUNCTION("""COMPUTED_VALUE"""),15.0)</f>
        <v>15</v>
      </c>
      <c r="E3408" s="44" t="str">
        <f>IFERROR(__xludf.DUMMYFUNCTION("""COMPUTED_VALUE"""),"")</f>
        <v/>
      </c>
      <c r="F3408" s="44" t="str">
        <f>IFERROR(__xludf.DUMMYFUNCTION("""COMPUTED_VALUE"""),"")</f>
        <v/>
      </c>
      <c r="G3408" s="44"/>
      <c r="H3408" s="44"/>
      <c r="I3408" s="44" t="str">
        <f>IFERROR(__xludf.DUMMYFUNCTION("""COMPUTED_VALUE"""),"Lista adicional (pizarra extensa sin titulo de sala especifico)")</f>
        <v>Lista adicional (pizarra extensa sin titulo de sala especifico)</v>
      </c>
      <c r="J3408" s="44" t="str">
        <f>IFERROR(__xludf.DUMMYFUNCTION("""COMPUTED_VALUE"""),"")</f>
        <v/>
      </c>
      <c r="K3408" s="42" t="str">
        <f>IFERROR(__xludf.DUMMYFUNCTION("""COMPUTED_VALUE"""),"Periférico de Catia")</f>
        <v>Periférico de Catia</v>
      </c>
    </row>
    <row r="3409">
      <c r="A3409" s="44">
        <v>3408.0</v>
      </c>
      <c r="B3409" s="44" t="str">
        <f>IFERROR(__xludf.DUMMYFUNCTION("""COMPUTED_VALUE"""),"Hospital Pérez Carreño")</f>
        <v>Hospital Pérez Carreño</v>
      </c>
      <c r="C3409" s="45" t="str">
        <f>IFERROR(__xludf.DUMMYFUNCTION("""COMPUTED_VALUE"""),"SEIGAN YACHELYS")</f>
        <v>SEIGAN YACHELYS</v>
      </c>
      <c r="D3409" s="44" t="str">
        <f>IFERROR(__xludf.DUMMYFUNCTION("""COMPUTED_VALUE""")," ")</f>
        <v> </v>
      </c>
      <c r="E3409" s="44" t="str">
        <f>IFERROR(__xludf.DUMMYFUNCTION("""COMPUTED_VALUE"""),"")</f>
        <v/>
      </c>
      <c r="F3409" s="44" t="str">
        <f>IFERROR(__xludf.DUMMYFUNCTION("""COMPUTED_VALUE"""),"")</f>
        <v/>
      </c>
      <c r="G3409" s="44" t="str">
        <f>IFERROR(__xludf.DUMMYFUNCTION("""COMPUTED_VALUE""")," ")</f>
        <v> </v>
      </c>
      <c r="H3409" s="44" t="str">
        <f>IFERROR(__xludf.DUMMYFUNCTION("""COMPUTED_VALUE""")," ")</f>
        <v> </v>
      </c>
      <c r="I3409" s="44" t="str">
        <f>IFERROR(__xludf.DUMMYFUNCTION("""COMPUTED_VALUE"""),"Traumashock")</f>
        <v>Traumashock</v>
      </c>
      <c r="J3409" s="44" t="str">
        <f>IFERROR(__xludf.DUMMYFUNCTION("""COMPUTED_VALUE"""),"25/06/2026")</f>
        <v>25/06/2026</v>
      </c>
      <c r="K3409" s="42" t="str">
        <f>IFERROR(__xludf.DUMMYFUNCTION("""COMPUTED_VALUE"""),"Hospital Pérez Carreño")</f>
        <v>Hospital Pérez Carreño</v>
      </c>
    </row>
    <row r="3410">
      <c r="A3410" s="44">
        <v>3409.0</v>
      </c>
      <c r="B3410" s="44" t="str">
        <f>IFERROR(__xludf.DUMMYFUNCTION("""COMPUTED_VALUE"""),"Hospital Pérez Carreño")</f>
        <v>Hospital Pérez Carreño</v>
      </c>
      <c r="C3410" s="45" t="str">
        <f>IFERROR(__xludf.DUMMYFUNCTION("""COMPUTED_VALUE"""),"SEIGAN YADEHIS")</f>
        <v>SEIGAN YADEHIS</v>
      </c>
      <c r="D3410" s="44" t="str">
        <f>IFERROR(__xludf.DUMMYFUNCTION("""COMPUTED_VALUE""")," ")</f>
        <v> </v>
      </c>
      <c r="E3410" s="44" t="str">
        <f>IFERROR(__xludf.DUMMYFUNCTION("""COMPUTED_VALUE"""),"")</f>
        <v/>
      </c>
      <c r="F3410" s="44" t="str">
        <f>IFERROR(__xludf.DUMMYFUNCTION("""COMPUTED_VALUE"""),"")</f>
        <v/>
      </c>
      <c r="G3410" s="44" t="str">
        <f>IFERROR(__xludf.DUMMYFUNCTION("""COMPUTED_VALUE""")," ")</f>
        <v> </v>
      </c>
      <c r="H3410" s="44" t="str">
        <f>IFERROR(__xludf.DUMMYFUNCTION("""COMPUTED_VALUE""")," ")</f>
        <v> </v>
      </c>
      <c r="I3410" s="44" t="str">
        <f>IFERROR(__xludf.DUMMYFUNCTION("""COMPUTED_VALUE"""),"Traumachok – Accidente moto; Rx; Triaje; La Guaira")</f>
        <v>Traumachok – Accidente moto; Rx; Triaje; La Guaira</v>
      </c>
      <c r="J3410" s="44" t="str">
        <f>IFERROR(__xludf.DUMMYFUNCTION("""COMPUTED_VALUE"""),"")</f>
        <v/>
      </c>
      <c r="K3410" s="42" t="str">
        <f>IFERROR(__xludf.DUMMYFUNCTION("""COMPUTED_VALUE"""),"🔍 BUSCAR PACIENTES")</f>
        <v>🔍 BUSCAR PACIENTES</v>
      </c>
    </row>
    <row r="3411">
      <c r="A3411" s="44">
        <v>3410.0</v>
      </c>
      <c r="B3411" s="44" t="str">
        <f>IFERROR(__xludf.DUMMYFUNCTION("""COMPUTED_VALUE"""),"Hospital Pérez Carreño")</f>
        <v>Hospital Pérez Carreño</v>
      </c>
      <c r="C3411" s="45" t="str">
        <f>IFERROR(__xludf.DUMMYFUNCTION("""COMPUTED_VALUE"""),"Sejja Peña Valenis")</f>
        <v>Sejja Peña Valenis</v>
      </c>
      <c r="D3411" s="44"/>
      <c r="E3411" s="44" t="str">
        <f>IFERROR(__xludf.DUMMYFUNCTION("""COMPUTED_VALUE"""),"")</f>
        <v/>
      </c>
      <c r="F3411" s="44" t="str">
        <f>IFERROR(__xludf.DUMMYFUNCTION("""COMPUTED_VALUE"""),"")</f>
        <v/>
      </c>
      <c r="G3411" s="44" t="str">
        <f>IFERROR(__xludf.DUMMYFUNCTION("""COMPUTED_VALUE"""),"Traslados con destino asignado")</f>
        <v>Traslados con destino asignado</v>
      </c>
      <c r="H3411" s="44" t="str">
        <f>IFERROR(__xludf.DUMMYFUNCTION("""COMPUTED_VALUE"""),"Hospital Miguel Perez Carreño")</f>
        <v>Hospital Miguel Perez Carreño</v>
      </c>
      <c r="I3411" s="44"/>
      <c r="J3411" s="44" t="str">
        <f>IFERROR(__xludf.DUMMYFUNCTION("""COMPUTED_VALUE"""),"26/6/26")</f>
        <v>26/6/26</v>
      </c>
      <c r="K3411" s="42" t="str">
        <f>IFERROR(__xludf.DUMMYFUNCTION("""COMPUTED_VALUE"""),"Hospital Pérez Carreño")</f>
        <v>Hospital Pérez Carreño</v>
      </c>
    </row>
    <row r="3412">
      <c r="A3412" s="44">
        <v>3411.0</v>
      </c>
      <c r="B3412" s="44" t="str">
        <f>IFERROR(__xludf.DUMMYFUNCTION("""COMPUTED_VALUE"""),"Hospital Ricardo Baquero González")</f>
        <v>Hospital Ricardo Baquero González</v>
      </c>
      <c r="C3412" s="45" t="str">
        <f>IFERROR(__xludf.DUMMYFUNCTION("""COMPUTED_VALUE"""),"SEMERIA IRLLIS")</f>
        <v>SEMERIA IRLLIS</v>
      </c>
      <c r="D3412" s="44">
        <f>IFERROR(__xludf.DUMMYFUNCTION("""COMPUTED_VALUE"""),49.0)</f>
        <v>49</v>
      </c>
      <c r="E3412" s="44" t="str">
        <f>IFERROR(__xludf.DUMMYFUNCTION("""COMPUTED_VALUE"""),"")</f>
        <v/>
      </c>
      <c r="F3412" s="44" t="str">
        <f>IFERROR(__xludf.DUMMYFUNCTION("""COMPUTED_VALUE"""),"")</f>
        <v/>
      </c>
      <c r="G3412" s="44" t="str">
        <f>IFERROR(__xludf.DUMMYFUNCTION("""COMPUTED_VALUE""")," ")</f>
        <v> </v>
      </c>
      <c r="H3412" s="44" t="str">
        <f>IFERROR(__xludf.DUMMYFUNCTION("""COMPUTED_VALUE""")," ")</f>
        <v> </v>
      </c>
      <c r="I3412" s="44" t="str">
        <f>IFERROR(__xludf.DUMMYFUNCTION("""COMPUTED_VALUE"""),"Internado; Cirugía General")</f>
        <v>Internado; Cirugía General</v>
      </c>
      <c r="J3412" s="44" t="str">
        <f>IFERROR(__xludf.DUMMYFUNCTION("""COMPUTED_VALUE"""),"")</f>
        <v/>
      </c>
      <c r="K3412" s="42" t="str">
        <f>IFERROR(__xludf.DUMMYFUNCTION("""COMPUTED_VALUE"""),"🔍 BUSCAR PACIENTES")</f>
        <v>🔍 BUSCAR PACIENTES</v>
      </c>
    </row>
    <row r="3413">
      <c r="A3413" s="44">
        <v>3412.0</v>
      </c>
      <c r="B3413" s="44" t="str">
        <f>IFERROR(__xludf.DUMMYFUNCTION("""COMPUTED_VALUE"""),"Periférico de Catia")</f>
        <v>Periférico de Catia</v>
      </c>
      <c r="C3413" s="45" t="str">
        <f>IFERROR(__xludf.DUMMYFUNCTION("""COMPUTED_VALUE"""),"Sencel Rey")</f>
        <v>Sencel Rey</v>
      </c>
      <c r="D3413" s="44">
        <f>IFERROR(__xludf.DUMMYFUNCTION("""COMPUTED_VALUE"""),29.0)</f>
        <v>29</v>
      </c>
      <c r="E3413" s="44" t="str">
        <f>IFERROR(__xludf.DUMMYFUNCTION("""COMPUTED_VALUE"""),"")</f>
        <v/>
      </c>
      <c r="F3413" s="44" t="str">
        <f>IFERROR(__xludf.DUMMYFUNCTION("""COMPUTED_VALUE"""),"")</f>
        <v/>
      </c>
      <c r="G3413" s="44"/>
      <c r="H3413" s="44"/>
      <c r="I3413" s="44" t="str">
        <f>IFERROR(__xludf.DUMMYFUNCTION("""COMPUTED_VALUE"""),"Quirofano")</f>
        <v>Quirofano</v>
      </c>
      <c r="J3413" s="44" t="str">
        <f>IFERROR(__xludf.DUMMYFUNCTION("""COMPUTED_VALUE"""),"")</f>
        <v/>
      </c>
      <c r="K3413" s="42" t="str">
        <f>IFERROR(__xludf.DUMMYFUNCTION("""COMPUTED_VALUE"""),"Periférico de Catia")</f>
        <v>Periférico de Catia</v>
      </c>
    </row>
    <row r="3414">
      <c r="A3414" s="44">
        <v>3413.0</v>
      </c>
      <c r="B3414" s="44" t="str">
        <f>IFERROR(__xludf.DUMMYFUNCTION("""COMPUTED_VALUE"""),"Hospital Universitario de Carac")</f>
        <v>Hospital Universitario de Carac</v>
      </c>
      <c r="C3414" s="45" t="str">
        <f>IFERROR(__xludf.DUMMYFUNCTION("""COMPUTED_VALUE"""),"SENDIN PABLO")</f>
        <v>SENDIN PABLO</v>
      </c>
      <c r="D3414" s="44" t="str">
        <f>IFERROR(__xludf.DUMMYFUNCTION("""COMPUTED_VALUE""")," ")</f>
        <v> </v>
      </c>
      <c r="E3414" s="44" t="str">
        <f>IFERROR(__xludf.DUMMYFUNCTION("""COMPUTED_VALUE"""),"")</f>
        <v/>
      </c>
      <c r="F3414" s="44" t="str">
        <f>IFERROR(__xludf.DUMMYFUNCTION("""COMPUTED_VALUE"""),"")</f>
        <v/>
      </c>
      <c r="G3414" s="44" t="str">
        <f>IFERROR(__xludf.DUMMYFUNCTION("""COMPUTED_VALUE""")," ")</f>
        <v> </v>
      </c>
      <c r="H3414" s="44" t="str">
        <f>IFERROR(__xludf.DUMMYFUNCTION("""COMPUTED_VALUE""")," ")</f>
        <v> </v>
      </c>
      <c r="I3414" s="44" t="str">
        <f>IFERROR(__xludf.DUMMYFUNCTION("""COMPUTED_VALUE"""),"Emergencia Tx Shock 2; Internado")</f>
        <v>Emergencia Tx Shock 2; Internado</v>
      </c>
      <c r="J3414" s="44" t="str">
        <f>IFERROR(__xludf.DUMMYFUNCTION("""COMPUTED_VALUE"""),"")</f>
        <v/>
      </c>
      <c r="K3414" s="42" t="str">
        <f>IFERROR(__xludf.DUMMYFUNCTION("""COMPUTED_VALUE"""),"Hospital Universitario de Carac")</f>
        <v>Hospital Universitario de Carac</v>
      </c>
    </row>
    <row r="3415">
      <c r="A3415" s="44">
        <v>3414.0</v>
      </c>
      <c r="B3415" s="44" t="str">
        <f>IFERROR(__xludf.DUMMYFUNCTION("""COMPUTED_VALUE"""),"Centro de Acopio Caraballeda")</f>
        <v>Centro de Acopio Caraballeda</v>
      </c>
      <c r="C3415" s="45" t="str">
        <f>IFERROR(__xludf.DUMMYFUNCTION("""COMPUTED_VALUE"""),"SEPULVEDA SARAY")</f>
        <v>SEPULVEDA SARAY</v>
      </c>
      <c r="D3415" s="44" t="str">
        <f>IFERROR(__xludf.DUMMYFUNCTION("""COMPUTED_VALUE""")," ")</f>
        <v> </v>
      </c>
      <c r="E3415" s="44" t="str">
        <f>IFERROR(__xludf.DUMMYFUNCTION("""COMPUTED_VALUE"""),"")</f>
        <v/>
      </c>
      <c r="F3415" s="44" t="str">
        <f>IFERROR(__xludf.DUMMYFUNCTION("""COMPUTED_VALUE"""),"")</f>
        <v/>
      </c>
      <c r="G3415" s="44" t="str">
        <f>IFERROR(__xludf.DUMMYFUNCTION("""COMPUTED_VALUE""")," ")</f>
        <v> </v>
      </c>
      <c r="H3415" s="44" t="str">
        <f>IFERROR(__xludf.DUMMYFUNCTION("""COMPUTED_VALUE""")," ")</f>
        <v> </v>
      </c>
      <c r="I3415" s="44" t="str">
        <f>IFERROR(__xludf.DUMMYFUNCTION("""COMPUTED_VALUE"""),"Internado")</f>
        <v>Internado</v>
      </c>
      <c r="J3415" s="44" t="str">
        <f>IFERROR(__xludf.DUMMYFUNCTION("""COMPUTED_VALUE"""),"")</f>
        <v/>
      </c>
      <c r="K3415" s="42" t="str">
        <f>IFERROR(__xludf.DUMMYFUNCTION("""COMPUTED_VALUE"""),"🔍 BUSCAR PACIENTES")</f>
        <v>🔍 BUSCAR PACIENTES</v>
      </c>
    </row>
    <row r="3416">
      <c r="A3416" s="44">
        <v>3415.0</v>
      </c>
      <c r="B3416" s="44" t="str">
        <f>IFERROR(__xludf.DUMMYFUNCTION("""COMPUTED_VALUE"""),"Hospital Domingo Luciani")</f>
        <v>Hospital Domingo Luciani</v>
      </c>
      <c r="C3416" s="45" t="str">
        <f>IFERROR(__xludf.DUMMYFUNCTION("""COMPUTED_VALUE"""),"SEQUERA BLANCO SOFIA")</f>
        <v>SEQUERA BLANCO SOFIA</v>
      </c>
      <c r="D3416" s="44">
        <f>IFERROR(__xludf.DUMMYFUNCTION("""COMPUTED_VALUE"""),15.0)</f>
        <v>15</v>
      </c>
      <c r="E3416" s="44" t="str">
        <f>IFERROR(__xludf.DUMMYFUNCTION("""COMPUTED_VALUE"""),"")</f>
        <v/>
      </c>
      <c r="F3416" s="44" t="str">
        <f>IFERROR(__xludf.DUMMYFUNCTION("""COMPUTED_VALUE"""),"")</f>
        <v/>
      </c>
      <c r="G3416" s="44" t="str">
        <f>IFERROR(__xludf.DUMMYFUNCTION("""COMPUTED_VALUE""")," ")</f>
        <v> </v>
      </c>
      <c r="H3416" s="44" t="str">
        <f>IFERROR(__xludf.DUMMYFUNCTION("""COMPUTED_VALUE""")," ")</f>
        <v> </v>
      </c>
      <c r="I3416" s="44" t="str">
        <f>IFERROR(__xludf.DUMMYFUNCTION("""COMPUTED_VALUE""")," ")</f>
        <v> </v>
      </c>
      <c r="J3416" s="44" t="str">
        <f>IFERROR(__xludf.DUMMYFUNCTION("""COMPUTED_VALUE"""),"")</f>
        <v/>
      </c>
      <c r="K3416" s="42" t="str">
        <f>IFERROR(__xludf.DUMMYFUNCTION("""COMPUTED_VALUE"""),"🔍 BUSCAR PACIENTES")</f>
        <v>🔍 BUSCAR PACIENTES</v>
      </c>
    </row>
    <row r="3417">
      <c r="A3417" s="44">
        <v>3416.0</v>
      </c>
      <c r="B3417" s="44" t="str">
        <f>IFERROR(__xludf.DUMMYFUNCTION("""COMPUTED_VALUE"""),"Hospital Domingo Luciani")</f>
        <v>Hospital Domingo Luciani</v>
      </c>
      <c r="C3417" s="45" t="str">
        <f>IFERROR(__xludf.DUMMYFUNCTION("""COMPUTED_VALUE"""),"SEQUERA SOFIA")</f>
        <v>SEQUERA SOFIA</v>
      </c>
      <c r="D3417" s="44">
        <f>IFERROR(__xludf.DUMMYFUNCTION("""COMPUTED_VALUE"""),19.0)</f>
        <v>19</v>
      </c>
      <c r="E3417" s="44" t="str">
        <f>IFERROR(__xludf.DUMMYFUNCTION("""COMPUTED_VALUE"""),"")</f>
        <v/>
      </c>
      <c r="F3417" s="44" t="str">
        <f>IFERROR(__xludf.DUMMYFUNCTION("""COMPUTED_VALUE"""),"")</f>
        <v/>
      </c>
      <c r="G3417" s="44" t="str">
        <f>IFERROR(__xludf.DUMMYFUNCTION("""COMPUTED_VALUE""")," ")</f>
        <v> </v>
      </c>
      <c r="H3417" s="44" t="str">
        <f>IFERROR(__xludf.DUMMYFUNCTION("""COMPUTED_VALUE""")," ")</f>
        <v> </v>
      </c>
      <c r="I3417" s="44" t="str">
        <f>IFERROR(__xludf.DUMMYFUNCTION("""COMPUTED_VALUE""")," ")</f>
        <v> </v>
      </c>
      <c r="J3417" s="44" t="str">
        <f>IFERROR(__xludf.DUMMYFUNCTION("""COMPUTED_VALUE"""),"")</f>
        <v/>
      </c>
      <c r="K3417" s="42" t="str">
        <f>IFERROR(__xludf.DUMMYFUNCTION("""COMPUTED_VALUE"""),"🔍 BUSCAR PACIENTES")</f>
        <v>🔍 BUSCAR PACIENTES</v>
      </c>
    </row>
    <row r="3418">
      <c r="A3418" s="44">
        <v>3417.0</v>
      </c>
      <c r="B3418" s="44" t="str">
        <f>IFERROR(__xludf.DUMMYFUNCTION("""COMPUTED_VALUE"""),"Hospital Domingo Luciani")</f>
        <v>Hospital Domingo Luciani</v>
      </c>
      <c r="C3418" s="45" t="str">
        <f>IFERROR(__xludf.DUMMYFUNCTION("""COMPUTED_VALUE"""),"SEREZ FRANCISCA")</f>
        <v>SEREZ FRANCISCA</v>
      </c>
      <c r="D3418" s="44">
        <f>IFERROR(__xludf.DUMMYFUNCTION("""COMPUTED_VALUE"""),63.0)</f>
        <v>63</v>
      </c>
      <c r="E3418" s="44" t="str">
        <f>IFERROR(__xludf.DUMMYFUNCTION("""COMPUTED_VALUE"""),"")</f>
        <v/>
      </c>
      <c r="F3418" s="44" t="str">
        <f>IFERROR(__xludf.DUMMYFUNCTION("""COMPUTED_VALUE"""),"")</f>
        <v/>
      </c>
      <c r="G3418" s="44" t="str">
        <f>IFERROR(__xludf.DUMMYFUNCTION("""COMPUTED_VALUE""")," ")</f>
        <v> </v>
      </c>
      <c r="H3418" s="44" t="str">
        <f>IFERROR(__xludf.DUMMYFUNCTION("""COMPUTED_VALUE""")," ")</f>
        <v> </v>
      </c>
      <c r="I3418" s="44" t="str">
        <f>IFERROR(__xludf.DUMMYFUNCTION("""COMPUTED_VALUE""")," ")</f>
        <v> </v>
      </c>
      <c r="J3418" s="44" t="str">
        <f>IFERROR(__xludf.DUMMYFUNCTION("""COMPUTED_VALUE"""),"")</f>
        <v/>
      </c>
      <c r="K3418" s="42" t="str">
        <f>IFERROR(__xludf.DUMMYFUNCTION("""COMPUTED_VALUE"""),"🔍 BUSCAR PACIENTES")</f>
        <v>🔍 BUSCAR PACIENTES</v>
      </c>
    </row>
    <row r="3419">
      <c r="A3419" s="44">
        <v>3418.0</v>
      </c>
      <c r="B3419" s="44" t="str">
        <f>IFERROR(__xludf.DUMMYFUNCTION("""COMPUTED_VALUE"""),"Hospital Domingo Luciani")</f>
        <v>Hospital Domingo Luciani</v>
      </c>
      <c r="C3419" s="45" t="str">
        <f>IFERROR(__xludf.DUMMYFUNCTION("""COMPUTED_VALUE"""),"SERRA AMIRA")</f>
        <v>SERRA AMIRA</v>
      </c>
      <c r="D3419" s="44">
        <f>IFERROR(__xludf.DUMMYFUNCTION("""COMPUTED_VALUE"""),66.0)</f>
        <v>66</v>
      </c>
      <c r="E3419" s="44" t="str">
        <f>IFERROR(__xludf.DUMMYFUNCTION("""COMPUTED_VALUE"""),"")</f>
        <v/>
      </c>
      <c r="F3419" s="44" t="str">
        <f>IFERROR(__xludf.DUMMYFUNCTION("""COMPUTED_VALUE"""),"")</f>
        <v/>
      </c>
      <c r="G3419" s="44" t="str">
        <f>IFERROR(__xludf.DUMMYFUNCTION("""COMPUTED_VALUE""")," ")</f>
        <v> </v>
      </c>
      <c r="H3419" s="44" t="str">
        <f>IFERROR(__xludf.DUMMYFUNCTION("""COMPUTED_VALUE"""),"La Guaira")</f>
        <v>La Guaira</v>
      </c>
      <c r="I3419" s="44" t="str">
        <f>IFERROR(__xludf.DUMMYFUNCTION("""COMPUTED_VALUE"""),"Ingresos 6am-9:20pm")</f>
        <v>Ingresos 6am-9:20pm</v>
      </c>
      <c r="J3419" s="44" t="str">
        <f>IFERROR(__xludf.DUMMYFUNCTION("""COMPUTED_VALUE"""),"")</f>
        <v/>
      </c>
      <c r="K3419" s="42" t="str">
        <f>IFERROR(__xludf.DUMMYFUNCTION("""COMPUTED_VALUE"""),"🔍 BUSCAR PACIENTES")</f>
        <v>🔍 BUSCAR PACIENTES</v>
      </c>
    </row>
    <row r="3420">
      <c r="A3420" s="44">
        <v>3419.0</v>
      </c>
      <c r="B3420" s="44" t="str">
        <f>IFERROR(__xludf.DUMMYFUNCTION("""COMPUTED_VALUE"""),"Centro de Acopio Caraballeda")</f>
        <v>Centro de Acopio Caraballeda</v>
      </c>
      <c r="C3420" s="45" t="str">
        <f>IFERROR(__xludf.DUMMYFUNCTION("""COMPUTED_VALUE"""),"SERRANO ARELIS")</f>
        <v>SERRANO ARELIS</v>
      </c>
      <c r="D3420" s="44" t="str">
        <f>IFERROR(__xludf.DUMMYFUNCTION("""COMPUTED_VALUE""")," ")</f>
        <v> </v>
      </c>
      <c r="E3420" s="44" t="str">
        <f>IFERROR(__xludf.DUMMYFUNCTION("""COMPUTED_VALUE"""),"")</f>
        <v/>
      </c>
      <c r="F3420" s="44" t="str">
        <f>IFERROR(__xludf.DUMMYFUNCTION("""COMPUTED_VALUE"""),"")</f>
        <v/>
      </c>
      <c r="G3420" s="44" t="str">
        <f>IFERROR(__xludf.DUMMYFUNCTION("""COMPUTED_VALUE""")," ")</f>
        <v> </v>
      </c>
      <c r="H3420" s="44" t="str">
        <f>IFERROR(__xludf.DUMMYFUNCTION("""COMPUTED_VALUE""")," ")</f>
        <v> </v>
      </c>
      <c r="I3420" s="44" t="str">
        <f>IFERROR(__xludf.DUMMYFUNCTION("""COMPUTED_VALUE"""),"Internado")</f>
        <v>Internado</v>
      </c>
      <c r="J3420" s="44" t="str">
        <f>IFERROR(__xludf.DUMMYFUNCTION("""COMPUTED_VALUE"""),"")</f>
        <v/>
      </c>
      <c r="K3420" s="42" t="str">
        <f>IFERROR(__xludf.DUMMYFUNCTION("""COMPUTED_VALUE"""),"🔍 BUSCAR PACIENTES")</f>
        <v>🔍 BUSCAR PACIENTES</v>
      </c>
    </row>
    <row r="3421">
      <c r="A3421" s="44">
        <v>3420.0</v>
      </c>
      <c r="B3421" s="44" t="str">
        <f>IFERROR(__xludf.DUMMYFUNCTION("""COMPUTED_VALUE"""),"Hospital Domingo Luciani")</f>
        <v>Hospital Domingo Luciani</v>
      </c>
      <c r="C3421" s="45" t="str">
        <f>IFERROR(__xludf.DUMMYFUNCTION("""COMPUTED_VALUE"""),"SERRANO GONZALEZ NANCY")</f>
        <v>SERRANO GONZALEZ NANCY</v>
      </c>
      <c r="D3421" s="44" t="str">
        <f>IFERROR(__xludf.DUMMYFUNCTION("""COMPUTED_VALUE""")," ")</f>
        <v> </v>
      </c>
      <c r="E3421" s="44" t="str">
        <f>IFERROR(__xludf.DUMMYFUNCTION("""COMPUTED_VALUE"""),"")</f>
        <v/>
      </c>
      <c r="F3421" s="44" t="str">
        <f>IFERROR(__xludf.DUMMYFUNCTION("""COMPUTED_VALUE"""),"")</f>
        <v/>
      </c>
      <c r="G3421" s="44" t="str">
        <f>IFERROR(__xludf.DUMMYFUNCTION("""COMPUTED_VALUE""")," ")</f>
        <v> </v>
      </c>
      <c r="H3421" s="44" t="str">
        <f>IFERROR(__xludf.DUMMYFUNCTION("""COMPUTED_VALUE""")," ")</f>
        <v> </v>
      </c>
      <c r="I3421" s="44" t="str">
        <f>IFERROR(__xludf.DUMMYFUNCTION("""COMPUTED_VALUE"""),"Politrauma")</f>
        <v>Politrauma</v>
      </c>
      <c r="J3421" s="44" t="str">
        <f>IFERROR(__xludf.DUMMYFUNCTION("""COMPUTED_VALUE"""),"")</f>
        <v/>
      </c>
      <c r="K3421" s="42" t="str">
        <f>IFERROR(__xludf.DUMMYFUNCTION("""COMPUTED_VALUE"""),"🔍 BUSCAR PACIENTES")</f>
        <v>🔍 BUSCAR PACIENTES</v>
      </c>
    </row>
    <row r="3422">
      <c r="A3422" s="44">
        <v>3421.0</v>
      </c>
      <c r="B3422" s="44" t="str">
        <f>IFERROR(__xludf.DUMMYFUNCTION("""COMPUTED_VALUE"""),"Hospital Domingo Luciani")</f>
        <v>Hospital Domingo Luciani</v>
      </c>
      <c r="C3422" s="45" t="str">
        <f>IFERROR(__xludf.DUMMYFUNCTION("""COMPUTED_VALUE"""),"SERRANO NANCY")</f>
        <v>SERRANO NANCY</v>
      </c>
      <c r="D3422" s="44">
        <f>IFERROR(__xludf.DUMMYFUNCTION("""COMPUTED_VALUE"""),67.0)</f>
        <v>67</v>
      </c>
      <c r="E3422" s="44" t="str">
        <f>IFERROR(__xludf.DUMMYFUNCTION("""COMPUTED_VALUE"""),"")</f>
        <v/>
      </c>
      <c r="F3422" s="44" t="str">
        <f>IFERROR(__xludf.DUMMYFUNCTION("""COMPUTED_VALUE"""),"")</f>
        <v/>
      </c>
      <c r="G3422" s="44" t="str">
        <f>IFERROR(__xludf.DUMMYFUNCTION("""COMPUTED_VALUE""")," ")</f>
        <v> </v>
      </c>
      <c r="H3422" s="44" t="str">
        <f>IFERROR(__xludf.DUMMYFUNCTION("""COMPUTED_VALUE""")," ")</f>
        <v> </v>
      </c>
      <c r="I3422" s="44" t="str">
        <f>IFERROR(__xludf.DUMMYFUNCTION("""COMPUTED_VALUE""")," ")</f>
        <v> </v>
      </c>
      <c r="J3422" s="44" t="str">
        <f>IFERROR(__xludf.DUMMYFUNCTION("""COMPUTED_VALUE"""),"")</f>
        <v/>
      </c>
      <c r="K3422" s="42" t="str">
        <f>IFERROR(__xludf.DUMMYFUNCTION("""COMPUTED_VALUE"""),"🔍 BUSCAR PACIENTES")</f>
        <v>🔍 BUSCAR PACIENTES</v>
      </c>
    </row>
    <row r="3423">
      <c r="A3423" s="44">
        <v>3422.0</v>
      </c>
      <c r="B3423" s="44" t="str">
        <f>IFERROR(__xludf.DUMMYFUNCTION("""COMPUTED_VALUE"""),"Hospital Domingo Luciani")</f>
        <v>Hospital Domingo Luciani</v>
      </c>
      <c r="C3423" s="45" t="str">
        <f>IFERROR(__xludf.DUMMYFUNCTION("""COMPUTED_VALUE"""),"SERVIS CANINES")</f>
        <v>SERVIS CANINES</v>
      </c>
      <c r="D3423" s="44">
        <f>IFERROR(__xludf.DUMMYFUNCTION("""COMPUTED_VALUE"""),46.0)</f>
        <v>46</v>
      </c>
      <c r="E3423" s="44" t="str">
        <f>IFERROR(__xludf.DUMMYFUNCTION("""COMPUTED_VALUE"""),"")</f>
        <v/>
      </c>
      <c r="F3423" s="44" t="str">
        <f>IFERROR(__xludf.DUMMYFUNCTION("""COMPUTED_VALUE"""),"")</f>
        <v/>
      </c>
      <c r="G3423" s="44" t="str">
        <f>IFERROR(__xludf.DUMMYFUNCTION("""COMPUTED_VALUE""")," ")</f>
        <v> </v>
      </c>
      <c r="H3423" s="44" t="str">
        <f>IFERROR(__xludf.DUMMYFUNCTION("""COMPUTED_VALUE""")," ")</f>
        <v> </v>
      </c>
      <c r="I3423" s="44" t="str">
        <f>IFERROR(__xludf.DUMMYFUNCTION("""COMPUTED_VALUE"""),"La Guaira – Ingresos 9am")</f>
        <v>La Guaira – Ingresos 9am</v>
      </c>
      <c r="J3423" s="44" t="str">
        <f>IFERROR(__xludf.DUMMYFUNCTION("""COMPUTED_VALUE"""),"")</f>
        <v/>
      </c>
      <c r="K3423" s="42" t="str">
        <f>IFERROR(__xludf.DUMMYFUNCTION("""COMPUTED_VALUE"""),"🔍 BUSCAR PACIENTES")</f>
        <v>🔍 BUSCAR PACIENTES</v>
      </c>
    </row>
    <row r="3424">
      <c r="A3424" s="44">
        <v>3423.0</v>
      </c>
      <c r="B3424" s="44" t="str">
        <f>IFERROR(__xludf.DUMMYFUNCTION("""COMPUTED_VALUE"""),"Campo de Golf Playa los Cocos")</f>
        <v>Campo de Golf Playa los Cocos</v>
      </c>
      <c r="C3424" s="45" t="str">
        <f>IFERROR(__xludf.DUMMYFUNCTION("""COMPUTED_VALUE"""),"Sharon Yepez")</f>
        <v>Sharon Yepez</v>
      </c>
      <c r="D3424" s="44" t="str">
        <f>IFERROR(__xludf.DUMMYFUNCTION("""COMPUTED_VALUE"""),"")</f>
        <v/>
      </c>
      <c r="E3424" s="44" t="str">
        <f>IFERROR(__xludf.DUMMYFUNCTION("""COMPUTED_VALUE"""),"")</f>
        <v/>
      </c>
      <c r="F3424" s="44" t="str">
        <f>IFERROR(__xludf.DUMMYFUNCTION("""COMPUTED_VALUE"""),"")</f>
        <v/>
      </c>
      <c r="G3424" s="44" t="str">
        <f>IFERROR(__xludf.DUMMYFUNCTION("""COMPUTED_VALUE"""),"")</f>
        <v/>
      </c>
      <c r="H3424" s="44" t="str">
        <f>IFERROR(__xludf.DUMMYFUNCTION("""COMPUTED_VALUE"""),"")</f>
        <v/>
      </c>
      <c r="I3424" s="44" t="str">
        <f>IFERROR(__xludf.DUMMYFUNCTION("""COMPUTED_VALUE"""),"Inicio del nombre poco legible en el original")</f>
        <v>Inicio del nombre poco legible en el original</v>
      </c>
      <c r="J3424" s="44" t="str">
        <f>IFERROR(__xludf.DUMMYFUNCTION("""COMPUTED_VALUE"""),"")</f>
        <v/>
      </c>
      <c r="K3424" s="42" t="str">
        <f>IFERROR(__xludf.DUMMYFUNCTION("""COMPUTED_VALUE"""),"Campo de Golf Playa los Cocos")</f>
        <v>Campo de Golf Playa los Cocos</v>
      </c>
    </row>
    <row r="3425">
      <c r="A3425" s="44">
        <v>3424.0</v>
      </c>
      <c r="B3425" s="44" t="str">
        <f>IFERROR(__xludf.DUMMYFUNCTION("""COMPUTED_VALUE"""),"Hospital Pérez Carreño")</f>
        <v>Hospital Pérez Carreño</v>
      </c>
      <c r="C3425" s="45" t="str">
        <f>IFERROR(__xludf.DUMMYFUNCTION("""COMPUTED_VALUE"""),"Sier Lozo")</f>
        <v>Sier Lozo</v>
      </c>
      <c r="D3425" s="44" t="str">
        <f>IFERROR(__xludf.DUMMYFUNCTION("""COMPUTED_VALUE"""),"14 años")</f>
        <v>14 años</v>
      </c>
      <c r="E3425" s="44" t="str">
        <f>IFERROR(__xludf.DUMMYFUNCTION("""COMPUTED_VALUE"""),"")</f>
        <v/>
      </c>
      <c r="F3425" s="44" t="str">
        <f>IFERROR(__xludf.DUMMYFUNCTION("""COMPUTED_VALUE"""),"")</f>
        <v/>
      </c>
      <c r="G3425" s="44" t="str">
        <f>IFERROR(__xludf.DUMMYFUNCTION("""COMPUTED_VALUE"""),"Traumashock ")</f>
        <v>Traumashock </v>
      </c>
      <c r="H3425" s="44" t="str">
        <f>IFERROR(__xludf.DUMMYFUNCTION("""COMPUTED_VALUE"""),"Hospital Miguel Perez Carreño")</f>
        <v>Hospital Miguel Perez Carreño</v>
      </c>
      <c r="I3425" s="44"/>
      <c r="J3425" s="44" t="str">
        <f>IFERROR(__xludf.DUMMYFUNCTION("""COMPUTED_VALUE"""),"26/6/26")</f>
        <v>26/6/26</v>
      </c>
      <c r="K3425" s="42" t="str">
        <f>IFERROR(__xludf.DUMMYFUNCTION("""COMPUTED_VALUE"""),"Hospital Pérez Carreño")</f>
        <v>Hospital Pérez Carreño</v>
      </c>
    </row>
    <row r="3426">
      <c r="A3426" s="44">
        <v>3425.0</v>
      </c>
      <c r="B3426" s="44" t="str">
        <f>IFERROR(__xludf.DUMMYFUNCTION("""COMPUTED_VALUE"""),"Hospital Domingo Luciani")</f>
        <v>Hospital Domingo Luciani</v>
      </c>
      <c r="C3426" s="45" t="str">
        <f>IFERROR(__xludf.DUMMYFUNCTION("""COMPUTED_VALUE"""),"SILVA JHOALBERT")</f>
        <v>SILVA JHOALBERT</v>
      </c>
      <c r="D3426" s="44">
        <f>IFERROR(__xludf.DUMMYFUNCTION("""COMPUTED_VALUE"""),7.0)</f>
        <v>7</v>
      </c>
      <c r="E3426" s="44" t="str">
        <f>IFERROR(__xludf.DUMMYFUNCTION("""COMPUTED_VALUE"""),"")</f>
        <v/>
      </c>
      <c r="F3426" s="44" t="str">
        <f>IFERROR(__xludf.DUMMYFUNCTION("""COMPUTED_VALUE"""),"")</f>
        <v/>
      </c>
      <c r="G3426" s="44" t="str">
        <f>IFERROR(__xludf.DUMMYFUNCTION("""COMPUTED_VALUE""")," ")</f>
        <v> </v>
      </c>
      <c r="H3426" s="44" t="str">
        <f>IFERROR(__xludf.DUMMYFUNCTION("""COMPUTED_VALUE"""),"La Guaira")</f>
        <v>La Guaira</v>
      </c>
      <c r="I3426" s="44" t="str">
        <f>IFERROR(__xludf.DUMMYFUNCTION("""COMPUTED_VALUE"""),"Pediatría – Reanimación")</f>
        <v>Pediatría – Reanimación</v>
      </c>
      <c r="J3426" s="44" t="str">
        <f>IFERROR(__xludf.DUMMYFUNCTION("""COMPUTED_VALUE"""),"")</f>
        <v/>
      </c>
      <c r="K3426" s="42" t="str">
        <f>IFERROR(__xludf.DUMMYFUNCTION("""COMPUTED_VALUE"""),"🔍 BUSCAR PACIENTES")</f>
        <v>🔍 BUSCAR PACIENTES</v>
      </c>
    </row>
    <row r="3427">
      <c r="A3427" s="44">
        <v>3426.0</v>
      </c>
      <c r="B3427" s="44" t="str">
        <f>IFERROR(__xludf.DUMMYFUNCTION("""COMPUTED_VALUE"""),"Hospital Domingo Luciani")</f>
        <v>Hospital Domingo Luciani</v>
      </c>
      <c r="C3427" s="45" t="str">
        <f>IFERROR(__xludf.DUMMYFUNCTION("""COMPUTED_VALUE"""),"SILVA JOANDRI")</f>
        <v>SILVA JOANDRI</v>
      </c>
      <c r="D3427" s="44">
        <f>IFERROR(__xludf.DUMMYFUNCTION("""COMPUTED_VALUE"""),9.0)</f>
        <v>9</v>
      </c>
      <c r="E3427" s="44" t="str">
        <f>IFERROR(__xludf.DUMMYFUNCTION("""COMPUTED_VALUE"""),"")</f>
        <v/>
      </c>
      <c r="F3427" s="44" t="str">
        <f>IFERROR(__xludf.DUMMYFUNCTION("""COMPUTED_VALUE"""),"")</f>
        <v/>
      </c>
      <c r="G3427" s="44" t="str">
        <f>IFERROR(__xludf.DUMMYFUNCTION("""COMPUTED_VALUE""")," ")</f>
        <v> </v>
      </c>
      <c r="H3427" s="44" t="str">
        <f>IFERROR(__xludf.DUMMYFUNCTION("""COMPUTED_VALUE"""),"La Guaira")</f>
        <v>La Guaira</v>
      </c>
      <c r="I3427" s="44" t="str">
        <f>IFERROR(__xludf.DUMMYFUNCTION("""COMPUTED_VALUE"""),"Pediatría – Reanimación")</f>
        <v>Pediatría – Reanimación</v>
      </c>
      <c r="J3427" s="44" t="str">
        <f>IFERROR(__xludf.DUMMYFUNCTION("""COMPUTED_VALUE"""),"")</f>
        <v/>
      </c>
      <c r="K3427" s="42" t="str">
        <f>IFERROR(__xludf.DUMMYFUNCTION("""COMPUTED_VALUE"""),"🔍 BUSCAR PACIENTES")</f>
        <v>🔍 BUSCAR PACIENTES</v>
      </c>
    </row>
    <row r="3428">
      <c r="A3428" s="44">
        <v>3427.0</v>
      </c>
      <c r="B3428" s="44" t="str">
        <f>IFERROR(__xludf.DUMMYFUNCTION("""COMPUTED_VALUE"""),"Centro de Acopio Caraballeda")</f>
        <v>Centro de Acopio Caraballeda</v>
      </c>
      <c r="C3428" s="45" t="str">
        <f>IFERROR(__xludf.DUMMYFUNCTION("""COMPUTED_VALUE"""),"SILVA JOEL")</f>
        <v>SILVA JOEL</v>
      </c>
      <c r="D3428" s="44" t="str">
        <f>IFERROR(__xludf.DUMMYFUNCTION("""COMPUTED_VALUE""")," ")</f>
        <v> </v>
      </c>
      <c r="E3428" s="44" t="str">
        <f>IFERROR(__xludf.DUMMYFUNCTION("""COMPUTED_VALUE"""),"")</f>
        <v/>
      </c>
      <c r="F3428" s="44" t="str">
        <f>IFERROR(__xludf.DUMMYFUNCTION("""COMPUTED_VALUE"""),"")</f>
        <v/>
      </c>
      <c r="G3428" s="44" t="str">
        <f>IFERROR(__xludf.DUMMYFUNCTION("""COMPUTED_VALUE""")," ")</f>
        <v> </v>
      </c>
      <c r="H3428" s="44" t="str">
        <f>IFERROR(__xludf.DUMMYFUNCTION("""COMPUTED_VALUE""")," ")</f>
        <v> </v>
      </c>
      <c r="I3428" s="44" t="str">
        <f>IFERROR(__xludf.DUMMYFUNCTION("""COMPUTED_VALUE"""),"Internado")</f>
        <v>Internado</v>
      </c>
      <c r="J3428" s="44" t="str">
        <f>IFERROR(__xludf.DUMMYFUNCTION("""COMPUTED_VALUE"""),"")</f>
        <v/>
      </c>
      <c r="K3428" s="42" t="str">
        <f>IFERROR(__xludf.DUMMYFUNCTION("""COMPUTED_VALUE"""),"🔍 BUSCAR PACIENTES")</f>
        <v>🔍 BUSCAR PACIENTES</v>
      </c>
    </row>
    <row r="3429">
      <c r="A3429" s="44">
        <v>3428.0</v>
      </c>
      <c r="B3429" s="44" t="str">
        <f>IFERROR(__xludf.DUMMYFUNCTION("""COMPUTED_VALUE"""),"Hospital Universitario de Carac")</f>
        <v>Hospital Universitario de Carac</v>
      </c>
      <c r="C3429" s="45" t="str">
        <f>IFERROR(__xludf.DUMMYFUNCTION("""COMPUTED_VALUE"""),"SILVA LIA")</f>
        <v>SILVA LIA</v>
      </c>
      <c r="D3429" s="44">
        <f>IFERROR(__xludf.DUMMYFUNCTION("""COMPUTED_VALUE"""),4.0)</f>
        <v>4</v>
      </c>
      <c r="E3429" s="44" t="str">
        <f>IFERROR(__xludf.DUMMYFUNCTION("""COMPUTED_VALUE"""),"")</f>
        <v/>
      </c>
      <c r="F3429" s="44" t="str">
        <f>IFERROR(__xludf.DUMMYFUNCTION("""COMPUTED_VALUE"""),"")</f>
        <v/>
      </c>
      <c r="G3429" s="44" t="str">
        <f>IFERROR(__xludf.DUMMYFUNCTION("""COMPUTED_VALUE""")," ")</f>
        <v> </v>
      </c>
      <c r="H3429" s="44" t="str">
        <f>IFERROR(__xludf.DUMMYFUNCTION("""COMPUTED_VALUE""")," ")</f>
        <v> </v>
      </c>
      <c r="I3429" s="44" t="str">
        <f>IFERROR(__xludf.DUMMYFUNCTION("""COMPUTED_VALUE"""),"⚠ FALLECIDA")</f>
        <v>⚠ FALLECIDA</v>
      </c>
      <c r="J3429" s="44" t="str">
        <f>IFERROR(__xludf.DUMMYFUNCTION("""COMPUTED_VALUE"""),"")</f>
        <v/>
      </c>
      <c r="K3429" s="42" t="str">
        <f>IFERROR(__xludf.DUMMYFUNCTION("""COMPUTED_VALUE"""),"Hospital Universitario de Carac")</f>
        <v>Hospital Universitario de Carac</v>
      </c>
    </row>
    <row r="3430">
      <c r="A3430" s="44">
        <v>3429.0</v>
      </c>
      <c r="B3430" s="44" t="str">
        <f>IFERROR(__xludf.DUMMYFUNCTION("""COMPUTED_VALUE"""),"Centro de Acopio Caraballeda")</f>
        <v>Centro de Acopio Caraballeda</v>
      </c>
      <c r="C3430" s="45" t="str">
        <f>IFERROR(__xludf.DUMMYFUNCTION("""COMPUTED_VALUE"""),"SILVA NELSON")</f>
        <v>SILVA NELSON</v>
      </c>
      <c r="D3430" s="44" t="str">
        <f>IFERROR(__xludf.DUMMYFUNCTION("""COMPUTED_VALUE""")," ")</f>
        <v> </v>
      </c>
      <c r="E3430" s="44" t="str">
        <f>IFERROR(__xludf.DUMMYFUNCTION("""COMPUTED_VALUE"""),"")</f>
        <v/>
      </c>
      <c r="F3430" s="44" t="str">
        <f>IFERROR(__xludf.DUMMYFUNCTION("""COMPUTED_VALUE"""),"")</f>
        <v/>
      </c>
      <c r="G3430" s="44" t="str">
        <f>IFERROR(__xludf.DUMMYFUNCTION("""COMPUTED_VALUE""")," ")</f>
        <v> </v>
      </c>
      <c r="H3430" s="44" t="str">
        <f>IFERROR(__xludf.DUMMYFUNCTION("""COMPUTED_VALUE""")," ")</f>
        <v> </v>
      </c>
      <c r="I3430" s="44" t="str">
        <f>IFERROR(__xludf.DUMMYFUNCTION("""COMPUTED_VALUE"""),"Internado")</f>
        <v>Internado</v>
      </c>
      <c r="J3430" s="44" t="str">
        <f>IFERROR(__xludf.DUMMYFUNCTION("""COMPUTED_VALUE"""),"")</f>
        <v/>
      </c>
      <c r="K3430" s="42" t="str">
        <f>IFERROR(__xludf.DUMMYFUNCTION("""COMPUTED_VALUE"""),"🔍 BUSCAR PACIENTES")</f>
        <v>🔍 BUSCAR PACIENTES</v>
      </c>
    </row>
    <row r="3431">
      <c r="A3431" s="44">
        <v>3430.0</v>
      </c>
      <c r="B3431" s="44" t="str">
        <f>IFERROR(__xludf.DUMMYFUNCTION("""COMPUTED_VALUE"""),"Hospital Pérez Carreño")</f>
        <v>Hospital Pérez Carreño</v>
      </c>
      <c r="C3431" s="45" t="str">
        <f>IFERROR(__xludf.DUMMYFUNCTION("""COMPUTED_VALUE"""),"Silva Samara")</f>
        <v>Silva Samara</v>
      </c>
      <c r="D3431" s="44" t="str">
        <f>IFERROR(__xludf.DUMMYFUNCTION("""COMPUTED_VALUE"""),"9 años")</f>
        <v>9 años</v>
      </c>
      <c r="E3431" s="44" t="str">
        <f>IFERROR(__xludf.DUMMYFUNCTION("""COMPUTED_VALUE"""),"")</f>
        <v/>
      </c>
      <c r="F3431" s="44" t="str">
        <f>IFERROR(__xludf.DUMMYFUNCTION("""COMPUTED_VALUE"""),"")</f>
        <v/>
      </c>
      <c r="G3431" s="44" t="str">
        <f>IFERROR(__xludf.DUMMYFUNCTION("""COMPUTED_VALUE"""),"Pediatria")</f>
        <v>Pediatria</v>
      </c>
      <c r="H3431" s="44" t="str">
        <f>IFERROR(__xludf.DUMMYFUNCTION("""COMPUTED_VALUE"""),"Hospital Miguel Perez Carreño")</f>
        <v>Hospital Miguel Perez Carreño</v>
      </c>
      <c r="I3431" s="44"/>
      <c r="J3431" s="44" t="str">
        <f>IFERROR(__xludf.DUMMYFUNCTION("""COMPUTED_VALUE"""),"26/6/26")</f>
        <v>26/6/26</v>
      </c>
      <c r="K3431" s="42" t="str">
        <f>IFERROR(__xludf.DUMMYFUNCTION("""COMPUTED_VALUE"""),"Hospital Pérez Carreño")</f>
        <v>Hospital Pérez Carreño</v>
      </c>
    </row>
    <row r="3432">
      <c r="A3432" s="44">
        <v>3431.0</v>
      </c>
      <c r="B3432" s="44" t="str">
        <f>IFERROR(__xludf.DUMMYFUNCTION("""COMPUTED_VALUE"""),"Hospital Pérez Carreño")</f>
        <v>Hospital Pérez Carreño</v>
      </c>
      <c r="C3432" s="45" t="str">
        <f>IFERROR(__xludf.DUMMYFUNCTION("""COMPUTED_VALUE"""),"SILVA SOMARA")</f>
        <v>SILVA SOMARA</v>
      </c>
      <c r="D3432" s="44">
        <f>IFERROR(__xludf.DUMMYFUNCTION("""COMPUTED_VALUE"""),10.0)</f>
        <v>10</v>
      </c>
      <c r="E3432" s="44" t="str">
        <f>IFERROR(__xludf.DUMMYFUNCTION("""COMPUTED_VALUE"""),"")</f>
        <v/>
      </c>
      <c r="F3432" s="44" t="str">
        <f>IFERROR(__xludf.DUMMYFUNCTION("""COMPUTED_VALUE"""),"")</f>
        <v/>
      </c>
      <c r="G3432" s="44" t="str">
        <f>IFERROR(__xludf.DUMMYFUNCTION("""COMPUTED_VALUE""")," ")</f>
        <v> </v>
      </c>
      <c r="H3432" s="44" t="str">
        <f>IFERROR(__xludf.DUMMYFUNCTION("""COMPUTED_VALUE""")," ")</f>
        <v> </v>
      </c>
      <c r="I3432" s="44" t="str">
        <f>IFERROR(__xludf.DUMMYFUNCTION("""COMPUTED_VALUE"""),"Emerg. Pediátrica – Costabrava")</f>
        <v>Emerg. Pediátrica – Costabrava</v>
      </c>
      <c r="J3432" s="44" t="str">
        <f>IFERROR(__xludf.DUMMYFUNCTION("""COMPUTED_VALUE"""),"25/06/2026")</f>
        <v>25/06/2026</v>
      </c>
      <c r="K3432" s="42" t="str">
        <f>IFERROR(__xludf.DUMMYFUNCTION("""COMPUTED_VALUE"""),"Hospital Pérez Carreño")</f>
        <v>Hospital Pérez Carreño</v>
      </c>
    </row>
    <row r="3433">
      <c r="A3433" s="44">
        <v>3432.0</v>
      </c>
      <c r="B3433" s="44" t="str">
        <f>IFERROR(__xludf.DUMMYFUNCTION("""COMPUTED_VALUE"""),"Hospital Domingo Luciani")</f>
        <v>Hospital Domingo Luciani</v>
      </c>
      <c r="C3433" s="45" t="str">
        <f>IFERROR(__xludf.DUMMYFUNCTION("""COMPUTED_VALUE"""),"SILVA YOAIBER")</f>
        <v>SILVA YOAIBER</v>
      </c>
      <c r="D3433" s="44">
        <f>IFERROR(__xludf.DUMMYFUNCTION("""COMPUTED_VALUE"""),7.0)</f>
        <v>7</v>
      </c>
      <c r="E3433" s="44" t="str">
        <f>IFERROR(__xludf.DUMMYFUNCTION("""COMPUTED_VALUE"""),"")</f>
        <v/>
      </c>
      <c r="F3433" s="44" t="str">
        <f>IFERROR(__xludf.DUMMYFUNCTION("""COMPUTED_VALUE"""),"")</f>
        <v/>
      </c>
      <c r="G3433" s="44" t="str">
        <f>IFERROR(__xludf.DUMMYFUNCTION("""COMPUTED_VALUE""")," ")</f>
        <v> </v>
      </c>
      <c r="H3433" s="44" t="str">
        <f>IFERROR(__xludf.DUMMYFUNCTION("""COMPUTED_VALUE""")," ")</f>
        <v> </v>
      </c>
      <c r="I3433" s="44" t="str">
        <f>IFERROR(__xludf.DUMMYFUNCTION("""COMPUTED_VALUE"""),"Internado; PEDIATRIA
PISO 6")</f>
        <v>Internado; PEDIATRIA
PISO 6</v>
      </c>
      <c r="J3433" s="44" t="str">
        <f>IFERROR(__xludf.DUMMYFUNCTION("""COMPUTED_VALUE"""),"")</f>
        <v/>
      </c>
      <c r="K3433" s="42" t="str">
        <f>IFERROR(__xludf.DUMMYFUNCTION("""COMPUTED_VALUE"""),"🔍 BUSCAR PACIENTES")</f>
        <v>🔍 BUSCAR PACIENTES</v>
      </c>
    </row>
    <row r="3434">
      <c r="A3434" s="44">
        <v>3433.0</v>
      </c>
      <c r="B3434" s="44" t="str">
        <f>IFERROR(__xludf.DUMMYFUNCTION("""COMPUTED_VALUE"""),"Hospital Domingo Luciani")</f>
        <v>Hospital Domingo Luciani</v>
      </c>
      <c r="C3434" s="45" t="str">
        <f>IFERROR(__xludf.DUMMYFUNCTION("""COMPUTED_VALUE"""),"SILVA YOHAIVER / SILVA YOHAIBER")</f>
        <v>SILVA YOHAIVER / SILVA YOHAIBER</v>
      </c>
      <c r="D3434" s="44" t="str">
        <f>IFERROR(__xludf.DUMMYFUNCTION("""COMPUTED_VALUE""")," ")</f>
        <v> </v>
      </c>
      <c r="E3434" s="44" t="str">
        <f>IFERROR(__xludf.DUMMYFUNCTION("""COMPUTED_VALUE"""),"")</f>
        <v/>
      </c>
      <c r="F3434" s="44" t="str">
        <f>IFERROR(__xludf.DUMMYFUNCTION("""COMPUTED_VALUE"""),"")</f>
        <v/>
      </c>
      <c r="G3434" s="44" t="str">
        <f>IFERROR(__xludf.DUMMYFUNCTION("""COMPUTED_VALUE""")," ")</f>
        <v> </v>
      </c>
      <c r="H3434" s="44" t="str">
        <f>IFERROR(__xludf.DUMMYFUNCTION("""COMPUTED_VALUE""")," ")</f>
        <v> </v>
      </c>
      <c r="I3434" s="44" t="str">
        <f>IFERROR(__xludf.DUMMYFUNCTION("""COMPUTED_VALUE""")," ")</f>
        <v> </v>
      </c>
      <c r="J3434" s="44" t="str">
        <f>IFERROR(__xludf.DUMMYFUNCTION("""COMPUTED_VALUE"""),"")</f>
        <v/>
      </c>
      <c r="K3434" s="42" t="str">
        <f>IFERROR(__xludf.DUMMYFUNCTION("""COMPUTED_VALUE"""),"🔍 BUSCAR PACIENTES")</f>
        <v>🔍 BUSCAR PACIENTES</v>
      </c>
    </row>
    <row r="3435">
      <c r="A3435" s="44">
        <v>3434.0</v>
      </c>
      <c r="B3435" s="44" t="str">
        <f>IFERROR(__xludf.DUMMYFUNCTION("""COMPUTED_VALUE"""),"Hospital Domingo Luciani")</f>
        <v>Hospital Domingo Luciani</v>
      </c>
      <c r="C3435" s="45" t="str">
        <f>IFERROR(__xludf.DUMMYFUNCTION("""COMPUTED_VALUE"""),"SILVA YOHANDRY")</f>
        <v>SILVA YOHANDRY</v>
      </c>
      <c r="D3435" s="44" t="str">
        <f>IFERROR(__xludf.DUMMYFUNCTION("""COMPUTED_VALUE""")," ")</f>
        <v> </v>
      </c>
      <c r="E3435" s="44" t="str">
        <f>IFERROR(__xludf.DUMMYFUNCTION("""COMPUTED_VALUE"""),"")</f>
        <v/>
      </c>
      <c r="F3435" s="44" t="str">
        <f>IFERROR(__xludf.DUMMYFUNCTION("""COMPUTED_VALUE"""),"")</f>
        <v/>
      </c>
      <c r="G3435" s="44" t="str">
        <f>IFERROR(__xludf.DUMMYFUNCTION("""COMPUTED_VALUE""")," ")</f>
        <v> </v>
      </c>
      <c r="H3435" s="44" t="str">
        <f>IFERROR(__xludf.DUMMYFUNCTION("""COMPUTED_VALUE""")," ")</f>
        <v> </v>
      </c>
      <c r="I3435" s="44" t="str">
        <f>IFERROR(__xludf.DUMMYFUNCTION("""COMPUTED_VALUE""")," ")</f>
        <v> </v>
      </c>
      <c r="J3435" s="44" t="str">
        <f>IFERROR(__xludf.DUMMYFUNCTION("""COMPUTED_VALUE"""),"")</f>
        <v/>
      </c>
      <c r="K3435" s="42" t="str">
        <f>IFERROR(__xludf.DUMMYFUNCTION("""COMPUTED_VALUE"""),"🔍 BUSCAR PACIENTES")</f>
        <v>🔍 BUSCAR PACIENTES</v>
      </c>
    </row>
    <row r="3436">
      <c r="A3436" s="44">
        <v>3435.0</v>
      </c>
      <c r="B3436" s="44" t="str">
        <f>IFERROR(__xludf.DUMMYFUNCTION("""COMPUTED_VALUE"""),"HOSPITAL VARGAS")</f>
        <v>HOSPITAL VARGAS</v>
      </c>
      <c r="C3436" s="45" t="str">
        <f>IFERROR(__xludf.DUMMYFUNCTION("""COMPUTED_VALUE"""),"Silvia Avello")</f>
        <v>Silvia Avello</v>
      </c>
      <c r="D3436" s="44"/>
      <c r="E3436" s="44" t="str">
        <f>IFERROR(__xludf.DUMMYFUNCTION("""COMPUTED_VALUE"""),"")</f>
        <v/>
      </c>
      <c r="F3436" s="44" t="str">
        <f>IFERROR(__xludf.DUMMYFUNCTION("""COMPUTED_VALUE"""),"")</f>
        <v/>
      </c>
      <c r="G3436" s="44" t="str">
        <f>IFERROR(__xludf.DUMMYFUNCTION("""COMPUTED_VALUE"""),"")</f>
        <v/>
      </c>
      <c r="H3436" s="44" t="str">
        <f>IFERROR(__xludf.DUMMYFUNCTION("""COMPUTED_VALUE"""),"")</f>
        <v/>
      </c>
      <c r="I3436" s="44" t="str">
        <f>IFERROR(__xludf.DUMMYFUNCTION("""COMPUTED_VALUE"""),"Herido / atendido")</f>
        <v>Herido / atendido</v>
      </c>
      <c r="J3436" s="44" t="str">
        <f>IFERROR(__xludf.DUMMYFUNCTION("""COMPUTED_VALUE"""),"24.06.2026 ")</f>
        <v>24.06.2026 </v>
      </c>
      <c r="K3436" s="42" t="str">
        <f>IFERROR(__xludf.DUMMYFUNCTION("""COMPUTED_VALUE"""),"HOSPITAL VARGAS")</f>
        <v>HOSPITAL VARGAS</v>
      </c>
    </row>
    <row r="3437">
      <c r="A3437" s="44">
        <v>3436.0</v>
      </c>
      <c r="B3437" s="44" t="str">
        <f>IFERROR(__xludf.DUMMYFUNCTION("""COMPUTED_VALUE"""),"Hospital Domingo Luciani")</f>
        <v>Hospital Domingo Luciani</v>
      </c>
      <c r="C3437" s="45" t="str">
        <f>IFERROR(__xludf.DUMMYFUNCTION("""COMPUTED_VALUE"""),"Sobyn Alayón")</f>
        <v>Sobyn Alayón</v>
      </c>
      <c r="D3437" s="44">
        <f>IFERROR(__xludf.DUMMYFUNCTION("""COMPUTED_VALUE"""),23.0)</f>
        <v>23</v>
      </c>
      <c r="E3437" s="44" t="str">
        <f>IFERROR(__xludf.DUMMYFUNCTION("""COMPUTED_VALUE"""),"")</f>
        <v/>
      </c>
      <c r="F3437" s="44" t="str">
        <f>IFERROR(__xludf.DUMMYFUNCTION("""COMPUTED_VALUE"""),"")</f>
        <v/>
      </c>
      <c r="G3437" s="44"/>
      <c r="H3437" s="44"/>
      <c r="I3437" s="44"/>
      <c r="J3437" s="44" t="str">
        <f>IFERROR(__xludf.DUMMYFUNCTION("""COMPUTED_VALUE"""),"")</f>
        <v/>
      </c>
      <c r="K3437" s="42" t="str">
        <f>IFERROR(__xludf.DUMMYFUNCTION("""COMPUTED_VALUE"""),"Hospital Domingo Luciani")</f>
        <v>Hospital Domingo Luciani</v>
      </c>
    </row>
    <row r="3438">
      <c r="A3438" s="44">
        <v>3437.0</v>
      </c>
      <c r="B3438" s="44" t="str">
        <f>IFERROR(__xludf.DUMMYFUNCTION("""COMPUTED_VALUE"""),"Campo de Golf Playa los Cocos")</f>
        <v>Campo de Golf Playa los Cocos</v>
      </c>
      <c r="C3438" s="45" t="str">
        <f>IFERROR(__xludf.DUMMYFUNCTION("""COMPUTED_VALUE"""),"Soe Santander")</f>
        <v>Soe Santander</v>
      </c>
      <c r="D3438" s="44" t="str">
        <f>IFERROR(__xludf.DUMMYFUNCTION("""COMPUTED_VALUE"""),"")</f>
        <v/>
      </c>
      <c r="E3438" s="44" t="str">
        <f>IFERROR(__xludf.DUMMYFUNCTION("""COMPUTED_VALUE"""),"")</f>
        <v/>
      </c>
      <c r="F3438" s="44" t="str">
        <f>IFERROR(__xludf.DUMMYFUNCTION("""COMPUTED_VALUE"""),"")</f>
        <v/>
      </c>
      <c r="G3438" s="44" t="str">
        <f>IFERROR(__xludf.DUMMYFUNCTION("""COMPUTED_VALUE"""),"")</f>
        <v/>
      </c>
      <c r="H3438" s="44" t="str">
        <f>IFERROR(__xludf.DUMMYFUNCTION("""COMPUTED_VALUE"""),"")</f>
        <v/>
      </c>
      <c r="I3438" s="44"/>
      <c r="J3438" s="44" t="str">
        <f>IFERROR(__xludf.DUMMYFUNCTION("""COMPUTED_VALUE"""),"")</f>
        <v/>
      </c>
      <c r="K3438" s="42" t="str">
        <f>IFERROR(__xludf.DUMMYFUNCTION("""COMPUTED_VALUE"""),"Campo de Golf Playa los Cocos")</f>
        <v>Campo de Golf Playa los Cocos</v>
      </c>
    </row>
    <row r="3439">
      <c r="A3439" s="44">
        <v>3438.0</v>
      </c>
      <c r="B3439" s="44" t="str">
        <f>IFERROR(__xludf.DUMMYFUNCTION("""COMPUTED_VALUE"""),"Campo de Golf Playa los Cocos")</f>
        <v>Campo de Golf Playa los Cocos</v>
      </c>
      <c r="C3439" s="45" t="str">
        <f>IFERROR(__xludf.DUMMYFUNCTION("""COMPUTED_VALUE"""),"Sofia Hernandez")</f>
        <v>Sofia Hernandez</v>
      </c>
      <c r="D3439" s="44" t="str">
        <f>IFERROR(__xludf.DUMMYFUNCTION("""COMPUTED_VALUE"""),"")</f>
        <v/>
      </c>
      <c r="E3439" s="44" t="str">
        <f>IFERROR(__xludf.DUMMYFUNCTION("""COMPUTED_VALUE"""),"")</f>
        <v/>
      </c>
      <c r="F3439" s="44" t="str">
        <f>IFERROR(__xludf.DUMMYFUNCTION("""COMPUTED_VALUE"""),"")</f>
        <v/>
      </c>
      <c r="G3439" s="44" t="str">
        <f>IFERROR(__xludf.DUMMYFUNCTION("""COMPUTED_VALUE"""),"")</f>
        <v/>
      </c>
      <c r="H3439" s="44" t="str">
        <f>IFERROR(__xludf.DUMMYFUNCTION("""COMPUTED_VALUE"""),"")</f>
        <v/>
      </c>
      <c r="I3439" s="44" t="str">
        <f>IFERROR(__xludf.DUMMYFUNCTION("""COMPUTED_VALUE"""),"menor")</f>
        <v>menor</v>
      </c>
      <c r="J3439" s="44" t="str">
        <f>IFERROR(__xludf.DUMMYFUNCTION("""COMPUTED_VALUE"""),"")</f>
        <v/>
      </c>
      <c r="K3439" s="42" t="str">
        <f>IFERROR(__xludf.DUMMYFUNCTION("""COMPUTED_VALUE"""),"Campo de Golf Playa los Cocos")</f>
        <v>Campo de Golf Playa los Cocos</v>
      </c>
    </row>
    <row r="3440">
      <c r="A3440" s="44">
        <v>3439.0</v>
      </c>
      <c r="B3440" s="44" t="str">
        <f>IFERROR(__xludf.DUMMYFUNCTION("""COMPUTED_VALUE"""),"Hospital Domingo Luciani")</f>
        <v>Hospital Domingo Luciani</v>
      </c>
      <c r="C3440" s="45" t="str">
        <f>IFERROR(__xludf.DUMMYFUNCTION("""COMPUTED_VALUE"""),"Sofía Milano cladiska")</f>
        <v>Sofía Milano cladiska</v>
      </c>
      <c r="D3440" s="44">
        <f>IFERROR(__xludf.DUMMYFUNCTION("""COMPUTED_VALUE"""),25.0)</f>
        <v>25</v>
      </c>
      <c r="E3440" s="44" t="str">
        <f>IFERROR(__xludf.DUMMYFUNCTION("""COMPUTED_VALUE"""),"")</f>
        <v/>
      </c>
      <c r="F3440" s="44" t="str">
        <f>IFERROR(__xludf.DUMMYFUNCTION("""COMPUTED_VALUE"""),"")</f>
        <v/>
      </c>
      <c r="G3440" s="44"/>
      <c r="H3440" s="44"/>
      <c r="I3440" s="44"/>
      <c r="J3440" s="44" t="str">
        <f>IFERROR(__xludf.DUMMYFUNCTION("""COMPUTED_VALUE"""),"")</f>
        <v/>
      </c>
      <c r="K3440" s="42" t="str">
        <f>IFERROR(__xludf.DUMMYFUNCTION("""COMPUTED_VALUE"""),"Hospital Domingo Luciani")</f>
        <v>Hospital Domingo Luciani</v>
      </c>
    </row>
    <row r="3441">
      <c r="A3441" s="44">
        <v>3440.0</v>
      </c>
      <c r="B3441" s="44" t="str">
        <f>IFERROR(__xludf.DUMMYFUNCTION("""COMPUTED_VALUE"""),"Hospital Domingo Luciani")</f>
        <v>Hospital Domingo Luciani</v>
      </c>
      <c r="C3441" s="45" t="str">
        <f>IFERROR(__xludf.DUMMYFUNCTION("""COMPUTED_VALUE"""),"Sofía Segrera")</f>
        <v>Sofía Segrera</v>
      </c>
      <c r="D3441" s="44">
        <f>IFERROR(__xludf.DUMMYFUNCTION("""COMPUTED_VALUE"""),15.0)</f>
        <v>15</v>
      </c>
      <c r="E3441" s="44" t="str">
        <f>IFERROR(__xludf.DUMMYFUNCTION("""COMPUTED_VALUE"""),"")</f>
        <v/>
      </c>
      <c r="F3441" s="44" t="str">
        <f>IFERROR(__xludf.DUMMYFUNCTION("""COMPUTED_VALUE"""),"")</f>
        <v/>
      </c>
      <c r="G3441" s="44"/>
      <c r="H3441" s="44"/>
      <c r="I3441" s="44"/>
      <c r="J3441" s="44" t="str">
        <f>IFERROR(__xludf.DUMMYFUNCTION("""COMPUTED_VALUE"""),"")</f>
        <v/>
      </c>
      <c r="K3441" s="42" t="str">
        <f>IFERROR(__xludf.DUMMYFUNCTION("""COMPUTED_VALUE"""),"Hospital Domingo Luciani")</f>
        <v>Hospital Domingo Luciani</v>
      </c>
    </row>
    <row r="3442">
      <c r="A3442" s="44">
        <v>3441.0</v>
      </c>
      <c r="B3442" s="44" t="str">
        <f>IFERROR(__xludf.DUMMYFUNCTION("""COMPUTED_VALUE"""),"Hospital Domingo Luciani")</f>
        <v>Hospital Domingo Luciani</v>
      </c>
      <c r="C3442" s="45" t="str">
        <f>IFERROR(__xludf.DUMMYFUNCTION("""COMPUTED_VALUE"""),"Sofia Segura Blanco")</f>
        <v>Sofia Segura Blanco</v>
      </c>
      <c r="D3442" s="44">
        <f>IFERROR(__xludf.DUMMYFUNCTION("""COMPUTED_VALUE"""),0.0)</f>
        <v>0</v>
      </c>
      <c r="E3442" s="44" t="str">
        <f>IFERROR(__xludf.DUMMYFUNCTION("""COMPUTED_VALUE"""),"")</f>
        <v/>
      </c>
      <c r="F3442" s="44" t="str">
        <f>IFERROR(__xludf.DUMMYFUNCTION("""COMPUTED_VALUE"""),"")</f>
        <v/>
      </c>
      <c r="G3442" s="44"/>
      <c r="H3442" s="44"/>
      <c r="I3442" s="44"/>
      <c r="J3442" s="44" t="str">
        <f>IFERROR(__xludf.DUMMYFUNCTION("""COMPUTED_VALUE"""),"")</f>
        <v/>
      </c>
      <c r="K3442" s="42" t="str">
        <f>IFERROR(__xludf.DUMMYFUNCTION("""COMPUTED_VALUE"""),"Hospital Domingo Luciani")</f>
        <v>Hospital Domingo Luciani</v>
      </c>
    </row>
    <row r="3443">
      <c r="A3443" s="44">
        <v>3442.0</v>
      </c>
      <c r="B3443" s="44" t="str">
        <f>IFERROR(__xludf.DUMMYFUNCTION("""COMPUTED_VALUE"""),"Campo de Golf Playa los Cocos")</f>
        <v>Campo de Golf Playa los Cocos</v>
      </c>
      <c r="C3443" s="45" t="str">
        <f>IFERROR(__xludf.DUMMYFUNCTION("""COMPUTED_VALUE"""),"Soili Romero")</f>
        <v>Soili Romero</v>
      </c>
      <c r="D3443" s="44" t="str">
        <f>IFERROR(__xludf.DUMMYFUNCTION("""COMPUTED_VALUE"""),"")</f>
        <v/>
      </c>
      <c r="E3443" s="44" t="str">
        <f>IFERROR(__xludf.DUMMYFUNCTION("""COMPUTED_VALUE"""),"")</f>
        <v/>
      </c>
      <c r="F3443" s="44" t="str">
        <f>IFERROR(__xludf.DUMMYFUNCTION("""COMPUTED_VALUE"""),"")</f>
        <v/>
      </c>
      <c r="G3443" s="44" t="str">
        <f>IFERROR(__xludf.DUMMYFUNCTION("""COMPUTED_VALUE"""),"")</f>
        <v/>
      </c>
      <c r="H3443" s="44" t="str">
        <f>IFERROR(__xludf.DUMMYFUNCTION("""COMPUTED_VALUE"""),"")</f>
        <v/>
      </c>
      <c r="I3443" s="44"/>
      <c r="J3443" s="44" t="str">
        <f>IFERROR(__xludf.DUMMYFUNCTION("""COMPUTED_VALUE"""),"")</f>
        <v/>
      </c>
      <c r="K3443" s="42" t="str">
        <f>IFERROR(__xludf.DUMMYFUNCTION("""COMPUTED_VALUE"""),"Campo de Golf Playa los Cocos")</f>
        <v>Campo de Golf Playa los Cocos</v>
      </c>
    </row>
    <row r="3444">
      <c r="A3444" s="44">
        <v>3443.0</v>
      </c>
      <c r="B3444" s="44" t="str">
        <f>IFERROR(__xludf.DUMMYFUNCTION("""COMPUTED_VALUE"""),"Hospital Pérez Carreño")</f>
        <v>Hospital Pérez Carreño</v>
      </c>
      <c r="C3444" s="45" t="str">
        <f>IFERROR(__xludf.DUMMYFUNCTION("""COMPUTED_VALUE"""),"SOJO ALEJANDRA")</f>
        <v>SOJO ALEJANDRA</v>
      </c>
      <c r="D3444" s="44" t="str">
        <f>IFERROR(__xludf.DUMMYFUNCTION("""COMPUTED_VALUE""")," ")</f>
        <v> </v>
      </c>
      <c r="E3444" s="44" t="str">
        <f>IFERROR(__xludf.DUMMYFUNCTION("""COMPUTED_VALUE"""),"")</f>
        <v/>
      </c>
      <c r="F3444" s="44" t="str">
        <f>IFERROR(__xludf.DUMMYFUNCTION("""COMPUTED_VALUE"""),"")</f>
        <v/>
      </c>
      <c r="G3444" s="44" t="str">
        <f>IFERROR(__xludf.DUMMYFUNCTION("""COMPUTED_VALUE""")," ")</f>
        <v> </v>
      </c>
      <c r="H3444" s="44" t="str">
        <f>IFERROR(__xludf.DUMMYFUNCTION("""COMPUTED_VALUE""")," ")</f>
        <v> </v>
      </c>
      <c r="I3444" s="44" t="str">
        <f>IFERROR(__xludf.DUMMYFUNCTION("""COMPUTED_VALUE"""),"Traumashock")</f>
        <v>Traumashock</v>
      </c>
      <c r="J3444" s="44" t="str">
        <f>IFERROR(__xludf.DUMMYFUNCTION("""COMPUTED_VALUE"""),"25/06/2026")</f>
        <v>25/06/2026</v>
      </c>
      <c r="K3444" s="42" t="str">
        <f>IFERROR(__xludf.DUMMYFUNCTION("""COMPUTED_VALUE"""),"Hospital Pérez Carreño")</f>
        <v>Hospital Pérez Carreño</v>
      </c>
    </row>
    <row r="3445">
      <c r="A3445" s="44">
        <v>3444.0</v>
      </c>
      <c r="B3445" s="44" t="str">
        <f>IFERROR(__xludf.DUMMYFUNCTION("""COMPUTED_VALUE"""),"Hospital Pérez Carreño")</f>
        <v>Hospital Pérez Carreño</v>
      </c>
      <c r="C3445" s="45" t="str">
        <f>IFERROR(__xludf.DUMMYFUNCTION("""COMPUTED_VALUE"""),"Sojo Cassandra")</f>
        <v>Sojo Cassandra</v>
      </c>
      <c r="D3445" s="44"/>
      <c r="E3445" s="44" t="str">
        <f>IFERROR(__xludf.DUMMYFUNCTION("""COMPUTED_VALUE"""),"")</f>
        <v/>
      </c>
      <c r="F3445" s="44" t="str">
        <f>IFERROR(__xludf.DUMMYFUNCTION("""COMPUTED_VALUE"""),"")</f>
        <v/>
      </c>
      <c r="G3445" s="44" t="str">
        <f>IFERROR(__xludf.DUMMYFUNCTION("""COMPUTED_VALUE"""),"Traslados con destino asignado")</f>
        <v>Traslados con destino asignado</v>
      </c>
      <c r="H3445" s="44" t="str">
        <f>IFERROR(__xludf.DUMMYFUNCTION("""COMPUTED_VALUE"""),"Hospital Miguel Perez Carreño")</f>
        <v>Hospital Miguel Perez Carreño</v>
      </c>
      <c r="I3445" s="44"/>
      <c r="J3445" s="44" t="str">
        <f>IFERROR(__xludf.DUMMYFUNCTION("""COMPUTED_VALUE"""),"26/6/26")</f>
        <v>26/6/26</v>
      </c>
      <c r="K3445" s="42" t="str">
        <f>IFERROR(__xludf.DUMMYFUNCTION("""COMPUTED_VALUE"""),"Hospital Pérez Carreño")</f>
        <v>Hospital Pérez Carreño</v>
      </c>
    </row>
    <row r="3446">
      <c r="A3446" s="44">
        <v>3445.0</v>
      </c>
      <c r="B3446" s="44" t="str">
        <f>IFERROR(__xludf.DUMMYFUNCTION("""COMPUTED_VALUE"""),"La Guaira Sin Hospital")</f>
        <v>La Guaira Sin Hospital</v>
      </c>
      <c r="C3446" s="45" t="str">
        <f>IFERROR(__xludf.DUMMYFUNCTION("""COMPUTED_VALUE"""),"Sojo Reina Alejandra")</f>
        <v>Sojo Reina Alejandra</v>
      </c>
      <c r="D3446" s="44" t="str">
        <f>IFERROR(__xludf.DUMMYFUNCTION("""COMPUTED_VALUE"""),"")</f>
        <v/>
      </c>
      <c r="E3446" s="44" t="str">
        <f>IFERROR(__xludf.DUMMYFUNCTION("""COMPUTED_VALUE"""),"")</f>
        <v/>
      </c>
      <c r="F3446" s="44" t="str">
        <f>IFERROR(__xludf.DUMMYFUNCTION("""COMPUTED_VALUE"""),"")</f>
        <v/>
      </c>
      <c r="G3446" s="44" t="str">
        <f>IFERROR(__xludf.DUMMYFUNCTION("""COMPUTED_VALUE"""),"")</f>
        <v/>
      </c>
      <c r="H3446" s="44" t="str">
        <f>IFERROR(__xludf.DUMMYFUNCTION("""COMPUTED_VALUE"""),"San Martin")</f>
        <v>San Martin</v>
      </c>
      <c r="I3446" s="44" t="str">
        <f>IFERROR(__xludf.DUMMYFUNCTION("""COMPUTED_VALUE"""),"Listas con ubicación")</f>
        <v>Listas con ubicación</v>
      </c>
      <c r="J3446" s="44" t="str">
        <f>IFERROR(__xludf.DUMMYFUNCTION("""COMPUTED_VALUE"""),"")</f>
        <v/>
      </c>
      <c r="K3446" s="42" t="str">
        <f>IFERROR(__xludf.DUMMYFUNCTION("""COMPUTED_VALUE"""),"La Guaira Sin Hospital")</f>
        <v>La Guaira Sin Hospital</v>
      </c>
    </row>
    <row r="3447">
      <c r="A3447" s="44">
        <v>3446.0</v>
      </c>
      <c r="B3447" s="44" t="str">
        <f>IFERROR(__xludf.DUMMYFUNCTION("""COMPUTED_VALUE"""),"H. Jose Maria Vargas LG")</f>
        <v>H. Jose Maria Vargas LG</v>
      </c>
      <c r="C3447" s="45" t="str">
        <f>IFERROR(__xludf.DUMMYFUNCTION("""COMPUTED_VALUE"""),"SOJO YULEIDI")</f>
        <v>SOJO YULEIDI</v>
      </c>
      <c r="D3447" s="44" t="str">
        <f>IFERROR(__xludf.DUMMYFUNCTION("""COMPUTED_VALUE""")," ")</f>
        <v> </v>
      </c>
      <c r="E3447" s="44" t="str">
        <f>IFERROR(__xludf.DUMMYFUNCTION("""COMPUTED_VALUE"""),"")</f>
        <v/>
      </c>
      <c r="F3447" s="44" t="str">
        <f>IFERROR(__xludf.DUMMYFUNCTION("""COMPUTED_VALUE"""),"")</f>
        <v/>
      </c>
      <c r="G3447" s="44" t="str">
        <f>IFERROR(__xludf.DUMMYFUNCTION("""COMPUTED_VALUE""")," ")</f>
        <v> </v>
      </c>
      <c r="H3447" s="44" t="str">
        <f>IFERROR(__xludf.DUMMYFUNCTION("""COMPUTED_VALUE""")," ")</f>
        <v> </v>
      </c>
      <c r="I3447" s="44" t="str">
        <f>IFERROR(__xludf.DUMMYFUNCTION("""COMPUTED_VALUE""")," ")</f>
        <v> </v>
      </c>
      <c r="J3447" s="44" t="str">
        <f>IFERROR(__xludf.DUMMYFUNCTION("""COMPUTED_VALUE"""),"")</f>
        <v/>
      </c>
      <c r="K3447" s="42" t="str">
        <f>IFERROR(__xludf.DUMMYFUNCTION("""COMPUTED_VALUE"""),"H. Jose Maria Vargas LG")</f>
        <v>H. Jose Maria Vargas LG</v>
      </c>
    </row>
    <row r="3448">
      <c r="A3448" s="44">
        <v>3447.0</v>
      </c>
      <c r="B3448" s="44" t="str">
        <f>IFERROR(__xludf.DUMMYFUNCTION("""COMPUTED_VALUE"""),"Campo de Golf Playa los Cocos")</f>
        <v>Campo de Golf Playa los Cocos</v>
      </c>
      <c r="C3448" s="45" t="str">
        <f>IFERROR(__xludf.DUMMYFUNCTION("""COMPUTED_VALUE"""),"Solaiby Farraes")</f>
        <v>Solaiby Farraes</v>
      </c>
      <c r="D3448" s="44" t="str">
        <f>IFERROR(__xludf.DUMMYFUNCTION("""COMPUTED_VALUE"""),"")</f>
        <v/>
      </c>
      <c r="E3448" s="44" t="str">
        <f>IFERROR(__xludf.DUMMYFUNCTION("""COMPUTED_VALUE"""),"")</f>
        <v/>
      </c>
      <c r="F3448" s="44" t="str">
        <f>IFERROR(__xludf.DUMMYFUNCTION("""COMPUTED_VALUE"""),"")</f>
        <v/>
      </c>
      <c r="G3448" s="44" t="str">
        <f>IFERROR(__xludf.DUMMYFUNCTION("""COMPUTED_VALUE"""),"")</f>
        <v/>
      </c>
      <c r="H3448" s="44" t="str">
        <f>IFERROR(__xludf.DUMMYFUNCTION("""COMPUTED_VALUE"""),"")</f>
        <v/>
      </c>
      <c r="I3448" s="44"/>
      <c r="J3448" s="44" t="str">
        <f>IFERROR(__xludf.DUMMYFUNCTION("""COMPUTED_VALUE"""),"")</f>
        <v/>
      </c>
      <c r="K3448" s="42" t="str">
        <f>IFERROR(__xludf.DUMMYFUNCTION("""COMPUTED_VALUE"""),"Campo de Golf Playa los Cocos")</f>
        <v>Campo de Golf Playa los Cocos</v>
      </c>
    </row>
    <row r="3449">
      <c r="A3449" s="44">
        <v>3448.0</v>
      </c>
      <c r="B3449" s="44" t="str">
        <f>IFERROR(__xludf.DUMMYFUNCTION("""COMPUTED_VALUE"""),"Periférico de Catia")</f>
        <v>Periférico de Catia</v>
      </c>
      <c r="C3449" s="45" t="str">
        <f>IFERROR(__xludf.DUMMYFUNCTION("""COMPUTED_VALUE"""),"SOLAZAR CAROLINA")</f>
        <v>SOLAZAR CAROLINA</v>
      </c>
      <c r="D3449" s="44">
        <f>IFERROR(__xludf.DUMMYFUNCTION("""COMPUTED_VALUE"""),6.0)</f>
        <v>6</v>
      </c>
      <c r="E3449" s="44" t="str">
        <f>IFERROR(__xludf.DUMMYFUNCTION("""COMPUTED_VALUE"""),"")</f>
        <v/>
      </c>
      <c r="F3449" s="44" t="str">
        <f>IFERROR(__xludf.DUMMYFUNCTION("""COMPUTED_VALUE"""),"")</f>
        <v/>
      </c>
      <c r="G3449" s="44" t="str">
        <f>IFERROR(__xludf.DUMMYFUNCTION("""COMPUTED_VALUE""")," ")</f>
        <v> </v>
      </c>
      <c r="H3449" s="44" t="str">
        <f>IFERROR(__xludf.DUMMYFUNCTION("""COMPUTED_VALUE""")," ")</f>
        <v> </v>
      </c>
      <c r="I3449" s="44" t="str">
        <f>IFERROR(__xludf.DUMMYFUNCTION("""COMPUTED_VALUE""")," ")</f>
        <v> </v>
      </c>
      <c r="J3449" s="44" t="str">
        <f>IFERROR(__xludf.DUMMYFUNCTION("""COMPUTED_VALUE"""),"")</f>
        <v/>
      </c>
      <c r="K3449" s="42" t="str">
        <f>IFERROR(__xludf.DUMMYFUNCTION("""COMPUTED_VALUE"""),"Periférico de Catia")</f>
        <v>Periférico de Catia</v>
      </c>
    </row>
    <row r="3450">
      <c r="A3450" s="44">
        <v>3449.0</v>
      </c>
      <c r="B3450" s="44" t="str">
        <f>IFERROR(__xludf.DUMMYFUNCTION("""COMPUTED_VALUE"""),"Hospital Vargas de Caracas")</f>
        <v>Hospital Vargas de Caracas</v>
      </c>
      <c r="C3450" s="45" t="str">
        <f>IFERROR(__xludf.DUMMYFUNCTION("""COMPUTED_VALUE"""),"Solesbe Garcia")</f>
        <v>Solesbe Garcia</v>
      </c>
      <c r="D3450" s="44"/>
      <c r="E3450" s="44" t="str">
        <f>IFERROR(__xludf.DUMMYFUNCTION("""COMPUTED_VALUE"""),"")</f>
        <v/>
      </c>
      <c r="F3450" s="44"/>
      <c r="G3450" s="44" t="str">
        <f>IFERROR(__xludf.DUMMYFUNCTION("""COMPUTED_VALUE"""),"")</f>
        <v/>
      </c>
      <c r="H3450" s="44"/>
      <c r="I3450" s="44"/>
      <c r="J3450" s="44" t="str">
        <f>IFERROR(__xludf.DUMMYFUNCTION("""COMPUTED_VALUE"""),"")</f>
        <v/>
      </c>
      <c r="K3450" s="42" t="str">
        <f>IFERROR(__xludf.DUMMYFUNCTION("""COMPUTED_VALUE"""),"Hospital Vargas de Caracas")</f>
        <v>Hospital Vargas de Caracas</v>
      </c>
    </row>
    <row r="3451">
      <c r="A3451" s="44">
        <v>3450.0</v>
      </c>
      <c r="B3451" s="44" t="str">
        <f>IFERROR(__xludf.DUMMYFUNCTION("""COMPUTED_VALUE"""),"H. Jose Maria Vargas LG")</f>
        <v>H. Jose Maria Vargas LG</v>
      </c>
      <c r="C3451" s="45" t="str">
        <f>IFERROR(__xludf.DUMMYFUNCTION("""COMPUTED_VALUE"""),"SOLORSANO ISMAEL")</f>
        <v>SOLORSANO ISMAEL</v>
      </c>
      <c r="D3451" s="44" t="str">
        <f>IFERROR(__xludf.DUMMYFUNCTION("""COMPUTED_VALUE""")," ")</f>
        <v> </v>
      </c>
      <c r="E3451" s="44" t="str">
        <f>IFERROR(__xludf.DUMMYFUNCTION("""COMPUTED_VALUE"""),"")</f>
        <v/>
      </c>
      <c r="F3451" s="44" t="str">
        <f>IFERROR(__xludf.DUMMYFUNCTION("""COMPUTED_VALUE"""),"")</f>
        <v/>
      </c>
      <c r="G3451" s="44" t="str">
        <f>IFERROR(__xludf.DUMMYFUNCTION("""COMPUTED_VALUE""")," ")</f>
        <v> </v>
      </c>
      <c r="H3451" s="44" t="str">
        <f>IFERROR(__xludf.DUMMYFUNCTION("""COMPUTED_VALUE""")," ")</f>
        <v> </v>
      </c>
      <c r="I3451" s="44" t="str">
        <f>IFERROR(__xludf.DUMMYFUNCTION("""COMPUTED_VALUE""")," ")</f>
        <v> </v>
      </c>
      <c r="J3451" s="44" t="str">
        <f>IFERROR(__xludf.DUMMYFUNCTION("""COMPUTED_VALUE"""),"")</f>
        <v/>
      </c>
      <c r="K3451" s="42" t="str">
        <f>IFERROR(__xludf.DUMMYFUNCTION("""COMPUTED_VALUE"""),"H. Jose Maria Vargas LG")</f>
        <v>H. Jose Maria Vargas LG</v>
      </c>
    </row>
    <row r="3452">
      <c r="A3452" s="44">
        <v>3451.0</v>
      </c>
      <c r="B3452" s="44" t="str">
        <f>IFERROR(__xludf.DUMMYFUNCTION("""COMPUTED_VALUE"""),"Campo de Golf Playa los Cocos")</f>
        <v>Campo de Golf Playa los Cocos</v>
      </c>
      <c r="C3452" s="45" t="str">
        <f>IFERROR(__xludf.DUMMYFUNCTION("""COMPUTED_VALUE"""),"Soni Martinez")</f>
        <v>Soni Martinez</v>
      </c>
      <c r="D3452" s="44" t="str">
        <f>IFERROR(__xludf.DUMMYFUNCTION("""COMPUTED_VALUE"""),"")</f>
        <v/>
      </c>
      <c r="E3452" s="44" t="str">
        <f>IFERROR(__xludf.DUMMYFUNCTION("""COMPUTED_VALUE"""),"")</f>
        <v/>
      </c>
      <c r="F3452" s="44" t="str">
        <f>IFERROR(__xludf.DUMMYFUNCTION("""COMPUTED_VALUE"""),"")</f>
        <v/>
      </c>
      <c r="G3452" s="44" t="str">
        <f>IFERROR(__xludf.DUMMYFUNCTION("""COMPUTED_VALUE"""),"")</f>
        <v/>
      </c>
      <c r="H3452" s="44" t="str">
        <f>IFERROR(__xludf.DUMMYFUNCTION("""COMPUTED_VALUE"""),"")</f>
        <v/>
      </c>
      <c r="I3452" s="44"/>
      <c r="J3452" s="44" t="str">
        <f>IFERROR(__xludf.DUMMYFUNCTION("""COMPUTED_VALUE"""),"")</f>
        <v/>
      </c>
      <c r="K3452" s="42" t="str">
        <f>IFERROR(__xludf.DUMMYFUNCTION("""COMPUTED_VALUE"""),"Campo de Golf Playa los Cocos")</f>
        <v>Campo de Golf Playa los Cocos</v>
      </c>
    </row>
    <row r="3453">
      <c r="A3453" s="44">
        <v>3452.0</v>
      </c>
      <c r="B3453" s="44" t="str">
        <f>IFERROR(__xludf.DUMMYFUNCTION("""COMPUTED_VALUE"""),"Campo de Golf Playa los Cocos")</f>
        <v>Campo de Golf Playa los Cocos</v>
      </c>
      <c r="C3453" s="45" t="str">
        <f>IFERROR(__xludf.DUMMYFUNCTION("""COMPUTED_VALUE"""),"Sonia Marcano")</f>
        <v>Sonia Marcano</v>
      </c>
      <c r="D3453" s="44" t="str">
        <f>IFERROR(__xludf.DUMMYFUNCTION("""COMPUTED_VALUE"""),"")</f>
        <v/>
      </c>
      <c r="E3453" s="44" t="str">
        <f>IFERROR(__xludf.DUMMYFUNCTION("""COMPUTED_VALUE"""),"")</f>
        <v/>
      </c>
      <c r="F3453" s="44" t="str">
        <f>IFERROR(__xludf.DUMMYFUNCTION("""COMPUTED_VALUE"""),"")</f>
        <v/>
      </c>
      <c r="G3453" s="44" t="str">
        <f>IFERROR(__xludf.DUMMYFUNCTION("""COMPUTED_VALUE"""),"")</f>
        <v/>
      </c>
      <c r="H3453" s="44" t="str">
        <f>IFERROR(__xludf.DUMMYFUNCTION("""COMPUTED_VALUE"""),"")</f>
        <v/>
      </c>
      <c r="I3453" s="44"/>
      <c r="J3453" s="44" t="str">
        <f>IFERROR(__xludf.DUMMYFUNCTION("""COMPUTED_VALUE"""),"")</f>
        <v/>
      </c>
      <c r="K3453" s="42" t="str">
        <f>IFERROR(__xludf.DUMMYFUNCTION("""COMPUTED_VALUE"""),"Campo de Golf Playa los Cocos")</f>
        <v>Campo de Golf Playa los Cocos</v>
      </c>
    </row>
    <row r="3454">
      <c r="A3454" s="44">
        <v>3453.0</v>
      </c>
      <c r="B3454" s="44" t="str">
        <f>IFERROR(__xludf.DUMMYFUNCTION("""COMPUTED_VALUE"""),"Hospital Pérez Carreño")</f>
        <v>Hospital Pérez Carreño</v>
      </c>
      <c r="C3454" s="45" t="str">
        <f>IFERROR(__xludf.DUMMYFUNCTION("""COMPUTED_VALUE"""),"Sophia Leon")</f>
        <v>Sophia Leon</v>
      </c>
      <c r="D3454" s="44"/>
      <c r="E3454" s="44" t="str">
        <f>IFERROR(__xludf.DUMMYFUNCTION("""COMPUTED_VALUE"""),"")</f>
        <v/>
      </c>
      <c r="F3454" s="44" t="str">
        <f>IFERROR(__xludf.DUMMYFUNCTION("""COMPUTED_VALUE"""),"")</f>
        <v/>
      </c>
      <c r="G3454" s="44"/>
      <c r="H3454" s="44"/>
      <c r="I3454" s="44"/>
      <c r="J3454" s="44"/>
      <c r="K3454" s="42" t="str">
        <f>IFERROR(__xludf.DUMMYFUNCTION("""COMPUTED_VALUE"""),"Hospital Pérez Carreño")</f>
        <v>Hospital Pérez Carreño</v>
      </c>
    </row>
    <row r="3455">
      <c r="A3455" s="44">
        <v>3454.0</v>
      </c>
      <c r="B3455" s="44" t="str">
        <f>IFERROR(__xludf.DUMMYFUNCTION("""COMPUTED_VALUE"""),"Campo de Golf Playa los Cocos")</f>
        <v>Campo de Golf Playa los Cocos</v>
      </c>
      <c r="C3455" s="45" t="str">
        <f>IFERROR(__xludf.DUMMYFUNCTION("""COMPUTED_VALUE"""),"Sorelis Romero")</f>
        <v>Sorelis Romero</v>
      </c>
      <c r="D3455" s="44" t="str">
        <f>IFERROR(__xludf.DUMMYFUNCTION("""COMPUTED_VALUE"""),"")</f>
        <v/>
      </c>
      <c r="E3455" s="44" t="str">
        <f>IFERROR(__xludf.DUMMYFUNCTION("""COMPUTED_VALUE"""),"")</f>
        <v/>
      </c>
      <c r="F3455" s="44" t="str">
        <f>IFERROR(__xludf.DUMMYFUNCTION("""COMPUTED_VALUE"""),"")</f>
        <v/>
      </c>
      <c r="G3455" s="44" t="str">
        <f>IFERROR(__xludf.DUMMYFUNCTION("""COMPUTED_VALUE"""),"")</f>
        <v/>
      </c>
      <c r="H3455" s="44" t="str">
        <f>IFERROR(__xludf.DUMMYFUNCTION("""COMPUTED_VALUE"""),"")</f>
        <v/>
      </c>
      <c r="I3455" s="44"/>
      <c r="J3455" s="44" t="str">
        <f>IFERROR(__xludf.DUMMYFUNCTION("""COMPUTED_VALUE"""),"")</f>
        <v/>
      </c>
      <c r="K3455" s="42" t="str">
        <f>IFERROR(__xludf.DUMMYFUNCTION("""COMPUTED_VALUE"""),"Campo de Golf Playa los Cocos")</f>
        <v>Campo de Golf Playa los Cocos</v>
      </c>
    </row>
    <row r="3456">
      <c r="A3456" s="44">
        <v>3455.0</v>
      </c>
      <c r="B3456" s="44" t="str">
        <f>IFERROR(__xludf.DUMMYFUNCTION("""COMPUTED_VALUE"""),"Hospital Pérez Carreño")</f>
        <v>Hospital Pérez Carreño</v>
      </c>
      <c r="C3456" s="45" t="str">
        <f>IFERROR(__xludf.DUMMYFUNCTION("""COMPUTED_VALUE"""),"Sosa Alvarez Eliangely Nazareth")</f>
        <v>Sosa Alvarez Eliangely Nazareth</v>
      </c>
      <c r="D3456" s="44"/>
      <c r="E3456" s="44" t="str">
        <f>IFERROR(__xludf.DUMMYFUNCTION("""COMPUTED_VALUE"""),"")</f>
        <v/>
      </c>
      <c r="F3456" s="44" t="str">
        <f>IFERROR(__xludf.DUMMYFUNCTION("""COMPUTED_VALUE"""),"")</f>
        <v/>
      </c>
      <c r="G3456" s="44" t="str">
        <f>IFERROR(__xludf.DUMMYFUNCTION("""COMPUTED_VALUE"""),"Traslados")</f>
        <v>Traslados</v>
      </c>
      <c r="H3456" s="44" t="str">
        <f>IFERROR(__xludf.DUMMYFUNCTION("""COMPUTED_VALUE"""),"Hospital Miguel Perez Carreño")</f>
        <v>Hospital Miguel Perez Carreño</v>
      </c>
      <c r="I3456" s="44"/>
      <c r="J3456" s="44" t="str">
        <f>IFERROR(__xludf.DUMMYFUNCTION("""COMPUTED_VALUE"""),"26/6/26")</f>
        <v>26/6/26</v>
      </c>
      <c r="K3456" s="42" t="str">
        <f>IFERROR(__xludf.DUMMYFUNCTION("""COMPUTED_VALUE"""),"Hospital Pérez Carreño")</f>
        <v>Hospital Pérez Carreño</v>
      </c>
    </row>
    <row r="3457">
      <c r="A3457" s="44">
        <v>3456.0</v>
      </c>
      <c r="B3457" s="44" t="str">
        <f>IFERROR(__xludf.DUMMYFUNCTION("""COMPUTED_VALUE"""),"Hospital Pérez Carreño")</f>
        <v>Hospital Pérez Carreño</v>
      </c>
      <c r="C3457" s="45" t="str">
        <f>IFERROR(__xludf.DUMMYFUNCTION("""COMPUTED_VALUE"""),"SOSA ALVAREZ ELIANGEYELI NAZARETH")</f>
        <v>SOSA ALVAREZ ELIANGEYELI NAZARETH</v>
      </c>
      <c r="D3457" s="44" t="str">
        <f>IFERROR(__xludf.DUMMYFUNCTION("""COMPUTED_VALUE""")," ")</f>
        <v> </v>
      </c>
      <c r="E3457" s="44" t="str">
        <f>IFERROR(__xludf.DUMMYFUNCTION("""COMPUTED_VALUE"""),"")</f>
        <v/>
      </c>
      <c r="F3457" s="44" t="str">
        <f>IFERROR(__xludf.DUMMYFUNCTION("""COMPUTED_VALUE"""),"")</f>
        <v/>
      </c>
      <c r="G3457" s="44" t="str">
        <f>IFERROR(__xludf.DUMMYFUNCTION("""COMPUTED_VALUE""")," ")</f>
        <v> </v>
      </c>
      <c r="H3457" s="44" t="str">
        <f>IFERROR(__xludf.DUMMYFUNCTION("""COMPUTED_VALUE""")," ")</f>
        <v> </v>
      </c>
      <c r="I3457" s="44" t="str">
        <f>IFERROR(__xludf.DUMMYFUNCTION("""COMPUTED_VALUE"""),"Internado")</f>
        <v>Internado</v>
      </c>
      <c r="J3457" s="44" t="str">
        <f>IFERROR(__xludf.DUMMYFUNCTION("""COMPUTED_VALUE"""),"")</f>
        <v/>
      </c>
      <c r="K3457" s="42" t="str">
        <f>IFERROR(__xludf.DUMMYFUNCTION("""COMPUTED_VALUE"""),"🔍 BUSCAR PACIENTES")</f>
        <v>🔍 BUSCAR PACIENTES</v>
      </c>
    </row>
    <row r="3458">
      <c r="A3458" s="44">
        <v>3457.0</v>
      </c>
      <c r="B3458" s="44" t="str">
        <f>IFERROR(__xludf.DUMMYFUNCTION("""COMPUTED_VALUE"""),"Hospital Pérez Carreño")</f>
        <v>Hospital Pérez Carreño</v>
      </c>
      <c r="C3458" s="45" t="str">
        <f>IFERROR(__xludf.DUMMYFUNCTION("""COMPUTED_VALUE"""),"SOSA AZUETA JOSE LUIS")</f>
        <v>SOSA AZUETA JOSE LUIS</v>
      </c>
      <c r="D3458" s="44" t="str">
        <f>IFERROR(__xludf.DUMMYFUNCTION("""COMPUTED_VALUE""")," ")</f>
        <v> </v>
      </c>
      <c r="E3458" s="44" t="str">
        <f>IFERROR(__xludf.DUMMYFUNCTION("""COMPUTED_VALUE"""),"")</f>
        <v/>
      </c>
      <c r="F3458" s="44" t="str">
        <f>IFERROR(__xludf.DUMMYFUNCTION("""COMPUTED_VALUE"""),"")</f>
        <v/>
      </c>
      <c r="G3458" s="44" t="str">
        <f>IFERROR(__xludf.DUMMYFUNCTION("""COMPUTED_VALUE""")," ")</f>
        <v> </v>
      </c>
      <c r="H3458" s="44" t="str">
        <f>IFERROR(__xludf.DUMMYFUNCTION("""COMPUTED_VALUE""")," ")</f>
        <v> </v>
      </c>
      <c r="I3458" s="44" t="str">
        <f>IFERROR(__xludf.DUMMYFUNCTION("""COMPUTED_VALUE"""),"Traumashock")</f>
        <v>Traumashock</v>
      </c>
      <c r="J3458" s="44" t="str">
        <f>IFERROR(__xludf.DUMMYFUNCTION("""COMPUTED_VALUE"""),"25/06/2026")</f>
        <v>25/06/2026</v>
      </c>
      <c r="K3458" s="42" t="str">
        <f>IFERROR(__xludf.DUMMYFUNCTION("""COMPUTED_VALUE"""),"Hospital Pérez Carreño")</f>
        <v>Hospital Pérez Carreño</v>
      </c>
    </row>
    <row r="3459">
      <c r="A3459" s="44">
        <v>3458.0</v>
      </c>
      <c r="B3459" s="44" t="str">
        <f>IFERROR(__xludf.DUMMYFUNCTION("""COMPUTED_VALUE"""),"Hospital Pérez Carreño")</f>
        <v>Hospital Pérez Carreño</v>
      </c>
      <c r="C3459" s="45" t="str">
        <f>IFERROR(__xludf.DUMMYFUNCTION("""COMPUTED_VALUE"""),"SOSA ELISANYELIS")</f>
        <v>SOSA ELISANYELIS</v>
      </c>
      <c r="D3459" s="44" t="str">
        <f>IFERROR(__xludf.DUMMYFUNCTION("""COMPUTED_VALUE""")," ")</f>
        <v> </v>
      </c>
      <c r="E3459" s="44" t="str">
        <f>IFERROR(__xludf.DUMMYFUNCTION("""COMPUTED_VALUE"""),"")</f>
        <v/>
      </c>
      <c r="F3459" s="44" t="str">
        <f>IFERROR(__xludf.DUMMYFUNCTION("""COMPUTED_VALUE"""),"")</f>
        <v/>
      </c>
      <c r="G3459" s="44" t="str">
        <f>IFERROR(__xludf.DUMMYFUNCTION("""COMPUTED_VALUE""")," ")</f>
        <v> </v>
      </c>
      <c r="H3459" s="44" t="str">
        <f>IFERROR(__xludf.DUMMYFUNCTION("""COMPUTED_VALUE""")," ")</f>
        <v> </v>
      </c>
      <c r="I3459" s="44" t="str">
        <f>IFERROR(__xludf.DUMMYFUNCTION("""COMPUTED_VALUE"""),"Traumashock")</f>
        <v>Traumashock</v>
      </c>
      <c r="J3459" s="44" t="str">
        <f>IFERROR(__xludf.DUMMYFUNCTION("""COMPUTED_VALUE"""),"25/06/2026")</f>
        <v>25/06/2026</v>
      </c>
      <c r="K3459" s="42" t="str">
        <f>IFERROR(__xludf.DUMMYFUNCTION("""COMPUTED_VALUE"""),"Hospital Pérez Carreño")</f>
        <v>Hospital Pérez Carreño</v>
      </c>
    </row>
    <row r="3460">
      <c r="A3460" s="44">
        <v>3459.0</v>
      </c>
      <c r="B3460" s="44" t="str">
        <f>IFERROR(__xludf.DUMMYFUNCTION("""COMPUTED_VALUE"""),"H. Jose Maria Vargas LG")</f>
        <v>H. Jose Maria Vargas LG</v>
      </c>
      <c r="C3460" s="45" t="str">
        <f>IFERROR(__xludf.DUMMYFUNCTION("""COMPUTED_VALUE"""),"SOSA JOSE")</f>
        <v>SOSA JOSE</v>
      </c>
      <c r="D3460" s="44">
        <f>IFERROR(__xludf.DUMMYFUNCTION("""COMPUTED_VALUE"""),40.0)</f>
        <v>40</v>
      </c>
      <c r="E3460" s="44" t="str">
        <f>IFERROR(__xludf.DUMMYFUNCTION("""COMPUTED_VALUE"""),"")</f>
        <v/>
      </c>
      <c r="F3460" s="44" t="str">
        <f>IFERROR(__xludf.DUMMYFUNCTION("""COMPUTED_VALUE"""),"")</f>
        <v/>
      </c>
      <c r="G3460" s="44" t="str">
        <f>IFERROR(__xludf.DUMMYFUNCTION("""COMPUTED_VALUE""")," ")</f>
        <v> </v>
      </c>
      <c r="H3460" s="44" t="str">
        <f>IFERROR(__xludf.DUMMYFUNCTION("""COMPUTED_VALUE""")," ")</f>
        <v> </v>
      </c>
      <c r="I3460" s="44" t="str">
        <f>IFERROR(__xludf.DUMMYFUNCTION("""COMPUTED_VALUE"""),"Internado")</f>
        <v>Internado</v>
      </c>
      <c r="J3460" s="44" t="str">
        <f>IFERROR(__xludf.DUMMYFUNCTION("""COMPUTED_VALUE"""),"")</f>
        <v/>
      </c>
      <c r="K3460" s="42" t="str">
        <f>IFERROR(__xludf.DUMMYFUNCTION("""COMPUTED_VALUE"""),"H. Jose Maria Vargas LG")</f>
        <v>H. Jose Maria Vargas LG</v>
      </c>
    </row>
    <row r="3461">
      <c r="A3461" s="44">
        <v>3460.0</v>
      </c>
      <c r="B3461" s="44" t="str">
        <f>IFERROR(__xludf.DUMMYFUNCTION("""COMPUTED_VALUE"""),"Centro de Acopio Caraballeda")</f>
        <v>Centro de Acopio Caraballeda</v>
      </c>
      <c r="C3461" s="45" t="str">
        <f>IFERROR(__xludf.DUMMYFUNCTION("""COMPUTED_VALUE"""),"SOTIL ROSELYN")</f>
        <v>SOTIL ROSELYN</v>
      </c>
      <c r="D3461" s="44" t="str">
        <f>IFERROR(__xludf.DUMMYFUNCTION("""COMPUTED_VALUE""")," ")</f>
        <v> </v>
      </c>
      <c r="E3461" s="44" t="str">
        <f>IFERROR(__xludf.DUMMYFUNCTION("""COMPUTED_VALUE"""),"")</f>
        <v/>
      </c>
      <c r="F3461" s="44" t="str">
        <f>IFERROR(__xludf.DUMMYFUNCTION("""COMPUTED_VALUE"""),"")</f>
        <v/>
      </c>
      <c r="G3461" s="44" t="str">
        <f>IFERROR(__xludf.DUMMYFUNCTION("""COMPUTED_VALUE""")," ")</f>
        <v> </v>
      </c>
      <c r="H3461" s="44" t="str">
        <f>IFERROR(__xludf.DUMMYFUNCTION("""COMPUTED_VALUE""")," ")</f>
        <v> </v>
      </c>
      <c r="I3461" s="44" t="str">
        <f>IFERROR(__xludf.DUMMYFUNCTION("""COMPUTED_VALUE"""),"Internado")</f>
        <v>Internado</v>
      </c>
      <c r="J3461" s="44" t="str">
        <f>IFERROR(__xludf.DUMMYFUNCTION("""COMPUTED_VALUE"""),"")</f>
        <v/>
      </c>
      <c r="K3461" s="42" t="str">
        <f>IFERROR(__xludf.DUMMYFUNCTION("""COMPUTED_VALUE"""),"🔍 BUSCAR PACIENTES")</f>
        <v>🔍 BUSCAR PACIENTES</v>
      </c>
    </row>
    <row r="3462">
      <c r="A3462" s="44">
        <v>3461.0</v>
      </c>
      <c r="B3462" s="44" t="str">
        <f>IFERROR(__xludf.DUMMYFUNCTION("""COMPUTED_VALUE"""),"Hospital Pérez Carreño")</f>
        <v>Hospital Pérez Carreño</v>
      </c>
      <c r="C3462" s="45" t="str">
        <f>IFERROR(__xludf.DUMMYFUNCTION("""COMPUTED_VALUE"""),"STABILITO ANILEA")</f>
        <v>STABILITO ANILEA</v>
      </c>
      <c r="D3462" s="44" t="str">
        <f>IFERROR(__xludf.DUMMYFUNCTION("""COMPUTED_VALUE""")," ")</f>
        <v> </v>
      </c>
      <c r="E3462" s="44" t="str">
        <f>IFERROR(__xludf.DUMMYFUNCTION("""COMPUTED_VALUE"""),"")</f>
        <v/>
      </c>
      <c r="F3462" s="44" t="str">
        <f>IFERROR(__xludf.DUMMYFUNCTION("""COMPUTED_VALUE"""),"")</f>
        <v/>
      </c>
      <c r="G3462" s="44" t="str">
        <f>IFERROR(__xludf.DUMMYFUNCTION("""COMPUTED_VALUE""")," ")</f>
        <v> </v>
      </c>
      <c r="H3462" s="44" t="str">
        <f>IFERROR(__xludf.DUMMYFUNCTION("""COMPUTED_VALUE""")," ")</f>
        <v> </v>
      </c>
      <c r="I3462" s="44" t="str">
        <f>IFERROR(__xludf.DUMMYFUNCTION("""COMPUTED_VALUE"""),"Internado")</f>
        <v>Internado</v>
      </c>
      <c r="J3462" s="44" t="str">
        <f>IFERROR(__xludf.DUMMYFUNCTION("""COMPUTED_VALUE"""),"")</f>
        <v/>
      </c>
      <c r="K3462" s="42" t="str">
        <f>IFERROR(__xludf.DUMMYFUNCTION("""COMPUTED_VALUE"""),"🔍 BUSCAR PACIENTES")</f>
        <v>🔍 BUSCAR PACIENTES</v>
      </c>
    </row>
    <row r="3463">
      <c r="A3463" s="44">
        <v>3462.0</v>
      </c>
      <c r="B3463" s="44" t="str">
        <f>IFERROR(__xludf.DUMMYFUNCTION("""COMPUTED_VALUE"""),"La Guaira Sin Hospital")</f>
        <v>La Guaira Sin Hospital</v>
      </c>
      <c r="C3463" s="45" t="str">
        <f>IFERROR(__xludf.DUMMYFUNCTION("""COMPUTED_VALUE"""),"Stabilito Anilez")</f>
        <v>Stabilito Anilez</v>
      </c>
      <c r="D3463" s="44" t="str">
        <f>IFERROR(__xludf.DUMMYFUNCTION("""COMPUTED_VALUE"""),"")</f>
        <v/>
      </c>
      <c r="E3463" s="44" t="str">
        <f>IFERROR(__xludf.DUMMYFUNCTION("""COMPUTED_VALUE"""),"")</f>
        <v/>
      </c>
      <c r="F3463" s="44" t="str">
        <f>IFERROR(__xludf.DUMMYFUNCTION("""COMPUTED_VALUE"""),"")</f>
        <v/>
      </c>
      <c r="G3463" s="44" t="str">
        <f>IFERROR(__xludf.DUMMYFUNCTION("""COMPUTED_VALUE"""),"")</f>
        <v/>
      </c>
      <c r="H3463" s="44" t="str">
        <f>IFERROR(__xludf.DUMMYFUNCTION("""COMPUTED_VALUE"""),"La Guaira Caribe")</f>
        <v>La Guaira Caribe</v>
      </c>
      <c r="I3463" s="44" t="str">
        <f>IFERROR(__xludf.DUMMYFUNCTION("""COMPUTED_VALUE"""),"Listas con ubicación")</f>
        <v>Listas con ubicación</v>
      </c>
      <c r="J3463" s="44" t="str">
        <f>IFERROR(__xludf.DUMMYFUNCTION("""COMPUTED_VALUE"""),"")</f>
        <v/>
      </c>
      <c r="K3463" s="42" t="str">
        <f>IFERROR(__xludf.DUMMYFUNCTION("""COMPUTED_VALUE"""),"La Guaira Sin Hospital")</f>
        <v>La Guaira Sin Hospital</v>
      </c>
    </row>
    <row r="3464">
      <c r="A3464" s="44">
        <v>3463.0</v>
      </c>
      <c r="B3464" s="44" t="str">
        <f>IFERROR(__xludf.DUMMYFUNCTION("""COMPUTED_VALUE"""),"Hospital Pérez Carreño")</f>
        <v>Hospital Pérez Carreño</v>
      </c>
      <c r="C3464" s="45" t="str">
        <f>IFERROR(__xludf.DUMMYFUNCTION("""COMPUTED_VALUE"""),"Stable Jonia")</f>
        <v>Stable Jonia</v>
      </c>
      <c r="D3464" s="44"/>
      <c r="E3464" s="44" t="str">
        <f>IFERROR(__xludf.DUMMYFUNCTION("""COMPUTED_VALUE"""),"")</f>
        <v/>
      </c>
      <c r="F3464" s="44" t="str">
        <f>IFERROR(__xludf.DUMMYFUNCTION("""COMPUTED_VALUE"""),"")</f>
        <v/>
      </c>
      <c r="G3464" s="44" t="str">
        <f>IFERROR(__xludf.DUMMYFUNCTION("""COMPUTED_VALUE"""),"Traslados con destino asignado")</f>
        <v>Traslados con destino asignado</v>
      </c>
      <c r="H3464" s="44" t="str">
        <f>IFERROR(__xludf.DUMMYFUNCTION("""COMPUTED_VALUE"""),"Hospital Miguel Perez Carreño")</f>
        <v>Hospital Miguel Perez Carreño</v>
      </c>
      <c r="I3464" s="44"/>
      <c r="J3464" s="44" t="str">
        <f>IFERROR(__xludf.DUMMYFUNCTION("""COMPUTED_VALUE"""),"26/6/26")</f>
        <v>26/6/26</v>
      </c>
      <c r="K3464" s="42" t="str">
        <f>IFERROR(__xludf.DUMMYFUNCTION("""COMPUTED_VALUE"""),"Hospital Pérez Carreño")</f>
        <v>Hospital Pérez Carreño</v>
      </c>
    </row>
    <row r="3465">
      <c r="A3465" s="44">
        <v>3464.0</v>
      </c>
      <c r="B3465" s="44" t="str">
        <f>IFERROR(__xludf.DUMMYFUNCTION("""COMPUTED_VALUE"""),"Hospital Domingo Luciani")</f>
        <v>Hospital Domingo Luciani</v>
      </c>
      <c r="C3465" s="45" t="str">
        <f>IFERROR(__xludf.DUMMYFUNCTION("""COMPUTED_VALUE"""),"Stphany Gonzalez")</f>
        <v>Stphany Gonzalez</v>
      </c>
      <c r="D3465" s="44">
        <f>IFERROR(__xludf.DUMMYFUNCTION("""COMPUTED_VALUE"""),22.0)</f>
        <v>22</v>
      </c>
      <c r="E3465" s="44" t="str">
        <f>IFERROR(__xludf.DUMMYFUNCTION("""COMPUTED_VALUE"""),"")</f>
        <v/>
      </c>
      <c r="F3465" s="44" t="str">
        <f>IFERROR(__xludf.DUMMYFUNCTION("""COMPUTED_VALUE"""),"")</f>
        <v/>
      </c>
      <c r="G3465" s="44"/>
      <c r="H3465" s="44"/>
      <c r="I3465" s="44"/>
      <c r="J3465" s="44" t="str">
        <f>IFERROR(__xludf.DUMMYFUNCTION("""COMPUTED_VALUE"""),"")</f>
        <v/>
      </c>
      <c r="K3465" s="42" t="str">
        <f>IFERROR(__xludf.DUMMYFUNCTION("""COMPUTED_VALUE"""),"Hospital Domingo Luciani")</f>
        <v>Hospital Domingo Luciani</v>
      </c>
    </row>
    <row r="3466">
      <c r="A3466" s="44">
        <v>3465.0</v>
      </c>
      <c r="B3466" s="44" t="str">
        <f>IFERROR(__xludf.DUMMYFUNCTION("""COMPUTED_VALUE"""),"Hospital Domingo Luciani")</f>
        <v>Hospital Domingo Luciani</v>
      </c>
      <c r="C3466" s="45" t="str">
        <f>IFERROR(__xludf.DUMMYFUNCTION("""COMPUTED_VALUE"""),"SUAREZ GRANADO RENE")</f>
        <v>SUAREZ GRANADO RENE</v>
      </c>
      <c r="D3466" s="44" t="str">
        <f>IFERROR(__xludf.DUMMYFUNCTION("""COMPUTED_VALUE""")," ")</f>
        <v> </v>
      </c>
      <c r="E3466" s="44" t="str">
        <f>IFERROR(__xludf.DUMMYFUNCTION("""COMPUTED_VALUE"""),"")</f>
        <v/>
      </c>
      <c r="F3466" s="44" t="str">
        <f>IFERROR(__xludf.DUMMYFUNCTION("""COMPUTED_VALUE"""),"")</f>
        <v/>
      </c>
      <c r="G3466" s="44" t="str">
        <f>IFERROR(__xludf.DUMMYFUNCTION("""COMPUTED_VALUE""")," ")</f>
        <v> </v>
      </c>
      <c r="H3466" s="44" t="str">
        <f>IFERROR(__xludf.DUMMYFUNCTION("""COMPUTED_VALUE""")," ")</f>
        <v> </v>
      </c>
      <c r="I3466" s="44" t="str">
        <f>IFERROR(__xludf.DUMMYFUNCTION("""COMPUTED_VALUE"""),"Politrauma")</f>
        <v>Politrauma</v>
      </c>
      <c r="J3466" s="44" t="str">
        <f>IFERROR(__xludf.DUMMYFUNCTION("""COMPUTED_VALUE"""),"")</f>
        <v/>
      </c>
      <c r="K3466" s="42" t="str">
        <f>IFERROR(__xludf.DUMMYFUNCTION("""COMPUTED_VALUE"""),"🔍 BUSCAR PACIENTES")</f>
        <v>🔍 BUSCAR PACIENTES</v>
      </c>
    </row>
    <row r="3467">
      <c r="A3467" s="44">
        <v>3466.0</v>
      </c>
      <c r="B3467" s="44" t="str">
        <f>IFERROR(__xludf.DUMMYFUNCTION("""COMPUTED_VALUE"""),"Centro de Acopio Caraballeda")</f>
        <v>Centro de Acopio Caraballeda</v>
      </c>
      <c r="C3467" s="45" t="str">
        <f>IFERROR(__xludf.DUMMYFUNCTION("""COMPUTED_VALUE"""),"SUAREZ JEFFERSON")</f>
        <v>SUAREZ JEFFERSON</v>
      </c>
      <c r="D3467" s="44" t="str">
        <f>IFERROR(__xludf.DUMMYFUNCTION("""COMPUTED_VALUE""")," ")</f>
        <v> </v>
      </c>
      <c r="E3467" s="44" t="str">
        <f>IFERROR(__xludf.DUMMYFUNCTION("""COMPUTED_VALUE"""),"")</f>
        <v/>
      </c>
      <c r="F3467" s="44" t="str">
        <f>IFERROR(__xludf.DUMMYFUNCTION("""COMPUTED_VALUE"""),"")</f>
        <v/>
      </c>
      <c r="G3467" s="44" t="str">
        <f>IFERROR(__xludf.DUMMYFUNCTION("""COMPUTED_VALUE""")," ")</f>
        <v> </v>
      </c>
      <c r="H3467" s="44" t="str">
        <f>IFERROR(__xludf.DUMMYFUNCTION("""COMPUTED_VALUE""")," ")</f>
        <v> </v>
      </c>
      <c r="I3467" s="44" t="str">
        <f>IFERROR(__xludf.DUMMYFUNCTION("""COMPUTED_VALUE"""),"Internado")</f>
        <v>Internado</v>
      </c>
      <c r="J3467" s="44" t="str">
        <f>IFERROR(__xludf.DUMMYFUNCTION("""COMPUTED_VALUE"""),"")</f>
        <v/>
      </c>
      <c r="K3467" s="42" t="str">
        <f>IFERROR(__xludf.DUMMYFUNCTION("""COMPUTED_VALUE"""),"🔍 BUSCAR PACIENTES")</f>
        <v>🔍 BUSCAR PACIENTES</v>
      </c>
    </row>
    <row r="3468">
      <c r="A3468" s="44">
        <v>3467.0</v>
      </c>
      <c r="B3468" s="44" t="str">
        <f>IFERROR(__xludf.DUMMYFUNCTION("""COMPUTED_VALUE"""),"Hospital Domingo Luciani")</f>
        <v>Hospital Domingo Luciani</v>
      </c>
      <c r="C3468" s="45" t="str">
        <f>IFERROR(__xludf.DUMMYFUNCTION("""COMPUTED_VALUE"""),"SUAREZ JULIO")</f>
        <v>SUAREZ JULIO</v>
      </c>
      <c r="D3468" s="44">
        <f>IFERROR(__xludf.DUMMYFUNCTION("""COMPUTED_VALUE"""),19.0)</f>
        <v>19</v>
      </c>
      <c r="E3468" s="44" t="str">
        <f>IFERROR(__xludf.DUMMYFUNCTION("""COMPUTED_VALUE"""),"")</f>
        <v/>
      </c>
      <c r="F3468" s="44" t="str">
        <f>IFERROR(__xludf.DUMMYFUNCTION("""COMPUTED_VALUE"""),"")</f>
        <v/>
      </c>
      <c r="G3468" s="44" t="str">
        <f>IFERROR(__xludf.DUMMYFUNCTION("""COMPUTED_VALUE""")," ")</f>
        <v> </v>
      </c>
      <c r="H3468" s="44" t="str">
        <f>IFERROR(__xludf.DUMMYFUNCTION("""COMPUTED_VALUE"""),"La Guaira")</f>
        <v>La Guaira</v>
      </c>
      <c r="I3468" s="44" t="str">
        <f>IFERROR(__xludf.DUMMYFUNCTION("""COMPUTED_VALUE"""),"Ingresos 6am-9:20pm")</f>
        <v>Ingresos 6am-9:20pm</v>
      </c>
      <c r="J3468" s="44" t="str">
        <f>IFERROR(__xludf.DUMMYFUNCTION("""COMPUTED_VALUE"""),"")</f>
        <v/>
      </c>
      <c r="K3468" s="42" t="str">
        <f>IFERROR(__xludf.DUMMYFUNCTION("""COMPUTED_VALUE"""),"🔍 BUSCAR PACIENTES")</f>
        <v>🔍 BUSCAR PACIENTES</v>
      </c>
    </row>
    <row r="3469">
      <c r="A3469" s="44">
        <v>3468.0</v>
      </c>
      <c r="B3469" s="44" t="str">
        <f>IFERROR(__xludf.DUMMYFUNCTION("""COMPUTED_VALUE"""),"Hospital Domingo Luciani")</f>
        <v>Hospital Domingo Luciani</v>
      </c>
      <c r="C3469" s="45" t="str">
        <f>IFERROR(__xludf.DUMMYFUNCTION("""COMPUTED_VALUE"""),"SUAREZ RENE")</f>
        <v>SUAREZ RENE</v>
      </c>
      <c r="D3469" s="44">
        <f>IFERROR(__xludf.DUMMYFUNCTION("""COMPUTED_VALUE"""),62.0)</f>
        <v>62</v>
      </c>
      <c r="E3469" s="44" t="str">
        <f>IFERROR(__xludf.DUMMYFUNCTION("""COMPUTED_VALUE"""),"")</f>
        <v/>
      </c>
      <c r="F3469" s="44" t="str">
        <f>IFERROR(__xludf.DUMMYFUNCTION("""COMPUTED_VALUE"""),"")</f>
        <v/>
      </c>
      <c r="G3469" s="44" t="str">
        <f>IFERROR(__xludf.DUMMYFUNCTION("""COMPUTED_VALUE""")," ")</f>
        <v> </v>
      </c>
      <c r="H3469" s="44" t="str">
        <f>IFERROR(__xludf.DUMMYFUNCTION("""COMPUTED_VALUE""")," ")</f>
        <v> </v>
      </c>
      <c r="I3469" s="44" t="str">
        <f>IFERROR(__xludf.DUMMYFUNCTION("""COMPUTED_VALUE""")," ")</f>
        <v> </v>
      </c>
      <c r="J3469" s="44" t="str">
        <f>IFERROR(__xludf.DUMMYFUNCTION("""COMPUTED_VALUE"""),"")</f>
        <v/>
      </c>
      <c r="K3469" s="42" t="str">
        <f>IFERROR(__xludf.DUMMYFUNCTION("""COMPUTED_VALUE"""),"🔍 BUSCAR PACIENTES")</f>
        <v>🔍 BUSCAR PACIENTES</v>
      </c>
    </row>
    <row r="3470">
      <c r="A3470" s="44">
        <v>3469.0</v>
      </c>
      <c r="B3470" s="44" t="str">
        <f>IFERROR(__xludf.DUMMYFUNCTION("""COMPUTED_VALUE"""),"Hospital Domingo Luciani")</f>
        <v>Hospital Domingo Luciani</v>
      </c>
      <c r="C3470" s="45" t="str">
        <f>IFERROR(__xludf.DUMMYFUNCTION("""COMPUTED_VALUE"""),"SUAREZ TULIP")</f>
        <v>SUAREZ TULIP</v>
      </c>
      <c r="D3470" s="44">
        <f>IFERROR(__xludf.DUMMYFUNCTION("""COMPUTED_VALUE"""),43.0)</f>
        <v>43</v>
      </c>
      <c r="E3470" s="44" t="str">
        <f>IFERROR(__xludf.DUMMYFUNCTION("""COMPUTED_VALUE"""),"")</f>
        <v/>
      </c>
      <c r="F3470" s="44" t="str">
        <f>IFERROR(__xludf.DUMMYFUNCTION("""COMPUTED_VALUE"""),"")</f>
        <v/>
      </c>
      <c r="G3470" s="44" t="str">
        <f>IFERROR(__xludf.DUMMYFUNCTION("""COMPUTED_VALUE""")," ")</f>
        <v> </v>
      </c>
      <c r="H3470" s="44" t="str">
        <f>IFERROR(__xludf.DUMMYFUNCTION("""COMPUTED_VALUE""")," ")</f>
        <v> </v>
      </c>
      <c r="I3470" s="44" t="str">
        <f>IFERROR(__xludf.DUMMYFUNCTION("""COMPUTED_VALUE"""),"La Guaira – Ingresos 9am")</f>
        <v>La Guaira – Ingresos 9am</v>
      </c>
      <c r="J3470" s="44" t="str">
        <f>IFERROR(__xludf.DUMMYFUNCTION("""COMPUTED_VALUE"""),"")</f>
        <v/>
      </c>
      <c r="K3470" s="42" t="str">
        <f>IFERROR(__xludf.DUMMYFUNCTION("""COMPUTED_VALUE"""),"🔍 BUSCAR PACIENTES")</f>
        <v>🔍 BUSCAR PACIENTES</v>
      </c>
    </row>
    <row r="3471">
      <c r="A3471" s="44">
        <v>3470.0</v>
      </c>
      <c r="B3471" s="44" t="str">
        <f>IFERROR(__xludf.DUMMYFUNCTION("""COMPUTED_VALUE"""),"Hospital Vargas de Caracas")</f>
        <v>Hospital Vargas de Caracas</v>
      </c>
      <c r="C3471" s="45" t="str">
        <f>IFERROR(__xludf.DUMMYFUNCTION("""COMPUTED_VALUE"""),"SUAREZ YOSNEIKER")</f>
        <v>SUAREZ YOSNEIKER</v>
      </c>
      <c r="D3471" s="44" t="str">
        <f>IFERROR(__xludf.DUMMYFUNCTION("""COMPUTED_VALUE""")," ")</f>
        <v> </v>
      </c>
      <c r="E3471" s="44" t="str">
        <f>IFERROR(__xludf.DUMMYFUNCTION("""COMPUTED_VALUE"""),"")</f>
        <v/>
      </c>
      <c r="F3471" s="44" t="str">
        <f>IFERROR(__xludf.DUMMYFUNCTION("""COMPUTED_VALUE""")," ")</f>
        <v> </v>
      </c>
      <c r="G3471" s="44" t="str">
        <f>IFERROR(__xludf.DUMMYFUNCTION("""COMPUTED_VALUE"""),"")</f>
        <v/>
      </c>
      <c r="H3471" s="44" t="str">
        <f>IFERROR(__xludf.DUMMYFUNCTION("""COMPUTED_VALUE""")," ")</f>
        <v> </v>
      </c>
      <c r="I3471" s="44" t="str">
        <f>IFERROR(__xludf.DUMMYFUNCTION("""COMPUTED_VALUE""")," ")</f>
        <v> </v>
      </c>
      <c r="J3471" s="44" t="str">
        <f>IFERROR(__xludf.DUMMYFUNCTION("""COMPUTED_VALUE"""),"")</f>
        <v/>
      </c>
      <c r="K3471" s="42" t="str">
        <f>IFERROR(__xludf.DUMMYFUNCTION("""COMPUTED_VALUE"""),"Hospital Vargas de Caracas")</f>
        <v>Hospital Vargas de Caracas</v>
      </c>
    </row>
    <row r="3472">
      <c r="A3472" s="44">
        <v>3471.0</v>
      </c>
      <c r="B3472" s="44" t="str">
        <f>IFERROR(__xludf.DUMMYFUNCTION("""COMPUTED_VALUE"""),"Centro de Acopio Caraballeda")</f>
        <v>Centro de Acopio Caraballeda</v>
      </c>
      <c r="C3472" s="45" t="str">
        <f>IFERROR(__xludf.DUMMYFUNCTION("""COMPUTED_VALUE"""),"SUCRE ANGEL")</f>
        <v>SUCRE ANGEL</v>
      </c>
      <c r="D3472" s="44" t="str">
        <f>IFERROR(__xludf.DUMMYFUNCTION("""COMPUTED_VALUE""")," ")</f>
        <v> </v>
      </c>
      <c r="E3472" s="44" t="str">
        <f>IFERROR(__xludf.DUMMYFUNCTION("""COMPUTED_VALUE"""),"")</f>
        <v/>
      </c>
      <c r="F3472" s="44" t="str">
        <f>IFERROR(__xludf.DUMMYFUNCTION("""COMPUTED_VALUE"""),"")</f>
        <v/>
      </c>
      <c r="G3472" s="44" t="str">
        <f>IFERROR(__xludf.DUMMYFUNCTION("""COMPUTED_VALUE""")," ")</f>
        <v> </v>
      </c>
      <c r="H3472" s="44" t="str">
        <f>IFERROR(__xludf.DUMMYFUNCTION("""COMPUTED_VALUE""")," ")</f>
        <v> </v>
      </c>
      <c r="I3472" s="44" t="str">
        <f>IFERROR(__xludf.DUMMYFUNCTION("""COMPUTED_VALUE"""),"Internado")</f>
        <v>Internado</v>
      </c>
      <c r="J3472" s="44" t="str">
        <f>IFERROR(__xludf.DUMMYFUNCTION("""COMPUTED_VALUE"""),"")</f>
        <v/>
      </c>
      <c r="K3472" s="42" t="str">
        <f>IFERROR(__xludf.DUMMYFUNCTION("""COMPUTED_VALUE"""),"🔍 BUSCAR PACIENTES")</f>
        <v>🔍 BUSCAR PACIENTES</v>
      </c>
    </row>
    <row r="3473">
      <c r="A3473" s="44">
        <v>3472.0</v>
      </c>
      <c r="B3473" s="44" t="str">
        <f>IFERROR(__xludf.DUMMYFUNCTION("""COMPUTED_VALUE"""),"Hospital Pérez Carreño")</f>
        <v>Hospital Pérez Carreño</v>
      </c>
      <c r="C3473" s="45" t="str">
        <f>IFERROR(__xludf.DUMMYFUNCTION("""COMPUTED_VALUE"""),"SUCRE FRANCIS MEDINA")</f>
        <v>SUCRE FRANCIS MEDINA</v>
      </c>
      <c r="D3473" s="44" t="str">
        <f>IFERROR(__xludf.DUMMYFUNCTION("""COMPUTED_VALUE""")," ")</f>
        <v> </v>
      </c>
      <c r="E3473" s="44" t="str">
        <f>IFERROR(__xludf.DUMMYFUNCTION("""COMPUTED_VALUE"""),"")</f>
        <v/>
      </c>
      <c r="F3473" s="44" t="str">
        <f>IFERROR(__xludf.DUMMYFUNCTION("""COMPUTED_VALUE"""),"")</f>
        <v/>
      </c>
      <c r="G3473" s="44" t="str">
        <f>IFERROR(__xludf.DUMMYFUNCTION("""COMPUTED_VALUE""")," ")</f>
        <v> </v>
      </c>
      <c r="H3473" s="44" t="str">
        <f>IFERROR(__xludf.DUMMYFUNCTION("""COMPUTED_VALUE""")," ")</f>
        <v> </v>
      </c>
      <c r="I3473" s="44" t="str">
        <f>IFERROR(__xludf.DUMMYFUNCTION("""COMPUTED_VALUE""")," ")</f>
        <v> </v>
      </c>
      <c r="J3473" s="44" t="str">
        <f>IFERROR(__xludf.DUMMYFUNCTION("""COMPUTED_VALUE"""),"25/06/2026")</f>
        <v>25/06/2026</v>
      </c>
      <c r="K3473" s="42" t="str">
        <f>IFERROR(__xludf.DUMMYFUNCTION("""COMPUTED_VALUE"""),"Hospital Pérez Carreño")</f>
        <v>Hospital Pérez Carreño</v>
      </c>
    </row>
    <row r="3474">
      <c r="A3474" s="44">
        <v>3473.0</v>
      </c>
      <c r="B3474" s="44" t="str">
        <f>IFERROR(__xludf.DUMMYFUNCTION("""COMPUTED_VALUE"""),"Centro de Acopio Caraballeda")</f>
        <v>Centro de Acopio Caraballeda</v>
      </c>
      <c r="C3474" s="45" t="str">
        <f>IFERROR(__xludf.DUMMYFUNCTION("""COMPUTED_VALUE"""),"SUCRE JOHANDRY")</f>
        <v>SUCRE JOHANDRY</v>
      </c>
      <c r="D3474" s="44" t="str">
        <f>IFERROR(__xludf.DUMMYFUNCTION("""COMPUTED_VALUE""")," ")</f>
        <v> </v>
      </c>
      <c r="E3474" s="44" t="str">
        <f>IFERROR(__xludf.DUMMYFUNCTION("""COMPUTED_VALUE"""),"")</f>
        <v/>
      </c>
      <c r="F3474" s="44" t="str">
        <f>IFERROR(__xludf.DUMMYFUNCTION("""COMPUTED_VALUE"""),"")</f>
        <v/>
      </c>
      <c r="G3474" s="44" t="str">
        <f>IFERROR(__xludf.DUMMYFUNCTION("""COMPUTED_VALUE""")," ")</f>
        <v> </v>
      </c>
      <c r="H3474" s="44" t="str">
        <f>IFERROR(__xludf.DUMMYFUNCTION("""COMPUTED_VALUE""")," ")</f>
        <v> </v>
      </c>
      <c r="I3474" s="44" t="str">
        <f>IFERROR(__xludf.DUMMYFUNCTION("""COMPUTED_VALUE"""),"Internado")</f>
        <v>Internado</v>
      </c>
      <c r="J3474" s="44" t="str">
        <f>IFERROR(__xludf.DUMMYFUNCTION("""COMPUTED_VALUE"""),"")</f>
        <v/>
      </c>
      <c r="K3474" s="42" t="str">
        <f>IFERROR(__xludf.DUMMYFUNCTION("""COMPUTED_VALUE"""),"🔍 BUSCAR PACIENTES")</f>
        <v>🔍 BUSCAR PACIENTES</v>
      </c>
    </row>
    <row r="3475">
      <c r="A3475" s="44">
        <v>3474.0</v>
      </c>
      <c r="B3475" s="44" t="str">
        <f>IFERROR(__xludf.DUMMYFUNCTION("""COMPUTED_VALUE"""),"H. Jose Maria Vargas LG")</f>
        <v>H. Jose Maria Vargas LG</v>
      </c>
      <c r="C3475" s="45" t="str">
        <f>IFERROR(__xludf.DUMMYFUNCTION("""COMPUTED_VALUE"""),"SUGELY")</f>
        <v>SUGELY</v>
      </c>
      <c r="D3475" s="44" t="str">
        <f>IFERROR(__xludf.DUMMYFUNCTION("""COMPUTED_VALUE""")," ")</f>
        <v> </v>
      </c>
      <c r="E3475" s="44" t="str">
        <f>IFERROR(__xludf.DUMMYFUNCTION("""COMPUTED_VALUE"""),"")</f>
        <v/>
      </c>
      <c r="F3475" s="44" t="str">
        <f>IFERROR(__xludf.DUMMYFUNCTION("""COMPUTED_VALUE"""),"")</f>
        <v/>
      </c>
      <c r="G3475" s="44" t="str">
        <f>IFERROR(__xludf.DUMMYFUNCTION("""COMPUTED_VALUE""")," ")</f>
        <v> </v>
      </c>
      <c r="H3475" s="44" t="str">
        <f>IFERROR(__xludf.DUMMYFUNCTION("""COMPUTED_VALUE""")," ")</f>
        <v> </v>
      </c>
      <c r="I3475" s="44" t="str">
        <f>IFERROR(__xludf.DUMMYFUNCTION("""COMPUTED_VALUE""")," ")</f>
        <v> </v>
      </c>
      <c r="J3475" s="44" t="str">
        <f>IFERROR(__xludf.DUMMYFUNCTION("""COMPUTED_VALUE"""),"")</f>
        <v/>
      </c>
      <c r="K3475" s="42" t="str">
        <f>IFERROR(__xludf.DUMMYFUNCTION("""COMPUTED_VALUE"""),"H. Jose Maria Vargas LG")</f>
        <v>H. Jose Maria Vargas LG</v>
      </c>
    </row>
    <row r="3476">
      <c r="A3476" s="44">
        <v>3475.0</v>
      </c>
      <c r="B3476" s="44" t="str">
        <f>IFERROR(__xludf.DUMMYFUNCTION("""COMPUTED_VALUE"""),"Hospital Domingo Luciani")</f>
        <v>Hospital Domingo Luciani</v>
      </c>
      <c r="C3476" s="45" t="str">
        <f>IFERROR(__xludf.DUMMYFUNCTION("""COMPUTED_VALUE"""),"SUHYN ALAYON")</f>
        <v>SUHYN ALAYON</v>
      </c>
      <c r="D3476" s="44" t="str">
        <f>IFERROR(__xludf.DUMMYFUNCTION("""COMPUTED_VALUE""")," ")</f>
        <v> </v>
      </c>
      <c r="E3476" s="44" t="str">
        <f>IFERROR(__xludf.DUMMYFUNCTION("""COMPUTED_VALUE"""),"")</f>
        <v/>
      </c>
      <c r="F3476" s="44" t="str">
        <f>IFERROR(__xludf.DUMMYFUNCTION("""COMPUTED_VALUE"""),"")</f>
        <v/>
      </c>
      <c r="G3476" s="44" t="str">
        <f>IFERROR(__xludf.DUMMYFUNCTION("""COMPUTED_VALUE""")," ")</f>
        <v> </v>
      </c>
      <c r="H3476" s="44" t="str">
        <f>IFERROR(__xludf.DUMMYFUNCTION("""COMPUTED_VALUE""")," ")</f>
        <v> </v>
      </c>
      <c r="I3476" s="44" t="str">
        <f>IFERROR(__xludf.DUMMYFUNCTION("""COMPUTED_VALUE""")," ")</f>
        <v> </v>
      </c>
      <c r="J3476" s="44" t="str">
        <f>IFERROR(__xludf.DUMMYFUNCTION("""COMPUTED_VALUE"""),"")</f>
        <v/>
      </c>
      <c r="K3476" s="42" t="str">
        <f>IFERROR(__xludf.DUMMYFUNCTION("""COMPUTED_VALUE"""),"🔍 BUSCAR PACIENTES")</f>
        <v>🔍 BUSCAR PACIENTES</v>
      </c>
    </row>
    <row r="3477">
      <c r="A3477" s="44">
        <v>3476.0</v>
      </c>
      <c r="B3477" s="44" t="str">
        <f>IFERROR(__xludf.DUMMYFUNCTION("""COMPUTED_VALUE"""),"H. Jose Maria Vargas LG")</f>
        <v>H. Jose Maria Vargas LG</v>
      </c>
      <c r="C3477" s="45" t="str">
        <f>IFERROR(__xludf.DUMMYFUNCTION("""COMPUTED_VALUE"""),"SURA LUISA")</f>
        <v>SURA LUISA</v>
      </c>
      <c r="D3477" s="44" t="str">
        <f>IFERROR(__xludf.DUMMYFUNCTION("""COMPUTED_VALUE""")," ")</f>
        <v> </v>
      </c>
      <c r="E3477" s="44" t="str">
        <f>IFERROR(__xludf.DUMMYFUNCTION("""COMPUTED_VALUE"""),"")</f>
        <v/>
      </c>
      <c r="F3477" s="44" t="str">
        <f>IFERROR(__xludf.DUMMYFUNCTION("""COMPUTED_VALUE"""),"")</f>
        <v/>
      </c>
      <c r="G3477" s="44" t="str">
        <f>IFERROR(__xludf.DUMMYFUNCTION("""COMPUTED_VALUE""")," ")</f>
        <v> </v>
      </c>
      <c r="H3477" s="44" t="str">
        <f>IFERROR(__xludf.DUMMYFUNCTION("""COMPUTED_VALUE""")," ")</f>
        <v> </v>
      </c>
      <c r="I3477" s="44" t="str">
        <f>IFERROR(__xludf.DUMMYFUNCTION("""COMPUTED_VALUE""")," ")</f>
        <v> </v>
      </c>
      <c r="J3477" s="44" t="str">
        <f>IFERROR(__xludf.DUMMYFUNCTION("""COMPUTED_VALUE"""),"")</f>
        <v/>
      </c>
      <c r="K3477" s="42" t="str">
        <f>IFERROR(__xludf.DUMMYFUNCTION("""COMPUTED_VALUE"""),"H. Jose Maria Vargas LG")</f>
        <v>H. Jose Maria Vargas LG</v>
      </c>
    </row>
    <row r="3478">
      <c r="A3478" s="44">
        <v>3477.0</v>
      </c>
      <c r="B3478" s="44" t="str">
        <f>IFERROR(__xludf.DUMMYFUNCTION("""COMPUTED_VALUE"""),"Hospital Pérez Carreño")</f>
        <v>Hospital Pérez Carreño</v>
      </c>
      <c r="C3478" s="45" t="str">
        <f>IFERROR(__xludf.DUMMYFUNCTION("""COMPUTED_VALUE"""),"T JUNIOR")</f>
        <v>T JUNIOR</v>
      </c>
      <c r="D3478" s="44" t="str">
        <f>IFERROR(__xludf.DUMMYFUNCTION("""COMPUTED_VALUE""")," ")</f>
        <v> </v>
      </c>
      <c r="E3478" s="44" t="str">
        <f>IFERROR(__xludf.DUMMYFUNCTION("""COMPUTED_VALUE"""),"")</f>
        <v/>
      </c>
      <c r="F3478" s="44" t="str">
        <f>IFERROR(__xludf.DUMMYFUNCTION("""COMPUTED_VALUE"""),"")</f>
        <v/>
      </c>
      <c r="G3478" s="44" t="str">
        <f>IFERROR(__xludf.DUMMYFUNCTION("""COMPUTED_VALUE""")," ")</f>
        <v> </v>
      </c>
      <c r="H3478" s="44" t="str">
        <f>IFERROR(__xludf.DUMMYFUNCTION("""COMPUTED_VALUE""")," ")</f>
        <v> </v>
      </c>
      <c r="I3478" s="44" t="str">
        <f>IFERROR(__xludf.DUMMYFUNCTION("""COMPUTED_VALUE"""),"Internado; Pasillo de ascensor")</f>
        <v>Internado; Pasillo de ascensor</v>
      </c>
      <c r="J3478" s="44" t="str">
        <f>IFERROR(__xludf.DUMMYFUNCTION("""COMPUTED_VALUE"""),"")</f>
        <v/>
      </c>
      <c r="K3478" s="42" t="str">
        <f>IFERROR(__xludf.DUMMYFUNCTION("""COMPUTED_VALUE"""),"🔍 BUSCAR PACIENTES")</f>
        <v>🔍 BUSCAR PACIENTES</v>
      </c>
    </row>
    <row r="3479">
      <c r="A3479" s="44">
        <v>3478.0</v>
      </c>
      <c r="B3479" s="44" t="str">
        <f>IFERROR(__xludf.DUMMYFUNCTION("""COMPUTED_VALUE"""),"H. Jose Maria Vargas LG")</f>
        <v>H. Jose Maria Vargas LG</v>
      </c>
      <c r="C3479" s="45" t="str">
        <f>IFERROR(__xludf.DUMMYFUNCTION("""COMPUTED_VALUE"""),"TABIO EDUARDO")</f>
        <v>TABIO EDUARDO</v>
      </c>
      <c r="D3479" s="44" t="str">
        <f>IFERROR(__xludf.DUMMYFUNCTION("""COMPUTED_VALUE""")," ")</f>
        <v> </v>
      </c>
      <c r="E3479" s="44" t="str">
        <f>IFERROR(__xludf.DUMMYFUNCTION("""COMPUTED_VALUE"""),"")</f>
        <v/>
      </c>
      <c r="F3479" s="44" t="str">
        <f>IFERROR(__xludf.DUMMYFUNCTION("""COMPUTED_VALUE"""),"")</f>
        <v/>
      </c>
      <c r="G3479" s="44" t="str">
        <f>IFERROR(__xludf.DUMMYFUNCTION("""COMPUTED_VALUE""")," ")</f>
        <v> </v>
      </c>
      <c r="H3479" s="44" t="str">
        <f>IFERROR(__xludf.DUMMYFUNCTION("""COMPUTED_VALUE"""),"Caribe")</f>
        <v>Caribe</v>
      </c>
      <c r="I3479" s="44" t="str">
        <f>IFERROR(__xludf.DUMMYFUNCTION("""COMPUTED_VALUE""")," ")</f>
        <v> </v>
      </c>
      <c r="J3479" s="44" t="str">
        <f>IFERROR(__xludf.DUMMYFUNCTION("""COMPUTED_VALUE"""),"")</f>
        <v/>
      </c>
      <c r="K3479" s="42" t="str">
        <f>IFERROR(__xludf.DUMMYFUNCTION("""COMPUTED_VALUE"""),"H. Jose Maria Vargas LG")</f>
        <v>H. Jose Maria Vargas LG</v>
      </c>
    </row>
    <row r="3480">
      <c r="A3480" s="44">
        <v>3479.0</v>
      </c>
      <c r="B3480" s="44" t="str">
        <f>IFERROR(__xludf.DUMMYFUNCTION("""COMPUTED_VALUE"""),"H. Jose Maria Vargas LG")</f>
        <v>H. Jose Maria Vargas LG</v>
      </c>
      <c r="C3480" s="45" t="str">
        <f>IFERROR(__xludf.DUMMYFUNCTION("""COMPUTED_VALUE"""),"TABLANTE ADRIAN")</f>
        <v>TABLANTE ADRIAN</v>
      </c>
      <c r="D3480" s="44" t="str">
        <f>IFERROR(__xludf.DUMMYFUNCTION("""COMPUTED_VALUE""")," ")</f>
        <v> </v>
      </c>
      <c r="E3480" s="44" t="str">
        <f>IFERROR(__xludf.DUMMYFUNCTION("""COMPUTED_VALUE"""),"")</f>
        <v/>
      </c>
      <c r="F3480" s="44" t="str">
        <f>IFERROR(__xludf.DUMMYFUNCTION("""COMPUTED_VALUE"""),"")</f>
        <v/>
      </c>
      <c r="G3480" s="44" t="str">
        <f>IFERROR(__xludf.DUMMYFUNCTION("""COMPUTED_VALUE""")," ")</f>
        <v> </v>
      </c>
      <c r="H3480" s="44" t="str">
        <f>IFERROR(__xludf.DUMMYFUNCTION("""COMPUTED_VALUE""")," ")</f>
        <v> </v>
      </c>
      <c r="I3480" s="44" t="str">
        <f>IFERROR(__xludf.DUMMYFUNCTION("""COMPUTED_VALUE""")," ")</f>
        <v> </v>
      </c>
      <c r="J3480" s="44" t="str">
        <f>IFERROR(__xludf.DUMMYFUNCTION("""COMPUTED_VALUE"""),"")</f>
        <v/>
      </c>
      <c r="K3480" s="42" t="str">
        <f>IFERROR(__xludf.DUMMYFUNCTION("""COMPUTED_VALUE"""),"H. Jose Maria Vargas LG")</f>
        <v>H. Jose Maria Vargas LG</v>
      </c>
    </row>
    <row r="3481">
      <c r="A3481" s="44">
        <v>3480.0</v>
      </c>
      <c r="B3481" s="44" t="str">
        <f>IFERROR(__xludf.DUMMYFUNCTION("""COMPUTED_VALUE"""),"Hospital Pérez Carreño")</f>
        <v>Hospital Pérez Carreño</v>
      </c>
      <c r="C3481" s="45" t="str">
        <f>IFERROR(__xludf.DUMMYFUNCTION("""COMPUTED_VALUE"""),"Tairy Lopez")</f>
        <v>Tairy Lopez</v>
      </c>
      <c r="D3481" s="44"/>
      <c r="E3481" s="44" t="str">
        <f>IFERROR(__xludf.DUMMYFUNCTION("""COMPUTED_VALUE"""),"")</f>
        <v/>
      </c>
      <c r="F3481" s="44" t="str">
        <f>IFERROR(__xludf.DUMMYFUNCTION("""COMPUTED_VALUE"""),"")</f>
        <v/>
      </c>
      <c r="G3481" s="44" t="str">
        <f>IFERROR(__xludf.DUMMYFUNCTION("""COMPUTED_VALUE"""),"Traumashock ")</f>
        <v>Traumashock </v>
      </c>
      <c r="H3481" s="44" t="str">
        <f>IFERROR(__xludf.DUMMYFUNCTION("""COMPUTED_VALUE"""),"Hospital Miguel Perez Carreño")</f>
        <v>Hospital Miguel Perez Carreño</v>
      </c>
      <c r="I3481" s="44"/>
      <c r="J3481" s="44" t="str">
        <f>IFERROR(__xludf.DUMMYFUNCTION("""COMPUTED_VALUE"""),"26/6/26")</f>
        <v>26/6/26</v>
      </c>
      <c r="K3481" s="42" t="str">
        <f>IFERROR(__xludf.DUMMYFUNCTION("""COMPUTED_VALUE"""),"Hospital Pérez Carreño")</f>
        <v>Hospital Pérez Carreño</v>
      </c>
    </row>
    <row r="3482">
      <c r="A3482" s="44">
        <v>3481.0</v>
      </c>
      <c r="B3482" s="44" t="str">
        <f>IFERROR(__xludf.DUMMYFUNCTION("""COMPUTED_VALUE"""),"Hospital Pérez Carreño")</f>
        <v>Hospital Pérez Carreño</v>
      </c>
      <c r="C3482" s="45" t="str">
        <f>IFERROR(__xludf.DUMMYFUNCTION("""COMPUTED_VALUE"""),"Tanaguarena Tour Sereyo Tina")</f>
        <v>Tanaguarena Tour Sereyo Tina</v>
      </c>
      <c r="D3482" s="44"/>
      <c r="E3482" s="44" t="str">
        <f>IFERROR(__xludf.DUMMYFUNCTION("""COMPUTED_VALUE"""),"")</f>
        <v/>
      </c>
      <c r="F3482" s="44" t="str">
        <f>IFERROR(__xludf.DUMMYFUNCTION("""COMPUTED_VALUE"""),"")</f>
        <v/>
      </c>
      <c r="G3482" s="44" t="str">
        <f>IFERROR(__xludf.DUMMYFUNCTION("""COMPUTED_VALUE"""),"Traslados con destino asignado")</f>
        <v>Traslados con destino asignado</v>
      </c>
      <c r="H3482" s="44" t="str">
        <f>IFERROR(__xludf.DUMMYFUNCTION("""COMPUTED_VALUE"""),"Hospital Miguel Perez Carreño")</f>
        <v>Hospital Miguel Perez Carreño</v>
      </c>
      <c r="I3482" s="44"/>
      <c r="J3482" s="44" t="str">
        <f>IFERROR(__xludf.DUMMYFUNCTION("""COMPUTED_VALUE"""),"26/6/26")</f>
        <v>26/6/26</v>
      </c>
      <c r="K3482" s="42" t="str">
        <f>IFERROR(__xludf.DUMMYFUNCTION("""COMPUTED_VALUE"""),"Hospital Pérez Carreño")</f>
        <v>Hospital Pérez Carreño</v>
      </c>
    </row>
    <row r="3483">
      <c r="A3483" s="44">
        <v>3482.0</v>
      </c>
      <c r="B3483" s="44" t="str">
        <f>IFERROR(__xludf.DUMMYFUNCTION("""COMPUTED_VALUE"""),"Periférico de Catia")</f>
        <v>Periférico de Catia</v>
      </c>
      <c r="C3483" s="45" t="str">
        <f>IFERROR(__xludf.DUMMYFUNCTION("""COMPUTED_VALUE"""),"Tania Celis (2)")</f>
        <v>Tania Celis (2)</v>
      </c>
      <c r="D3483" s="44">
        <f>IFERROR(__xludf.DUMMYFUNCTION("""COMPUTED_VALUE"""),62.0)</f>
        <v>62</v>
      </c>
      <c r="E3483" s="44" t="str">
        <f>IFERROR(__xludf.DUMMYFUNCTION("""COMPUTED_VALUE"""),"")</f>
        <v/>
      </c>
      <c r="F3483" s="44" t="str">
        <f>IFERROR(__xludf.DUMMYFUNCTION("""COMPUTED_VALUE"""),"")</f>
        <v/>
      </c>
      <c r="G3483" s="44"/>
      <c r="H3483" s="44"/>
      <c r="I3483" s="44" t="str">
        <f>IFERROR(__xludf.DUMMYFUNCTION("""COMPUTED_VALUE"""),"Politrauma Emergencia Vieja — posible triplicado de 'Celis Tania' (UCI) y 'Tania Celis' (Politrauma Emerg. Nueva)")</f>
        <v>Politrauma Emergencia Vieja — posible triplicado de 'Celis Tania' (UCI) y 'Tania Celis' (Politrauma Emerg. Nueva)</v>
      </c>
      <c r="J3483" s="44" t="str">
        <f>IFERROR(__xludf.DUMMYFUNCTION("""COMPUTED_VALUE"""),"")</f>
        <v/>
      </c>
      <c r="K3483" s="42" t="str">
        <f>IFERROR(__xludf.DUMMYFUNCTION("""COMPUTED_VALUE"""),"Periférico de Catia")</f>
        <v>Periférico de Catia</v>
      </c>
    </row>
    <row r="3484">
      <c r="A3484" s="44">
        <v>3483.0</v>
      </c>
      <c r="B3484" s="44" t="str">
        <f>IFERROR(__xludf.DUMMYFUNCTION("""COMPUTED_VALUE"""),"Hospital Domingo Luciani")</f>
        <v>Hospital Domingo Luciani</v>
      </c>
      <c r="C3484" s="45" t="str">
        <f>IFERROR(__xludf.DUMMYFUNCTION("""COMPUTED_VALUE"""),"TANIA CELIS / TANIC CELIS")</f>
        <v>TANIA CELIS / TANIC CELIS</v>
      </c>
      <c r="D3484" s="44">
        <f>IFERROR(__xludf.DUMMYFUNCTION("""COMPUTED_VALUE"""),62.0)</f>
        <v>62</v>
      </c>
      <c r="E3484" s="44" t="str">
        <f>IFERROR(__xludf.DUMMYFUNCTION("""COMPUTED_VALUE"""),"")</f>
        <v/>
      </c>
      <c r="F3484" s="44" t="str">
        <f>IFERROR(__xludf.DUMMYFUNCTION("""COMPUTED_VALUE"""),"")</f>
        <v/>
      </c>
      <c r="G3484" s="44" t="str">
        <f>IFERROR(__xludf.DUMMYFUNCTION("""COMPUTED_VALUE""")," ")</f>
        <v> </v>
      </c>
      <c r="H3484" s="44" t="str">
        <f>IFERROR(__xludf.DUMMYFUNCTION("""COMPUTED_VALUE""")," ")</f>
        <v> </v>
      </c>
      <c r="I3484" s="44" t="str">
        <f>IFERROR(__xludf.DUMMYFUNCTION("""COMPUTED_VALUE"""),"Politrauma Emerg. Vieja – Qx")</f>
        <v>Politrauma Emerg. Vieja – Qx</v>
      </c>
      <c r="J3484" s="44" t="str">
        <f>IFERROR(__xludf.DUMMYFUNCTION("""COMPUTED_VALUE"""),"")</f>
        <v/>
      </c>
      <c r="K3484" s="42" t="str">
        <f>IFERROR(__xludf.DUMMYFUNCTION("""COMPUTED_VALUE"""),"🔍 BUSCAR PACIENTES")</f>
        <v>🔍 BUSCAR PACIENTES</v>
      </c>
    </row>
    <row r="3485">
      <c r="A3485" s="44">
        <v>3484.0</v>
      </c>
      <c r="B3485" s="44" t="str">
        <f>IFERROR(__xludf.DUMMYFUNCTION("""COMPUTED_VALUE"""),"Hospital Domingo Luciani")</f>
        <v>Hospital Domingo Luciani</v>
      </c>
      <c r="C3485" s="45" t="str">
        <f>IFERROR(__xludf.DUMMYFUNCTION("""COMPUTED_VALUE"""),"TANIE CELIS")</f>
        <v>TANIE CELIS</v>
      </c>
      <c r="D3485" s="44">
        <f>IFERROR(__xludf.DUMMYFUNCTION("""COMPUTED_VALUE"""),62.0)</f>
        <v>62</v>
      </c>
      <c r="E3485" s="44" t="str">
        <f>IFERROR(__xludf.DUMMYFUNCTION("""COMPUTED_VALUE"""),"")</f>
        <v/>
      </c>
      <c r="F3485" s="44" t="str">
        <f>IFERROR(__xludf.DUMMYFUNCTION("""COMPUTED_VALUE"""),"")</f>
        <v/>
      </c>
      <c r="G3485" s="44" t="str">
        <f>IFERROR(__xludf.DUMMYFUNCTION("""COMPUTED_VALUE""")," ")</f>
        <v> </v>
      </c>
      <c r="H3485" s="44" t="str">
        <f>IFERROR(__xludf.DUMMYFUNCTION("""COMPUTED_VALUE""")," ")</f>
        <v> </v>
      </c>
      <c r="I3485" s="44" t="str">
        <f>IFERROR(__xludf.DUMMYFUNCTION("""COMPUTED_VALUE"""),"Politrauma Emerg. Vieja – Qx")</f>
        <v>Politrauma Emerg. Vieja – Qx</v>
      </c>
      <c r="J3485" s="44" t="str">
        <f>IFERROR(__xludf.DUMMYFUNCTION("""COMPUTED_VALUE"""),"")</f>
        <v/>
      </c>
      <c r="K3485" s="42" t="str">
        <f>IFERROR(__xludf.DUMMYFUNCTION("""COMPUTED_VALUE"""),"🔍 BUSCAR PACIENTES")</f>
        <v>🔍 BUSCAR PACIENTES</v>
      </c>
    </row>
    <row r="3486">
      <c r="A3486" s="44">
        <v>3485.0</v>
      </c>
      <c r="B3486" s="44" t="str">
        <f>IFERROR(__xludf.DUMMYFUNCTION("""COMPUTED_VALUE"""),"Campo de Golf Playa los Cocos")</f>
        <v>Campo de Golf Playa los Cocos</v>
      </c>
      <c r="C3486" s="45" t="str">
        <f>IFERROR(__xludf.DUMMYFUNCTION("""COMPUTED_VALUE"""),"Teobaldo Hernandez")</f>
        <v>Teobaldo Hernandez</v>
      </c>
      <c r="D3486" s="44" t="str">
        <f>IFERROR(__xludf.DUMMYFUNCTION("""COMPUTED_VALUE"""),"")</f>
        <v/>
      </c>
      <c r="E3486" s="44" t="str">
        <f>IFERROR(__xludf.DUMMYFUNCTION("""COMPUTED_VALUE"""),"")</f>
        <v/>
      </c>
      <c r="F3486" s="44" t="str">
        <f>IFERROR(__xludf.DUMMYFUNCTION("""COMPUTED_VALUE"""),"")</f>
        <v/>
      </c>
      <c r="G3486" s="44" t="str">
        <f>IFERROR(__xludf.DUMMYFUNCTION("""COMPUTED_VALUE"""),"")</f>
        <v/>
      </c>
      <c r="H3486" s="44" t="str">
        <f>IFERROR(__xludf.DUMMYFUNCTION("""COMPUTED_VALUE"""),"")</f>
        <v/>
      </c>
      <c r="I3486" s="44"/>
      <c r="J3486" s="44" t="str">
        <f>IFERROR(__xludf.DUMMYFUNCTION("""COMPUTED_VALUE"""),"")</f>
        <v/>
      </c>
      <c r="K3486" s="42" t="str">
        <f>IFERROR(__xludf.DUMMYFUNCTION("""COMPUTED_VALUE"""),"Campo de Golf Playa los Cocos")</f>
        <v>Campo de Golf Playa los Cocos</v>
      </c>
    </row>
    <row r="3487">
      <c r="A3487" s="44">
        <v>3486.0</v>
      </c>
      <c r="B3487" s="44" t="str">
        <f>IFERROR(__xludf.DUMMYFUNCTION("""COMPUTED_VALUE"""),"Hospital Vargas de Caracas")</f>
        <v>Hospital Vargas de Caracas</v>
      </c>
      <c r="C3487" s="45" t="str">
        <f>IFERROR(__xludf.DUMMYFUNCTION("""COMPUTED_VALUE"""),"TERAN AUDIA")</f>
        <v>TERAN AUDIA</v>
      </c>
      <c r="D3487" s="44" t="str">
        <f>IFERROR(__xludf.DUMMYFUNCTION("""COMPUTED_VALUE""")," ")</f>
        <v> </v>
      </c>
      <c r="E3487" s="44" t="str">
        <f>IFERROR(__xludf.DUMMYFUNCTION("""COMPUTED_VALUE"""),"")</f>
        <v/>
      </c>
      <c r="F3487" s="44" t="str">
        <f>IFERROR(__xludf.DUMMYFUNCTION("""COMPUTED_VALUE""")," ")</f>
        <v> </v>
      </c>
      <c r="G3487" s="44" t="str">
        <f>IFERROR(__xludf.DUMMYFUNCTION("""COMPUTED_VALUE"""),"")</f>
        <v/>
      </c>
      <c r="H3487" s="44" t="str">
        <f>IFERROR(__xludf.DUMMYFUNCTION("""COMPUTED_VALUE""")," ")</f>
        <v> </v>
      </c>
      <c r="I3487" s="44" t="str">
        <f>IFERROR(__xludf.DUMMYFUNCTION("""COMPUTED_VALUE""")," ")</f>
        <v> </v>
      </c>
      <c r="J3487" s="44" t="str">
        <f>IFERROR(__xludf.DUMMYFUNCTION("""COMPUTED_VALUE"""),"")</f>
        <v/>
      </c>
      <c r="K3487" s="42" t="str">
        <f>IFERROR(__xludf.DUMMYFUNCTION("""COMPUTED_VALUE"""),"Hospital Vargas de Caracas")</f>
        <v>Hospital Vargas de Caracas</v>
      </c>
    </row>
    <row r="3488">
      <c r="A3488" s="44">
        <v>3487.0</v>
      </c>
      <c r="B3488" s="44" t="str">
        <f>IFERROR(__xludf.DUMMYFUNCTION("""COMPUTED_VALUE"""),"H. Jose Maria Vargas LG")</f>
        <v>H. Jose Maria Vargas LG</v>
      </c>
      <c r="C3488" s="45" t="str">
        <f>IFERROR(__xludf.DUMMYFUNCTION("""COMPUTED_VALUE"""),"TERAN JOSE")</f>
        <v>TERAN JOSE</v>
      </c>
      <c r="D3488" s="44" t="str">
        <f>IFERROR(__xludf.DUMMYFUNCTION("""COMPUTED_VALUE""")," ")</f>
        <v> </v>
      </c>
      <c r="E3488" s="44" t="str">
        <f>IFERROR(__xludf.DUMMYFUNCTION("""COMPUTED_VALUE"""),"")</f>
        <v/>
      </c>
      <c r="F3488" s="44" t="str">
        <f>IFERROR(__xludf.DUMMYFUNCTION("""COMPUTED_VALUE"""),"")</f>
        <v/>
      </c>
      <c r="G3488" s="44" t="str">
        <f>IFERROR(__xludf.DUMMYFUNCTION("""COMPUTED_VALUE""")," ")</f>
        <v> </v>
      </c>
      <c r="H3488" s="44" t="str">
        <f>IFERROR(__xludf.DUMMYFUNCTION("""COMPUTED_VALUE""")," ")</f>
        <v> </v>
      </c>
      <c r="I3488" s="44" t="str">
        <f>IFERROR(__xludf.DUMMYFUNCTION("""COMPUTED_VALUE""")," ")</f>
        <v> </v>
      </c>
      <c r="J3488" s="44" t="str">
        <f>IFERROR(__xludf.DUMMYFUNCTION("""COMPUTED_VALUE"""),"")</f>
        <v/>
      </c>
      <c r="K3488" s="42" t="str">
        <f>IFERROR(__xludf.DUMMYFUNCTION("""COMPUTED_VALUE"""),"H. Jose Maria Vargas LG")</f>
        <v>H. Jose Maria Vargas LG</v>
      </c>
    </row>
    <row r="3489">
      <c r="A3489" s="44">
        <v>3488.0</v>
      </c>
      <c r="B3489" s="44" t="str">
        <f>IFERROR(__xludf.DUMMYFUNCTION("""COMPUTED_VALUE"""),"Campo de Golf Playa los Cocos")</f>
        <v>Campo de Golf Playa los Cocos</v>
      </c>
      <c r="C3489" s="45" t="str">
        <f>IFERROR(__xludf.DUMMYFUNCTION("""COMPUTED_VALUE"""),"Thiago Arratia")</f>
        <v>Thiago Arratia</v>
      </c>
      <c r="D3489" s="44" t="str">
        <f>IFERROR(__xludf.DUMMYFUNCTION("""COMPUTED_VALUE"""),"")</f>
        <v/>
      </c>
      <c r="E3489" s="44" t="str">
        <f>IFERROR(__xludf.DUMMYFUNCTION("""COMPUTED_VALUE"""),"")</f>
        <v/>
      </c>
      <c r="F3489" s="44" t="str">
        <f>IFERROR(__xludf.DUMMYFUNCTION("""COMPUTED_VALUE"""),"")</f>
        <v/>
      </c>
      <c r="G3489" s="44" t="str">
        <f>IFERROR(__xludf.DUMMYFUNCTION("""COMPUTED_VALUE"""),"")</f>
        <v/>
      </c>
      <c r="H3489" s="44" t="str">
        <f>IFERROR(__xludf.DUMMYFUNCTION("""COMPUTED_VALUE"""),"")</f>
        <v/>
      </c>
      <c r="I3489" s="44"/>
      <c r="J3489" s="44" t="str">
        <f>IFERROR(__xludf.DUMMYFUNCTION("""COMPUTED_VALUE"""),"")</f>
        <v/>
      </c>
      <c r="K3489" s="42" t="str">
        <f>IFERROR(__xludf.DUMMYFUNCTION("""COMPUTED_VALUE"""),"Campo de Golf Playa los Cocos")</f>
        <v>Campo de Golf Playa los Cocos</v>
      </c>
    </row>
    <row r="3490">
      <c r="A3490" s="44">
        <v>3489.0</v>
      </c>
      <c r="B3490" s="44" t="str">
        <f>IFERROR(__xludf.DUMMYFUNCTION("""COMPUTED_VALUE"""),"HOSPITAL VARGAS")</f>
        <v>HOSPITAL VARGAS</v>
      </c>
      <c r="C3490" s="45" t="str">
        <f>IFERROR(__xludf.DUMMYFUNCTION("""COMPUTED_VALUE"""),"Tibisay Tubor")</f>
        <v>Tibisay Tubor</v>
      </c>
      <c r="D3490" s="44"/>
      <c r="E3490" s="44" t="str">
        <f>IFERROR(__xludf.DUMMYFUNCTION("""COMPUTED_VALUE"""),"")</f>
        <v/>
      </c>
      <c r="F3490" s="44" t="str">
        <f>IFERROR(__xludf.DUMMYFUNCTION("""COMPUTED_VALUE"""),"")</f>
        <v/>
      </c>
      <c r="G3490" s="44" t="str">
        <f>IFERROR(__xludf.DUMMYFUNCTION("""COMPUTED_VALUE"""),"")</f>
        <v/>
      </c>
      <c r="H3490" s="44" t="str">
        <f>IFERROR(__xludf.DUMMYFUNCTION("""COMPUTED_VALUE"""),"")</f>
        <v/>
      </c>
      <c r="I3490" s="44" t="str">
        <f>IFERROR(__xludf.DUMMYFUNCTION("""COMPUTED_VALUE"""),"Herido / atendido")</f>
        <v>Herido / atendido</v>
      </c>
      <c r="J3490" s="44" t="str">
        <f>IFERROR(__xludf.DUMMYFUNCTION("""COMPUTED_VALUE"""),"24.06.2026 ")</f>
        <v>24.06.2026 </v>
      </c>
      <c r="K3490" s="42" t="str">
        <f>IFERROR(__xludf.DUMMYFUNCTION("""COMPUTED_VALUE"""),"HOSPITAL VARGAS")</f>
        <v>HOSPITAL VARGAS</v>
      </c>
    </row>
    <row r="3491">
      <c r="A3491" s="44">
        <v>3490.0</v>
      </c>
      <c r="B3491" s="44" t="str">
        <f>IFERROR(__xludf.DUMMYFUNCTION("""COMPUTED_VALUE"""),"Seguro Social La Guaira")</f>
        <v>Seguro Social La Guaira</v>
      </c>
      <c r="C3491" s="45" t="str">
        <f>IFERROR(__xludf.DUMMYFUNCTION("""COMPUTED_VALUE"""),"TIBIZAR DIAZ")</f>
        <v>TIBIZAR DIAZ</v>
      </c>
      <c r="D3491" s="44">
        <f>IFERROR(__xludf.DUMMYFUNCTION("""COMPUTED_VALUE"""),60.0)</f>
        <v>60</v>
      </c>
      <c r="E3491" s="44" t="str">
        <f>IFERROR(__xludf.DUMMYFUNCTION("""COMPUTED_VALUE"""),"")</f>
        <v/>
      </c>
      <c r="F3491" s="44" t="str">
        <f>IFERROR(__xludf.DUMMYFUNCTION("""COMPUTED_VALUE"""),"")</f>
        <v/>
      </c>
      <c r="G3491" s="44" t="str">
        <f>IFERROR(__xludf.DUMMYFUNCTION("""COMPUTED_VALUE""")," ")</f>
        <v> </v>
      </c>
      <c r="H3491" s="44" t="str">
        <f>IFERROR(__xludf.DUMMYFUNCTION("""COMPUTED_VALUE"""),"Caribe")</f>
        <v>Caribe</v>
      </c>
      <c r="I3491" s="44" t="str">
        <f>IFERROR(__xludf.DUMMYFUNCTION("""COMPUTED_VALUE""")," ")</f>
        <v> </v>
      </c>
      <c r="J3491" s="44" t="str">
        <f>IFERROR(__xludf.DUMMYFUNCTION("""COMPUTED_VALUE"""),"")</f>
        <v/>
      </c>
      <c r="K3491" s="42" t="str">
        <f>IFERROR(__xludf.DUMMYFUNCTION("""COMPUTED_VALUE"""),"Seguro Social La Guaira")</f>
        <v>Seguro Social La Guaira</v>
      </c>
    </row>
    <row r="3492">
      <c r="A3492" s="44">
        <v>3491.0</v>
      </c>
      <c r="B3492" s="44" t="str">
        <f>IFERROR(__xludf.DUMMYFUNCTION("""COMPUTED_VALUE"""),"Cruz Roja")</f>
        <v>Cruz Roja</v>
      </c>
      <c r="C3492" s="45" t="str">
        <f>IFERROR(__xludf.DUMMYFUNCTION("""COMPUTED_VALUE"""),"TINGY JOSE")</f>
        <v>TINGY JOSE</v>
      </c>
      <c r="D3492" s="44">
        <f>IFERROR(__xludf.DUMMYFUNCTION("""COMPUTED_VALUE"""),44.0)</f>
        <v>44</v>
      </c>
      <c r="E3492" s="44" t="str">
        <f>IFERROR(__xludf.DUMMYFUNCTION("""COMPUTED_VALUE"""),"")</f>
        <v/>
      </c>
      <c r="F3492" s="44" t="str">
        <f>IFERROR(__xludf.DUMMYFUNCTION("""COMPUTED_VALUE"""),"")</f>
        <v/>
      </c>
      <c r="G3492" s="44" t="str">
        <f>IFERROR(__xludf.DUMMYFUNCTION("""COMPUTED_VALUE""")," ")</f>
        <v> </v>
      </c>
      <c r="H3492" s="44" t="str">
        <f>IFERROR(__xludf.DUMMYFUNCTION("""COMPUTED_VALUE"""),"La Candelaria")</f>
        <v>La Candelaria</v>
      </c>
      <c r="I3492" s="44" t="str">
        <f>IFERROR(__xludf.DUMMYFUNCTION("""COMPUTED_VALUE""")," ")</f>
        <v> </v>
      </c>
      <c r="J3492" s="44" t="str">
        <f>IFERROR(__xludf.DUMMYFUNCTION("""COMPUTED_VALUE"""),"")</f>
        <v/>
      </c>
      <c r="K3492" s="42" t="str">
        <f>IFERROR(__xludf.DUMMYFUNCTION("""COMPUTED_VALUE"""),"Cruz Roja")</f>
        <v>Cruz Roja</v>
      </c>
    </row>
    <row r="3493">
      <c r="A3493" s="44">
        <v>3492.0</v>
      </c>
      <c r="B3493" s="44" t="str">
        <f>IFERROR(__xludf.DUMMYFUNCTION("""COMPUTED_VALUE"""),"Hospital Pérez Carreño")</f>
        <v>Hospital Pérez Carreño</v>
      </c>
      <c r="C3493" s="45" t="str">
        <f>IFERROR(__xludf.DUMMYFUNCTION("""COMPUTED_VALUE"""),"Tion")</f>
        <v>Tion</v>
      </c>
      <c r="D3493" s="44"/>
      <c r="E3493" s="44" t="str">
        <f>IFERROR(__xludf.DUMMYFUNCTION("""COMPUTED_VALUE"""),"")</f>
        <v/>
      </c>
      <c r="F3493" s="44" t="str">
        <f>IFERROR(__xludf.DUMMYFUNCTION("""COMPUTED_VALUE"""),"")</f>
        <v/>
      </c>
      <c r="G3493" s="44" t="str">
        <f>IFERROR(__xludf.DUMMYFUNCTION("""COMPUTED_VALUE"""),"Traslados con destino asignado")</f>
        <v>Traslados con destino asignado</v>
      </c>
      <c r="H3493" s="44" t="str">
        <f>IFERROR(__xludf.DUMMYFUNCTION("""COMPUTED_VALUE"""),"Hospital Miguel Perez Carreño")</f>
        <v>Hospital Miguel Perez Carreño</v>
      </c>
      <c r="I3493" s="44"/>
      <c r="J3493" s="44" t="str">
        <f>IFERROR(__xludf.DUMMYFUNCTION("""COMPUTED_VALUE"""),"26/6/26")</f>
        <v>26/6/26</v>
      </c>
      <c r="K3493" s="42" t="str">
        <f>IFERROR(__xludf.DUMMYFUNCTION("""COMPUTED_VALUE"""),"Hospital Pérez Carreño")</f>
        <v>Hospital Pérez Carreño</v>
      </c>
    </row>
    <row r="3494">
      <c r="A3494" s="44">
        <v>3493.0</v>
      </c>
      <c r="B3494" s="44" t="str">
        <f>IFERROR(__xludf.DUMMYFUNCTION("""COMPUTED_VALUE"""),"La Guaira Sin Hospital")</f>
        <v>La Guaira Sin Hospital</v>
      </c>
      <c r="C3494" s="45" t="str">
        <f>IFERROR(__xludf.DUMMYFUNCTION("""COMPUTED_VALUE"""),"Tirado Lavez Yunior David")</f>
        <v>Tirado Lavez Yunior David</v>
      </c>
      <c r="D3494" s="44" t="str">
        <f>IFERROR(__xludf.DUMMYFUNCTION("""COMPUTED_VALUE"""),"")</f>
        <v/>
      </c>
      <c r="E3494" s="44" t="str">
        <f>IFERROR(__xludf.DUMMYFUNCTION("""COMPUTED_VALUE"""),"")</f>
        <v/>
      </c>
      <c r="F3494" s="44" t="str">
        <f>IFERROR(__xludf.DUMMYFUNCTION("""COMPUTED_VALUE"""),"")</f>
        <v/>
      </c>
      <c r="G3494" s="44" t="str">
        <f>IFERROR(__xludf.DUMMYFUNCTION("""COMPUTED_VALUE"""),"")</f>
        <v/>
      </c>
      <c r="H3494" s="44"/>
      <c r="I3494" s="44" t="str">
        <f>IFERROR(__xludf.DUMMYFUNCTION("""COMPUTED_VALUE"""),"Listas solo con nombre")</f>
        <v>Listas solo con nombre</v>
      </c>
      <c r="J3494" s="44" t="str">
        <f>IFERROR(__xludf.DUMMYFUNCTION("""COMPUTED_VALUE"""),"")</f>
        <v/>
      </c>
      <c r="K3494" s="42" t="str">
        <f>IFERROR(__xludf.DUMMYFUNCTION("""COMPUTED_VALUE"""),"La Guaira Sin Hospital")</f>
        <v>La Guaira Sin Hospital</v>
      </c>
    </row>
    <row r="3495">
      <c r="A3495" s="44">
        <v>3494.0</v>
      </c>
      <c r="B3495" s="44" t="str">
        <f>IFERROR(__xludf.DUMMYFUNCTION("""COMPUTED_VALUE"""),"Hospital Pérez Carreño")</f>
        <v>Hospital Pérez Carreño</v>
      </c>
      <c r="C3495" s="45" t="str">
        <f>IFERROR(__xludf.DUMMYFUNCTION("""COMPUTED_VALUE"""),"Tirado Lovera Yonier David")</f>
        <v>Tirado Lovera Yonier David</v>
      </c>
      <c r="D3495" s="44"/>
      <c r="E3495" s="44" t="str">
        <f>IFERROR(__xludf.DUMMYFUNCTION("""COMPUTED_VALUE"""),"")</f>
        <v/>
      </c>
      <c r="F3495" s="44" t="str">
        <f>IFERROR(__xludf.DUMMYFUNCTION("""COMPUTED_VALUE"""),"")</f>
        <v/>
      </c>
      <c r="G3495" s="44" t="str">
        <f>IFERROR(__xludf.DUMMYFUNCTION("""COMPUTED_VALUE"""),"Traslados")</f>
        <v>Traslados</v>
      </c>
      <c r="H3495" s="44" t="str">
        <f>IFERROR(__xludf.DUMMYFUNCTION("""COMPUTED_VALUE"""),"Hospital Miguel Perez Carreño")</f>
        <v>Hospital Miguel Perez Carreño</v>
      </c>
      <c r="I3495" s="44"/>
      <c r="J3495" s="44" t="str">
        <f>IFERROR(__xludf.DUMMYFUNCTION("""COMPUTED_VALUE"""),"26/6/26")</f>
        <v>26/6/26</v>
      </c>
      <c r="K3495" s="42" t="str">
        <f>IFERROR(__xludf.DUMMYFUNCTION("""COMPUTED_VALUE"""),"Hospital Pérez Carreño")</f>
        <v>Hospital Pérez Carreño</v>
      </c>
    </row>
    <row r="3496">
      <c r="A3496" s="44">
        <v>3495.0</v>
      </c>
      <c r="B3496" s="44" t="str">
        <f>IFERROR(__xludf.DUMMYFUNCTION("""COMPUTED_VALUE"""),"Seguro Social La Guaira")</f>
        <v>Seguro Social La Guaira</v>
      </c>
      <c r="C3496" s="45" t="str">
        <f>IFERROR(__xludf.DUMMYFUNCTION("""COMPUTED_VALUE"""),"TIRMEDYS CEDEÑO")</f>
        <v>TIRMEDYS CEDEÑO</v>
      </c>
      <c r="D3496" s="44" t="str">
        <f>IFERROR(__xludf.DUMMYFUNCTION("""COMPUTED_VALUE""")," ")</f>
        <v> </v>
      </c>
      <c r="E3496" s="44" t="str">
        <f>IFERROR(__xludf.DUMMYFUNCTION("""COMPUTED_VALUE"""),"")</f>
        <v/>
      </c>
      <c r="F3496" s="44" t="str">
        <f>IFERROR(__xludf.DUMMYFUNCTION("""COMPUTED_VALUE"""),"")</f>
        <v/>
      </c>
      <c r="G3496" s="44" t="str">
        <f>IFERROR(__xludf.DUMMYFUNCTION("""COMPUTED_VALUE""")," ")</f>
        <v> </v>
      </c>
      <c r="H3496" s="44" t="str">
        <f>IFERROR(__xludf.DUMMYFUNCTION("""COMPUTED_VALUE"""),"Caraballeda")</f>
        <v>Caraballeda</v>
      </c>
      <c r="I3496" s="44" t="str">
        <f>IFERROR(__xludf.DUMMYFUNCTION("""COMPUTED_VALUE""")," ")</f>
        <v> </v>
      </c>
      <c r="J3496" s="44" t="str">
        <f>IFERROR(__xludf.DUMMYFUNCTION("""COMPUTED_VALUE"""),"")</f>
        <v/>
      </c>
      <c r="K3496" s="42" t="str">
        <f>IFERROR(__xludf.DUMMYFUNCTION("""COMPUTED_VALUE"""),"Seguro Social La Guaira")</f>
        <v>Seguro Social La Guaira</v>
      </c>
    </row>
    <row r="3497">
      <c r="A3497" s="44">
        <v>3496.0</v>
      </c>
      <c r="B3497" s="44" t="str">
        <f>IFERROR(__xludf.DUMMYFUNCTION("""COMPUTED_VALUE"""),"Hospital Domingo Luciani")</f>
        <v>Hospital Domingo Luciani</v>
      </c>
      <c r="C3497" s="45" t="str">
        <f>IFERROR(__xludf.DUMMYFUNCTION("""COMPUTED_VALUE"""),"Tonny Bosquete")</f>
        <v>Tonny Bosquete</v>
      </c>
      <c r="D3497" s="44">
        <f>IFERROR(__xludf.DUMMYFUNCTION("""COMPUTED_VALUE"""),38.0)</f>
        <v>38</v>
      </c>
      <c r="E3497" s="44" t="str">
        <f>IFERROR(__xludf.DUMMYFUNCTION("""COMPUTED_VALUE"""),"")</f>
        <v/>
      </c>
      <c r="F3497" s="44" t="str">
        <f>IFERROR(__xludf.DUMMYFUNCTION("""COMPUTED_VALUE"""),"")</f>
        <v/>
      </c>
      <c r="G3497" s="44"/>
      <c r="H3497" s="44"/>
      <c r="I3497" s="44"/>
      <c r="J3497" s="44" t="str">
        <f>IFERROR(__xludf.DUMMYFUNCTION("""COMPUTED_VALUE"""),"")</f>
        <v/>
      </c>
      <c r="K3497" s="42" t="str">
        <f>IFERROR(__xludf.DUMMYFUNCTION("""COMPUTED_VALUE"""),"Hospital Domingo Luciani")</f>
        <v>Hospital Domingo Luciani</v>
      </c>
    </row>
    <row r="3498">
      <c r="A3498" s="44">
        <v>3497.0</v>
      </c>
      <c r="B3498" s="44" t="str">
        <f>IFERROR(__xludf.DUMMYFUNCTION("""COMPUTED_VALUE"""),"Hospital Pérez Carreño")</f>
        <v>Hospital Pérez Carreño</v>
      </c>
      <c r="C3498" s="45" t="str">
        <f>IFERROR(__xludf.DUMMYFUNCTION("""COMPUTED_VALUE"""),"TORCATE JACINTA")</f>
        <v>TORCATE JACINTA</v>
      </c>
      <c r="D3498" s="44" t="str">
        <f>IFERROR(__xludf.DUMMYFUNCTION("""COMPUTED_VALUE""")," ")</f>
        <v> </v>
      </c>
      <c r="E3498" s="44" t="str">
        <f>IFERROR(__xludf.DUMMYFUNCTION("""COMPUTED_VALUE"""),"")</f>
        <v/>
      </c>
      <c r="F3498" s="44" t="str">
        <f>IFERROR(__xludf.DUMMYFUNCTION("""COMPUTED_VALUE"""),"")</f>
        <v/>
      </c>
      <c r="G3498" s="44" t="str">
        <f>IFERROR(__xludf.DUMMYFUNCTION("""COMPUTED_VALUE""")," ")</f>
        <v> </v>
      </c>
      <c r="H3498" s="44" t="str">
        <f>IFERROR(__xludf.DUMMYFUNCTION("""COMPUTED_VALUE""")," ")</f>
        <v> </v>
      </c>
      <c r="I3498" s="44" t="str">
        <f>IFERROR(__xludf.DUMMYFUNCTION("""COMPUTED_VALUE"""),"Traumashock")</f>
        <v>Traumashock</v>
      </c>
      <c r="J3498" s="44" t="str">
        <f>IFERROR(__xludf.DUMMYFUNCTION("""COMPUTED_VALUE"""),"25/06/2026")</f>
        <v>25/06/2026</v>
      </c>
      <c r="K3498" s="42" t="str">
        <f>IFERROR(__xludf.DUMMYFUNCTION("""COMPUTED_VALUE"""),"Hospital Pérez Carreño")</f>
        <v>Hospital Pérez Carreño</v>
      </c>
    </row>
    <row r="3499">
      <c r="A3499" s="44">
        <v>3498.0</v>
      </c>
      <c r="B3499" s="44" t="str">
        <f>IFERROR(__xludf.DUMMYFUNCTION("""COMPUTED_VALUE"""),"Hospital Pérez Carreño")</f>
        <v>Hospital Pérez Carreño</v>
      </c>
      <c r="C3499" s="45" t="str">
        <f>IFERROR(__xludf.DUMMYFUNCTION("""COMPUTED_VALUE"""),"TORCATE JASIATA")</f>
        <v>TORCATE JASIATA</v>
      </c>
      <c r="D3499" s="44" t="str">
        <f>IFERROR(__xludf.DUMMYFUNCTION("""COMPUTED_VALUE""")," ")</f>
        <v> </v>
      </c>
      <c r="E3499" s="44" t="str">
        <f>IFERROR(__xludf.DUMMYFUNCTION("""COMPUTED_VALUE"""),"")</f>
        <v/>
      </c>
      <c r="F3499" s="44" t="str">
        <f>IFERROR(__xludf.DUMMYFUNCTION("""COMPUTED_VALUE"""),"")</f>
        <v/>
      </c>
      <c r="G3499" s="44" t="str">
        <f>IFERROR(__xludf.DUMMYFUNCTION("""COMPUTED_VALUE""")," ")</f>
        <v> </v>
      </c>
      <c r="H3499" s="44" t="str">
        <f>IFERROR(__xludf.DUMMYFUNCTION("""COMPUTED_VALUE""")," ")</f>
        <v> </v>
      </c>
      <c r="I3499" s="44" t="str">
        <f>IFERROR(__xludf.DUMMYFUNCTION("""COMPUTED_VALUE"""),"Traumatología – Pasillo Asesor; Piso 1; Alta Médica, La Guaira")</f>
        <v>Traumatología – Pasillo Asesor; Piso 1; Alta Médica, La Guaira</v>
      </c>
      <c r="J3499" s="44" t="str">
        <f>IFERROR(__xludf.DUMMYFUNCTION("""COMPUTED_VALUE"""),"")</f>
        <v/>
      </c>
      <c r="K3499" s="42" t="str">
        <f>IFERROR(__xludf.DUMMYFUNCTION("""COMPUTED_VALUE"""),"🔍 BUSCAR PACIENTES")</f>
        <v>🔍 BUSCAR PACIENTES</v>
      </c>
    </row>
    <row r="3500">
      <c r="A3500" s="44">
        <v>3499.0</v>
      </c>
      <c r="B3500" s="44" t="str">
        <f>IFERROR(__xludf.DUMMYFUNCTION("""COMPUTED_VALUE"""),"Hospital Pérez Carreño")</f>
        <v>Hospital Pérez Carreño</v>
      </c>
      <c r="C3500" s="45" t="str">
        <f>IFERROR(__xludf.DUMMYFUNCTION("""COMPUTED_VALUE"""),"TORO ELISANYELIS")</f>
        <v>TORO ELISANYELIS</v>
      </c>
      <c r="D3500" s="44" t="str">
        <f>IFERROR(__xludf.DUMMYFUNCTION("""COMPUTED_VALUE""")," ")</f>
        <v> </v>
      </c>
      <c r="E3500" s="44" t="str">
        <f>IFERROR(__xludf.DUMMYFUNCTION("""COMPUTED_VALUE"""),"")</f>
        <v/>
      </c>
      <c r="F3500" s="44" t="str">
        <f>IFERROR(__xludf.DUMMYFUNCTION("""COMPUTED_VALUE"""),"")</f>
        <v/>
      </c>
      <c r="G3500" s="44" t="str">
        <f>IFERROR(__xludf.DUMMYFUNCTION("""COMPUTED_VALUE""")," ")</f>
        <v> </v>
      </c>
      <c r="H3500" s="44" t="str">
        <f>IFERROR(__xludf.DUMMYFUNCTION("""COMPUTED_VALUE""")," ")</f>
        <v> </v>
      </c>
      <c r="I3500" s="44" t="str">
        <f>IFERROR(__xludf.DUMMYFUNCTION("""COMPUTED_VALUE"""),"Traumatología – Pasillo Asesor; La Guaira")</f>
        <v>Traumatología – Pasillo Asesor; La Guaira</v>
      </c>
      <c r="J3500" s="44" t="str">
        <f>IFERROR(__xludf.DUMMYFUNCTION("""COMPUTED_VALUE"""),"")</f>
        <v/>
      </c>
      <c r="K3500" s="42" t="str">
        <f>IFERROR(__xludf.DUMMYFUNCTION("""COMPUTED_VALUE"""),"🔍 BUSCAR PACIENTES")</f>
        <v>🔍 BUSCAR PACIENTES</v>
      </c>
    </row>
    <row r="3501">
      <c r="A3501" s="44">
        <v>3500.0</v>
      </c>
      <c r="B3501" s="44" t="str">
        <f>IFERROR(__xludf.DUMMYFUNCTION("""COMPUTED_VALUE"""),"H. Jose Maria Vargas LG")</f>
        <v>H. Jose Maria Vargas LG</v>
      </c>
      <c r="C3501" s="45" t="str">
        <f>IFERROR(__xludf.DUMMYFUNCTION("""COMPUTED_VALUE"""),"TORO ELIU")</f>
        <v>TORO ELIU</v>
      </c>
      <c r="D3501" s="44" t="str">
        <f>IFERROR(__xludf.DUMMYFUNCTION("""COMPUTED_VALUE""")," ")</f>
        <v> </v>
      </c>
      <c r="E3501" s="44" t="str">
        <f>IFERROR(__xludf.DUMMYFUNCTION("""COMPUTED_VALUE"""),"")</f>
        <v/>
      </c>
      <c r="F3501" s="44" t="str">
        <f>IFERROR(__xludf.DUMMYFUNCTION("""COMPUTED_VALUE"""),"")</f>
        <v/>
      </c>
      <c r="G3501" s="44" t="str">
        <f>IFERROR(__xludf.DUMMYFUNCTION("""COMPUTED_VALUE""")," ")</f>
        <v> </v>
      </c>
      <c r="H3501" s="44" t="str">
        <f>IFERROR(__xludf.DUMMYFUNCTION("""COMPUTED_VALUE""")," ")</f>
        <v> </v>
      </c>
      <c r="I3501" s="44" t="str">
        <f>IFERROR(__xludf.DUMMYFUNCTION("""COMPUTED_VALUE""")," ")</f>
        <v> </v>
      </c>
      <c r="J3501" s="44" t="str">
        <f>IFERROR(__xludf.DUMMYFUNCTION("""COMPUTED_VALUE"""),"")</f>
        <v/>
      </c>
      <c r="K3501" s="42" t="str">
        <f>IFERROR(__xludf.DUMMYFUNCTION("""COMPUTED_VALUE"""),"H. Jose Maria Vargas LG")</f>
        <v>H. Jose Maria Vargas LG</v>
      </c>
    </row>
    <row r="3502">
      <c r="A3502" s="44">
        <v>3501.0</v>
      </c>
      <c r="B3502" s="44" t="str">
        <f>IFERROR(__xludf.DUMMYFUNCTION("""COMPUTED_VALUE"""),"H. Jose Maria Vargas LG")</f>
        <v>H. Jose Maria Vargas LG</v>
      </c>
      <c r="C3502" s="45" t="str">
        <f>IFERROR(__xludf.DUMMYFUNCTION("""COMPUTED_VALUE"""),"TORO RAMON")</f>
        <v>TORO RAMON</v>
      </c>
      <c r="D3502" s="44" t="str">
        <f>IFERROR(__xludf.DUMMYFUNCTION("""COMPUTED_VALUE""")," ")</f>
        <v> </v>
      </c>
      <c r="E3502" s="44" t="str">
        <f>IFERROR(__xludf.DUMMYFUNCTION("""COMPUTED_VALUE"""),"")</f>
        <v/>
      </c>
      <c r="F3502" s="44" t="str">
        <f>IFERROR(__xludf.DUMMYFUNCTION("""COMPUTED_VALUE"""),"")</f>
        <v/>
      </c>
      <c r="G3502" s="44" t="str">
        <f>IFERROR(__xludf.DUMMYFUNCTION("""COMPUTED_VALUE""")," ")</f>
        <v> </v>
      </c>
      <c r="H3502" s="44" t="str">
        <f>IFERROR(__xludf.DUMMYFUNCTION("""COMPUTED_VALUE""")," ")</f>
        <v> </v>
      </c>
      <c r="I3502" s="44" t="str">
        <f>IFERROR(__xludf.DUMMYFUNCTION("""COMPUTED_VALUE""")," ")</f>
        <v> </v>
      </c>
      <c r="J3502" s="44" t="str">
        <f>IFERROR(__xludf.DUMMYFUNCTION("""COMPUTED_VALUE"""),"")</f>
        <v/>
      </c>
      <c r="K3502" s="42" t="str">
        <f>IFERROR(__xludf.DUMMYFUNCTION("""COMPUTED_VALUE"""),"H. Jose Maria Vargas LG")</f>
        <v>H. Jose Maria Vargas LG</v>
      </c>
    </row>
    <row r="3503">
      <c r="A3503" s="44">
        <v>3502.0</v>
      </c>
      <c r="B3503" s="44" t="str">
        <f>IFERROR(__xludf.DUMMYFUNCTION("""COMPUTED_VALUE"""),"H. Jose Maria Vargas LG")</f>
        <v>H. Jose Maria Vargas LG</v>
      </c>
      <c r="C3503" s="45" t="str">
        <f>IFERROR(__xludf.DUMMYFUNCTION("""COMPUTED_VALUE"""),"TORO RODA ANAIS")</f>
        <v>TORO RODA ANAIS</v>
      </c>
      <c r="D3503" s="44" t="str">
        <f>IFERROR(__xludf.DUMMYFUNCTION("""COMPUTED_VALUE""")," ")</f>
        <v> </v>
      </c>
      <c r="E3503" s="44" t="str">
        <f>IFERROR(__xludf.DUMMYFUNCTION("""COMPUTED_VALUE"""),"")</f>
        <v/>
      </c>
      <c r="F3503" s="44" t="str">
        <f>IFERROR(__xludf.DUMMYFUNCTION("""COMPUTED_VALUE"""),"")</f>
        <v/>
      </c>
      <c r="G3503" s="44" t="str">
        <f>IFERROR(__xludf.DUMMYFUNCTION("""COMPUTED_VALUE""")," ")</f>
        <v> </v>
      </c>
      <c r="H3503" s="44" t="str">
        <f>IFERROR(__xludf.DUMMYFUNCTION("""COMPUTED_VALUE""")," ")</f>
        <v> </v>
      </c>
      <c r="I3503" s="44" t="str">
        <f>IFERROR(__xludf.DUMMYFUNCTION("""COMPUTED_VALUE""")," ")</f>
        <v> </v>
      </c>
      <c r="J3503" s="44" t="str">
        <f>IFERROR(__xludf.DUMMYFUNCTION("""COMPUTED_VALUE"""),"")</f>
        <v/>
      </c>
      <c r="K3503" s="42" t="str">
        <f>IFERROR(__xludf.DUMMYFUNCTION("""COMPUTED_VALUE"""),"H. Jose Maria Vargas LG")</f>
        <v>H. Jose Maria Vargas LG</v>
      </c>
    </row>
    <row r="3504">
      <c r="A3504" s="44">
        <v>3503.0</v>
      </c>
      <c r="B3504" s="44" t="str">
        <f>IFERROR(__xludf.DUMMYFUNCTION("""COMPUTED_VALUE"""),"Hospital Pérez Carreño")</f>
        <v>Hospital Pérez Carreño</v>
      </c>
      <c r="C3504" s="45" t="str">
        <f>IFERROR(__xludf.DUMMYFUNCTION("""COMPUTED_VALUE"""),"TORO SIET")</f>
        <v>TORO SIET</v>
      </c>
      <c r="D3504" s="44">
        <f>IFERROR(__xludf.DUMMYFUNCTION("""COMPUTED_VALUE"""),14.0)</f>
        <v>14</v>
      </c>
      <c r="E3504" s="44" t="str">
        <f>IFERROR(__xludf.DUMMYFUNCTION("""COMPUTED_VALUE"""),"")</f>
        <v/>
      </c>
      <c r="F3504" s="44" t="str">
        <f>IFERROR(__xludf.DUMMYFUNCTION("""COMPUTED_VALUE"""),"")</f>
        <v/>
      </c>
      <c r="G3504" s="44" t="str">
        <f>IFERROR(__xludf.DUMMYFUNCTION("""COMPUTED_VALUE""")," ")</f>
        <v> </v>
      </c>
      <c r="H3504" s="44" t="str">
        <f>IFERROR(__xludf.DUMMYFUNCTION("""COMPUTED_VALUE""")," ")</f>
        <v> </v>
      </c>
      <c r="I3504" s="44" t="str">
        <f>IFERROR(__xludf.DUMMYFUNCTION("""COMPUTED_VALUE"""),"Traumashock")</f>
        <v>Traumashock</v>
      </c>
      <c r="J3504" s="44" t="str">
        <f>IFERROR(__xludf.DUMMYFUNCTION("""COMPUTED_VALUE"""),"25/06/2026")</f>
        <v>25/06/2026</v>
      </c>
      <c r="K3504" s="42" t="str">
        <f>IFERROR(__xludf.DUMMYFUNCTION("""COMPUTED_VALUE"""),"Hospital Pérez Carreño")</f>
        <v>Hospital Pérez Carreño</v>
      </c>
    </row>
    <row r="3505">
      <c r="A3505" s="44">
        <v>3504.0</v>
      </c>
      <c r="B3505" s="44" t="str">
        <f>IFERROR(__xludf.DUMMYFUNCTION("""COMPUTED_VALUE"""),"Hospital Pérez Carreño")</f>
        <v>Hospital Pérez Carreño</v>
      </c>
      <c r="C3505" s="45" t="str">
        <f>IFERROR(__xludf.DUMMYFUNCTION("""COMPUTED_VALUE"""),"TORO VALESKA")</f>
        <v>TORO VALESKA</v>
      </c>
      <c r="D3505" s="44">
        <f>IFERROR(__xludf.DUMMYFUNCTION("""COMPUTED_VALUE"""),14.0)</f>
        <v>14</v>
      </c>
      <c r="E3505" s="44" t="str">
        <f>IFERROR(__xludf.DUMMYFUNCTION("""COMPUTED_VALUE"""),"")</f>
        <v/>
      </c>
      <c r="F3505" s="44" t="str">
        <f>IFERROR(__xludf.DUMMYFUNCTION("""COMPUTED_VALUE"""),"")</f>
        <v/>
      </c>
      <c r="G3505" s="44" t="str">
        <f>IFERROR(__xludf.DUMMYFUNCTION("""COMPUTED_VALUE""")," ")</f>
        <v> </v>
      </c>
      <c r="H3505" s="44" t="str">
        <f>IFERROR(__xludf.DUMMYFUNCTION("""COMPUTED_VALUE""")," ")</f>
        <v> </v>
      </c>
      <c r="I3505" s="44" t="str">
        <f>IFERROR(__xludf.DUMMYFUNCTION("""COMPUTED_VALUE"""),"Traumashock")</f>
        <v>Traumashock</v>
      </c>
      <c r="J3505" s="44" t="str">
        <f>IFERROR(__xludf.DUMMYFUNCTION("""COMPUTED_VALUE"""),"25/06/2026")</f>
        <v>25/06/2026</v>
      </c>
      <c r="K3505" s="42" t="str">
        <f>IFERROR(__xludf.DUMMYFUNCTION("""COMPUTED_VALUE"""),"Hospital Pérez Carreño")</f>
        <v>Hospital Pérez Carreño</v>
      </c>
    </row>
    <row r="3506">
      <c r="A3506" s="44">
        <v>3505.0</v>
      </c>
      <c r="B3506" s="44" t="str">
        <f>IFERROR(__xludf.DUMMYFUNCTION("""COMPUTED_VALUE"""),"H. Jose Maria Vargas LG")</f>
        <v>H. Jose Maria Vargas LG</v>
      </c>
      <c r="C3506" s="45" t="str">
        <f>IFERROR(__xludf.DUMMYFUNCTION("""COMPUTED_VALUE"""),"TORREALBA MAIKAL")</f>
        <v>TORREALBA MAIKAL</v>
      </c>
      <c r="D3506" s="44">
        <f>IFERROR(__xludf.DUMMYFUNCTION("""COMPUTED_VALUE"""),8.0)</f>
        <v>8</v>
      </c>
      <c r="E3506" s="44" t="str">
        <f>IFERROR(__xludf.DUMMYFUNCTION("""COMPUTED_VALUE"""),"")</f>
        <v/>
      </c>
      <c r="F3506" s="44" t="str">
        <f>IFERROR(__xludf.DUMMYFUNCTION("""COMPUTED_VALUE"""),"")</f>
        <v/>
      </c>
      <c r="G3506" s="44" t="str">
        <f>IFERROR(__xludf.DUMMYFUNCTION("""COMPUTED_VALUE""")," ")</f>
        <v> </v>
      </c>
      <c r="H3506" s="44" t="str">
        <f>IFERROR(__xludf.DUMMYFUNCTION("""COMPUTED_VALUE"""),"Brisas del Aeropuerto")</f>
        <v>Brisas del Aeropuerto</v>
      </c>
      <c r="I3506" s="44" t="str">
        <f>IFERROR(__xludf.DUMMYFUNCTION("""COMPUTED_VALUE""")," ")</f>
        <v> </v>
      </c>
      <c r="J3506" s="44" t="str">
        <f>IFERROR(__xludf.DUMMYFUNCTION("""COMPUTED_VALUE"""),"")</f>
        <v/>
      </c>
      <c r="K3506" s="42" t="str">
        <f>IFERROR(__xludf.DUMMYFUNCTION("""COMPUTED_VALUE"""),"H. Jose Maria Vargas LG")</f>
        <v>H. Jose Maria Vargas LG</v>
      </c>
    </row>
    <row r="3507">
      <c r="A3507" s="44">
        <v>3506.0</v>
      </c>
      <c r="B3507" s="44" t="str">
        <f>IFERROR(__xludf.DUMMYFUNCTION("""COMPUTED_VALUE"""),"Periférico de Catia")</f>
        <v>Periférico de Catia</v>
      </c>
      <c r="C3507" s="45" t="str">
        <f>IFERROR(__xludf.DUMMYFUNCTION("""COMPUTED_VALUE"""),"TORREALBA NUVIA")</f>
        <v>TORREALBA NUVIA</v>
      </c>
      <c r="D3507" s="44" t="str">
        <f>IFERROR(__xludf.DUMMYFUNCTION("""COMPUTED_VALUE""")," ")</f>
        <v> </v>
      </c>
      <c r="E3507" s="44" t="str">
        <f>IFERROR(__xludf.DUMMYFUNCTION("""COMPUTED_VALUE"""),"")</f>
        <v/>
      </c>
      <c r="F3507" s="44" t="str">
        <f>IFERROR(__xludf.DUMMYFUNCTION("""COMPUTED_VALUE"""),"")</f>
        <v/>
      </c>
      <c r="G3507" s="44" t="str">
        <f>IFERROR(__xludf.DUMMYFUNCTION("""COMPUTED_VALUE""")," ")</f>
        <v> </v>
      </c>
      <c r="H3507" s="44" t="str">
        <f>IFERROR(__xludf.DUMMYFUNCTION("""COMPUTED_VALUE""")," ")</f>
        <v> </v>
      </c>
      <c r="I3507" s="44" t="str">
        <f>IFERROR(__xludf.DUMMYFUNCTION("""COMPUTED_VALUE"""),"Internado")</f>
        <v>Internado</v>
      </c>
      <c r="J3507" s="44" t="str">
        <f>IFERROR(__xludf.DUMMYFUNCTION("""COMPUTED_VALUE"""),"")</f>
        <v/>
      </c>
      <c r="K3507" s="42" t="str">
        <f>IFERROR(__xludf.DUMMYFUNCTION("""COMPUTED_VALUE"""),"Periférico de Catia")</f>
        <v>Periférico de Catia</v>
      </c>
    </row>
    <row r="3508">
      <c r="A3508" s="44">
        <v>3507.0</v>
      </c>
      <c r="B3508" s="44" t="str">
        <f>IFERROR(__xludf.DUMMYFUNCTION("""COMPUTED_VALUE"""),"Hospital J.M. de los Ríos")</f>
        <v>Hospital J.M. de los Ríos</v>
      </c>
      <c r="C3508" s="45" t="str">
        <f>IFERROR(__xludf.DUMMYFUNCTION("""COMPUTED_VALUE"""),"TORREALBA RODRIGUEZ SEBASTIAN")</f>
        <v>TORREALBA RODRIGUEZ SEBASTIAN</v>
      </c>
      <c r="D3508" s="44" t="str">
        <f>IFERROR(__xludf.DUMMYFUNCTION("""COMPUTED_VALUE""")," ")</f>
        <v> </v>
      </c>
      <c r="E3508" s="44" t="str">
        <f>IFERROR(__xludf.DUMMYFUNCTION("""COMPUTED_VALUE"""),"")</f>
        <v/>
      </c>
      <c r="F3508" s="44" t="str">
        <f>IFERROR(__xludf.DUMMYFUNCTION("""COMPUTED_VALUE"""),"")</f>
        <v/>
      </c>
      <c r="G3508" s="44" t="str">
        <f>IFERROR(__xludf.DUMMYFUNCTION("""COMPUTED_VALUE""")," ")</f>
        <v> </v>
      </c>
      <c r="H3508" s="44" t="str">
        <f>IFERROR(__xludf.DUMMYFUNCTION("""COMPUTED_VALUE""")," ")</f>
        <v> </v>
      </c>
      <c r="I3508" s="44" t="str">
        <f>IFERROR(__xludf.DUMMYFUNCTION("""COMPUTED_VALUE""")," ")</f>
        <v> </v>
      </c>
      <c r="J3508" s="44" t="str">
        <f>IFERROR(__xludf.DUMMYFUNCTION("""COMPUTED_VALUE"""),"")</f>
        <v/>
      </c>
      <c r="K3508" s="42" t="str">
        <f>IFERROR(__xludf.DUMMYFUNCTION("""COMPUTED_VALUE"""),"🔍 BUSCAR PACIENTES")</f>
        <v>🔍 BUSCAR PACIENTES</v>
      </c>
    </row>
    <row r="3509">
      <c r="A3509" s="44">
        <v>3508.0</v>
      </c>
      <c r="B3509" s="44" t="str">
        <f>IFERROR(__xludf.DUMMYFUNCTION("""COMPUTED_VALUE"""),"Hospital Pérez Carreño")</f>
        <v>Hospital Pérez Carreño</v>
      </c>
      <c r="C3509" s="45" t="str">
        <f>IFERROR(__xludf.DUMMYFUNCTION("""COMPUTED_VALUE"""),"TORREALBA VICTOR")</f>
        <v>TORREALBA VICTOR</v>
      </c>
      <c r="D3509" s="44">
        <f>IFERROR(__xludf.DUMMYFUNCTION("""COMPUTED_VALUE"""),9.0)</f>
        <v>9</v>
      </c>
      <c r="E3509" s="44" t="str">
        <f>IFERROR(__xludf.DUMMYFUNCTION("""COMPUTED_VALUE"""),"")</f>
        <v/>
      </c>
      <c r="F3509" s="44" t="str">
        <f>IFERROR(__xludf.DUMMYFUNCTION("""COMPUTED_VALUE"""),"")</f>
        <v/>
      </c>
      <c r="G3509" s="44" t="str">
        <f>IFERROR(__xludf.DUMMYFUNCTION("""COMPUTED_VALUE""")," ")</f>
        <v> </v>
      </c>
      <c r="H3509" s="44" t="str">
        <f>IFERROR(__xludf.DUMMYFUNCTION("""COMPUTED_VALUE""")," ")</f>
        <v> </v>
      </c>
      <c r="I3509" s="44" t="str">
        <f>IFERROR(__xludf.DUMMYFUNCTION("""COMPUTED_VALUE"""),"Emerg. Pediátrica – Caraballeda – SIN FAMILIAR")</f>
        <v>Emerg. Pediátrica – Caraballeda – SIN FAMILIAR</v>
      </c>
      <c r="J3509" s="44" t="str">
        <f>IFERROR(__xludf.DUMMYFUNCTION("""COMPUTED_VALUE"""),"25/06/2026")</f>
        <v>25/06/2026</v>
      </c>
      <c r="K3509" s="42" t="str">
        <f>IFERROR(__xludf.DUMMYFUNCTION("""COMPUTED_VALUE"""),"Hospital Pérez Carreño")</f>
        <v>Hospital Pérez Carreño</v>
      </c>
    </row>
    <row r="3510">
      <c r="A3510" s="44">
        <v>3509.0</v>
      </c>
      <c r="B3510" s="44" t="str">
        <f>IFERROR(__xludf.DUMMYFUNCTION("""COMPUTED_VALUE"""),"Hospital Pérez Carreño")</f>
        <v>Hospital Pérez Carreño</v>
      </c>
      <c r="C3510" s="45" t="str">
        <f>IFERROR(__xludf.DUMMYFUNCTION("""COMPUTED_VALUE"""),"Torrente Yorelda")</f>
        <v>Torrente Yorelda</v>
      </c>
      <c r="D3510" s="44"/>
      <c r="E3510" s="44" t="str">
        <f>IFERROR(__xludf.DUMMYFUNCTION("""COMPUTED_VALUE"""),"")</f>
        <v/>
      </c>
      <c r="F3510" s="44" t="str">
        <f>IFERROR(__xludf.DUMMYFUNCTION("""COMPUTED_VALUE"""),"")</f>
        <v/>
      </c>
      <c r="G3510" s="44" t="str">
        <f>IFERROR(__xludf.DUMMYFUNCTION("""COMPUTED_VALUE"""),"Traslados con destino asignado")</f>
        <v>Traslados con destino asignado</v>
      </c>
      <c r="H3510" s="44" t="str">
        <f>IFERROR(__xludf.DUMMYFUNCTION("""COMPUTED_VALUE"""),"Hospital Miguel Perez Carreño")</f>
        <v>Hospital Miguel Perez Carreño</v>
      </c>
      <c r="I3510" s="44"/>
      <c r="J3510" s="44" t="str">
        <f>IFERROR(__xludf.DUMMYFUNCTION("""COMPUTED_VALUE"""),"26/6/26")</f>
        <v>26/6/26</v>
      </c>
      <c r="K3510" s="42" t="str">
        <f>IFERROR(__xludf.DUMMYFUNCTION("""COMPUTED_VALUE"""),"Hospital Pérez Carreño")</f>
        <v>Hospital Pérez Carreño</v>
      </c>
    </row>
    <row r="3511">
      <c r="A3511" s="44">
        <v>3510.0</v>
      </c>
      <c r="B3511" s="44" t="str">
        <f>IFERROR(__xludf.DUMMYFUNCTION("""COMPUTED_VALUE"""),"La Guaira Sin Hospital")</f>
        <v>La Guaira Sin Hospital</v>
      </c>
      <c r="C3511" s="45" t="str">
        <f>IFERROR(__xludf.DUMMYFUNCTION("""COMPUTED_VALUE"""),"Torres Alberto Jhon")</f>
        <v>Torres Alberto Jhon</v>
      </c>
      <c r="D3511" s="44" t="str">
        <f>IFERROR(__xludf.DUMMYFUNCTION("""COMPUTED_VALUE"""),"")</f>
        <v/>
      </c>
      <c r="E3511" s="44" t="str">
        <f>IFERROR(__xludf.DUMMYFUNCTION("""COMPUTED_VALUE"""),"")</f>
        <v/>
      </c>
      <c r="F3511" s="44" t="str">
        <f>IFERROR(__xludf.DUMMYFUNCTION("""COMPUTED_VALUE"""),"")</f>
        <v/>
      </c>
      <c r="G3511" s="44" t="str">
        <f>IFERROR(__xludf.DUMMYFUNCTION("""COMPUTED_VALUE"""),"")</f>
        <v/>
      </c>
      <c r="H3511" s="44" t="str">
        <f>IFERROR(__xludf.DUMMYFUNCTION("""COMPUTED_VALUE"""),"La Guaira")</f>
        <v>La Guaira</v>
      </c>
      <c r="I3511" s="44" t="str">
        <f>IFERROR(__xludf.DUMMYFUNCTION("""COMPUTED_VALUE"""),"Listas con ubicación")</f>
        <v>Listas con ubicación</v>
      </c>
      <c r="J3511" s="44" t="str">
        <f>IFERROR(__xludf.DUMMYFUNCTION("""COMPUTED_VALUE"""),"")</f>
        <v/>
      </c>
      <c r="K3511" s="42" t="str">
        <f>IFERROR(__xludf.DUMMYFUNCTION("""COMPUTED_VALUE"""),"La Guaira Sin Hospital")</f>
        <v>La Guaira Sin Hospital</v>
      </c>
    </row>
    <row r="3512">
      <c r="A3512" s="44">
        <v>3511.0</v>
      </c>
      <c r="B3512" s="44" t="str">
        <f>IFERROR(__xludf.DUMMYFUNCTION("""COMPUTED_VALUE"""),"Hospital Pérez Carreño")</f>
        <v>Hospital Pérez Carreño</v>
      </c>
      <c r="C3512" s="45" t="str">
        <f>IFERROR(__xludf.DUMMYFUNCTION("""COMPUTED_VALUE"""),"Torres Alexis Jose Modesto")</f>
        <v>Torres Alexis Jose Modesto</v>
      </c>
      <c r="D3512" s="44"/>
      <c r="E3512" s="44" t="str">
        <f>IFERROR(__xludf.DUMMYFUNCTION("""COMPUTED_VALUE"""),"")</f>
        <v/>
      </c>
      <c r="F3512" s="44" t="str">
        <f>IFERROR(__xludf.DUMMYFUNCTION("""COMPUTED_VALUE"""),"")</f>
        <v/>
      </c>
      <c r="G3512" s="44" t="str">
        <f>IFERROR(__xludf.DUMMYFUNCTION("""COMPUTED_VALUE"""),"Traslados con destino asignado")</f>
        <v>Traslados con destino asignado</v>
      </c>
      <c r="H3512" s="44" t="str">
        <f>IFERROR(__xludf.DUMMYFUNCTION("""COMPUTED_VALUE"""),"Hospital Miguel Perez Carreño")</f>
        <v>Hospital Miguel Perez Carreño</v>
      </c>
      <c r="I3512" s="44"/>
      <c r="J3512" s="44" t="str">
        <f>IFERROR(__xludf.DUMMYFUNCTION("""COMPUTED_VALUE"""),"26/6/26")</f>
        <v>26/6/26</v>
      </c>
      <c r="K3512" s="42" t="str">
        <f>IFERROR(__xludf.DUMMYFUNCTION("""COMPUTED_VALUE"""),"Hospital Pérez Carreño")</f>
        <v>Hospital Pérez Carreño</v>
      </c>
    </row>
    <row r="3513">
      <c r="A3513" s="44">
        <v>3512.0</v>
      </c>
      <c r="B3513" s="44" t="str">
        <f>IFERROR(__xludf.DUMMYFUNCTION("""COMPUTED_VALUE"""),"La Guaira Sin Hospital")</f>
        <v>La Guaira Sin Hospital</v>
      </c>
      <c r="C3513" s="45" t="str">
        <f>IFERROR(__xludf.DUMMYFUNCTION("""COMPUTED_VALUE"""),"Torres Jenny Carolina Soza")</f>
        <v>Torres Jenny Carolina Soza</v>
      </c>
      <c r="D3513" s="44" t="str">
        <f>IFERROR(__xludf.DUMMYFUNCTION("""COMPUTED_VALUE"""),"")</f>
        <v/>
      </c>
      <c r="E3513" s="44" t="str">
        <f>IFERROR(__xludf.DUMMYFUNCTION("""COMPUTED_VALUE"""),"")</f>
        <v/>
      </c>
      <c r="F3513" s="44" t="str">
        <f>IFERROR(__xludf.DUMMYFUNCTION("""COMPUTED_VALUE"""),"")</f>
        <v/>
      </c>
      <c r="G3513" s="44" t="str">
        <f>IFERROR(__xludf.DUMMYFUNCTION("""COMPUTED_VALUE"""),"")</f>
        <v/>
      </c>
      <c r="H3513" s="44" t="str">
        <f>IFERROR(__xludf.DUMMYFUNCTION("""COMPUTED_VALUE"""),"Junquito Km 25")</f>
        <v>Junquito Km 25</v>
      </c>
      <c r="I3513" s="44" t="str">
        <f>IFERROR(__xludf.DUMMYFUNCTION("""COMPUTED_VALUE"""),"Listas con ubicación")</f>
        <v>Listas con ubicación</v>
      </c>
      <c r="J3513" s="44" t="str">
        <f>IFERROR(__xludf.DUMMYFUNCTION("""COMPUTED_VALUE"""),"")</f>
        <v/>
      </c>
      <c r="K3513" s="42" t="str">
        <f>IFERROR(__xludf.DUMMYFUNCTION("""COMPUTED_VALUE"""),"La Guaira Sin Hospital")</f>
        <v>La Guaira Sin Hospital</v>
      </c>
    </row>
    <row r="3514">
      <c r="A3514" s="44">
        <v>3513.0</v>
      </c>
      <c r="B3514" s="44" t="str">
        <f>IFERROR(__xludf.DUMMYFUNCTION("""COMPUTED_VALUE"""),"Hospital Pérez Carreño")</f>
        <v>Hospital Pérez Carreño</v>
      </c>
      <c r="C3514" s="45" t="str">
        <f>IFERROR(__xludf.DUMMYFUNCTION("""COMPUTED_VALUE"""),"TORRES JHON ALBERTO")</f>
        <v>TORRES JHON ALBERTO</v>
      </c>
      <c r="D3514" s="44" t="str">
        <f>IFERROR(__xludf.DUMMYFUNCTION("""COMPUTED_VALUE""")," ")</f>
        <v> </v>
      </c>
      <c r="E3514" s="44" t="str">
        <f>IFERROR(__xludf.DUMMYFUNCTION("""COMPUTED_VALUE"""),"")</f>
        <v/>
      </c>
      <c r="F3514" s="44" t="str">
        <f>IFERROR(__xludf.DUMMYFUNCTION("""COMPUTED_VALUE"""),"")</f>
        <v/>
      </c>
      <c r="G3514" s="44" t="str">
        <f>IFERROR(__xludf.DUMMYFUNCTION("""COMPUTED_VALUE""")," ")</f>
        <v> </v>
      </c>
      <c r="H3514" s="44" t="str">
        <f>IFERROR(__xludf.DUMMYFUNCTION("""COMPUTED_VALUE""")," ")</f>
        <v> </v>
      </c>
      <c r="I3514" s="44" t="str">
        <f>IFERROR(__xludf.DUMMYFUNCTION("""COMPUTED_VALUE"""),"Internado")</f>
        <v>Internado</v>
      </c>
      <c r="J3514" s="44" t="str">
        <f>IFERROR(__xludf.DUMMYFUNCTION("""COMPUTED_VALUE"""),"")</f>
        <v/>
      </c>
      <c r="K3514" s="42" t="str">
        <f>IFERROR(__xludf.DUMMYFUNCTION("""COMPUTED_VALUE"""),"🔍 BUSCAR PACIENTES")</f>
        <v>🔍 BUSCAR PACIENTES</v>
      </c>
    </row>
    <row r="3515">
      <c r="A3515" s="44">
        <v>3514.0</v>
      </c>
      <c r="B3515" s="44" t="str">
        <f>IFERROR(__xludf.DUMMYFUNCTION("""COMPUTED_VALUE"""),"Hospital Domingo Luciani")</f>
        <v>Hospital Domingo Luciani</v>
      </c>
      <c r="C3515" s="45" t="str">
        <f>IFERROR(__xludf.DUMMYFUNCTION("""COMPUTED_VALUE"""),"TORRES LUNA")</f>
        <v>TORRES LUNA</v>
      </c>
      <c r="D3515" s="44" t="str">
        <f>IFERROR(__xludf.DUMMYFUNCTION("""COMPUTED_VALUE""")," ")</f>
        <v> </v>
      </c>
      <c r="E3515" s="44" t="str">
        <f>IFERROR(__xludf.DUMMYFUNCTION("""COMPUTED_VALUE"""),"")</f>
        <v/>
      </c>
      <c r="F3515" s="44" t="str">
        <f>IFERROR(__xludf.DUMMYFUNCTION("""COMPUTED_VALUE"""),"")</f>
        <v/>
      </c>
      <c r="G3515" s="44" t="str">
        <f>IFERROR(__xludf.DUMMYFUNCTION("""COMPUTED_VALUE""")," ")</f>
        <v> </v>
      </c>
      <c r="H3515" s="44" t="str">
        <f>IFERROR(__xludf.DUMMYFUNCTION("""COMPUTED_VALUE""")," ")</f>
        <v> </v>
      </c>
      <c r="I3515" s="44" t="str">
        <f>IFERROR(__xludf.DUMMYFUNCTION("""COMPUTED_VALUE""")," ")</f>
        <v> </v>
      </c>
      <c r="J3515" s="44" t="str">
        <f>IFERROR(__xludf.DUMMYFUNCTION("""COMPUTED_VALUE"""),"")</f>
        <v/>
      </c>
      <c r="K3515" s="42" t="str">
        <f>IFERROR(__xludf.DUMMYFUNCTION("""COMPUTED_VALUE"""),"🔍 BUSCAR PACIENTES")</f>
        <v>🔍 BUSCAR PACIENTES</v>
      </c>
    </row>
    <row r="3516">
      <c r="A3516" s="44">
        <v>3515.0</v>
      </c>
      <c r="B3516" s="44" t="str">
        <f>IFERROR(__xludf.DUMMYFUNCTION("""COMPUTED_VALUE"""),"Hospital Domingo Luciani")</f>
        <v>Hospital Domingo Luciani</v>
      </c>
      <c r="C3516" s="45" t="str">
        <f>IFERROR(__xludf.DUMMYFUNCTION("""COMPUTED_VALUE"""),"TORRES MILAGROS")</f>
        <v>TORRES MILAGROS</v>
      </c>
      <c r="D3516" s="44">
        <f>IFERROR(__xludf.DUMMYFUNCTION("""COMPUTED_VALUE"""),46.0)</f>
        <v>46</v>
      </c>
      <c r="E3516" s="44" t="str">
        <f>IFERROR(__xludf.DUMMYFUNCTION("""COMPUTED_VALUE"""),"")</f>
        <v/>
      </c>
      <c r="F3516" s="44" t="str">
        <f>IFERROR(__xludf.DUMMYFUNCTION("""COMPUTED_VALUE"""),"")</f>
        <v/>
      </c>
      <c r="G3516" s="44" t="str">
        <f>IFERROR(__xludf.DUMMYFUNCTION("""COMPUTED_VALUE""")," ")</f>
        <v> </v>
      </c>
      <c r="H3516" s="44" t="str">
        <f>IFERROR(__xludf.DUMMYFUNCTION("""COMPUTED_VALUE""")," ")</f>
        <v> </v>
      </c>
      <c r="I3516" s="44" t="str">
        <f>IFERROR(__xludf.DUMMYFUNCTION("""COMPUTED_VALUE""")," ")</f>
        <v> </v>
      </c>
      <c r="J3516" s="44" t="str">
        <f>IFERROR(__xludf.DUMMYFUNCTION("""COMPUTED_VALUE"""),"")</f>
        <v/>
      </c>
      <c r="K3516" s="42" t="str">
        <f>IFERROR(__xludf.DUMMYFUNCTION("""COMPUTED_VALUE"""),"🔍 BUSCAR PACIENTES")</f>
        <v>🔍 BUSCAR PACIENTES</v>
      </c>
    </row>
    <row r="3517">
      <c r="A3517" s="44">
        <v>3516.0</v>
      </c>
      <c r="B3517" s="44" t="str">
        <f>IFERROR(__xludf.DUMMYFUNCTION("""COMPUTED_VALUE"""),"Hospital Pérez Carreño")</f>
        <v>Hospital Pérez Carreño</v>
      </c>
      <c r="C3517" s="45" t="str">
        <f>IFERROR(__xludf.DUMMYFUNCTION("""COMPUTED_VALUE"""),"Torres Saez Jenny / Carlo")</f>
        <v>Torres Saez Jenny / Carlo</v>
      </c>
      <c r="D3517" s="44"/>
      <c r="E3517" s="44" t="str">
        <f>IFERROR(__xludf.DUMMYFUNCTION("""COMPUTED_VALUE"""),"")</f>
        <v/>
      </c>
      <c r="F3517" s="44" t="str">
        <f>IFERROR(__xludf.DUMMYFUNCTION("""COMPUTED_VALUE"""),"")</f>
        <v/>
      </c>
      <c r="G3517" s="44" t="str">
        <f>IFERROR(__xludf.DUMMYFUNCTION("""COMPUTED_VALUE"""),"Traslados con destino asignado")</f>
        <v>Traslados con destino asignado</v>
      </c>
      <c r="H3517" s="44" t="str">
        <f>IFERROR(__xludf.DUMMYFUNCTION("""COMPUTED_VALUE"""),"Hospital Miguel Perez Carreño")</f>
        <v>Hospital Miguel Perez Carreño</v>
      </c>
      <c r="I3517" s="44"/>
      <c r="J3517" s="44" t="str">
        <f>IFERROR(__xludf.DUMMYFUNCTION("""COMPUTED_VALUE"""),"26/6/26")</f>
        <v>26/6/26</v>
      </c>
      <c r="K3517" s="42" t="str">
        <f>IFERROR(__xludf.DUMMYFUNCTION("""COMPUTED_VALUE"""),"Hospital Pérez Carreño")</f>
        <v>Hospital Pérez Carreño</v>
      </c>
    </row>
    <row r="3518">
      <c r="A3518" s="44">
        <v>3517.0</v>
      </c>
      <c r="B3518" s="44" t="str">
        <f>IFERROR(__xludf.DUMMYFUNCTION("""COMPUTED_VALUE"""),"H. Jose Maria Vargas LG")</f>
        <v>H. Jose Maria Vargas LG</v>
      </c>
      <c r="C3518" s="45" t="str">
        <f>IFERROR(__xludf.DUMMYFUNCTION("""COMPUTED_VALUE"""),"TORREZ SEBASTIAN")</f>
        <v>TORREZ SEBASTIAN</v>
      </c>
      <c r="D3518" s="44" t="str">
        <f>IFERROR(__xludf.DUMMYFUNCTION("""COMPUTED_VALUE""")," ")</f>
        <v> </v>
      </c>
      <c r="E3518" s="44" t="str">
        <f>IFERROR(__xludf.DUMMYFUNCTION("""COMPUTED_VALUE"""),"")</f>
        <v/>
      </c>
      <c r="F3518" s="44" t="str">
        <f>IFERROR(__xludf.DUMMYFUNCTION("""COMPUTED_VALUE"""),"")</f>
        <v/>
      </c>
      <c r="G3518" s="44" t="str">
        <f>IFERROR(__xludf.DUMMYFUNCTION("""COMPUTED_VALUE""")," ")</f>
        <v> </v>
      </c>
      <c r="H3518" s="44" t="str">
        <f>IFERROR(__xludf.DUMMYFUNCTION("""COMPUTED_VALUE""")," ")</f>
        <v> </v>
      </c>
      <c r="I3518" s="44" t="str">
        <f>IFERROR(__xludf.DUMMYFUNCTION("""COMPUTED_VALUE""")," ")</f>
        <v> </v>
      </c>
      <c r="J3518" s="44" t="str">
        <f>IFERROR(__xludf.DUMMYFUNCTION("""COMPUTED_VALUE"""),"")</f>
        <v/>
      </c>
      <c r="K3518" s="42" t="str">
        <f>IFERROR(__xludf.DUMMYFUNCTION("""COMPUTED_VALUE"""),"H. Jose Maria Vargas LG")</f>
        <v>H. Jose Maria Vargas LG</v>
      </c>
    </row>
    <row r="3519">
      <c r="A3519" s="44">
        <v>3518.0</v>
      </c>
      <c r="B3519" s="44" t="str">
        <f>IFERROR(__xludf.DUMMYFUNCTION("""COMPUTED_VALUE"""),"Hospital Domingo Luciani")</f>
        <v>Hospital Domingo Luciani</v>
      </c>
      <c r="C3519" s="45" t="str">
        <f>IFERROR(__xludf.DUMMYFUNCTION("""COMPUTED_VALUE"""),"TORTOSA JESUS")</f>
        <v>TORTOSA JESUS</v>
      </c>
      <c r="D3519" s="44">
        <f>IFERROR(__xludf.DUMMYFUNCTION("""COMPUTED_VALUE"""),52.0)</f>
        <v>52</v>
      </c>
      <c r="E3519" s="44" t="str">
        <f>IFERROR(__xludf.DUMMYFUNCTION("""COMPUTED_VALUE"""),"")</f>
        <v/>
      </c>
      <c r="F3519" s="44" t="str">
        <f>IFERROR(__xludf.DUMMYFUNCTION("""COMPUTED_VALUE"""),"")</f>
        <v/>
      </c>
      <c r="G3519" s="44" t="str">
        <f>IFERROR(__xludf.DUMMYFUNCTION("""COMPUTED_VALUE""")," ")</f>
        <v> </v>
      </c>
      <c r="H3519" s="44" t="str">
        <f>IFERROR(__xludf.DUMMYFUNCTION("""COMPUTED_VALUE"""),"La Guaira")</f>
        <v>La Guaira</v>
      </c>
      <c r="I3519" s="44" t="str">
        <f>IFERROR(__xludf.DUMMYFUNCTION("""COMPUTED_VALUE"""),"Ingresos 6am-9:20pm")</f>
        <v>Ingresos 6am-9:20pm</v>
      </c>
      <c r="J3519" s="44" t="str">
        <f>IFERROR(__xludf.DUMMYFUNCTION("""COMPUTED_VALUE"""),"")</f>
        <v/>
      </c>
      <c r="K3519" s="42" t="str">
        <f>IFERROR(__xludf.DUMMYFUNCTION("""COMPUTED_VALUE"""),"🔍 BUSCAR PACIENTES")</f>
        <v>🔍 BUSCAR PACIENTES</v>
      </c>
    </row>
    <row r="3520">
      <c r="A3520" s="44">
        <v>3519.0</v>
      </c>
      <c r="B3520" s="44" t="str">
        <f>IFERROR(__xludf.DUMMYFUNCTION("""COMPUTED_VALUE"""),"Hospital Vargas de Caracas")</f>
        <v>Hospital Vargas de Caracas</v>
      </c>
      <c r="C3520" s="45" t="str">
        <f>IFERROR(__xludf.DUMMYFUNCTION("""COMPUTED_VALUE"""),"TOTUMO MARIA")</f>
        <v>TOTUMO MARIA</v>
      </c>
      <c r="D3520" s="44" t="str">
        <f>IFERROR(__xludf.DUMMYFUNCTION("""COMPUTED_VALUE""")," ")</f>
        <v> </v>
      </c>
      <c r="E3520" s="44" t="str">
        <f>IFERROR(__xludf.DUMMYFUNCTION("""COMPUTED_VALUE"""),"")</f>
        <v/>
      </c>
      <c r="F3520" s="44" t="str">
        <f>IFERROR(__xludf.DUMMYFUNCTION("""COMPUTED_VALUE""")," ")</f>
        <v> </v>
      </c>
      <c r="G3520" s="44" t="str">
        <f>IFERROR(__xludf.DUMMYFUNCTION("""COMPUTED_VALUE"""),"")</f>
        <v/>
      </c>
      <c r="H3520" s="44" t="str">
        <f>IFERROR(__xludf.DUMMYFUNCTION("""COMPUTED_VALUE""")," ")</f>
        <v> </v>
      </c>
      <c r="I3520" s="44" t="str">
        <f>IFERROR(__xludf.DUMMYFUNCTION("""COMPUTED_VALUE"""),"⚠ FALLECIDA")</f>
        <v>⚠ FALLECIDA</v>
      </c>
      <c r="J3520" s="44" t="str">
        <f>IFERROR(__xludf.DUMMYFUNCTION("""COMPUTED_VALUE"""),"")</f>
        <v/>
      </c>
      <c r="K3520" s="42" t="str">
        <f>IFERROR(__xludf.DUMMYFUNCTION("""COMPUTED_VALUE"""),"Hospital Vargas de Caracas")</f>
        <v>Hospital Vargas de Caracas</v>
      </c>
    </row>
    <row r="3521">
      <c r="A3521" s="44">
        <v>3520.0</v>
      </c>
      <c r="B3521" s="44" t="str">
        <f>IFERROR(__xludf.DUMMYFUNCTION("""COMPUTED_VALUE"""),"Clínica El Ávila")</f>
        <v>Clínica El Ávila</v>
      </c>
      <c r="C3521" s="45" t="str">
        <f>IFERROR(__xludf.DUMMYFUNCTION("""COMPUTED_VALUE"""),"TOVAR ALEJANDRO")</f>
        <v>TOVAR ALEJANDRO</v>
      </c>
      <c r="D3521" s="44" t="str">
        <f>IFERROR(__xludf.DUMMYFUNCTION("""COMPUTED_VALUE""")," ")</f>
        <v> </v>
      </c>
      <c r="E3521" s="44" t="str">
        <f>IFERROR(__xludf.DUMMYFUNCTION("""COMPUTED_VALUE"""),"")</f>
        <v/>
      </c>
      <c r="F3521" s="44" t="str">
        <f>IFERROR(__xludf.DUMMYFUNCTION("""COMPUTED_VALUE"""),"")</f>
        <v/>
      </c>
      <c r="G3521" s="44" t="str">
        <f>IFERROR(__xludf.DUMMYFUNCTION("""COMPUTED_VALUE""")," ")</f>
        <v> </v>
      </c>
      <c r="H3521" s="44" t="str">
        <f>IFERROR(__xludf.DUMMYFUNCTION("""COMPUTED_VALUE""")," ")</f>
        <v> </v>
      </c>
      <c r="I3521" s="44" t="str">
        <f>IFERROR(__xludf.DUMMYFUNCTION("""COMPUTED_VALUE""")," ")</f>
        <v> </v>
      </c>
      <c r="J3521" s="44" t="str">
        <f>IFERROR(__xludf.DUMMYFUNCTION("""COMPUTED_VALUE"""),"")</f>
        <v/>
      </c>
      <c r="K3521" s="42" t="str">
        <f>IFERROR(__xludf.DUMMYFUNCTION("""COMPUTED_VALUE"""),"Clínica El Ávila")</f>
        <v>Clínica El Ávila</v>
      </c>
    </row>
    <row r="3522">
      <c r="A3522" s="44">
        <v>3521.0</v>
      </c>
      <c r="B3522" s="44" t="str">
        <f>IFERROR(__xludf.DUMMYFUNCTION("""COMPUTED_VALUE"""),"H. Jose Maria Vargas LG")</f>
        <v>H. Jose Maria Vargas LG</v>
      </c>
      <c r="C3522" s="45" t="str">
        <f>IFERROR(__xludf.DUMMYFUNCTION("""COMPUTED_VALUE"""),"TOVAR RAFAEL")</f>
        <v>TOVAR RAFAEL</v>
      </c>
      <c r="D3522" s="44" t="str">
        <f>IFERROR(__xludf.DUMMYFUNCTION("""COMPUTED_VALUE""")," ")</f>
        <v> </v>
      </c>
      <c r="E3522" s="44" t="str">
        <f>IFERROR(__xludf.DUMMYFUNCTION("""COMPUTED_VALUE"""),"")</f>
        <v/>
      </c>
      <c r="F3522" s="44" t="str">
        <f>IFERROR(__xludf.DUMMYFUNCTION("""COMPUTED_VALUE"""),"")</f>
        <v/>
      </c>
      <c r="G3522" s="44" t="str">
        <f>IFERROR(__xludf.DUMMYFUNCTION("""COMPUTED_VALUE""")," ")</f>
        <v> </v>
      </c>
      <c r="H3522" s="44" t="str">
        <f>IFERROR(__xludf.DUMMYFUNCTION("""COMPUTED_VALUE""")," ")</f>
        <v> </v>
      </c>
      <c r="I3522" s="44" t="str">
        <f>IFERROR(__xludf.DUMMYFUNCTION("""COMPUTED_VALUE""")," ")</f>
        <v> </v>
      </c>
      <c r="J3522" s="44" t="str">
        <f>IFERROR(__xludf.DUMMYFUNCTION("""COMPUTED_VALUE"""),"")</f>
        <v/>
      </c>
      <c r="K3522" s="42" t="str">
        <f>IFERROR(__xludf.DUMMYFUNCTION("""COMPUTED_VALUE"""),"H. Jose Maria Vargas LG")</f>
        <v>H. Jose Maria Vargas LG</v>
      </c>
    </row>
    <row r="3523">
      <c r="A3523" s="44">
        <v>3522.0</v>
      </c>
      <c r="B3523" s="44" t="str">
        <f>IFERROR(__xludf.DUMMYFUNCTION("""COMPUTED_VALUE"""),"H. Jose Maria Vargas LG")</f>
        <v>H. Jose Maria Vargas LG</v>
      </c>
      <c r="C3523" s="45" t="str">
        <f>IFERROR(__xludf.DUMMYFUNCTION("""COMPUTED_VALUE"""),"TOVAR USELMA")</f>
        <v>TOVAR USELMA</v>
      </c>
      <c r="D3523" s="44" t="str">
        <f>IFERROR(__xludf.DUMMYFUNCTION("""COMPUTED_VALUE""")," ")</f>
        <v> </v>
      </c>
      <c r="E3523" s="44" t="str">
        <f>IFERROR(__xludf.DUMMYFUNCTION("""COMPUTED_VALUE"""),"")</f>
        <v/>
      </c>
      <c r="F3523" s="44" t="str">
        <f>IFERROR(__xludf.DUMMYFUNCTION("""COMPUTED_VALUE"""),"")</f>
        <v/>
      </c>
      <c r="G3523" s="44" t="str">
        <f>IFERROR(__xludf.DUMMYFUNCTION("""COMPUTED_VALUE""")," ")</f>
        <v> </v>
      </c>
      <c r="H3523" s="44" t="str">
        <f>IFERROR(__xludf.DUMMYFUNCTION("""COMPUTED_VALUE""")," ")</f>
        <v> </v>
      </c>
      <c r="I3523" s="44" t="str">
        <f>IFERROR(__xludf.DUMMYFUNCTION("""COMPUTED_VALUE""")," ")</f>
        <v> </v>
      </c>
      <c r="J3523" s="44" t="str">
        <f>IFERROR(__xludf.DUMMYFUNCTION("""COMPUTED_VALUE"""),"")</f>
        <v/>
      </c>
      <c r="K3523" s="42" t="str">
        <f>IFERROR(__xludf.DUMMYFUNCTION("""COMPUTED_VALUE"""),"H. Jose Maria Vargas LG")</f>
        <v>H. Jose Maria Vargas LG</v>
      </c>
    </row>
    <row r="3524">
      <c r="A3524" s="44">
        <v>3523.0</v>
      </c>
      <c r="B3524" s="44" t="str">
        <f>IFERROR(__xludf.DUMMYFUNCTION("""COMPUTED_VALUE"""),"Hospital Ricardo Baquero González")</f>
        <v>Hospital Ricardo Baquero González</v>
      </c>
      <c r="C3524" s="45" t="str">
        <f>IFERROR(__xludf.DUMMYFUNCTION("""COMPUTED_VALUE"""),"TOVAR YEISON")</f>
        <v>TOVAR YEISON</v>
      </c>
      <c r="D3524" s="44">
        <f>IFERROR(__xludf.DUMMYFUNCTION("""COMPUTED_VALUE"""),17.0)</f>
        <v>17</v>
      </c>
      <c r="E3524" s="44" t="str">
        <f>IFERROR(__xludf.DUMMYFUNCTION("""COMPUTED_VALUE"""),"")</f>
        <v/>
      </c>
      <c r="F3524" s="44" t="str">
        <f>IFERROR(__xludf.DUMMYFUNCTION("""COMPUTED_VALUE"""),"")</f>
        <v/>
      </c>
      <c r="G3524" s="44" t="str">
        <f>IFERROR(__xludf.DUMMYFUNCTION("""COMPUTED_VALUE""")," ")</f>
        <v> </v>
      </c>
      <c r="H3524" s="44" t="str">
        <f>IFERROR(__xludf.DUMMYFUNCTION("""COMPUTED_VALUE""")," ")</f>
        <v> </v>
      </c>
      <c r="I3524" s="44" t="str">
        <f>IFERROR(__xludf.DUMMYFUNCTION("""COMPUTED_VALUE"""),"Internado; Cirugía General")</f>
        <v>Internado; Cirugía General</v>
      </c>
      <c r="J3524" s="44" t="str">
        <f>IFERROR(__xludf.DUMMYFUNCTION("""COMPUTED_VALUE"""),"")</f>
        <v/>
      </c>
      <c r="K3524" s="42" t="str">
        <f>IFERROR(__xludf.DUMMYFUNCTION("""COMPUTED_VALUE"""),"🔍 BUSCAR PACIENTES")</f>
        <v>🔍 BUSCAR PACIENTES</v>
      </c>
    </row>
    <row r="3525">
      <c r="A3525" s="44">
        <v>3524.0</v>
      </c>
      <c r="B3525" s="44" t="str">
        <f>IFERROR(__xludf.DUMMYFUNCTION("""COMPUTED_VALUE"""),"Hospital Pérez Carreño")</f>
        <v>Hospital Pérez Carreño</v>
      </c>
      <c r="C3525" s="45" t="str">
        <f>IFERROR(__xludf.DUMMYFUNCTION("""COMPUTED_VALUE"""),"Toyes Bautista Matty Carolina")</f>
        <v>Toyes Bautista Matty Carolina</v>
      </c>
      <c r="D3525" s="44"/>
      <c r="E3525" s="44" t="str">
        <f>IFERROR(__xludf.DUMMYFUNCTION("""COMPUTED_VALUE"""),"")</f>
        <v/>
      </c>
      <c r="F3525" s="44" t="str">
        <f>IFERROR(__xludf.DUMMYFUNCTION("""COMPUTED_VALUE"""),"")</f>
        <v/>
      </c>
      <c r="G3525" s="44" t="str">
        <f>IFERROR(__xludf.DUMMYFUNCTION("""COMPUTED_VALUE"""),"Traslados")</f>
        <v>Traslados</v>
      </c>
      <c r="H3525" s="44" t="str">
        <f>IFERROR(__xludf.DUMMYFUNCTION("""COMPUTED_VALUE"""),"Hospital Miguel Perez Carreño")</f>
        <v>Hospital Miguel Perez Carreño</v>
      </c>
      <c r="I3525" s="44"/>
      <c r="J3525" s="44" t="str">
        <f>IFERROR(__xludf.DUMMYFUNCTION("""COMPUTED_VALUE"""),"26/6/26")</f>
        <v>26/6/26</v>
      </c>
      <c r="K3525" s="42" t="str">
        <f>IFERROR(__xludf.DUMMYFUNCTION("""COMPUTED_VALUE"""),"Hospital Pérez Carreño")</f>
        <v>Hospital Pérez Carreño</v>
      </c>
    </row>
    <row r="3526">
      <c r="A3526" s="44">
        <v>3525.0</v>
      </c>
      <c r="B3526" s="44" t="str">
        <f>IFERROR(__xludf.DUMMYFUNCTION("""COMPUTED_VALUE"""),"Hospital Vargas de Caracas")</f>
        <v>Hospital Vargas de Caracas</v>
      </c>
      <c r="C3526" s="45" t="str">
        <f>IFERROR(__xludf.DUMMYFUNCTION("""COMPUTED_VALUE"""),"TREBOL LUIS JOSE")</f>
        <v>TREBOL LUIS JOSE</v>
      </c>
      <c r="D3526" s="44" t="str">
        <f>IFERROR(__xludf.DUMMYFUNCTION("""COMPUTED_VALUE""")," ")</f>
        <v> </v>
      </c>
      <c r="E3526" s="44" t="str">
        <f>IFERROR(__xludf.DUMMYFUNCTION("""COMPUTED_VALUE"""),"")</f>
        <v/>
      </c>
      <c r="F3526" s="44" t="str">
        <f>IFERROR(__xludf.DUMMYFUNCTION("""COMPUTED_VALUE""")," ")</f>
        <v> </v>
      </c>
      <c r="G3526" s="44" t="str">
        <f>IFERROR(__xludf.DUMMYFUNCTION("""COMPUTED_VALUE"""),"")</f>
        <v/>
      </c>
      <c r="H3526" s="44" t="str">
        <f>IFERROR(__xludf.DUMMYFUNCTION("""COMPUTED_VALUE""")," ")</f>
        <v> </v>
      </c>
      <c r="I3526" s="44" t="str">
        <f>IFERROR(__xludf.DUMMYFUNCTION("""COMPUTED_VALUE""")," ")</f>
        <v> </v>
      </c>
      <c r="J3526" s="44" t="str">
        <f>IFERROR(__xludf.DUMMYFUNCTION("""COMPUTED_VALUE"""),"")</f>
        <v/>
      </c>
      <c r="K3526" s="42" t="str">
        <f>IFERROR(__xludf.DUMMYFUNCTION("""COMPUTED_VALUE"""),"Hospital Vargas de Caracas")</f>
        <v>Hospital Vargas de Caracas</v>
      </c>
    </row>
    <row r="3527">
      <c r="A3527" s="44">
        <v>3526.0</v>
      </c>
      <c r="B3527" s="44" t="str">
        <f>IFERROR(__xludf.DUMMYFUNCTION("""COMPUTED_VALUE"""),"Hospital Domingo Luciani")</f>
        <v>Hospital Domingo Luciani</v>
      </c>
      <c r="C3527" s="45" t="str">
        <f>IFERROR(__xludf.DUMMYFUNCTION("""COMPUTED_VALUE"""),"TRUJILLO ELIAN")</f>
        <v>TRUJILLO ELIAN</v>
      </c>
      <c r="D3527" s="44">
        <f>IFERROR(__xludf.DUMMYFUNCTION("""COMPUTED_VALUE"""),19.0)</f>
        <v>19</v>
      </c>
      <c r="E3527" s="44" t="str">
        <f>IFERROR(__xludf.DUMMYFUNCTION("""COMPUTED_VALUE"""),"")</f>
        <v/>
      </c>
      <c r="F3527" s="44" t="str">
        <f>IFERROR(__xludf.DUMMYFUNCTION("""COMPUTED_VALUE"""),"")</f>
        <v/>
      </c>
      <c r="G3527" s="44" t="str">
        <f>IFERROR(__xludf.DUMMYFUNCTION("""COMPUTED_VALUE""")," ")</f>
        <v> </v>
      </c>
      <c r="H3527" s="44" t="str">
        <f>IFERROR(__xludf.DUMMYFUNCTION("""COMPUTED_VALUE""")," ")</f>
        <v> </v>
      </c>
      <c r="I3527" s="44" t="str">
        <f>IFERROR(__xludf.DUMMYFUNCTION("""COMPUTED_VALUE""")," ")</f>
        <v> </v>
      </c>
      <c r="J3527" s="44" t="str">
        <f>IFERROR(__xludf.DUMMYFUNCTION("""COMPUTED_VALUE"""),"")</f>
        <v/>
      </c>
      <c r="K3527" s="42" t="str">
        <f>IFERROR(__xludf.DUMMYFUNCTION("""COMPUTED_VALUE"""),"🔍 BUSCAR PACIENTES")</f>
        <v>🔍 BUSCAR PACIENTES</v>
      </c>
    </row>
    <row r="3528">
      <c r="A3528" s="44">
        <v>3527.0</v>
      </c>
      <c r="B3528" s="44" t="str">
        <f>IFERROR(__xludf.DUMMYFUNCTION("""COMPUTED_VALUE"""),"Hospital Domingo Luciani")</f>
        <v>Hospital Domingo Luciani</v>
      </c>
      <c r="C3528" s="45" t="str">
        <f>IFERROR(__xludf.DUMMYFUNCTION("""COMPUTED_VALUE"""),"TRUJILLO HENAM")</f>
        <v>TRUJILLO HENAM</v>
      </c>
      <c r="D3528" s="44" t="str">
        <f>IFERROR(__xludf.DUMMYFUNCTION("""COMPUTED_VALUE""")," ")</f>
        <v> </v>
      </c>
      <c r="E3528" s="44" t="str">
        <f>IFERROR(__xludf.DUMMYFUNCTION("""COMPUTED_VALUE"""),"")</f>
        <v/>
      </c>
      <c r="F3528" s="44" t="str">
        <f>IFERROR(__xludf.DUMMYFUNCTION("""COMPUTED_VALUE"""),"")</f>
        <v/>
      </c>
      <c r="G3528" s="44" t="str">
        <f>IFERROR(__xludf.DUMMYFUNCTION("""COMPUTED_VALUE""")," ")</f>
        <v> </v>
      </c>
      <c r="H3528" s="44" t="str">
        <f>IFERROR(__xludf.DUMMYFUNCTION("""COMPUTED_VALUE""")," ")</f>
        <v> </v>
      </c>
      <c r="I3528" s="44" t="str">
        <f>IFERROR(__xludf.DUMMYFUNCTION("""COMPUTED_VALUE"""),"Terapia – M; La Guaira")</f>
        <v>Terapia – M; La Guaira</v>
      </c>
      <c r="J3528" s="44" t="str">
        <f>IFERROR(__xludf.DUMMYFUNCTION("""COMPUTED_VALUE"""),"")</f>
        <v/>
      </c>
      <c r="K3528" s="42" t="str">
        <f>IFERROR(__xludf.DUMMYFUNCTION("""COMPUTED_VALUE"""),"🔍 BUSCAR PACIENTES")</f>
        <v>🔍 BUSCAR PACIENTES</v>
      </c>
    </row>
    <row r="3529">
      <c r="A3529" s="44">
        <v>3528.0</v>
      </c>
      <c r="B3529" s="44" t="str">
        <f>IFERROR(__xludf.DUMMYFUNCTION("""COMPUTED_VALUE"""),"Periférico de Catia")</f>
        <v>Periférico de Catia</v>
      </c>
      <c r="C3529" s="45" t="str">
        <f>IFERROR(__xludf.DUMMYFUNCTION("""COMPUTED_VALUE"""),"Trujillo Meriam")</f>
        <v>Trujillo Meriam</v>
      </c>
      <c r="D3529" s="44">
        <f>IFERROR(__xludf.DUMMYFUNCTION("""COMPUTED_VALUE"""),19.0)</f>
        <v>19</v>
      </c>
      <c r="E3529" s="44" t="str">
        <f>IFERROR(__xludf.DUMMYFUNCTION("""COMPUTED_VALUE"""),"")</f>
        <v/>
      </c>
      <c r="F3529" s="44" t="str">
        <f>IFERROR(__xludf.DUMMYFUNCTION("""COMPUTED_VALUE"""),"")</f>
        <v/>
      </c>
      <c r="G3529" s="44"/>
      <c r="H3529" s="44" t="str">
        <f>IFERROR(__xludf.DUMMYFUNCTION("""COMPUTED_VALUE"""),"La Guaira")</f>
        <v>La Guaira</v>
      </c>
      <c r="I3529" s="44" t="str">
        <f>IFERROR(__xludf.DUMMYFUNCTION("""COMPUTED_VALUE"""),"Terapia (hoja aparte); posible duplicado de 'Trujillo Elian 19' (UCI) con apellido distinto; verificar")</f>
        <v>Terapia (hoja aparte); posible duplicado de 'Trujillo Elian 19' (UCI) con apellido distinto; verificar</v>
      </c>
      <c r="J3529" s="44" t="str">
        <f>IFERROR(__xludf.DUMMYFUNCTION("""COMPUTED_VALUE"""),"")</f>
        <v/>
      </c>
      <c r="K3529" s="42" t="str">
        <f>IFERROR(__xludf.DUMMYFUNCTION("""COMPUTED_VALUE"""),"Periférico de Catia")</f>
        <v>Periférico de Catia</v>
      </c>
    </row>
    <row r="3530">
      <c r="A3530" s="44">
        <v>3529.0</v>
      </c>
      <c r="B3530" s="44" t="str">
        <f>IFERROR(__xludf.DUMMYFUNCTION("""COMPUTED_VALUE"""),"Hospital Vargas de Caracas")</f>
        <v>Hospital Vargas de Caracas</v>
      </c>
      <c r="C3530" s="45" t="str">
        <f>IFERROR(__xludf.DUMMYFUNCTION("""COMPUTED_VALUE"""),"TUBOR TIBISAY")</f>
        <v>TUBOR TIBISAY</v>
      </c>
      <c r="D3530" s="44" t="str">
        <f>IFERROR(__xludf.DUMMYFUNCTION("""COMPUTED_VALUE""")," ")</f>
        <v> </v>
      </c>
      <c r="E3530" s="44" t="str">
        <f>IFERROR(__xludf.DUMMYFUNCTION("""COMPUTED_VALUE"""),"")</f>
        <v/>
      </c>
      <c r="F3530" s="44" t="str">
        <f>IFERROR(__xludf.DUMMYFUNCTION("""COMPUTED_VALUE""")," ")</f>
        <v> </v>
      </c>
      <c r="G3530" s="44" t="str">
        <f>IFERROR(__xludf.DUMMYFUNCTION("""COMPUTED_VALUE"""),"")</f>
        <v/>
      </c>
      <c r="H3530" s="44" t="str">
        <f>IFERROR(__xludf.DUMMYFUNCTION("""COMPUTED_VALUE""")," ")</f>
        <v> </v>
      </c>
      <c r="I3530" s="44" t="str">
        <f>IFERROR(__xludf.DUMMYFUNCTION("""COMPUTED_VALUE"""),"Internado")</f>
        <v>Internado</v>
      </c>
      <c r="J3530" s="44" t="str">
        <f>IFERROR(__xludf.DUMMYFUNCTION("""COMPUTED_VALUE"""),"")</f>
        <v/>
      </c>
      <c r="K3530" s="42" t="str">
        <f>IFERROR(__xludf.DUMMYFUNCTION("""COMPUTED_VALUE"""),"Hospital Vargas de Caracas")</f>
        <v>Hospital Vargas de Caracas</v>
      </c>
    </row>
    <row r="3531">
      <c r="A3531" s="44">
        <v>3530.0</v>
      </c>
      <c r="B3531" s="44" t="str">
        <f>IFERROR(__xludf.DUMMYFUNCTION("""COMPUTED_VALUE"""),"HOSPITAL VARGAS")</f>
        <v>HOSPITAL VARGAS</v>
      </c>
      <c r="C3531" s="45" t="str">
        <f>IFERROR(__xludf.DUMMYFUNCTION("""COMPUTED_VALUE"""),"Tulia Galain")</f>
        <v>Tulia Galain</v>
      </c>
      <c r="D3531" s="44"/>
      <c r="E3531" s="44" t="str">
        <f>IFERROR(__xludf.DUMMYFUNCTION("""COMPUTED_VALUE"""),"")</f>
        <v/>
      </c>
      <c r="F3531" s="44" t="str">
        <f>IFERROR(__xludf.DUMMYFUNCTION("""COMPUTED_VALUE"""),"")</f>
        <v/>
      </c>
      <c r="G3531" s="44" t="str">
        <f>IFERROR(__xludf.DUMMYFUNCTION("""COMPUTED_VALUE"""),"")</f>
        <v/>
      </c>
      <c r="H3531" s="44" t="str">
        <f>IFERROR(__xludf.DUMMYFUNCTION("""COMPUTED_VALUE"""),"")</f>
        <v/>
      </c>
      <c r="I3531" s="44" t="str">
        <f>IFERROR(__xludf.DUMMYFUNCTION("""COMPUTED_VALUE"""),"Herido / atendido")</f>
        <v>Herido / atendido</v>
      </c>
      <c r="J3531" s="44" t="str">
        <f>IFERROR(__xludf.DUMMYFUNCTION("""COMPUTED_VALUE"""),"24.06.2026 ")</f>
        <v>24.06.2026 </v>
      </c>
      <c r="K3531" s="42" t="str">
        <f>IFERROR(__xludf.DUMMYFUNCTION("""COMPUTED_VALUE"""),"HOSPITAL VARGAS")</f>
        <v>HOSPITAL VARGAS</v>
      </c>
    </row>
    <row r="3532">
      <c r="A3532" s="44">
        <v>3531.0</v>
      </c>
      <c r="B3532" s="44" t="str">
        <f>IFERROR(__xludf.DUMMYFUNCTION("""COMPUTED_VALUE"""),"H. Jose Maria Vargas LG")</f>
        <v>H. Jose Maria Vargas LG</v>
      </c>
      <c r="C3532" s="45" t="str">
        <f>IFERROR(__xludf.DUMMYFUNCTION("""COMPUTED_VALUE"""),"TUMANI AMIRA")</f>
        <v>TUMANI AMIRA</v>
      </c>
      <c r="D3532" s="44" t="str">
        <f>IFERROR(__xludf.DUMMYFUNCTION("""COMPUTED_VALUE""")," ")</f>
        <v> </v>
      </c>
      <c r="E3532" s="44" t="str">
        <f>IFERROR(__xludf.DUMMYFUNCTION("""COMPUTED_VALUE"""),"")</f>
        <v/>
      </c>
      <c r="F3532" s="44" t="str">
        <f>IFERROR(__xludf.DUMMYFUNCTION("""COMPUTED_VALUE"""),"")</f>
        <v/>
      </c>
      <c r="G3532" s="44" t="str">
        <f>IFERROR(__xludf.DUMMYFUNCTION("""COMPUTED_VALUE""")," ")</f>
        <v> </v>
      </c>
      <c r="H3532" s="44" t="str">
        <f>IFERROR(__xludf.DUMMYFUNCTION("""COMPUTED_VALUE"""),"Caraballeda")</f>
        <v>Caraballeda</v>
      </c>
      <c r="I3532" s="44" t="str">
        <f>IFERROR(__xludf.DUMMYFUNCTION("""COMPUTED_VALUE""")," ")</f>
        <v> </v>
      </c>
      <c r="J3532" s="44" t="str">
        <f>IFERROR(__xludf.DUMMYFUNCTION("""COMPUTED_VALUE"""),"")</f>
        <v/>
      </c>
      <c r="K3532" s="42" t="str">
        <f>IFERROR(__xludf.DUMMYFUNCTION("""COMPUTED_VALUE"""),"H. Jose Maria Vargas LG")</f>
        <v>H. Jose Maria Vargas LG</v>
      </c>
    </row>
    <row r="3533">
      <c r="A3533" s="44">
        <v>3532.0</v>
      </c>
      <c r="B3533" s="44" t="str">
        <f>IFERROR(__xludf.DUMMYFUNCTION("""COMPUTED_VALUE"""),"H. Jose Maria Vargas LG")</f>
        <v>H. Jose Maria Vargas LG</v>
      </c>
      <c r="C3533" s="45" t="str">
        <f>IFERROR(__xludf.DUMMYFUNCTION("""COMPUTED_VALUE"""),"UCZTEGUI DAYELISBETH")</f>
        <v>UCZTEGUI DAYELISBETH</v>
      </c>
      <c r="D3533" s="44">
        <f>IFERROR(__xludf.DUMMYFUNCTION("""COMPUTED_VALUE"""),37.0)</f>
        <v>37</v>
      </c>
      <c r="E3533" s="44" t="str">
        <f>IFERROR(__xludf.DUMMYFUNCTION("""COMPUTED_VALUE"""),"")</f>
        <v/>
      </c>
      <c r="F3533" s="44" t="str">
        <f>IFERROR(__xludf.DUMMYFUNCTION("""COMPUTED_VALUE"""),"")</f>
        <v/>
      </c>
      <c r="G3533" s="44" t="str">
        <f>IFERROR(__xludf.DUMMYFUNCTION("""COMPUTED_VALUE""")," ")</f>
        <v> </v>
      </c>
      <c r="H3533" s="44" t="str">
        <f>IFERROR(__xludf.DUMMYFUNCTION("""COMPUTED_VALUE"""),"Caribe")</f>
        <v>Caribe</v>
      </c>
      <c r="I3533" s="44" t="str">
        <f>IFERROR(__xludf.DUMMYFUNCTION("""COMPUTED_VALUE""")," ")</f>
        <v> </v>
      </c>
      <c r="J3533" s="44" t="str">
        <f>IFERROR(__xludf.DUMMYFUNCTION("""COMPUTED_VALUE"""),"")</f>
        <v/>
      </c>
      <c r="K3533" s="42" t="str">
        <f>IFERROR(__xludf.DUMMYFUNCTION("""COMPUTED_VALUE"""),"H. Jose Maria Vargas LG")</f>
        <v>H. Jose Maria Vargas LG</v>
      </c>
    </row>
    <row r="3534">
      <c r="A3534" s="44">
        <v>3533.0</v>
      </c>
      <c r="B3534" s="44" t="str">
        <f>IFERROR(__xludf.DUMMYFUNCTION("""COMPUTED_VALUE"""),"Hospital Domingo Luciani")</f>
        <v>Hospital Domingo Luciani</v>
      </c>
      <c r="C3534" s="45" t="str">
        <f>IFERROR(__xludf.DUMMYFUNCTION("""COMPUTED_VALUE"""),"UEQUIOLA MAURO")</f>
        <v>UEQUIOLA MAURO</v>
      </c>
      <c r="D3534" s="44">
        <f>IFERROR(__xludf.DUMMYFUNCTION("""COMPUTED_VALUE"""),55.0)</f>
        <v>55</v>
      </c>
      <c r="E3534" s="44" t="str">
        <f>IFERROR(__xludf.DUMMYFUNCTION("""COMPUTED_VALUE"""),"")</f>
        <v/>
      </c>
      <c r="F3534" s="44" t="str">
        <f>IFERROR(__xludf.DUMMYFUNCTION("""COMPUTED_VALUE"""),"")</f>
        <v/>
      </c>
      <c r="G3534" s="44" t="str">
        <f>IFERROR(__xludf.DUMMYFUNCTION("""COMPUTED_VALUE""")," ")</f>
        <v> </v>
      </c>
      <c r="H3534" s="44" t="str">
        <f>IFERROR(__xludf.DUMMYFUNCTION("""COMPUTED_VALUE""")," ")</f>
        <v> </v>
      </c>
      <c r="I3534" s="44" t="str">
        <f>IFERROR(__xludf.DUMMYFUNCTION("""COMPUTED_VALUE"""),"Politrauma Emerg. Vieja")</f>
        <v>Politrauma Emerg. Vieja</v>
      </c>
      <c r="J3534" s="44" t="str">
        <f>IFERROR(__xludf.DUMMYFUNCTION("""COMPUTED_VALUE"""),"")</f>
        <v/>
      </c>
      <c r="K3534" s="42" t="str">
        <f>IFERROR(__xludf.DUMMYFUNCTION("""COMPUTED_VALUE"""),"🔍 BUSCAR PACIENTES")</f>
        <v>🔍 BUSCAR PACIENTES</v>
      </c>
    </row>
    <row r="3535">
      <c r="A3535" s="44">
        <v>3534.0</v>
      </c>
      <c r="B3535" s="44" t="str">
        <f>IFERROR(__xludf.DUMMYFUNCTION("""COMPUTED_VALUE"""),"Hospital Domingo Luciani")</f>
        <v>Hospital Domingo Luciani</v>
      </c>
      <c r="C3535" s="45" t="str">
        <f>IFERROR(__xludf.DUMMYFUNCTION("""COMPUTED_VALUE"""),"UGAS MARIA")</f>
        <v>UGAS MARIA</v>
      </c>
      <c r="D3535" s="44">
        <f>IFERROR(__xludf.DUMMYFUNCTION("""COMPUTED_VALUE"""),54.0)</f>
        <v>54</v>
      </c>
      <c r="E3535" s="44" t="str">
        <f>IFERROR(__xludf.DUMMYFUNCTION("""COMPUTED_VALUE"""),"")</f>
        <v/>
      </c>
      <c r="F3535" s="44" t="str">
        <f>IFERROR(__xludf.DUMMYFUNCTION("""COMPUTED_VALUE"""),"")</f>
        <v/>
      </c>
      <c r="G3535" s="44" t="str">
        <f>IFERROR(__xludf.DUMMYFUNCTION("""COMPUTED_VALUE""")," ")</f>
        <v> </v>
      </c>
      <c r="H3535" s="44" t="str">
        <f>IFERROR(__xludf.DUMMYFUNCTION("""COMPUTED_VALUE""")," ")</f>
        <v> </v>
      </c>
      <c r="I3535" s="44" t="str">
        <f>IFERROR(__xludf.DUMMYFUNCTION("""COMPUTED_VALUE"""),"Internado; No tiene familia, Rx")</f>
        <v>Internado; No tiene familia, Rx</v>
      </c>
      <c r="J3535" s="44" t="str">
        <f>IFERROR(__xludf.DUMMYFUNCTION("""COMPUTED_VALUE"""),"")</f>
        <v/>
      </c>
      <c r="K3535" s="42" t="str">
        <f>IFERROR(__xludf.DUMMYFUNCTION("""COMPUTED_VALUE"""),"🔍 BUSCAR PACIENTES")</f>
        <v>🔍 BUSCAR PACIENTES</v>
      </c>
    </row>
    <row r="3536">
      <c r="A3536" s="44">
        <v>3535.0</v>
      </c>
      <c r="B3536" s="44" t="str">
        <f>IFERROR(__xludf.DUMMYFUNCTION("""COMPUTED_VALUE"""),"Hospital Domingo Luciani")</f>
        <v>Hospital Domingo Luciani</v>
      </c>
      <c r="C3536" s="45" t="str">
        <f>IFERROR(__xludf.DUMMYFUNCTION("""COMPUTED_VALUE"""),"UGUELO KIMBERLY")</f>
        <v>UGUELO KIMBERLY</v>
      </c>
      <c r="D3536" s="44">
        <f>IFERROR(__xludf.DUMMYFUNCTION("""COMPUTED_VALUE"""),39.0)</f>
        <v>39</v>
      </c>
      <c r="E3536" s="44" t="str">
        <f>IFERROR(__xludf.DUMMYFUNCTION("""COMPUTED_VALUE"""),"")</f>
        <v/>
      </c>
      <c r="F3536" s="44" t="str">
        <f>IFERROR(__xludf.DUMMYFUNCTION("""COMPUTED_VALUE"""),"")</f>
        <v/>
      </c>
      <c r="G3536" s="44" t="str">
        <f>IFERROR(__xludf.DUMMYFUNCTION("""COMPUTED_VALUE""")," ")</f>
        <v> </v>
      </c>
      <c r="H3536" s="44" t="str">
        <f>IFERROR(__xludf.DUMMYFUNCTION("""COMPUTED_VALUE""")," ")</f>
        <v> </v>
      </c>
      <c r="I3536" s="44" t="str">
        <f>IFERROR(__xludf.DUMMYFUNCTION("""COMPUTED_VALUE"""),"Internado; PISO 4")</f>
        <v>Internado; PISO 4</v>
      </c>
      <c r="J3536" s="44" t="str">
        <f>IFERROR(__xludf.DUMMYFUNCTION("""COMPUTED_VALUE"""),"")</f>
        <v/>
      </c>
      <c r="K3536" s="42" t="str">
        <f>IFERROR(__xludf.DUMMYFUNCTION("""COMPUTED_VALUE"""),"🔍 BUSCAR PACIENTES")</f>
        <v>🔍 BUSCAR PACIENTES</v>
      </c>
    </row>
    <row r="3537">
      <c r="A3537" s="44">
        <v>3536.0</v>
      </c>
      <c r="B3537" s="44" t="str">
        <f>IFERROR(__xludf.DUMMYFUNCTION("""COMPUTED_VALUE"""),"H. Jose Maria Vargas LG")</f>
        <v>H. Jose Maria Vargas LG</v>
      </c>
      <c r="C3537" s="45" t="str">
        <f>IFERROR(__xludf.DUMMYFUNCTION("""COMPUTED_VALUE"""),"UGUENTO JORGE")</f>
        <v>UGUENTO JORGE</v>
      </c>
      <c r="D3537" s="44" t="str">
        <f>IFERROR(__xludf.DUMMYFUNCTION("""COMPUTED_VALUE""")," ")</f>
        <v> </v>
      </c>
      <c r="E3537" s="44" t="str">
        <f>IFERROR(__xludf.DUMMYFUNCTION("""COMPUTED_VALUE"""),"")</f>
        <v/>
      </c>
      <c r="F3537" s="44" t="str">
        <f>IFERROR(__xludf.DUMMYFUNCTION("""COMPUTED_VALUE"""),"")</f>
        <v/>
      </c>
      <c r="G3537" s="44" t="str">
        <f>IFERROR(__xludf.DUMMYFUNCTION("""COMPUTED_VALUE""")," ")</f>
        <v> </v>
      </c>
      <c r="H3537" s="44" t="str">
        <f>IFERROR(__xludf.DUMMYFUNCTION("""COMPUTED_VALUE""")," ")</f>
        <v> </v>
      </c>
      <c r="I3537" s="44" t="str">
        <f>IFERROR(__xludf.DUMMYFUNCTION("""COMPUTED_VALUE""")," ")</f>
        <v> </v>
      </c>
      <c r="J3537" s="44" t="str">
        <f>IFERROR(__xludf.DUMMYFUNCTION("""COMPUTED_VALUE"""),"")</f>
        <v/>
      </c>
      <c r="K3537" s="42" t="str">
        <f>IFERROR(__xludf.DUMMYFUNCTION("""COMPUTED_VALUE"""),"H. Jose Maria Vargas LG")</f>
        <v>H. Jose Maria Vargas LG</v>
      </c>
    </row>
    <row r="3538">
      <c r="A3538" s="44">
        <v>3537.0</v>
      </c>
      <c r="B3538" s="44" t="str">
        <f>IFERROR(__xludf.DUMMYFUNCTION("""COMPUTED_VALUE"""),"H. Jose Maria Vargas LG")</f>
        <v>H. Jose Maria Vargas LG</v>
      </c>
      <c r="C3538" s="45" t="str">
        <f>IFERROR(__xludf.DUMMYFUNCTION("""COMPUTED_VALUE"""),"UGUETO KEMBELIS")</f>
        <v>UGUETO KEMBELIS</v>
      </c>
      <c r="D3538" s="44">
        <f>IFERROR(__xludf.DUMMYFUNCTION("""COMPUTED_VALUE"""),38.0)</f>
        <v>38</v>
      </c>
      <c r="E3538" s="44" t="str">
        <f>IFERROR(__xludf.DUMMYFUNCTION("""COMPUTED_VALUE"""),"")</f>
        <v/>
      </c>
      <c r="F3538" s="44" t="str">
        <f>IFERROR(__xludf.DUMMYFUNCTION("""COMPUTED_VALUE"""),"")</f>
        <v/>
      </c>
      <c r="G3538" s="44" t="str">
        <f>IFERROR(__xludf.DUMMYFUNCTION("""COMPUTED_VALUE""")," ")</f>
        <v> </v>
      </c>
      <c r="H3538" s="44" t="str">
        <f>IFERROR(__xludf.DUMMYFUNCTION("""COMPUTED_VALUE"""),"Los Corales")</f>
        <v>Los Corales</v>
      </c>
      <c r="I3538" s="44" t="str">
        <f>IFERROR(__xludf.DUMMYFUNCTION("""COMPUTED_VALUE""")," ")</f>
        <v> </v>
      </c>
      <c r="J3538" s="44" t="str">
        <f>IFERROR(__xludf.DUMMYFUNCTION("""COMPUTED_VALUE"""),"")</f>
        <v/>
      </c>
      <c r="K3538" s="42" t="str">
        <f>IFERROR(__xludf.DUMMYFUNCTION("""COMPUTED_VALUE"""),"H. Jose Maria Vargas LG")</f>
        <v>H. Jose Maria Vargas LG</v>
      </c>
    </row>
    <row r="3539">
      <c r="A3539" s="44">
        <v>3538.0</v>
      </c>
      <c r="B3539" s="44" t="str">
        <f>IFERROR(__xludf.DUMMYFUNCTION("""COMPUTED_VALUE"""),"Centro de Acopio Caraballeda")</f>
        <v>Centro de Acopio Caraballeda</v>
      </c>
      <c r="C3539" s="45" t="str">
        <f>IFERROR(__xludf.DUMMYFUNCTION("""COMPUTED_VALUE"""),"ULLOA ASDRUBAL")</f>
        <v>ULLOA ASDRUBAL</v>
      </c>
      <c r="D3539" s="44" t="str">
        <f>IFERROR(__xludf.DUMMYFUNCTION("""COMPUTED_VALUE""")," ")</f>
        <v> </v>
      </c>
      <c r="E3539" s="44" t="str">
        <f>IFERROR(__xludf.DUMMYFUNCTION("""COMPUTED_VALUE"""),"")</f>
        <v/>
      </c>
      <c r="F3539" s="44" t="str">
        <f>IFERROR(__xludf.DUMMYFUNCTION("""COMPUTED_VALUE"""),"")</f>
        <v/>
      </c>
      <c r="G3539" s="44" t="str">
        <f>IFERROR(__xludf.DUMMYFUNCTION("""COMPUTED_VALUE""")," ")</f>
        <v> </v>
      </c>
      <c r="H3539" s="44" t="str">
        <f>IFERROR(__xludf.DUMMYFUNCTION("""COMPUTED_VALUE""")," ")</f>
        <v> </v>
      </c>
      <c r="I3539" s="44" t="str">
        <f>IFERROR(__xludf.DUMMYFUNCTION("""COMPUTED_VALUE"""),"Internado")</f>
        <v>Internado</v>
      </c>
      <c r="J3539" s="44" t="str">
        <f>IFERROR(__xludf.DUMMYFUNCTION("""COMPUTED_VALUE"""),"")</f>
        <v/>
      </c>
      <c r="K3539" s="42" t="str">
        <f>IFERROR(__xludf.DUMMYFUNCTION("""COMPUTED_VALUE"""),"🔍 BUSCAR PACIENTES")</f>
        <v>🔍 BUSCAR PACIENTES</v>
      </c>
    </row>
    <row r="3540">
      <c r="A3540" s="44">
        <v>3539.0</v>
      </c>
      <c r="B3540" s="44" t="str">
        <f>IFERROR(__xludf.DUMMYFUNCTION("""COMPUTED_VALUE"""),"Hospital Pérez Carreño")</f>
        <v>Hospital Pérez Carreño</v>
      </c>
      <c r="C3540" s="45" t="str">
        <f>IFERROR(__xludf.DUMMYFUNCTION("""COMPUTED_VALUE"""),"ULVIAU BREINER")</f>
        <v>ULVIAU BREINER</v>
      </c>
      <c r="D3540" s="44">
        <f>IFERROR(__xludf.DUMMYFUNCTION("""COMPUTED_VALUE"""),24.0)</f>
        <v>24</v>
      </c>
      <c r="E3540" s="44" t="str">
        <f>IFERROR(__xludf.DUMMYFUNCTION("""COMPUTED_VALUE"""),"")</f>
        <v/>
      </c>
      <c r="F3540" s="44" t="str">
        <f>IFERROR(__xludf.DUMMYFUNCTION("""COMPUTED_VALUE"""),"")</f>
        <v/>
      </c>
      <c r="G3540" s="44" t="str">
        <f>IFERROR(__xludf.DUMMYFUNCTION("""COMPUTED_VALUE""")," ")</f>
        <v> </v>
      </c>
      <c r="H3540" s="44" t="str">
        <f>IFERROR(__xludf.DUMMYFUNCTION("""COMPUTED_VALUE""")," ")</f>
        <v> </v>
      </c>
      <c r="I3540" s="44" t="str">
        <f>IFERROR(__xludf.DUMMYFUNCTION("""COMPUTED_VALUE"""),"Traumashock")</f>
        <v>Traumashock</v>
      </c>
      <c r="J3540" s="44" t="str">
        <f>IFERROR(__xludf.DUMMYFUNCTION("""COMPUTED_VALUE"""),"25/06/2026")</f>
        <v>25/06/2026</v>
      </c>
      <c r="K3540" s="42" t="str">
        <f>IFERROR(__xludf.DUMMYFUNCTION("""COMPUTED_VALUE"""),"Hospital Pérez Carreño")</f>
        <v>Hospital Pérez Carreño</v>
      </c>
    </row>
    <row r="3541">
      <c r="A3541" s="44">
        <v>3540.0</v>
      </c>
      <c r="B3541" s="44" t="str">
        <f>IFERROR(__xludf.DUMMYFUNCTION("""COMPUTED_VALUE"""),"La Guaira Sin Hospital")</f>
        <v>La Guaira Sin Hospital</v>
      </c>
      <c r="C3541" s="45" t="str">
        <f>IFERROR(__xludf.DUMMYFUNCTION("""COMPUTED_VALUE"""),"Urbana Edwin")</f>
        <v>Urbana Edwin</v>
      </c>
      <c r="D3541" s="44" t="str">
        <f>IFERROR(__xludf.DUMMYFUNCTION("""COMPUTED_VALUE"""),"")</f>
        <v/>
      </c>
      <c r="E3541" s="44" t="str">
        <f>IFERROR(__xludf.DUMMYFUNCTION("""COMPUTED_VALUE"""),"")</f>
        <v/>
      </c>
      <c r="F3541" s="44" t="str">
        <f>IFERROR(__xludf.DUMMYFUNCTION("""COMPUTED_VALUE"""),"")</f>
        <v/>
      </c>
      <c r="G3541" s="44" t="str">
        <f>IFERROR(__xludf.DUMMYFUNCTION("""COMPUTED_VALUE"""),"")</f>
        <v/>
      </c>
      <c r="H3541" s="44" t="str">
        <f>IFERROR(__xludf.DUMMYFUNCTION("""COMPUTED_VALUE"""),"La Guaira Caraballeda")</f>
        <v>La Guaira Caraballeda</v>
      </c>
      <c r="I3541" s="44" t="str">
        <f>IFERROR(__xludf.DUMMYFUNCTION("""COMPUTED_VALUE"""),"Listas con ubicación")</f>
        <v>Listas con ubicación</v>
      </c>
      <c r="J3541" s="44" t="str">
        <f>IFERROR(__xludf.DUMMYFUNCTION("""COMPUTED_VALUE"""),"")</f>
        <v/>
      </c>
      <c r="K3541" s="42" t="str">
        <f>IFERROR(__xludf.DUMMYFUNCTION("""COMPUTED_VALUE"""),"La Guaira Sin Hospital")</f>
        <v>La Guaira Sin Hospital</v>
      </c>
    </row>
    <row r="3542">
      <c r="A3542" s="44">
        <v>3541.0</v>
      </c>
      <c r="B3542" s="44" t="str">
        <f>IFERROR(__xludf.DUMMYFUNCTION("""COMPUTED_VALUE"""),"Hospital Vargas de Caracas")</f>
        <v>Hospital Vargas de Caracas</v>
      </c>
      <c r="C3542" s="45" t="str">
        <f>IFERROR(__xludf.DUMMYFUNCTION("""COMPUTED_VALUE"""),"URBINA CESAR")</f>
        <v>URBINA CESAR</v>
      </c>
      <c r="D3542" s="44" t="str">
        <f>IFERROR(__xludf.DUMMYFUNCTION("""COMPUTED_VALUE""")," ")</f>
        <v> </v>
      </c>
      <c r="E3542" s="44" t="str">
        <f>IFERROR(__xludf.DUMMYFUNCTION("""COMPUTED_VALUE"""),"")</f>
        <v/>
      </c>
      <c r="F3542" s="44" t="str">
        <f>IFERROR(__xludf.DUMMYFUNCTION("""COMPUTED_VALUE""")," ")</f>
        <v> </v>
      </c>
      <c r="G3542" s="44" t="str">
        <f>IFERROR(__xludf.DUMMYFUNCTION("""COMPUTED_VALUE"""),"")</f>
        <v/>
      </c>
      <c r="H3542" s="44" t="str">
        <f>IFERROR(__xludf.DUMMYFUNCTION("""COMPUTED_VALUE""")," ")</f>
        <v> </v>
      </c>
      <c r="I3542" s="44" t="str">
        <f>IFERROR(__xludf.DUMMYFUNCTION("""COMPUTED_VALUE""")," ")</f>
        <v> </v>
      </c>
      <c r="J3542" s="44" t="str">
        <f>IFERROR(__xludf.DUMMYFUNCTION("""COMPUTED_VALUE"""),"")</f>
        <v/>
      </c>
      <c r="K3542" s="42" t="str">
        <f>IFERROR(__xludf.DUMMYFUNCTION("""COMPUTED_VALUE"""),"Hospital Vargas de Caracas")</f>
        <v>Hospital Vargas de Caracas</v>
      </c>
    </row>
    <row r="3543">
      <c r="A3543" s="44">
        <v>3542.0</v>
      </c>
      <c r="B3543" s="44" t="str">
        <f>IFERROR(__xludf.DUMMYFUNCTION("""COMPUTED_VALUE"""),"Hospital Domingo Luciani")</f>
        <v>Hospital Domingo Luciani</v>
      </c>
      <c r="C3543" s="45" t="str">
        <f>IFERROR(__xludf.DUMMYFUNCTION("""COMPUTED_VALUE"""),"URBINA SILIBETO")</f>
        <v>URBINA SILIBETO</v>
      </c>
      <c r="D3543" s="44">
        <f>IFERROR(__xludf.DUMMYFUNCTION("""COMPUTED_VALUE"""),80.0)</f>
        <v>80</v>
      </c>
      <c r="E3543" s="44" t="str">
        <f>IFERROR(__xludf.DUMMYFUNCTION("""COMPUTED_VALUE"""),"")</f>
        <v/>
      </c>
      <c r="F3543" s="44" t="str">
        <f>IFERROR(__xludf.DUMMYFUNCTION("""COMPUTED_VALUE"""),"")</f>
        <v/>
      </c>
      <c r="G3543" s="44" t="str">
        <f>IFERROR(__xludf.DUMMYFUNCTION("""COMPUTED_VALUE""")," ")</f>
        <v> </v>
      </c>
      <c r="H3543" s="44" t="str">
        <f>IFERROR(__xludf.DUMMYFUNCTION("""COMPUTED_VALUE""")," ")</f>
        <v> </v>
      </c>
      <c r="I3543" s="44" t="str">
        <f>IFERROR(__xludf.DUMMYFUNCTION("""COMPUTED_VALUE""")," ")</f>
        <v> </v>
      </c>
      <c r="J3543" s="44" t="str">
        <f>IFERROR(__xludf.DUMMYFUNCTION("""COMPUTED_VALUE"""),"")</f>
        <v/>
      </c>
      <c r="K3543" s="42" t="str">
        <f>IFERROR(__xludf.DUMMYFUNCTION("""COMPUTED_VALUE"""),"🔍 BUSCAR PACIENTES")</f>
        <v>🔍 BUSCAR PACIENTES</v>
      </c>
    </row>
    <row r="3544">
      <c r="A3544" s="44">
        <v>3543.0</v>
      </c>
      <c r="B3544" s="44" t="str">
        <f>IFERROR(__xludf.DUMMYFUNCTION("""COMPUTED_VALUE"""),"Hospital Dr. José Gregorio Hernández")</f>
        <v>Hospital Dr. José Gregorio Hernández</v>
      </c>
      <c r="C3544" s="45" t="str">
        <f>IFERROR(__xludf.DUMMYFUNCTION("""COMPUTED_VALUE"""),"URDANETA ALEXANDER")</f>
        <v>URDANETA ALEXANDER</v>
      </c>
      <c r="D3544" s="44">
        <f>IFERROR(__xludf.DUMMYFUNCTION("""COMPUTED_VALUE"""),37.0)</f>
        <v>37</v>
      </c>
      <c r="E3544" s="44" t="str">
        <f>IFERROR(__xludf.DUMMYFUNCTION("""COMPUTED_VALUE"""),"")</f>
        <v/>
      </c>
      <c r="F3544" s="44" t="str">
        <f>IFERROR(__xludf.DUMMYFUNCTION("""COMPUTED_VALUE"""),"")</f>
        <v/>
      </c>
      <c r="G3544" s="44" t="str">
        <f>IFERROR(__xludf.DUMMYFUNCTION("""COMPUTED_VALUE""")," ")</f>
        <v> </v>
      </c>
      <c r="H3544" s="44" t="str">
        <f>IFERROR(__xludf.DUMMYFUNCTION("""COMPUTED_VALUE""")," ")</f>
        <v> </v>
      </c>
      <c r="I3544" s="44" t="str">
        <f>IFERROR(__xludf.DUMMYFUNCTION("""COMPUTED_VALUE"""),"Internado; Traumatismo Rodilla y Hombro")</f>
        <v>Internado; Traumatismo Rodilla y Hombro</v>
      </c>
      <c r="J3544" s="44" t="str">
        <f>IFERROR(__xludf.DUMMYFUNCTION("""COMPUTED_VALUE"""),"")</f>
        <v/>
      </c>
      <c r="K3544" s="42" t="str">
        <f>IFERROR(__xludf.DUMMYFUNCTION("""COMPUTED_VALUE"""),"🔍 BUSCAR PACIENTES")</f>
        <v>🔍 BUSCAR PACIENTES</v>
      </c>
    </row>
    <row r="3545">
      <c r="A3545" s="44">
        <v>3544.0</v>
      </c>
      <c r="B3545" s="44" t="str">
        <f>IFERROR(__xludf.DUMMYFUNCTION("""COMPUTED_VALUE"""),"Hospital Pérez Carreño")</f>
        <v>Hospital Pérez Carreño</v>
      </c>
      <c r="C3545" s="45" t="str">
        <f>IFERROR(__xludf.DUMMYFUNCTION("""COMPUTED_VALUE"""),"URIBE VERONICA")</f>
        <v>URIBE VERONICA</v>
      </c>
      <c r="D3545" s="44" t="str">
        <f>IFERROR(__xludf.DUMMYFUNCTION("""COMPUTED_VALUE""")," ")</f>
        <v> </v>
      </c>
      <c r="E3545" s="44" t="str">
        <f>IFERROR(__xludf.DUMMYFUNCTION("""COMPUTED_VALUE"""),"")</f>
        <v/>
      </c>
      <c r="F3545" s="44" t="str">
        <f>IFERROR(__xludf.DUMMYFUNCTION("""COMPUTED_VALUE"""),"")</f>
        <v/>
      </c>
      <c r="G3545" s="44" t="str">
        <f>IFERROR(__xludf.DUMMYFUNCTION("""COMPUTED_VALUE""")," ")</f>
        <v> </v>
      </c>
      <c r="H3545" s="44" t="str">
        <f>IFERROR(__xludf.DUMMYFUNCTION("""COMPUTED_VALUE""")," ")</f>
        <v> </v>
      </c>
      <c r="I3545" s="44" t="str">
        <f>IFERROR(__xludf.DUMMYFUNCTION("""COMPUTED_VALUE"""),"Internado")</f>
        <v>Internado</v>
      </c>
      <c r="J3545" s="44" t="str">
        <f>IFERROR(__xludf.DUMMYFUNCTION("""COMPUTED_VALUE"""),"")</f>
        <v/>
      </c>
      <c r="K3545" s="42" t="str">
        <f>IFERROR(__xludf.DUMMYFUNCTION("""COMPUTED_VALUE"""),"🔍 BUSCAR PACIENTES")</f>
        <v>🔍 BUSCAR PACIENTES</v>
      </c>
    </row>
    <row r="3546">
      <c r="A3546" s="44">
        <v>3545.0</v>
      </c>
      <c r="B3546" s="44" t="str">
        <f>IFERROR(__xludf.DUMMYFUNCTION("""COMPUTED_VALUE"""),"H. Jose Maria Vargas LG")</f>
        <v>H. Jose Maria Vargas LG</v>
      </c>
      <c r="C3546" s="45" t="str">
        <f>IFERROR(__xludf.DUMMYFUNCTION("""COMPUTED_VALUE"""),"URRIETA ZUGEY")</f>
        <v>URRIETA ZUGEY</v>
      </c>
      <c r="D3546" s="44" t="str">
        <f>IFERROR(__xludf.DUMMYFUNCTION("""COMPUTED_VALUE""")," ")</f>
        <v> </v>
      </c>
      <c r="E3546" s="44" t="str">
        <f>IFERROR(__xludf.DUMMYFUNCTION("""COMPUTED_VALUE"""),"")</f>
        <v/>
      </c>
      <c r="F3546" s="44" t="str">
        <f>IFERROR(__xludf.DUMMYFUNCTION("""COMPUTED_VALUE"""),"")</f>
        <v/>
      </c>
      <c r="G3546" s="44" t="str">
        <f>IFERROR(__xludf.DUMMYFUNCTION("""COMPUTED_VALUE""")," ")</f>
        <v> </v>
      </c>
      <c r="H3546" s="44" t="str">
        <f>IFERROR(__xludf.DUMMYFUNCTION("""COMPUTED_VALUE""")," ")</f>
        <v> </v>
      </c>
      <c r="I3546" s="44" t="str">
        <f>IFERROR(__xludf.DUMMYFUNCTION("""COMPUTED_VALUE""")," ")</f>
        <v> </v>
      </c>
      <c r="J3546" s="44" t="str">
        <f>IFERROR(__xludf.DUMMYFUNCTION("""COMPUTED_VALUE"""),"")</f>
        <v/>
      </c>
      <c r="K3546" s="42" t="str">
        <f>IFERROR(__xludf.DUMMYFUNCTION("""COMPUTED_VALUE"""),"H. Jose Maria Vargas LG")</f>
        <v>H. Jose Maria Vargas LG</v>
      </c>
    </row>
    <row r="3547">
      <c r="A3547" s="44">
        <v>3546.0</v>
      </c>
      <c r="B3547" s="44" t="str">
        <f>IFERROR(__xludf.DUMMYFUNCTION("""COMPUTED_VALUE"""),"Centro de Acopio Caraballeda")</f>
        <v>Centro de Acopio Caraballeda</v>
      </c>
      <c r="C3547" s="45" t="str">
        <f>IFERROR(__xludf.DUMMYFUNCTION("""COMPUTED_VALUE"""),"URRUCHITO ORIANA")</f>
        <v>URRUCHITO ORIANA</v>
      </c>
      <c r="D3547" s="44" t="str">
        <f>IFERROR(__xludf.DUMMYFUNCTION("""COMPUTED_VALUE""")," ")</f>
        <v> </v>
      </c>
      <c r="E3547" s="44" t="str">
        <f>IFERROR(__xludf.DUMMYFUNCTION("""COMPUTED_VALUE"""),"")</f>
        <v/>
      </c>
      <c r="F3547" s="44" t="str">
        <f>IFERROR(__xludf.DUMMYFUNCTION("""COMPUTED_VALUE"""),"")</f>
        <v/>
      </c>
      <c r="G3547" s="44" t="str">
        <f>IFERROR(__xludf.DUMMYFUNCTION("""COMPUTED_VALUE""")," ")</f>
        <v> </v>
      </c>
      <c r="H3547" s="44" t="str">
        <f>IFERROR(__xludf.DUMMYFUNCTION("""COMPUTED_VALUE""")," ")</f>
        <v> </v>
      </c>
      <c r="I3547" s="44" t="str">
        <f>IFERROR(__xludf.DUMMYFUNCTION("""COMPUTED_VALUE"""),"Internado")</f>
        <v>Internado</v>
      </c>
      <c r="J3547" s="44" t="str">
        <f>IFERROR(__xludf.DUMMYFUNCTION("""COMPUTED_VALUE"""),"")</f>
        <v/>
      </c>
      <c r="K3547" s="42" t="str">
        <f>IFERROR(__xludf.DUMMYFUNCTION("""COMPUTED_VALUE"""),"🔍 BUSCAR PACIENTES")</f>
        <v>🔍 BUSCAR PACIENTES</v>
      </c>
    </row>
    <row r="3548">
      <c r="A3548" s="44">
        <v>3547.0</v>
      </c>
      <c r="B3548" s="44" t="str">
        <f>IFERROR(__xludf.DUMMYFUNCTION("""COMPUTED_VALUE"""),"Hospital Dr. José Gregorio Hern")</f>
        <v>Hospital Dr. José Gregorio Hern</v>
      </c>
      <c r="C3548" s="45" t="str">
        <f>IFERROR(__xludf.DUMMYFUNCTION("""COMPUTED_VALUE"""),"URUCHUTO ALEXANDER")</f>
        <v>URUCHUTO ALEXANDER</v>
      </c>
      <c r="D3548" s="44">
        <f>IFERROR(__xludf.DUMMYFUNCTION("""COMPUTED_VALUE"""),37.0)</f>
        <v>37</v>
      </c>
      <c r="E3548" s="44" t="str">
        <f>IFERROR(__xludf.DUMMYFUNCTION("""COMPUTED_VALUE"""),"")</f>
        <v/>
      </c>
      <c r="F3548" s="44" t="str">
        <f>IFERROR(__xludf.DUMMYFUNCTION("""COMPUTED_VALUE"""),"")</f>
        <v/>
      </c>
      <c r="G3548" s="44" t="str">
        <f>IFERROR(__xludf.DUMMYFUNCTION("""COMPUTED_VALUE""")," ")</f>
        <v> </v>
      </c>
      <c r="H3548" s="44" t="str">
        <f>IFERROR(__xludf.DUMMYFUNCTION("""COMPUTED_VALUE""")," ")</f>
        <v> </v>
      </c>
      <c r="I3548" s="44" t="str">
        <f>IFERROR(__xludf.DUMMYFUNCTION("""COMPUTED_VALUE""")," ")</f>
        <v> </v>
      </c>
      <c r="J3548" s="44" t="str">
        <f>IFERROR(__xludf.DUMMYFUNCTION("""COMPUTED_VALUE"""),"")</f>
        <v/>
      </c>
      <c r="K3548" s="42" t="str">
        <f>IFERROR(__xludf.DUMMYFUNCTION("""COMPUTED_VALUE"""),"Hospital Dr. José Gregorio Hern")</f>
        <v>Hospital Dr. José Gregorio Hern</v>
      </c>
    </row>
    <row r="3549">
      <c r="A3549" s="44">
        <v>3548.0</v>
      </c>
      <c r="B3549" s="44" t="str">
        <f>IFERROR(__xludf.DUMMYFUNCTION("""COMPUTED_VALUE"""),"H. Jose Maria Vargas LG")</f>
        <v>H. Jose Maria Vargas LG</v>
      </c>
      <c r="C3549" s="45" t="str">
        <f>IFERROR(__xludf.DUMMYFUNCTION("""COMPUTED_VALUE"""),"USCATEGUI JOSE")</f>
        <v>USCATEGUI JOSE</v>
      </c>
      <c r="D3549" s="44" t="str">
        <f>IFERROR(__xludf.DUMMYFUNCTION("""COMPUTED_VALUE""")," ")</f>
        <v> </v>
      </c>
      <c r="E3549" s="44" t="str">
        <f>IFERROR(__xludf.DUMMYFUNCTION("""COMPUTED_VALUE"""),"")</f>
        <v/>
      </c>
      <c r="F3549" s="44" t="str">
        <f>IFERROR(__xludf.DUMMYFUNCTION("""COMPUTED_VALUE"""),"")</f>
        <v/>
      </c>
      <c r="G3549" s="44" t="str">
        <f>IFERROR(__xludf.DUMMYFUNCTION("""COMPUTED_VALUE""")," ")</f>
        <v> </v>
      </c>
      <c r="H3549" s="44" t="str">
        <f>IFERROR(__xludf.DUMMYFUNCTION("""COMPUTED_VALUE""")," ")</f>
        <v> </v>
      </c>
      <c r="I3549" s="44" t="str">
        <f>IFERROR(__xludf.DUMMYFUNCTION("""COMPUTED_VALUE""")," ")</f>
        <v> </v>
      </c>
      <c r="J3549" s="44" t="str">
        <f>IFERROR(__xludf.DUMMYFUNCTION("""COMPUTED_VALUE"""),"")</f>
        <v/>
      </c>
      <c r="K3549" s="42" t="str">
        <f>IFERROR(__xludf.DUMMYFUNCTION("""COMPUTED_VALUE"""),"H. Jose Maria Vargas LG")</f>
        <v>H. Jose Maria Vargas LG</v>
      </c>
    </row>
    <row r="3550">
      <c r="A3550" s="44">
        <v>3549.0</v>
      </c>
      <c r="B3550" s="44" t="str">
        <f>IFERROR(__xludf.DUMMYFUNCTION("""COMPUTED_VALUE"""),"Campo de Golf Playa los Cocos")</f>
        <v>Campo de Golf Playa los Cocos</v>
      </c>
      <c r="C3550" s="45" t="str">
        <f>IFERROR(__xludf.DUMMYFUNCTION("""COMPUTED_VALUE"""),"Usiel Bello")</f>
        <v>Usiel Bello</v>
      </c>
      <c r="D3550" s="44" t="str">
        <f>IFERROR(__xludf.DUMMYFUNCTION("""COMPUTED_VALUE"""),"")</f>
        <v/>
      </c>
      <c r="E3550" s="44" t="str">
        <f>IFERROR(__xludf.DUMMYFUNCTION("""COMPUTED_VALUE"""),"")</f>
        <v/>
      </c>
      <c r="F3550" s="44" t="str">
        <f>IFERROR(__xludf.DUMMYFUNCTION("""COMPUTED_VALUE"""),"")</f>
        <v/>
      </c>
      <c r="G3550" s="44" t="str">
        <f>IFERROR(__xludf.DUMMYFUNCTION("""COMPUTED_VALUE"""),"")</f>
        <v/>
      </c>
      <c r="H3550" s="44" t="str">
        <f>IFERROR(__xludf.DUMMYFUNCTION("""COMPUTED_VALUE"""),"")</f>
        <v/>
      </c>
      <c r="I3550" s="44" t="str">
        <f>IFERROR(__xludf.DUMMYFUNCTION("""COMPUTED_VALUE"""),"menor")</f>
        <v>menor</v>
      </c>
      <c r="J3550" s="44" t="str">
        <f>IFERROR(__xludf.DUMMYFUNCTION("""COMPUTED_VALUE"""),"")</f>
        <v/>
      </c>
      <c r="K3550" s="42" t="str">
        <f>IFERROR(__xludf.DUMMYFUNCTION("""COMPUTED_VALUE"""),"Campo de Golf Playa los Cocos")</f>
        <v>Campo de Golf Playa los Cocos</v>
      </c>
    </row>
    <row r="3551">
      <c r="A3551" s="44">
        <v>3550.0</v>
      </c>
      <c r="B3551" s="44" t="str">
        <f>IFERROR(__xludf.DUMMYFUNCTION("""COMPUTED_VALUE"""),"Hospital Vargas de Caracas")</f>
        <v>Hospital Vargas de Caracas</v>
      </c>
      <c r="C3551" s="45" t="str">
        <f>IFERROR(__xludf.DUMMYFUNCTION("""COMPUTED_VALUE"""),"UZATEGUI DAYIBETH")</f>
        <v>UZATEGUI DAYIBETH</v>
      </c>
      <c r="D3551" s="44" t="str">
        <f>IFERROR(__xludf.DUMMYFUNCTION("""COMPUTED_VALUE""")," ")</f>
        <v> </v>
      </c>
      <c r="E3551" s="44" t="str">
        <f>IFERROR(__xludf.DUMMYFUNCTION("""COMPUTED_VALUE"""),"")</f>
        <v/>
      </c>
      <c r="F3551" s="44" t="str">
        <f>IFERROR(__xludf.DUMMYFUNCTION("""COMPUTED_VALUE""")," ")</f>
        <v> </v>
      </c>
      <c r="G3551" s="44" t="str">
        <f>IFERROR(__xludf.DUMMYFUNCTION("""COMPUTED_VALUE"""),"")</f>
        <v/>
      </c>
      <c r="H3551" s="44" t="str">
        <f>IFERROR(__xludf.DUMMYFUNCTION("""COMPUTED_VALUE""")," ")</f>
        <v> </v>
      </c>
      <c r="I3551" s="44" t="str">
        <f>IFERROR(__xludf.DUMMYFUNCTION("""COMPUTED_VALUE"""),"Pacientes x Sismo Edo La Guaira")</f>
        <v>Pacientes x Sismo Edo La Guaira</v>
      </c>
      <c r="J3551" s="44" t="str">
        <f>IFERROR(__xludf.DUMMYFUNCTION("""COMPUTED_VALUE"""),"")</f>
        <v/>
      </c>
      <c r="K3551" s="42" t="str">
        <f>IFERROR(__xludf.DUMMYFUNCTION("""COMPUTED_VALUE"""),"Hospital Vargas de Caracas")</f>
        <v>Hospital Vargas de Caracas</v>
      </c>
    </row>
    <row r="3552">
      <c r="A3552" s="44">
        <v>3551.0</v>
      </c>
      <c r="B3552" s="44" t="str">
        <f>IFERROR(__xludf.DUMMYFUNCTION("""COMPUTED_VALUE"""),"Hospital Pérez Carreño")</f>
        <v>Hospital Pérez Carreño</v>
      </c>
      <c r="C3552" s="45" t="str">
        <f>IFERROR(__xludf.DUMMYFUNCTION("""COMPUTED_VALUE"""),"UZCATEGUI JOSE")</f>
        <v>UZCATEGUI JOSE</v>
      </c>
      <c r="D3552" s="44" t="str">
        <f>IFERROR(__xludf.DUMMYFUNCTION("""COMPUTED_VALUE""")," ")</f>
        <v> </v>
      </c>
      <c r="E3552" s="44" t="str">
        <f>IFERROR(__xludf.DUMMYFUNCTION("""COMPUTED_VALUE"""),"")</f>
        <v/>
      </c>
      <c r="F3552" s="44" t="str">
        <f>IFERROR(__xludf.DUMMYFUNCTION("""COMPUTED_VALUE"""),"")</f>
        <v/>
      </c>
      <c r="G3552" s="44" t="str">
        <f>IFERROR(__xludf.DUMMYFUNCTION("""COMPUTED_VALUE""")," ")</f>
        <v> </v>
      </c>
      <c r="H3552" s="44" t="str">
        <f>IFERROR(__xludf.DUMMYFUNCTION("""COMPUTED_VALUE""")," ")</f>
        <v> </v>
      </c>
      <c r="I3552" s="44" t="str">
        <f>IFERROR(__xludf.DUMMYFUNCTION("""COMPUTED_VALUE"""),"Traumatología – Pasillo Asesor; La Guaira")</f>
        <v>Traumatología – Pasillo Asesor; La Guaira</v>
      </c>
      <c r="J3552" s="44" t="str">
        <f>IFERROR(__xludf.DUMMYFUNCTION("""COMPUTED_VALUE"""),"")</f>
        <v/>
      </c>
      <c r="K3552" s="42" t="str">
        <f>IFERROR(__xludf.DUMMYFUNCTION("""COMPUTED_VALUE"""),"🔍 BUSCAR PACIENTES")</f>
        <v>🔍 BUSCAR PACIENTES</v>
      </c>
    </row>
    <row r="3553">
      <c r="A3553" s="44">
        <v>3552.0</v>
      </c>
      <c r="B3553" s="44" t="str">
        <f>IFERROR(__xludf.DUMMYFUNCTION("""COMPUTED_VALUE"""),"Hospital Pérez Carreño")</f>
        <v>Hospital Pérez Carreño</v>
      </c>
      <c r="C3553" s="45" t="str">
        <f>IFERROR(__xludf.DUMMYFUNCTION("""COMPUTED_VALUE"""),"VALDIVEL ERICK GUSTAVO")</f>
        <v>VALDIVEL ERICK GUSTAVO</v>
      </c>
      <c r="D3553" s="44" t="str">
        <f>IFERROR(__xludf.DUMMYFUNCTION("""COMPUTED_VALUE""")," ")</f>
        <v> </v>
      </c>
      <c r="E3553" s="44" t="str">
        <f>IFERROR(__xludf.DUMMYFUNCTION("""COMPUTED_VALUE"""),"")</f>
        <v/>
      </c>
      <c r="F3553" s="44" t="str">
        <f>IFERROR(__xludf.DUMMYFUNCTION("""COMPUTED_VALUE"""),"")</f>
        <v/>
      </c>
      <c r="G3553" s="44" t="str">
        <f>IFERROR(__xludf.DUMMYFUNCTION("""COMPUTED_VALUE""")," ")</f>
        <v> </v>
      </c>
      <c r="H3553" s="44" t="str">
        <f>IFERROR(__xludf.DUMMYFUNCTION("""COMPUTED_VALUE""")," ")</f>
        <v> </v>
      </c>
      <c r="I3553" s="44" t="str">
        <f>IFERROR(__xludf.DUMMYFUNCTION("""COMPUTED_VALUE"""),"Traumashock")</f>
        <v>Traumashock</v>
      </c>
      <c r="J3553" s="44" t="str">
        <f>IFERROR(__xludf.DUMMYFUNCTION("""COMPUTED_VALUE"""),"25/06/2026")</f>
        <v>25/06/2026</v>
      </c>
      <c r="K3553" s="42" t="str">
        <f>IFERROR(__xludf.DUMMYFUNCTION("""COMPUTED_VALUE"""),"Hospital Pérez Carreño")</f>
        <v>Hospital Pérez Carreño</v>
      </c>
    </row>
    <row r="3554">
      <c r="A3554" s="44">
        <v>3553.0</v>
      </c>
      <c r="B3554" s="44" t="str">
        <f>IFERROR(__xludf.DUMMYFUNCTION("""COMPUTED_VALUE"""),"Periférico de Catia")</f>
        <v>Periférico de Catia</v>
      </c>
      <c r="C3554" s="45" t="str">
        <f>IFERROR(__xludf.DUMMYFUNCTION("""COMPUTED_VALUE"""),"VALENCIA ELIX")</f>
        <v>VALENCIA ELIX</v>
      </c>
      <c r="D3554" s="44">
        <f>IFERROR(__xludf.DUMMYFUNCTION("""COMPUTED_VALUE"""),43.0)</f>
        <v>43</v>
      </c>
      <c r="E3554" s="44" t="str">
        <f>IFERROR(__xludf.DUMMYFUNCTION("""COMPUTED_VALUE"""),"")</f>
        <v/>
      </c>
      <c r="F3554" s="44" t="str">
        <f>IFERROR(__xludf.DUMMYFUNCTION("""COMPUTED_VALUE"""),"")</f>
        <v/>
      </c>
      <c r="G3554" s="44" t="str">
        <f>IFERROR(__xludf.DUMMYFUNCTION("""COMPUTED_VALUE""")," ")</f>
        <v> </v>
      </c>
      <c r="H3554" s="44" t="str">
        <f>IFERROR(__xludf.DUMMYFUNCTION("""COMPUTED_VALUE""")," ")</f>
        <v> </v>
      </c>
      <c r="I3554" s="44" t="str">
        <f>IFERROR(__xludf.DUMMYFUNCTION("""COMPUTED_VALUE""")," ")</f>
        <v> </v>
      </c>
      <c r="J3554" s="44" t="str">
        <f>IFERROR(__xludf.DUMMYFUNCTION("""COMPUTED_VALUE"""),"")</f>
        <v/>
      </c>
      <c r="K3554" s="42" t="str">
        <f>IFERROR(__xludf.DUMMYFUNCTION("""COMPUTED_VALUE"""),"Periférico de Catia")</f>
        <v>Periférico de Catia</v>
      </c>
    </row>
    <row r="3555">
      <c r="A3555" s="44">
        <v>3554.0</v>
      </c>
      <c r="B3555" s="44" t="str">
        <f>IFERROR(__xludf.DUMMYFUNCTION("""COMPUTED_VALUE"""),"Periférico de Catia")</f>
        <v>Periférico de Catia</v>
      </c>
      <c r="C3555" s="45" t="str">
        <f>IFERROR(__xludf.DUMMYFUNCTION("""COMPUTED_VALUE"""),"VALENCIA FLIX")</f>
        <v>VALENCIA FLIX</v>
      </c>
      <c r="D3555" s="44">
        <f>IFERROR(__xludf.DUMMYFUNCTION("""COMPUTED_VALUE"""),22.0)</f>
        <v>22</v>
      </c>
      <c r="E3555" s="44" t="str">
        <f>IFERROR(__xludf.DUMMYFUNCTION("""COMPUTED_VALUE"""),"")</f>
        <v/>
      </c>
      <c r="F3555" s="44" t="str">
        <f>IFERROR(__xludf.DUMMYFUNCTION("""COMPUTED_VALUE"""),"")</f>
        <v/>
      </c>
      <c r="G3555" s="44" t="str">
        <f>IFERROR(__xludf.DUMMYFUNCTION("""COMPUTED_VALUE""")," ")</f>
        <v> </v>
      </c>
      <c r="H3555" s="44" t="str">
        <f>IFERROR(__xludf.DUMMYFUNCTION("""COMPUTED_VALUE""")," ")</f>
        <v> </v>
      </c>
      <c r="I3555" s="44" t="str">
        <f>IFERROR(__xludf.DUMMYFUNCTION("""COMPUTED_VALUE"""),"Sola")</f>
        <v>Sola</v>
      </c>
      <c r="J3555" s="44" t="str">
        <f>IFERROR(__xludf.DUMMYFUNCTION("""COMPUTED_VALUE"""),"")</f>
        <v/>
      </c>
      <c r="K3555" s="42" t="str">
        <f>IFERROR(__xludf.DUMMYFUNCTION("""COMPUTED_VALUE"""),"Periférico de Catia")</f>
        <v>Periférico de Catia</v>
      </c>
    </row>
    <row r="3556">
      <c r="A3556" s="44">
        <v>3555.0</v>
      </c>
      <c r="B3556" s="44" t="str">
        <f>IFERROR(__xludf.DUMMYFUNCTION("""COMPUTED_VALUE"""),"Periférico de Catia")</f>
        <v>Periférico de Catia</v>
      </c>
      <c r="C3556" s="45" t="str">
        <f>IFERROR(__xludf.DUMMYFUNCTION("""COMPUTED_VALUE"""),"VALENCIA HEIVERTON")</f>
        <v>VALENCIA HEIVERTON</v>
      </c>
      <c r="D3556" s="44">
        <f>IFERROR(__xludf.DUMMYFUNCTION("""COMPUTED_VALUE"""),44.0)</f>
        <v>44</v>
      </c>
      <c r="E3556" s="44" t="str">
        <f>IFERROR(__xludf.DUMMYFUNCTION("""COMPUTED_VALUE"""),"")</f>
        <v/>
      </c>
      <c r="F3556" s="44" t="str">
        <f>IFERROR(__xludf.DUMMYFUNCTION("""COMPUTED_VALUE"""),"")</f>
        <v/>
      </c>
      <c r="G3556" s="44" t="str">
        <f>IFERROR(__xludf.DUMMYFUNCTION("""COMPUTED_VALUE""")," ")</f>
        <v> </v>
      </c>
      <c r="H3556" s="44" t="str">
        <f>IFERROR(__xludf.DUMMYFUNCTION("""COMPUTED_VALUE""")," ")</f>
        <v> </v>
      </c>
      <c r="I3556" s="44" t="str">
        <f>IFERROR(__xludf.DUMMYFUNCTION("""COMPUTED_VALUE"""),"Sola")</f>
        <v>Sola</v>
      </c>
      <c r="J3556" s="44" t="str">
        <f>IFERROR(__xludf.DUMMYFUNCTION("""COMPUTED_VALUE"""),"")</f>
        <v/>
      </c>
      <c r="K3556" s="42" t="str">
        <f>IFERROR(__xludf.DUMMYFUNCTION("""COMPUTED_VALUE"""),"Periférico de Catia")</f>
        <v>Periférico de Catia</v>
      </c>
    </row>
    <row r="3557">
      <c r="A3557" s="44">
        <v>3556.0</v>
      </c>
      <c r="B3557" s="44" t="str">
        <f>IFERROR(__xludf.DUMMYFUNCTION("""COMPUTED_VALUE"""),"HOSPITAL VARGAS")</f>
        <v>HOSPITAL VARGAS</v>
      </c>
      <c r="C3557" s="45" t="str">
        <f>IFERROR(__xludf.DUMMYFUNCTION("""COMPUTED_VALUE"""),"Valentina Herrera")</f>
        <v>Valentina Herrera</v>
      </c>
      <c r="D3557" s="44"/>
      <c r="E3557" s="44" t="str">
        <f>IFERROR(__xludf.DUMMYFUNCTION("""COMPUTED_VALUE"""),"")</f>
        <v/>
      </c>
      <c r="F3557" s="44" t="str">
        <f>IFERROR(__xludf.DUMMYFUNCTION("""COMPUTED_VALUE"""),"")</f>
        <v/>
      </c>
      <c r="G3557" s="44" t="str">
        <f>IFERROR(__xludf.DUMMYFUNCTION("""COMPUTED_VALUE"""),"")</f>
        <v/>
      </c>
      <c r="H3557" s="44" t="str">
        <f>IFERROR(__xludf.DUMMYFUNCTION("""COMPUTED_VALUE"""),"")</f>
        <v/>
      </c>
      <c r="I3557" s="44" t="str">
        <f>IFERROR(__xludf.DUMMYFUNCTION("""COMPUTED_VALUE"""),"Herido / atendido")</f>
        <v>Herido / atendido</v>
      </c>
      <c r="J3557" s="44" t="str">
        <f>IFERROR(__xludf.DUMMYFUNCTION("""COMPUTED_VALUE"""),"24.06.2026 ")</f>
        <v>24.06.2026 </v>
      </c>
      <c r="K3557" s="42" t="str">
        <f>IFERROR(__xludf.DUMMYFUNCTION("""COMPUTED_VALUE"""),"HOSPITAL VARGAS")</f>
        <v>HOSPITAL VARGAS</v>
      </c>
    </row>
    <row r="3558">
      <c r="A3558" s="44">
        <v>3557.0</v>
      </c>
      <c r="B3558" s="44" t="str">
        <f>IFERROR(__xludf.DUMMYFUNCTION("""COMPUTED_VALUE"""),"Campo de Golf Playa los Cocos")</f>
        <v>Campo de Golf Playa los Cocos</v>
      </c>
      <c r="C3558" s="45" t="str">
        <f>IFERROR(__xludf.DUMMYFUNCTION("""COMPUTED_VALUE"""),"Valentina Romero")</f>
        <v>Valentina Romero</v>
      </c>
      <c r="D3558" s="44" t="str">
        <f>IFERROR(__xludf.DUMMYFUNCTION("""COMPUTED_VALUE"""),"")</f>
        <v/>
      </c>
      <c r="E3558" s="44" t="str">
        <f>IFERROR(__xludf.DUMMYFUNCTION("""COMPUTED_VALUE"""),"")</f>
        <v/>
      </c>
      <c r="F3558" s="44" t="str">
        <f>IFERROR(__xludf.DUMMYFUNCTION("""COMPUTED_VALUE"""),"")</f>
        <v/>
      </c>
      <c r="G3558" s="44" t="str">
        <f>IFERROR(__xludf.DUMMYFUNCTION("""COMPUTED_VALUE"""),"")</f>
        <v/>
      </c>
      <c r="H3558" s="44" t="str">
        <f>IFERROR(__xludf.DUMMYFUNCTION("""COMPUTED_VALUE"""),"")</f>
        <v/>
      </c>
      <c r="I3558" s="44"/>
      <c r="J3558" s="44" t="str">
        <f>IFERROR(__xludf.DUMMYFUNCTION("""COMPUTED_VALUE"""),"")</f>
        <v/>
      </c>
      <c r="K3558" s="42" t="str">
        <f>IFERROR(__xludf.DUMMYFUNCTION("""COMPUTED_VALUE"""),"Campo de Golf Playa los Cocos")</f>
        <v>Campo de Golf Playa los Cocos</v>
      </c>
    </row>
    <row r="3559">
      <c r="A3559" s="44">
        <v>3558.0</v>
      </c>
      <c r="B3559" s="44" t="str">
        <f>IFERROR(__xludf.DUMMYFUNCTION("""COMPUTED_VALUE"""),"Hospital Domingo Luciani")</f>
        <v>Hospital Domingo Luciani</v>
      </c>
      <c r="C3559" s="45" t="str">
        <f>IFERROR(__xludf.DUMMYFUNCTION("""COMPUTED_VALUE"""),"VALERI GONZALEZ")</f>
        <v>VALERI GONZALEZ</v>
      </c>
      <c r="D3559" s="44">
        <f>IFERROR(__xludf.DUMMYFUNCTION("""COMPUTED_VALUE"""),10.0)</f>
        <v>10</v>
      </c>
      <c r="E3559" s="44" t="str">
        <f>IFERROR(__xludf.DUMMYFUNCTION("""COMPUTED_VALUE"""),"")</f>
        <v/>
      </c>
      <c r="F3559" s="44" t="str">
        <f>IFERROR(__xludf.DUMMYFUNCTION("""COMPUTED_VALUE"""),"")</f>
        <v/>
      </c>
      <c r="G3559" s="44" t="str">
        <f>IFERROR(__xludf.DUMMYFUNCTION("""COMPUTED_VALUE""")," ")</f>
        <v> </v>
      </c>
      <c r="H3559" s="44" t="str">
        <f>IFERROR(__xludf.DUMMYFUNCTION("""COMPUTED_VALUE""")," ")</f>
        <v> </v>
      </c>
      <c r="I3559" s="44" t="str">
        <f>IFERROR(__xludf.DUMMYFUNCTION("""COMPUTED_VALUE""")," ")</f>
        <v> </v>
      </c>
      <c r="J3559" s="44" t="str">
        <f>IFERROR(__xludf.DUMMYFUNCTION("""COMPUTED_VALUE"""),"")</f>
        <v/>
      </c>
      <c r="K3559" s="42" t="str">
        <f>IFERROR(__xludf.DUMMYFUNCTION("""COMPUTED_VALUE"""),"🔍 BUSCAR PACIENTES")</f>
        <v>🔍 BUSCAR PACIENTES</v>
      </c>
    </row>
    <row r="3560">
      <c r="A3560" s="44">
        <v>3559.0</v>
      </c>
      <c r="B3560" s="44" t="str">
        <f>IFERROR(__xludf.DUMMYFUNCTION("""COMPUTED_VALUE"""),"Periférico de Catia")</f>
        <v>Periférico de Catia</v>
      </c>
      <c r="C3560" s="45" t="str">
        <f>IFERROR(__xludf.DUMMYFUNCTION("""COMPUTED_VALUE"""),"VALERIA CONTRERAS")</f>
        <v>VALERIA CONTRERAS</v>
      </c>
      <c r="D3560" s="44">
        <f>IFERROR(__xludf.DUMMYFUNCTION("""COMPUTED_VALUE"""),18.0)</f>
        <v>18</v>
      </c>
      <c r="E3560" s="44" t="str">
        <f>IFERROR(__xludf.DUMMYFUNCTION("""COMPUTED_VALUE"""),"")</f>
        <v/>
      </c>
      <c r="F3560" s="44" t="str">
        <f>IFERROR(__xludf.DUMMYFUNCTION("""COMPUTED_VALUE"""),"")</f>
        <v/>
      </c>
      <c r="G3560" s="44" t="str">
        <f>IFERROR(__xludf.DUMMYFUNCTION("""COMPUTED_VALUE""")," ")</f>
        <v> </v>
      </c>
      <c r="H3560" s="44" t="str">
        <f>IFERROR(__xludf.DUMMYFUNCTION("""COMPUTED_VALUE""")," ")</f>
        <v> </v>
      </c>
      <c r="I3560" s="44" t="str">
        <f>IFERROR(__xludf.DUMMYFUNCTION("""COMPUTED_VALUE""")," ")</f>
        <v> </v>
      </c>
      <c r="J3560" s="44" t="str">
        <f>IFERROR(__xludf.DUMMYFUNCTION("""COMPUTED_VALUE"""),"")</f>
        <v/>
      </c>
      <c r="K3560" s="42" t="str">
        <f>IFERROR(__xludf.DUMMYFUNCTION("""COMPUTED_VALUE"""),"Periférico de Catia")</f>
        <v>Periférico de Catia</v>
      </c>
    </row>
    <row r="3561">
      <c r="A3561" s="44">
        <v>3560.0</v>
      </c>
      <c r="B3561" s="44" t="str">
        <f>IFERROR(__xludf.DUMMYFUNCTION("""COMPUTED_VALUE"""),"Hospital Pérez Carreño")</f>
        <v>Hospital Pérez Carreño</v>
      </c>
      <c r="C3561" s="45" t="str">
        <f>IFERROR(__xludf.DUMMYFUNCTION("""COMPUTED_VALUE"""),"Valeria Osota")</f>
        <v>Valeria Osota</v>
      </c>
      <c r="D3561" s="44"/>
      <c r="E3561" s="44" t="str">
        <f>IFERROR(__xludf.DUMMYFUNCTION("""COMPUTED_VALUE"""),"")</f>
        <v/>
      </c>
      <c r="F3561" s="44" t="str">
        <f>IFERROR(__xludf.DUMMYFUNCTION("""COMPUTED_VALUE"""),"")</f>
        <v/>
      </c>
      <c r="G3561" s="44" t="str">
        <f>IFERROR(__xludf.DUMMYFUNCTION("""COMPUTED_VALUE"""),"Traumashock ")</f>
        <v>Traumashock </v>
      </c>
      <c r="H3561" s="44" t="str">
        <f>IFERROR(__xludf.DUMMYFUNCTION("""COMPUTED_VALUE"""),"Hospital Miguel Perez Carreño")</f>
        <v>Hospital Miguel Perez Carreño</v>
      </c>
      <c r="I3561" s="44"/>
      <c r="J3561" s="44" t="str">
        <f>IFERROR(__xludf.DUMMYFUNCTION("""COMPUTED_VALUE"""),"26/6/26")</f>
        <v>26/6/26</v>
      </c>
      <c r="K3561" s="42" t="str">
        <f>IFERROR(__xludf.DUMMYFUNCTION("""COMPUTED_VALUE"""),"Hospital Pérez Carreño")</f>
        <v>Hospital Pérez Carreño</v>
      </c>
    </row>
    <row r="3562">
      <c r="A3562" s="44">
        <v>3561.0</v>
      </c>
      <c r="B3562" s="44" t="str">
        <f>IFERROR(__xludf.DUMMYFUNCTION("""COMPUTED_VALUE"""),"HOSPITAL VARGAS")</f>
        <v>HOSPITAL VARGAS</v>
      </c>
      <c r="C3562" s="45" t="str">
        <f>IFERROR(__xludf.DUMMYFUNCTION("""COMPUTED_VALUE"""),"Valeria Perdomo")</f>
        <v>Valeria Perdomo</v>
      </c>
      <c r="D3562" s="44"/>
      <c r="E3562" s="44" t="str">
        <f>IFERROR(__xludf.DUMMYFUNCTION("""COMPUTED_VALUE"""),"")</f>
        <v/>
      </c>
      <c r="F3562" s="44" t="str">
        <f>IFERROR(__xludf.DUMMYFUNCTION("""COMPUTED_VALUE"""),"")</f>
        <v/>
      </c>
      <c r="G3562" s="44" t="str">
        <f>IFERROR(__xludf.DUMMYFUNCTION("""COMPUTED_VALUE"""),"")</f>
        <v/>
      </c>
      <c r="H3562" s="44" t="str">
        <f>IFERROR(__xludf.DUMMYFUNCTION("""COMPUTED_VALUE"""),"")</f>
        <v/>
      </c>
      <c r="I3562" s="44" t="str">
        <f>IFERROR(__xludf.DUMMYFUNCTION("""COMPUTED_VALUE"""),"Herido / atendido")</f>
        <v>Herido / atendido</v>
      </c>
      <c r="J3562" s="44" t="str">
        <f>IFERROR(__xludf.DUMMYFUNCTION("""COMPUTED_VALUE"""),"24.06.2026 ")</f>
        <v>24.06.2026 </v>
      </c>
      <c r="K3562" s="42" t="str">
        <f>IFERROR(__xludf.DUMMYFUNCTION("""COMPUTED_VALUE"""),"HOSPITAL VARGAS")</f>
        <v>HOSPITAL VARGAS</v>
      </c>
    </row>
    <row r="3563">
      <c r="A3563" s="44">
        <v>3562.0</v>
      </c>
      <c r="B3563" s="44" t="str">
        <f>IFERROR(__xludf.DUMMYFUNCTION("""COMPUTED_VALUE"""),"Hospital Domingo Luciani")</f>
        <v>Hospital Domingo Luciani</v>
      </c>
      <c r="C3563" s="45" t="str">
        <f>IFERROR(__xludf.DUMMYFUNCTION("""COMPUTED_VALUE"""),"VALERIN")</f>
        <v>VALERIN</v>
      </c>
      <c r="D3563" s="44">
        <f>IFERROR(__xludf.DUMMYFUNCTION("""COMPUTED_VALUE"""),6.0)</f>
        <v>6</v>
      </c>
      <c r="E3563" s="44" t="str">
        <f>IFERROR(__xludf.DUMMYFUNCTION("""COMPUTED_VALUE"""),"")</f>
        <v/>
      </c>
      <c r="F3563" s="44" t="str">
        <f>IFERROR(__xludf.DUMMYFUNCTION("""COMPUTED_VALUE"""),"")</f>
        <v/>
      </c>
      <c r="G3563" s="44" t="str">
        <f>IFERROR(__xludf.DUMMYFUNCTION("""COMPUTED_VALUE""")," ")</f>
        <v> </v>
      </c>
      <c r="H3563" s="44" t="str">
        <f>IFERROR(__xludf.DUMMYFUNCTION("""COMPUTED_VALUE"""),"La Guaira")</f>
        <v>La Guaira</v>
      </c>
      <c r="I3563" s="44" t="str">
        <f>IFERROR(__xludf.DUMMYFUNCTION("""COMPUTED_VALUE"""),"Pediatría – Reanimación")</f>
        <v>Pediatría – Reanimación</v>
      </c>
      <c r="J3563" s="44" t="str">
        <f>IFERROR(__xludf.DUMMYFUNCTION("""COMPUTED_VALUE"""),"")</f>
        <v/>
      </c>
      <c r="K3563" s="42" t="str">
        <f>IFERROR(__xludf.DUMMYFUNCTION("""COMPUTED_VALUE"""),"🔍 BUSCAR PACIENTES")</f>
        <v>🔍 BUSCAR PACIENTES</v>
      </c>
    </row>
    <row r="3564">
      <c r="A3564" s="44">
        <v>3563.0</v>
      </c>
      <c r="B3564" s="44" t="str">
        <f>IFERROR(__xludf.DUMMYFUNCTION("""COMPUTED_VALUE"""),"Hospital Pérez Carreño")</f>
        <v>Hospital Pérez Carreño</v>
      </c>
      <c r="C3564" s="45" t="str">
        <f>IFERROR(__xludf.DUMMYFUNCTION("""COMPUTED_VALUE"""),"Valerin Lucy")</f>
        <v>Valerin Lucy</v>
      </c>
      <c r="D3564" s="44"/>
      <c r="E3564" s="44" t="str">
        <f>IFERROR(__xludf.DUMMYFUNCTION("""COMPUTED_VALUE"""),"")</f>
        <v/>
      </c>
      <c r="F3564" s="44" t="str">
        <f>IFERROR(__xludf.DUMMYFUNCTION("""COMPUTED_VALUE"""),"")</f>
        <v/>
      </c>
      <c r="G3564" s="44" t="str">
        <f>IFERROR(__xludf.DUMMYFUNCTION("""COMPUTED_VALUE"""),"Traslados")</f>
        <v>Traslados</v>
      </c>
      <c r="H3564" s="44" t="str">
        <f>IFERROR(__xludf.DUMMYFUNCTION("""COMPUTED_VALUE"""),"Hospital Miguel Perez Carreño")</f>
        <v>Hospital Miguel Perez Carreño</v>
      </c>
      <c r="I3564" s="44"/>
      <c r="J3564" s="44" t="str">
        <f>IFERROR(__xludf.DUMMYFUNCTION("""COMPUTED_VALUE"""),"26/6/26")</f>
        <v>26/6/26</v>
      </c>
      <c r="K3564" s="42" t="str">
        <f>IFERROR(__xludf.DUMMYFUNCTION("""COMPUTED_VALUE"""),"Hospital Pérez Carreño")</f>
        <v>Hospital Pérez Carreño</v>
      </c>
    </row>
    <row r="3565">
      <c r="A3565" s="44">
        <v>3564.0</v>
      </c>
      <c r="B3565" s="44" t="str">
        <f>IFERROR(__xludf.DUMMYFUNCTION("""COMPUTED_VALUE"""),"Hospital Domingo Luciani")</f>
        <v>Hospital Domingo Luciani</v>
      </c>
      <c r="C3565" s="45" t="str">
        <f>IFERROR(__xludf.DUMMYFUNCTION("""COMPUTED_VALUE"""),"Valerio Castillo")</f>
        <v>Valerio Castillo</v>
      </c>
      <c r="D3565" s="44">
        <f>IFERROR(__xludf.DUMMYFUNCTION("""COMPUTED_VALUE"""),0.0)</f>
        <v>0</v>
      </c>
      <c r="E3565" s="44" t="str">
        <f>IFERROR(__xludf.DUMMYFUNCTION("""COMPUTED_VALUE"""),"")</f>
        <v/>
      </c>
      <c r="F3565" s="44" t="str">
        <f>IFERROR(__xludf.DUMMYFUNCTION("""COMPUTED_VALUE"""),"")</f>
        <v/>
      </c>
      <c r="G3565" s="44"/>
      <c r="H3565" s="44"/>
      <c r="I3565" s="44"/>
      <c r="J3565" s="44" t="str">
        <f>IFERROR(__xludf.DUMMYFUNCTION("""COMPUTED_VALUE"""),"")</f>
        <v/>
      </c>
      <c r="K3565" s="42" t="str">
        <f>IFERROR(__xludf.DUMMYFUNCTION("""COMPUTED_VALUE"""),"Hospital Domingo Luciani")</f>
        <v>Hospital Domingo Luciani</v>
      </c>
    </row>
    <row r="3566">
      <c r="A3566" s="44">
        <v>3565.0</v>
      </c>
      <c r="B3566" s="44" t="str">
        <f>IFERROR(__xludf.DUMMYFUNCTION("""COMPUTED_VALUE"""),"La Guaira Sin Hospital")</f>
        <v>La Guaira Sin Hospital</v>
      </c>
      <c r="C3566" s="45" t="str">
        <f>IFERROR(__xludf.DUMMYFUNCTION("""COMPUTED_VALUE"""),"Valerio Lucy")</f>
        <v>Valerio Lucy</v>
      </c>
      <c r="D3566" s="44" t="str">
        <f>IFERROR(__xludf.DUMMYFUNCTION("""COMPUTED_VALUE"""),"")</f>
        <v/>
      </c>
      <c r="E3566" s="44" t="str">
        <f>IFERROR(__xludf.DUMMYFUNCTION("""COMPUTED_VALUE"""),"")</f>
        <v/>
      </c>
      <c r="F3566" s="44" t="str">
        <f>IFERROR(__xludf.DUMMYFUNCTION("""COMPUTED_VALUE"""),"")</f>
        <v/>
      </c>
      <c r="G3566" s="44" t="str">
        <f>IFERROR(__xludf.DUMMYFUNCTION("""COMPUTED_VALUE"""),"")</f>
        <v/>
      </c>
      <c r="H3566" s="44"/>
      <c r="I3566" s="44" t="str">
        <f>IFERROR(__xludf.DUMMYFUNCTION("""COMPUTED_VALUE"""),"Listas solo con nombre")</f>
        <v>Listas solo con nombre</v>
      </c>
      <c r="J3566" s="44" t="str">
        <f>IFERROR(__xludf.DUMMYFUNCTION("""COMPUTED_VALUE"""),"")</f>
        <v/>
      </c>
      <c r="K3566" s="42" t="str">
        <f>IFERROR(__xludf.DUMMYFUNCTION("""COMPUTED_VALUE"""),"La Guaira Sin Hospital")</f>
        <v>La Guaira Sin Hospital</v>
      </c>
    </row>
    <row r="3567">
      <c r="A3567" s="44">
        <v>3566.0</v>
      </c>
      <c r="B3567" s="44" t="str">
        <f>IFERROR(__xludf.DUMMYFUNCTION("""COMPUTED_VALUE"""),"La Guaira Sin Hospital")</f>
        <v>La Guaira Sin Hospital</v>
      </c>
      <c r="C3567" s="45" t="str">
        <f>IFERROR(__xludf.DUMMYFUNCTION("""COMPUTED_VALUE"""),"Valerio Prada Enecy")</f>
        <v>Valerio Prada Enecy</v>
      </c>
      <c r="D3567" s="44" t="str">
        <f>IFERROR(__xludf.DUMMYFUNCTION("""COMPUTED_VALUE"""),"")</f>
        <v/>
      </c>
      <c r="E3567" s="44" t="str">
        <f>IFERROR(__xludf.DUMMYFUNCTION("""COMPUTED_VALUE"""),"")</f>
        <v/>
      </c>
      <c r="F3567" s="44" t="str">
        <f>IFERROR(__xludf.DUMMYFUNCTION("""COMPUTED_VALUE"""),"")</f>
        <v/>
      </c>
      <c r="G3567" s="44" t="str">
        <f>IFERROR(__xludf.DUMMYFUNCTION("""COMPUTED_VALUE"""),"")</f>
        <v/>
      </c>
      <c r="H3567" s="44"/>
      <c r="I3567" s="44" t="str">
        <f>IFERROR(__xludf.DUMMYFUNCTION("""COMPUTED_VALUE"""),"Listas solo con nombre")</f>
        <v>Listas solo con nombre</v>
      </c>
      <c r="J3567" s="44" t="str">
        <f>IFERROR(__xludf.DUMMYFUNCTION("""COMPUTED_VALUE"""),"")</f>
        <v/>
      </c>
      <c r="K3567" s="42" t="str">
        <f>IFERROR(__xludf.DUMMYFUNCTION("""COMPUTED_VALUE"""),"La Guaira Sin Hospital")</f>
        <v>La Guaira Sin Hospital</v>
      </c>
    </row>
    <row r="3568">
      <c r="A3568" s="44">
        <v>3567.0</v>
      </c>
      <c r="B3568" s="44" t="str">
        <f>IFERROR(__xludf.DUMMYFUNCTION("""COMPUTED_VALUE"""),"Hospital Pérez Carreño")</f>
        <v>Hospital Pérez Carreño</v>
      </c>
      <c r="C3568" s="45" t="str">
        <f>IFERROR(__xludf.DUMMYFUNCTION("""COMPUTED_VALUE"""),"Valerio Prada Gracy")</f>
        <v>Valerio Prada Gracy</v>
      </c>
      <c r="D3568" s="44"/>
      <c r="E3568" s="44" t="str">
        <f>IFERROR(__xludf.DUMMYFUNCTION("""COMPUTED_VALUE"""),"")</f>
        <v/>
      </c>
      <c r="F3568" s="44" t="str">
        <f>IFERROR(__xludf.DUMMYFUNCTION("""COMPUTED_VALUE"""),"")</f>
        <v/>
      </c>
      <c r="G3568" s="44" t="str">
        <f>IFERROR(__xludf.DUMMYFUNCTION("""COMPUTED_VALUE"""),"Traslados")</f>
        <v>Traslados</v>
      </c>
      <c r="H3568" s="44" t="str">
        <f>IFERROR(__xludf.DUMMYFUNCTION("""COMPUTED_VALUE"""),"Hospital Miguel Perez Carreño")</f>
        <v>Hospital Miguel Perez Carreño</v>
      </c>
      <c r="I3568" s="44"/>
      <c r="J3568" s="44" t="str">
        <f>IFERROR(__xludf.DUMMYFUNCTION("""COMPUTED_VALUE"""),"26/6/26")</f>
        <v>26/6/26</v>
      </c>
      <c r="K3568" s="42" t="str">
        <f>IFERROR(__xludf.DUMMYFUNCTION("""COMPUTED_VALUE"""),"Hospital Pérez Carreño")</f>
        <v>Hospital Pérez Carreño</v>
      </c>
    </row>
    <row r="3569">
      <c r="A3569" s="44">
        <v>3568.0</v>
      </c>
      <c r="B3569" s="44" t="str">
        <f>IFERROR(__xludf.DUMMYFUNCTION("""COMPUTED_VALUE"""),"Seguro Social La Guaira")</f>
        <v>Seguro Social La Guaira</v>
      </c>
      <c r="C3569" s="45" t="str">
        <f>IFERROR(__xludf.DUMMYFUNCTION("""COMPUTED_VALUE"""),"VALERIS GONZALES")</f>
        <v>VALERIS GONZALES</v>
      </c>
      <c r="D3569" s="44">
        <f>IFERROR(__xludf.DUMMYFUNCTION("""COMPUTED_VALUE"""),10.0)</f>
        <v>10</v>
      </c>
      <c r="E3569" s="44" t="str">
        <f>IFERROR(__xludf.DUMMYFUNCTION("""COMPUTED_VALUE"""),"")</f>
        <v/>
      </c>
      <c r="F3569" s="44" t="str">
        <f>IFERROR(__xludf.DUMMYFUNCTION("""COMPUTED_VALUE"""),"")</f>
        <v/>
      </c>
      <c r="G3569" s="44" t="str">
        <f>IFERROR(__xludf.DUMMYFUNCTION("""COMPUTED_VALUE""")," ")</f>
        <v> </v>
      </c>
      <c r="H3569" s="44" t="str">
        <f>IFERROR(__xludf.DUMMYFUNCTION("""COMPUTED_VALUE"""),"Caribe")</f>
        <v>Caribe</v>
      </c>
      <c r="I3569" s="44" t="str">
        <f>IFERROR(__xludf.DUMMYFUNCTION("""COMPUTED_VALUE""")," ")</f>
        <v> </v>
      </c>
      <c r="J3569" s="44" t="str">
        <f>IFERROR(__xludf.DUMMYFUNCTION("""COMPUTED_VALUE"""),"")</f>
        <v/>
      </c>
      <c r="K3569" s="42" t="str">
        <f>IFERROR(__xludf.DUMMYFUNCTION("""COMPUTED_VALUE"""),"Seguro Social La Guaira")</f>
        <v>Seguro Social La Guaira</v>
      </c>
    </row>
    <row r="3570">
      <c r="A3570" s="44">
        <v>3569.0</v>
      </c>
      <c r="B3570" s="44" t="str">
        <f>IFERROR(__xludf.DUMMYFUNCTION("""COMPUTED_VALUE"""),"Hospital Pérez Carreño")</f>
        <v>Hospital Pérez Carreño</v>
      </c>
      <c r="C3570" s="45" t="str">
        <f>IFERROR(__xludf.DUMMYFUNCTION("""COMPUTED_VALUE"""),"Valesca Torres")</f>
        <v>Valesca Torres</v>
      </c>
      <c r="D3570" s="44" t="str">
        <f>IFERROR(__xludf.DUMMYFUNCTION("""COMPUTED_VALUE"""),"14 años")</f>
        <v>14 años</v>
      </c>
      <c r="E3570" s="44" t="str">
        <f>IFERROR(__xludf.DUMMYFUNCTION("""COMPUTED_VALUE"""),"")</f>
        <v/>
      </c>
      <c r="F3570" s="44" t="str">
        <f>IFERROR(__xludf.DUMMYFUNCTION("""COMPUTED_VALUE"""),"")</f>
        <v/>
      </c>
      <c r="G3570" s="44" t="str">
        <f>IFERROR(__xludf.DUMMYFUNCTION("""COMPUTED_VALUE"""),"Pediatria")</f>
        <v>Pediatria</v>
      </c>
      <c r="H3570" s="44" t="str">
        <f>IFERROR(__xludf.DUMMYFUNCTION("""COMPUTED_VALUE"""),"Hospital Miguel Perez Carreño")</f>
        <v>Hospital Miguel Perez Carreño</v>
      </c>
      <c r="I3570" s="44"/>
      <c r="J3570" s="44" t="str">
        <f>IFERROR(__xludf.DUMMYFUNCTION("""COMPUTED_VALUE"""),"26/6/26")</f>
        <v>26/6/26</v>
      </c>
      <c r="K3570" s="42" t="str">
        <f>IFERROR(__xludf.DUMMYFUNCTION("""COMPUTED_VALUE"""),"Hospital Pérez Carreño")</f>
        <v>Hospital Pérez Carreño</v>
      </c>
    </row>
    <row r="3571">
      <c r="A3571" s="44">
        <v>3570.0</v>
      </c>
      <c r="B3571" s="44" t="str">
        <f>IFERROR(__xludf.DUMMYFUNCTION("""COMPUTED_VALUE"""),"Hospital Pérez Carreño")</f>
        <v>Hospital Pérez Carreño</v>
      </c>
      <c r="C3571" s="45" t="str">
        <f>IFERROR(__xludf.DUMMYFUNCTION("""COMPUTED_VALUE"""),"Valeska Toia")</f>
        <v>Valeska Toia</v>
      </c>
      <c r="D3571" s="44" t="str">
        <f>IFERROR(__xludf.DUMMYFUNCTION("""COMPUTED_VALUE"""),"14 años")</f>
        <v>14 años</v>
      </c>
      <c r="E3571" s="44" t="str">
        <f>IFERROR(__xludf.DUMMYFUNCTION("""COMPUTED_VALUE"""),"")</f>
        <v/>
      </c>
      <c r="F3571" s="44" t="str">
        <f>IFERROR(__xludf.DUMMYFUNCTION("""COMPUTED_VALUE"""),"")</f>
        <v/>
      </c>
      <c r="G3571" s="44" t="str">
        <f>IFERROR(__xludf.DUMMYFUNCTION("""COMPUTED_VALUE"""),"Traumashock ")</f>
        <v>Traumashock </v>
      </c>
      <c r="H3571" s="44" t="str">
        <f>IFERROR(__xludf.DUMMYFUNCTION("""COMPUTED_VALUE"""),"Hospital Miguel Perez Carreño")</f>
        <v>Hospital Miguel Perez Carreño</v>
      </c>
      <c r="I3571" s="44"/>
      <c r="J3571" s="44" t="str">
        <f>IFERROR(__xludf.DUMMYFUNCTION("""COMPUTED_VALUE"""),"26/6/26")</f>
        <v>26/6/26</v>
      </c>
      <c r="K3571" s="42" t="str">
        <f>IFERROR(__xludf.DUMMYFUNCTION("""COMPUTED_VALUE"""),"Hospital Pérez Carreño")</f>
        <v>Hospital Pérez Carreño</v>
      </c>
    </row>
    <row r="3572">
      <c r="A3572" s="44">
        <v>3571.0</v>
      </c>
      <c r="B3572" s="44" t="str">
        <f>IFERROR(__xludf.DUMMYFUNCTION("""COMPUTED_VALUE"""),"HOSPITAL VARGAS")</f>
        <v>HOSPITAL VARGAS</v>
      </c>
      <c r="C3572" s="45" t="str">
        <f>IFERROR(__xludf.DUMMYFUNCTION("""COMPUTED_VALUE"""),"Vanesa Gómez")</f>
        <v>Vanesa Gómez</v>
      </c>
      <c r="D3572" s="44"/>
      <c r="E3572" s="44" t="str">
        <f>IFERROR(__xludf.DUMMYFUNCTION("""COMPUTED_VALUE"""),"")</f>
        <v/>
      </c>
      <c r="F3572" s="44" t="str">
        <f>IFERROR(__xludf.DUMMYFUNCTION("""COMPUTED_VALUE"""),"")</f>
        <v/>
      </c>
      <c r="G3572" s="44" t="str">
        <f>IFERROR(__xludf.DUMMYFUNCTION("""COMPUTED_VALUE"""),"")</f>
        <v/>
      </c>
      <c r="H3572" s="44" t="str">
        <f>IFERROR(__xludf.DUMMYFUNCTION("""COMPUTED_VALUE"""),"")</f>
        <v/>
      </c>
      <c r="I3572" s="44" t="str">
        <f>IFERROR(__xludf.DUMMYFUNCTION("""COMPUTED_VALUE"""),"Herido / atendido")</f>
        <v>Herido / atendido</v>
      </c>
      <c r="J3572" s="44" t="str">
        <f>IFERROR(__xludf.DUMMYFUNCTION("""COMPUTED_VALUE"""),"24.06.2026 ")</f>
        <v>24.06.2026 </v>
      </c>
      <c r="K3572" s="42" t="str">
        <f>IFERROR(__xludf.DUMMYFUNCTION("""COMPUTED_VALUE"""),"HOSPITAL VARGAS")</f>
        <v>HOSPITAL VARGAS</v>
      </c>
    </row>
    <row r="3573">
      <c r="A3573" s="44">
        <v>3572.0</v>
      </c>
      <c r="B3573" s="44" t="str">
        <f>IFERROR(__xludf.DUMMYFUNCTION("""COMPUTED_VALUE"""),"Hospital Vargas de Caracas")</f>
        <v>Hospital Vargas de Caracas</v>
      </c>
      <c r="C3573" s="45" t="str">
        <f>IFERROR(__xludf.DUMMYFUNCTION("""COMPUTED_VALUE"""),"Vanesa Gonzalez")</f>
        <v>Vanesa Gonzalez</v>
      </c>
      <c r="D3573" s="44"/>
      <c r="E3573" s="44" t="str">
        <f>IFERROR(__xludf.DUMMYFUNCTION("""COMPUTED_VALUE"""),"")</f>
        <v/>
      </c>
      <c r="F3573" s="44"/>
      <c r="G3573" s="44" t="str">
        <f>IFERROR(__xludf.DUMMYFUNCTION("""COMPUTED_VALUE"""),"")</f>
        <v/>
      </c>
      <c r="H3573" s="44"/>
      <c r="I3573" s="44" t="str">
        <f>IFERROR(__xludf.DUMMYFUNCTION("""COMPUTED_VALUE"""),"Nombre tomado de la pizarra de pacientes; no aparece en el formulario con C.I.")</f>
        <v>Nombre tomado de la pizarra de pacientes; no aparece en el formulario con C.I.</v>
      </c>
      <c r="J3573" s="44" t="str">
        <f>IFERROR(__xludf.DUMMYFUNCTION("""COMPUTED_VALUE"""),"")</f>
        <v/>
      </c>
      <c r="K3573" s="42" t="str">
        <f>IFERROR(__xludf.DUMMYFUNCTION("""COMPUTED_VALUE"""),"Hospital Vargas de Caracas")</f>
        <v>Hospital Vargas de Caracas</v>
      </c>
    </row>
    <row r="3574">
      <c r="A3574" s="44">
        <v>3573.0</v>
      </c>
      <c r="B3574" s="44" t="str">
        <f>IFERROR(__xludf.DUMMYFUNCTION("""COMPUTED_VALUE"""),"HOSPITAL VARGAS")</f>
        <v>HOSPITAL VARGAS</v>
      </c>
      <c r="C3574" s="45" t="str">
        <f>IFERROR(__xludf.DUMMYFUNCTION("""COMPUTED_VALUE"""),"Vanesa González")</f>
        <v>Vanesa González</v>
      </c>
      <c r="D3574" s="44"/>
      <c r="E3574" s="44" t="str">
        <f>IFERROR(__xludf.DUMMYFUNCTION("""COMPUTED_VALUE"""),"")</f>
        <v/>
      </c>
      <c r="F3574" s="44" t="str">
        <f>IFERROR(__xludf.DUMMYFUNCTION("""COMPUTED_VALUE"""),"")</f>
        <v/>
      </c>
      <c r="G3574" s="44" t="str">
        <f>IFERROR(__xludf.DUMMYFUNCTION("""COMPUTED_VALUE"""),"")</f>
        <v/>
      </c>
      <c r="H3574" s="44" t="str">
        <f>IFERROR(__xludf.DUMMYFUNCTION("""COMPUTED_VALUE"""),"")</f>
        <v/>
      </c>
      <c r="I3574" s="44" t="str">
        <f>IFERROR(__xludf.DUMMYFUNCTION("""COMPUTED_VALUE"""),"Herido / atendido")</f>
        <v>Herido / atendido</v>
      </c>
      <c r="J3574" s="44" t="str">
        <f>IFERROR(__xludf.DUMMYFUNCTION("""COMPUTED_VALUE"""),"24.06.2026 ")</f>
        <v>24.06.2026 </v>
      </c>
      <c r="K3574" s="42" t="str">
        <f>IFERROR(__xludf.DUMMYFUNCTION("""COMPUTED_VALUE"""),"HOSPITAL VARGAS")</f>
        <v>HOSPITAL VARGAS</v>
      </c>
    </row>
    <row r="3575">
      <c r="A3575" s="44">
        <v>3574.0</v>
      </c>
      <c r="B3575" s="44" t="str">
        <f>IFERROR(__xludf.DUMMYFUNCTION("""COMPUTED_VALUE"""),"Cruz Roja")</f>
        <v>Cruz Roja</v>
      </c>
      <c r="C3575" s="45" t="str">
        <f>IFERROR(__xludf.DUMMYFUNCTION("""COMPUTED_VALUE"""),"VARELA ANGEL")</f>
        <v>VARELA ANGEL</v>
      </c>
      <c r="D3575" s="44">
        <f>IFERROR(__xludf.DUMMYFUNCTION("""COMPUTED_VALUE"""),47.0)</f>
        <v>47</v>
      </c>
      <c r="E3575" s="44" t="str">
        <f>IFERROR(__xludf.DUMMYFUNCTION("""COMPUTED_VALUE"""),"")</f>
        <v/>
      </c>
      <c r="F3575" s="44" t="str">
        <f>IFERROR(__xludf.DUMMYFUNCTION("""COMPUTED_VALUE"""),"")</f>
        <v/>
      </c>
      <c r="G3575" s="44" t="str">
        <f>IFERROR(__xludf.DUMMYFUNCTION("""COMPUTED_VALUE""")," ")</f>
        <v> </v>
      </c>
      <c r="H3575" s="44" t="str">
        <f>IFERROR(__xludf.DUMMYFUNCTION("""COMPUTED_VALUE"""),"Sarria")</f>
        <v>Sarria</v>
      </c>
      <c r="I3575" s="44" t="str">
        <f>IFERROR(__xludf.DUMMYFUNCTION("""COMPUTED_VALUE""")," ")</f>
        <v> </v>
      </c>
      <c r="J3575" s="44" t="str">
        <f>IFERROR(__xludf.DUMMYFUNCTION("""COMPUTED_VALUE"""),"")</f>
        <v/>
      </c>
      <c r="K3575" s="42" t="str">
        <f>IFERROR(__xludf.DUMMYFUNCTION("""COMPUTED_VALUE"""),"Cruz Roja")</f>
        <v>Cruz Roja</v>
      </c>
    </row>
    <row r="3576">
      <c r="A3576" s="44">
        <v>3575.0</v>
      </c>
      <c r="B3576" s="44" t="str">
        <f>IFERROR(__xludf.DUMMYFUNCTION("""COMPUTED_VALUE"""),"Hospital Pérez Carreño")</f>
        <v>Hospital Pérez Carreño</v>
      </c>
      <c r="C3576" s="45" t="str">
        <f>IFERROR(__xludf.DUMMYFUNCTION("""COMPUTED_VALUE"""),"VARGAS ANA")</f>
        <v>VARGAS ANA</v>
      </c>
      <c r="D3576" s="44" t="str">
        <f>IFERROR(__xludf.DUMMYFUNCTION("""COMPUTED_VALUE""")," ")</f>
        <v> </v>
      </c>
      <c r="E3576" s="44" t="str">
        <f>IFERROR(__xludf.DUMMYFUNCTION("""COMPUTED_VALUE"""),"")</f>
        <v/>
      </c>
      <c r="F3576" s="44" t="str">
        <f>IFERROR(__xludf.DUMMYFUNCTION("""COMPUTED_VALUE"""),"")</f>
        <v/>
      </c>
      <c r="G3576" s="44" t="str">
        <f>IFERROR(__xludf.DUMMYFUNCTION("""COMPUTED_VALUE""")," ")</f>
        <v> </v>
      </c>
      <c r="H3576" s="44" t="str">
        <f>IFERROR(__xludf.DUMMYFUNCTION("""COMPUTED_VALUE""")," ")</f>
        <v> </v>
      </c>
      <c r="I3576" s="44" t="str">
        <f>IFERROR(__xludf.DUMMYFUNCTION("""COMPUTED_VALUE"""),"Pediatría – Lista alta; 2-3 meses; Mamá Carla Jiménez")</f>
        <v>Pediatría – Lista alta; 2-3 meses; Mamá Carla Jiménez</v>
      </c>
      <c r="J3576" s="44" t="str">
        <f>IFERROR(__xludf.DUMMYFUNCTION("""COMPUTED_VALUE"""),"")</f>
        <v/>
      </c>
      <c r="K3576" s="42" t="str">
        <f>IFERROR(__xludf.DUMMYFUNCTION("""COMPUTED_VALUE"""),"🔍 BUSCAR PACIENTES")</f>
        <v>🔍 BUSCAR PACIENTES</v>
      </c>
    </row>
    <row r="3577">
      <c r="A3577" s="44">
        <v>3576.0</v>
      </c>
      <c r="B3577" s="44" t="str">
        <f>IFERROR(__xludf.DUMMYFUNCTION("""COMPUTED_VALUE"""),"Hospital Vargas de Caracas")</f>
        <v>Hospital Vargas de Caracas</v>
      </c>
      <c r="C3577" s="45" t="str">
        <f>IFERROR(__xludf.DUMMYFUNCTION("""COMPUTED_VALUE"""),"VARGAS CARMEN")</f>
        <v>VARGAS CARMEN</v>
      </c>
      <c r="D3577" s="44" t="str">
        <f>IFERROR(__xludf.DUMMYFUNCTION("""COMPUTED_VALUE""")," ")</f>
        <v> </v>
      </c>
      <c r="E3577" s="44" t="str">
        <f>IFERROR(__xludf.DUMMYFUNCTION("""COMPUTED_VALUE"""),"")</f>
        <v/>
      </c>
      <c r="F3577" s="44" t="str">
        <f>IFERROR(__xludf.DUMMYFUNCTION("""COMPUTED_VALUE""")," ")</f>
        <v> </v>
      </c>
      <c r="G3577" s="44" t="str">
        <f>IFERROR(__xludf.DUMMYFUNCTION("""COMPUTED_VALUE"""),"")</f>
        <v/>
      </c>
      <c r="H3577" s="44" t="str">
        <f>IFERROR(__xludf.DUMMYFUNCTION("""COMPUTED_VALUE""")," ")</f>
        <v> </v>
      </c>
      <c r="I3577" s="44" t="str">
        <f>IFERROR(__xludf.DUMMYFUNCTION("""COMPUTED_VALUE""")," ")</f>
        <v> </v>
      </c>
      <c r="J3577" s="44" t="str">
        <f>IFERROR(__xludf.DUMMYFUNCTION("""COMPUTED_VALUE"""),"")</f>
        <v/>
      </c>
      <c r="K3577" s="42" t="str">
        <f>IFERROR(__xludf.DUMMYFUNCTION("""COMPUTED_VALUE"""),"Hospital Vargas de Caracas")</f>
        <v>Hospital Vargas de Caracas</v>
      </c>
    </row>
    <row r="3578">
      <c r="A3578" s="44">
        <v>3577.0</v>
      </c>
      <c r="B3578" s="44" t="str">
        <f>IFERROR(__xludf.DUMMYFUNCTION("""COMPUTED_VALUE"""),"Hospital Pérez Carreño")</f>
        <v>Hospital Pérez Carreño</v>
      </c>
      <c r="C3578" s="45" t="str">
        <f>IFERROR(__xludf.DUMMYFUNCTION("""COMPUTED_VALUE"""),"VARGAS DAMIAN")</f>
        <v>VARGAS DAMIAN</v>
      </c>
      <c r="D3578" s="44" t="str">
        <f>IFERROR(__xludf.DUMMYFUNCTION("""COMPUTED_VALUE""")," ")</f>
        <v> </v>
      </c>
      <c r="E3578" s="44" t="str">
        <f>IFERROR(__xludf.DUMMYFUNCTION("""COMPUTED_VALUE"""),"")</f>
        <v/>
      </c>
      <c r="F3578" s="44" t="str">
        <f>IFERROR(__xludf.DUMMYFUNCTION("""COMPUTED_VALUE"""),"")</f>
        <v/>
      </c>
      <c r="G3578" s="44" t="str">
        <f>IFERROR(__xludf.DUMMYFUNCTION("""COMPUTED_VALUE""")," ")</f>
        <v> </v>
      </c>
      <c r="H3578" s="44" t="str">
        <f>IFERROR(__xludf.DUMMYFUNCTION("""COMPUTED_VALUE""")," ")</f>
        <v> </v>
      </c>
      <c r="I3578" s="44" t="str">
        <f>IFERROR(__xludf.DUMMYFUNCTION("""COMPUTED_VALUE"""),"Internado")</f>
        <v>Internado</v>
      </c>
      <c r="J3578" s="44" t="str">
        <f>IFERROR(__xludf.DUMMYFUNCTION("""COMPUTED_VALUE"""),"")</f>
        <v/>
      </c>
      <c r="K3578" s="42" t="str">
        <f>IFERROR(__xludf.DUMMYFUNCTION("""COMPUTED_VALUE"""),"🔍 BUSCAR PACIENTES")</f>
        <v>🔍 BUSCAR PACIENTES</v>
      </c>
    </row>
    <row r="3579">
      <c r="A3579" s="44">
        <v>3578.0</v>
      </c>
      <c r="B3579" s="44" t="str">
        <f>IFERROR(__xludf.DUMMYFUNCTION("""COMPUTED_VALUE"""),"Periférico de Catia")</f>
        <v>Periférico de Catia</v>
      </c>
      <c r="C3579" s="45" t="str">
        <f>IFERROR(__xludf.DUMMYFUNCTION("""COMPUTED_VALUE"""),"Vascocelo Andreina")</f>
        <v>Vascocelo Andreina</v>
      </c>
      <c r="D3579" s="44">
        <f>IFERROR(__xludf.DUMMYFUNCTION("""COMPUTED_VALUE"""),43.0)</f>
        <v>43</v>
      </c>
      <c r="E3579" s="44" t="str">
        <f>IFERROR(__xludf.DUMMYFUNCTION("""COMPUTED_VALUE"""),"")</f>
        <v/>
      </c>
      <c r="F3579" s="44" t="str">
        <f>IFERROR(__xludf.DUMMYFUNCTION("""COMPUTED_VALUE"""),"")</f>
        <v/>
      </c>
      <c r="G3579" s="44"/>
      <c r="H3579" s="44"/>
      <c r="I3579" s="44" t="str">
        <f>IFERROR(__xludf.DUMMYFUNCTION("""COMPUTED_VALUE"""),"Lista adicional (pizarra extensa sin titulo de sala especifico) — posible duplicado de 'Vasconcelo Andreina' (Politrauma, sin edad)")</f>
        <v>Lista adicional (pizarra extensa sin titulo de sala especifico) — posible duplicado de 'Vasconcelo Andreina' (Politrauma, sin edad)</v>
      </c>
      <c r="J3579" s="44" t="str">
        <f>IFERROR(__xludf.DUMMYFUNCTION("""COMPUTED_VALUE"""),"")</f>
        <v/>
      </c>
      <c r="K3579" s="42" t="str">
        <f>IFERROR(__xludf.DUMMYFUNCTION("""COMPUTED_VALUE"""),"Periférico de Catia")</f>
        <v>Periférico de Catia</v>
      </c>
    </row>
    <row r="3580">
      <c r="A3580" s="44">
        <v>3579.0</v>
      </c>
      <c r="B3580" s="44" t="str">
        <f>IFERROR(__xludf.DUMMYFUNCTION("""COMPUTED_VALUE"""),"Hospital Domingo Luciani")</f>
        <v>Hospital Domingo Luciani</v>
      </c>
      <c r="C3580" s="45" t="str">
        <f>IFERROR(__xludf.DUMMYFUNCTION("""COMPUTED_VALUE"""),"VASCOCELO ANDREINA / VASCONELO ANDREINA")</f>
        <v>VASCOCELO ANDREINA / VASCONELO ANDREINA</v>
      </c>
      <c r="D3580" s="44" t="str">
        <f>IFERROR(__xludf.DUMMYFUNCTION("""COMPUTED_VALUE""")," ")</f>
        <v> </v>
      </c>
      <c r="E3580" s="44" t="str">
        <f>IFERROR(__xludf.DUMMYFUNCTION("""COMPUTED_VALUE"""),"")</f>
        <v/>
      </c>
      <c r="F3580" s="44" t="str">
        <f>IFERROR(__xludf.DUMMYFUNCTION("""COMPUTED_VALUE"""),"")</f>
        <v/>
      </c>
      <c r="G3580" s="44" t="str">
        <f>IFERROR(__xludf.DUMMYFUNCTION("""COMPUTED_VALUE""")," ")</f>
        <v> </v>
      </c>
      <c r="H3580" s="44" t="str">
        <f>IFERROR(__xludf.DUMMYFUNCTION("""COMPUTED_VALUE""")," ")</f>
        <v> </v>
      </c>
      <c r="I3580" s="44" t="str">
        <f>IFERROR(__xludf.DUMMYFUNCTION("""COMPUTED_VALUE""")," ")</f>
        <v> </v>
      </c>
      <c r="J3580" s="44" t="str">
        <f>IFERROR(__xludf.DUMMYFUNCTION("""COMPUTED_VALUE"""),"")</f>
        <v/>
      </c>
      <c r="K3580" s="42" t="str">
        <f>IFERROR(__xludf.DUMMYFUNCTION("""COMPUTED_VALUE"""),"🔍 BUSCAR PACIENTES")</f>
        <v>🔍 BUSCAR PACIENTES</v>
      </c>
    </row>
    <row r="3581">
      <c r="A3581" s="44">
        <v>3580.0</v>
      </c>
      <c r="B3581" s="44" t="str">
        <f>IFERROR(__xludf.DUMMYFUNCTION("""COMPUTED_VALUE"""),"Hospital Domingo Luciani")</f>
        <v>Hospital Domingo Luciani</v>
      </c>
      <c r="C3581" s="45" t="str">
        <f>IFERROR(__xludf.DUMMYFUNCTION("""COMPUTED_VALUE"""),"VASCONCELO ANDREINA")</f>
        <v>VASCONCELO ANDREINA</v>
      </c>
      <c r="D3581" s="44">
        <f>IFERROR(__xludf.DUMMYFUNCTION("""COMPUTED_VALUE"""),43.0)</f>
        <v>43</v>
      </c>
      <c r="E3581" s="44" t="str">
        <f>IFERROR(__xludf.DUMMYFUNCTION("""COMPUTED_VALUE"""),"")</f>
        <v/>
      </c>
      <c r="F3581" s="44" t="str">
        <f>IFERROR(__xludf.DUMMYFUNCTION("""COMPUTED_VALUE"""),"")</f>
        <v/>
      </c>
      <c r="G3581" s="44" t="str">
        <f>IFERROR(__xludf.DUMMYFUNCTION("""COMPUTED_VALUE""")," ")</f>
        <v> </v>
      </c>
      <c r="H3581" s="44" t="str">
        <f>IFERROR(__xludf.DUMMYFUNCTION("""COMPUTED_VALUE""")," ")</f>
        <v> </v>
      </c>
      <c r="I3581" s="44" t="str">
        <f>IFERROR(__xludf.DUMMYFUNCTION("""COMPUTED_VALUE""")," ")</f>
        <v> </v>
      </c>
      <c r="J3581" s="44" t="str">
        <f>IFERROR(__xludf.DUMMYFUNCTION("""COMPUTED_VALUE"""),"")</f>
        <v/>
      </c>
      <c r="K3581" s="42" t="str">
        <f>IFERROR(__xludf.DUMMYFUNCTION("""COMPUTED_VALUE"""),"🔍 BUSCAR PACIENTES")</f>
        <v>🔍 BUSCAR PACIENTES</v>
      </c>
    </row>
    <row r="3582">
      <c r="A3582" s="44">
        <v>3581.0</v>
      </c>
      <c r="B3582" s="44" t="str">
        <f>IFERROR(__xludf.DUMMYFUNCTION("""COMPUTED_VALUE"""),"Hospital Domingo Luciani")</f>
        <v>Hospital Domingo Luciani</v>
      </c>
      <c r="C3582" s="45" t="str">
        <f>IFERROR(__xludf.DUMMYFUNCTION("""COMPUTED_VALUE"""),"VASQUE JUIS")</f>
        <v>VASQUE JUIS</v>
      </c>
      <c r="D3582" s="44">
        <f>IFERROR(__xludf.DUMMYFUNCTION("""COMPUTED_VALUE"""),77.0)</f>
        <v>77</v>
      </c>
      <c r="E3582" s="44" t="str">
        <f>IFERROR(__xludf.DUMMYFUNCTION("""COMPUTED_VALUE"""),"")</f>
        <v/>
      </c>
      <c r="F3582" s="44" t="str">
        <f>IFERROR(__xludf.DUMMYFUNCTION("""COMPUTED_VALUE"""),"")</f>
        <v/>
      </c>
      <c r="G3582" s="44" t="str">
        <f>IFERROR(__xludf.DUMMYFUNCTION("""COMPUTED_VALUE""")," ")</f>
        <v> </v>
      </c>
      <c r="H3582" s="44" t="str">
        <f>IFERROR(__xludf.DUMMYFUNCTION("""COMPUTED_VALUE""")," ")</f>
        <v> </v>
      </c>
      <c r="I3582" s="44" t="str">
        <f>IFERROR(__xludf.DUMMYFUNCTION("""COMPUTED_VALUE"""),"Fallecida")</f>
        <v>Fallecida</v>
      </c>
      <c r="J3582" s="44" t="str">
        <f>IFERROR(__xludf.DUMMYFUNCTION("""COMPUTED_VALUE"""),"")</f>
        <v/>
      </c>
      <c r="K3582" s="42" t="str">
        <f>IFERROR(__xludf.DUMMYFUNCTION("""COMPUTED_VALUE"""),"🔍 BUSCAR PACIENTES")</f>
        <v>🔍 BUSCAR PACIENTES</v>
      </c>
    </row>
    <row r="3583">
      <c r="A3583" s="44">
        <v>3582.0</v>
      </c>
      <c r="B3583" s="44" t="str">
        <f>IFERROR(__xludf.DUMMYFUNCTION("""COMPUTED_VALUE"""),"Periférico de Catia")</f>
        <v>Periférico de Catia</v>
      </c>
      <c r="C3583" s="45" t="str">
        <f>IFERROR(__xludf.DUMMYFUNCTION("""COMPUTED_VALUE"""),"Vasque Luis")</f>
        <v>Vasque Luis</v>
      </c>
      <c r="D3583" s="44">
        <f>IFERROR(__xludf.DUMMYFUNCTION("""COMPUTED_VALUE"""),77.0)</f>
        <v>77</v>
      </c>
      <c r="E3583" s="44" t="str">
        <f>IFERROR(__xludf.DUMMYFUNCTION("""COMPUTED_VALUE"""),"")</f>
        <v/>
      </c>
      <c r="F3583" s="44" t="str">
        <f>IFERROR(__xludf.DUMMYFUNCTION("""COMPUTED_VALUE"""),"")</f>
        <v/>
      </c>
      <c r="G3583" s="44"/>
      <c r="H3583" s="44"/>
      <c r="I3583" s="44" t="str">
        <f>IFERROR(__xludf.DUMMYFUNCTION("""COMPUTED_VALUE"""),"Lista adicional (pizarra extensa sin titulo de sala especifico)")</f>
        <v>Lista adicional (pizarra extensa sin titulo de sala especifico)</v>
      </c>
      <c r="J3583" s="44" t="str">
        <f>IFERROR(__xludf.DUMMYFUNCTION("""COMPUTED_VALUE"""),"")</f>
        <v/>
      </c>
      <c r="K3583" s="42" t="str">
        <f>IFERROR(__xludf.DUMMYFUNCTION("""COMPUTED_VALUE"""),"Periférico de Catia")</f>
        <v>Periférico de Catia</v>
      </c>
    </row>
    <row r="3584">
      <c r="A3584" s="44">
        <v>3583.0</v>
      </c>
      <c r="B3584" s="44" t="str">
        <f>IFERROR(__xludf.DUMMYFUNCTION("""COMPUTED_VALUE"""),"Centro de Acopio Caraballeda")</f>
        <v>Centro de Acopio Caraballeda</v>
      </c>
      <c r="C3584" s="45" t="str">
        <f>IFERROR(__xludf.DUMMYFUNCTION("""COMPUTED_VALUE"""),"VASQUEZ JOSE LUIS")</f>
        <v>VASQUEZ JOSE LUIS</v>
      </c>
      <c r="D3584" s="44" t="str">
        <f>IFERROR(__xludf.DUMMYFUNCTION("""COMPUTED_VALUE""")," ")</f>
        <v> </v>
      </c>
      <c r="E3584" s="44" t="str">
        <f>IFERROR(__xludf.DUMMYFUNCTION("""COMPUTED_VALUE"""),"")</f>
        <v/>
      </c>
      <c r="F3584" s="44" t="str">
        <f>IFERROR(__xludf.DUMMYFUNCTION("""COMPUTED_VALUE"""),"")</f>
        <v/>
      </c>
      <c r="G3584" s="44" t="str">
        <f>IFERROR(__xludf.DUMMYFUNCTION("""COMPUTED_VALUE""")," ")</f>
        <v> </v>
      </c>
      <c r="H3584" s="44" t="str">
        <f>IFERROR(__xludf.DUMMYFUNCTION("""COMPUTED_VALUE""")," ")</f>
        <v> </v>
      </c>
      <c r="I3584" s="44" t="str">
        <f>IFERROR(__xludf.DUMMYFUNCTION("""COMPUTED_VALUE"""),"Internado")</f>
        <v>Internado</v>
      </c>
      <c r="J3584" s="44" t="str">
        <f>IFERROR(__xludf.DUMMYFUNCTION("""COMPUTED_VALUE"""),"")</f>
        <v/>
      </c>
      <c r="K3584" s="42" t="str">
        <f>IFERROR(__xludf.DUMMYFUNCTION("""COMPUTED_VALUE"""),"🔍 BUSCAR PACIENTES")</f>
        <v>🔍 BUSCAR PACIENTES</v>
      </c>
    </row>
    <row r="3585">
      <c r="A3585" s="44">
        <v>3584.0</v>
      </c>
      <c r="B3585" s="44" t="str">
        <f>IFERROR(__xludf.DUMMYFUNCTION("""COMPUTED_VALUE"""),"Hospital Domingo Luciani")</f>
        <v>Hospital Domingo Luciani</v>
      </c>
      <c r="C3585" s="45" t="str">
        <f>IFERROR(__xludf.DUMMYFUNCTION("""COMPUTED_VALUE"""),"VASQUEZ LUIS")</f>
        <v>VASQUEZ LUIS</v>
      </c>
      <c r="D3585" s="44">
        <f>IFERROR(__xludf.DUMMYFUNCTION("""COMPUTED_VALUE"""),77.0)</f>
        <v>77</v>
      </c>
      <c r="E3585" s="44" t="str">
        <f>IFERROR(__xludf.DUMMYFUNCTION("""COMPUTED_VALUE"""),"")</f>
        <v/>
      </c>
      <c r="F3585" s="44" t="str">
        <f>IFERROR(__xludf.DUMMYFUNCTION("""COMPUTED_VALUE"""),"")</f>
        <v/>
      </c>
      <c r="G3585" s="44" t="str">
        <f>IFERROR(__xludf.DUMMYFUNCTION("""COMPUTED_VALUE""")," ")</f>
        <v> </v>
      </c>
      <c r="H3585" s="44" t="str">
        <f>IFERROR(__xludf.DUMMYFUNCTION("""COMPUTED_VALUE""")," ")</f>
        <v> </v>
      </c>
      <c r="I3585" s="44" t="str">
        <f>IFERROR(__xludf.DUMMYFUNCTION("""COMPUTED_VALUE""")," ")</f>
        <v> </v>
      </c>
      <c r="J3585" s="44" t="str">
        <f>IFERROR(__xludf.DUMMYFUNCTION("""COMPUTED_VALUE"""),"")</f>
        <v/>
      </c>
      <c r="K3585" s="42" t="str">
        <f>IFERROR(__xludf.DUMMYFUNCTION("""COMPUTED_VALUE"""),"🔍 BUSCAR PACIENTES")</f>
        <v>🔍 BUSCAR PACIENTES</v>
      </c>
    </row>
    <row r="3586">
      <c r="A3586" s="44">
        <v>3585.0</v>
      </c>
      <c r="B3586" s="44" t="str">
        <f>IFERROR(__xludf.DUMMYFUNCTION("""COMPUTED_VALUE"""),"Hospital Domingo Luciani")</f>
        <v>Hospital Domingo Luciani</v>
      </c>
      <c r="C3586" s="45" t="str">
        <f>IFERROR(__xludf.DUMMYFUNCTION("""COMPUTED_VALUE"""),"VASQUEZ ROSALIS")</f>
        <v>VASQUEZ ROSALIS</v>
      </c>
      <c r="D3586" s="44">
        <f>IFERROR(__xludf.DUMMYFUNCTION("""COMPUTED_VALUE"""),18.0)</f>
        <v>18</v>
      </c>
      <c r="E3586" s="44" t="str">
        <f>IFERROR(__xludf.DUMMYFUNCTION("""COMPUTED_VALUE"""),"")</f>
        <v/>
      </c>
      <c r="F3586" s="44" t="str">
        <f>IFERROR(__xludf.DUMMYFUNCTION("""COMPUTED_VALUE"""),"")</f>
        <v/>
      </c>
      <c r="G3586" s="44" t="str">
        <f>IFERROR(__xludf.DUMMYFUNCTION("""COMPUTED_VALUE""")," ")</f>
        <v> </v>
      </c>
      <c r="H3586" s="44" t="str">
        <f>IFERROR(__xludf.DUMMYFUNCTION("""COMPUTED_VALUE""")," ")</f>
        <v> </v>
      </c>
      <c r="I3586" s="44" t="str">
        <f>IFERROR(__xludf.DUMMYFUNCTION("""COMPUTED_VALUE"""),"Politrauma Emerg. Nueva")</f>
        <v>Politrauma Emerg. Nueva</v>
      </c>
      <c r="J3586" s="44" t="str">
        <f>IFERROR(__xludf.DUMMYFUNCTION("""COMPUTED_VALUE"""),"")</f>
        <v/>
      </c>
      <c r="K3586" s="42" t="str">
        <f>IFERROR(__xludf.DUMMYFUNCTION("""COMPUTED_VALUE"""),"🔍 BUSCAR PACIENTES")</f>
        <v>🔍 BUSCAR PACIENTES</v>
      </c>
    </row>
    <row r="3587">
      <c r="A3587" s="44">
        <v>3586.0</v>
      </c>
      <c r="B3587" s="44" t="str">
        <f>IFERROR(__xludf.DUMMYFUNCTION("""COMPUTED_VALUE"""),"Periférico de Catia")</f>
        <v>Periférico de Catia</v>
      </c>
      <c r="C3587" s="45" t="str">
        <f>IFERROR(__xludf.DUMMYFUNCTION("""COMPUTED_VALUE"""),"Vega Maria")</f>
        <v>Vega Maria</v>
      </c>
      <c r="D3587" s="44">
        <f>IFERROR(__xludf.DUMMYFUNCTION("""COMPUTED_VALUE"""),54.0)</f>
        <v>54</v>
      </c>
      <c r="E3587" s="44" t="str">
        <f>IFERROR(__xludf.DUMMYFUNCTION("""COMPUTED_VALUE"""),"")</f>
        <v/>
      </c>
      <c r="F3587" s="44" t="str">
        <f>IFERROR(__xludf.DUMMYFUNCTION("""COMPUTED_VALUE"""),"")</f>
        <v/>
      </c>
      <c r="G3587" s="44"/>
      <c r="H3587" s="44"/>
      <c r="I3587" s="44" t="str">
        <f>IFERROR(__xludf.DUMMYFUNCTION("""COMPUTED_VALUE"""),"Politrauma Emergencia Nueva")</f>
        <v>Politrauma Emergencia Nueva</v>
      </c>
      <c r="J3587" s="44" t="str">
        <f>IFERROR(__xludf.DUMMYFUNCTION("""COMPUTED_VALUE"""),"")</f>
        <v/>
      </c>
      <c r="K3587" s="42" t="str">
        <f>IFERROR(__xludf.DUMMYFUNCTION("""COMPUTED_VALUE"""),"Periférico de Catia")</f>
        <v>Periférico de Catia</v>
      </c>
    </row>
    <row r="3588">
      <c r="A3588" s="44">
        <v>3587.0</v>
      </c>
      <c r="B3588" s="44" t="str">
        <f>IFERROR(__xludf.DUMMYFUNCTION("""COMPUTED_VALUE"""),"Hospital Domingo Luciani")</f>
        <v>Hospital Domingo Luciani</v>
      </c>
      <c r="C3588" s="45" t="str">
        <f>IFERROR(__xludf.DUMMYFUNCTION("""COMPUTED_VALUE"""),"VEGA SAMUEL")</f>
        <v>VEGA SAMUEL</v>
      </c>
      <c r="D3588" s="44">
        <f>IFERROR(__xludf.DUMMYFUNCTION("""COMPUTED_VALUE"""),11.0)</f>
        <v>11</v>
      </c>
      <c r="E3588" s="44" t="str">
        <f>IFERROR(__xludf.DUMMYFUNCTION("""COMPUTED_VALUE"""),"")</f>
        <v/>
      </c>
      <c r="F3588" s="44" t="str">
        <f>IFERROR(__xludf.DUMMYFUNCTION("""COMPUTED_VALUE"""),"")</f>
        <v/>
      </c>
      <c r="G3588" s="44" t="str">
        <f>IFERROR(__xludf.DUMMYFUNCTION("""COMPUTED_VALUE""")," ")</f>
        <v> </v>
      </c>
      <c r="H3588" s="44" t="str">
        <f>IFERROR(__xludf.DUMMYFUNCTION("""COMPUTED_VALUE""")," ")</f>
        <v> </v>
      </c>
      <c r="I3588" s="44" t="str">
        <f>IFERROR(__xludf.DUMMYFUNCTION("""COMPUTED_VALUE""")," ")</f>
        <v> </v>
      </c>
      <c r="J3588" s="44" t="str">
        <f>IFERROR(__xludf.DUMMYFUNCTION("""COMPUTED_VALUE"""),"")</f>
        <v/>
      </c>
      <c r="K3588" s="42" t="str">
        <f>IFERROR(__xludf.DUMMYFUNCTION("""COMPUTED_VALUE"""),"🔍 BUSCAR PACIENTES")</f>
        <v>🔍 BUSCAR PACIENTES</v>
      </c>
    </row>
    <row r="3589">
      <c r="A3589" s="44">
        <v>3588.0</v>
      </c>
      <c r="B3589" s="44" t="str">
        <f>IFERROR(__xludf.DUMMYFUNCTION("""COMPUTED_VALUE"""),"Hospital Domingo Luciani")</f>
        <v>Hospital Domingo Luciani</v>
      </c>
      <c r="C3589" s="45" t="str">
        <f>IFERROR(__xludf.DUMMYFUNCTION("""COMPUTED_VALUE"""),"VEGAS ISABEL")</f>
        <v>VEGAS ISABEL</v>
      </c>
      <c r="D3589" s="44">
        <f>IFERROR(__xludf.DUMMYFUNCTION("""COMPUTED_VALUE"""),50.0)</f>
        <v>50</v>
      </c>
      <c r="E3589" s="44" t="str">
        <f>IFERROR(__xludf.DUMMYFUNCTION("""COMPUTED_VALUE"""),"")</f>
        <v/>
      </c>
      <c r="F3589" s="44" t="str">
        <f>IFERROR(__xludf.DUMMYFUNCTION("""COMPUTED_VALUE"""),"")</f>
        <v/>
      </c>
      <c r="G3589" s="44" t="str">
        <f>IFERROR(__xludf.DUMMYFUNCTION("""COMPUTED_VALUE""")," ")</f>
        <v> </v>
      </c>
      <c r="H3589" s="44" t="str">
        <f>IFERROR(__xludf.DUMMYFUNCTION("""COMPUTED_VALUE""")," ")</f>
        <v> </v>
      </c>
      <c r="I3589" s="44" t="str">
        <f>IFERROR(__xludf.DUMMYFUNCTION("""COMPUTED_VALUE"""),"Poli Emerg. Nueva – F; La Guaira")</f>
        <v>Poli Emerg. Nueva – F; La Guaira</v>
      </c>
      <c r="J3589" s="44" t="str">
        <f>IFERROR(__xludf.DUMMYFUNCTION("""COMPUTED_VALUE"""),"")</f>
        <v/>
      </c>
      <c r="K3589" s="42" t="str">
        <f>IFERROR(__xludf.DUMMYFUNCTION("""COMPUTED_VALUE"""),"🔍 BUSCAR PACIENTES")</f>
        <v>🔍 BUSCAR PACIENTES</v>
      </c>
    </row>
    <row r="3590">
      <c r="A3590" s="44">
        <v>3589.0</v>
      </c>
      <c r="B3590" s="44" t="str">
        <f>IFERROR(__xludf.DUMMYFUNCTION("""COMPUTED_VALUE"""),"Hospital Domingo Luciani")</f>
        <v>Hospital Domingo Luciani</v>
      </c>
      <c r="C3590" s="45" t="str">
        <f>IFERROR(__xludf.DUMMYFUNCTION("""COMPUTED_VALUE"""),"VEGUIDE MAURO")</f>
        <v>VEGUIDE MAURO</v>
      </c>
      <c r="D3590" s="44">
        <f>IFERROR(__xludf.DUMMYFUNCTION("""COMPUTED_VALUE"""),55.0)</f>
        <v>55</v>
      </c>
      <c r="E3590" s="44" t="str">
        <f>IFERROR(__xludf.DUMMYFUNCTION("""COMPUTED_VALUE"""),"")</f>
        <v/>
      </c>
      <c r="F3590" s="44" t="str">
        <f>IFERROR(__xludf.DUMMYFUNCTION("""COMPUTED_VALUE"""),"")</f>
        <v/>
      </c>
      <c r="G3590" s="44" t="str">
        <f>IFERROR(__xludf.DUMMYFUNCTION("""COMPUTED_VALUE""")," ")</f>
        <v> </v>
      </c>
      <c r="H3590" s="44" t="str">
        <f>IFERROR(__xludf.DUMMYFUNCTION("""COMPUTED_VALUE""")," ")</f>
        <v> </v>
      </c>
      <c r="I3590" s="44" t="str">
        <f>IFERROR(__xludf.DUMMYFUNCTION("""COMPUTED_VALUE"""),"Politrauma Emerg. Vieja")</f>
        <v>Politrauma Emerg. Vieja</v>
      </c>
      <c r="J3590" s="44" t="str">
        <f>IFERROR(__xludf.DUMMYFUNCTION("""COMPUTED_VALUE"""),"")</f>
        <v/>
      </c>
      <c r="K3590" s="42" t="str">
        <f>IFERROR(__xludf.DUMMYFUNCTION("""COMPUTED_VALUE"""),"🔍 BUSCAR PACIENTES")</f>
        <v>🔍 BUSCAR PACIENTES</v>
      </c>
    </row>
    <row r="3591">
      <c r="A3591" s="44">
        <v>3590.0</v>
      </c>
      <c r="B3591" s="44" t="str">
        <f>IFERROR(__xludf.DUMMYFUNCTION("""COMPUTED_VALUE"""),"Hospital Domingo Luciani")</f>
        <v>Hospital Domingo Luciani</v>
      </c>
      <c r="C3591" s="45" t="str">
        <f>IFERROR(__xludf.DUMMYFUNCTION("""COMPUTED_VALUE"""),"VEGUIOLE MENRO")</f>
        <v>VEGUIOLE MENRO</v>
      </c>
      <c r="D3591" s="44">
        <f>IFERROR(__xludf.DUMMYFUNCTION("""COMPUTED_VALUE"""),35.0)</f>
        <v>35</v>
      </c>
      <c r="E3591" s="44" t="str">
        <f>IFERROR(__xludf.DUMMYFUNCTION("""COMPUTED_VALUE"""),"")</f>
        <v/>
      </c>
      <c r="F3591" s="44" t="str">
        <f>IFERROR(__xludf.DUMMYFUNCTION("""COMPUTED_VALUE"""),"")</f>
        <v/>
      </c>
      <c r="G3591" s="44" t="str">
        <f>IFERROR(__xludf.DUMMYFUNCTION("""COMPUTED_VALUE""")," ")</f>
        <v> </v>
      </c>
      <c r="H3591" s="44" t="str">
        <f>IFERROR(__xludf.DUMMYFUNCTION("""COMPUTED_VALUE""")," ")</f>
        <v> </v>
      </c>
      <c r="I3591" s="44" t="str">
        <f>IFERROR(__xludf.DUMMYFUNCTION("""COMPUTED_VALUE"""),"Politrauma Emerg. Vieja")</f>
        <v>Politrauma Emerg. Vieja</v>
      </c>
      <c r="J3591" s="44" t="str">
        <f>IFERROR(__xludf.DUMMYFUNCTION("""COMPUTED_VALUE"""),"")</f>
        <v/>
      </c>
      <c r="K3591" s="42" t="str">
        <f>IFERROR(__xludf.DUMMYFUNCTION("""COMPUTED_VALUE"""),"🔍 BUSCAR PACIENTES")</f>
        <v>🔍 BUSCAR PACIENTES</v>
      </c>
    </row>
    <row r="3592">
      <c r="A3592" s="44">
        <v>3591.0</v>
      </c>
      <c r="B3592" s="44" t="str">
        <f>IFERROR(__xludf.DUMMYFUNCTION("""COMPUTED_VALUE"""),"Hospital Vargas de Caracas")</f>
        <v>Hospital Vargas de Caracas</v>
      </c>
      <c r="C3592" s="45" t="str">
        <f>IFERROR(__xludf.DUMMYFUNCTION("""COMPUTED_VALUE"""),"VELASQUEZ CARMEN")</f>
        <v>VELASQUEZ CARMEN</v>
      </c>
      <c r="D3592" s="44" t="str">
        <f>IFERROR(__xludf.DUMMYFUNCTION("""COMPUTED_VALUE""")," ")</f>
        <v> </v>
      </c>
      <c r="E3592" s="44" t="str">
        <f>IFERROR(__xludf.DUMMYFUNCTION("""COMPUTED_VALUE"""),"")</f>
        <v/>
      </c>
      <c r="F3592" s="44" t="str">
        <f>IFERROR(__xludf.DUMMYFUNCTION("""COMPUTED_VALUE""")," ")</f>
        <v> </v>
      </c>
      <c r="G3592" s="44" t="str">
        <f>IFERROR(__xludf.DUMMYFUNCTION("""COMPUTED_VALUE"""),"")</f>
        <v/>
      </c>
      <c r="H3592" s="44" t="str">
        <f>IFERROR(__xludf.DUMMYFUNCTION("""COMPUTED_VALUE""")," ")</f>
        <v> </v>
      </c>
      <c r="I3592" s="44" t="str">
        <f>IFERROR(__xludf.DUMMYFUNCTION("""COMPUTED_VALUE""")," ")</f>
        <v> </v>
      </c>
      <c r="J3592" s="44" t="str">
        <f>IFERROR(__xludf.DUMMYFUNCTION("""COMPUTED_VALUE"""),"")</f>
        <v/>
      </c>
      <c r="K3592" s="42" t="str">
        <f>IFERROR(__xludf.DUMMYFUNCTION("""COMPUTED_VALUE"""),"Hospital Vargas de Caracas")</f>
        <v>Hospital Vargas de Caracas</v>
      </c>
    </row>
    <row r="3593">
      <c r="A3593" s="44">
        <v>3592.0</v>
      </c>
      <c r="B3593" s="44" t="str">
        <f>IFERROR(__xludf.DUMMYFUNCTION("""COMPUTED_VALUE"""),"Hospital Pérez Carreño")</f>
        <v>Hospital Pérez Carreño</v>
      </c>
      <c r="C3593" s="45" t="str">
        <f>IFERROR(__xludf.DUMMYFUNCTION("""COMPUTED_VALUE"""),"VELAZCO F")</f>
        <v>VELAZCO F</v>
      </c>
      <c r="D3593" s="44" t="str">
        <f>IFERROR(__xludf.DUMMYFUNCTION("""COMPUTED_VALUE""")," ")</f>
        <v> </v>
      </c>
      <c r="E3593" s="44" t="str">
        <f>IFERROR(__xludf.DUMMYFUNCTION("""COMPUTED_VALUE"""),"")</f>
        <v/>
      </c>
      <c r="F3593" s="44" t="str">
        <f>IFERROR(__xludf.DUMMYFUNCTION("""COMPUTED_VALUE"""),"")</f>
        <v/>
      </c>
      <c r="G3593" s="44" t="str">
        <f>IFERROR(__xludf.DUMMYFUNCTION("""COMPUTED_VALUE""")," ")</f>
        <v> </v>
      </c>
      <c r="H3593" s="44" t="str">
        <f>IFERROR(__xludf.DUMMYFUNCTION("""COMPUTED_VALUE""")," ")</f>
        <v> </v>
      </c>
      <c r="I3593" s="44" t="str">
        <f>IFERROR(__xludf.DUMMYFUNCTION("""COMPUTED_VALUE"""),"Traumachok – Pasillo Asesor; La Guaira")</f>
        <v>Traumachok – Pasillo Asesor; La Guaira</v>
      </c>
      <c r="J3593" s="44" t="str">
        <f>IFERROR(__xludf.DUMMYFUNCTION("""COMPUTED_VALUE"""),"")</f>
        <v/>
      </c>
      <c r="K3593" s="42" t="str">
        <f>IFERROR(__xludf.DUMMYFUNCTION("""COMPUTED_VALUE"""),"🔍 BUSCAR PACIENTES")</f>
        <v>🔍 BUSCAR PACIENTES</v>
      </c>
    </row>
    <row r="3594">
      <c r="A3594" s="44">
        <v>3593.0</v>
      </c>
      <c r="B3594" s="44" t="str">
        <f>IFERROR(__xludf.DUMMYFUNCTION("""COMPUTED_VALUE"""),"H. Jose Maria Vargas LG")</f>
        <v>H. Jose Maria Vargas LG</v>
      </c>
      <c r="C3594" s="45" t="str">
        <f>IFERROR(__xludf.DUMMYFUNCTION("""COMPUTED_VALUE"""),"VENDITTE ANTONIO")</f>
        <v>VENDITTE ANTONIO</v>
      </c>
      <c r="D3594" s="44" t="str">
        <f>IFERROR(__xludf.DUMMYFUNCTION("""COMPUTED_VALUE""")," ")</f>
        <v> </v>
      </c>
      <c r="E3594" s="44" t="str">
        <f>IFERROR(__xludf.DUMMYFUNCTION("""COMPUTED_VALUE"""),"")</f>
        <v/>
      </c>
      <c r="F3594" s="44" t="str">
        <f>IFERROR(__xludf.DUMMYFUNCTION("""COMPUTED_VALUE"""),"")</f>
        <v/>
      </c>
      <c r="G3594" s="44" t="str">
        <f>IFERROR(__xludf.DUMMYFUNCTION("""COMPUTED_VALUE""")," ")</f>
        <v> </v>
      </c>
      <c r="H3594" s="44" t="str">
        <f>IFERROR(__xludf.DUMMYFUNCTION("""COMPUTED_VALUE"""),"Caraballeda")</f>
        <v>Caraballeda</v>
      </c>
      <c r="I3594" s="44" t="str">
        <f>IFERROR(__xludf.DUMMYFUNCTION("""COMPUTED_VALUE""")," ")</f>
        <v> </v>
      </c>
      <c r="J3594" s="44" t="str">
        <f>IFERROR(__xludf.DUMMYFUNCTION("""COMPUTED_VALUE"""),"")</f>
        <v/>
      </c>
      <c r="K3594" s="42" t="str">
        <f>IFERROR(__xludf.DUMMYFUNCTION("""COMPUTED_VALUE"""),"H. Jose Maria Vargas LG")</f>
        <v>H. Jose Maria Vargas LG</v>
      </c>
    </row>
    <row r="3595">
      <c r="A3595" s="44">
        <v>3594.0</v>
      </c>
      <c r="B3595" s="44" t="str">
        <f>IFERROR(__xludf.DUMMYFUNCTION("""COMPUTED_VALUE"""),"Periférico de Catia")</f>
        <v>Periférico de Catia</v>
      </c>
      <c r="C3595" s="45" t="str">
        <f>IFERROR(__xludf.DUMMYFUNCTION("""COMPUTED_VALUE"""),"Vequiole Mauro")</f>
        <v>Vequiole Mauro</v>
      </c>
      <c r="D3595" s="44">
        <f>IFERROR(__xludf.DUMMYFUNCTION("""COMPUTED_VALUE"""),55.0)</f>
        <v>55</v>
      </c>
      <c r="E3595" s="44" t="str">
        <f>IFERROR(__xludf.DUMMYFUNCTION("""COMPUTED_VALUE"""),"")</f>
        <v/>
      </c>
      <c r="F3595" s="44" t="str">
        <f>IFERROR(__xludf.DUMMYFUNCTION("""COMPUTED_VALUE"""),"")</f>
        <v/>
      </c>
      <c r="G3595" s="44"/>
      <c r="H3595" s="44"/>
      <c r="I3595" s="44" t="str">
        <f>IFERROR(__xludf.DUMMYFUNCTION("""COMPUTED_VALUE"""),"Politrauma (pizarra con anotaciones de ubicacion/estudio: Piso, Rx, Triaje, Trauma) — posible duplicado de 'Uequiola Mauro 55' en Politrauma Emergencia Vieja")</f>
        <v>Politrauma (pizarra con anotaciones de ubicacion/estudio: Piso, Rx, Triaje, Trauma) — posible duplicado de 'Uequiola Mauro 55' en Politrauma Emergencia Vieja</v>
      </c>
      <c r="J3595" s="44" t="str">
        <f>IFERROR(__xludf.DUMMYFUNCTION("""COMPUTED_VALUE"""),"")</f>
        <v/>
      </c>
      <c r="K3595" s="42" t="str">
        <f>IFERROR(__xludf.DUMMYFUNCTION("""COMPUTED_VALUE"""),"Periférico de Catia")</f>
        <v>Periférico de Catia</v>
      </c>
    </row>
    <row r="3596">
      <c r="A3596" s="44">
        <v>3595.0</v>
      </c>
      <c r="B3596" s="44" t="str">
        <f>IFERROR(__xludf.DUMMYFUNCTION("""COMPUTED_VALUE"""),"H. Jose Maria Vargas LG")</f>
        <v>H. Jose Maria Vargas LG</v>
      </c>
      <c r="C3596" s="45" t="str">
        <f>IFERROR(__xludf.DUMMYFUNCTION("""COMPUTED_VALUE"""),"VERA ANA")</f>
        <v>VERA ANA</v>
      </c>
      <c r="D3596" s="44" t="str">
        <f>IFERROR(__xludf.DUMMYFUNCTION("""COMPUTED_VALUE""")," ")</f>
        <v> </v>
      </c>
      <c r="E3596" s="44" t="str">
        <f>IFERROR(__xludf.DUMMYFUNCTION("""COMPUTED_VALUE"""),"")</f>
        <v/>
      </c>
      <c r="F3596" s="44" t="str">
        <f>IFERROR(__xludf.DUMMYFUNCTION("""COMPUTED_VALUE"""),"")</f>
        <v/>
      </c>
      <c r="G3596" s="44" t="str">
        <f>IFERROR(__xludf.DUMMYFUNCTION("""COMPUTED_VALUE""")," ")</f>
        <v> </v>
      </c>
      <c r="H3596" s="44" t="str">
        <f>IFERROR(__xludf.DUMMYFUNCTION("""COMPUTED_VALUE""")," ")</f>
        <v> </v>
      </c>
      <c r="I3596" s="44" t="str">
        <f>IFERROR(__xludf.DUMMYFUNCTION("""COMPUTED_VALUE""")," ")</f>
        <v> </v>
      </c>
      <c r="J3596" s="44" t="str">
        <f>IFERROR(__xludf.DUMMYFUNCTION("""COMPUTED_VALUE"""),"")</f>
        <v/>
      </c>
      <c r="K3596" s="42" t="str">
        <f>IFERROR(__xludf.DUMMYFUNCTION("""COMPUTED_VALUE"""),"H. Jose Maria Vargas LG")</f>
        <v>H. Jose Maria Vargas LG</v>
      </c>
    </row>
    <row r="3597">
      <c r="A3597" s="44">
        <v>3596.0</v>
      </c>
      <c r="B3597" s="44" t="str">
        <f>IFERROR(__xludf.DUMMYFUNCTION("""COMPUTED_VALUE"""),"Hospital Vargas de Caracas")</f>
        <v>Hospital Vargas de Caracas</v>
      </c>
      <c r="C3597" s="45" t="str">
        <f>IFERROR(__xludf.DUMMYFUNCTION("""COMPUTED_VALUE"""),"VERDE CLAUDIA")</f>
        <v>VERDE CLAUDIA</v>
      </c>
      <c r="D3597" s="44" t="str">
        <f>IFERROR(__xludf.DUMMYFUNCTION("""COMPUTED_VALUE""")," ")</f>
        <v> </v>
      </c>
      <c r="E3597" s="44" t="str">
        <f>IFERROR(__xludf.DUMMYFUNCTION("""COMPUTED_VALUE"""),"")</f>
        <v/>
      </c>
      <c r="F3597" s="44" t="str">
        <f>IFERROR(__xludf.DUMMYFUNCTION("""COMPUTED_VALUE""")," ")</f>
        <v> </v>
      </c>
      <c r="G3597" s="44" t="str">
        <f>IFERROR(__xludf.DUMMYFUNCTION("""COMPUTED_VALUE"""),"")</f>
        <v/>
      </c>
      <c r="H3597" s="44" t="str">
        <f>IFERROR(__xludf.DUMMYFUNCTION("""COMPUTED_VALUE""")," ")</f>
        <v> </v>
      </c>
      <c r="I3597" s="44" t="str">
        <f>IFERROR(__xludf.DUMMYFUNCTION("""COMPUTED_VALUE""")," ")</f>
        <v> </v>
      </c>
      <c r="J3597" s="44" t="str">
        <f>IFERROR(__xludf.DUMMYFUNCTION("""COMPUTED_VALUE"""),"")</f>
        <v/>
      </c>
      <c r="K3597" s="42" t="str">
        <f>IFERROR(__xludf.DUMMYFUNCTION("""COMPUTED_VALUE"""),"Hospital Vargas de Caracas")</f>
        <v>Hospital Vargas de Caracas</v>
      </c>
    </row>
    <row r="3598">
      <c r="A3598" s="44">
        <v>3597.0</v>
      </c>
      <c r="B3598" s="44" t="str">
        <f>IFERROR(__xludf.DUMMYFUNCTION("""COMPUTED_VALUE"""),"Hospital José María Vargas - La Guaira")</f>
        <v>Hospital José María Vargas - La Guaira</v>
      </c>
      <c r="C3598" s="45" t="str">
        <f>IFERROR(__xludf.DUMMYFUNCTION("""COMPUTED_VALUE"""),"VERGANA ARANZA")</f>
        <v>VERGANA ARANZA</v>
      </c>
      <c r="D3598" s="44">
        <f>IFERROR(__xludf.DUMMYFUNCTION("""COMPUTED_VALUE"""),8.0)</f>
        <v>8</v>
      </c>
      <c r="E3598" s="44" t="str">
        <f>IFERROR(__xludf.DUMMYFUNCTION("""COMPUTED_VALUE"""),"")</f>
        <v/>
      </c>
      <c r="F3598" s="44" t="str">
        <f>IFERROR(__xludf.DUMMYFUNCTION("""COMPUTED_VALUE"""),"")</f>
        <v/>
      </c>
      <c r="G3598" s="44" t="str">
        <f>IFERROR(__xludf.DUMMYFUNCTION("""COMPUTED_VALUE""")," ")</f>
        <v> </v>
      </c>
      <c r="H3598" s="44" t="str">
        <f>IFERROR(__xludf.DUMMYFUNCTION("""COMPUTED_VALUE""")," ")</f>
        <v> </v>
      </c>
      <c r="I3598" s="44" t="str">
        <f>IFERROR(__xludf.DUMMYFUNCTION("""COMPUTED_VALUE"""),"Internado")</f>
        <v>Internado</v>
      </c>
      <c r="J3598" s="44" t="str">
        <f>IFERROR(__xludf.DUMMYFUNCTION("""COMPUTED_VALUE"""),"")</f>
        <v/>
      </c>
      <c r="K3598" s="42" t="str">
        <f>IFERROR(__xludf.DUMMYFUNCTION("""COMPUTED_VALUE"""),"🔍 BUSCAR PACIENTES")</f>
        <v>🔍 BUSCAR PACIENTES</v>
      </c>
    </row>
    <row r="3599">
      <c r="A3599" s="44">
        <v>3598.0</v>
      </c>
      <c r="B3599" s="44" t="str">
        <f>IFERROR(__xludf.DUMMYFUNCTION("""COMPUTED_VALUE"""),"Hospital Pérez Carreño")</f>
        <v>Hospital Pérez Carreño</v>
      </c>
      <c r="C3599" s="45" t="str">
        <f>IFERROR(__xludf.DUMMYFUNCTION("""COMPUTED_VALUE"""),"VERGARA ARANTZA")</f>
        <v>VERGARA ARANTZA</v>
      </c>
      <c r="D3599" s="44">
        <f>IFERROR(__xludf.DUMMYFUNCTION("""COMPUTED_VALUE"""),11.0)</f>
        <v>11</v>
      </c>
      <c r="E3599" s="44" t="str">
        <f>IFERROR(__xludf.DUMMYFUNCTION("""COMPUTED_VALUE"""),"")</f>
        <v/>
      </c>
      <c r="F3599" s="44" t="str">
        <f>IFERROR(__xludf.DUMMYFUNCTION("""COMPUTED_VALUE"""),"")</f>
        <v/>
      </c>
      <c r="G3599" s="44" t="str">
        <f>IFERROR(__xludf.DUMMYFUNCTION("""COMPUTED_VALUE""")," ")</f>
        <v> </v>
      </c>
      <c r="H3599" s="44" t="str">
        <f>IFERROR(__xludf.DUMMYFUNCTION("""COMPUTED_VALUE""")," ")</f>
        <v> </v>
      </c>
      <c r="I3599" s="44" t="str">
        <f>IFERROR(__xludf.DUMMYFUNCTION("""COMPUTED_VALUE"""),"Emerg. Pediátrica – La Guaira")</f>
        <v>Emerg. Pediátrica – La Guaira</v>
      </c>
      <c r="J3599" s="44" t="str">
        <f>IFERROR(__xludf.DUMMYFUNCTION("""COMPUTED_VALUE"""),"25/06/2026")</f>
        <v>25/06/2026</v>
      </c>
      <c r="K3599" s="42" t="str">
        <f>IFERROR(__xludf.DUMMYFUNCTION("""COMPUTED_VALUE"""),"Hospital Pérez Carreño")</f>
        <v>Hospital Pérez Carreño</v>
      </c>
    </row>
    <row r="3600">
      <c r="A3600" s="44">
        <v>3599.0</v>
      </c>
      <c r="B3600" s="44" t="str">
        <f>IFERROR(__xludf.DUMMYFUNCTION("""COMPUTED_VALUE"""),"Hospital Pérez Carreño")</f>
        <v>Hospital Pérez Carreño</v>
      </c>
      <c r="C3600" s="45" t="str">
        <f>IFERROR(__xludf.DUMMYFUNCTION("""COMPUTED_VALUE"""),"VERGARA BLANCA ARANZA")</f>
        <v>VERGARA BLANCA ARANZA</v>
      </c>
      <c r="D3600" s="44">
        <f>IFERROR(__xludf.DUMMYFUNCTION("""COMPUTED_VALUE"""),11.0)</f>
        <v>11</v>
      </c>
      <c r="E3600" s="44" t="str">
        <f>IFERROR(__xludf.DUMMYFUNCTION("""COMPUTED_VALUE"""),"")</f>
        <v/>
      </c>
      <c r="F3600" s="44" t="str">
        <f>IFERROR(__xludf.DUMMYFUNCTION("""COMPUTED_VALUE"""),"")</f>
        <v/>
      </c>
      <c r="G3600" s="44" t="str">
        <f>IFERROR(__xludf.DUMMYFUNCTION("""COMPUTED_VALUE""")," ")</f>
        <v> </v>
      </c>
      <c r="H3600" s="44" t="str">
        <f>IFERROR(__xludf.DUMMYFUNCTION("""COMPUTED_VALUE""")," ")</f>
        <v> </v>
      </c>
      <c r="I3600" s="44" t="str">
        <f>IFERROR(__xludf.DUMMYFUNCTION("""COMPUTED_VALUE"""),"Pediatría")</f>
        <v>Pediatría</v>
      </c>
      <c r="J3600" s="44" t="str">
        <f>IFERROR(__xludf.DUMMYFUNCTION("""COMPUTED_VALUE"""),"25/06/2026")</f>
        <v>25/06/2026</v>
      </c>
      <c r="K3600" s="42" t="str">
        <f>IFERROR(__xludf.DUMMYFUNCTION("""COMPUTED_VALUE"""),"Hospital Pérez Carreño")</f>
        <v>Hospital Pérez Carreño</v>
      </c>
    </row>
    <row r="3601">
      <c r="A3601" s="44">
        <v>3600.0</v>
      </c>
      <c r="B3601" s="44" t="str">
        <f>IFERROR(__xludf.DUMMYFUNCTION("""COMPUTED_VALUE"""),"La Guaira Sin Hospital")</f>
        <v>La Guaira Sin Hospital</v>
      </c>
      <c r="C3601" s="45" t="str">
        <f>IFERROR(__xludf.DUMMYFUNCTION("""COMPUTED_VALUE"""),"Vergara Blanco Arantza")</f>
        <v>Vergara Blanco Arantza</v>
      </c>
      <c r="D3601" s="44" t="str">
        <f>IFERROR(__xludf.DUMMYFUNCTION("""COMPUTED_VALUE"""),"")</f>
        <v/>
      </c>
      <c r="E3601" s="44" t="str">
        <f>IFERROR(__xludf.DUMMYFUNCTION("""COMPUTED_VALUE"""),"")</f>
        <v/>
      </c>
      <c r="F3601" s="44" t="str">
        <f>IFERROR(__xludf.DUMMYFUNCTION("""COMPUTED_VALUE"""),"")</f>
        <v/>
      </c>
      <c r="G3601" s="44" t="str">
        <f>IFERROR(__xludf.DUMMYFUNCTION("""COMPUTED_VALUE"""),"")</f>
        <v/>
      </c>
      <c r="H3601" s="44"/>
      <c r="I3601" s="44" t="str">
        <f>IFERROR(__xludf.DUMMYFUNCTION("""COMPUTED_VALUE"""),"Listas solo con nombre")</f>
        <v>Listas solo con nombre</v>
      </c>
      <c r="J3601" s="44" t="str">
        <f>IFERROR(__xludf.DUMMYFUNCTION("""COMPUTED_VALUE"""),"")</f>
        <v/>
      </c>
      <c r="K3601" s="42" t="str">
        <f>IFERROR(__xludf.DUMMYFUNCTION("""COMPUTED_VALUE"""),"La Guaira Sin Hospital")</f>
        <v>La Guaira Sin Hospital</v>
      </c>
    </row>
    <row r="3602">
      <c r="A3602" s="44">
        <v>3601.0</v>
      </c>
      <c r="B3602" s="44" t="str">
        <f>IFERROR(__xludf.DUMMYFUNCTION("""COMPUTED_VALUE"""),"Hospital Pérez Carreño")</f>
        <v>Hospital Pérez Carreño</v>
      </c>
      <c r="C3602" s="45" t="str">
        <f>IFERROR(__xludf.DUMMYFUNCTION("""COMPUTED_VALUE"""),"Vergara Blanco Brontzi")</f>
        <v>Vergara Blanco Brontzi</v>
      </c>
      <c r="D3602" s="44"/>
      <c r="E3602" s="44" t="str">
        <f>IFERROR(__xludf.DUMMYFUNCTION("""COMPUTED_VALUE"""),"")</f>
        <v/>
      </c>
      <c r="F3602" s="44" t="str">
        <f>IFERROR(__xludf.DUMMYFUNCTION("""COMPUTED_VALUE"""),"")</f>
        <v/>
      </c>
      <c r="G3602" s="44" t="str">
        <f>IFERROR(__xludf.DUMMYFUNCTION("""COMPUTED_VALUE"""),"Traslados")</f>
        <v>Traslados</v>
      </c>
      <c r="H3602" s="44" t="str">
        <f>IFERROR(__xludf.DUMMYFUNCTION("""COMPUTED_VALUE"""),"Hospital Miguel Perez Carreño")</f>
        <v>Hospital Miguel Perez Carreño</v>
      </c>
      <c r="I3602" s="44"/>
      <c r="J3602" s="44" t="str">
        <f>IFERROR(__xludf.DUMMYFUNCTION("""COMPUTED_VALUE"""),"26/6/26")</f>
        <v>26/6/26</v>
      </c>
      <c r="K3602" s="42" t="str">
        <f>IFERROR(__xludf.DUMMYFUNCTION("""COMPUTED_VALUE"""),"Hospital Pérez Carreño")</f>
        <v>Hospital Pérez Carreño</v>
      </c>
    </row>
    <row r="3603">
      <c r="A3603" s="44">
        <v>3602.0</v>
      </c>
      <c r="B3603" s="44" t="str">
        <f>IFERROR(__xludf.DUMMYFUNCTION("""COMPUTED_VALUE"""),"Centro de Acopio Caraballeda")</f>
        <v>Centro de Acopio Caraballeda</v>
      </c>
      <c r="C3603" s="45" t="str">
        <f>IFERROR(__xludf.DUMMYFUNCTION("""COMPUTED_VALUE"""),"VEROES JENNI")</f>
        <v>VEROES JENNI</v>
      </c>
      <c r="D3603" s="44" t="str">
        <f>IFERROR(__xludf.DUMMYFUNCTION("""COMPUTED_VALUE""")," ")</f>
        <v> </v>
      </c>
      <c r="E3603" s="44" t="str">
        <f>IFERROR(__xludf.DUMMYFUNCTION("""COMPUTED_VALUE"""),"")</f>
        <v/>
      </c>
      <c r="F3603" s="44" t="str">
        <f>IFERROR(__xludf.DUMMYFUNCTION("""COMPUTED_VALUE"""),"")</f>
        <v/>
      </c>
      <c r="G3603" s="44" t="str">
        <f>IFERROR(__xludf.DUMMYFUNCTION("""COMPUTED_VALUE""")," ")</f>
        <v> </v>
      </c>
      <c r="H3603" s="44" t="str">
        <f>IFERROR(__xludf.DUMMYFUNCTION("""COMPUTED_VALUE""")," ")</f>
        <v> </v>
      </c>
      <c r="I3603" s="44" t="str">
        <f>IFERROR(__xludf.DUMMYFUNCTION("""COMPUTED_VALUE"""),"Internado")</f>
        <v>Internado</v>
      </c>
      <c r="J3603" s="44" t="str">
        <f>IFERROR(__xludf.DUMMYFUNCTION("""COMPUTED_VALUE"""),"")</f>
        <v/>
      </c>
      <c r="K3603" s="42" t="str">
        <f>IFERROR(__xludf.DUMMYFUNCTION("""COMPUTED_VALUE"""),"🔍 BUSCAR PACIENTES")</f>
        <v>🔍 BUSCAR PACIENTES</v>
      </c>
    </row>
    <row r="3604">
      <c r="A3604" s="44">
        <v>3603.0</v>
      </c>
      <c r="B3604" s="44" t="str">
        <f>IFERROR(__xludf.DUMMYFUNCTION("""COMPUTED_VALUE"""),"HOSPITAL VARGAS")</f>
        <v>HOSPITAL VARGAS</v>
      </c>
      <c r="C3604" s="45" t="str">
        <f>IFERROR(__xludf.DUMMYFUNCTION("""COMPUTED_VALUE"""),"Verónica Uribe")</f>
        <v>Verónica Uribe</v>
      </c>
      <c r="D3604" s="44"/>
      <c r="E3604" s="44" t="str">
        <f>IFERROR(__xludf.DUMMYFUNCTION("""COMPUTED_VALUE"""),"")</f>
        <v/>
      </c>
      <c r="F3604" s="44" t="str">
        <f>IFERROR(__xludf.DUMMYFUNCTION("""COMPUTED_VALUE"""),"")</f>
        <v/>
      </c>
      <c r="G3604" s="44" t="str">
        <f>IFERROR(__xludf.DUMMYFUNCTION("""COMPUTED_VALUE"""),"")</f>
        <v/>
      </c>
      <c r="H3604" s="44" t="str">
        <f>IFERROR(__xludf.DUMMYFUNCTION("""COMPUTED_VALUE"""),"")</f>
        <v/>
      </c>
      <c r="I3604" s="44" t="str">
        <f>IFERROR(__xludf.DUMMYFUNCTION("""COMPUTED_VALUE"""),"Herido / atendido")</f>
        <v>Herido / atendido</v>
      </c>
      <c r="J3604" s="44" t="str">
        <f>IFERROR(__xludf.DUMMYFUNCTION("""COMPUTED_VALUE"""),"24.06.2026 ")</f>
        <v>24.06.2026 </v>
      </c>
      <c r="K3604" s="42" t="str">
        <f>IFERROR(__xludf.DUMMYFUNCTION("""COMPUTED_VALUE"""),"HOSPITAL VARGAS")</f>
        <v>HOSPITAL VARGAS</v>
      </c>
    </row>
    <row r="3605">
      <c r="A3605" s="44">
        <v>3604.0</v>
      </c>
      <c r="B3605" s="44" t="str">
        <f>IFERROR(__xludf.DUMMYFUNCTION("""COMPUTED_VALUE"""),"H. Jose Maria Vargas LG")</f>
        <v>H. Jose Maria Vargas LG</v>
      </c>
      <c r="C3605" s="45" t="str">
        <f>IFERROR(__xludf.DUMMYFUNCTION("""COMPUTED_VALUE"""),"VICMAR LUALZA")</f>
        <v>VICMAR LUALZA</v>
      </c>
      <c r="D3605" s="44" t="str">
        <f>IFERROR(__xludf.DUMMYFUNCTION("""COMPUTED_VALUE""")," ")</f>
        <v> </v>
      </c>
      <c r="E3605" s="44" t="str">
        <f>IFERROR(__xludf.DUMMYFUNCTION("""COMPUTED_VALUE"""),"")</f>
        <v/>
      </c>
      <c r="F3605" s="44" t="str">
        <f>IFERROR(__xludf.DUMMYFUNCTION("""COMPUTED_VALUE"""),"")</f>
        <v/>
      </c>
      <c r="G3605" s="44" t="str">
        <f>IFERROR(__xludf.DUMMYFUNCTION("""COMPUTED_VALUE""")," ")</f>
        <v> </v>
      </c>
      <c r="H3605" s="44" t="str">
        <f>IFERROR(__xludf.DUMMYFUNCTION("""COMPUTED_VALUE""")," ")</f>
        <v> </v>
      </c>
      <c r="I3605" s="44" t="str">
        <f>IFERROR(__xludf.DUMMYFUNCTION("""COMPUTED_VALUE""")," ")</f>
        <v> </v>
      </c>
      <c r="J3605" s="44" t="str">
        <f>IFERROR(__xludf.DUMMYFUNCTION("""COMPUTED_VALUE"""),"")</f>
        <v/>
      </c>
      <c r="K3605" s="42" t="str">
        <f>IFERROR(__xludf.DUMMYFUNCTION("""COMPUTED_VALUE"""),"H. Jose Maria Vargas LG")</f>
        <v>H. Jose Maria Vargas LG</v>
      </c>
    </row>
    <row r="3606">
      <c r="A3606" s="44">
        <v>3605.0</v>
      </c>
      <c r="B3606" s="44" t="str">
        <f>IFERROR(__xludf.DUMMYFUNCTION("""COMPUTED_VALUE"""),"Campo de Golf Playa los Cocos")</f>
        <v>Campo de Golf Playa los Cocos</v>
      </c>
      <c r="C3606" s="45" t="str">
        <f>IFERROR(__xludf.DUMMYFUNCTION("""COMPUTED_VALUE"""),"Victor Ruiz")</f>
        <v>Victor Ruiz</v>
      </c>
      <c r="D3606" s="44" t="str">
        <f>IFERROR(__xludf.DUMMYFUNCTION("""COMPUTED_VALUE"""),"")</f>
        <v/>
      </c>
      <c r="E3606" s="44" t="str">
        <f>IFERROR(__xludf.DUMMYFUNCTION("""COMPUTED_VALUE"""),"")</f>
        <v/>
      </c>
      <c r="F3606" s="44" t="str">
        <f>IFERROR(__xludf.DUMMYFUNCTION("""COMPUTED_VALUE"""),"")</f>
        <v/>
      </c>
      <c r="G3606" s="44" t="str">
        <f>IFERROR(__xludf.DUMMYFUNCTION("""COMPUTED_VALUE"""),"")</f>
        <v/>
      </c>
      <c r="H3606" s="44" t="str">
        <f>IFERROR(__xludf.DUMMYFUNCTION("""COMPUTED_VALUE"""),"")</f>
        <v/>
      </c>
      <c r="I3606" s="44"/>
      <c r="J3606" s="44" t="str">
        <f>IFERROR(__xludf.DUMMYFUNCTION("""COMPUTED_VALUE"""),"")</f>
        <v/>
      </c>
      <c r="K3606" s="42" t="str">
        <f>IFERROR(__xludf.DUMMYFUNCTION("""COMPUTED_VALUE"""),"Campo de Golf Playa los Cocos")</f>
        <v>Campo de Golf Playa los Cocos</v>
      </c>
    </row>
    <row r="3607">
      <c r="A3607" s="44">
        <v>3606.0</v>
      </c>
      <c r="B3607" s="44" t="str">
        <f>IFERROR(__xludf.DUMMYFUNCTION("""COMPUTED_VALUE"""),"Hospital Pérez Carreño")</f>
        <v>Hospital Pérez Carreño</v>
      </c>
      <c r="C3607" s="45" t="str">
        <f>IFERROR(__xludf.DUMMYFUNCTION("""COMPUTED_VALUE"""),"Victor Torrealba")</f>
        <v>Victor Torrealba</v>
      </c>
      <c r="D3607" s="44"/>
      <c r="E3607" s="44" t="str">
        <f>IFERROR(__xludf.DUMMYFUNCTION("""COMPUTED_VALUE"""),"")</f>
        <v/>
      </c>
      <c r="F3607" s="44" t="str">
        <f>IFERROR(__xludf.DUMMYFUNCTION("""COMPUTED_VALUE"""),"")</f>
        <v/>
      </c>
      <c r="G3607" s="44" t="str">
        <f>IFERROR(__xludf.DUMMYFUNCTION("""COMPUTED_VALUE"""),"Pediatria")</f>
        <v>Pediatria</v>
      </c>
      <c r="H3607" s="44" t="str">
        <f>IFERROR(__xludf.DUMMYFUNCTION("""COMPUTED_VALUE"""),"Hospital Miguel Perez Carreño")</f>
        <v>Hospital Miguel Perez Carreño</v>
      </c>
      <c r="I3607" s="44"/>
      <c r="J3607" s="44" t="str">
        <f>IFERROR(__xludf.DUMMYFUNCTION("""COMPUTED_VALUE"""),"26/6/26")</f>
        <v>26/6/26</v>
      </c>
      <c r="K3607" s="42" t="str">
        <f>IFERROR(__xludf.DUMMYFUNCTION("""COMPUTED_VALUE"""),"Hospital Pérez Carreño")</f>
        <v>Hospital Pérez Carreño</v>
      </c>
    </row>
    <row r="3608">
      <c r="A3608" s="44">
        <v>3607.0</v>
      </c>
      <c r="B3608" s="44" t="str">
        <f>IFERROR(__xludf.DUMMYFUNCTION("""COMPUTED_VALUE"""),"Hospital Domingo Luciani")</f>
        <v>Hospital Domingo Luciani</v>
      </c>
      <c r="C3608" s="45" t="str">
        <f>IFERROR(__xludf.DUMMYFUNCTION("""COMPUTED_VALUE"""),"Victoria Caridad")</f>
        <v>Victoria Caridad</v>
      </c>
      <c r="D3608" s="44">
        <f>IFERROR(__xludf.DUMMYFUNCTION("""COMPUTED_VALUE"""),29.0)</f>
        <v>29</v>
      </c>
      <c r="E3608" s="44" t="str">
        <f>IFERROR(__xludf.DUMMYFUNCTION("""COMPUTED_VALUE"""),"")</f>
        <v/>
      </c>
      <c r="F3608" s="44" t="str">
        <f>IFERROR(__xludf.DUMMYFUNCTION("""COMPUTED_VALUE"""),"")</f>
        <v/>
      </c>
      <c r="G3608" s="44"/>
      <c r="H3608" s="44"/>
      <c r="I3608" s="44"/>
      <c r="J3608" s="44" t="str">
        <f>IFERROR(__xludf.DUMMYFUNCTION("""COMPUTED_VALUE"""),"")</f>
        <v/>
      </c>
      <c r="K3608" s="42" t="str">
        <f>IFERROR(__xludf.DUMMYFUNCTION("""COMPUTED_VALUE"""),"Hospital Domingo Luciani")</f>
        <v>Hospital Domingo Luciani</v>
      </c>
    </row>
    <row r="3609">
      <c r="A3609" s="44">
        <v>3608.0</v>
      </c>
      <c r="B3609" s="44" t="str">
        <f>IFERROR(__xludf.DUMMYFUNCTION("""COMPUTED_VALUE"""),"Periférico de Catia")</f>
        <v>Periférico de Catia</v>
      </c>
      <c r="C3609" s="45" t="str">
        <f>IFERROR(__xludf.DUMMYFUNCTION("""COMPUTED_VALUE"""),"Victoria Castillo")</f>
        <v>Victoria Castillo</v>
      </c>
      <c r="D3609" s="44">
        <f>IFERROR(__xludf.DUMMYFUNCTION("""COMPUTED_VALUE"""),10.0)</f>
        <v>10</v>
      </c>
      <c r="E3609" s="44" t="str">
        <f>IFERROR(__xludf.DUMMYFUNCTION("""COMPUTED_VALUE"""),"")</f>
        <v/>
      </c>
      <c r="F3609" s="44" t="str">
        <f>IFERROR(__xludf.DUMMYFUNCTION("""COMPUTED_VALUE"""),"")</f>
        <v/>
      </c>
      <c r="G3609" s="44"/>
      <c r="H3609" s="44" t="str">
        <f>IFERROR(__xludf.DUMMYFUNCTION("""COMPUTED_VALUE"""),"La Guaira")</f>
        <v>La Guaira</v>
      </c>
      <c r="I3609" s="44" t="str">
        <f>IFERROR(__xludf.DUMMYFUNCTION("""COMPUTED_VALUE"""),"Pediatria. Todos procedentes de La Guaira segun nota del 26/06 7:00am")</f>
        <v>Pediatria. Todos procedentes de La Guaira segun nota del 26/06 7:00am</v>
      </c>
      <c r="J3609" s="44" t="str">
        <f>IFERROR(__xludf.DUMMYFUNCTION("""COMPUTED_VALUE"""),"")</f>
        <v/>
      </c>
      <c r="K3609" s="42" t="str">
        <f>IFERROR(__xludf.DUMMYFUNCTION("""COMPUTED_VALUE"""),"Periférico de Catia")</f>
        <v>Periférico de Catia</v>
      </c>
    </row>
    <row r="3610">
      <c r="A3610" s="44">
        <v>3609.0</v>
      </c>
      <c r="B3610" s="44" t="str">
        <f>IFERROR(__xludf.DUMMYFUNCTION("""COMPUTED_VALUE"""),"Hospital Pérez Carreño")</f>
        <v>Hospital Pérez Carreño</v>
      </c>
      <c r="C3610" s="45" t="str">
        <f>IFERROR(__xludf.DUMMYFUNCTION("""COMPUTED_VALUE"""),"Victoria Miranda")</f>
        <v>Victoria Miranda</v>
      </c>
      <c r="D3610" s="44"/>
      <c r="E3610" s="44" t="str">
        <f>IFERROR(__xludf.DUMMYFUNCTION("""COMPUTED_VALUE"""),"")</f>
        <v/>
      </c>
      <c r="F3610" s="44" t="str">
        <f>IFERROR(__xludf.DUMMYFUNCTION("""COMPUTED_VALUE"""),"")</f>
        <v/>
      </c>
      <c r="G3610" s="44" t="str">
        <f>IFERROR(__xludf.DUMMYFUNCTION("""COMPUTED_VALUE"""),"Traumashock ")</f>
        <v>Traumashock </v>
      </c>
      <c r="H3610" s="44" t="str">
        <f>IFERROR(__xludf.DUMMYFUNCTION("""COMPUTED_VALUE"""),"Hospital Miguel Perez Carreño")</f>
        <v>Hospital Miguel Perez Carreño</v>
      </c>
      <c r="I3610" s="44"/>
      <c r="J3610" s="44" t="str">
        <f>IFERROR(__xludf.DUMMYFUNCTION("""COMPUTED_VALUE"""),"26/6/26")</f>
        <v>26/6/26</v>
      </c>
      <c r="K3610" s="42" t="str">
        <f>IFERROR(__xludf.DUMMYFUNCTION("""COMPUTED_VALUE"""),"Hospital Pérez Carreño")</f>
        <v>Hospital Pérez Carreño</v>
      </c>
    </row>
    <row r="3611">
      <c r="A3611" s="44">
        <v>3610.0</v>
      </c>
      <c r="B3611" s="44" t="str">
        <f>IFERROR(__xludf.DUMMYFUNCTION("""COMPUTED_VALUE"""),"Seguro Social La Guaira")</f>
        <v>Seguro Social La Guaira</v>
      </c>
      <c r="C3611" s="45" t="str">
        <f>IFERROR(__xludf.DUMMYFUNCTION("""COMPUTED_VALUE"""),"VICTORIA PEREZ")</f>
        <v>VICTORIA PEREZ</v>
      </c>
      <c r="D3611" s="44">
        <f>IFERROR(__xludf.DUMMYFUNCTION("""COMPUTED_VALUE"""),11.0)</f>
        <v>11</v>
      </c>
      <c r="E3611" s="44" t="str">
        <f>IFERROR(__xludf.DUMMYFUNCTION("""COMPUTED_VALUE"""),"")</f>
        <v/>
      </c>
      <c r="F3611" s="44" t="str">
        <f>IFERROR(__xludf.DUMMYFUNCTION("""COMPUTED_VALUE"""),"")</f>
        <v/>
      </c>
      <c r="G3611" s="44" t="str">
        <f>IFERROR(__xludf.DUMMYFUNCTION("""COMPUTED_VALUE""")," ")</f>
        <v> </v>
      </c>
      <c r="H3611" s="44" t="str">
        <f>IFERROR(__xludf.DUMMYFUNCTION("""COMPUTED_VALUE"""),"Caribe")</f>
        <v>Caribe</v>
      </c>
      <c r="I3611" s="44" t="str">
        <f>IFERROR(__xludf.DUMMYFUNCTION("""COMPUTED_VALUE""")," ")</f>
        <v> </v>
      </c>
      <c r="J3611" s="44" t="str">
        <f>IFERROR(__xludf.DUMMYFUNCTION("""COMPUTED_VALUE"""),"")</f>
        <v/>
      </c>
      <c r="K3611" s="42" t="str">
        <f>IFERROR(__xludf.DUMMYFUNCTION("""COMPUTED_VALUE"""),"Seguro Social La Guaira")</f>
        <v>Seguro Social La Guaira</v>
      </c>
    </row>
    <row r="3612">
      <c r="A3612" s="44">
        <v>3611.0</v>
      </c>
      <c r="B3612" s="44" t="str">
        <f>IFERROR(__xludf.DUMMYFUNCTION("""COMPUTED_VALUE"""),"H. Jose Maria Vargas LG")</f>
        <v>H. Jose Maria Vargas LG</v>
      </c>
      <c r="C3612" s="45" t="str">
        <f>IFERROR(__xludf.DUMMYFUNCTION("""COMPUTED_VALUE"""),"VIEDRA MARIA")</f>
        <v>VIEDRA MARIA</v>
      </c>
      <c r="D3612" s="44">
        <f>IFERROR(__xludf.DUMMYFUNCTION("""COMPUTED_VALUE"""),84.0)</f>
        <v>84</v>
      </c>
      <c r="E3612" s="44" t="str">
        <f>IFERROR(__xludf.DUMMYFUNCTION("""COMPUTED_VALUE"""),"")</f>
        <v/>
      </c>
      <c r="F3612" s="44" t="str">
        <f>IFERROR(__xludf.DUMMYFUNCTION("""COMPUTED_VALUE"""),"")</f>
        <v/>
      </c>
      <c r="G3612" s="44" t="str">
        <f>IFERROR(__xludf.DUMMYFUNCTION("""COMPUTED_VALUE""")," ")</f>
        <v> </v>
      </c>
      <c r="H3612" s="44" t="str">
        <f>IFERROR(__xludf.DUMMYFUNCTION("""COMPUTED_VALUE"""),"Los Corales")</f>
        <v>Los Corales</v>
      </c>
      <c r="I3612" s="44" t="str">
        <f>IFERROR(__xludf.DUMMYFUNCTION("""COMPUTED_VALUE""")," ")</f>
        <v> </v>
      </c>
      <c r="J3612" s="44" t="str">
        <f>IFERROR(__xludf.DUMMYFUNCTION("""COMPUTED_VALUE"""),"")</f>
        <v/>
      </c>
      <c r="K3612" s="42" t="str">
        <f>IFERROR(__xludf.DUMMYFUNCTION("""COMPUTED_VALUE"""),"H. Jose Maria Vargas LG")</f>
        <v>H. Jose Maria Vargas LG</v>
      </c>
    </row>
    <row r="3613">
      <c r="A3613" s="44">
        <v>3612.0</v>
      </c>
      <c r="B3613" s="44" t="str">
        <f>IFERROR(__xludf.DUMMYFUNCTION("""COMPUTED_VALUE"""),"Hospital Pérez Carreño")</f>
        <v>Hospital Pérez Carreño</v>
      </c>
      <c r="C3613" s="45" t="str">
        <f>IFERROR(__xludf.DUMMYFUNCTION("""COMPUTED_VALUE"""),"VIELMA MARIA")</f>
        <v>VIELMA MARIA</v>
      </c>
      <c r="D3613" s="44" t="str">
        <f>IFERROR(__xludf.DUMMYFUNCTION("""COMPUTED_VALUE""")," ")</f>
        <v> </v>
      </c>
      <c r="E3613" s="44" t="str">
        <f>IFERROR(__xludf.DUMMYFUNCTION("""COMPUTED_VALUE"""),"")</f>
        <v/>
      </c>
      <c r="F3613" s="44" t="str">
        <f>IFERROR(__xludf.DUMMYFUNCTION("""COMPUTED_VALUE"""),"")</f>
        <v/>
      </c>
      <c r="G3613" s="44" t="str">
        <f>IFERROR(__xludf.DUMMYFUNCTION("""COMPUTED_VALUE""")," ")</f>
        <v> </v>
      </c>
      <c r="H3613" s="44" t="str">
        <f>IFERROR(__xludf.DUMMYFUNCTION("""COMPUTED_VALUE""")," ")</f>
        <v> </v>
      </c>
      <c r="I3613" s="44" t="str">
        <f>IFERROR(__xludf.DUMMYFUNCTION("""COMPUTED_VALUE"""),"Internado")</f>
        <v>Internado</v>
      </c>
      <c r="J3613" s="44" t="str">
        <f>IFERROR(__xludf.DUMMYFUNCTION("""COMPUTED_VALUE"""),"")</f>
        <v/>
      </c>
      <c r="K3613" s="42" t="str">
        <f>IFERROR(__xludf.DUMMYFUNCTION("""COMPUTED_VALUE"""),"🔍 BUSCAR PACIENTES")</f>
        <v>🔍 BUSCAR PACIENTES</v>
      </c>
    </row>
    <row r="3614">
      <c r="A3614" s="44">
        <v>3613.0</v>
      </c>
      <c r="B3614" s="44" t="str">
        <f>IFERROR(__xludf.DUMMYFUNCTION("""COMPUTED_VALUE"""),"Hospital Vargas de Caracas")</f>
        <v>Hospital Vargas de Caracas</v>
      </c>
      <c r="C3614" s="45" t="str">
        <f>IFERROR(__xludf.DUMMYFUNCTION("""COMPUTED_VALUE"""),"VIELMA MARIA / VPELMA MARIA")</f>
        <v>VIELMA MARIA / VPELMA MARIA</v>
      </c>
      <c r="D3614" s="44" t="str">
        <f>IFERROR(__xludf.DUMMYFUNCTION("""COMPUTED_VALUE""")," ")</f>
        <v> </v>
      </c>
      <c r="E3614" s="44" t="str">
        <f>IFERROR(__xludf.DUMMYFUNCTION("""COMPUTED_VALUE"""),"")</f>
        <v/>
      </c>
      <c r="F3614" s="44" t="str">
        <f>IFERROR(__xludf.DUMMYFUNCTION("""COMPUTED_VALUE""")," ")</f>
        <v> </v>
      </c>
      <c r="G3614" s="44" t="str">
        <f>IFERROR(__xludf.DUMMYFUNCTION("""COMPUTED_VALUE"""),"")</f>
        <v/>
      </c>
      <c r="H3614" s="44" t="str">
        <f>IFERROR(__xludf.DUMMYFUNCTION("""COMPUTED_VALUE""")," ")</f>
        <v> </v>
      </c>
      <c r="I3614" s="44" t="str">
        <f>IFERROR(__xludf.DUMMYFUNCTION("""COMPUTED_VALUE""")," ")</f>
        <v> </v>
      </c>
      <c r="J3614" s="44" t="str">
        <f>IFERROR(__xludf.DUMMYFUNCTION("""COMPUTED_VALUE"""),"")</f>
        <v/>
      </c>
      <c r="K3614" s="42" t="str">
        <f>IFERROR(__xludf.DUMMYFUNCTION("""COMPUTED_VALUE"""),"Hospital Vargas de Caracas")</f>
        <v>Hospital Vargas de Caracas</v>
      </c>
    </row>
    <row r="3615">
      <c r="A3615" s="44">
        <v>3614.0</v>
      </c>
      <c r="B3615" s="44" t="str">
        <f>IFERROR(__xludf.DUMMYFUNCTION("""COMPUTED_VALUE"""),"Hospital Domingo Luciani")</f>
        <v>Hospital Domingo Luciani</v>
      </c>
      <c r="C3615" s="45" t="str">
        <f>IFERROR(__xludf.DUMMYFUNCTION("""COMPUTED_VALUE"""),"VILCHEZ BRAYAN")</f>
        <v>VILCHEZ BRAYAN</v>
      </c>
      <c r="D3615" s="44">
        <f>IFERROR(__xludf.DUMMYFUNCTION("""COMPUTED_VALUE"""),23.0)</f>
        <v>23</v>
      </c>
      <c r="E3615" s="44" t="str">
        <f>IFERROR(__xludf.DUMMYFUNCTION("""COMPUTED_VALUE"""),"")</f>
        <v/>
      </c>
      <c r="F3615" s="44" t="str">
        <f>IFERROR(__xludf.DUMMYFUNCTION("""COMPUTED_VALUE"""),"")</f>
        <v/>
      </c>
      <c r="G3615" s="44" t="str">
        <f>IFERROR(__xludf.DUMMYFUNCTION("""COMPUTED_VALUE""")," ")</f>
        <v> </v>
      </c>
      <c r="H3615" s="44" t="str">
        <f>IFERROR(__xludf.DUMMYFUNCTION("""COMPUTED_VALUE"""),"PETARE")</f>
        <v>PETARE</v>
      </c>
      <c r="I3615" s="44" t="str">
        <f>IFERROR(__xludf.DUMMYFUNCTION("""COMPUTED_VALUE""")," ")</f>
        <v> </v>
      </c>
      <c r="J3615" s="44" t="str">
        <f>IFERROR(__xludf.DUMMYFUNCTION("""COMPUTED_VALUE"""),"")</f>
        <v/>
      </c>
      <c r="K3615" s="42" t="str">
        <f>IFERROR(__xludf.DUMMYFUNCTION("""COMPUTED_VALUE"""),"🔍 BUSCAR PACIENTES")</f>
        <v>🔍 BUSCAR PACIENTES</v>
      </c>
    </row>
    <row r="3616">
      <c r="A3616" s="44">
        <v>3615.0</v>
      </c>
      <c r="B3616" s="44" t="str">
        <f>IFERROR(__xludf.DUMMYFUNCTION("""COMPUTED_VALUE"""),"H. Jose Maria Vargas LG")</f>
        <v>H. Jose Maria Vargas LG</v>
      </c>
      <c r="C3616" s="45" t="str">
        <f>IFERROR(__xludf.DUMMYFUNCTION("""COMPUTED_VALUE"""),"VILLAFANDA YOHAN")</f>
        <v>VILLAFANDA YOHAN</v>
      </c>
      <c r="D3616" s="44" t="str">
        <f>IFERROR(__xludf.DUMMYFUNCTION("""COMPUTED_VALUE""")," ")</f>
        <v> </v>
      </c>
      <c r="E3616" s="44" t="str">
        <f>IFERROR(__xludf.DUMMYFUNCTION("""COMPUTED_VALUE"""),"")</f>
        <v/>
      </c>
      <c r="F3616" s="44" t="str">
        <f>IFERROR(__xludf.DUMMYFUNCTION("""COMPUTED_VALUE"""),"")</f>
        <v/>
      </c>
      <c r="G3616" s="44" t="str">
        <f>IFERROR(__xludf.DUMMYFUNCTION("""COMPUTED_VALUE""")," ")</f>
        <v> </v>
      </c>
      <c r="H3616" s="44" t="str">
        <f>IFERROR(__xludf.DUMMYFUNCTION("""COMPUTED_VALUE"""),"Macuto")</f>
        <v>Macuto</v>
      </c>
      <c r="I3616" s="44" t="str">
        <f>IFERROR(__xludf.DUMMYFUNCTION("""COMPUTED_VALUE""")," ")</f>
        <v> </v>
      </c>
      <c r="J3616" s="44" t="str">
        <f>IFERROR(__xludf.DUMMYFUNCTION("""COMPUTED_VALUE"""),"")</f>
        <v/>
      </c>
      <c r="K3616" s="42" t="str">
        <f>IFERROR(__xludf.DUMMYFUNCTION("""COMPUTED_VALUE"""),"H. Jose Maria Vargas LG")</f>
        <v>H. Jose Maria Vargas LG</v>
      </c>
    </row>
    <row r="3617">
      <c r="A3617" s="44">
        <v>3616.0</v>
      </c>
      <c r="B3617" s="44" t="str">
        <f>IFERROR(__xludf.DUMMYFUNCTION("""COMPUTED_VALUE"""),"Hospital Pérez Carreño")</f>
        <v>Hospital Pérez Carreño</v>
      </c>
      <c r="C3617" s="45" t="str">
        <f>IFERROR(__xludf.DUMMYFUNCTION("""COMPUTED_VALUE"""),"Villahermosa Del Fino Yoliabeth")</f>
        <v>Villahermosa Del Fino Yoliabeth</v>
      </c>
      <c r="D3617" s="44"/>
      <c r="E3617" s="44" t="str">
        <f>IFERROR(__xludf.DUMMYFUNCTION("""COMPUTED_VALUE"""),"")</f>
        <v/>
      </c>
      <c r="F3617" s="44" t="str">
        <f>IFERROR(__xludf.DUMMYFUNCTION("""COMPUTED_VALUE"""),"")</f>
        <v/>
      </c>
      <c r="G3617" s="44" t="str">
        <f>IFERROR(__xludf.DUMMYFUNCTION("""COMPUTED_VALUE"""),"Traslados")</f>
        <v>Traslados</v>
      </c>
      <c r="H3617" s="44" t="str">
        <f>IFERROR(__xludf.DUMMYFUNCTION("""COMPUTED_VALUE"""),"Hospital Miguel Perez Carreño")</f>
        <v>Hospital Miguel Perez Carreño</v>
      </c>
      <c r="I3617" s="44"/>
      <c r="J3617" s="44" t="str">
        <f>IFERROR(__xludf.DUMMYFUNCTION("""COMPUTED_VALUE"""),"26/6/26")</f>
        <v>26/6/26</v>
      </c>
      <c r="K3617" s="42" t="str">
        <f>IFERROR(__xludf.DUMMYFUNCTION("""COMPUTED_VALUE"""),"Hospital Pérez Carreño")</f>
        <v>Hospital Pérez Carreño</v>
      </c>
    </row>
    <row r="3618">
      <c r="A3618" s="44">
        <v>3617.0</v>
      </c>
      <c r="B3618" s="44" t="str">
        <f>IFERROR(__xludf.DUMMYFUNCTION("""COMPUTED_VALUE"""),"Hospital Pérez Carreño")</f>
        <v>Hospital Pérez Carreño</v>
      </c>
      <c r="C3618" s="45" t="str">
        <f>IFERROR(__xludf.DUMMYFUNCTION("""COMPUTED_VALUE"""),"VILLAHERMOSA DELFINO YOHALBES JOSE")</f>
        <v>VILLAHERMOSA DELFINO YOHALBES JOSE</v>
      </c>
      <c r="D3618" s="44" t="str">
        <f>IFERROR(__xludf.DUMMYFUNCTION("""COMPUTED_VALUE""")," ")</f>
        <v> </v>
      </c>
      <c r="E3618" s="44" t="str">
        <f>IFERROR(__xludf.DUMMYFUNCTION("""COMPUTED_VALUE"""),"")</f>
        <v/>
      </c>
      <c r="F3618" s="44" t="str">
        <f>IFERROR(__xludf.DUMMYFUNCTION("""COMPUTED_VALUE"""),"")</f>
        <v/>
      </c>
      <c r="G3618" s="44" t="str">
        <f>IFERROR(__xludf.DUMMYFUNCTION("""COMPUTED_VALUE""")," ")</f>
        <v> </v>
      </c>
      <c r="H3618" s="44" t="str">
        <f>IFERROR(__xludf.DUMMYFUNCTION("""COMPUTED_VALUE""")," ")</f>
        <v> </v>
      </c>
      <c r="I3618" s="44" t="str">
        <f>IFERROR(__xludf.DUMMYFUNCTION("""COMPUTED_VALUE"""),"Internado")</f>
        <v>Internado</v>
      </c>
      <c r="J3618" s="44" t="str">
        <f>IFERROR(__xludf.DUMMYFUNCTION("""COMPUTED_VALUE"""),"")</f>
        <v/>
      </c>
      <c r="K3618" s="42" t="str">
        <f>IFERROR(__xludf.DUMMYFUNCTION("""COMPUTED_VALUE"""),"🔍 BUSCAR PACIENTES")</f>
        <v>🔍 BUSCAR PACIENTES</v>
      </c>
    </row>
    <row r="3619">
      <c r="A3619" s="44">
        <v>3618.0</v>
      </c>
      <c r="B3619" s="44" t="str">
        <f>IFERROR(__xludf.DUMMYFUNCTION("""COMPUTED_VALUE"""),"Hospital Pérez Carreño")</f>
        <v>Hospital Pérez Carreño</v>
      </c>
      <c r="C3619" s="45" t="str">
        <f>IFERROR(__xludf.DUMMYFUNCTION("""COMPUTED_VALUE"""),"VILLALBA AARON")</f>
        <v>VILLALBA AARON</v>
      </c>
      <c r="D3619" s="44">
        <f>IFERROR(__xludf.DUMMYFUNCTION("""COMPUTED_VALUE"""),8.0)</f>
        <v>8</v>
      </c>
      <c r="E3619" s="44" t="str">
        <f>IFERROR(__xludf.DUMMYFUNCTION("""COMPUTED_VALUE"""),"")</f>
        <v/>
      </c>
      <c r="F3619" s="44" t="str">
        <f>IFERROR(__xludf.DUMMYFUNCTION("""COMPUTED_VALUE"""),"")</f>
        <v/>
      </c>
      <c r="G3619" s="44" t="str">
        <f>IFERROR(__xludf.DUMMYFUNCTION("""COMPUTED_VALUE""")," ")</f>
        <v> </v>
      </c>
      <c r="H3619" s="44" t="str">
        <f>IFERROR(__xludf.DUMMYFUNCTION("""COMPUTED_VALUE""")," ")</f>
        <v> </v>
      </c>
      <c r="I3619" s="44" t="str">
        <f>IFERROR(__xludf.DUMMYFUNCTION("""COMPUTED_VALUE"""),"SIN FAMILIAR – Pediátrico")</f>
        <v>SIN FAMILIAR – Pediátrico</v>
      </c>
      <c r="J3619" s="44" t="str">
        <f>IFERROR(__xludf.DUMMYFUNCTION("""COMPUTED_VALUE"""),"25/06/2026")</f>
        <v>25/06/2026</v>
      </c>
      <c r="K3619" s="42" t="str">
        <f>IFERROR(__xludf.DUMMYFUNCTION("""COMPUTED_VALUE"""),"Hospital Pérez Carreño")</f>
        <v>Hospital Pérez Carreño</v>
      </c>
    </row>
    <row r="3620">
      <c r="A3620" s="44">
        <v>3619.0</v>
      </c>
      <c r="B3620" s="44" t="str">
        <f>IFERROR(__xludf.DUMMYFUNCTION("""COMPUTED_VALUE"""),"Hospital Domingo Luciani")</f>
        <v>Hospital Domingo Luciani</v>
      </c>
      <c r="C3620" s="45" t="str">
        <f>IFERROR(__xludf.DUMMYFUNCTION("""COMPUTED_VALUE"""),"VILLAMAR ARES")</f>
        <v>VILLAMAR ARES</v>
      </c>
      <c r="D3620" s="44">
        <f>IFERROR(__xludf.DUMMYFUNCTION("""COMPUTED_VALUE"""),23.0)</f>
        <v>23</v>
      </c>
      <c r="E3620" s="44" t="str">
        <f>IFERROR(__xludf.DUMMYFUNCTION("""COMPUTED_VALUE"""),"")</f>
        <v/>
      </c>
      <c r="F3620" s="44" t="str">
        <f>IFERROR(__xludf.DUMMYFUNCTION("""COMPUTED_VALUE"""),"")</f>
        <v/>
      </c>
      <c r="G3620" s="44" t="str">
        <f>IFERROR(__xludf.DUMMYFUNCTION("""COMPUTED_VALUE""")," ")</f>
        <v> </v>
      </c>
      <c r="H3620" s="44" t="str">
        <f>IFERROR(__xludf.DUMMYFUNCTION("""COMPUTED_VALUE""")," ")</f>
        <v> </v>
      </c>
      <c r="I3620" s="44" t="str">
        <f>IFERROR(__xludf.DUMMYFUNCTION("""COMPUTED_VALUE"""),"La Guaira – Ingresos 9am")</f>
        <v>La Guaira – Ingresos 9am</v>
      </c>
      <c r="J3620" s="44" t="str">
        <f>IFERROR(__xludf.DUMMYFUNCTION("""COMPUTED_VALUE"""),"")</f>
        <v/>
      </c>
      <c r="K3620" s="42" t="str">
        <f>IFERROR(__xludf.DUMMYFUNCTION("""COMPUTED_VALUE"""),"🔍 BUSCAR PACIENTES")</f>
        <v>🔍 BUSCAR PACIENTES</v>
      </c>
    </row>
    <row r="3621">
      <c r="A3621" s="44">
        <v>3620.0</v>
      </c>
      <c r="B3621" s="44" t="str">
        <f>IFERROR(__xludf.DUMMYFUNCTION("""COMPUTED_VALUE"""),"Periférico de Catia")</f>
        <v>Periférico de Catia</v>
      </c>
      <c r="C3621" s="45" t="str">
        <f>IFERROR(__xludf.DUMMYFUNCTION("""COMPUTED_VALUE"""),"VILLAMIZAR ABOALY / VILLAMIZAR ABDALY")</f>
        <v>VILLAMIZAR ABOALY / VILLAMIZAR ABDALY</v>
      </c>
      <c r="D3621" s="44">
        <f>IFERROR(__xludf.DUMMYFUNCTION("""COMPUTED_VALUE"""),48.0)</f>
        <v>48</v>
      </c>
      <c r="E3621" s="44" t="str">
        <f>IFERROR(__xludf.DUMMYFUNCTION("""COMPUTED_VALUE"""),"")</f>
        <v/>
      </c>
      <c r="F3621" s="44" t="str">
        <f>IFERROR(__xludf.DUMMYFUNCTION("""COMPUTED_VALUE"""),"")</f>
        <v/>
      </c>
      <c r="G3621" s="44" t="str">
        <f>IFERROR(__xludf.DUMMYFUNCTION("""COMPUTED_VALUE""")," ")</f>
        <v> </v>
      </c>
      <c r="H3621" s="44" t="str">
        <f>IFERROR(__xludf.DUMMYFUNCTION("""COMPUTED_VALUE""")," ")</f>
        <v> </v>
      </c>
      <c r="I3621" s="44" t="str">
        <f>IFERROR(__xludf.DUMMYFUNCTION("""COMPUTED_VALUE"""),"Esposo")</f>
        <v>Esposo</v>
      </c>
      <c r="J3621" s="44" t="str">
        <f>IFERROR(__xludf.DUMMYFUNCTION("""COMPUTED_VALUE"""),"")</f>
        <v/>
      </c>
      <c r="K3621" s="42" t="str">
        <f>IFERROR(__xludf.DUMMYFUNCTION("""COMPUTED_VALUE"""),"Periférico de Catia")</f>
        <v>Periférico de Catia</v>
      </c>
    </row>
    <row r="3622">
      <c r="A3622" s="44">
        <v>3621.0</v>
      </c>
      <c r="B3622" s="44" t="str">
        <f>IFERROR(__xludf.DUMMYFUNCTION("""COMPUTED_VALUE"""),"Hospital Militar Dr. C. Arvelo")</f>
        <v>Hospital Militar Dr. C. Arvelo</v>
      </c>
      <c r="C3622" s="45" t="str">
        <f>IFERROR(__xludf.DUMMYFUNCTION("""COMPUTED_VALUE"""),"Villao Pastora Ducleidis")</f>
        <v>Villao Pastora Ducleidis</v>
      </c>
      <c r="D3622" s="44">
        <f>IFERROR(__xludf.DUMMYFUNCTION("""COMPUTED_VALUE"""),30.0)</f>
        <v>30</v>
      </c>
      <c r="E3622" s="44" t="str">
        <f>IFERROR(__xludf.DUMMYFUNCTION("""COMPUTED_VALUE"""),"")</f>
        <v/>
      </c>
      <c r="F3622" s="44" t="str">
        <f>IFERROR(__xludf.DUMMYFUNCTION("""COMPUTED_VALUE"""),"")</f>
        <v/>
      </c>
      <c r="G3622" s="44" t="str">
        <f>IFERROR(__xludf.DUMMYFUNCTION("""COMPUTED_VALUE"""),"")</f>
        <v/>
      </c>
      <c r="H3622" s="44" t="str">
        <f>IFERROR(__xludf.DUMMYFUNCTION("""COMPUTED_VALUE"""),"F")</f>
        <v>F</v>
      </c>
      <c r="I3622" s="44" t="str">
        <f>IFERROR(__xludf.DUMMYFUNCTION("""COMPUTED_VALUE"""),"San Juan PNA")</f>
        <v>San Juan PNA</v>
      </c>
      <c r="J3622" s="44" t="str">
        <f>IFERROR(__xludf.DUMMYFUNCTION("""COMPUTED_VALUE"""),"24/6/2026")</f>
        <v>24/6/2026</v>
      </c>
      <c r="K3622" s="42" t="str">
        <f>IFERROR(__xludf.DUMMYFUNCTION("""COMPUTED_VALUE"""),"Hospital Militar Dr. C. Arvelo")</f>
        <v>Hospital Militar Dr. C. Arvelo</v>
      </c>
    </row>
    <row r="3623">
      <c r="A3623" s="44">
        <v>3622.0</v>
      </c>
      <c r="B3623" s="44" t="str">
        <f>IFERROR(__xludf.DUMMYFUNCTION("""COMPUTED_VALUE"""),"H. Jose Maria Vargas LG")</f>
        <v>H. Jose Maria Vargas LG</v>
      </c>
      <c r="C3623" s="45" t="str">
        <f>IFERROR(__xludf.DUMMYFUNCTION("""COMPUTED_VALUE"""),"VILLAR MAILYN")</f>
        <v>VILLAR MAILYN</v>
      </c>
      <c r="D3623" s="44" t="str">
        <f>IFERROR(__xludf.DUMMYFUNCTION("""COMPUTED_VALUE""")," ")</f>
        <v> </v>
      </c>
      <c r="E3623" s="44" t="str">
        <f>IFERROR(__xludf.DUMMYFUNCTION("""COMPUTED_VALUE"""),"")</f>
        <v/>
      </c>
      <c r="F3623" s="44" t="str">
        <f>IFERROR(__xludf.DUMMYFUNCTION("""COMPUTED_VALUE"""),"")</f>
        <v/>
      </c>
      <c r="G3623" s="44" t="str">
        <f>IFERROR(__xludf.DUMMYFUNCTION("""COMPUTED_VALUE""")," ")</f>
        <v> </v>
      </c>
      <c r="H3623" s="44" t="str">
        <f>IFERROR(__xludf.DUMMYFUNCTION("""COMPUTED_VALUE""")," ")</f>
        <v> </v>
      </c>
      <c r="I3623" s="44" t="str">
        <f>IFERROR(__xludf.DUMMYFUNCTION("""COMPUTED_VALUE""")," ")</f>
        <v> </v>
      </c>
      <c r="J3623" s="44" t="str">
        <f>IFERROR(__xludf.DUMMYFUNCTION("""COMPUTED_VALUE"""),"")</f>
        <v/>
      </c>
      <c r="K3623" s="42" t="str">
        <f>IFERROR(__xludf.DUMMYFUNCTION("""COMPUTED_VALUE"""),"H. Jose Maria Vargas LG")</f>
        <v>H. Jose Maria Vargas LG</v>
      </c>
    </row>
    <row r="3624">
      <c r="A3624" s="44">
        <v>3623.0</v>
      </c>
      <c r="B3624" s="44" t="str">
        <f>IFERROR(__xludf.DUMMYFUNCTION("""COMPUTED_VALUE"""),"H. Jose Maria Vargas LG")</f>
        <v>H. Jose Maria Vargas LG</v>
      </c>
      <c r="C3624" s="45" t="str">
        <f>IFERROR(__xludf.DUMMYFUNCTION("""COMPUTED_VALUE"""),"VILLARROEL ISMENIA")</f>
        <v>VILLARROEL ISMENIA</v>
      </c>
      <c r="D3624" s="44" t="str">
        <f>IFERROR(__xludf.DUMMYFUNCTION("""COMPUTED_VALUE""")," ")</f>
        <v> </v>
      </c>
      <c r="E3624" s="44" t="str">
        <f>IFERROR(__xludf.DUMMYFUNCTION("""COMPUTED_VALUE"""),"")</f>
        <v/>
      </c>
      <c r="F3624" s="44" t="str">
        <f>IFERROR(__xludf.DUMMYFUNCTION("""COMPUTED_VALUE"""),"")</f>
        <v/>
      </c>
      <c r="G3624" s="44" t="str">
        <f>IFERROR(__xludf.DUMMYFUNCTION("""COMPUTED_VALUE""")," ")</f>
        <v> </v>
      </c>
      <c r="H3624" s="44" t="str">
        <f>IFERROR(__xludf.DUMMYFUNCTION("""COMPUTED_VALUE""")," ")</f>
        <v> </v>
      </c>
      <c r="I3624" s="44" t="str">
        <f>IFERROR(__xludf.DUMMYFUNCTION("""COMPUTED_VALUE""")," ")</f>
        <v> </v>
      </c>
      <c r="J3624" s="44" t="str">
        <f>IFERROR(__xludf.DUMMYFUNCTION("""COMPUTED_VALUE"""),"")</f>
        <v/>
      </c>
      <c r="K3624" s="42" t="str">
        <f>IFERROR(__xludf.DUMMYFUNCTION("""COMPUTED_VALUE"""),"H. Jose Maria Vargas LG")</f>
        <v>H. Jose Maria Vargas LG</v>
      </c>
    </row>
    <row r="3625">
      <c r="A3625" s="44">
        <v>3624.0</v>
      </c>
      <c r="B3625" s="44" t="str">
        <f>IFERROR(__xludf.DUMMYFUNCTION("""COMPUTED_VALUE"""),"Hospital Pérez Carreño")</f>
        <v>Hospital Pérez Carreño</v>
      </c>
      <c r="C3625" s="45" t="str">
        <f>IFERROR(__xludf.DUMMYFUNCTION("""COMPUTED_VALUE"""),"Villarta Baron")</f>
        <v>Villarta Baron</v>
      </c>
      <c r="D3625" s="44" t="str">
        <f>IFERROR(__xludf.DUMMYFUNCTION("""COMPUTED_VALUE"""),"8 años")</f>
        <v>8 años</v>
      </c>
      <c r="E3625" s="44" t="str">
        <f>IFERROR(__xludf.DUMMYFUNCTION("""COMPUTED_VALUE"""),"")</f>
        <v/>
      </c>
      <c r="F3625" s="44" t="str">
        <f>IFERROR(__xludf.DUMMYFUNCTION("""COMPUTED_VALUE"""),"")</f>
        <v/>
      </c>
      <c r="G3625" s="44" t="str">
        <f>IFERROR(__xludf.DUMMYFUNCTION("""COMPUTED_VALUE"""),"Pediatria")</f>
        <v>Pediatria</v>
      </c>
      <c r="H3625" s="44" t="str">
        <f>IFERROR(__xludf.DUMMYFUNCTION("""COMPUTED_VALUE"""),"Hospital Miguel Perez Carreño")</f>
        <v>Hospital Miguel Perez Carreño</v>
      </c>
      <c r="I3625" s="44"/>
      <c r="J3625" s="44" t="str">
        <f>IFERROR(__xludf.DUMMYFUNCTION("""COMPUTED_VALUE"""),"26/6/26")</f>
        <v>26/6/26</v>
      </c>
      <c r="K3625" s="42" t="str">
        <f>IFERROR(__xludf.DUMMYFUNCTION("""COMPUTED_VALUE"""),"Hospital Pérez Carreño")</f>
        <v>Hospital Pérez Carreño</v>
      </c>
    </row>
    <row r="3626">
      <c r="A3626" s="44">
        <v>3625.0</v>
      </c>
      <c r="B3626" s="44" t="str">
        <f>IFERROR(__xludf.DUMMYFUNCTION("""COMPUTED_VALUE"""),"Hospital Pérez Carreño")</f>
        <v>Hospital Pérez Carreño</v>
      </c>
      <c r="C3626" s="45" t="str">
        <f>IFERROR(__xludf.DUMMYFUNCTION("""COMPUTED_VALUE"""),"VILLASTRO ISAAC AARON")</f>
        <v>VILLASTRO ISAAC AARON</v>
      </c>
      <c r="D3626" s="44">
        <f>IFERROR(__xludf.DUMMYFUNCTION("""COMPUTED_VALUE"""),7.0)</f>
        <v>7</v>
      </c>
      <c r="E3626" s="44" t="str">
        <f>IFERROR(__xludf.DUMMYFUNCTION("""COMPUTED_VALUE"""),"")</f>
        <v/>
      </c>
      <c r="F3626" s="44" t="str">
        <f>IFERROR(__xludf.DUMMYFUNCTION("""COMPUTED_VALUE"""),"")</f>
        <v/>
      </c>
      <c r="G3626" s="44" t="str">
        <f>IFERROR(__xludf.DUMMYFUNCTION("""COMPUTED_VALUE""")," ")</f>
        <v> </v>
      </c>
      <c r="H3626" s="44" t="str">
        <f>IFERROR(__xludf.DUMMYFUNCTION("""COMPUTED_VALUE""")," ")</f>
        <v> </v>
      </c>
      <c r="I3626" s="44" t="str">
        <f>IFERROR(__xludf.DUMMYFUNCTION("""COMPUTED_VALUE"""),"Internado; SIN FAMILIAR")</f>
        <v>Internado; SIN FAMILIAR</v>
      </c>
      <c r="J3626" s="44" t="str">
        <f>IFERROR(__xludf.DUMMYFUNCTION("""COMPUTED_VALUE"""),"")</f>
        <v/>
      </c>
      <c r="K3626" s="42" t="str">
        <f>IFERROR(__xludf.DUMMYFUNCTION("""COMPUTED_VALUE"""),"🔍 BUSCAR PACIENTES")</f>
        <v>🔍 BUSCAR PACIENTES</v>
      </c>
    </row>
    <row r="3627">
      <c r="A3627" s="44">
        <v>3626.0</v>
      </c>
      <c r="B3627" s="44" t="str">
        <f>IFERROR(__xludf.DUMMYFUNCTION("""COMPUTED_VALUE"""),"La Guaira Sin Hospital")</f>
        <v>La Guaira Sin Hospital</v>
      </c>
      <c r="C3627" s="45" t="str">
        <f>IFERROR(__xludf.DUMMYFUNCTION("""COMPUTED_VALUE"""),"Villastro Isaac Aran")</f>
        <v>Villastro Isaac Aran</v>
      </c>
      <c r="D3627" s="44" t="str">
        <f>IFERROR(__xludf.DUMMYFUNCTION("""COMPUTED_VALUE"""),"")</f>
        <v/>
      </c>
      <c r="E3627" s="44" t="str">
        <f>IFERROR(__xludf.DUMMYFUNCTION("""COMPUTED_VALUE"""),"")</f>
        <v/>
      </c>
      <c r="F3627" s="44" t="str">
        <f>IFERROR(__xludf.DUMMYFUNCTION("""COMPUTED_VALUE"""),"")</f>
        <v/>
      </c>
      <c r="G3627" s="44" t="str">
        <f>IFERROR(__xludf.DUMMYFUNCTION("""COMPUTED_VALUE"""),"")</f>
        <v/>
      </c>
      <c r="H3627" s="44" t="str">
        <f>IFERROR(__xludf.DUMMYFUNCTION("""COMPUTED_VALUE"""),"La Guaira Tanaguarenas")</f>
        <v>La Guaira Tanaguarenas</v>
      </c>
      <c r="I3627" s="44" t="str">
        <f>IFERROR(__xludf.DUMMYFUNCTION("""COMPUTED_VALUE"""),"Listas con ubicación")</f>
        <v>Listas con ubicación</v>
      </c>
      <c r="J3627" s="44" t="str">
        <f>IFERROR(__xludf.DUMMYFUNCTION("""COMPUTED_VALUE"""),"")</f>
        <v/>
      </c>
      <c r="K3627" s="42" t="str">
        <f>IFERROR(__xludf.DUMMYFUNCTION("""COMPUTED_VALUE"""),"La Guaira Sin Hospital")</f>
        <v>La Guaira Sin Hospital</v>
      </c>
    </row>
    <row r="3628">
      <c r="A3628" s="44">
        <v>3627.0</v>
      </c>
      <c r="B3628" s="44" t="str">
        <f>IFERROR(__xludf.DUMMYFUNCTION("""COMPUTED_VALUE"""),"Hospital José María Vargas - La Guaira")</f>
        <v>Hospital José María Vargas - La Guaira</v>
      </c>
      <c r="C3628" s="45" t="str">
        <f>IFERROR(__xludf.DUMMYFUNCTION("""COMPUTED_VALUE"""),"VILLEGA JOSE")</f>
        <v>VILLEGA JOSE</v>
      </c>
      <c r="D3628" s="44">
        <f>IFERROR(__xludf.DUMMYFUNCTION("""COMPUTED_VALUE"""),22.0)</f>
        <v>22</v>
      </c>
      <c r="E3628" s="44" t="str">
        <f>IFERROR(__xludf.DUMMYFUNCTION("""COMPUTED_VALUE"""),"")</f>
        <v/>
      </c>
      <c r="F3628" s="44" t="str">
        <f>IFERROR(__xludf.DUMMYFUNCTION("""COMPUTED_VALUE"""),"")</f>
        <v/>
      </c>
      <c r="G3628" s="44" t="str">
        <f>IFERROR(__xludf.DUMMYFUNCTION("""COMPUTED_VALUE""")," ")</f>
        <v> </v>
      </c>
      <c r="H3628" s="44" t="str">
        <f>IFERROR(__xludf.DUMMYFUNCTION("""COMPUTED_VALUE""")," ")</f>
        <v> </v>
      </c>
      <c r="I3628" s="44" t="str">
        <f>IFERROR(__xludf.DUMMYFUNCTION("""COMPUTED_VALUE"""),"Internado")</f>
        <v>Internado</v>
      </c>
      <c r="J3628" s="44" t="str">
        <f>IFERROR(__xludf.DUMMYFUNCTION("""COMPUTED_VALUE"""),"")</f>
        <v/>
      </c>
      <c r="K3628" s="42" t="str">
        <f>IFERROR(__xludf.DUMMYFUNCTION("""COMPUTED_VALUE"""),"🔍 BUSCAR PACIENTES")</f>
        <v>🔍 BUSCAR PACIENTES</v>
      </c>
    </row>
    <row r="3629">
      <c r="A3629" s="44">
        <v>3628.0</v>
      </c>
      <c r="B3629" s="44" t="str">
        <f>IFERROR(__xludf.DUMMYFUNCTION("""COMPUTED_VALUE"""),"Hospital Vargas de Caracas")</f>
        <v>Hospital Vargas de Caracas</v>
      </c>
      <c r="C3629" s="45" t="str">
        <f>IFERROR(__xludf.DUMMYFUNCTION("""COMPUTED_VALUE"""),"VILLEGAS JOSE")</f>
        <v>VILLEGAS JOSE</v>
      </c>
      <c r="D3629" s="44" t="str">
        <f>IFERROR(__xludf.DUMMYFUNCTION("""COMPUTED_VALUE""")," ")</f>
        <v> </v>
      </c>
      <c r="E3629" s="44" t="str">
        <f>IFERROR(__xludf.DUMMYFUNCTION("""COMPUTED_VALUE"""),"")</f>
        <v/>
      </c>
      <c r="F3629" s="44" t="str">
        <f>IFERROR(__xludf.DUMMYFUNCTION("""COMPUTED_VALUE""")," ")</f>
        <v> </v>
      </c>
      <c r="G3629" s="44" t="str">
        <f>IFERROR(__xludf.DUMMYFUNCTION("""COMPUTED_VALUE"""),"")</f>
        <v/>
      </c>
      <c r="H3629" s="44" t="str">
        <f>IFERROR(__xludf.DUMMYFUNCTION("""COMPUTED_VALUE""")," ")</f>
        <v> </v>
      </c>
      <c r="I3629" s="44" t="str">
        <f>IFERROR(__xludf.DUMMYFUNCTION("""COMPUTED_VALUE""")," ")</f>
        <v> </v>
      </c>
      <c r="J3629" s="44" t="str">
        <f>IFERROR(__xludf.DUMMYFUNCTION("""COMPUTED_VALUE"""),"")</f>
        <v/>
      </c>
      <c r="K3629" s="42" t="str">
        <f>IFERROR(__xludf.DUMMYFUNCTION("""COMPUTED_VALUE"""),"Hospital Vargas de Caracas")</f>
        <v>Hospital Vargas de Caracas</v>
      </c>
    </row>
    <row r="3630">
      <c r="A3630" s="44">
        <v>3629.0</v>
      </c>
      <c r="B3630" s="44" t="str">
        <f>IFERROR(__xludf.DUMMYFUNCTION("""COMPUTED_VALUE"""),"Hospital Vargas de Caracas")</f>
        <v>Hospital Vargas de Caracas</v>
      </c>
      <c r="C3630" s="45" t="str">
        <f>IFERROR(__xludf.DUMMYFUNCTION("""COMPUTED_VALUE"""),"VILLEGAS JUANA")</f>
        <v>VILLEGAS JUANA</v>
      </c>
      <c r="D3630" s="44" t="str">
        <f>IFERROR(__xludf.DUMMYFUNCTION("""COMPUTED_VALUE""")," ")</f>
        <v> </v>
      </c>
      <c r="E3630" s="44" t="str">
        <f>IFERROR(__xludf.DUMMYFUNCTION("""COMPUTED_VALUE"""),"")</f>
        <v/>
      </c>
      <c r="F3630" s="44" t="str">
        <f>IFERROR(__xludf.DUMMYFUNCTION("""COMPUTED_VALUE""")," ")</f>
        <v> </v>
      </c>
      <c r="G3630" s="44" t="str">
        <f>IFERROR(__xludf.DUMMYFUNCTION("""COMPUTED_VALUE"""),"")</f>
        <v/>
      </c>
      <c r="H3630" s="44" t="str">
        <f>IFERROR(__xludf.DUMMYFUNCTION("""COMPUTED_VALUE""")," ")</f>
        <v> </v>
      </c>
      <c r="I3630" s="44" t="str">
        <f>IFERROR(__xludf.DUMMYFUNCTION("""COMPUTED_VALUE""")," ")</f>
        <v> </v>
      </c>
      <c r="J3630" s="44" t="str">
        <f>IFERROR(__xludf.DUMMYFUNCTION("""COMPUTED_VALUE"""),"")</f>
        <v/>
      </c>
      <c r="K3630" s="42" t="str">
        <f>IFERROR(__xludf.DUMMYFUNCTION("""COMPUTED_VALUE"""),"Hospital Vargas de Caracas")</f>
        <v>Hospital Vargas de Caracas</v>
      </c>
    </row>
    <row r="3631">
      <c r="A3631" s="44">
        <v>3630.0</v>
      </c>
      <c r="B3631" s="44" t="str">
        <f>IFERROR(__xludf.DUMMYFUNCTION("""COMPUTED_VALUE"""),"Centro de Acopio Caraballeda")</f>
        <v>Centro de Acopio Caraballeda</v>
      </c>
      <c r="C3631" s="45" t="str">
        <f>IFERROR(__xludf.DUMMYFUNCTION("""COMPUTED_VALUE"""),"VIRALLES RAFAEL")</f>
        <v>VIRALLES RAFAEL</v>
      </c>
      <c r="D3631" s="44" t="str">
        <f>IFERROR(__xludf.DUMMYFUNCTION("""COMPUTED_VALUE""")," ")</f>
        <v> </v>
      </c>
      <c r="E3631" s="44" t="str">
        <f>IFERROR(__xludf.DUMMYFUNCTION("""COMPUTED_VALUE"""),"")</f>
        <v/>
      </c>
      <c r="F3631" s="44" t="str">
        <f>IFERROR(__xludf.DUMMYFUNCTION("""COMPUTED_VALUE"""),"")</f>
        <v/>
      </c>
      <c r="G3631" s="44" t="str">
        <f>IFERROR(__xludf.DUMMYFUNCTION("""COMPUTED_VALUE""")," ")</f>
        <v> </v>
      </c>
      <c r="H3631" s="44" t="str">
        <f>IFERROR(__xludf.DUMMYFUNCTION("""COMPUTED_VALUE""")," ")</f>
        <v> </v>
      </c>
      <c r="I3631" s="44" t="str">
        <f>IFERROR(__xludf.DUMMYFUNCTION("""COMPUTED_VALUE"""),"Internado")</f>
        <v>Internado</v>
      </c>
      <c r="J3631" s="44" t="str">
        <f>IFERROR(__xludf.DUMMYFUNCTION("""COMPUTED_VALUE"""),"")</f>
        <v/>
      </c>
      <c r="K3631" s="42" t="str">
        <f>IFERROR(__xludf.DUMMYFUNCTION("""COMPUTED_VALUE"""),"🔍 BUSCAR PACIENTES")</f>
        <v>🔍 BUSCAR PACIENTES</v>
      </c>
    </row>
    <row r="3632">
      <c r="A3632" s="44">
        <v>3631.0</v>
      </c>
      <c r="B3632" s="44" t="str">
        <f>IFERROR(__xludf.DUMMYFUNCTION("""COMPUTED_VALUE"""),"Hospital Domingo Luciani")</f>
        <v>Hospital Domingo Luciani</v>
      </c>
      <c r="C3632" s="45" t="str">
        <f>IFERROR(__xludf.DUMMYFUNCTION("""COMPUTED_VALUE"""),"VISBAL CLARA LOJO")</f>
        <v>VISBAL CLARA LOJO</v>
      </c>
      <c r="D3632" s="44" t="str">
        <f>IFERROR(__xludf.DUMMYFUNCTION("""COMPUTED_VALUE""")," ")</f>
        <v> </v>
      </c>
      <c r="E3632" s="44" t="str">
        <f>IFERROR(__xludf.DUMMYFUNCTION("""COMPUTED_VALUE"""),"")</f>
        <v/>
      </c>
      <c r="F3632" s="44" t="str">
        <f>IFERROR(__xludf.DUMMYFUNCTION("""COMPUTED_VALUE"""),"")</f>
        <v/>
      </c>
      <c r="G3632" s="44" t="str">
        <f>IFERROR(__xludf.DUMMYFUNCTION("""COMPUTED_VALUE""")," ")</f>
        <v> </v>
      </c>
      <c r="H3632" s="44" t="str">
        <f>IFERROR(__xludf.DUMMYFUNCTION("""COMPUTED_VALUE""")," ")</f>
        <v> </v>
      </c>
      <c r="I3632" s="44" t="str">
        <f>IFERROR(__xludf.DUMMYFUNCTION("""COMPUTED_VALUE"""),"Politrauma")</f>
        <v>Politrauma</v>
      </c>
      <c r="J3632" s="44" t="str">
        <f>IFERROR(__xludf.DUMMYFUNCTION("""COMPUTED_VALUE"""),"")</f>
        <v/>
      </c>
      <c r="K3632" s="42" t="str">
        <f>IFERROR(__xludf.DUMMYFUNCTION("""COMPUTED_VALUE"""),"🔍 BUSCAR PACIENTES")</f>
        <v>🔍 BUSCAR PACIENTES</v>
      </c>
    </row>
    <row r="3633">
      <c r="A3633" s="44">
        <v>3632.0</v>
      </c>
      <c r="B3633" s="44" t="str">
        <f>IFERROR(__xludf.DUMMYFUNCTION("""COMPUTED_VALUE"""),"Hospital Pérez Carreño")</f>
        <v>Hospital Pérez Carreño</v>
      </c>
      <c r="C3633" s="45" t="str">
        <f>IFERROR(__xludf.DUMMYFUNCTION("""COMPUTED_VALUE"""),"VIVAS CAMILA")</f>
        <v>VIVAS CAMILA</v>
      </c>
      <c r="D3633" s="44">
        <f>IFERROR(__xludf.DUMMYFUNCTION("""COMPUTED_VALUE"""),3.0)</f>
        <v>3</v>
      </c>
      <c r="E3633" s="44" t="str">
        <f>IFERROR(__xludf.DUMMYFUNCTION("""COMPUTED_VALUE"""),"")</f>
        <v/>
      </c>
      <c r="F3633" s="44" t="str">
        <f>IFERROR(__xludf.DUMMYFUNCTION("""COMPUTED_VALUE"""),"")</f>
        <v/>
      </c>
      <c r="G3633" s="44" t="str">
        <f>IFERROR(__xludf.DUMMYFUNCTION("""COMPUTED_VALUE""")," ")</f>
        <v> </v>
      </c>
      <c r="H3633" s="44" t="str">
        <f>IFERROR(__xludf.DUMMYFUNCTION("""COMPUTED_VALUE""")," ")</f>
        <v> </v>
      </c>
      <c r="I3633" s="44" t="str">
        <f>IFERROR(__xludf.DUMMYFUNCTION("""COMPUTED_VALUE"""),"Pediatría – Mamá: Luisa Núñez")</f>
        <v>Pediatría – Mamá: Luisa Núñez</v>
      </c>
      <c r="J3633" s="44" t="str">
        <f>IFERROR(__xludf.DUMMYFUNCTION("""COMPUTED_VALUE"""),"")</f>
        <v/>
      </c>
      <c r="K3633" s="42" t="str">
        <f>IFERROR(__xludf.DUMMYFUNCTION("""COMPUTED_VALUE"""),"🔍 BUSCAR PACIENTES")</f>
        <v>🔍 BUSCAR PACIENTES</v>
      </c>
    </row>
    <row r="3634">
      <c r="A3634" s="44">
        <v>3633.0</v>
      </c>
      <c r="B3634" s="44" t="str">
        <f>IFERROR(__xludf.DUMMYFUNCTION("""COMPUTED_VALUE"""),"Hospital Ana Francisca Pérez de")</f>
        <v>Hospital Ana Francisca Pérez de</v>
      </c>
      <c r="C3634" s="45" t="str">
        <f>IFERROR(__xludf.DUMMYFUNCTION("""COMPUTED_VALUE"""),"VIVAS ERICK")</f>
        <v>VIVAS ERICK</v>
      </c>
      <c r="D3634" s="44">
        <f>IFERROR(__xludf.DUMMYFUNCTION("""COMPUTED_VALUE"""),31.0)</f>
        <v>31</v>
      </c>
      <c r="E3634" s="44" t="str">
        <f>IFERROR(__xludf.DUMMYFUNCTION("""COMPUTED_VALUE"""),"")</f>
        <v/>
      </c>
      <c r="F3634" s="44" t="str">
        <f>IFERROR(__xludf.DUMMYFUNCTION("""COMPUTED_VALUE"""),"")</f>
        <v/>
      </c>
      <c r="G3634" s="44" t="str">
        <f>IFERROR(__xludf.DUMMYFUNCTION("""COMPUTED_VALUE""")," ")</f>
        <v> </v>
      </c>
      <c r="H3634" s="44" t="str">
        <f>IFERROR(__xludf.DUMMYFUNCTION("""COMPUTED_VALUE""")," ")</f>
        <v> </v>
      </c>
      <c r="I3634" s="44" t="str">
        <f>IFERROR(__xludf.DUMMYFUNCTION("""COMPUTED_VALUE"""),"Internado")</f>
        <v>Internado</v>
      </c>
      <c r="J3634" s="44" t="str">
        <f>IFERROR(__xludf.DUMMYFUNCTION("""COMPUTED_VALUE"""),"")</f>
        <v/>
      </c>
      <c r="K3634" s="42" t="str">
        <f>IFERROR(__xludf.DUMMYFUNCTION("""COMPUTED_VALUE"""),"Hospital Ana Francisca Pérez de")</f>
        <v>Hospital Ana Francisca Pérez de</v>
      </c>
    </row>
    <row r="3635">
      <c r="A3635" s="44">
        <v>3634.0</v>
      </c>
      <c r="B3635" s="44" t="str">
        <f>IFERROR(__xludf.DUMMYFUNCTION("""COMPUTED_VALUE"""),"Centro de Acopio Caraballeda")</f>
        <v>Centro de Acopio Caraballeda</v>
      </c>
      <c r="C3635" s="45" t="str">
        <f>IFERROR(__xludf.DUMMYFUNCTION("""COMPUTED_VALUE"""),"VIVAS YETXI")</f>
        <v>VIVAS YETXI</v>
      </c>
      <c r="D3635" s="44" t="str">
        <f>IFERROR(__xludf.DUMMYFUNCTION("""COMPUTED_VALUE""")," ")</f>
        <v> </v>
      </c>
      <c r="E3635" s="44" t="str">
        <f>IFERROR(__xludf.DUMMYFUNCTION("""COMPUTED_VALUE"""),"")</f>
        <v/>
      </c>
      <c r="F3635" s="44" t="str">
        <f>IFERROR(__xludf.DUMMYFUNCTION("""COMPUTED_VALUE"""),"")</f>
        <v/>
      </c>
      <c r="G3635" s="44" t="str">
        <f>IFERROR(__xludf.DUMMYFUNCTION("""COMPUTED_VALUE""")," ")</f>
        <v> </v>
      </c>
      <c r="H3635" s="44" t="str">
        <f>IFERROR(__xludf.DUMMYFUNCTION("""COMPUTED_VALUE""")," ")</f>
        <v> </v>
      </c>
      <c r="I3635" s="44" t="str">
        <f>IFERROR(__xludf.DUMMYFUNCTION("""COMPUTED_VALUE"""),"Internado")</f>
        <v>Internado</v>
      </c>
      <c r="J3635" s="44" t="str">
        <f>IFERROR(__xludf.DUMMYFUNCTION("""COMPUTED_VALUE"""),"")</f>
        <v/>
      </c>
      <c r="K3635" s="42" t="str">
        <f>IFERROR(__xludf.DUMMYFUNCTION("""COMPUTED_VALUE"""),"🔍 BUSCAR PACIENTES")</f>
        <v>🔍 BUSCAR PACIENTES</v>
      </c>
    </row>
    <row r="3636">
      <c r="A3636" s="44">
        <v>3635.0</v>
      </c>
      <c r="B3636" s="44" t="str">
        <f>IFERROR(__xludf.DUMMYFUNCTION("""COMPUTED_VALUE"""),"Campo de Golf Playa los Cocos")</f>
        <v>Campo de Golf Playa los Cocos</v>
      </c>
      <c r="C3636" s="45" t="str">
        <f>IFERROR(__xludf.DUMMYFUNCTION("""COMPUTED_VALUE"""),"Viviana Mendoza")</f>
        <v>Viviana Mendoza</v>
      </c>
      <c r="D3636" s="44" t="str">
        <f>IFERROR(__xludf.DUMMYFUNCTION("""COMPUTED_VALUE"""),"")</f>
        <v/>
      </c>
      <c r="E3636" s="44" t="str">
        <f>IFERROR(__xludf.DUMMYFUNCTION("""COMPUTED_VALUE"""),"")</f>
        <v/>
      </c>
      <c r="F3636" s="44" t="str">
        <f>IFERROR(__xludf.DUMMYFUNCTION("""COMPUTED_VALUE"""),"")</f>
        <v/>
      </c>
      <c r="G3636" s="44" t="str">
        <f>IFERROR(__xludf.DUMMYFUNCTION("""COMPUTED_VALUE"""),"")</f>
        <v/>
      </c>
      <c r="H3636" s="44" t="str">
        <f>IFERROR(__xludf.DUMMYFUNCTION("""COMPUTED_VALUE"""),"")</f>
        <v/>
      </c>
      <c r="I3636" s="44"/>
      <c r="J3636" s="44" t="str">
        <f>IFERROR(__xludf.DUMMYFUNCTION("""COMPUTED_VALUE"""),"")</f>
        <v/>
      </c>
      <c r="K3636" s="42" t="str">
        <f>IFERROR(__xludf.DUMMYFUNCTION("""COMPUTED_VALUE"""),"Campo de Golf Playa los Cocos")</f>
        <v>Campo de Golf Playa los Cocos</v>
      </c>
    </row>
    <row r="3637">
      <c r="A3637" s="44">
        <v>3636.0</v>
      </c>
      <c r="B3637" s="44" t="str">
        <f>IFERROR(__xludf.DUMMYFUNCTION("""COMPUTED_VALUE"""),"Hospital Pérez Carreño")</f>
        <v>Hospital Pérez Carreño</v>
      </c>
      <c r="C3637" s="45" t="str">
        <f>IFERROR(__xludf.DUMMYFUNCTION("""COMPUTED_VALUE"""),"VIVIANI BREISER")</f>
        <v>VIVIANI BREISER</v>
      </c>
      <c r="D3637" s="44">
        <f>IFERROR(__xludf.DUMMYFUNCTION("""COMPUTED_VALUE"""),24.0)</f>
        <v>24</v>
      </c>
      <c r="E3637" s="44" t="str">
        <f>IFERROR(__xludf.DUMMYFUNCTION("""COMPUTED_VALUE"""),"")</f>
        <v/>
      </c>
      <c r="F3637" s="44" t="str">
        <f>IFERROR(__xludf.DUMMYFUNCTION("""COMPUTED_VALUE"""),"")</f>
        <v/>
      </c>
      <c r="G3637" s="44" t="str">
        <f>IFERROR(__xludf.DUMMYFUNCTION("""COMPUTED_VALUE""")," ")</f>
        <v> </v>
      </c>
      <c r="H3637" s="44" t="str">
        <f>IFERROR(__xludf.DUMMYFUNCTION("""COMPUTED_VALUE""")," ")</f>
        <v> </v>
      </c>
      <c r="I3637" s="44" t="str">
        <f>IFERROR(__xludf.DUMMYFUNCTION("""COMPUTED_VALUE"""),"Traumachok; La Guaira")</f>
        <v>Traumachok; La Guaira</v>
      </c>
      <c r="J3637" s="44" t="str">
        <f>IFERROR(__xludf.DUMMYFUNCTION("""COMPUTED_VALUE"""),"")</f>
        <v/>
      </c>
      <c r="K3637" s="42" t="str">
        <f>IFERROR(__xludf.DUMMYFUNCTION("""COMPUTED_VALUE"""),"🔍 BUSCAR PACIENTES")</f>
        <v>🔍 BUSCAR PACIENTES</v>
      </c>
    </row>
    <row r="3638">
      <c r="A3638" s="42">
        <v>3637.0</v>
      </c>
      <c r="B3638" s="42" t="str">
        <f>IFERROR(__xludf.DUMMYFUNCTION("""COMPUTED_VALUE"""),"Hospital Pérez Carreño")</f>
        <v>Hospital Pérez Carreño</v>
      </c>
      <c r="C3638" s="42" t="str">
        <f>IFERROR(__xludf.DUMMYFUNCTION("""COMPUTED_VALUE"""),"Volnnys Esteves")</f>
        <v>Volnnys Esteves</v>
      </c>
      <c r="D3638" s="42"/>
      <c r="E3638" s="42" t="str">
        <f>IFERROR(__xludf.DUMMYFUNCTION("""COMPUTED_VALUE"""),"")</f>
        <v/>
      </c>
      <c r="F3638" s="42" t="str">
        <f>IFERROR(__xludf.DUMMYFUNCTION("""COMPUTED_VALUE"""),"")</f>
        <v/>
      </c>
      <c r="G3638" s="42" t="str">
        <f>IFERROR(__xludf.DUMMYFUNCTION("""COMPUTED_VALUE"""),"Traumashock ")</f>
        <v>Traumashock </v>
      </c>
      <c r="H3638" s="42" t="str">
        <f>IFERROR(__xludf.DUMMYFUNCTION("""COMPUTED_VALUE"""),"Hospital Miguel Perez Carreño")</f>
        <v>Hospital Miguel Perez Carreño</v>
      </c>
      <c r="I3638" s="42"/>
      <c r="J3638" s="42" t="str">
        <f>IFERROR(__xludf.DUMMYFUNCTION("""COMPUTED_VALUE"""),"26/6/26")</f>
        <v>26/6/26</v>
      </c>
      <c r="K3638" s="42" t="str">
        <f>IFERROR(__xludf.DUMMYFUNCTION("""COMPUTED_VALUE"""),"Hospital Pérez Carreño")</f>
        <v>Hospital Pérez Carreño</v>
      </c>
    </row>
    <row r="3639">
      <c r="A3639" s="42">
        <v>3638.0</v>
      </c>
      <c r="B3639" s="42" t="str">
        <f>IFERROR(__xludf.DUMMYFUNCTION("""COMPUTED_VALUE"""),"Hospital Pérez Carreño")</f>
        <v>Hospital Pérez Carreño</v>
      </c>
      <c r="C3639" s="42" t="str">
        <f>IFERROR(__xludf.DUMMYFUNCTION("""COMPUTED_VALUE"""),"Whistlo Jesus Isaac")</f>
        <v>Whistlo Jesus Isaac</v>
      </c>
      <c r="D3639" s="42"/>
      <c r="E3639" s="42" t="str">
        <f>IFERROR(__xludf.DUMMYFUNCTION("""COMPUTED_VALUE"""),"")</f>
        <v/>
      </c>
      <c r="F3639" s="42" t="str">
        <f>IFERROR(__xludf.DUMMYFUNCTION("""COMPUTED_VALUE"""),"")</f>
        <v/>
      </c>
      <c r="G3639" s="42" t="str">
        <f>IFERROR(__xludf.DUMMYFUNCTION("""COMPUTED_VALUE"""),"Traslados con destino asignado")</f>
        <v>Traslados con destino asignado</v>
      </c>
      <c r="H3639" s="42" t="str">
        <f>IFERROR(__xludf.DUMMYFUNCTION("""COMPUTED_VALUE"""),"Hospital Miguel Perez Carreño")</f>
        <v>Hospital Miguel Perez Carreño</v>
      </c>
      <c r="I3639" s="42"/>
      <c r="J3639" s="42" t="str">
        <f>IFERROR(__xludf.DUMMYFUNCTION("""COMPUTED_VALUE"""),"26/6/26")</f>
        <v>26/6/26</v>
      </c>
      <c r="K3639" s="42" t="str">
        <f>IFERROR(__xludf.DUMMYFUNCTION("""COMPUTED_VALUE"""),"Hospital Pérez Carreño")</f>
        <v>Hospital Pérez Carreño</v>
      </c>
    </row>
    <row r="3640">
      <c r="A3640" s="42">
        <v>3639.0</v>
      </c>
      <c r="B3640" s="42" t="str">
        <f>IFERROR(__xludf.DUMMYFUNCTION("""COMPUTED_VALUE"""),"Campo de Golf Playa los Cocos")</f>
        <v>Campo de Golf Playa los Cocos</v>
      </c>
      <c r="C3640" s="42" t="str">
        <f>IFERROR(__xludf.DUMMYFUNCTION("""COMPUTED_VALUE"""),"Wilbelys Lopez")</f>
        <v>Wilbelys Lopez</v>
      </c>
      <c r="D3640" s="42" t="str">
        <f>IFERROR(__xludf.DUMMYFUNCTION("""COMPUTED_VALUE"""),"")</f>
        <v/>
      </c>
      <c r="E3640" s="42" t="str">
        <f>IFERROR(__xludf.DUMMYFUNCTION("""COMPUTED_VALUE"""),"")</f>
        <v/>
      </c>
      <c r="F3640" s="42" t="str">
        <f>IFERROR(__xludf.DUMMYFUNCTION("""COMPUTED_VALUE"""),"")</f>
        <v/>
      </c>
      <c r="G3640" s="42" t="str">
        <f>IFERROR(__xludf.DUMMYFUNCTION("""COMPUTED_VALUE"""),"")</f>
        <v/>
      </c>
      <c r="H3640" s="42" t="str">
        <f>IFERROR(__xludf.DUMMYFUNCTION("""COMPUTED_VALUE"""),"")</f>
        <v/>
      </c>
      <c r="I3640" s="42"/>
      <c r="J3640" s="42" t="str">
        <f>IFERROR(__xludf.DUMMYFUNCTION("""COMPUTED_VALUE"""),"")</f>
        <v/>
      </c>
      <c r="K3640" s="42" t="str">
        <f>IFERROR(__xludf.DUMMYFUNCTION("""COMPUTED_VALUE"""),"Campo de Golf Playa los Cocos")</f>
        <v>Campo de Golf Playa los Cocos</v>
      </c>
    </row>
    <row r="3641">
      <c r="A3641" s="42">
        <v>3640.0</v>
      </c>
      <c r="B3641" s="42" t="str">
        <f>IFERROR(__xludf.DUMMYFUNCTION("""COMPUTED_VALUE"""),"Campo de Golf Playa los Cocos")</f>
        <v>Campo de Golf Playa los Cocos</v>
      </c>
      <c r="C3641" s="42" t="str">
        <f>IFERROR(__xludf.DUMMYFUNCTION("""COMPUTED_VALUE"""),"Wilbert Rivas")</f>
        <v>Wilbert Rivas</v>
      </c>
      <c r="D3641" s="42" t="str">
        <f>IFERROR(__xludf.DUMMYFUNCTION("""COMPUTED_VALUE"""),"")</f>
        <v/>
      </c>
      <c r="E3641" s="42" t="str">
        <f>IFERROR(__xludf.DUMMYFUNCTION("""COMPUTED_VALUE"""),"")</f>
        <v/>
      </c>
      <c r="F3641" s="42" t="str">
        <f>IFERROR(__xludf.DUMMYFUNCTION("""COMPUTED_VALUE"""),"")</f>
        <v/>
      </c>
      <c r="G3641" s="42" t="str">
        <f>IFERROR(__xludf.DUMMYFUNCTION("""COMPUTED_VALUE"""),"")</f>
        <v/>
      </c>
      <c r="H3641" s="42" t="str">
        <f>IFERROR(__xludf.DUMMYFUNCTION("""COMPUTED_VALUE"""),"")</f>
        <v/>
      </c>
      <c r="I3641" s="42"/>
      <c r="J3641" s="42" t="str">
        <f>IFERROR(__xludf.DUMMYFUNCTION("""COMPUTED_VALUE"""),"")</f>
        <v/>
      </c>
      <c r="K3641" s="42" t="str">
        <f>IFERROR(__xludf.DUMMYFUNCTION("""COMPUTED_VALUE"""),"Campo de Golf Playa los Cocos")</f>
        <v>Campo de Golf Playa los Cocos</v>
      </c>
    </row>
    <row r="3642">
      <c r="A3642" s="42">
        <v>3641.0</v>
      </c>
      <c r="B3642" s="42" t="str">
        <f>IFERROR(__xludf.DUMMYFUNCTION("""COMPUTED_VALUE"""),"Hospital Pérez Carreño")</f>
        <v>Hospital Pérez Carreño</v>
      </c>
      <c r="C3642" s="42" t="str">
        <f>IFERROR(__xludf.DUMMYFUNCTION("""COMPUTED_VALUE"""),"Wile Guerrero")</f>
        <v>Wile Guerrero</v>
      </c>
      <c r="D3642" s="42" t="str">
        <f>IFERROR(__xludf.DUMMYFUNCTION("""COMPUTED_VALUE"""),"40 años")</f>
        <v>40 años</v>
      </c>
      <c r="E3642" s="42" t="str">
        <f>IFERROR(__xludf.DUMMYFUNCTION("""COMPUTED_VALUE"""),"")</f>
        <v/>
      </c>
      <c r="F3642" s="42" t="str">
        <f>IFERROR(__xludf.DUMMYFUNCTION("""COMPUTED_VALUE"""),"")</f>
        <v/>
      </c>
      <c r="G3642" s="42" t="str">
        <f>IFERROR(__xludf.DUMMYFUNCTION("""COMPUTED_VALUE"""),"Traumashock ")</f>
        <v>Traumashock </v>
      </c>
      <c r="H3642" s="42" t="str">
        <f>IFERROR(__xludf.DUMMYFUNCTION("""COMPUTED_VALUE"""),"Hospital Miguel Perez Carreño")</f>
        <v>Hospital Miguel Perez Carreño</v>
      </c>
      <c r="I3642" s="42"/>
      <c r="J3642" s="42" t="str">
        <f>IFERROR(__xludf.DUMMYFUNCTION("""COMPUTED_VALUE"""),"26/6/26")</f>
        <v>26/6/26</v>
      </c>
      <c r="K3642" s="42" t="str">
        <f>IFERROR(__xludf.DUMMYFUNCTION("""COMPUTED_VALUE"""),"Hospital Pérez Carreño")</f>
        <v>Hospital Pérez Carreño</v>
      </c>
    </row>
    <row r="3643">
      <c r="A3643" s="42">
        <v>3642.0</v>
      </c>
      <c r="B3643" s="42" t="str">
        <f>IFERROR(__xludf.DUMMYFUNCTION("""COMPUTED_VALUE"""),"Campo de Golf Playa los Cocos")</f>
        <v>Campo de Golf Playa los Cocos</v>
      </c>
      <c r="C3643" s="42" t="str">
        <f>IFERROR(__xludf.DUMMYFUNCTION("""COMPUTED_VALUE"""),"Wilkely Gueira")</f>
        <v>Wilkely Gueira</v>
      </c>
      <c r="D3643" s="42" t="str">
        <f>IFERROR(__xludf.DUMMYFUNCTION("""COMPUTED_VALUE"""),"")</f>
        <v/>
      </c>
      <c r="E3643" s="42" t="str">
        <f>IFERROR(__xludf.DUMMYFUNCTION("""COMPUTED_VALUE"""),"")</f>
        <v/>
      </c>
      <c r="F3643" s="42" t="str">
        <f>IFERROR(__xludf.DUMMYFUNCTION("""COMPUTED_VALUE"""),"")</f>
        <v/>
      </c>
      <c r="G3643" s="42" t="str">
        <f>IFERROR(__xludf.DUMMYFUNCTION("""COMPUTED_VALUE"""),"")</f>
        <v/>
      </c>
      <c r="H3643" s="42" t="str">
        <f>IFERROR(__xludf.DUMMYFUNCTION("""COMPUTED_VALUE"""),"")</f>
        <v/>
      </c>
      <c r="I3643" s="42"/>
      <c r="J3643" s="42" t="str">
        <f>IFERROR(__xludf.DUMMYFUNCTION("""COMPUTED_VALUE"""),"")</f>
        <v/>
      </c>
      <c r="K3643" s="42" t="str">
        <f>IFERROR(__xludf.DUMMYFUNCTION("""COMPUTED_VALUE"""),"Campo de Golf Playa los Cocos")</f>
        <v>Campo de Golf Playa los Cocos</v>
      </c>
    </row>
    <row r="3644">
      <c r="A3644" s="42">
        <v>3643.0</v>
      </c>
      <c r="B3644" s="42" t="str">
        <f>IFERROR(__xludf.DUMMYFUNCTION("""COMPUTED_VALUE"""),"Hospital Domingo Luciani")</f>
        <v>Hospital Domingo Luciani</v>
      </c>
      <c r="C3644" s="42" t="str">
        <f>IFERROR(__xludf.DUMMYFUNCTION("""COMPUTED_VALUE"""),"William Joper")</f>
        <v>William Joper</v>
      </c>
      <c r="D3644" s="42">
        <f>IFERROR(__xludf.DUMMYFUNCTION("""COMPUTED_VALUE"""),28.0)</f>
        <v>28</v>
      </c>
      <c r="E3644" s="42" t="str">
        <f>IFERROR(__xludf.DUMMYFUNCTION("""COMPUTED_VALUE"""),"")</f>
        <v/>
      </c>
      <c r="F3644" s="42" t="str">
        <f>IFERROR(__xludf.DUMMYFUNCTION("""COMPUTED_VALUE"""),"")</f>
        <v/>
      </c>
      <c r="G3644" s="42"/>
      <c r="H3644" s="42"/>
      <c r="I3644" s="42"/>
      <c r="J3644" s="42" t="str">
        <f>IFERROR(__xludf.DUMMYFUNCTION("""COMPUTED_VALUE"""),"")</f>
        <v/>
      </c>
      <c r="K3644" s="42" t="str">
        <f>IFERROR(__xludf.DUMMYFUNCTION("""COMPUTED_VALUE"""),"Hospital Domingo Luciani")</f>
        <v>Hospital Domingo Luciani</v>
      </c>
    </row>
    <row r="3645">
      <c r="A3645" s="42">
        <v>3644.0</v>
      </c>
      <c r="B3645" s="42" t="str">
        <f>IFERROR(__xludf.DUMMYFUNCTION("""COMPUTED_VALUE"""),"Campo de Golf Playa los Cocos")</f>
        <v>Campo de Golf Playa los Cocos</v>
      </c>
      <c r="C3645" s="42" t="str">
        <f>IFERROR(__xludf.DUMMYFUNCTION("""COMPUTED_VALUE"""),"William Milano")</f>
        <v>William Milano</v>
      </c>
      <c r="D3645" s="42" t="str">
        <f>IFERROR(__xludf.DUMMYFUNCTION("""COMPUTED_VALUE"""),"")</f>
        <v/>
      </c>
      <c r="E3645" s="42" t="str">
        <f>IFERROR(__xludf.DUMMYFUNCTION("""COMPUTED_VALUE"""),"")</f>
        <v/>
      </c>
      <c r="F3645" s="42" t="str">
        <f>IFERROR(__xludf.DUMMYFUNCTION("""COMPUTED_VALUE"""),"")</f>
        <v/>
      </c>
      <c r="G3645" s="42" t="str">
        <f>IFERROR(__xludf.DUMMYFUNCTION("""COMPUTED_VALUE"""),"")</f>
        <v/>
      </c>
      <c r="H3645" s="42" t="str">
        <f>IFERROR(__xludf.DUMMYFUNCTION("""COMPUTED_VALUE"""),"")</f>
        <v/>
      </c>
      <c r="I3645" s="42"/>
      <c r="J3645" s="42" t="str">
        <f>IFERROR(__xludf.DUMMYFUNCTION("""COMPUTED_VALUE"""),"")</f>
        <v/>
      </c>
      <c r="K3645" s="42" t="str">
        <f>IFERROR(__xludf.DUMMYFUNCTION("""COMPUTED_VALUE"""),"Campo de Golf Playa los Cocos")</f>
        <v>Campo de Golf Playa los Cocos</v>
      </c>
    </row>
    <row r="3646">
      <c r="A3646" s="42">
        <v>3645.0</v>
      </c>
      <c r="B3646" s="42" t="str">
        <f>IFERROR(__xludf.DUMMYFUNCTION("""COMPUTED_VALUE"""),"Campo de Golf Playa los Cocos")</f>
        <v>Campo de Golf Playa los Cocos</v>
      </c>
      <c r="C3646" s="42" t="str">
        <f>IFERROR(__xludf.DUMMYFUNCTION("""COMPUTED_VALUE"""),"Williams Lopez")</f>
        <v>Williams Lopez</v>
      </c>
      <c r="D3646" s="42" t="str">
        <f>IFERROR(__xludf.DUMMYFUNCTION("""COMPUTED_VALUE"""),"")</f>
        <v/>
      </c>
      <c r="E3646" s="42" t="str">
        <f>IFERROR(__xludf.DUMMYFUNCTION("""COMPUTED_VALUE"""),"")</f>
        <v/>
      </c>
      <c r="F3646" s="42" t="str">
        <f>IFERROR(__xludf.DUMMYFUNCTION("""COMPUTED_VALUE"""),"")</f>
        <v/>
      </c>
      <c r="G3646" s="42" t="str">
        <f>IFERROR(__xludf.DUMMYFUNCTION("""COMPUTED_VALUE"""),"")</f>
        <v/>
      </c>
      <c r="H3646" s="42" t="str">
        <f>IFERROR(__xludf.DUMMYFUNCTION("""COMPUTED_VALUE"""),"")</f>
        <v/>
      </c>
      <c r="I3646" s="42"/>
      <c r="J3646" s="42" t="str">
        <f>IFERROR(__xludf.DUMMYFUNCTION("""COMPUTED_VALUE"""),"")</f>
        <v/>
      </c>
      <c r="K3646" s="42" t="str">
        <f>IFERROR(__xludf.DUMMYFUNCTION("""COMPUTED_VALUE"""),"Campo de Golf Playa los Cocos")</f>
        <v>Campo de Golf Playa los Cocos</v>
      </c>
    </row>
    <row r="3647">
      <c r="A3647" s="42">
        <v>3646.0</v>
      </c>
      <c r="B3647" s="42" t="str">
        <f>IFERROR(__xludf.DUMMYFUNCTION("""COMPUTED_VALUE"""),"Campo de Golf Playa los Cocos")</f>
        <v>Campo de Golf Playa los Cocos</v>
      </c>
      <c r="C3647" s="42" t="str">
        <f>IFERROR(__xludf.DUMMYFUNCTION("""COMPUTED_VALUE"""),"Willmar Gomez")</f>
        <v>Willmar Gomez</v>
      </c>
      <c r="D3647" s="42" t="str">
        <f>IFERROR(__xludf.DUMMYFUNCTION("""COMPUTED_VALUE"""),"")</f>
        <v/>
      </c>
      <c r="E3647" s="42" t="str">
        <f>IFERROR(__xludf.DUMMYFUNCTION("""COMPUTED_VALUE"""),"")</f>
        <v/>
      </c>
      <c r="F3647" s="42" t="str">
        <f>IFERROR(__xludf.DUMMYFUNCTION("""COMPUTED_VALUE"""),"")</f>
        <v/>
      </c>
      <c r="G3647" s="42" t="str">
        <f>IFERROR(__xludf.DUMMYFUNCTION("""COMPUTED_VALUE"""),"")</f>
        <v/>
      </c>
      <c r="H3647" s="42" t="str">
        <f>IFERROR(__xludf.DUMMYFUNCTION("""COMPUTED_VALUE"""),"")</f>
        <v/>
      </c>
      <c r="I3647" s="42"/>
      <c r="J3647" s="42" t="str">
        <f>IFERROR(__xludf.DUMMYFUNCTION("""COMPUTED_VALUE"""),"")</f>
        <v/>
      </c>
      <c r="K3647" s="42" t="str">
        <f>IFERROR(__xludf.DUMMYFUNCTION("""COMPUTED_VALUE"""),"Campo de Golf Playa los Cocos")</f>
        <v>Campo de Golf Playa los Cocos</v>
      </c>
    </row>
    <row r="3648">
      <c r="A3648" s="42">
        <v>3647.0</v>
      </c>
      <c r="B3648" s="42" t="str">
        <f>IFERROR(__xludf.DUMMYFUNCTION("""COMPUTED_VALUE"""),"Campo de Golf Playa los Cocos")</f>
        <v>Campo de Golf Playa los Cocos</v>
      </c>
      <c r="C3648" s="42" t="str">
        <f>IFERROR(__xludf.DUMMYFUNCTION("""COMPUTED_VALUE"""),"Wilmar Palomino")</f>
        <v>Wilmar Palomino</v>
      </c>
      <c r="D3648" s="42" t="str">
        <f>IFERROR(__xludf.DUMMYFUNCTION("""COMPUTED_VALUE"""),"")</f>
        <v/>
      </c>
      <c r="E3648" s="42" t="str">
        <f>IFERROR(__xludf.DUMMYFUNCTION("""COMPUTED_VALUE"""),"")</f>
        <v/>
      </c>
      <c r="F3648" s="42" t="str">
        <f>IFERROR(__xludf.DUMMYFUNCTION("""COMPUTED_VALUE"""),"")</f>
        <v/>
      </c>
      <c r="G3648" s="42" t="str">
        <f>IFERROR(__xludf.DUMMYFUNCTION("""COMPUTED_VALUE"""),"")</f>
        <v/>
      </c>
      <c r="H3648" s="42" t="str">
        <f>IFERROR(__xludf.DUMMYFUNCTION("""COMPUTED_VALUE"""),"")</f>
        <v/>
      </c>
      <c r="I3648" s="42"/>
      <c r="J3648" s="42" t="str">
        <f>IFERROR(__xludf.DUMMYFUNCTION("""COMPUTED_VALUE"""),"")</f>
        <v/>
      </c>
      <c r="K3648" s="42" t="str">
        <f>IFERROR(__xludf.DUMMYFUNCTION("""COMPUTED_VALUE"""),"Campo de Golf Playa los Cocos")</f>
        <v>Campo de Golf Playa los Cocos</v>
      </c>
    </row>
    <row r="3649">
      <c r="A3649" s="42">
        <v>3648.0</v>
      </c>
      <c r="B3649" s="42" t="str">
        <f>IFERROR(__xludf.DUMMYFUNCTION("""COMPUTED_VALUE"""),"Hospital Domingo Luciani")</f>
        <v>Hospital Domingo Luciani</v>
      </c>
      <c r="C3649" s="42" t="str">
        <f>IFERROR(__xludf.DUMMYFUNCTION("""COMPUTED_VALUE"""),"Wilmer Balbueno")</f>
        <v>Wilmer Balbueno</v>
      </c>
      <c r="D3649" s="42">
        <f>IFERROR(__xludf.DUMMYFUNCTION("""COMPUTED_VALUE"""),37.0)</f>
        <v>37</v>
      </c>
      <c r="E3649" s="42" t="str">
        <f>IFERROR(__xludf.DUMMYFUNCTION("""COMPUTED_VALUE"""),"")</f>
        <v/>
      </c>
      <c r="F3649" s="42" t="str">
        <f>IFERROR(__xludf.DUMMYFUNCTION("""COMPUTED_VALUE"""),"")</f>
        <v/>
      </c>
      <c r="G3649" s="42"/>
      <c r="H3649" s="42"/>
      <c r="I3649" s="42"/>
      <c r="J3649" s="42" t="str">
        <f>IFERROR(__xludf.DUMMYFUNCTION("""COMPUTED_VALUE"""),"")</f>
        <v/>
      </c>
      <c r="K3649" s="42" t="str">
        <f>IFERROR(__xludf.DUMMYFUNCTION("""COMPUTED_VALUE"""),"Hospital Domingo Luciani")</f>
        <v>Hospital Domingo Luciani</v>
      </c>
    </row>
    <row r="3650">
      <c r="A3650" s="42">
        <v>3649.0</v>
      </c>
      <c r="B3650" s="42" t="str">
        <f>IFERROR(__xludf.DUMMYFUNCTION("""COMPUTED_VALUE"""),"Hospital Domingo Luciani")</f>
        <v>Hospital Domingo Luciani</v>
      </c>
      <c r="C3650" s="42" t="str">
        <f>IFERROR(__xludf.DUMMYFUNCTION("""COMPUTED_VALUE"""),"WINCHESTER KELLYS")</f>
        <v>WINCHESTER KELLYS</v>
      </c>
      <c r="D3650" s="42">
        <f>IFERROR(__xludf.DUMMYFUNCTION("""COMPUTED_VALUE"""),28.0)</f>
        <v>28</v>
      </c>
      <c r="E3650" s="42" t="str">
        <f>IFERROR(__xludf.DUMMYFUNCTION("""COMPUTED_VALUE"""),"")</f>
        <v/>
      </c>
      <c r="F3650" s="42" t="str">
        <f>IFERROR(__xludf.DUMMYFUNCTION("""COMPUTED_VALUE"""),"")</f>
        <v/>
      </c>
      <c r="G3650" s="42" t="str">
        <f>IFERROR(__xludf.DUMMYFUNCTION("""COMPUTED_VALUE""")," ")</f>
        <v> </v>
      </c>
      <c r="H3650" s="42" t="str">
        <f>IFERROR(__xludf.DUMMYFUNCTION("""COMPUTED_VALUE""")," ")</f>
        <v> </v>
      </c>
      <c r="I3650" s="42" t="str">
        <f>IFERROR(__xludf.DUMMYFUNCTION("""COMPUTED_VALUE""")," ")</f>
        <v> </v>
      </c>
      <c r="J3650" s="42" t="str">
        <f>IFERROR(__xludf.DUMMYFUNCTION("""COMPUTED_VALUE"""),"")</f>
        <v/>
      </c>
      <c r="K3650" s="42" t="str">
        <f>IFERROR(__xludf.DUMMYFUNCTION("""COMPUTED_VALUE"""),"🔍 BUSCAR PACIENTES")</f>
        <v>🔍 BUSCAR PACIENTES</v>
      </c>
    </row>
    <row r="3651">
      <c r="A3651" s="42">
        <v>3650.0</v>
      </c>
      <c r="B3651" s="42" t="str">
        <f>IFERROR(__xludf.DUMMYFUNCTION("""COMPUTED_VALUE"""),"HOSPITAL VARGAS")</f>
        <v>HOSPITAL VARGAS</v>
      </c>
      <c r="C3651" s="42" t="str">
        <f>IFERROR(__xludf.DUMMYFUNCTION("""COMPUTED_VALUE"""),"Winston Gonzalez")</f>
        <v>Winston Gonzalez</v>
      </c>
      <c r="D3651" s="42"/>
      <c r="E3651" s="42" t="str">
        <f>IFERROR(__xludf.DUMMYFUNCTION("""COMPUTED_VALUE"""),"")</f>
        <v/>
      </c>
      <c r="F3651" s="42" t="str">
        <f>IFERROR(__xludf.DUMMYFUNCTION("""COMPUTED_VALUE"""),"")</f>
        <v/>
      </c>
      <c r="G3651" s="42" t="str">
        <f>IFERROR(__xludf.DUMMYFUNCTION("""COMPUTED_VALUE"""),"")</f>
        <v/>
      </c>
      <c r="H3651" s="42" t="str">
        <f>IFERROR(__xludf.DUMMYFUNCTION("""COMPUTED_VALUE"""),"")</f>
        <v/>
      </c>
      <c r="I3651" s="42" t="str">
        <f>IFERROR(__xludf.DUMMYFUNCTION("""COMPUTED_VALUE"""),"Herido / atendido")</f>
        <v>Herido / atendido</v>
      </c>
      <c r="J3651" s="42" t="str">
        <f>IFERROR(__xludf.DUMMYFUNCTION("""COMPUTED_VALUE"""),"24.06.2026 ")</f>
        <v>24.06.2026 </v>
      </c>
      <c r="K3651" s="42" t="str">
        <f>IFERROR(__xludf.DUMMYFUNCTION("""COMPUTED_VALUE"""),"HOSPITAL VARGAS")</f>
        <v>HOSPITAL VARGAS</v>
      </c>
    </row>
    <row r="3652">
      <c r="A3652" s="42">
        <v>3651.0</v>
      </c>
      <c r="B3652" s="42" t="str">
        <f>IFERROR(__xludf.DUMMYFUNCTION("""COMPUTED_VALUE"""),"Hospital Pérez Carreño")</f>
        <v>Hospital Pérez Carreño</v>
      </c>
      <c r="C3652" s="42" t="str">
        <f>IFERROR(__xludf.DUMMYFUNCTION("""COMPUTED_VALUE"""),"Wiston Avendaño")</f>
        <v>Wiston Avendaño</v>
      </c>
      <c r="D3652" s="42"/>
      <c r="E3652" s="42" t="str">
        <f>IFERROR(__xludf.DUMMYFUNCTION("""COMPUTED_VALUE"""),"")</f>
        <v/>
      </c>
      <c r="F3652" s="42" t="str">
        <f>IFERROR(__xludf.DUMMYFUNCTION("""COMPUTED_VALUE"""),"")</f>
        <v/>
      </c>
      <c r="G3652" s="42" t="str">
        <f>IFERROR(__xludf.DUMMYFUNCTION("""COMPUTED_VALUE"""),"Traumashock ")</f>
        <v>Traumashock </v>
      </c>
      <c r="H3652" s="42" t="str">
        <f>IFERROR(__xludf.DUMMYFUNCTION("""COMPUTED_VALUE"""),"Hospital Miguel Perez Carreño")</f>
        <v>Hospital Miguel Perez Carreño</v>
      </c>
      <c r="I3652" s="42"/>
      <c r="J3652" s="42" t="str">
        <f>IFERROR(__xludf.DUMMYFUNCTION("""COMPUTED_VALUE"""),"26/6/26")</f>
        <v>26/6/26</v>
      </c>
      <c r="K3652" s="42" t="str">
        <f>IFERROR(__xludf.DUMMYFUNCTION("""COMPUTED_VALUE"""),"Hospital Pérez Carreño")</f>
        <v>Hospital Pérez Carreño</v>
      </c>
    </row>
    <row r="3653">
      <c r="A3653" s="42">
        <v>3652.0</v>
      </c>
      <c r="B3653" s="42" t="str">
        <f>IFERROR(__xludf.DUMMYFUNCTION("""COMPUTED_VALUE"""),"Seguro Social La Guaira")</f>
        <v>Seguro Social La Guaira</v>
      </c>
      <c r="C3653" s="42" t="str">
        <f>IFERROR(__xludf.DUMMYFUNCTION("""COMPUTED_VALUE"""),"WISTON GONZALES")</f>
        <v>WISTON GONZALES</v>
      </c>
      <c r="D3653" s="42" t="str">
        <f>IFERROR(__xludf.DUMMYFUNCTION("""COMPUTED_VALUE""")," ")</f>
        <v> </v>
      </c>
      <c r="E3653" s="42" t="str">
        <f>IFERROR(__xludf.DUMMYFUNCTION("""COMPUTED_VALUE"""),"")</f>
        <v/>
      </c>
      <c r="F3653" s="42" t="str">
        <f>IFERROR(__xludf.DUMMYFUNCTION("""COMPUTED_VALUE"""),"")</f>
        <v/>
      </c>
      <c r="G3653" s="42" t="str">
        <f>IFERROR(__xludf.DUMMYFUNCTION("""COMPUTED_VALUE""")," ")</f>
        <v> </v>
      </c>
      <c r="H3653" s="42" t="str">
        <f>IFERROR(__xludf.DUMMYFUNCTION("""COMPUTED_VALUE""")," ")</f>
        <v> </v>
      </c>
      <c r="I3653" s="42" t="str">
        <f>IFERROR(__xludf.DUMMYFUNCTION("""COMPUTED_VALUE""")," ")</f>
        <v> </v>
      </c>
      <c r="J3653" s="42" t="str">
        <f>IFERROR(__xludf.DUMMYFUNCTION("""COMPUTED_VALUE"""),"")</f>
        <v/>
      </c>
      <c r="K3653" s="42" t="str">
        <f>IFERROR(__xludf.DUMMYFUNCTION("""COMPUTED_VALUE"""),"Seguro Social La Guaira")</f>
        <v>Seguro Social La Guaira</v>
      </c>
    </row>
    <row r="3654">
      <c r="A3654" s="42">
        <v>3653.0</v>
      </c>
      <c r="B3654" s="42" t="str">
        <f>IFERROR(__xludf.DUMMYFUNCTION("""COMPUTED_VALUE"""),"Seguro Social La Guaira")</f>
        <v>Seguro Social La Guaira</v>
      </c>
      <c r="C3654" s="42" t="str">
        <f>IFERROR(__xludf.DUMMYFUNCTION("""COMPUTED_VALUE"""),"XIOMARA MALAVE")</f>
        <v>XIOMARA MALAVE</v>
      </c>
      <c r="D3654" s="42" t="str">
        <f>IFERROR(__xludf.DUMMYFUNCTION("""COMPUTED_VALUE""")," ")</f>
        <v> </v>
      </c>
      <c r="E3654" s="42" t="str">
        <f>IFERROR(__xludf.DUMMYFUNCTION("""COMPUTED_VALUE"""),"")</f>
        <v/>
      </c>
      <c r="F3654" s="42" t="str">
        <f>IFERROR(__xludf.DUMMYFUNCTION("""COMPUTED_VALUE"""),"")</f>
        <v/>
      </c>
      <c r="G3654" s="42" t="str">
        <f>IFERROR(__xludf.DUMMYFUNCTION("""COMPUTED_VALUE""")," ")</f>
        <v> </v>
      </c>
      <c r="H3654" s="42" t="str">
        <f>IFERROR(__xludf.DUMMYFUNCTION("""COMPUTED_VALUE"""),"Caraballeda")</f>
        <v>Caraballeda</v>
      </c>
      <c r="I3654" s="42" t="str">
        <f>IFERROR(__xludf.DUMMYFUNCTION("""COMPUTED_VALUE""")," ")</f>
        <v> </v>
      </c>
      <c r="J3654" s="42" t="str">
        <f>IFERROR(__xludf.DUMMYFUNCTION("""COMPUTED_VALUE"""),"")</f>
        <v/>
      </c>
      <c r="K3654" s="42" t="str">
        <f>IFERROR(__xludf.DUMMYFUNCTION("""COMPUTED_VALUE"""),"Seguro Social La Guaira")</f>
        <v>Seguro Social La Guaira</v>
      </c>
    </row>
    <row r="3655">
      <c r="A3655" s="42">
        <v>3654.0</v>
      </c>
      <c r="B3655" s="42" t="str">
        <f>IFERROR(__xludf.DUMMYFUNCTION("""COMPUTED_VALUE"""),"Hospital Pérez Carreño")</f>
        <v>Hospital Pérez Carreño</v>
      </c>
      <c r="C3655" s="42" t="str">
        <f>IFERROR(__xludf.DUMMYFUNCTION("""COMPUTED_VALUE"""),"Yacar Pdet")</f>
        <v>Yacar Pdet</v>
      </c>
      <c r="D3655" s="42"/>
      <c r="E3655" s="42" t="str">
        <f>IFERROR(__xludf.DUMMYFUNCTION("""COMPUTED_VALUE"""),"")</f>
        <v/>
      </c>
      <c r="F3655" s="42" t="str">
        <f>IFERROR(__xludf.DUMMYFUNCTION("""COMPUTED_VALUE"""),"")</f>
        <v/>
      </c>
      <c r="G3655" s="42" t="str">
        <f>IFERROR(__xludf.DUMMYFUNCTION("""COMPUTED_VALUE"""),"Traslados con destino asignado")</f>
        <v>Traslados con destino asignado</v>
      </c>
      <c r="H3655" s="42" t="str">
        <f>IFERROR(__xludf.DUMMYFUNCTION("""COMPUTED_VALUE"""),"Hospital Miguel Perez Carreño")</f>
        <v>Hospital Miguel Perez Carreño</v>
      </c>
      <c r="I3655" s="42"/>
      <c r="J3655" s="42" t="str">
        <f>IFERROR(__xludf.DUMMYFUNCTION("""COMPUTED_VALUE"""),"26/6/26")</f>
        <v>26/6/26</v>
      </c>
      <c r="K3655" s="42" t="str">
        <f>IFERROR(__xludf.DUMMYFUNCTION("""COMPUTED_VALUE"""),"Hospital Pérez Carreño")</f>
        <v>Hospital Pérez Carreño</v>
      </c>
    </row>
    <row r="3656">
      <c r="A3656" s="42">
        <v>3655.0</v>
      </c>
      <c r="B3656" s="42" t="str">
        <f>IFERROR(__xludf.DUMMYFUNCTION("""COMPUTED_VALUE"""),"Periférico de Catia")</f>
        <v>Periférico de Catia</v>
      </c>
      <c r="C3656" s="42" t="str">
        <f>IFERROR(__xludf.DUMMYFUNCTION("""COMPUTED_VALUE"""),"YACHER NANCY DURAN")</f>
        <v>YACHER NANCY DURAN</v>
      </c>
      <c r="D3656" s="42" t="str">
        <f>IFERROR(__xludf.DUMMYFUNCTION("""COMPUTED_VALUE""")," ")</f>
        <v> </v>
      </c>
      <c r="E3656" s="42" t="str">
        <f>IFERROR(__xludf.DUMMYFUNCTION("""COMPUTED_VALUE"""),"")</f>
        <v/>
      </c>
      <c r="F3656" s="42" t="str">
        <f>IFERROR(__xludf.DUMMYFUNCTION("""COMPUTED_VALUE"""),"")</f>
        <v/>
      </c>
      <c r="G3656" s="42" t="str">
        <f>IFERROR(__xludf.DUMMYFUNCTION("""COMPUTED_VALUE""")," ")</f>
        <v> </v>
      </c>
      <c r="H3656" s="42" t="str">
        <f>IFERROR(__xludf.DUMMYFUNCTION("""COMPUTED_VALUE"""),"Ciudad Nueva Torre")</f>
        <v>Ciudad Nueva Torre</v>
      </c>
      <c r="I3656" s="42" t="str">
        <f>IFERROR(__xludf.DUMMYFUNCTION("""COMPUTED_VALUE""")," ")</f>
        <v> </v>
      </c>
      <c r="J3656" s="42" t="str">
        <f>IFERROR(__xludf.DUMMYFUNCTION("""COMPUTED_VALUE"""),"")</f>
        <v/>
      </c>
      <c r="K3656" s="42" t="str">
        <f>IFERROR(__xludf.DUMMYFUNCTION("""COMPUTED_VALUE"""),"Periférico de Catia")</f>
        <v>Periférico de Catia</v>
      </c>
    </row>
    <row r="3657">
      <c r="A3657" s="42">
        <v>3656.0</v>
      </c>
      <c r="B3657" s="42" t="str">
        <f>IFERROR(__xludf.DUMMYFUNCTION("""COMPUTED_VALUE"""),"Seguro Social La Guaira")</f>
        <v>Seguro Social La Guaira</v>
      </c>
      <c r="C3657" s="42" t="str">
        <f>IFERROR(__xludf.DUMMYFUNCTION("""COMPUTED_VALUE"""),"YACILIS CARZADILLA")</f>
        <v>YACILIS CARZADILLA</v>
      </c>
      <c r="D3657" s="42">
        <f>IFERROR(__xludf.DUMMYFUNCTION("""COMPUTED_VALUE"""),50.0)</f>
        <v>50</v>
      </c>
      <c r="E3657" s="42" t="str">
        <f>IFERROR(__xludf.DUMMYFUNCTION("""COMPUTED_VALUE"""),"")</f>
        <v/>
      </c>
      <c r="F3657" s="42" t="str">
        <f>IFERROR(__xludf.DUMMYFUNCTION("""COMPUTED_VALUE"""),"")</f>
        <v/>
      </c>
      <c r="G3657" s="42" t="str">
        <f>IFERROR(__xludf.DUMMYFUNCTION("""COMPUTED_VALUE""")," ")</f>
        <v> </v>
      </c>
      <c r="H3657" s="42" t="str">
        <f>IFERROR(__xludf.DUMMYFUNCTION("""COMPUTED_VALUE"""),"Caribe / Tanaguarena")</f>
        <v>Caribe / Tanaguarena</v>
      </c>
      <c r="I3657" s="42" t="str">
        <f>IFERROR(__xludf.DUMMYFUNCTION("""COMPUTED_VALUE""")," ")</f>
        <v> </v>
      </c>
      <c r="J3657" s="42" t="str">
        <f>IFERROR(__xludf.DUMMYFUNCTION("""COMPUTED_VALUE"""),"")</f>
        <v/>
      </c>
      <c r="K3657" s="42" t="str">
        <f>IFERROR(__xludf.DUMMYFUNCTION("""COMPUTED_VALUE"""),"Seguro Social La Guaira")</f>
        <v>Seguro Social La Guaira</v>
      </c>
    </row>
    <row r="3658">
      <c r="A3658" s="42">
        <v>3657.0</v>
      </c>
      <c r="B3658" s="42" t="str">
        <f>IFERROR(__xludf.DUMMYFUNCTION("""COMPUTED_VALUE"""),"Hospital Pérez Carreño")</f>
        <v>Hospital Pérez Carreño</v>
      </c>
      <c r="C3658" s="42" t="str">
        <f>IFERROR(__xludf.DUMMYFUNCTION("""COMPUTED_VALUE"""),"Yadano Flores")</f>
        <v>Yadano Flores</v>
      </c>
      <c r="D3658" s="42" t="str">
        <f>IFERROR(__xludf.DUMMYFUNCTION("""COMPUTED_VALUE"""),"10 años")</f>
        <v>10 años</v>
      </c>
      <c r="E3658" s="42" t="str">
        <f>IFERROR(__xludf.DUMMYFUNCTION("""COMPUTED_VALUE"""),"")</f>
        <v/>
      </c>
      <c r="F3658" s="42" t="str">
        <f>IFERROR(__xludf.DUMMYFUNCTION("""COMPUTED_VALUE"""),"")</f>
        <v/>
      </c>
      <c r="G3658" s="42" t="str">
        <f>IFERROR(__xludf.DUMMYFUNCTION("""COMPUTED_VALUE"""),"Pediatria")</f>
        <v>Pediatria</v>
      </c>
      <c r="H3658" s="42" t="str">
        <f>IFERROR(__xludf.DUMMYFUNCTION("""COMPUTED_VALUE"""),"Hospital Miguel Perez Carreño")</f>
        <v>Hospital Miguel Perez Carreño</v>
      </c>
      <c r="I3658" s="42"/>
      <c r="J3658" s="42" t="str">
        <f>IFERROR(__xludf.DUMMYFUNCTION("""COMPUTED_VALUE"""),"26/6/26")</f>
        <v>26/6/26</v>
      </c>
      <c r="K3658" s="42" t="str">
        <f>IFERROR(__xludf.DUMMYFUNCTION("""COMPUTED_VALUE"""),"Hospital Pérez Carreño")</f>
        <v>Hospital Pérez Carreño</v>
      </c>
    </row>
    <row r="3659">
      <c r="A3659" s="42">
        <v>3658.0</v>
      </c>
      <c r="B3659" s="42" t="str">
        <f>IFERROR(__xludf.DUMMYFUNCTION("""COMPUTED_VALUE"""),"Hospital Pérez Carreño")</f>
        <v>Hospital Pérez Carreño</v>
      </c>
      <c r="C3659" s="42" t="str">
        <f>IFERROR(__xludf.DUMMYFUNCTION("""COMPUTED_VALUE"""),"Yahelis Seigar")</f>
        <v>Yahelis Seigar</v>
      </c>
      <c r="D3659" s="42"/>
      <c r="E3659" s="42" t="str">
        <f>IFERROR(__xludf.DUMMYFUNCTION("""COMPUTED_VALUE"""),"")</f>
        <v/>
      </c>
      <c r="F3659" s="42" t="str">
        <f>IFERROR(__xludf.DUMMYFUNCTION("""COMPUTED_VALUE"""),"")</f>
        <v/>
      </c>
      <c r="G3659" s="42" t="str">
        <f>IFERROR(__xludf.DUMMYFUNCTION("""COMPUTED_VALUE"""),"Traumashock ")</f>
        <v>Traumashock </v>
      </c>
      <c r="H3659" s="42" t="str">
        <f>IFERROR(__xludf.DUMMYFUNCTION("""COMPUTED_VALUE"""),"Hospital Miguel Perez Carreño")</f>
        <v>Hospital Miguel Perez Carreño</v>
      </c>
      <c r="I3659" s="42"/>
      <c r="J3659" s="42" t="str">
        <f>IFERROR(__xludf.DUMMYFUNCTION("""COMPUTED_VALUE"""),"26/6/26")</f>
        <v>26/6/26</v>
      </c>
      <c r="K3659" s="42" t="str">
        <f>IFERROR(__xludf.DUMMYFUNCTION("""COMPUTED_VALUE"""),"Hospital Pérez Carreño")</f>
        <v>Hospital Pérez Carreño</v>
      </c>
    </row>
    <row r="3660">
      <c r="A3660" s="42">
        <v>3659.0</v>
      </c>
      <c r="B3660" s="42" t="str">
        <f>IFERROR(__xludf.DUMMYFUNCTION("""COMPUTED_VALUE"""),"Periférico de Catia")</f>
        <v>Periférico de Catia</v>
      </c>
      <c r="C3660" s="42" t="str">
        <f>IFERROR(__xludf.DUMMYFUNCTION("""COMPUTED_VALUE"""),"Yaiskar Castillo")</f>
        <v>Yaiskar Castillo</v>
      </c>
      <c r="D3660" s="42">
        <f>IFERROR(__xludf.DUMMYFUNCTION("""COMPUTED_VALUE"""),28.0)</f>
        <v>28</v>
      </c>
      <c r="E3660" s="42" t="str">
        <f>IFERROR(__xludf.DUMMYFUNCTION("""COMPUTED_VALUE"""),"")</f>
        <v/>
      </c>
      <c r="F3660" s="42" t="str">
        <f>IFERROR(__xludf.DUMMYFUNCTION("""COMPUTED_VALUE"""),"")</f>
        <v/>
      </c>
      <c r="G3660" s="42"/>
      <c r="H3660" s="42"/>
      <c r="I3660" s="42" t="str">
        <f>IFERROR(__xludf.DUMMYFUNCTION("""COMPUTED_VALUE"""),"Politrauma (pizarra con anotaciones de ubicacion/estudio: Piso, Rx, Triaje, Trauma) — posible duplicado de 'Iaskara Castillo 28' en Politrauma Emergencia Vieja")</f>
        <v>Politrauma (pizarra con anotaciones de ubicacion/estudio: Piso, Rx, Triaje, Trauma) — posible duplicado de 'Iaskara Castillo 28' en Politrauma Emergencia Vieja</v>
      </c>
      <c r="J3660" s="42" t="str">
        <f>IFERROR(__xludf.DUMMYFUNCTION("""COMPUTED_VALUE"""),"")</f>
        <v/>
      </c>
      <c r="K3660" s="42" t="str">
        <f>IFERROR(__xludf.DUMMYFUNCTION("""COMPUTED_VALUE"""),"Periférico de Catia")</f>
        <v>Periférico de Catia</v>
      </c>
    </row>
    <row r="3661">
      <c r="A3661" s="42">
        <v>3660.0</v>
      </c>
      <c r="B3661" s="42" t="str">
        <f>IFERROR(__xludf.DUMMYFUNCTION("""COMPUTED_VALUE"""),"Campo de Golf Playa los Cocos")</f>
        <v>Campo de Golf Playa los Cocos</v>
      </c>
      <c r="C3661" s="42" t="str">
        <f>IFERROR(__xludf.DUMMYFUNCTION("""COMPUTED_VALUE"""),"Yajaira Martinez Barrio")</f>
        <v>Yajaira Martinez Barrio</v>
      </c>
      <c r="D3661" s="42" t="str">
        <f>IFERROR(__xludf.DUMMYFUNCTION("""COMPUTED_VALUE"""),"")</f>
        <v/>
      </c>
      <c r="E3661" s="42" t="str">
        <f>IFERROR(__xludf.DUMMYFUNCTION("""COMPUTED_VALUE"""),"")</f>
        <v/>
      </c>
      <c r="F3661" s="42" t="str">
        <f>IFERROR(__xludf.DUMMYFUNCTION("""COMPUTED_VALUE"""),"")</f>
        <v/>
      </c>
      <c r="G3661" s="42" t="str">
        <f>IFERROR(__xludf.DUMMYFUNCTION("""COMPUTED_VALUE"""),"")</f>
        <v/>
      </c>
      <c r="H3661" s="42" t="str">
        <f>IFERROR(__xludf.DUMMYFUNCTION("""COMPUTED_VALUE"""),"")</f>
        <v/>
      </c>
      <c r="I3661" s="42"/>
      <c r="J3661" s="42" t="str">
        <f>IFERROR(__xludf.DUMMYFUNCTION("""COMPUTED_VALUE"""),"")</f>
        <v/>
      </c>
      <c r="K3661" s="42" t="str">
        <f>IFERROR(__xludf.DUMMYFUNCTION("""COMPUTED_VALUE"""),"Campo de Golf Playa los Cocos")</f>
        <v>Campo de Golf Playa los Cocos</v>
      </c>
    </row>
    <row r="3662">
      <c r="A3662" s="42">
        <v>3661.0</v>
      </c>
      <c r="B3662" s="42" t="str">
        <f>IFERROR(__xludf.DUMMYFUNCTION("""COMPUTED_VALUE"""),"Periférico de Catia")</f>
        <v>Periférico de Catia</v>
      </c>
      <c r="C3662" s="42" t="str">
        <f>IFERROR(__xludf.DUMMYFUNCTION("""COMPUTED_VALUE"""),"YALEISY HADDAN")</f>
        <v>YALEISY HADDAN</v>
      </c>
      <c r="D3662" s="42" t="str">
        <f>IFERROR(__xludf.DUMMYFUNCTION("""COMPUTED_VALUE""")," ")</f>
        <v> </v>
      </c>
      <c r="E3662" s="42" t="str">
        <f>IFERROR(__xludf.DUMMYFUNCTION("""COMPUTED_VALUE"""),"")</f>
        <v/>
      </c>
      <c r="F3662" s="42" t="str">
        <f>IFERROR(__xludf.DUMMYFUNCTION("""COMPUTED_VALUE"""),"")</f>
        <v/>
      </c>
      <c r="G3662" s="42" t="str">
        <f>IFERROR(__xludf.DUMMYFUNCTION("""COMPUTED_VALUE""")," ")</f>
        <v> </v>
      </c>
      <c r="H3662" s="42" t="str">
        <f>IFERROR(__xludf.DUMMYFUNCTION("""COMPUTED_VALUE"""),"Campo Js. Vi Gallego")</f>
        <v>Campo Js. Vi Gallego</v>
      </c>
      <c r="I3662" s="42" t="str">
        <f>IFERROR(__xludf.DUMMYFUNCTION("""COMPUTED_VALUE""")," ")</f>
        <v> </v>
      </c>
      <c r="J3662" s="42" t="str">
        <f>IFERROR(__xludf.DUMMYFUNCTION("""COMPUTED_VALUE"""),"")</f>
        <v/>
      </c>
      <c r="K3662" s="42" t="str">
        <f>IFERROR(__xludf.DUMMYFUNCTION("""COMPUTED_VALUE"""),"Periférico de Catia")</f>
        <v>Periférico de Catia</v>
      </c>
    </row>
    <row r="3663">
      <c r="A3663" s="42">
        <v>3662.0</v>
      </c>
      <c r="B3663" s="42" t="str">
        <f>IFERROR(__xludf.DUMMYFUNCTION("""COMPUTED_VALUE"""),"Campo de Golf Playa los Cocos")</f>
        <v>Campo de Golf Playa los Cocos</v>
      </c>
      <c r="C3663" s="42" t="str">
        <f>IFERROR(__xludf.DUMMYFUNCTION("""COMPUTED_VALUE"""),"Yanay Margarita Villarroel")</f>
        <v>Yanay Margarita Villarroel</v>
      </c>
      <c r="D3663" s="42" t="str">
        <f>IFERROR(__xludf.DUMMYFUNCTION("""COMPUTED_VALUE"""),"")</f>
        <v/>
      </c>
      <c r="E3663" s="42" t="str">
        <f>IFERROR(__xludf.DUMMYFUNCTION("""COMPUTED_VALUE"""),"")</f>
        <v/>
      </c>
      <c r="F3663" s="42" t="str">
        <f>IFERROR(__xludf.DUMMYFUNCTION("""COMPUTED_VALUE"""),"")</f>
        <v/>
      </c>
      <c r="G3663" s="42" t="str">
        <f>IFERROR(__xludf.DUMMYFUNCTION("""COMPUTED_VALUE"""),"")</f>
        <v/>
      </c>
      <c r="H3663" s="42" t="str">
        <f>IFERROR(__xludf.DUMMYFUNCTION("""COMPUTED_VALUE"""),"")</f>
        <v/>
      </c>
      <c r="I3663" s="42" t="str">
        <f>IFERROR(__xludf.DUMMYFUNCTION("""COMPUTED_VALUE"""),"Nombre cortado en el borde de la foto original")</f>
        <v>Nombre cortado en el borde de la foto original</v>
      </c>
      <c r="J3663" s="42" t="str">
        <f>IFERROR(__xludf.DUMMYFUNCTION("""COMPUTED_VALUE"""),"")</f>
        <v/>
      </c>
      <c r="K3663" s="42" t="str">
        <f>IFERROR(__xludf.DUMMYFUNCTION("""COMPUTED_VALUE"""),"Campo de Golf Playa los Cocos")</f>
        <v>Campo de Golf Playa los Cocos</v>
      </c>
    </row>
    <row r="3664">
      <c r="A3664" s="42">
        <v>3663.0</v>
      </c>
      <c r="B3664" s="42" t="str">
        <f>IFERROR(__xludf.DUMMYFUNCTION("""COMPUTED_VALUE"""),"Campo de Golf Playa los Cocos")</f>
        <v>Campo de Golf Playa los Cocos</v>
      </c>
      <c r="C3664" s="42" t="str">
        <f>IFERROR(__xludf.DUMMYFUNCTION("""COMPUTED_VALUE"""),"Yanderson Diaz")</f>
        <v>Yanderson Diaz</v>
      </c>
      <c r="D3664" s="42" t="str">
        <f>IFERROR(__xludf.DUMMYFUNCTION("""COMPUTED_VALUE"""),"")</f>
        <v/>
      </c>
      <c r="E3664" s="42" t="str">
        <f>IFERROR(__xludf.DUMMYFUNCTION("""COMPUTED_VALUE"""),"")</f>
        <v/>
      </c>
      <c r="F3664" s="42" t="str">
        <f>IFERROR(__xludf.DUMMYFUNCTION("""COMPUTED_VALUE"""),"")</f>
        <v/>
      </c>
      <c r="G3664" s="42" t="str">
        <f>IFERROR(__xludf.DUMMYFUNCTION("""COMPUTED_VALUE"""),"")</f>
        <v/>
      </c>
      <c r="H3664" s="42" t="str">
        <f>IFERROR(__xludf.DUMMYFUNCTION("""COMPUTED_VALUE"""),"")</f>
        <v/>
      </c>
      <c r="I3664" s="42"/>
      <c r="J3664" s="42" t="str">
        <f>IFERROR(__xludf.DUMMYFUNCTION("""COMPUTED_VALUE"""),"")</f>
        <v/>
      </c>
      <c r="K3664" s="42" t="str">
        <f>IFERROR(__xludf.DUMMYFUNCTION("""COMPUTED_VALUE"""),"Campo de Golf Playa los Cocos")</f>
        <v>Campo de Golf Playa los Cocos</v>
      </c>
    </row>
    <row r="3665">
      <c r="A3665" s="42">
        <v>3664.0</v>
      </c>
      <c r="B3665" s="42" t="str">
        <f>IFERROR(__xludf.DUMMYFUNCTION("""COMPUTED_VALUE"""),"Hospital Domingo Luciani")</f>
        <v>Hospital Domingo Luciani</v>
      </c>
      <c r="C3665" s="42" t="str">
        <f>IFERROR(__xludf.DUMMYFUNCTION("""COMPUTED_VALUE"""),"YANDI SEBASTIAN")</f>
        <v>YANDI SEBASTIAN</v>
      </c>
      <c r="D3665" s="42">
        <f>IFERROR(__xludf.DUMMYFUNCTION("""COMPUTED_VALUE"""),7.0)</f>
        <v>7</v>
      </c>
      <c r="E3665" s="42" t="str">
        <f>IFERROR(__xludf.DUMMYFUNCTION("""COMPUTED_VALUE"""),"")</f>
        <v/>
      </c>
      <c r="F3665" s="42" t="str">
        <f>IFERROR(__xludf.DUMMYFUNCTION("""COMPUTED_VALUE"""),"")</f>
        <v/>
      </c>
      <c r="G3665" s="42" t="str">
        <f>IFERROR(__xludf.DUMMYFUNCTION("""COMPUTED_VALUE""")," ")</f>
        <v> </v>
      </c>
      <c r="H3665" s="42" t="str">
        <f>IFERROR(__xludf.DUMMYFUNCTION("""COMPUTED_VALUE""")," ")</f>
        <v> </v>
      </c>
      <c r="I3665" s="42" t="str">
        <f>IFERROR(__xludf.DUMMYFUNCTION("""COMPUTED_VALUE"""),"Pediatría – La Guaira")</f>
        <v>Pediatría – La Guaira</v>
      </c>
      <c r="J3665" s="42" t="str">
        <f>IFERROR(__xludf.DUMMYFUNCTION("""COMPUTED_VALUE"""),"")</f>
        <v/>
      </c>
      <c r="K3665" s="42" t="str">
        <f>IFERROR(__xludf.DUMMYFUNCTION("""COMPUTED_VALUE"""),"🔍 BUSCAR PACIENTES")</f>
        <v>🔍 BUSCAR PACIENTES</v>
      </c>
    </row>
    <row r="3666">
      <c r="A3666" s="42">
        <v>3665.0</v>
      </c>
      <c r="B3666" s="42" t="str">
        <f>IFERROR(__xludf.DUMMYFUNCTION("""COMPUTED_VALUE"""),"Campo de Golf Playa los Cocos")</f>
        <v>Campo de Golf Playa los Cocos</v>
      </c>
      <c r="C3666" s="42" t="str">
        <f>IFERROR(__xludf.DUMMYFUNCTION("""COMPUTED_VALUE"""),"Yandreina Corvo")</f>
        <v>Yandreina Corvo</v>
      </c>
      <c r="D3666" s="42" t="str">
        <f>IFERROR(__xludf.DUMMYFUNCTION("""COMPUTED_VALUE"""),"")</f>
        <v/>
      </c>
      <c r="E3666" s="42" t="str">
        <f>IFERROR(__xludf.DUMMYFUNCTION("""COMPUTED_VALUE"""),"")</f>
        <v/>
      </c>
      <c r="F3666" s="42" t="str">
        <f>IFERROR(__xludf.DUMMYFUNCTION("""COMPUTED_VALUE"""),"")</f>
        <v/>
      </c>
      <c r="G3666" s="42" t="str">
        <f>IFERROR(__xludf.DUMMYFUNCTION("""COMPUTED_VALUE"""),"")</f>
        <v/>
      </c>
      <c r="H3666" s="42" t="str">
        <f>IFERROR(__xludf.DUMMYFUNCTION("""COMPUTED_VALUE"""),"")</f>
        <v/>
      </c>
      <c r="I3666" s="42"/>
      <c r="J3666" s="42" t="str">
        <f>IFERROR(__xludf.DUMMYFUNCTION("""COMPUTED_VALUE"""),"")</f>
        <v/>
      </c>
      <c r="K3666" s="42" t="str">
        <f>IFERROR(__xludf.DUMMYFUNCTION("""COMPUTED_VALUE"""),"Campo de Golf Playa los Cocos")</f>
        <v>Campo de Golf Playa los Cocos</v>
      </c>
    </row>
    <row r="3667">
      <c r="A3667" s="42">
        <v>3666.0</v>
      </c>
      <c r="B3667" s="42" t="str">
        <f>IFERROR(__xludf.DUMMYFUNCTION("""COMPUTED_VALUE"""),"HOSPITAL VARGAS")</f>
        <v>HOSPITAL VARGAS</v>
      </c>
      <c r="C3667" s="42" t="str">
        <f>IFERROR(__xludf.DUMMYFUNCTION("""COMPUTED_VALUE"""),"Yanel Coronel")</f>
        <v>Yanel Coronel</v>
      </c>
      <c r="D3667" s="42"/>
      <c r="E3667" s="42" t="str">
        <f>IFERROR(__xludf.DUMMYFUNCTION("""COMPUTED_VALUE"""),"")</f>
        <v/>
      </c>
      <c r="F3667" s="42" t="str">
        <f>IFERROR(__xludf.DUMMYFUNCTION("""COMPUTED_VALUE"""),"")</f>
        <v/>
      </c>
      <c r="G3667" s="42" t="str">
        <f>IFERROR(__xludf.DUMMYFUNCTION("""COMPUTED_VALUE"""),"")</f>
        <v/>
      </c>
      <c r="H3667" s="42" t="str">
        <f>IFERROR(__xludf.DUMMYFUNCTION("""COMPUTED_VALUE"""),"")</f>
        <v/>
      </c>
      <c r="I3667" s="42" t="str">
        <f>IFERROR(__xludf.DUMMYFUNCTION("""COMPUTED_VALUE"""),"Herido / atendido")</f>
        <v>Herido / atendido</v>
      </c>
      <c r="J3667" s="42" t="str">
        <f>IFERROR(__xludf.DUMMYFUNCTION("""COMPUTED_VALUE"""),"24.06.2026 ")</f>
        <v>24.06.2026 </v>
      </c>
      <c r="K3667" s="42" t="str">
        <f>IFERROR(__xludf.DUMMYFUNCTION("""COMPUTED_VALUE"""),"HOSPITAL VARGAS")</f>
        <v>HOSPITAL VARGAS</v>
      </c>
    </row>
    <row r="3668">
      <c r="A3668" s="42">
        <v>3667.0</v>
      </c>
      <c r="B3668" s="42" t="str">
        <f>IFERROR(__xludf.DUMMYFUNCTION("""COMPUTED_VALUE"""),"Campo de Golf Playa los Cocos")</f>
        <v>Campo de Golf Playa los Cocos</v>
      </c>
      <c r="C3668" s="42" t="str">
        <f>IFERROR(__xludf.DUMMYFUNCTION("""COMPUTED_VALUE"""),"Yanetsi Peralta")</f>
        <v>Yanetsi Peralta</v>
      </c>
      <c r="D3668" s="42" t="str">
        <f>IFERROR(__xludf.DUMMYFUNCTION("""COMPUTED_VALUE"""),"")</f>
        <v/>
      </c>
      <c r="E3668" s="42" t="str">
        <f>IFERROR(__xludf.DUMMYFUNCTION("""COMPUTED_VALUE"""),"")</f>
        <v/>
      </c>
      <c r="F3668" s="42" t="str">
        <f>IFERROR(__xludf.DUMMYFUNCTION("""COMPUTED_VALUE"""),"")</f>
        <v/>
      </c>
      <c r="G3668" s="42" t="str">
        <f>IFERROR(__xludf.DUMMYFUNCTION("""COMPUTED_VALUE"""),"")</f>
        <v/>
      </c>
      <c r="H3668" s="42" t="str">
        <f>IFERROR(__xludf.DUMMYFUNCTION("""COMPUTED_VALUE"""),"")</f>
        <v/>
      </c>
      <c r="I3668" s="42"/>
      <c r="J3668" s="42" t="str">
        <f>IFERROR(__xludf.DUMMYFUNCTION("""COMPUTED_VALUE"""),"")</f>
        <v/>
      </c>
      <c r="K3668" s="42" t="str">
        <f>IFERROR(__xludf.DUMMYFUNCTION("""COMPUTED_VALUE"""),"Campo de Golf Playa los Cocos")</f>
        <v>Campo de Golf Playa los Cocos</v>
      </c>
    </row>
    <row r="3669">
      <c r="A3669" s="42">
        <v>3668.0</v>
      </c>
      <c r="B3669" s="42" t="str">
        <f>IFERROR(__xludf.DUMMYFUNCTION("""COMPUTED_VALUE"""),"Hospital Domingo Luciani")</f>
        <v>Hospital Domingo Luciani</v>
      </c>
      <c r="C3669" s="42" t="str">
        <f>IFERROR(__xludf.DUMMYFUNCTION("""COMPUTED_VALUE"""),"YANIESKA GALVI")</f>
        <v>YANIESKA GALVI</v>
      </c>
      <c r="D3669" s="42">
        <f>IFERROR(__xludf.DUMMYFUNCTION("""COMPUTED_VALUE"""),33.0)</f>
        <v>33</v>
      </c>
      <c r="E3669" s="42" t="str">
        <f>IFERROR(__xludf.DUMMYFUNCTION("""COMPUTED_VALUE"""),"")</f>
        <v/>
      </c>
      <c r="F3669" s="42" t="str">
        <f>IFERROR(__xludf.DUMMYFUNCTION("""COMPUTED_VALUE"""),"")</f>
        <v/>
      </c>
      <c r="G3669" s="42" t="str">
        <f>IFERROR(__xludf.DUMMYFUNCTION("""COMPUTED_VALUE""")," ")</f>
        <v> </v>
      </c>
      <c r="H3669" s="42" t="str">
        <f>IFERROR(__xludf.DUMMYFUNCTION("""COMPUTED_VALUE""")," ")</f>
        <v> </v>
      </c>
      <c r="I3669" s="42" t="str">
        <f>IFERROR(__xludf.DUMMYFUNCTION("""COMPUTED_VALUE"""),"Politrauma Emerg. Vieja")</f>
        <v>Politrauma Emerg. Vieja</v>
      </c>
      <c r="J3669" s="42" t="str">
        <f>IFERROR(__xludf.DUMMYFUNCTION("""COMPUTED_VALUE"""),"")</f>
        <v/>
      </c>
      <c r="K3669" s="42" t="str">
        <f>IFERROR(__xludf.DUMMYFUNCTION("""COMPUTED_VALUE"""),"🔍 BUSCAR PACIENTES")</f>
        <v>🔍 BUSCAR PACIENTES</v>
      </c>
    </row>
    <row r="3670">
      <c r="A3670" s="42">
        <v>3669.0</v>
      </c>
      <c r="B3670" s="42" t="str">
        <f>IFERROR(__xludf.DUMMYFUNCTION("""COMPUTED_VALUE"""),"Hospital Vargas de Caracas")</f>
        <v>Hospital Vargas de Caracas</v>
      </c>
      <c r="C3670" s="42" t="str">
        <f>IFERROR(__xludf.DUMMYFUNCTION("""COMPUTED_VALUE"""),"Yaritza Gomez")</f>
        <v>Yaritza Gomez</v>
      </c>
      <c r="D3670" s="42"/>
      <c r="E3670" s="42" t="str">
        <f>IFERROR(__xludf.DUMMYFUNCTION("""COMPUTED_VALUE"""),"")</f>
        <v/>
      </c>
      <c r="F3670" s="42"/>
      <c r="G3670" s="42" t="str">
        <f>IFERROR(__xludf.DUMMYFUNCTION("""COMPUTED_VALUE"""),"")</f>
        <v/>
      </c>
      <c r="H3670" s="42"/>
      <c r="I3670" s="42" t="str">
        <f>IFERROR(__xludf.DUMMYFUNCTION("""COMPUTED_VALUE"""),"Nombre tomado de la pizarra de pacientes; no aparece en el formulario con C.I.")</f>
        <v>Nombre tomado de la pizarra de pacientes; no aparece en el formulario con C.I.</v>
      </c>
      <c r="J3670" s="42" t="str">
        <f>IFERROR(__xludf.DUMMYFUNCTION("""COMPUTED_VALUE"""),"")</f>
        <v/>
      </c>
      <c r="K3670" s="42" t="str">
        <f>IFERROR(__xludf.DUMMYFUNCTION("""COMPUTED_VALUE"""),"Hospital Vargas de Caracas")</f>
        <v>Hospital Vargas de Caracas</v>
      </c>
    </row>
    <row r="3671">
      <c r="A3671" s="42">
        <v>3670.0</v>
      </c>
      <c r="B3671" s="42" t="str">
        <f>IFERROR(__xludf.DUMMYFUNCTION("""COMPUTED_VALUE"""),"HOSPITAL VARGAS")</f>
        <v>HOSPITAL VARGAS</v>
      </c>
      <c r="C3671" s="42" t="str">
        <f>IFERROR(__xludf.DUMMYFUNCTION("""COMPUTED_VALUE"""),"Yaritza Gómez")</f>
        <v>Yaritza Gómez</v>
      </c>
      <c r="D3671" s="42"/>
      <c r="E3671" s="42" t="str">
        <f>IFERROR(__xludf.DUMMYFUNCTION("""COMPUTED_VALUE"""),"")</f>
        <v/>
      </c>
      <c r="F3671" s="42" t="str">
        <f>IFERROR(__xludf.DUMMYFUNCTION("""COMPUTED_VALUE"""),"")</f>
        <v/>
      </c>
      <c r="G3671" s="42" t="str">
        <f>IFERROR(__xludf.DUMMYFUNCTION("""COMPUTED_VALUE"""),"")</f>
        <v/>
      </c>
      <c r="H3671" s="42" t="str">
        <f>IFERROR(__xludf.DUMMYFUNCTION("""COMPUTED_VALUE"""),"")</f>
        <v/>
      </c>
      <c r="I3671" s="42" t="str">
        <f>IFERROR(__xludf.DUMMYFUNCTION("""COMPUTED_VALUE"""),"Herido / atendido")</f>
        <v>Herido / atendido</v>
      </c>
      <c r="J3671" s="42" t="str">
        <f>IFERROR(__xludf.DUMMYFUNCTION("""COMPUTED_VALUE"""),"24.06.2026 ")</f>
        <v>24.06.2026 </v>
      </c>
      <c r="K3671" s="42" t="str">
        <f>IFERROR(__xludf.DUMMYFUNCTION("""COMPUTED_VALUE"""),"HOSPITAL VARGAS")</f>
        <v>HOSPITAL VARGAS</v>
      </c>
    </row>
    <row r="3672">
      <c r="A3672" s="42">
        <v>3671.0</v>
      </c>
      <c r="B3672" s="42" t="str">
        <f>IFERROR(__xludf.DUMMYFUNCTION("""COMPUTED_VALUE"""),"Campo de Golf Playa los Cocos")</f>
        <v>Campo de Golf Playa los Cocos</v>
      </c>
      <c r="C3672" s="42" t="str">
        <f>IFERROR(__xludf.DUMMYFUNCTION("""COMPUTED_VALUE"""),"Yaritza Iriarte")</f>
        <v>Yaritza Iriarte</v>
      </c>
      <c r="D3672" s="42" t="str">
        <f>IFERROR(__xludf.DUMMYFUNCTION("""COMPUTED_VALUE"""),"")</f>
        <v/>
      </c>
      <c r="E3672" s="42" t="str">
        <f>IFERROR(__xludf.DUMMYFUNCTION("""COMPUTED_VALUE"""),"")</f>
        <v/>
      </c>
      <c r="F3672" s="42" t="str">
        <f>IFERROR(__xludf.DUMMYFUNCTION("""COMPUTED_VALUE"""),"")</f>
        <v/>
      </c>
      <c r="G3672" s="42" t="str">
        <f>IFERROR(__xludf.DUMMYFUNCTION("""COMPUTED_VALUE"""),"")</f>
        <v/>
      </c>
      <c r="H3672" s="42" t="str">
        <f>IFERROR(__xludf.DUMMYFUNCTION("""COMPUTED_VALUE"""),"")</f>
        <v/>
      </c>
      <c r="I3672" s="42"/>
      <c r="J3672" s="42" t="str">
        <f>IFERROR(__xludf.DUMMYFUNCTION("""COMPUTED_VALUE"""),"")</f>
        <v/>
      </c>
      <c r="K3672" s="42" t="str">
        <f>IFERROR(__xludf.DUMMYFUNCTION("""COMPUTED_VALUE"""),"Campo de Golf Playa los Cocos")</f>
        <v>Campo de Golf Playa los Cocos</v>
      </c>
    </row>
    <row r="3673">
      <c r="A3673" s="42">
        <v>3672.0</v>
      </c>
      <c r="B3673" s="42" t="str">
        <f>IFERROR(__xludf.DUMMYFUNCTION("""COMPUTED_VALUE"""),"Periférico de Catia")</f>
        <v>Periférico de Catia</v>
      </c>
      <c r="C3673" s="42" t="str">
        <f>IFERROR(__xludf.DUMMYFUNCTION("""COMPUTED_VALUE"""),"YARLYS CONTRERAS")</f>
        <v>YARLYS CONTRERAS</v>
      </c>
      <c r="D3673" s="42" t="str">
        <f>IFERROR(__xludf.DUMMYFUNCTION("""COMPUTED_VALUE""")," ")</f>
        <v> </v>
      </c>
      <c r="E3673" s="42" t="str">
        <f>IFERROR(__xludf.DUMMYFUNCTION("""COMPUTED_VALUE"""),"")</f>
        <v/>
      </c>
      <c r="F3673" s="42" t="str">
        <f>IFERROR(__xludf.DUMMYFUNCTION("""COMPUTED_VALUE"""),"")</f>
        <v/>
      </c>
      <c r="G3673" s="42" t="str">
        <f>IFERROR(__xludf.DUMMYFUNCTION("""COMPUTED_VALUE""")," ")</f>
        <v> </v>
      </c>
      <c r="H3673" s="42" t="str">
        <f>IFERROR(__xludf.DUMMYFUNCTION("""COMPUTED_VALUE""")," ")</f>
        <v> </v>
      </c>
      <c r="I3673" s="42" t="str">
        <f>IFERROR(__xludf.DUMMYFUNCTION("""COMPUTED_VALUE""")," ")</f>
        <v> </v>
      </c>
      <c r="J3673" s="42" t="str">
        <f>IFERROR(__xludf.DUMMYFUNCTION("""COMPUTED_VALUE"""),"")</f>
        <v/>
      </c>
      <c r="K3673" s="42" t="str">
        <f>IFERROR(__xludf.DUMMYFUNCTION("""COMPUTED_VALUE"""),"Periférico de Catia")</f>
        <v>Periférico de Catia</v>
      </c>
    </row>
    <row r="3674">
      <c r="A3674" s="42">
        <v>3673.0</v>
      </c>
      <c r="B3674" s="42" t="str">
        <f>IFERROR(__xludf.DUMMYFUNCTION("""COMPUTED_VALUE"""),"Campo de Golf Playa los Cocos")</f>
        <v>Campo de Golf Playa los Cocos</v>
      </c>
      <c r="C3674" s="42" t="str">
        <f>IFERROR(__xludf.DUMMYFUNCTION("""COMPUTED_VALUE"""),"Yarnelis Ochoa")</f>
        <v>Yarnelis Ochoa</v>
      </c>
      <c r="D3674" s="42" t="str">
        <f>IFERROR(__xludf.DUMMYFUNCTION("""COMPUTED_VALUE"""),"")</f>
        <v/>
      </c>
      <c r="E3674" s="42" t="str">
        <f>IFERROR(__xludf.DUMMYFUNCTION("""COMPUTED_VALUE"""),"")</f>
        <v/>
      </c>
      <c r="F3674" s="42" t="str">
        <f>IFERROR(__xludf.DUMMYFUNCTION("""COMPUTED_VALUE"""),"")</f>
        <v/>
      </c>
      <c r="G3674" s="42" t="str">
        <f>IFERROR(__xludf.DUMMYFUNCTION("""COMPUTED_VALUE"""),"")</f>
        <v/>
      </c>
      <c r="H3674" s="42" t="str">
        <f>IFERROR(__xludf.DUMMYFUNCTION("""COMPUTED_VALUE"""),"")</f>
        <v/>
      </c>
      <c r="I3674" s="42"/>
      <c r="J3674" s="42" t="str">
        <f>IFERROR(__xludf.DUMMYFUNCTION("""COMPUTED_VALUE"""),"")</f>
        <v/>
      </c>
      <c r="K3674" s="42" t="str">
        <f>IFERROR(__xludf.DUMMYFUNCTION("""COMPUTED_VALUE"""),"Campo de Golf Playa los Cocos")</f>
        <v>Campo de Golf Playa los Cocos</v>
      </c>
    </row>
    <row r="3675">
      <c r="A3675" s="42">
        <v>3674.0</v>
      </c>
      <c r="B3675" s="42" t="str">
        <f>IFERROR(__xludf.DUMMYFUNCTION("""COMPUTED_VALUE"""),"Hospital Pérez Carreño")</f>
        <v>Hospital Pérez Carreño</v>
      </c>
      <c r="C3675" s="42" t="str">
        <f>IFERROR(__xludf.DUMMYFUNCTION("""COMPUTED_VALUE"""),"YAURIPANA LUCENA GENESIS MARIA")</f>
        <v>YAURIPANA LUCENA GENESIS MARIA</v>
      </c>
      <c r="D3675" s="42" t="str">
        <f>IFERROR(__xludf.DUMMYFUNCTION("""COMPUTED_VALUE""")," ")</f>
        <v> </v>
      </c>
      <c r="E3675" s="42" t="str">
        <f>IFERROR(__xludf.DUMMYFUNCTION("""COMPUTED_VALUE"""),"")</f>
        <v/>
      </c>
      <c r="F3675" s="42" t="str">
        <f>IFERROR(__xludf.DUMMYFUNCTION("""COMPUTED_VALUE"""),"")</f>
        <v/>
      </c>
      <c r="G3675" s="42" t="str">
        <f>IFERROR(__xludf.DUMMYFUNCTION("""COMPUTED_VALUE""")," ")</f>
        <v> </v>
      </c>
      <c r="H3675" s="42" t="str">
        <f>IFERROR(__xludf.DUMMYFUNCTION("""COMPUTED_VALUE""")," ")</f>
        <v> </v>
      </c>
      <c r="I3675" s="42" t="str">
        <f>IFERROR(__xludf.DUMMYFUNCTION("""COMPUTED_VALUE"""),"Internado")</f>
        <v>Internado</v>
      </c>
      <c r="J3675" s="42" t="str">
        <f>IFERROR(__xludf.DUMMYFUNCTION("""COMPUTED_VALUE"""),"")</f>
        <v/>
      </c>
      <c r="K3675" s="42" t="str">
        <f>IFERROR(__xludf.DUMMYFUNCTION("""COMPUTED_VALUE"""),"🔍 BUSCAR PACIENTES")</f>
        <v>🔍 BUSCAR PACIENTES</v>
      </c>
    </row>
    <row r="3676">
      <c r="A3676" s="42">
        <v>3675.0</v>
      </c>
      <c r="B3676" s="42" t="str">
        <f>IFERROR(__xludf.DUMMYFUNCTION("""COMPUTED_VALUE"""),"La Guaira Sin Hospital")</f>
        <v>La Guaira Sin Hospital</v>
      </c>
      <c r="C3676" s="42" t="str">
        <f>IFERROR(__xludf.DUMMYFUNCTION("""COMPUTED_VALUE"""),"Yauripano Locenz Genesis Maria")</f>
        <v>Yauripano Locenz Genesis Maria</v>
      </c>
      <c r="D3676" s="42" t="str">
        <f>IFERROR(__xludf.DUMMYFUNCTION("""COMPUTED_VALUE"""),"")</f>
        <v/>
      </c>
      <c r="E3676" s="42" t="str">
        <f>IFERROR(__xludf.DUMMYFUNCTION("""COMPUTED_VALUE"""),"")</f>
        <v/>
      </c>
      <c r="F3676" s="42" t="str">
        <f>IFERROR(__xludf.DUMMYFUNCTION("""COMPUTED_VALUE"""),"")</f>
        <v/>
      </c>
      <c r="G3676" s="42" t="str">
        <f>IFERROR(__xludf.DUMMYFUNCTION("""COMPUTED_VALUE"""),"")</f>
        <v/>
      </c>
      <c r="H3676" s="42"/>
      <c r="I3676" s="42" t="str">
        <f>IFERROR(__xludf.DUMMYFUNCTION("""COMPUTED_VALUE"""),"Listas solo con nombre")</f>
        <v>Listas solo con nombre</v>
      </c>
      <c r="J3676" s="42" t="str">
        <f>IFERROR(__xludf.DUMMYFUNCTION("""COMPUTED_VALUE"""),"")</f>
        <v/>
      </c>
      <c r="K3676" s="42" t="str">
        <f>IFERROR(__xludf.DUMMYFUNCTION("""COMPUTED_VALUE"""),"La Guaira Sin Hospital")</f>
        <v>La Guaira Sin Hospital</v>
      </c>
    </row>
    <row r="3677">
      <c r="A3677" s="42">
        <v>3676.0</v>
      </c>
      <c r="B3677" s="42" t="str">
        <f>IFERROR(__xludf.DUMMYFUNCTION("""COMPUTED_VALUE"""),"Hospital Pérez Carreño")</f>
        <v>Hospital Pérez Carreño</v>
      </c>
      <c r="C3677" s="42" t="str">
        <f>IFERROR(__xludf.DUMMYFUNCTION("""COMPUTED_VALUE"""),"Yauripanz Lucena Genesis Maria")</f>
        <v>Yauripanz Lucena Genesis Maria</v>
      </c>
      <c r="D3677" s="42"/>
      <c r="E3677" s="42" t="str">
        <f>IFERROR(__xludf.DUMMYFUNCTION("""COMPUTED_VALUE"""),"")</f>
        <v/>
      </c>
      <c r="F3677" s="42" t="str">
        <f>IFERROR(__xludf.DUMMYFUNCTION("""COMPUTED_VALUE"""),"")</f>
        <v/>
      </c>
      <c r="G3677" s="42" t="str">
        <f>IFERROR(__xludf.DUMMYFUNCTION("""COMPUTED_VALUE"""),"Traslados")</f>
        <v>Traslados</v>
      </c>
      <c r="H3677" s="42" t="str">
        <f>IFERROR(__xludf.DUMMYFUNCTION("""COMPUTED_VALUE"""),"Hospital Miguel Perez Carreño")</f>
        <v>Hospital Miguel Perez Carreño</v>
      </c>
      <c r="I3677" s="42"/>
      <c r="J3677" s="42" t="str">
        <f>IFERROR(__xludf.DUMMYFUNCTION("""COMPUTED_VALUE"""),"26/6/26")</f>
        <v>26/6/26</v>
      </c>
      <c r="K3677" s="42" t="str">
        <f>IFERROR(__xludf.DUMMYFUNCTION("""COMPUTED_VALUE"""),"Hospital Pérez Carreño")</f>
        <v>Hospital Pérez Carreño</v>
      </c>
    </row>
    <row r="3678">
      <c r="A3678" s="42">
        <v>3677.0</v>
      </c>
      <c r="B3678" s="42" t="str">
        <f>IFERROR(__xludf.DUMMYFUNCTION("""COMPUTED_VALUE"""),"Hospital Pérez Carreño")</f>
        <v>Hospital Pérez Carreño</v>
      </c>
      <c r="C3678" s="42" t="str">
        <f>IFERROR(__xludf.DUMMYFUNCTION("""COMPUTED_VALUE"""),"YDAYUVA MARIA")</f>
        <v>YDAYUVA MARIA</v>
      </c>
      <c r="D3678" s="42" t="str">
        <f>IFERROR(__xludf.DUMMYFUNCTION("""COMPUTED_VALUE""")," ")</f>
        <v> </v>
      </c>
      <c r="E3678" s="42" t="str">
        <f>IFERROR(__xludf.DUMMYFUNCTION("""COMPUTED_VALUE"""),"")</f>
        <v/>
      </c>
      <c r="F3678" s="42" t="str">
        <f>IFERROR(__xludf.DUMMYFUNCTION("""COMPUTED_VALUE"""),"")</f>
        <v/>
      </c>
      <c r="G3678" s="42" t="str">
        <f>IFERROR(__xludf.DUMMYFUNCTION("""COMPUTED_VALUE""")," ")</f>
        <v> </v>
      </c>
      <c r="H3678" s="42" t="str">
        <f>IFERROR(__xludf.DUMMYFUNCTION("""COMPUTED_VALUE""")," ")</f>
        <v> </v>
      </c>
      <c r="I3678" s="42" t="str">
        <f>IFERROR(__xludf.DUMMYFUNCTION("""COMPUTED_VALUE"""),"Internado; Traumatologia / pasillo de ascensor")</f>
        <v>Internado; Traumatologia / pasillo de ascensor</v>
      </c>
      <c r="J3678" s="42" t="str">
        <f>IFERROR(__xludf.DUMMYFUNCTION("""COMPUTED_VALUE"""),"")</f>
        <v/>
      </c>
      <c r="K3678" s="42" t="str">
        <f>IFERROR(__xludf.DUMMYFUNCTION("""COMPUTED_VALUE"""),"🔍 BUSCAR PACIENTES")</f>
        <v>🔍 BUSCAR PACIENTES</v>
      </c>
    </row>
    <row r="3679">
      <c r="A3679" s="42">
        <v>3678.0</v>
      </c>
      <c r="B3679" s="42" t="str">
        <f>IFERROR(__xludf.DUMMYFUNCTION("""COMPUTED_VALUE"""),"Campo de Golf Playa los Cocos")</f>
        <v>Campo de Golf Playa los Cocos</v>
      </c>
      <c r="C3679" s="42" t="str">
        <f>IFERROR(__xludf.DUMMYFUNCTION("""COMPUTED_VALUE"""),"Yefferson Suarez")</f>
        <v>Yefferson Suarez</v>
      </c>
      <c r="D3679" s="42" t="str">
        <f>IFERROR(__xludf.DUMMYFUNCTION("""COMPUTED_VALUE"""),"")</f>
        <v/>
      </c>
      <c r="E3679" s="42" t="str">
        <f>IFERROR(__xludf.DUMMYFUNCTION("""COMPUTED_VALUE"""),"")</f>
        <v/>
      </c>
      <c r="F3679" s="42" t="str">
        <f>IFERROR(__xludf.DUMMYFUNCTION("""COMPUTED_VALUE"""),"")</f>
        <v/>
      </c>
      <c r="G3679" s="42" t="str">
        <f>IFERROR(__xludf.DUMMYFUNCTION("""COMPUTED_VALUE"""),"")</f>
        <v/>
      </c>
      <c r="H3679" s="42" t="str">
        <f>IFERROR(__xludf.DUMMYFUNCTION("""COMPUTED_VALUE"""),"")</f>
        <v/>
      </c>
      <c r="I3679" s="42"/>
      <c r="J3679" s="42" t="str">
        <f>IFERROR(__xludf.DUMMYFUNCTION("""COMPUTED_VALUE"""),"")</f>
        <v/>
      </c>
      <c r="K3679" s="42" t="str">
        <f>IFERROR(__xludf.DUMMYFUNCTION("""COMPUTED_VALUE"""),"Campo de Golf Playa los Cocos")</f>
        <v>Campo de Golf Playa los Cocos</v>
      </c>
    </row>
    <row r="3680">
      <c r="A3680" s="42">
        <v>3679.0</v>
      </c>
      <c r="B3680" s="42" t="str">
        <f>IFERROR(__xludf.DUMMYFUNCTION("""COMPUTED_VALUE"""),"Campo de Golf Playa los Cocos")</f>
        <v>Campo de Golf Playa los Cocos</v>
      </c>
      <c r="C3680" s="42" t="str">
        <f>IFERROR(__xludf.DUMMYFUNCTION("""COMPUTED_VALUE"""),"Yeibert Pugarita")</f>
        <v>Yeibert Pugarita</v>
      </c>
      <c r="D3680" s="42" t="str">
        <f>IFERROR(__xludf.DUMMYFUNCTION("""COMPUTED_VALUE"""),"")</f>
        <v/>
      </c>
      <c r="E3680" s="42" t="str">
        <f>IFERROR(__xludf.DUMMYFUNCTION("""COMPUTED_VALUE"""),"")</f>
        <v/>
      </c>
      <c r="F3680" s="42" t="str">
        <f>IFERROR(__xludf.DUMMYFUNCTION("""COMPUTED_VALUE"""),"")</f>
        <v/>
      </c>
      <c r="G3680" s="42" t="str">
        <f>IFERROR(__xludf.DUMMYFUNCTION("""COMPUTED_VALUE"""),"")</f>
        <v/>
      </c>
      <c r="H3680" s="42" t="str">
        <f>IFERROR(__xludf.DUMMYFUNCTION("""COMPUTED_VALUE"""),"")</f>
        <v/>
      </c>
      <c r="I3680" s="42"/>
      <c r="J3680" s="42" t="str">
        <f>IFERROR(__xludf.DUMMYFUNCTION("""COMPUTED_VALUE"""),"")</f>
        <v/>
      </c>
      <c r="K3680" s="42" t="str">
        <f>IFERROR(__xludf.DUMMYFUNCTION("""COMPUTED_VALUE"""),"Campo de Golf Playa los Cocos")</f>
        <v>Campo de Golf Playa los Cocos</v>
      </c>
    </row>
    <row r="3681">
      <c r="A3681" s="42">
        <v>3680.0</v>
      </c>
      <c r="B3681" s="42" t="str">
        <f>IFERROR(__xludf.DUMMYFUNCTION("""COMPUTED_VALUE"""),"Campo de Golf Playa los Cocos")</f>
        <v>Campo de Golf Playa los Cocos</v>
      </c>
      <c r="C3681" s="42" t="str">
        <f>IFERROR(__xludf.DUMMYFUNCTION("""COMPUTED_VALUE"""),"Yeikelis Garcia")</f>
        <v>Yeikelis Garcia</v>
      </c>
      <c r="D3681" s="42" t="str">
        <f>IFERROR(__xludf.DUMMYFUNCTION("""COMPUTED_VALUE"""),"")</f>
        <v/>
      </c>
      <c r="E3681" s="42" t="str">
        <f>IFERROR(__xludf.DUMMYFUNCTION("""COMPUTED_VALUE"""),"")</f>
        <v/>
      </c>
      <c r="F3681" s="42" t="str">
        <f>IFERROR(__xludf.DUMMYFUNCTION("""COMPUTED_VALUE"""),"")</f>
        <v/>
      </c>
      <c r="G3681" s="42" t="str">
        <f>IFERROR(__xludf.DUMMYFUNCTION("""COMPUTED_VALUE"""),"")</f>
        <v/>
      </c>
      <c r="H3681" s="42" t="str">
        <f>IFERROR(__xludf.DUMMYFUNCTION("""COMPUTED_VALUE"""),"")</f>
        <v/>
      </c>
      <c r="I3681" s="42" t="str">
        <f>IFERROR(__xludf.DUMMYFUNCTION("""COMPUTED_VALUE"""),"menor (segunda lista)")</f>
        <v>menor (segunda lista)</v>
      </c>
      <c r="J3681" s="42" t="str">
        <f>IFERROR(__xludf.DUMMYFUNCTION("""COMPUTED_VALUE"""),"")</f>
        <v/>
      </c>
      <c r="K3681" s="42" t="str">
        <f>IFERROR(__xludf.DUMMYFUNCTION("""COMPUTED_VALUE"""),"Campo de Golf Playa los Cocos")</f>
        <v>Campo de Golf Playa los Cocos</v>
      </c>
    </row>
    <row r="3682">
      <c r="A3682" s="42">
        <v>3681.0</v>
      </c>
      <c r="B3682" s="42" t="str">
        <f>IFERROR(__xludf.DUMMYFUNCTION("""COMPUTED_VALUE"""),"Campo de Golf Playa los Cocos")</f>
        <v>Campo de Golf Playa los Cocos</v>
      </c>
      <c r="C3682" s="42" t="str">
        <f>IFERROR(__xludf.DUMMYFUNCTION("""COMPUTED_VALUE"""),"Yeiker Garcia")</f>
        <v>Yeiker Garcia</v>
      </c>
      <c r="D3682" s="42" t="str">
        <f>IFERROR(__xludf.DUMMYFUNCTION("""COMPUTED_VALUE"""),"")</f>
        <v/>
      </c>
      <c r="E3682" s="42" t="str">
        <f>IFERROR(__xludf.DUMMYFUNCTION("""COMPUTED_VALUE"""),"")</f>
        <v/>
      </c>
      <c r="F3682" s="42" t="str">
        <f>IFERROR(__xludf.DUMMYFUNCTION("""COMPUTED_VALUE"""),"")</f>
        <v/>
      </c>
      <c r="G3682" s="42" t="str">
        <f>IFERROR(__xludf.DUMMYFUNCTION("""COMPUTED_VALUE"""),"")</f>
        <v/>
      </c>
      <c r="H3682" s="42" t="str">
        <f>IFERROR(__xludf.DUMMYFUNCTION("""COMPUTED_VALUE"""),"")</f>
        <v/>
      </c>
      <c r="I3682" s="42"/>
      <c r="J3682" s="42" t="str">
        <f>IFERROR(__xludf.DUMMYFUNCTION("""COMPUTED_VALUE"""),"")</f>
        <v/>
      </c>
      <c r="K3682" s="42" t="str">
        <f>IFERROR(__xludf.DUMMYFUNCTION("""COMPUTED_VALUE"""),"Campo de Golf Playa los Cocos")</f>
        <v>Campo de Golf Playa los Cocos</v>
      </c>
    </row>
    <row r="3683">
      <c r="A3683" s="42">
        <v>3682.0</v>
      </c>
      <c r="B3683" s="42" t="str">
        <f>IFERROR(__xludf.DUMMYFUNCTION("""COMPUTED_VALUE"""),"Campo de Golf Playa los Cocos")</f>
        <v>Campo de Golf Playa los Cocos</v>
      </c>
      <c r="C3683" s="42" t="str">
        <f>IFERROR(__xludf.DUMMYFUNCTION("""COMPUTED_VALUE"""),"Yeili Gallardo")</f>
        <v>Yeili Gallardo</v>
      </c>
      <c r="D3683" s="42" t="str">
        <f>IFERROR(__xludf.DUMMYFUNCTION("""COMPUTED_VALUE"""),"")</f>
        <v/>
      </c>
      <c r="E3683" s="42" t="str">
        <f>IFERROR(__xludf.DUMMYFUNCTION("""COMPUTED_VALUE"""),"")</f>
        <v/>
      </c>
      <c r="F3683" s="42" t="str">
        <f>IFERROR(__xludf.DUMMYFUNCTION("""COMPUTED_VALUE"""),"")</f>
        <v/>
      </c>
      <c r="G3683" s="42" t="str">
        <f>IFERROR(__xludf.DUMMYFUNCTION("""COMPUTED_VALUE"""),"")</f>
        <v/>
      </c>
      <c r="H3683" s="42" t="str">
        <f>IFERROR(__xludf.DUMMYFUNCTION("""COMPUTED_VALUE"""),"")</f>
        <v/>
      </c>
      <c r="I3683" s="42"/>
      <c r="J3683" s="42" t="str">
        <f>IFERROR(__xludf.DUMMYFUNCTION("""COMPUTED_VALUE"""),"")</f>
        <v/>
      </c>
      <c r="K3683" s="42" t="str">
        <f>IFERROR(__xludf.DUMMYFUNCTION("""COMPUTED_VALUE"""),"Campo de Golf Playa los Cocos")</f>
        <v>Campo de Golf Playa los Cocos</v>
      </c>
    </row>
    <row r="3684">
      <c r="A3684" s="42">
        <v>3683.0</v>
      </c>
      <c r="B3684" s="42" t="str">
        <f>IFERROR(__xludf.DUMMYFUNCTION("""COMPUTED_VALUE"""),"Campo de Golf Playa los Cocos")</f>
        <v>Campo de Golf Playa los Cocos</v>
      </c>
      <c r="C3684" s="42" t="str">
        <f>IFERROR(__xludf.DUMMYFUNCTION("""COMPUTED_VALUE"""),"Yeison Farfan")</f>
        <v>Yeison Farfan</v>
      </c>
      <c r="D3684" s="42" t="str">
        <f>IFERROR(__xludf.DUMMYFUNCTION("""COMPUTED_VALUE"""),"")</f>
        <v/>
      </c>
      <c r="E3684" s="42" t="str">
        <f>IFERROR(__xludf.DUMMYFUNCTION("""COMPUTED_VALUE"""),"")</f>
        <v/>
      </c>
      <c r="F3684" s="42" t="str">
        <f>IFERROR(__xludf.DUMMYFUNCTION("""COMPUTED_VALUE"""),"")</f>
        <v/>
      </c>
      <c r="G3684" s="42" t="str">
        <f>IFERROR(__xludf.DUMMYFUNCTION("""COMPUTED_VALUE"""),"")</f>
        <v/>
      </c>
      <c r="H3684" s="42" t="str">
        <f>IFERROR(__xludf.DUMMYFUNCTION("""COMPUTED_VALUE"""),"")</f>
        <v/>
      </c>
      <c r="I3684" s="42"/>
      <c r="J3684" s="42" t="str">
        <f>IFERROR(__xludf.DUMMYFUNCTION("""COMPUTED_VALUE"""),"")</f>
        <v/>
      </c>
      <c r="K3684" s="42" t="str">
        <f>IFERROR(__xludf.DUMMYFUNCTION("""COMPUTED_VALUE"""),"Campo de Golf Playa los Cocos")</f>
        <v>Campo de Golf Playa los Cocos</v>
      </c>
    </row>
    <row r="3685">
      <c r="A3685" s="42">
        <v>3684.0</v>
      </c>
      <c r="B3685" s="42" t="str">
        <f>IFERROR(__xludf.DUMMYFUNCTION("""COMPUTED_VALUE"""),"Campo de Golf Playa los Cocos")</f>
        <v>Campo de Golf Playa los Cocos</v>
      </c>
      <c r="C3685" s="42" t="str">
        <f>IFERROR(__xludf.DUMMYFUNCTION("""COMPUTED_VALUE"""),"Yeison Rada")</f>
        <v>Yeison Rada</v>
      </c>
      <c r="D3685" s="42" t="str">
        <f>IFERROR(__xludf.DUMMYFUNCTION("""COMPUTED_VALUE"""),"")</f>
        <v/>
      </c>
      <c r="E3685" s="42" t="str">
        <f>IFERROR(__xludf.DUMMYFUNCTION("""COMPUTED_VALUE"""),"")</f>
        <v/>
      </c>
      <c r="F3685" s="42" t="str">
        <f>IFERROR(__xludf.DUMMYFUNCTION("""COMPUTED_VALUE"""),"")</f>
        <v/>
      </c>
      <c r="G3685" s="42" t="str">
        <f>IFERROR(__xludf.DUMMYFUNCTION("""COMPUTED_VALUE"""),"")</f>
        <v/>
      </c>
      <c r="H3685" s="42" t="str">
        <f>IFERROR(__xludf.DUMMYFUNCTION("""COMPUTED_VALUE"""),"")</f>
        <v/>
      </c>
      <c r="I3685" s="42"/>
      <c r="J3685" s="42" t="str">
        <f>IFERROR(__xludf.DUMMYFUNCTION("""COMPUTED_VALUE"""),"")</f>
        <v/>
      </c>
      <c r="K3685" s="42" t="str">
        <f>IFERROR(__xludf.DUMMYFUNCTION("""COMPUTED_VALUE"""),"Campo de Golf Playa los Cocos")</f>
        <v>Campo de Golf Playa los Cocos</v>
      </c>
    </row>
    <row r="3686">
      <c r="A3686" s="42">
        <v>3685.0</v>
      </c>
      <c r="B3686" s="42" t="str">
        <f>IFERROR(__xludf.DUMMYFUNCTION("""COMPUTED_VALUE"""),"Campo de Golf Playa los Cocos")</f>
        <v>Campo de Golf Playa los Cocos</v>
      </c>
      <c r="C3686" s="42" t="str">
        <f>IFERROR(__xludf.DUMMYFUNCTION("""COMPUTED_VALUE"""),"Yeleisy Castillo")</f>
        <v>Yeleisy Castillo</v>
      </c>
      <c r="D3686" s="42" t="str">
        <f>IFERROR(__xludf.DUMMYFUNCTION("""COMPUTED_VALUE"""),"")</f>
        <v/>
      </c>
      <c r="E3686" s="42" t="str">
        <f>IFERROR(__xludf.DUMMYFUNCTION("""COMPUTED_VALUE"""),"")</f>
        <v/>
      </c>
      <c r="F3686" s="42" t="str">
        <f>IFERROR(__xludf.DUMMYFUNCTION("""COMPUTED_VALUE"""),"")</f>
        <v/>
      </c>
      <c r="G3686" s="42" t="str">
        <f>IFERROR(__xludf.DUMMYFUNCTION("""COMPUTED_VALUE"""),"")</f>
        <v/>
      </c>
      <c r="H3686" s="42" t="str">
        <f>IFERROR(__xludf.DUMMYFUNCTION("""COMPUTED_VALUE"""),"")</f>
        <v/>
      </c>
      <c r="I3686" s="42"/>
      <c r="J3686" s="42" t="str">
        <f>IFERROR(__xludf.DUMMYFUNCTION("""COMPUTED_VALUE"""),"")</f>
        <v/>
      </c>
      <c r="K3686" s="42" t="str">
        <f>IFERROR(__xludf.DUMMYFUNCTION("""COMPUTED_VALUE"""),"Campo de Golf Playa los Cocos")</f>
        <v>Campo de Golf Playa los Cocos</v>
      </c>
    </row>
    <row r="3687">
      <c r="A3687" s="42">
        <v>3686.0</v>
      </c>
      <c r="B3687" s="42" t="str">
        <f>IFERROR(__xludf.DUMMYFUNCTION("""COMPUTED_VALUE"""),"Campo de Golf Playa los Cocos")</f>
        <v>Campo de Golf Playa los Cocos</v>
      </c>
      <c r="C3687" s="42" t="str">
        <f>IFERROR(__xludf.DUMMYFUNCTION("""COMPUTED_VALUE"""),"Yelibeth Pena")</f>
        <v>Yelibeth Pena</v>
      </c>
      <c r="D3687" s="42" t="str">
        <f>IFERROR(__xludf.DUMMYFUNCTION("""COMPUTED_VALUE"""),"")</f>
        <v/>
      </c>
      <c r="E3687" s="42" t="str">
        <f>IFERROR(__xludf.DUMMYFUNCTION("""COMPUTED_VALUE"""),"")</f>
        <v/>
      </c>
      <c r="F3687" s="42" t="str">
        <f>IFERROR(__xludf.DUMMYFUNCTION("""COMPUTED_VALUE"""),"")</f>
        <v/>
      </c>
      <c r="G3687" s="42" t="str">
        <f>IFERROR(__xludf.DUMMYFUNCTION("""COMPUTED_VALUE"""),"")</f>
        <v/>
      </c>
      <c r="H3687" s="42" t="str">
        <f>IFERROR(__xludf.DUMMYFUNCTION("""COMPUTED_VALUE"""),"")</f>
        <v/>
      </c>
      <c r="I3687" s="42"/>
      <c r="J3687" s="42" t="str">
        <f>IFERROR(__xludf.DUMMYFUNCTION("""COMPUTED_VALUE"""),"")</f>
        <v/>
      </c>
      <c r="K3687" s="42" t="str">
        <f>IFERROR(__xludf.DUMMYFUNCTION("""COMPUTED_VALUE"""),"Campo de Golf Playa los Cocos")</f>
        <v>Campo de Golf Playa los Cocos</v>
      </c>
    </row>
    <row r="3688">
      <c r="A3688" s="42">
        <v>3687.0</v>
      </c>
      <c r="B3688" s="42" t="str">
        <f>IFERROR(__xludf.DUMMYFUNCTION("""COMPUTED_VALUE"""),"Campo de Golf Playa los Cocos")</f>
        <v>Campo de Golf Playa los Cocos</v>
      </c>
      <c r="C3688" s="42" t="str">
        <f>IFERROR(__xludf.DUMMYFUNCTION("""COMPUTED_VALUE"""),"Yeliner Perez")</f>
        <v>Yeliner Perez</v>
      </c>
      <c r="D3688" s="42" t="str">
        <f>IFERROR(__xludf.DUMMYFUNCTION("""COMPUTED_VALUE"""),"")</f>
        <v/>
      </c>
      <c r="E3688" s="42" t="str">
        <f>IFERROR(__xludf.DUMMYFUNCTION("""COMPUTED_VALUE"""),"")</f>
        <v/>
      </c>
      <c r="F3688" s="42" t="str">
        <f>IFERROR(__xludf.DUMMYFUNCTION("""COMPUTED_VALUE"""),"")</f>
        <v/>
      </c>
      <c r="G3688" s="42" t="str">
        <f>IFERROR(__xludf.DUMMYFUNCTION("""COMPUTED_VALUE"""),"")</f>
        <v/>
      </c>
      <c r="H3688" s="42" t="str">
        <f>IFERROR(__xludf.DUMMYFUNCTION("""COMPUTED_VALUE"""),"")</f>
        <v/>
      </c>
      <c r="I3688" s="42"/>
      <c r="J3688" s="42" t="str">
        <f>IFERROR(__xludf.DUMMYFUNCTION("""COMPUTED_VALUE"""),"")</f>
        <v/>
      </c>
      <c r="K3688" s="42" t="str">
        <f>IFERROR(__xludf.DUMMYFUNCTION("""COMPUTED_VALUE"""),"Campo de Golf Playa los Cocos")</f>
        <v>Campo de Golf Playa los Cocos</v>
      </c>
    </row>
    <row r="3689">
      <c r="A3689" s="42">
        <v>3688.0</v>
      </c>
      <c r="B3689" s="42" t="str">
        <f>IFERROR(__xludf.DUMMYFUNCTION("""COMPUTED_VALUE"""),"Periférico de Catia")</f>
        <v>Periférico de Catia</v>
      </c>
      <c r="C3689" s="42" t="str">
        <f>IFERROR(__xludf.DUMMYFUNCTION("""COMPUTED_VALUE"""),"YELITZA CAFFARIN")</f>
        <v>YELITZA CAFFARIN</v>
      </c>
      <c r="D3689" s="42">
        <f>IFERROR(__xludf.DUMMYFUNCTION("""COMPUTED_VALUE"""),46.0)</f>
        <v>46</v>
      </c>
      <c r="E3689" s="42" t="str">
        <f>IFERROR(__xludf.DUMMYFUNCTION("""COMPUTED_VALUE"""),"")</f>
        <v/>
      </c>
      <c r="F3689" s="42" t="str">
        <f>IFERROR(__xludf.DUMMYFUNCTION("""COMPUTED_VALUE"""),"")</f>
        <v/>
      </c>
      <c r="G3689" s="42" t="str">
        <f>IFERROR(__xludf.DUMMYFUNCTION("""COMPUTED_VALUE""")," ")</f>
        <v> </v>
      </c>
      <c r="H3689" s="42" t="str">
        <f>IFERROR(__xludf.DUMMYFUNCTION("""COMPUTED_VALUE""")," ")</f>
        <v> </v>
      </c>
      <c r="I3689" s="42" t="str">
        <f>IFERROR(__xludf.DUMMYFUNCTION("""COMPUTED_VALUE"""),"TRM")</f>
        <v>TRM</v>
      </c>
      <c r="J3689" s="42" t="str">
        <f>IFERROR(__xludf.DUMMYFUNCTION("""COMPUTED_VALUE"""),"")</f>
        <v/>
      </c>
      <c r="K3689" s="42" t="str">
        <f>IFERROR(__xludf.DUMMYFUNCTION("""COMPUTED_VALUE"""),"Periférico de Catia")</f>
        <v>Periférico de Catia</v>
      </c>
    </row>
    <row r="3690">
      <c r="A3690" s="42">
        <v>3689.0</v>
      </c>
      <c r="B3690" s="42" t="str">
        <f>IFERROR(__xludf.DUMMYFUNCTION("""COMPUTED_VALUE"""),"Campo de Golf Playa los Cocos")</f>
        <v>Campo de Golf Playa los Cocos</v>
      </c>
      <c r="C3690" s="42" t="str">
        <f>IFERROR(__xludf.DUMMYFUNCTION("""COMPUTED_VALUE"""),"Yelitza Marcano")</f>
        <v>Yelitza Marcano</v>
      </c>
      <c r="D3690" s="42" t="str">
        <f>IFERROR(__xludf.DUMMYFUNCTION("""COMPUTED_VALUE"""),"")</f>
        <v/>
      </c>
      <c r="E3690" s="42" t="str">
        <f>IFERROR(__xludf.DUMMYFUNCTION("""COMPUTED_VALUE"""),"")</f>
        <v/>
      </c>
      <c r="F3690" s="42" t="str">
        <f>IFERROR(__xludf.DUMMYFUNCTION("""COMPUTED_VALUE"""),"")</f>
        <v/>
      </c>
      <c r="G3690" s="42" t="str">
        <f>IFERROR(__xludf.DUMMYFUNCTION("""COMPUTED_VALUE"""),"")</f>
        <v/>
      </c>
      <c r="H3690" s="42" t="str">
        <f>IFERROR(__xludf.DUMMYFUNCTION("""COMPUTED_VALUE"""),"")</f>
        <v/>
      </c>
      <c r="I3690" s="42"/>
      <c r="J3690" s="42" t="str">
        <f>IFERROR(__xludf.DUMMYFUNCTION("""COMPUTED_VALUE"""),"")</f>
        <v/>
      </c>
      <c r="K3690" s="42" t="str">
        <f>IFERROR(__xludf.DUMMYFUNCTION("""COMPUTED_VALUE"""),"Campo de Golf Playa los Cocos")</f>
        <v>Campo de Golf Playa los Cocos</v>
      </c>
    </row>
    <row r="3691">
      <c r="A3691" s="42">
        <v>3690.0</v>
      </c>
      <c r="B3691" s="42" t="str">
        <f>IFERROR(__xludf.DUMMYFUNCTION("""COMPUTED_VALUE"""),"Hospital Domingo Luciani")</f>
        <v>Hospital Domingo Luciani</v>
      </c>
      <c r="C3691" s="42" t="str">
        <f>IFERROR(__xludf.DUMMYFUNCTION("""COMPUTED_VALUE"""),"Yenderli Ceberti")</f>
        <v>Yenderli Ceberti</v>
      </c>
      <c r="D3691" s="42">
        <f>IFERROR(__xludf.DUMMYFUNCTION("""COMPUTED_VALUE"""),13.0)</f>
        <v>13</v>
      </c>
      <c r="E3691" s="42" t="str">
        <f>IFERROR(__xludf.DUMMYFUNCTION("""COMPUTED_VALUE"""),"")</f>
        <v/>
      </c>
      <c r="F3691" s="42" t="str">
        <f>IFERROR(__xludf.DUMMYFUNCTION("""COMPUTED_VALUE"""),"")</f>
        <v/>
      </c>
      <c r="G3691" s="42"/>
      <c r="H3691" s="42"/>
      <c r="I3691" s="42"/>
      <c r="J3691" s="42" t="str">
        <f>IFERROR(__xludf.DUMMYFUNCTION("""COMPUTED_VALUE"""),"")</f>
        <v/>
      </c>
      <c r="K3691" s="42" t="str">
        <f>IFERROR(__xludf.DUMMYFUNCTION("""COMPUTED_VALUE"""),"Hospital Domingo Luciani")</f>
        <v>Hospital Domingo Luciani</v>
      </c>
    </row>
    <row r="3692">
      <c r="A3692" s="42">
        <v>3691.0</v>
      </c>
      <c r="B3692" s="42" t="str">
        <f>IFERROR(__xludf.DUMMYFUNCTION("""COMPUTED_VALUE"""),"Hospital Domingo Luciani")</f>
        <v>Hospital Domingo Luciani</v>
      </c>
      <c r="C3692" s="42" t="str">
        <f>IFERROR(__xludf.DUMMYFUNCTION("""COMPUTED_VALUE"""),"YENDERLIN CABARCA")</f>
        <v>YENDERLIN CABARCA</v>
      </c>
      <c r="D3692" s="42" t="str">
        <f>IFERROR(__xludf.DUMMYFUNCTION("""COMPUTED_VALUE""")," ")</f>
        <v> </v>
      </c>
      <c r="E3692" s="42" t="str">
        <f>IFERROR(__xludf.DUMMYFUNCTION("""COMPUTED_VALUE"""),"")</f>
        <v/>
      </c>
      <c r="F3692" s="42" t="str">
        <f>IFERROR(__xludf.DUMMYFUNCTION("""COMPUTED_VALUE"""),"")</f>
        <v/>
      </c>
      <c r="G3692" s="42" t="str">
        <f>IFERROR(__xludf.DUMMYFUNCTION("""COMPUTED_VALUE""")," ")</f>
        <v> </v>
      </c>
      <c r="H3692" s="42" t="str">
        <f>IFERROR(__xludf.DUMMYFUNCTION("""COMPUTED_VALUE""")," ")</f>
        <v> </v>
      </c>
      <c r="I3692" s="42" t="str">
        <f>IFERROR(__xludf.DUMMYFUNCTION("""COMPUTED_VALUE""")," ")</f>
        <v> </v>
      </c>
      <c r="J3692" s="42" t="str">
        <f>IFERROR(__xludf.DUMMYFUNCTION("""COMPUTED_VALUE"""),"")</f>
        <v/>
      </c>
      <c r="K3692" s="42" t="str">
        <f>IFERROR(__xludf.DUMMYFUNCTION("""COMPUTED_VALUE"""),"🔍 BUSCAR PACIENTES")</f>
        <v>🔍 BUSCAR PACIENTES</v>
      </c>
    </row>
    <row r="3693">
      <c r="A3693" s="42">
        <v>3692.0</v>
      </c>
      <c r="B3693" s="42" t="str">
        <f>IFERROR(__xludf.DUMMYFUNCTION("""COMPUTED_VALUE"""),"Hospital Domingo Luciani")</f>
        <v>Hospital Domingo Luciani</v>
      </c>
      <c r="C3693" s="42" t="str">
        <f>IFERROR(__xludf.DUMMYFUNCTION("""COMPUTED_VALUE"""),"Yenderlin Cabosca")</f>
        <v>Yenderlin Cabosca</v>
      </c>
      <c r="D3693" s="42">
        <f>IFERROR(__xludf.DUMMYFUNCTION("""COMPUTED_VALUE"""),0.0)</f>
        <v>0</v>
      </c>
      <c r="E3693" s="42" t="str">
        <f>IFERROR(__xludf.DUMMYFUNCTION("""COMPUTED_VALUE"""),"")</f>
        <v/>
      </c>
      <c r="F3693" s="42" t="str">
        <f>IFERROR(__xludf.DUMMYFUNCTION("""COMPUTED_VALUE"""),"")</f>
        <v/>
      </c>
      <c r="G3693" s="42"/>
      <c r="H3693" s="42"/>
      <c r="I3693" s="42"/>
      <c r="J3693" s="42" t="str">
        <f>IFERROR(__xludf.DUMMYFUNCTION("""COMPUTED_VALUE"""),"")</f>
        <v/>
      </c>
      <c r="K3693" s="42" t="str">
        <f>IFERROR(__xludf.DUMMYFUNCTION("""COMPUTED_VALUE"""),"Hospital Domingo Luciani")</f>
        <v>Hospital Domingo Luciani</v>
      </c>
    </row>
    <row r="3694">
      <c r="A3694" s="42">
        <v>3693.0</v>
      </c>
      <c r="B3694" s="42" t="str">
        <f>IFERROR(__xludf.DUMMYFUNCTION("""COMPUTED_VALUE"""),"Hospital Domingo Luciani")</f>
        <v>Hospital Domingo Luciani</v>
      </c>
      <c r="C3694" s="42" t="str">
        <f>IFERROR(__xludf.DUMMYFUNCTION("""COMPUTED_VALUE"""),"Yenderlin Cabrera")</f>
        <v>Yenderlin Cabrera</v>
      </c>
      <c r="D3694" s="42">
        <f>IFERROR(__xludf.DUMMYFUNCTION("""COMPUTED_VALUE"""),15.0)</f>
        <v>15</v>
      </c>
      <c r="E3694" s="42" t="str">
        <f>IFERROR(__xludf.DUMMYFUNCTION("""COMPUTED_VALUE"""),"")</f>
        <v/>
      </c>
      <c r="F3694" s="42" t="str">
        <f>IFERROR(__xludf.DUMMYFUNCTION("""COMPUTED_VALUE"""),"")</f>
        <v/>
      </c>
      <c r="G3694" s="42"/>
      <c r="H3694" s="42"/>
      <c r="I3694" s="42"/>
      <c r="J3694" s="42" t="str">
        <f>IFERROR(__xludf.DUMMYFUNCTION("""COMPUTED_VALUE"""),"")</f>
        <v/>
      </c>
      <c r="K3694" s="42" t="str">
        <f>IFERROR(__xludf.DUMMYFUNCTION("""COMPUTED_VALUE"""),"Hospital Domingo Luciani")</f>
        <v>Hospital Domingo Luciani</v>
      </c>
    </row>
    <row r="3695">
      <c r="A3695" s="42">
        <v>3694.0</v>
      </c>
      <c r="B3695" s="42" t="str">
        <f>IFERROR(__xludf.DUMMYFUNCTION("""COMPUTED_VALUE"""),"Campo de Golf Playa los Cocos")</f>
        <v>Campo de Golf Playa los Cocos</v>
      </c>
      <c r="C3695" s="42" t="str">
        <f>IFERROR(__xludf.DUMMYFUNCTION("""COMPUTED_VALUE"""),"Yenderson Sandoval")</f>
        <v>Yenderson Sandoval</v>
      </c>
      <c r="D3695" s="42" t="str">
        <f>IFERROR(__xludf.DUMMYFUNCTION("""COMPUTED_VALUE"""),"")</f>
        <v/>
      </c>
      <c r="E3695" s="42" t="str">
        <f>IFERROR(__xludf.DUMMYFUNCTION("""COMPUTED_VALUE"""),"")</f>
        <v/>
      </c>
      <c r="F3695" s="42" t="str">
        <f>IFERROR(__xludf.DUMMYFUNCTION("""COMPUTED_VALUE"""),"")</f>
        <v/>
      </c>
      <c r="G3695" s="42" t="str">
        <f>IFERROR(__xludf.DUMMYFUNCTION("""COMPUTED_VALUE"""),"")</f>
        <v/>
      </c>
      <c r="H3695" s="42" t="str">
        <f>IFERROR(__xludf.DUMMYFUNCTION("""COMPUTED_VALUE"""),"")</f>
        <v/>
      </c>
      <c r="I3695" s="42"/>
      <c r="J3695" s="42" t="str">
        <f>IFERROR(__xludf.DUMMYFUNCTION("""COMPUTED_VALUE"""),"")</f>
        <v/>
      </c>
      <c r="K3695" s="42" t="str">
        <f>IFERROR(__xludf.DUMMYFUNCTION("""COMPUTED_VALUE"""),"Campo de Golf Playa los Cocos")</f>
        <v>Campo de Golf Playa los Cocos</v>
      </c>
    </row>
    <row r="3696">
      <c r="A3696" s="42">
        <v>3695.0</v>
      </c>
      <c r="B3696" s="42" t="str">
        <f>IFERROR(__xludf.DUMMYFUNCTION("""COMPUTED_VALUE"""),"Hospital Domingo Luciani")</f>
        <v>Hospital Domingo Luciani</v>
      </c>
      <c r="C3696" s="42" t="str">
        <f>IFERROR(__xludf.DUMMYFUNCTION("""COMPUTED_VALUE"""),"YENDI SEBASTIEN")</f>
        <v>YENDI SEBASTIEN</v>
      </c>
      <c r="D3696" s="42" t="str">
        <f>IFERROR(__xludf.DUMMYFUNCTION("""COMPUTED_VALUE""")," ")</f>
        <v> </v>
      </c>
      <c r="E3696" s="42" t="str">
        <f>IFERROR(__xludf.DUMMYFUNCTION("""COMPUTED_VALUE"""),"")</f>
        <v/>
      </c>
      <c r="F3696" s="42" t="str">
        <f>IFERROR(__xludf.DUMMYFUNCTION("""COMPUTED_VALUE"""),"")</f>
        <v/>
      </c>
      <c r="G3696" s="42" t="str">
        <f>IFERROR(__xludf.DUMMYFUNCTION("""COMPUTED_VALUE""")," ")</f>
        <v> </v>
      </c>
      <c r="H3696" s="42" t="str">
        <f>IFERROR(__xludf.DUMMYFUNCTION("""COMPUTED_VALUE""")," ")</f>
        <v> </v>
      </c>
      <c r="I3696" s="42" t="str">
        <f>IFERROR(__xludf.DUMMYFUNCTION("""COMPUTED_VALUE"""),"Pediatría")</f>
        <v>Pediatría</v>
      </c>
      <c r="J3696" s="42" t="str">
        <f>IFERROR(__xludf.DUMMYFUNCTION("""COMPUTED_VALUE"""),"")</f>
        <v/>
      </c>
      <c r="K3696" s="42" t="str">
        <f>IFERROR(__xludf.DUMMYFUNCTION("""COMPUTED_VALUE"""),"🔍 BUSCAR PACIENTES")</f>
        <v>🔍 BUSCAR PACIENTES</v>
      </c>
    </row>
    <row r="3697">
      <c r="A3697" s="42">
        <v>3696.0</v>
      </c>
      <c r="B3697" s="42" t="str">
        <f>IFERROR(__xludf.DUMMYFUNCTION("""COMPUTED_VALUE"""),"Periférico de Catia")</f>
        <v>Periférico de Catia</v>
      </c>
      <c r="C3697" s="42" t="str">
        <f>IFERROR(__xludf.DUMMYFUNCTION("""COMPUTED_VALUE"""),"YENIC SUAREZ")</f>
        <v>YENIC SUAREZ</v>
      </c>
      <c r="D3697" s="42">
        <f>IFERROR(__xludf.DUMMYFUNCTION("""COMPUTED_VALUE"""),40.0)</f>
        <v>40</v>
      </c>
      <c r="E3697" s="42" t="str">
        <f>IFERROR(__xludf.DUMMYFUNCTION("""COMPUTED_VALUE"""),"")</f>
        <v/>
      </c>
      <c r="F3697" s="42" t="str">
        <f>IFERROR(__xludf.DUMMYFUNCTION("""COMPUTED_VALUE"""),"")</f>
        <v/>
      </c>
      <c r="G3697" s="42" t="str">
        <f>IFERROR(__xludf.DUMMYFUNCTION("""COMPUTED_VALUE""")," ")</f>
        <v> </v>
      </c>
      <c r="H3697" s="42" t="str">
        <f>IFERROR(__xludf.DUMMYFUNCTION("""COMPUTED_VALUE"""),"Calle Real A. Ruiz")</f>
        <v>Calle Real A. Ruiz</v>
      </c>
      <c r="I3697" s="42" t="str">
        <f>IFERROR(__xludf.DUMMYFUNCTION("""COMPUTED_VALUE"""),"TRM")</f>
        <v>TRM</v>
      </c>
      <c r="J3697" s="42" t="str">
        <f>IFERROR(__xludf.DUMMYFUNCTION("""COMPUTED_VALUE"""),"")</f>
        <v/>
      </c>
      <c r="K3697" s="42" t="str">
        <f>IFERROR(__xludf.DUMMYFUNCTION("""COMPUTED_VALUE"""),"Periférico de Catia")</f>
        <v>Periférico de Catia</v>
      </c>
    </row>
    <row r="3698">
      <c r="A3698" s="42">
        <v>3697.0</v>
      </c>
      <c r="B3698" s="42" t="str">
        <f>IFERROR(__xludf.DUMMYFUNCTION("""COMPUTED_VALUE"""),"Campo de Golf Playa los Cocos")</f>
        <v>Campo de Golf Playa los Cocos</v>
      </c>
      <c r="C3698" s="42" t="str">
        <f>IFERROR(__xludf.DUMMYFUNCTION("""COMPUTED_VALUE"""),"Yenifer Galidenz")</f>
        <v>Yenifer Galidenz</v>
      </c>
      <c r="D3698" s="42" t="str">
        <f>IFERROR(__xludf.DUMMYFUNCTION("""COMPUTED_VALUE"""),"")</f>
        <v/>
      </c>
      <c r="E3698" s="42" t="str">
        <f>IFERROR(__xludf.DUMMYFUNCTION("""COMPUTED_VALUE"""),"")</f>
        <v/>
      </c>
      <c r="F3698" s="42" t="str">
        <f>IFERROR(__xludf.DUMMYFUNCTION("""COMPUTED_VALUE"""),"")</f>
        <v/>
      </c>
      <c r="G3698" s="42" t="str">
        <f>IFERROR(__xludf.DUMMYFUNCTION("""COMPUTED_VALUE"""),"")</f>
        <v/>
      </c>
      <c r="H3698" s="42" t="str">
        <f>IFERROR(__xludf.DUMMYFUNCTION("""COMPUTED_VALUE"""),"")</f>
        <v/>
      </c>
      <c r="I3698" s="42" t="str">
        <f>IFERROR(__xludf.DUMMYFUNCTION("""COMPUTED_VALUE"""),"menor")</f>
        <v>menor</v>
      </c>
      <c r="J3698" s="42" t="str">
        <f>IFERROR(__xludf.DUMMYFUNCTION("""COMPUTED_VALUE"""),"")</f>
        <v/>
      </c>
      <c r="K3698" s="42" t="str">
        <f>IFERROR(__xludf.DUMMYFUNCTION("""COMPUTED_VALUE"""),"Campo de Golf Playa los Cocos")</f>
        <v>Campo de Golf Playa los Cocos</v>
      </c>
    </row>
    <row r="3699">
      <c r="A3699" s="42">
        <v>3698.0</v>
      </c>
      <c r="B3699" s="42" t="str">
        <f>IFERROR(__xludf.DUMMYFUNCTION("""COMPUTED_VALUE"""),"Hospital Domingo Luciani")</f>
        <v>Hospital Domingo Luciani</v>
      </c>
      <c r="C3699" s="42" t="str">
        <f>IFERROR(__xludf.DUMMYFUNCTION("""COMPUTED_VALUE"""),"YENJEIL")</f>
        <v>YENJEIL</v>
      </c>
      <c r="D3699" s="42">
        <f>IFERROR(__xludf.DUMMYFUNCTION("""COMPUTED_VALUE"""),13.0)</f>
        <v>13</v>
      </c>
      <c r="E3699" s="42" t="str">
        <f>IFERROR(__xludf.DUMMYFUNCTION("""COMPUTED_VALUE"""),"")</f>
        <v/>
      </c>
      <c r="F3699" s="42" t="str">
        <f>IFERROR(__xludf.DUMMYFUNCTION("""COMPUTED_VALUE"""),"")</f>
        <v/>
      </c>
      <c r="G3699" s="42" t="str">
        <f>IFERROR(__xludf.DUMMYFUNCTION("""COMPUTED_VALUE""")," ")</f>
        <v> </v>
      </c>
      <c r="H3699" s="42" t="str">
        <f>IFERROR(__xludf.DUMMYFUNCTION("""COMPUTED_VALUE""")," ")</f>
        <v> </v>
      </c>
      <c r="I3699" s="42" t="str">
        <f>IFERROR(__xludf.DUMMYFUNCTION("""COMPUTED_VALUE"""),"Quirófano – F; Carbacas")</f>
        <v>Quirófano – F; Carbacas</v>
      </c>
      <c r="J3699" s="42" t="str">
        <f>IFERROR(__xludf.DUMMYFUNCTION("""COMPUTED_VALUE"""),"")</f>
        <v/>
      </c>
      <c r="K3699" s="42" t="str">
        <f>IFERROR(__xludf.DUMMYFUNCTION("""COMPUTED_VALUE"""),"🔍 BUSCAR PACIENTES")</f>
        <v>🔍 BUSCAR PACIENTES</v>
      </c>
    </row>
    <row r="3700">
      <c r="A3700" s="42">
        <v>3699.0</v>
      </c>
      <c r="B3700" s="42" t="str">
        <f>IFERROR(__xludf.DUMMYFUNCTION("""COMPUTED_VALUE"""),"Hospital Domingo Luciani")</f>
        <v>Hospital Domingo Luciani</v>
      </c>
      <c r="C3700" s="42" t="str">
        <f>IFERROR(__xludf.DUMMYFUNCTION("""COMPUTED_VALUE"""),"Yenny Garcia")</f>
        <v>Yenny Garcia</v>
      </c>
      <c r="D3700" s="42">
        <f>IFERROR(__xludf.DUMMYFUNCTION("""COMPUTED_VALUE"""),34.0)</f>
        <v>34</v>
      </c>
      <c r="E3700" s="42" t="str">
        <f>IFERROR(__xludf.DUMMYFUNCTION("""COMPUTED_VALUE"""),"")</f>
        <v/>
      </c>
      <c r="F3700" s="42" t="str">
        <f>IFERROR(__xludf.DUMMYFUNCTION("""COMPUTED_VALUE"""),"")</f>
        <v/>
      </c>
      <c r="G3700" s="42"/>
      <c r="H3700" s="42"/>
      <c r="I3700" s="42"/>
      <c r="J3700" s="42" t="str">
        <f>IFERROR(__xludf.DUMMYFUNCTION("""COMPUTED_VALUE"""),"")</f>
        <v/>
      </c>
      <c r="K3700" s="42" t="str">
        <f>IFERROR(__xludf.DUMMYFUNCTION("""COMPUTED_VALUE"""),"Hospital Domingo Luciani")</f>
        <v>Hospital Domingo Luciani</v>
      </c>
    </row>
    <row r="3701">
      <c r="A3701" s="42">
        <v>3700.0</v>
      </c>
      <c r="B3701" s="42" t="str">
        <f>IFERROR(__xludf.DUMMYFUNCTION("""COMPUTED_VALUE"""),"Periférico de Catia")</f>
        <v>Periférico de Catia</v>
      </c>
      <c r="C3701" s="42" t="str">
        <f>IFERROR(__xludf.DUMMYFUNCTION("""COMPUTED_VALUE"""),"YENNY SEVILLA")</f>
        <v>YENNY SEVILLA</v>
      </c>
      <c r="D3701" s="42">
        <f>IFERROR(__xludf.DUMMYFUNCTION("""COMPUTED_VALUE"""),30.0)</f>
        <v>30</v>
      </c>
      <c r="E3701" s="42" t="str">
        <f>IFERROR(__xludf.DUMMYFUNCTION("""COMPUTED_VALUE"""),"")</f>
        <v/>
      </c>
      <c r="F3701" s="42" t="str">
        <f>IFERROR(__xludf.DUMMYFUNCTION("""COMPUTED_VALUE"""),"")</f>
        <v/>
      </c>
      <c r="G3701" s="42" t="str">
        <f>IFERROR(__xludf.DUMMYFUNCTION("""COMPUTED_VALUE""")," ")</f>
        <v> </v>
      </c>
      <c r="H3701" s="42" t="str">
        <f>IFERROR(__xludf.DUMMYFUNCTION("""COMPUTED_VALUE"""),"Blandin C.V. bajos")</f>
        <v>Blandin C.V. bajos</v>
      </c>
      <c r="I3701" s="42" t="str">
        <f>IFERROR(__xludf.DUMMYFUNCTION("""COMPUTED_VALUE""")," ")</f>
        <v> </v>
      </c>
      <c r="J3701" s="42" t="str">
        <f>IFERROR(__xludf.DUMMYFUNCTION("""COMPUTED_VALUE"""),"")</f>
        <v/>
      </c>
      <c r="K3701" s="42" t="str">
        <f>IFERROR(__xludf.DUMMYFUNCTION("""COMPUTED_VALUE"""),"Periférico de Catia")</f>
        <v>Periférico de Catia</v>
      </c>
    </row>
    <row r="3702">
      <c r="A3702" s="42">
        <v>3701.0</v>
      </c>
      <c r="B3702" s="42" t="str">
        <f>IFERROR(__xludf.DUMMYFUNCTION("""COMPUTED_VALUE"""),"La Guaira Sin Hospital")</f>
        <v>La Guaira Sin Hospital</v>
      </c>
      <c r="C3702" s="42" t="str">
        <f>IFERROR(__xludf.DUMMYFUNCTION("""COMPUTED_VALUE"""),"Yepez Carlos Dominguez")</f>
        <v>Yepez Carlos Dominguez</v>
      </c>
      <c r="D3702" s="42" t="str">
        <f>IFERROR(__xludf.DUMMYFUNCTION("""COMPUTED_VALUE"""),"")</f>
        <v/>
      </c>
      <c r="E3702" s="42" t="str">
        <f>IFERROR(__xludf.DUMMYFUNCTION("""COMPUTED_VALUE"""),"")</f>
        <v/>
      </c>
      <c r="F3702" s="42" t="str">
        <f>IFERROR(__xludf.DUMMYFUNCTION("""COMPUTED_VALUE"""),"")</f>
        <v/>
      </c>
      <c r="G3702" s="42" t="str">
        <f>IFERROR(__xludf.DUMMYFUNCTION("""COMPUTED_VALUE"""),"")</f>
        <v/>
      </c>
      <c r="H3702" s="42" t="str">
        <f>IFERROR(__xludf.DUMMYFUNCTION("""COMPUTED_VALUE"""),"Barquisimeto")</f>
        <v>Barquisimeto</v>
      </c>
      <c r="I3702" s="42" t="str">
        <f>IFERROR(__xludf.DUMMYFUNCTION("""COMPUTED_VALUE"""),"Listas con ubicación")</f>
        <v>Listas con ubicación</v>
      </c>
      <c r="J3702" s="42" t="str">
        <f>IFERROR(__xludf.DUMMYFUNCTION("""COMPUTED_VALUE"""),"")</f>
        <v/>
      </c>
      <c r="K3702" s="42" t="str">
        <f>IFERROR(__xludf.DUMMYFUNCTION("""COMPUTED_VALUE"""),"La Guaira Sin Hospital")</f>
        <v>La Guaira Sin Hospital</v>
      </c>
    </row>
    <row r="3703">
      <c r="A3703" s="42">
        <v>3702.0</v>
      </c>
      <c r="B3703" s="42" t="str">
        <f>IFERROR(__xludf.DUMMYFUNCTION("""COMPUTED_VALUE"""),"Hospital Pérez Carreño")</f>
        <v>Hospital Pérez Carreño</v>
      </c>
      <c r="C3703" s="42" t="str">
        <f>IFERROR(__xludf.DUMMYFUNCTION("""COMPUTED_VALUE"""),"YEPEZ DOMINGUEZ CARLOS")</f>
        <v>YEPEZ DOMINGUEZ CARLOS</v>
      </c>
      <c r="D3703" s="42" t="str">
        <f>IFERROR(__xludf.DUMMYFUNCTION("""COMPUTED_VALUE""")," ")</f>
        <v> </v>
      </c>
      <c r="E3703" s="42" t="str">
        <f>IFERROR(__xludf.DUMMYFUNCTION("""COMPUTED_VALUE"""),"")</f>
        <v/>
      </c>
      <c r="F3703" s="42" t="str">
        <f>IFERROR(__xludf.DUMMYFUNCTION("""COMPUTED_VALUE"""),"")</f>
        <v/>
      </c>
      <c r="G3703" s="42" t="str">
        <f>IFERROR(__xludf.DUMMYFUNCTION("""COMPUTED_VALUE""")," ")</f>
        <v> </v>
      </c>
      <c r="H3703" s="42" t="str">
        <f>IFERROR(__xludf.DUMMYFUNCTION("""COMPUTED_VALUE""")," ")</f>
        <v> </v>
      </c>
      <c r="I3703" s="42" t="str">
        <f>IFERROR(__xludf.DUMMYFUNCTION("""COMPUTED_VALUE"""),"Internado")</f>
        <v>Internado</v>
      </c>
      <c r="J3703" s="42" t="str">
        <f>IFERROR(__xludf.DUMMYFUNCTION("""COMPUTED_VALUE"""),"")</f>
        <v/>
      </c>
      <c r="K3703" s="42" t="str">
        <f>IFERROR(__xludf.DUMMYFUNCTION("""COMPUTED_VALUE"""),"🔍 BUSCAR PACIENTES")</f>
        <v>🔍 BUSCAR PACIENTES</v>
      </c>
    </row>
    <row r="3704">
      <c r="A3704" s="42">
        <v>3703.0</v>
      </c>
      <c r="B3704" s="42" t="str">
        <f>IFERROR(__xludf.DUMMYFUNCTION("""COMPUTED_VALUE"""),"Centro de Acopio Caraballeda")</f>
        <v>Centro de Acopio Caraballeda</v>
      </c>
      <c r="C3704" s="42" t="str">
        <f>IFERROR(__xludf.DUMMYFUNCTION("""COMPUTED_VALUE"""),"YEPEZ EIDERT")</f>
        <v>YEPEZ EIDERT</v>
      </c>
      <c r="D3704" s="42" t="str">
        <f>IFERROR(__xludf.DUMMYFUNCTION("""COMPUTED_VALUE""")," ")</f>
        <v> </v>
      </c>
      <c r="E3704" s="42" t="str">
        <f>IFERROR(__xludf.DUMMYFUNCTION("""COMPUTED_VALUE"""),"")</f>
        <v/>
      </c>
      <c r="F3704" s="42" t="str">
        <f>IFERROR(__xludf.DUMMYFUNCTION("""COMPUTED_VALUE"""),"")</f>
        <v/>
      </c>
      <c r="G3704" s="42" t="str">
        <f>IFERROR(__xludf.DUMMYFUNCTION("""COMPUTED_VALUE""")," ")</f>
        <v> </v>
      </c>
      <c r="H3704" s="42" t="str">
        <f>IFERROR(__xludf.DUMMYFUNCTION("""COMPUTED_VALUE""")," ")</f>
        <v> </v>
      </c>
      <c r="I3704" s="42" t="str">
        <f>IFERROR(__xludf.DUMMYFUNCTION("""COMPUTED_VALUE"""),"Internado")</f>
        <v>Internado</v>
      </c>
      <c r="J3704" s="42" t="str">
        <f>IFERROR(__xludf.DUMMYFUNCTION("""COMPUTED_VALUE"""),"")</f>
        <v/>
      </c>
      <c r="K3704" s="42" t="str">
        <f>IFERROR(__xludf.DUMMYFUNCTION("""COMPUTED_VALUE"""),"🔍 BUSCAR PACIENTES")</f>
        <v>🔍 BUSCAR PACIENTES</v>
      </c>
    </row>
    <row r="3705">
      <c r="A3705" s="42">
        <v>3704.0</v>
      </c>
      <c r="B3705" s="42" t="str">
        <f>IFERROR(__xludf.DUMMYFUNCTION("""COMPUTED_VALUE"""),"Centro de Acopio Caraballeda")</f>
        <v>Centro de Acopio Caraballeda</v>
      </c>
      <c r="C3705" s="42" t="str">
        <f>IFERROR(__xludf.DUMMYFUNCTION("""COMPUTED_VALUE"""),"YEPEZ SHARON")</f>
        <v>YEPEZ SHARON</v>
      </c>
      <c r="D3705" s="42" t="str">
        <f>IFERROR(__xludf.DUMMYFUNCTION("""COMPUTED_VALUE""")," ")</f>
        <v> </v>
      </c>
      <c r="E3705" s="42" t="str">
        <f>IFERROR(__xludf.DUMMYFUNCTION("""COMPUTED_VALUE"""),"")</f>
        <v/>
      </c>
      <c r="F3705" s="42" t="str">
        <f>IFERROR(__xludf.DUMMYFUNCTION("""COMPUTED_VALUE"""),"")</f>
        <v/>
      </c>
      <c r="G3705" s="42" t="str">
        <f>IFERROR(__xludf.DUMMYFUNCTION("""COMPUTED_VALUE""")," ")</f>
        <v> </v>
      </c>
      <c r="H3705" s="42" t="str">
        <f>IFERROR(__xludf.DUMMYFUNCTION("""COMPUTED_VALUE""")," ")</f>
        <v> </v>
      </c>
      <c r="I3705" s="42" t="str">
        <f>IFERROR(__xludf.DUMMYFUNCTION("""COMPUTED_VALUE"""),"Internado")</f>
        <v>Internado</v>
      </c>
      <c r="J3705" s="42" t="str">
        <f>IFERROR(__xludf.DUMMYFUNCTION("""COMPUTED_VALUE"""),"")</f>
        <v/>
      </c>
      <c r="K3705" s="42" t="str">
        <f>IFERROR(__xludf.DUMMYFUNCTION("""COMPUTED_VALUE"""),"🔍 BUSCAR PACIENTES")</f>
        <v>🔍 BUSCAR PACIENTES</v>
      </c>
    </row>
    <row r="3706">
      <c r="A3706" s="42">
        <v>3705.0</v>
      </c>
      <c r="B3706" s="42" t="str">
        <f>IFERROR(__xludf.DUMMYFUNCTION("""COMPUTED_VALUE"""),"Campo de Golf Playa los Cocos")</f>
        <v>Campo de Golf Playa los Cocos</v>
      </c>
      <c r="C3706" s="42" t="str">
        <f>IFERROR(__xludf.DUMMYFUNCTION("""COMPUTED_VALUE"""),"Yerson Rodriguez")</f>
        <v>Yerson Rodriguez</v>
      </c>
      <c r="D3706" s="42" t="str">
        <f>IFERROR(__xludf.DUMMYFUNCTION("""COMPUTED_VALUE"""),"")</f>
        <v/>
      </c>
      <c r="E3706" s="42" t="str">
        <f>IFERROR(__xludf.DUMMYFUNCTION("""COMPUTED_VALUE"""),"")</f>
        <v/>
      </c>
      <c r="F3706" s="42" t="str">
        <f>IFERROR(__xludf.DUMMYFUNCTION("""COMPUTED_VALUE"""),"")</f>
        <v/>
      </c>
      <c r="G3706" s="42" t="str">
        <f>IFERROR(__xludf.DUMMYFUNCTION("""COMPUTED_VALUE"""),"")</f>
        <v/>
      </c>
      <c r="H3706" s="42" t="str">
        <f>IFERROR(__xludf.DUMMYFUNCTION("""COMPUTED_VALUE"""),"")</f>
        <v/>
      </c>
      <c r="I3706" s="42"/>
      <c r="J3706" s="42" t="str">
        <f>IFERROR(__xludf.DUMMYFUNCTION("""COMPUTED_VALUE"""),"")</f>
        <v/>
      </c>
      <c r="K3706" s="42" t="str">
        <f>IFERROR(__xludf.DUMMYFUNCTION("""COMPUTED_VALUE"""),"Campo de Golf Playa los Cocos")</f>
        <v>Campo de Golf Playa los Cocos</v>
      </c>
    </row>
    <row r="3707">
      <c r="A3707" s="42">
        <v>3706.0</v>
      </c>
      <c r="B3707" s="42" t="str">
        <f>IFERROR(__xludf.DUMMYFUNCTION("""COMPUTED_VALUE"""),"Hospital Pérez Carreño")</f>
        <v>Hospital Pérez Carreño</v>
      </c>
      <c r="C3707" s="42" t="str">
        <f>IFERROR(__xludf.DUMMYFUNCTION("""COMPUTED_VALUE"""),"Yesenia Coronado")</f>
        <v>Yesenia Coronado</v>
      </c>
      <c r="D3707" s="42" t="str">
        <f>IFERROR(__xludf.DUMMYFUNCTION("""COMPUTED_VALUE"""),"40 años")</f>
        <v>40 años</v>
      </c>
      <c r="E3707" s="42" t="str">
        <f>IFERROR(__xludf.DUMMYFUNCTION("""COMPUTED_VALUE"""),"")</f>
        <v/>
      </c>
      <c r="F3707" s="42" t="str">
        <f>IFERROR(__xludf.DUMMYFUNCTION("""COMPUTED_VALUE"""),"")</f>
        <v/>
      </c>
      <c r="G3707" s="42" t="str">
        <f>IFERROR(__xludf.DUMMYFUNCTION("""COMPUTED_VALUE"""),"Traumashock ")</f>
        <v>Traumashock </v>
      </c>
      <c r="H3707" s="42" t="str">
        <f>IFERROR(__xludf.DUMMYFUNCTION("""COMPUTED_VALUE"""),"Hospital Miguel Perez Carreño")</f>
        <v>Hospital Miguel Perez Carreño</v>
      </c>
      <c r="I3707" s="42"/>
      <c r="J3707" s="42" t="str">
        <f>IFERROR(__xludf.DUMMYFUNCTION("""COMPUTED_VALUE"""),"26/6/26")</f>
        <v>26/6/26</v>
      </c>
      <c r="K3707" s="42" t="str">
        <f>IFERROR(__xludf.DUMMYFUNCTION("""COMPUTED_VALUE"""),"Hospital Pérez Carreño")</f>
        <v>Hospital Pérez Carreño</v>
      </c>
    </row>
    <row r="3708">
      <c r="A3708" s="42">
        <v>3707.0</v>
      </c>
      <c r="B3708" s="42" t="str">
        <f>IFERROR(__xludf.DUMMYFUNCTION("""COMPUTED_VALUE"""),"Campo de Golf Playa los Cocos")</f>
        <v>Campo de Golf Playa los Cocos</v>
      </c>
      <c r="C3708" s="42" t="str">
        <f>IFERROR(__xludf.DUMMYFUNCTION("""COMPUTED_VALUE"""),"Yesica Perez")</f>
        <v>Yesica Perez</v>
      </c>
      <c r="D3708" s="42" t="str">
        <f>IFERROR(__xludf.DUMMYFUNCTION("""COMPUTED_VALUE"""),"")</f>
        <v/>
      </c>
      <c r="E3708" s="42" t="str">
        <f>IFERROR(__xludf.DUMMYFUNCTION("""COMPUTED_VALUE"""),"")</f>
        <v/>
      </c>
      <c r="F3708" s="42" t="str">
        <f>IFERROR(__xludf.DUMMYFUNCTION("""COMPUTED_VALUE"""),"")</f>
        <v/>
      </c>
      <c r="G3708" s="42" t="str">
        <f>IFERROR(__xludf.DUMMYFUNCTION("""COMPUTED_VALUE"""),"")</f>
        <v/>
      </c>
      <c r="H3708" s="42" t="str">
        <f>IFERROR(__xludf.DUMMYFUNCTION("""COMPUTED_VALUE"""),"")</f>
        <v/>
      </c>
      <c r="I3708" s="42"/>
      <c r="J3708" s="42" t="str">
        <f>IFERROR(__xludf.DUMMYFUNCTION("""COMPUTED_VALUE"""),"")</f>
        <v/>
      </c>
      <c r="K3708" s="42" t="str">
        <f>IFERROR(__xludf.DUMMYFUNCTION("""COMPUTED_VALUE"""),"Campo de Golf Playa los Cocos")</f>
        <v>Campo de Golf Playa los Cocos</v>
      </c>
    </row>
    <row r="3709">
      <c r="A3709" s="42">
        <v>3708.0</v>
      </c>
      <c r="B3709" s="42" t="str">
        <f>IFERROR(__xludf.DUMMYFUNCTION("""COMPUTED_VALUE"""),"Hospital Domingo Luciani")</f>
        <v>Hospital Domingo Luciani</v>
      </c>
      <c r="C3709" s="42" t="str">
        <f>IFERROR(__xludf.DUMMYFUNCTION("""COMPUTED_VALUE"""),"YESSICA BLANCO")</f>
        <v>YESSICA BLANCO</v>
      </c>
      <c r="D3709" s="42" t="str">
        <f>IFERROR(__xludf.DUMMYFUNCTION("""COMPUTED_VALUE""")," ")</f>
        <v> </v>
      </c>
      <c r="E3709" s="42" t="str">
        <f>IFERROR(__xludf.DUMMYFUNCTION("""COMPUTED_VALUE"""),"")</f>
        <v/>
      </c>
      <c r="F3709" s="42" t="str">
        <f>IFERROR(__xludf.DUMMYFUNCTION("""COMPUTED_VALUE"""),"")</f>
        <v/>
      </c>
      <c r="G3709" s="42" t="str">
        <f>IFERROR(__xludf.DUMMYFUNCTION("""COMPUTED_VALUE""")," ")</f>
        <v> </v>
      </c>
      <c r="H3709" s="42" t="str">
        <f>IFERROR(__xludf.DUMMYFUNCTION("""COMPUTED_VALUE""")," ")</f>
        <v> </v>
      </c>
      <c r="I3709" s="42" t="str">
        <f>IFERROR(__xludf.DUMMYFUNCTION("""COMPUTED_VALUE"""),"Piso 2")</f>
        <v>Piso 2</v>
      </c>
      <c r="J3709" s="42" t="str">
        <f>IFERROR(__xludf.DUMMYFUNCTION("""COMPUTED_VALUE"""),"")</f>
        <v/>
      </c>
      <c r="K3709" s="42" t="str">
        <f>IFERROR(__xludf.DUMMYFUNCTION("""COMPUTED_VALUE"""),"🔍 BUSCAR PACIENTES")</f>
        <v>🔍 BUSCAR PACIENTES</v>
      </c>
    </row>
    <row r="3710">
      <c r="A3710" s="42">
        <v>3709.0</v>
      </c>
      <c r="B3710" s="42" t="str">
        <f>IFERROR(__xludf.DUMMYFUNCTION("""COMPUTED_VALUE"""),"Campo de Golf Playa los Cocos")</f>
        <v>Campo de Golf Playa los Cocos</v>
      </c>
      <c r="C3710" s="42" t="str">
        <f>IFERROR(__xludf.DUMMYFUNCTION("""COMPUTED_VALUE"""),"Yetxi Vivas")</f>
        <v>Yetxi Vivas</v>
      </c>
      <c r="D3710" s="42" t="str">
        <f>IFERROR(__xludf.DUMMYFUNCTION("""COMPUTED_VALUE"""),"")</f>
        <v/>
      </c>
      <c r="E3710" s="42" t="str">
        <f>IFERROR(__xludf.DUMMYFUNCTION("""COMPUTED_VALUE"""),"")</f>
        <v/>
      </c>
      <c r="F3710" s="42" t="str">
        <f>IFERROR(__xludf.DUMMYFUNCTION("""COMPUTED_VALUE"""),"")</f>
        <v/>
      </c>
      <c r="G3710" s="42" t="str">
        <f>IFERROR(__xludf.DUMMYFUNCTION("""COMPUTED_VALUE"""),"")</f>
        <v/>
      </c>
      <c r="H3710" s="42" t="str">
        <f>IFERROR(__xludf.DUMMYFUNCTION("""COMPUTED_VALUE"""),"")</f>
        <v/>
      </c>
      <c r="I3710" s="42"/>
      <c r="J3710" s="42" t="str">
        <f>IFERROR(__xludf.DUMMYFUNCTION("""COMPUTED_VALUE"""),"")</f>
        <v/>
      </c>
      <c r="K3710" s="42" t="str">
        <f>IFERROR(__xludf.DUMMYFUNCTION("""COMPUTED_VALUE"""),"Campo de Golf Playa los Cocos")</f>
        <v>Campo de Golf Playa los Cocos</v>
      </c>
    </row>
    <row r="3711">
      <c r="A3711" s="42">
        <v>3710.0</v>
      </c>
      <c r="B3711" s="42" t="str">
        <f>IFERROR(__xludf.DUMMYFUNCTION("""COMPUTED_VALUE"""),"Periférico de Catia")</f>
        <v>Periférico de Catia</v>
      </c>
      <c r="C3711" s="42" t="str">
        <f>IFERROR(__xludf.DUMMYFUNCTION("""COMPUTED_VALUE"""),"Yexkeidy Fernandez")</f>
        <v>Yexkeidy Fernandez</v>
      </c>
      <c r="D3711" s="42"/>
      <c r="E3711" s="42" t="str">
        <f>IFERROR(__xludf.DUMMYFUNCTION("""COMPUTED_VALUE"""),"")</f>
        <v/>
      </c>
      <c r="F3711" s="42" t="str">
        <f>IFERROR(__xludf.DUMMYFUNCTION("""COMPUTED_VALUE"""),"")</f>
        <v/>
      </c>
      <c r="G3711" s="42"/>
      <c r="H3711" s="42"/>
      <c r="I3711" s="42" t="str">
        <f>IFERROR(__xludf.DUMMYFUNCTION("""COMPUTED_VALUE"""),"Nota adicional 8:30pm (mismo grupo Politrauma) (sin edad)")</f>
        <v>Nota adicional 8:30pm (mismo grupo Politrauma) (sin edad)</v>
      </c>
      <c r="J3711" s="42" t="str">
        <f>IFERROR(__xludf.DUMMYFUNCTION("""COMPUTED_VALUE"""),"")</f>
        <v/>
      </c>
      <c r="K3711" s="42" t="str">
        <f>IFERROR(__xludf.DUMMYFUNCTION("""COMPUTED_VALUE"""),"Periférico de Catia")</f>
        <v>Periférico de Catia</v>
      </c>
    </row>
    <row r="3712">
      <c r="A3712" s="42">
        <v>3711.0</v>
      </c>
      <c r="B3712" s="42" t="str">
        <f>IFERROR(__xludf.DUMMYFUNCTION("""COMPUTED_VALUE"""),"Hospital Domingo Luciani")</f>
        <v>Hospital Domingo Luciani</v>
      </c>
      <c r="C3712" s="42" t="str">
        <f>IFERROR(__xludf.DUMMYFUNCTION("""COMPUTED_VALUE"""),"Yina Brito")</f>
        <v>Yina Brito</v>
      </c>
      <c r="D3712" s="42">
        <f>IFERROR(__xludf.DUMMYFUNCTION("""COMPUTED_VALUE"""),50.0)</f>
        <v>50</v>
      </c>
      <c r="E3712" s="42" t="str">
        <f>IFERROR(__xludf.DUMMYFUNCTION("""COMPUTED_VALUE"""),"")</f>
        <v/>
      </c>
      <c r="F3712" s="42" t="str">
        <f>IFERROR(__xludf.DUMMYFUNCTION("""COMPUTED_VALUE"""),"")</f>
        <v/>
      </c>
      <c r="G3712" s="42"/>
      <c r="H3712" s="42"/>
      <c r="I3712" s="42"/>
      <c r="J3712" s="42" t="str">
        <f>IFERROR(__xludf.DUMMYFUNCTION("""COMPUTED_VALUE"""),"")</f>
        <v/>
      </c>
      <c r="K3712" s="42" t="str">
        <f>IFERROR(__xludf.DUMMYFUNCTION("""COMPUTED_VALUE"""),"Hospital Domingo Luciani")</f>
        <v>Hospital Domingo Luciani</v>
      </c>
    </row>
    <row r="3713">
      <c r="A3713" s="42">
        <v>3712.0</v>
      </c>
      <c r="B3713" s="42" t="str">
        <f>IFERROR(__xludf.DUMMYFUNCTION("""COMPUTED_VALUE"""),"Seguro Social La Guaira")</f>
        <v>Seguro Social La Guaira</v>
      </c>
      <c r="C3713" s="42" t="str">
        <f>IFERROR(__xludf.DUMMYFUNCTION("""COMPUTED_VALUE"""),"YISEL CASERES")</f>
        <v>YISEL CASERES</v>
      </c>
      <c r="D3713" s="42">
        <f>IFERROR(__xludf.DUMMYFUNCTION("""COMPUTED_VALUE"""),2.0)</f>
        <v>2</v>
      </c>
      <c r="E3713" s="42" t="str">
        <f>IFERROR(__xludf.DUMMYFUNCTION("""COMPUTED_VALUE"""),"")</f>
        <v/>
      </c>
      <c r="F3713" s="42" t="str">
        <f>IFERROR(__xludf.DUMMYFUNCTION("""COMPUTED_VALUE"""),"")</f>
        <v/>
      </c>
      <c r="G3713" s="42" t="str">
        <f>IFERROR(__xludf.DUMMYFUNCTION("""COMPUTED_VALUE""")," ")</f>
        <v> </v>
      </c>
      <c r="H3713" s="42" t="str">
        <f>IFERROR(__xludf.DUMMYFUNCTION("""COMPUTED_VALUE"""),"Caribe")</f>
        <v>Caribe</v>
      </c>
      <c r="I3713" s="42" t="str">
        <f>IFERROR(__xludf.DUMMYFUNCTION("""COMPUTED_VALUE""")," ")</f>
        <v> </v>
      </c>
      <c r="J3713" s="42" t="str">
        <f>IFERROR(__xludf.DUMMYFUNCTION("""COMPUTED_VALUE"""),"")</f>
        <v/>
      </c>
      <c r="K3713" s="42" t="str">
        <f>IFERROR(__xludf.DUMMYFUNCTION("""COMPUTED_VALUE"""),"Seguro Social La Guaira")</f>
        <v>Seguro Social La Guaira</v>
      </c>
    </row>
    <row r="3714">
      <c r="A3714" s="42">
        <v>3713.0</v>
      </c>
      <c r="B3714" s="42" t="str">
        <f>IFERROR(__xludf.DUMMYFUNCTION("""COMPUTED_VALUE"""),"Hospital Domingo Luciani")</f>
        <v>Hospital Domingo Luciani</v>
      </c>
      <c r="C3714" s="42" t="str">
        <f>IFERROR(__xludf.DUMMYFUNCTION("""COMPUTED_VALUE"""),"Yoaiber Silva")</f>
        <v>Yoaiber Silva</v>
      </c>
      <c r="D3714" s="42">
        <f>IFERROR(__xludf.DUMMYFUNCTION("""COMPUTED_VALUE"""),0.0)</f>
        <v>0</v>
      </c>
      <c r="E3714" s="42" t="str">
        <f>IFERROR(__xludf.DUMMYFUNCTION("""COMPUTED_VALUE"""),"")</f>
        <v/>
      </c>
      <c r="F3714" s="42" t="str">
        <f>IFERROR(__xludf.DUMMYFUNCTION("""COMPUTED_VALUE"""),"")</f>
        <v/>
      </c>
      <c r="G3714" s="42"/>
      <c r="H3714" s="42"/>
      <c r="I3714" s="42"/>
      <c r="J3714" s="42" t="str">
        <f>IFERROR(__xludf.DUMMYFUNCTION("""COMPUTED_VALUE"""),"")</f>
        <v/>
      </c>
      <c r="K3714" s="42" t="str">
        <f>IFERROR(__xludf.DUMMYFUNCTION("""COMPUTED_VALUE"""),"Hospital Domingo Luciani")</f>
        <v>Hospital Domingo Luciani</v>
      </c>
    </row>
    <row r="3715">
      <c r="A3715" s="42">
        <v>3714.0</v>
      </c>
      <c r="B3715" s="42" t="str">
        <f>IFERROR(__xludf.DUMMYFUNCTION("""COMPUTED_VALUE"""),"Hospital Pérez Carreño")</f>
        <v>Hospital Pérez Carreño</v>
      </c>
      <c r="C3715" s="42" t="str">
        <f>IFERROR(__xludf.DUMMYFUNCTION("""COMPUTED_VALUE"""),"Yoan Salazar")</f>
        <v>Yoan Salazar</v>
      </c>
      <c r="D3715" s="42"/>
      <c r="E3715" s="42" t="str">
        <f>IFERROR(__xludf.DUMMYFUNCTION("""COMPUTED_VALUE"""),"")</f>
        <v/>
      </c>
      <c r="F3715" s="42" t="str">
        <f>IFERROR(__xludf.DUMMYFUNCTION("""COMPUTED_VALUE"""),"")</f>
        <v/>
      </c>
      <c r="G3715" s="42" t="str">
        <f>IFERROR(__xludf.DUMMYFUNCTION("""COMPUTED_VALUE"""),"Traumashock ")</f>
        <v>Traumashock </v>
      </c>
      <c r="H3715" s="42" t="str">
        <f>IFERROR(__xludf.DUMMYFUNCTION("""COMPUTED_VALUE"""),"Hospital Miguel Perez Carreño")</f>
        <v>Hospital Miguel Perez Carreño</v>
      </c>
      <c r="I3715" s="42"/>
      <c r="J3715" s="42" t="str">
        <f>IFERROR(__xludf.DUMMYFUNCTION("""COMPUTED_VALUE"""),"26/6/26")</f>
        <v>26/6/26</v>
      </c>
      <c r="K3715" s="42" t="str">
        <f>IFERROR(__xludf.DUMMYFUNCTION("""COMPUTED_VALUE"""),"Hospital Pérez Carreño")</f>
        <v>Hospital Pérez Carreño</v>
      </c>
    </row>
    <row r="3716">
      <c r="A3716" s="42">
        <v>3715.0</v>
      </c>
      <c r="B3716" s="42" t="str">
        <f>IFERROR(__xludf.DUMMYFUNCTION("""COMPUTED_VALUE"""),"HOSPITAL VARGAS")</f>
        <v>HOSPITAL VARGAS</v>
      </c>
      <c r="C3716" s="42" t="str">
        <f>IFERROR(__xludf.DUMMYFUNCTION("""COMPUTED_VALUE"""),"Yoanny Aguilar")</f>
        <v>Yoanny Aguilar</v>
      </c>
      <c r="D3716" s="42"/>
      <c r="E3716" s="42" t="str">
        <f>IFERROR(__xludf.DUMMYFUNCTION("""COMPUTED_VALUE"""),"")</f>
        <v/>
      </c>
      <c r="F3716" s="42" t="str">
        <f>IFERROR(__xludf.DUMMYFUNCTION("""COMPUTED_VALUE"""),"")</f>
        <v/>
      </c>
      <c r="G3716" s="42" t="str">
        <f>IFERROR(__xludf.DUMMYFUNCTION("""COMPUTED_VALUE"""),"")</f>
        <v/>
      </c>
      <c r="H3716" s="42" t="str">
        <f>IFERROR(__xludf.DUMMYFUNCTION("""COMPUTED_VALUE"""),"")</f>
        <v/>
      </c>
      <c r="I3716" s="42" t="str">
        <f>IFERROR(__xludf.DUMMYFUNCTION("""COMPUTED_VALUE"""),"Herido / atendido")</f>
        <v>Herido / atendido</v>
      </c>
      <c r="J3716" s="42" t="str">
        <f>IFERROR(__xludf.DUMMYFUNCTION("""COMPUTED_VALUE"""),"24.06.2026 ")</f>
        <v>24.06.2026 </v>
      </c>
      <c r="K3716" s="42" t="str">
        <f>IFERROR(__xludf.DUMMYFUNCTION("""COMPUTED_VALUE"""),"HOSPITAL VARGAS")</f>
        <v>HOSPITAL VARGAS</v>
      </c>
    </row>
    <row r="3717">
      <c r="A3717" s="42">
        <v>3716.0</v>
      </c>
      <c r="B3717" s="42" t="str">
        <f>IFERROR(__xludf.DUMMYFUNCTION("""COMPUTED_VALUE"""),"La Guaira Sin Hospital")</f>
        <v>La Guaira Sin Hospital</v>
      </c>
      <c r="C3717" s="42" t="str">
        <f>IFERROR(__xludf.DUMMYFUNCTION("""COMPUTED_VALUE"""),"Yodelis Mercedes Navas")</f>
        <v>Yodelis Mercedes Navas</v>
      </c>
      <c r="D3717" s="42" t="str">
        <f>IFERROR(__xludf.DUMMYFUNCTION("""COMPUTED_VALUE"""),"")</f>
        <v/>
      </c>
      <c r="E3717" s="42" t="str">
        <f>IFERROR(__xludf.DUMMYFUNCTION("""COMPUTED_VALUE"""),"")</f>
        <v/>
      </c>
      <c r="F3717" s="42" t="str">
        <f>IFERROR(__xludf.DUMMYFUNCTION("""COMPUTED_VALUE"""),"")</f>
        <v/>
      </c>
      <c r="G3717" s="42" t="str">
        <f>IFERROR(__xludf.DUMMYFUNCTION("""COMPUTED_VALUE"""),"")</f>
        <v/>
      </c>
      <c r="H3717" s="42" t="str">
        <f>IFERROR(__xludf.DUMMYFUNCTION("""COMPUTED_VALUE"""),"Ciudad Caribia")</f>
        <v>Ciudad Caribia</v>
      </c>
      <c r="I3717" s="42" t="str">
        <f>IFERROR(__xludf.DUMMYFUNCTION("""COMPUTED_VALUE"""),"Listas con ubicación")</f>
        <v>Listas con ubicación</v>
      </c>
      <c r="J3717" s="42" t="str">
        <f>IFERROR(__xludf.DUMMYFUNCTION("""COMPUTED_VALUE"""),"")</f>
        <v/>
      </c>
      <c r="K3717" s="42" t="str">
        <f>IFERROR(__xludf.DUMMYFUNCTION("""COMPUTED_VALUE"""),"La Guaira Sin Hospital")</f>
        <v>La Guaira Sin Hospital</v>
      </c>
    </row>
    <row r="3718">
      <c r="A3718" s="42">
        <v>3717.0</v>
      </c>
      <c r="B3718" s="42" t="str">
        <f>IFERROR(__xludf.DUMMYFUNCTION("""COMPUTED_VALUE"""),"Hospital Pérez Carreño")</f>
        <v>Hospital Pérez Carreño</v>
      </c>
      <c r="C3718" s="42" t="str">
        <f>IFERROR(__xludf.DUMMYFUNCTION("""COMPUTED_VALUE"""),"Yoelvanyer Rodriguez")</f>
        <v>Yoelvanyer Rodriguez</v>
      </c>
      <c r="D3718" s="42" t="str">
        <f>IFERROR(__xludf.DUMMYFUNCTION("""COMPUTED_VALUE"""),"Caucagua")</f>
        <v>Caucagua</v>
      </c>
      <c r="E3718" s="42" t="str">
        <f>IFERROR(__xludf.DUMMYFUNCTION("""COMPUTED_VALUE"""),"")</f>
        <v/>
      </c>
      <c r="F3718" s="42" t="str">
        <f>IFERROR(__xludf.DUMMYFUNCTION("""COMPUTED_VALUE"""),"")</f>
        <v/>
      </c>
      <c r="G3718" s="42"/>
      <c r="H3718" s="42"/>
      <c r="I3718" s="42"/>
      <c r="J3718" s="42"/>
      <c r="K3718" s="42" t="str">
        <f>IFERROR(__xludf.DUMMYFUNCTION("""COMPUTED_VALUE"""),"Hospital Pérez Carreño")</f>
        <v>Hospital Pérez Carreño</v>
      </c>
    </row>
    <row r="3719">
      <c r="A3719" s="42">
        <v>3718.0</v>
      </c>
      <c r="B3719" s="42" t="str">
        <f>IFERROR(__xludf.DUMMYFUNCTION("""COMPUTED_VALUE"""),"Seguro Social La Guaira")</f>
        <v>Seguro Social La Guaira</v>
      </c>
      <c r="C3719" s="42" t="str">
        <f>IFERROR(__xludf.DUMMYFUNCTION("""COMPUTED_VALUE"""),"YOEVIYER RODRIGUEZ")</f>
        <v>YOEVIYER RODRIGUEZ</v>
      </c>
      <c r="D3719" s="42">
        <f>IFERROR(__xludf.DUMMYFUNCTION("""COMPUTED_VALUE"""),9.0)</f>
        <v>9</v>
      </c>
      <c r="E3719" s="42" t="str">
        <f>IFERROR(__xludf.DUMMYFUNCTION("""COMPUTED_VALUE"""),"")</f>
        <v/>
      </c>
      <c r="F3719" s="42" t="str">
        <f>IFERROR(__xludf.DUMMYFUNCTION("""COMPUTED_VALUE"""),"")</f>
        <v/>
      </c>
      <c r="G3719" s="42" t="str">
        <f>IFERROR(__xludf.DUMMYFUNCTION("""COMPUTED_VALUE""")," ")</f>
        <v> </v>
      </c>
      <c r="H3719" s="42" t="str">
        <f>IFERROR(__xludf.DUMMYFUNCTION("""COMPUTED_VALUE"""),"Caribe OPP22")</f>
        <v>Caribe OPP22</v>
      </c>
      <c r="I3719" s="42" t="str">
        <f>IFERROR(__xludf.DUMMYFUNCTION("""COMPUTED_VALUE""")," ")</f>
        <v> </v>
      </c>
      <c r="J3719" s="42" t="str">
        <f>IFERROR(__xludf.DUMMYFUNCTION("""COMPUTED_VALUE"""),"")</f>
        <v/>
      </c>
      <c r="K3719" s="42" t="str">
        <f>IFERROR(__xludf.DUMMYFUNCTION("""COMPUTED_VALUE"""),"Seguro Social La Guaira")</f>
        <v>Seguro Social La Guaira</v>
      </c>
    </row>
    <row r="3720">
      <c r="A3720" s="42">
        <v>3719.0</v>
      </c>
      <c r="B3720" s="42" t="str">
        <f>IFERROR(__xludf.DUMMYFUNCTION("""COMPUTED_VALUE"""),"Campo de Golf Playa los Cocos")</f>
        <v>Campo de Golf Playa los Cocos</v>
      </c>
      <c r="C3720" s="42" t="str">
        <f>IFERROR(__xludf.DUMMYFUNCTION("""COMPUTED_VALUE"""),"Yohan Corvo")</f>
        <v>Yohan Corvo</v>
      </c>
      <c r="D3720" s="42" t="str">
        <f>IFERROR(__xludf.DUMMYFUNCTION("""COMPUTED_VALUE"""),"")</f>
        <v/>
      </c>
      <c r="E3720" s="42" t="str">
        <f>IFERROR(__xludf.DUMMYFUNCTION("""COMPUTED_VALUE"""),"")</f>
        <v/>
      </c>
      <c r="F3720" s="42" t="str">
        <f>IFERROR(__xludf.DUMMYFUNCTION("""COMPUTED_VALUE"""),"")</f>
        <v/>
      </c>
      <c r="G3720" s="42" t="str">
        <f>IFERROR(__xludf.DUMMYFUNCTION("""COMPUTED_VALUE"""),"")</f>
        <v/>
      </c>
      <c r="H3720" s="42" t="str">
        <f>IFERROR(__xludf.DUMMYFUNCTION("""COMPUTED_VALUE"""),"")</f>
        <v/>
      </c>
      <c r="I3720" s="42"/>
      <c r="J3720" s="42" t="str">
        <f>IFERROR(__xludf.DUMMYFUNCTION("""COMPUTED_VALUE"""),"")</f>
        <v/>
      </c>
      <c r="K3720" s="42" t="str">
        <f>IFERROR(__xludf.DUMMYFUNCTION("""COMPUTED_VALUE"""),"Campo de Golf Playa los Cocos")</f>
        <v>Campo de Golf Playa los Cocos</v>
      </c>
    </row>
    <row r="3721">
      <c r="A3721" s="42">
        <v>3720.0</v>
      </c>
      <c r="B3721" s="42" t="str">
        <f>IFERROR(__xludf.DUMMYFUNCTION("""COMPUTED_VALUE"""),"Hospital Pérez Carreño")</f>
        <v>Hospital Pérez Carreño</v>
      </c>
      <c r="C3721" s="42" t="str">
        <f>IFERROR(__xludf.DUMMYFUNCTION("""COMPUTED_VALUE"""),"YOISBELYS RODRÍGUEZ")</f>
        <v>YOISBELYS RODRÍGUEZ</v>
      </c>
      <c r="D3721" s="42">
        <f>IFERROR(__xludf.DUMMYFUNCTION("""COMPUTED_VALUE"""),3.0)</f>
        <v>3</v>
      </c>
      <c r="E3721" s="42" t="str">
        <f>IFERROR(__xludf.DUMMYFUNCTION("""COMPUTED_VALUE"""),"")</f>
        <v/>
      </c>
      <c r="F3721" s="42" t="str">
        <f>IFERROR(__xludf.DUMMYFUNCTION("""COMPUTED_VALUE"""),"")</f>
        <v/>
      </c>
      <c r="G3721" s="42" t="str">
        <f>IFERROR(__xludf.DUMMYFUNCTION("""COMPUTED_VALUE""")," ")</f>
        <v> </v>
      </c>
      <c r="H3721" s="42" t="str">
        <f>IFERROR(__xludf.DUMMYFUNCTION("""COMPUTED_VALUE""")," ")</f>
        <v> </v>
      </c>
      <c r="I3721" s="42" t="str">
        <f>IFERROR(__xludf.DUMMYFUNCTION("""COMPUTED_VALUE""")," ")</f>
        <v> </v>
      </c>
      <c r="J3721" s="42" t="str">
        <f>IFERROR(__xludf.DUMMYFUNCTION("""COMPUTED_VALUE"""),"25/06/2026")</f>
        <v>25/06/2026</v>
      </c>
      <c r="K3721" s="42" t="str">
        <f>IFERROR(__xludf.DUMMYFUNCTION("""COMPUTED_VALUE"""),"Hospital Pérez Carreño")</f>
        <v>Hospital Pérez Carreño</v>
      </c>
    </row>
    <row r="3722">
      <c r="A3722" s="42">
        <v>3721.0</v>
      </c>
      <c r="B3722" s="42" t="str">
        <f>IFERROR(__xludf.DUMMYFUNCTION("""COMPUTED_VALUE"""),"Periférico de Catia")</f>
        <v>Periférico de Catia</v>
      </c>
      <c r="C3722" s="42" t="str">
        <f>IFERROR(__xludf.DUMMYFUNCTION("""COMPUTED_VALUE"""),"Yolanda Gonzalez")</f>
        <v>Yolanda Gonzalez</v>
      </c>
      <c r="D3722" s="42"/>
      <c r="E3722" s="42" t="str">
        <f>IFERROR(__xludf.DUMMYFUNCTION("""COMPUTED_VALUE"""),"")</f>
        <v/>
      </c>
      <c r="F3722" s="42" t="str">
        <f>IFERROR(__xludf.DUMMYFUNCTION("""COMPUTED_VALUE"""),"")</f>
        <v/>
      </c>
      <c r="G3722" s="42"/>
      <c r="H3722" s="42"/>
      <c r="I3722" s="42" t="str">
        <f>IFERROR(__xludf.DUMMYFUNCTION("""COMPUTED_VALUE"""),"Nota adicional 8:30pm (mismo grupo Politrauma) — dada de alta (nombre tachado en el original)")</f>
        <v>Nota adicional 8:30pm (mismo grupo Politrauma) — dada de alta (nombre tachado en el original)</v>
      </c>
      <c r="J3722" s="42" t="str">
        <f>IFERROR(__xludf.DUMMYFUNCTION("""COMPUTED_VALUE"""),"")</f>
        <v/>
      </c>
      <c r="K3722" s="42" t="str">
        <f>IFERROR(__xludf.DUMMYFUNCTION("""COMPUTED_VALUE"""),"Periférico de Catia")</f>
        <v>Periférico de Catia</v>
      </c>
    </row>
    <row r="3723">
      <c r="A3723" s="42">
        <v>3722.0</v>
      </c>
      <c r="B3723" s="42" t="str">
        <f>IFERROR(__xludf.DUMMYFUNCTION("""COMPUTED_VALUE"""),"Hospital Domingo Luciani")</f>
        <v>Hospital Domingo Luciani</v>
      </c>
      <c r="C3723" s="42" t="str">
        <f>IFERROR(__xludf.DUMMYFUNCTION("""COMPUTED_VALUE"""),"Yolande De lope")</f>
        <v>Yolande De lope</v>
      </c>
      <c r="D3723" s="42">
        <f>IFERROR(__xludf.DUMMYFUNCTION("""COMPUTED_VALUE"""),88.0)</f>
        <v>88</v>
      </c>
      <c r="E3723" s="42" t="str">
        <f>IFERROR(__xludf.DUMMYFUNCTION("""COMPUTED_VALUE"""),"")</f>
        <v/>
      </c>
      <c r="F3723" s="42" t="str">
        <f>IFERROR(__xludf.DUMMYFUNCTION("""COMPUTED_VALUE"""),"")</f>
        <v/>
      </c>
      <c r="G3723" s="42"/>
      <c r="H3723" s="42"/>
      <c r="I3723" s="42"/>
      <c r="J3723" s="42" t="str">
        <f>IFERROR(__xludf.DUMMYFUNCTION("""COMPUTED_VALUE"""),"")</f>
        <v/>
      </c>
      <c r="K3723" s="42" t="str">
        <f>IFERROR(__xludf.DUMMYFUNCTION("""COMPUTED_VALUE"""),"Hospital Domingo Luciani")</f>
        <v>Hospital Domingo Luciani</v>
      </c>
    </row>
    <row r="3724">
      <c r="A3724" s="42">
        <v>3723.0</v>
      </c>
      <c r="B3724" s="42" t="str">
        <f>IFERROR(__xludf.DUMMYFUNCTION("""COMPUTED_VALUE"""),"Hospital Pérez Carreño")</f>
        <v>Hospital Pérez Carreño</v>
      </c>
      <c r="C3724" s="42" t="str">
        <f>IFERROR(__xludf.DUMMYFUNCTION("""COMPUTED_VALUE"""),"YOLEBIS SEIGAR")</f>
        <v>YOLEBIS SEIGAR</v>
      </c>
      <c r="D3724" s="42" t="str">
        <f>IFERROR(__xludf.DUMMYFUNCTION("""COMPUTED_VALUE""")," ")</f>
        <v> </v>
      </c>
      <c r="E3724" s="42" t="str">
        <f>IFERROR(__xludf.DUMMYFUNCTION("""COMPUTED_VALUE"""),"")</f>
        <v/>
      </c>
      <c r="F3724" s="42" t="str">
        <f>IFERROR(__xludf.DUMMYFUNCTION("""COMPUTED_VALUE"""),"")</f>
        <v/>
      </c>
      <c r="G3724" s="42" t="str">
        <f>IFERROR(__xludf.DUMMYFUNCTION("""COMPUTED_VALUE""")," ")</f>
        <v> </v>
      </c>
      <c r="H3724" s="42" t="str">
        <f>IFERROR(__xludf.DUMMYFUNCTION("""COMPUTED_VALUE""")," ")</f>
        <v> </v>
      </c>
      <c r="I3724" s="42" t="str">
        <f>IFERROR(__xludf.DUMMYFUNCTION("""COMPUTED_VALUE"""),"Internado; Trauma Shock / Accidente de moto
Rx
Triaje")</f>
        <v>Internado; Trauma Shock / Accidente de moto
Rx
Triaje</v>
      </c>
      <c r="J3724" s="42" t="str">
        <f>IFERROR(__xludf.DUMMYFUNCTION("""COMPUTED_VALUE"""),"")</f>
        <v/>
      </c>
      <c r="K3724" s="42" t="str">
        <f>IFERROR(__xludf.DUMMYFUNCTION("""COMPUTED_VALUE"""),"🔍 BUSCAR PACIENTES")</f>
        <v>🔍 BUSCAR PACIENTES</v>
      </c>
    </row>
    <row r="3725">
      <c r="A3725" s="42">
        <v>3724.0</v>
      </c>
      <c r="B3725" s="42" t="str">
        <f>IFERROR(__xludf.DUMMYFUNCTION("""COMPUTED_VALUE"""),"Campo de Golf Playa los Cocos")</f>
        <v>Campo de Golf Playa los Cocos</v>
      </c>
      <c r="C3725" s="42" t="str">
        <f>IFERROR(__xludf.DUMMYFUNCTION("""COMPUTED_VALUE"""),"Yoleidy Perez")</f>
        <v>Yoleidy Perez</v>
      </c>
      <c r="D3725" s="42" t="str">
        <f>IFERROR(__xludf.DUMMYFUNCTION("""COMPUTED_VALUE"""),"")</f>
        <v/>
      </c>
      <c r="E3725" s="42" t="str">
        <f>IFERROR(__xludf.DUMMYFUNCTION("""COMPUTED_VALUE"""),"")</f>
        <v/>
      </c>
      <c r="F3725" s="42" t="str">
        <f>IFERROR(__xludf.DUMMYFUNCTION("""COMPUTED_VALUE"""),"")</f>
        <v/>
      </c>
      <c r="G3725" s="42" t="str">
        <f>IFERROR(__xludf.DUMMYFUNCTION("""COMPUTED_VALUE"""),"")</f>
        <v/>
      </c>
      <c r="H3725" s="42" t="str">
        <f>IFERROR(__xludf.DUMMYFUNCTION("""COMPUTED_VALUE"""),"")</f>
        <v/>
      </c>
      <c r="I3725" s="42"/>
      <c r="J3725" s="42" t="str">
        <f>IFERROR(__xludf.DUMMYFUNCTION("""COMPUTED_VALUE"""),"")</f>
        <v/>
      </c>
      <c r="K3725" s="42" t="str">
        <f>IFERROR(__xludf.DUMMYFUNCTION("""COMPUTED_VALUE"""),"Campo de Golf Playa los Cocos")</f>
        <v>Campo de Golf Playa los Cocos</v>
      </c>
    </row>
    <row r="3726">
      <c r="A3726" s="42">
        <v>3725.0</v>
      </c>
      <c r="B3726" s="42" t="str">
        <f>IFERROR(__xludf.DUMMYFUNCTION("""COMPUTED_VALUE"""),"HOSPITAL VARGAS")</f>
        <v>HOSPITAL VARGAS</v>
      </c>
      <c r="C3726" s="42" t="str">
        <f>IFERROR(__xludf.DUMMYFUNCTION("""COMPUTED_VALUE"""),"Yolibel Gómez")</f>
        <v>Yolibel Gómez</v>
      </c>
      <c r="D3726" s="42"/>
      <c r="E3726" s="42" t="str">
        <f>IFERROR(__xludf.DUMMYFUNCTION("""COMPUTED_VALUE"""),"")</f>
        <v/>
      </c>
      <c r="F3726" s="42" t="str">
        <f>IFERROR(__xludf.DUMMYFUNCTION("""COMPUTED_VALUE"""),"")</f>
        <v/>
      </c>
      <c r="G3726" s="42" t="str">
        <f>IFERROR(__xludf.DUMMYFUNCTION("""COMPUTED_VALUE"""),"")</f>
        <v/>
      </c>
      <c r="H3726" s="42" t="str">
        <f>IFERROR(__xludf.DUMMYFUNCTION("""COMPUTED_VALUE"""),"")</f>
        <v/>
      </c>
      <c r="I3726" s="42" t="str">
        <f>IFERROR(__xludf.DUMMYFUNCTION("""COMPUTED_VALUE"""),"Herido / atendido")</f>
        <v>Herido / atendido</v>
      </c>
      <c r="J3726" s="42" t="str">
        <f>IFERROR(__xludf.DUMMYFUNCTION("""COMPUTED_VALUE"""),"24.06.2026 ")</f>
        <v>24.06.2026 </v>
      </c>
      <c r="K3726" s="42" t="str">
        <f>IFERROR(__xludf.DUMMYFUNCTION("""COMPUTED_VALUE"""),"HOSPITAL VARGAS")</f>
        <v>HOSPITAL VARGAS</v>
      </c>
    </row>
    <row r="3727">
      <c r="A3727" s="42">
        <v>3726.0</v>
      </c>
      <c r="B3727" s="42" t="str">
        <f>IFERROR(__xludf.DUMMYFUNCTION("""COMPUTED_VALUE"""),"HOSPITAL VARGAS")</f>
        <v>HOSPITAL VARGAS</v>
      </c>
      <c r="C3727" s="42" t="str">
        <f>IFERROR(__xludf.DUMMYFUNCTION("""COMPUTED_VALUE"""),"Yoliber García")</f>
        <v>Yoliber García</v>
      </c>
      <c r="D3727" s="42" t="str">
        <f>IFERROR(__xludf.DUMMYFUNCTION("""COMPUTED_VALUE"""),"22 años")</f>
        <v>22 años</v>
      </c>
      <c r="E3727" s="42" t="str">
        <f>IFERROR(__xludf.DUMMYFUNCTION("""COMPUTED_VALUE"""),"")</f>
        <v/>
      </c>
      <c r="F3727" s="42" t="str">
        <f>IFERROR(__xludf.DUMMYFUNCTION("""COMPUTED_VALUE"""),"")</f>
        <v/>
      </c>
      <c r="G3727" s="42" t="str">
        <f>IFERROR(__xludf.DUMMYFUNCTION("""COMPUTED_VALUE"""),"")</f>
        <v/>
      </c>
      <c r="H3727" s="42" t="str">
        <f>IFERROR(__xludf.DUMMYFUNCTION("""COMPUTED_VALUE"""),"")</f>
        <v/>
      </c>
      <c r="I3727" s="42" t="str">
        <f>IFERROR(__xludf.DUMMYFUNCTION("""COMPUTED_VALUE"""),"Fallecido")</f>
        <v>Fallecido</v>
      </c>
      <c r="J3727" s="42" t="str">
        <f>IFERROR(__xludf.DUMMYFUNCTION("""COMPUTED_VALUE"""),"24.06.2026 ")</f>
        <v>24.06.2026 </v>
      </c>
      <c r="K3727" s="42" t="str">
        <f>IFERROR(__xludf.DUMMYFUNCTION("""COMPUTED_VALUE"""),"HOSPITAL VARGAS")</f>
        <v>HOSPITAL VARGAS</v>
      </c>
    </row>
    <row r="3728">
      <c r="A3728" s="42">
        <v>3727.0</v>
      </c>
      <c r="B3728" s="42" t="str">
        <f>IFERROR(__xludf.DUMMYFUNCTION("""COMPUTED_VALUE"""),"Campo de Golf Playa los Cocos")</f>
        <v>Campo de Golf Playa los Cocos</v>
      </c>
      <c r="C3728" s="42" t="str">
        <f>IFERROR(__xludf.DUMMYFUNCTION("""COMPUTED_VALUE"""),"Yolimar Benavidez")</f>
        <v>Yolimar Benavidez</v>
      </c>
      <c r="D3728" s="42" t="str">
        <f>IFERROR(__xludf.DUMMYFUNCTION("""COMPUTED_VALUE"""),"")</f>
        <v/>
      </c>
      <c r="E3728" s="42" t="str">
        <f>IFERROR(__xludf.DUMMYFUNCTION("""COMPUTED_VALUE"""),"")</f>
        <v/>
      </c>
      <c r="F3728" s="42" t="str">
        <f>IFERROR(__xludf.DUMMYFUNCTION("""COMPUTED_VALUE"""),"")</f>
        <v/>
      </c>
      <c r="G3728" s="42" t="str">
        <f>IFERROR(__xludf.DUMMYFUNCTION("""COMPUTED_VALUE"""),"")</f>
        <v/>
      </c>
      <c r="H3728" s="42" t="str">
        <f>IFERROR(__xludf.DUMMYFUNCTION("""COMPUTED_VALUE"""),"")</f>
        <v/>
      </c>
      <c r="I3728" s="42"/>
      <c r="J3728" s="42" t="str">
        <f>IFERROR(__xludf.DUMMYFUNCTION("""COMPUTED_VALUE"""),"")</f>
        <v/>
      </c>
      <c r="K3728" s="42" t="str">
        <f>IFERROR(__xludf.DUMMYFUNCTION("""COMPUTED_VALUE"""),"Campo de Golf Playa los Cocos")</f>
        <v>Campo de Golf Playa los Cocos</v>
      </c>
    </row>
    <row r="3729">
      <c r="A3729" s="42">
        <v>3728.0</v>
      </c>
      <c r="B3729" s="42" t="str">
        <f>IFERROR(__xludf.DUMMYFUNCTION("""COMPUTED_VALUE"""),"Campo de Golf Playa los Cocos")</f>
        <v>Campo de Golf Playa los Cocos</v>
      </c>
      <c r="C3729" s="42" t="str">
        <f>IFERROR(__xludf.DUMMYFUNCTION("""COMPUTED_VALUE"""),"Yonaiker Diaz")</f>
        <v>Yonaiker Diaz</v>
      </c>
      <c r="D3729" s="42" t="str">
        <f>IFERROR(__xludf.DUMMYFUNCTION("""COMPUTED_VALUE"""),"")</f>
        <v/>
      </c>
      <c r="E3729" s="42" t="str">
        <f>IFERROR(__xludf.DUMMYFUNCTION("""COMPUTED_VALUE"""),"")</f>
        <v/>
      </c>
      <c r="F3729" s="42" t="str">
        <f>IFERROR(__xludf.DUMMYFUNCTION("""COMPUTED_VALUE"""),"")</f>
        <v/>
      </c>
      <c r="G3729" s="42" t="str">
        <f>IFERROR(__xludf.DUMMYFUNCTION("""COMPUTED_VALUE"""),"")</f>
        <v/>
      </c>
      <c r="H3729" s="42" t="str">
        <f>IFERROR(__xludf.DUMMYFUNCTION("""COMPUTED_VALUE"""),"")</f>
        <v/>
      </c>
      <c r="I3729" s="42"/>
      <c r="J3729" s="42" t="str">
        <f>IFERROR(__xludf.DUMMYFUNCTION("""COMPUTED_VALUE"""),"")</f>
        <v/>
      </c>
      <c r="K3729" s="42" t="str">
        <f>IFERROR(__xludf.DUMMYFUNCTION("""COMPUTED_VALUE"""),"Campo de Golf Playa los Cocos")</f>
        <v>Campo de Golf Playa los Cocos</v>
      </c>
    </row>
    <row r="3730">
      <c r="A3730" s="42">
        <v>3729.0</v>
      </c>
      <c r="B3730" s="42" t="str">
        <f>IFERROR(__xludf.DUMMYFUNCTION("""COMPUTED_VALUE"""),"Seguro Social La Guaira")</f>
        <v>Seguro Social La Guaira</v>
      </c>
      <c r="C3730" s="42" t="str">
        <f>IFERROR(__xludf.DUMMYFUNCTION("""COMPUTED_VALUE"""),"YONAY ARIAS")</f>
        <v>YONAY ARIAS</v>
      </c>
      <c r="D3730" s="42">
        <f>IFERROR(__xludf.DUMMYFUNCTION("""COMPUTED_VALUE"""),52.0)</f>
        <v>52</v>
      </c>
      <c r="E3730" s="42" t="str">
        <f>IFERROR(__xludf.DUMMYFUNCTION("""COMPUTED_VALUE"""),"")</f>
        <v/>
      </c>
      <c r="F3730" s="42" t="str">
        <f>IFERROR(__xludf.DUMMYFUNCTION("""COMPUTED_VALUE"""),"")</f>
        <v/>
      </c>
      <c r="G3730" s="42" t="str">
        <f>IFERROR(__xludf.DUMMYFUNCTION("""COMPUTED_VALUE""")," ")</f>
        <v> </v>
      </c>
      <c r="H3730" s="42" t="str">
        <f>IFERROR(__xludf.DUMMYFUNCTION("""COMPUTED_VALUE"""),"Costa Sur Macuto")</f>
        <v>Costa Sur Macuto</v>
      </c>
      <c r="I3730" s="42" t="str">
        <f>IFERROR(__xludf.DUMMYFUNCTION("""COMPUTED_VALUE""")," ")</f>
        <v> </v>
      </c>
      <c r="J3730" s="42" t="str">
        <f>IFERROR(__xludf.DUMMYFUNCTION("""COMPUTED_VALUE"""),"")</f>
        <v/>
      </c>
      <c r="K3730" s="42" t="str">
        <f>IFERROR(__xludf.DUMMYFUNCTION("""COMPUTED_VALUE"""),"Seguro Social La Guaira")</f>
        <v>Seguro Social La Guaira</v>
      </c>
    </row>
    <row r="3731">
      <c r="A3731" s="42">
        <v>3730.0</v>
      </c>
      <c r="B3731" s="42" t="str">
        <f>IFERROR(__xludf.DUMMYFUNCTION("""COMPUTED_VALUE"""),"Campo de Golf Playa los Cocos")</f>
        <v>Campo de Golf Playa los Cocos</v>
      </c>
      <c r="C3731" s="42" t="str">
        <f>IFERROR(__xludf.DUMMYFUNCTION("""COMPUTED_VALUE"""),"Yondeiber Morales")</f>
        <v>Yondeiber Morales</v>
      </c>
      <c r="D3731" s="42" t="str">
        <f>IFERROR(__xludf.DUMMYFUNCTION("""COMPUTED_VALUE"""),"")</f>
        <v/>
      </c>
      <c r="E3731" s="42" t="str">
        <f>IFERROR(__xludf.DUMMYFUNCTION("""COMPUTED_VALUE"""),"")</f>
        <v/>
      </c>
      <c r="F3731" s="42" t="str">
        <f>IFERROR(__xludf.DUMMYFUNCTION("""COMPUTED_VALUE"""),"")</f>
        <v/>
      </c>
      <c r="G3731" s="42" t="str">
        <f>IFERROR(__xludf.DUMMYFUNCTION("""COMPUTED_VALUE"""),"")</f>
        <v/>
      </c>
      <c r="H3731" s="42" t="str">
        <f>IFERROR(__xludf.DUMMYFUNCTION("""COMPUTED_VALUE"""),"")</f>
        <v/>
      </c>
      <c r="I3731" s="42"/>
      <c r="J3731" s="42" t="str">
        <f>IFERROR(__xludf.DUMMYFUNCTION("""COMPUTED_VALUE"""),"")</f>
        <v/>
      </c>
      <c r="K3731" s="42" t="str">
        <f>IFERROR(__xludf.DUMMYFUNCTION("""COMPUTED_VALUE"""),"Campo de Golf Playa los Cocos")</f>
        <v>Campo de Golf Playa los Cocos</v>
      </c>
    </row>
    <row r="3732">
      <c r="A3732" s="42">
        <v>3731.0</v>
      </c>
      <c r="B3732" s="42" t="str">
        <f>IFERROR(__xludf.DUMMYFUNCTION("""COMPUTED_VALUE"""),"Hospital Pérez Carreño")</f>
        <v>Hospital Pérez Carreño</v>
      </c>
      <c r="C3732" s="42" t="str">
        <f>IFERROR(__xludf.DUMMYFUNCTION("""COMPUTED_VALUE"""),"Yonidy Linda")</f>
        <v>Yonidy Linda</v>
      </c>
      <c r="D3732" s="42" t="str">
        <f>IFERROR(__xludf.DUMMYFUNCTION("""COMPUTED_VALUE"""),"Tanaguarena")</f>
        <v>Tanaguarena</v>
      </c>
      <c r="E3732" s="42" t="str">
        <f>IFERROR(__xludf.DUMMYFUNCTION("""COMPUTED_VALUE"""),"")</f>
        <v/>
      </c>
      <c r="F3732" s="42" t="str">
        <f>IFERROR(__xludf.DUMMYFUNCTION("""COMPUTED_VALUE"""),"")</f>
        <v/>
      </c>
      <c r="G3732" s="42"/>
      <c r="H3732" s="42"/>
      <c r="I3732" s="42"/>
      <c r="J3732" s="42"/>
      <c r="K3732" s="42" t="str">
        <f>IFERROR(__xludf.DUMMYFUNCTION("""COMPUTED_VALUE"""),"Hospital Pérez Carreño")</f>
        <v>Hospital Pérez Carreño</v>
      </c>
    </row>
    <row r="3733">
      <c r="A3733" s="42">
        <v>3732.0</v>
      </c>
      <c r="B3733" s="42" t="str">
        <f>IFERROR(__xludf.DUMMYFUNCTION("""COMPUTED_VALUE"""),"Hospital Pérez Carreño")</f>
        <v>Hospital Pérez Carreño</v>
      </c>
      <c r="C3733" s="42" t="str">
        <f>IFERROR(__xludf.DUMMYFUNCTION("""COMPUTED_VALUE"""),"YONIELBYS RODRÍGUEZ")</f>
        <v>YONIELBYS RODRÍGUEZ</v>
      </c>
      <c r="D3733" s="42">
        <f>IFERROR(__xludf.DUMMYFUNCTION("""COMPUTED_VALUE"""),1.0)</f>
        <v>1</v>
      </c>
      <c r="E3733" s="42" t="str">
        <f>IFERROR(__xludf.DUMMYFUNCTION("""COMPUTED_VALUE"""),"")</f>
        <v/>
      </c>
      <c r="F3733" s="42" t="str">
        <f>IFERROR(__xludf.DUMMYFUNCTION("""COMPUTED_VALUE"""),"")</f>
        <v/>
      </c>
      <c r="G3733" s="42" t="str">
        <f>IFERROR(__xludf.DUMMYFUNCTION("""COMPUTED_VALUE""")," ")</f>
        <v> </v>
      </c>
      <c r="H3733" s="42" t="str">
        <f>IFERROR(__xludf.DUMMYFUNCTION("""COMPUTED_VALUE""")," ")</f>
        <v> </v>
      </c>
      <c r="I3733" s="42" t="str">
        <f>IFERROR(__xludf.DUMMYFUNCTION("""COMPUTED_VALUE""")," ")</f>
        <v> </v>
      </c>
      <c r="J3733" s="42" t="str">
        <f>IFERROR(__xludf.DUMMYFUNCTION("""COMPUTED_VALUE"""),"25/06/2026")</f>
        <v>25/06/2026</v>
      </c>
      <c r="K3733" s="42" t="str">
        <f>IFERROR(__xludf.DUMMYFUNCTION("""COMPUTED_VALUE"""),"Hospital Pérez Carreño")</f>
        <v>Hospital Pérez Carreño</v>
      </c>
    </row>
    <row r="3734">
      <c r="A3734" s="42">
        <v>3733.0</v>
      </c>
      <c r="B3734" s="42" t="str">
        <f>IFERROR(__xludf.DUMMYFUNCTION("""COMPUTED_VALUE"""),"Seguro Social La Guaira")</f>
        <v>Seguro Social La Guaira</v>
      </c>
      <c r="C3734" s="42" t="str">
        <f>IFERROR(__xludf.DUMMYFUNCTION("""COMPUTED_VALUE"""),"YONIERVIS RODRIGUEZ")</f>
        <v>YONIERVIS RODRIGUEZ</v>
      </c>
      <c r="D3734" s="42">
        <f>IFERROR(__xludf.DUMMYFUNCTION("""COMPUTED_VALUE"""),1.0)</f>
        <v>1</v>
      </c>
      <c r="E3734" s="42" t="str">
        <f>IFERROR(__xludf.DUMMYFUNCTION("""COMPUTED_VALUE"""),"")</f>
        <v/>
      </c>
      <c r="F3734" s="42" t="str">
        <f>IFERROR(__xludf.DUMMYFUNCTION("""COMPUTED_VALUE"""),"")</f>
        <v/>
      </c>
      <c r="G3734" s="42" t="str">
        <f>IFERROR(__xludf.DUMMYFUNCTION("""COMPUTED_VALUE""")," ")</f>
        <v> </v>
      </c>
      <c r="H3734" s="42" t="str">
        <f>IFERROR(__xludf.DUMMYFUNCTION("""COMPUTED_VALUE"""),"Caribe OPP2C")</f>
        <v>Caribe OPP2C</v>
      </c>
      <c r="I3734" s="42" t="str">
        <f>IFERROR(__xludf.DUMMYFUNCTION("""COMPUTED_VALUE""")," ")</f>
        <v> </v>
      </c>
      <c r="J3734" s="42" t="str">
        <f>IFERROR(__xludf.DUMMYFUNCTION("""COMPUTED_VALUE"""),"")</f>
        <v/>
      </c>
      <c r="K3734" s="42" t="str">
        <f>IFERROR(__xludf.DUMMYFUNCTION("""COMPUTED_VALUE"""),"Seguro Social La Guaira")</f>
        <v>Seguro Social La Guaira</v>
      </c>
    </row>
    <row r="3735">
      <c r="A3735" s="42">
        <v>3734.0</v>
      </c>
      <c r="B3735" s="42" t="str">
        <f>IFERROR(__xludf.DUMMYFUNCTION("""COMPUTED_VALUE"""),"Hospital Domingo Luciani")</f>
        <v>Hospital Domingo Luciani</v>
      </c>
      <c r="C3735" s="42" t="str">
        <f>IFERROR(__xludf.DUMMYFUNCTION("""COMPUTED_VALUE"""),"Yordana Cordova")</f>
        <v>Yordana Cordova</v>
      </c>
      <c r="D3735" s="42">
        <f>IFERROR(__xludf.DUMMYFUNCTION("""COMPUTED_VALUE"""),0.0)</f>
        <v>0</v>
      </c>
      <c r="E3735" s="42" t="str">
        <f>IFERROR(__xludf.DUMMYFUNCTION("""COMPUTED_VALUE"""),"")</f>
        <v/>
      </c>
      <c r="F3735" s="42" t="str">
        <f>IFERROR(__xludf.DUMMYFUNCTION("""COMPUTED_VALUE"""),"")</f>
        <v/>
      </c>
      <c r="G3735" s="42"/>
      <c r="H3735" s="42"/>
      <c r="I3735" s="42"/>
      <c r="J3735" s="42" t="str">
        <f>IFERROR(__xludf.DUMMYFUNCTION("""COMPUTED_VALUE"""),"")</f>
        <v/>
      </c>
      <c r="K3735" s="42" t="str">
        <f>IFERROR(__xludf.DUMMYFUNCTION("""COMPUTED_VALUE"""),"Hospital Domingo Luciani")</f>
        <v>Hospital Domingo Luciani</v>
      </c>
    </row>
    <row r="3736">
      <c r="A3736" s="42">
        <v>3735.0</v>
      </c>
      <c r="B3736" s="42" t="str">
        <f>IFERROR(__xludf.DUMMYFUNCTION("""COMPUTED_VALUE"""),"Hospital Pérez Carreño")</f>
        <v>Hospital Pérez Carreño</v>
      </c>
      <c r="C3736" s="42" t="str">
        <f>IFERROR(__xludf.DUMMYFUNCTION("""COMPUTED_VALUE"""),"YORDANO FLORES")</f>
        <v>YORDANO FLORES</v>
      </c>
      <c r="D3736" s="42">
        <f>IFERROR(__xludf.DUMMYFUNCTION("""COMPUTED_VALUE"""),1.0)</f>
        <v>1</v>
      </c>
      <c r="E3736" s="42" t="str">
        <f>IFERROR(__xludf.DUMMYFUNCTION("""COMPUTED_VALUE"""),"")</f>
        <v/>
      </c>
      <c r="F3736" s="42" t="str">
        <f>IFERROR(__xludf.DUMMYFUNCTION("""COMPUTED_VALUE"""),"")</f>
        <v/>
      </c>
      <c r="G3736" s="42" t="str">
        <f>IFERROR(__xludf.DUMMYFUNCTION("""COMPUTED_VALUE""")," ")</f>
        <v> </v>
      </c>
      <c r="H3736" s="42" t="str">
        <f>IFERROR(__xludf.DUMMYFUNCTION("""COMPUTED_VALUE""")," ")</f>
        <v> </v>
      </c>
      <c r="I3736" s="42" t="str">
        <f>IFERROR(__xludf.DUMMYFUNCTION("""COMPUTED_VALUE"""),"Pediatría")</f>
        <v>Pediatría</v>
      </c>
      <c r="J3736" s="42" t="str">
        <f>IFERROR(__xludf.DUMMYFUNCTION("""COMPUTED_VALUE"""),"25/06/2026")</f>
        <v>25/06/2026</v>
      </c>
      <c r="K3736" s="42" t="str">
        <f>IFERROR(__xludf.DUMMYFUNCTION("""COMPUTED_VALUE"""),"Hospital Pérez Carreño")</f>
        <v>Hospital Pérez Carreño</v>
      </c>
    </row>
    <row r="3737">
      <c r="A3737" s="42">
        <v>3736.0</v>
      </c>
      <c r="B3737" s="42" t="str">
        <f>IFERROR(__xludf.DUMMYFUNCTION("""COMPUTED_VALUE"""),"Hospital Pérez Carreño")</f>
        <v>Hospital Pérez Carreño</v>
      </c>
      <c r="C3737" s="42" t="str">
        <f>IFERROR(__xludf.DUMMYFUNCTION("""COMPUTED_VALUE"""),"Yoredes Reyes Angel")</f>
        <v>Yoredes Reyes Angel</v>
      </c>
      <c r="D3737" s="42"/>
      <c r="E3737" s="42" t="str">
        <f>IFERROR(__xludf.DUMMYFUNCTION("""COMPUTED_VALUE"""),"")</f>
        <v/>
      </c>
      <c r="F3737" s="42" t="str">
        <f>IFERROR(__xludf.DUMMYFUNCTION("""COMPUTED_VALUE"""),"")</f>
        <v/>
      </c>
      <c r="G3737" s="42" t="str">
        <f>IFERROR(__xludf.DUMMYFUNCTION("""COMPUTED_VALUE"""),"Traslados con destino asignado")</f>
        <v>Traslados con destino asignado</v>
      </c>
      <c r="H3737" s="42" t="str">
        <f>IFERROR(__xludf.DUMMYFUNCTION("""COMPUTED_VALUE"""),"Hospital Miguel Perez Carreño")</f>
        <v>Hospital Miguel Perez Carreño</v>
      </c>
      <c r="I3737" s="42"/>
      <c r="J3737" s="42" t="str">
        <f>IFERROR(__xludf.DUMMYFUNCTION("""COMPUTED_VALUE"""),"26/6/26")</f>
        <v>26/6/26</v>
      </c>
      <c r="K3737" s="42" t="str">
        <f>IFERROR(__xludf.DUMMYFUNCTION("""COMPUTED_VALUE"""),"Hospital Pérez Carreño")</f>
        <v>Hospital Pérez Carreño</v>
      </c>
    </row>
    <row r="3738">
      <c r="A3738" s="42">
        <v>3737.0</v>
      </c>
      <c r="B3738" s="42" t="str">
        <f>IFERROR(__xludf.DUMMYFUNCTION("""COMPUTED_VALUE"""),"Hospital Pérez Carreño")</f>
        <v>Hospital Pérez Carreño</v>
      </c>
      <c r="C3738" s="42" t="str">
        <f>IFERROR(__xludf.DUMMYFUNCTION("""COMPUTED_VALUE"""),"Yorgi Contreras")</f>
        <v>Yorgi Contreras</v>
      </c>
      <c r="D3738" s="42"/>
      <c r="E3738" s="42" t="str">
        <f>IFERROR(__xludf.DUMMYFUNCTION("""COMPUTED_VALUE"""),"")</f>
        <v/>
      </c>
      <c r="F3738" s="42" t="str">
        <f>IFERROR(__xludf.DUMMYFUNCTION("""COMPUTED_VALUE"""),"")</f>
        <v/>
      </c>
      <c r="G3738" s="42" t="str">
        <f>IFERROR(__xludf.DUMMYFUNCTION("""COMPUTED_VALUE"""),"Traumashock ")</f>
        <v>Traumashock </v>
      </c>
      <c r="H3738" s="42" t="str">
        <f>IFERROR(__xludf.DUMMYFUNCTION("""COMPUTED_VALUE"""),"Hospital Miguel Perez Carreño")</f>
        <v>Hospital Miguel Perez Carreño</v>
      </c>
      <c r="I3738" s="42"/>
      <c r="J3738" s="42" t="str">
        <f>IFERROR(__xludf.DUMMYFUNCTION("""COMPUTED_VALUE"""),"26/6/26")</f>
        <v>26/6/26</v>
      </c>
      <c r="K3738" s="42" t="str">
        <f>IFERROR(__xludf.DUMMYFUNCTION("""COMPUTED_VALUE"""),"Hospital Pérez Carreño")</f>
        <v>Hospital Pérez Carreño</v>
      </c>
    </row>
    <row r="3739">
      <c r="A3739" s="42">
        <v>3738.0</v>
      </c>
      <c r="B3739" s="42" t="str">
        <f>IFERROR(__xludf.DUMMYFUNCTION("""COMPUTED_VALUE"""),"H. Jose Maria Vargas LG")</f>
        <v>H. Jose Maria Vargas LG</v>
      </c>
      <c r="C3739" s="42" t="str">
        <f>IFERROR(__xludf.DUMMYFUNCTION("""COMPUTED_VALUE"""),"YORLEN YOLTREN")</f>
        <v>YORLEN YOLTREN</v>
      </c>
      <c r="D3739" s="42" t="str">
        <f>IFERROR(__xludf.DUMMYFUNCTION("""COMPUTED_VALUE""")," ")</f>
        <v> </v>
      </c>
      <c r="E3739" s="42" t="str">
        <f>IFERROR(__xludf.DUMMYFUNCTION("""COMPUTED_VALUE"""),"")</f>
        <v/>
      </c>
      <c r="F3739" s="42" t="str">
        <f>IFERROR(__xludf.DUMMYFUNCTION("""COMPUTED_VALUE"""),"")</f>
        <v/>
      </c>
      <c r="G3739" s="42" t="str">
        <f>IFERROR(__xludf.DUMMYFUNCTION("""COMPUTED_VALUE""")," ")</f>
        <v> </v>
      </c>
      <c r="H3739" s="42" t="str">
        <f>IFERROR(__xludf.DUMMYFUNCTION("""COMPUTED_VALUE""")," ")</f>
        <v> </v>
      </c>
      <c r="I3739" s="42" t="str">
        <f>IFERROR(__xludf.DUMMYFUNCTION("""COMPUTED_VALUE""")," ")</f>
        <v> </v>
      </c>
      <c r="J3739" s="42" t="str">
        <f>IFERROR(__xludf.DUMMYFUNCTION("""COMPUTED_VALUE"""),"")</f>
        <v/>
      </c>
      <c r="K3739" s="42" t="str">
        <f>IFERROR(__xludf.DUMMYFUNCTION("""COMPUTED_VALUE"""),"H. Jose Maria Vargas LG")</f>
        <v>H. Jose Maria Vargas LG</v>
      </c>
    </row>
    <row r="3740">
      <c r="A3740" s="42">
        <v>3739.0</v>
      </c>
      <c r="B3740" s="42" t="str">
        <f>IFERROR(__xludf.DUMMYFUNCTION("""COMPUTED_VALUE"""),"Hospital Pérez Carreño")</f>
        <v>Hospital Pérez Carreño</v>
      </c>
      <c r="C3740" s="42" t="str">
        <f>IFERROR(__xludf.DUMMYFUNCTION("""COMPUTED_VALUE"""),"Yorxi Contreras")</f>
        <v>Yorxi Contreras</v>
      </c>
      <c r="D3740" s="42"/>
      <c r="E3740" s="42" t="str">
        <f>IFERROR(__xludf.DUMMYFUNCTION("""COMPUTED_VALUE"""),"")</f>
        <v/>
      </c>
      <c r="F3740" s="42" t="str">
        <f>IFERROR(__xludf.DUMMYFUNCTION("""COMPUTED_VALUE"""),"")</f>
        <v/>
      </c>
      <c r="G3740" s="42" t="str">
        <f>IFERROR(__xludf.DUMMYFUNCTION("""COMPUTED_VALUE"""),"Traumashock ")</f>
        <v>Traumashock </v>
      </c>
      <c r="H3740" s="42" t="str">
        <f>IFERROR(__xludf.DUMMYFUNCTION("""COMPUTED_VALUE"""),"Hospital Miguel Perez Carreño")</f>
        <v>Hospital Miguel Perez Carreño</v>
      </c>
      <c r="I3740" s="42"/>
      <c r="J3740" s="42" t="str">
        <f>IFERROR(__xludf.DUMMYFUNCTION("""COMPUTED_VALUE"""),"26/6/26")</f>
        <v>26/6/26</v>
      </c>
      <c r="K3740" s="42" t="str">
        <f>IFERROR(__xludf.DUMMYFUNCTION("""COMPUTED_VALUE"""),"Hospital Pérez Carreño")</f>
        <v>Hospital Pérez Carreño</v>
      </c>
    </row>
    <row r="3741">
      <c r="A3741" s="42">
        <v>3740.0</v>
      </c>
      <c r="B3741" s="42" t="str">
        <f>IFERROR(__xludf.DUMMYFUNCTION("""COMPUTED_VALUE"""),"Hospital Domingo Luciani")</f>
        <v>Hospital Domingo Luciani</v>
      </c>
      <c r="C3741" s="42" t="str">
        <f>IFERROR(__xludf.DUMMYFUNCTION("""COMPUTED_VALUE"""),"Yoscanny Garobito")</f>
        <v>Yoscanny Garobito</v>
      </c>
      <c r="D3741" s="42">
        <f>IFERROR(__xludf.DUMMYFUNCTION("""COMPUTED_VALUE"""),50.0)</f>
        <v>50</v>
      </c>
      <c r="E3741" s="42" t="str">
        <f>IFERROR(__xludf.DUMMYFUNCTION("""COMPUTED_VALUE"""),"")</f>
        <v/>
      </c>
      <c r="F3741" s="42" t="str">
        <f>IFERROR(__xludf.DUMMYFUNCTION("""COMPUTED_VALUE"""),"")</f>
        <v/>
      </c>
      <c r="G3741" s="42"/>
      <c r="H3741" s="42"/>
      <c r="I3741" s="42"/>
      <c r="J3741" s="42" t="str">
        <f>IFERROR(__xludf.DUMMYFUNCTION("""COMPUTED_VALUE"""),"")</f>
        <v/>
      </c>
      <c r="K3741" s="42" t="str">
        <f>IFERROR(__xludf.DUMMYFUNCTION("""COMPUTED_VALUE"""),"Hospital Domingo Luciani")</f>
        <v>Hospital Domingo Luciani</v>
      </c>
    </row>
    <row r="3742">
      <c r="A3742" s="42">
        <v>3741.0</v>
      </c>
      <c r="B3742" s="42" t="str">
        <f>IFERROR(__xludf.DUMMYFUNCTION("""COMPUTED_VALUE"""),"Periférico de Catia")</f>
        <v>Periférico de Catia</v>
      </c>
      <c r="C3742" s="42" t="str">
        <f>IFERROR(__xludf.DUMMYFUNCTION("""COMPUTED_VALUE"""),"Yoscarli Bolivar")</f>
        <v>Yoscarli Bolivar</v>
      </c>
      <c r="D3742" s="42">
        <f>IFERROR(__xludf.DUMMYFUNCTION("""COMPUTED_VALUE"""),12.0)</f>
        <v>12</v>
      </c>
      <c r="E3742" s="42" t="str">
        <f>IFERROR(__xludf.DUMMYFUNCTION("""COMPUTED_VALUE"""),"")</f>
        <v/>
      </c>
      <c r="F3742" s="42" t="str">
        <f>IFERROR(__xludf.DUMMYFUNCTION("""COMPUTED_VALUE"""),"")</f>
        <v/>
      </c>
      <c r="G3742" s="42"/>
      <c r="H3742" s="42" t="str">
        <f>IFERROR(__xludf.DUMMYFUNCTION("""COMPUTED_VALUE"""),"La Guaira")</f>
        <v>La Guaira</v>
      </c>
      <c r="I3742" s="42" t="str">
        <f>IFERROR(__xludf.DUMMYFUNCTION("""COMPUTED_VALUE"""),"Pediatria. Todos procedentes de La Guaira segun nota del 26/06 7:00am")</f>
        <v>Pediatria. Todos procedentes de La Guaira segun nota del 26/06 7:00am</v>
      </c>
      <c r="J3742" s="42" t="str">
        <f>IFERROR(__xludf.DUMMYFUNCTION("""COMPUTED_VALUE"""),"")</f>
        <v/>
      </c>
      <c r="K3742" s="42" t="str">
        <f>IFERROR(__xludf.DUMMYFUNCTION("""COMPUTED_VALUE"""),"Periférico de Catia")</f>
        <v>Periférico de Catia</v>
      </c>
    </row>
    <row r="3743">
      <c r="A3743" s="42">
        <v>3742.0</v>
      </c>
      <c r="B3743" s="42" t="str">
        <f>IFERROR(__xludf.DUMMYFUNCTION("""COMPUTED_VALUE"""),"Hospital Domingo Luciani")</f>
        <v>Hospital Domingo Luciani</v>
      </c>
      <c r="C3743" s="42" t="str">
        <f>IFERROR(__xludf.DUMMYFUNCTION("""COMPUTED_VALUE"""),"YOSEANI GARABITO")</f>
        <v>YOSEANI GARABITO</v>
      </c>
      <c r="D3743" s="42">
        <f>IFERROR(__xludf.DUMMYFUNCTION("""COMPUTED_VALUE"""),30.0)</f>
        <v>30</v>
      </c>
      <c r="E3743" s="42" t="str">
        <f>IFERROR(__xludf.DUMMYFUNCTION("""COMPUTED_VALUE"""),"")</f>
        <v/>
      </c>
      <c r="F3743" s="42" t="str">
        <f>IFERROR(__xludf.DUMMYFUNCTION("""COMPUTED_VALUE"""),"")</f>
        <v/>
      </c>
      <c r="G3743" s="42" t="str">
        <f>IFERROR(__xludf.DUMMYFUNCTION("""COMPUTED_VALUE""")," ")</f>
        <v> </v>
      </c>
      <c r="H3743" s="42" t="str">
        <f>IFERROR(__xludf.DUMMYFUNCTION("""COMPUTED_VALUE""")," ")</f>
        <v> </v>
      </c>
      <c r="I3743" s="42" t="str">
        <f>IFERROR(__xludf.DUMMYFUNCTION("""COMPUTED_VALUE"""),"Politrauma Emerg. Vieja")</f>
        <v>Politrauma Emerg. Vieja</v>
      </c>
      <c r="J3743" s="42" t="str">
        <f>IFERROR(__xludf.DUMMYFUNCTION("""COMPUTED_VALUE"""),"")</f>
        <v/>
      </c>
      <c r="K3743" s="42" t="str">
        <f>IFERROR(__xludf.DUMMYFUNCTION("""COMPUTED_VALUE"""),"🔍 BUSCAR PACIENTES")</f>
        <v>🔍 BUSCAR PACIENTES</v>
      </c>
    </row>
    <row r="3744">
      <c r="A3744" s="42">
        <v>3743.0</v>
      </c>
      <c r="B3744" s="42" t="str">
        <f>IFERROR(__xludf.DUMMYFUNCTION("""COMPUTED_VALUE"""),"HOSPITAL VARGAS")</f>
        <v>HOSPITAL VARGAS</v>
      </c>
      <c r="C3744" s="42" t="str">
        <f>IFERROR(__xludf.DUMMYFUNCTION("""COMPUTED_VALUE"""),"Yosef Ali")</f>
        <v>Yosef Ali</v>
      </c>
      <c r="D3744" s="42"/>
      <c r="E3744" s="42" t="str">
        <f>IFERROR(__xludf.DUMMYFUNCTION("""COMPUTED_VALUE"""),"")</f>
        <v/>
      </c>
      <c r="F3744" s="42" t="str">
        <f>IFERROR(__xludf.DUMMYFUNCTION("""COMPUTED_VALUE"""),"")</f>
        <v/>
      </c>
      <c r="G3744" s="42" t="str">
        <f>IFERROR(__xludf.DUMMYFUNCTION("""COMPUTED_VALUE"""),"")</f>
        <v/>
      </c>
      <c r="H3744" s="42" t="str">
        <f>IFERROR(__xludf.DUMMYFUNCTION("""COMPUTED_VALUE"""),"")</f>
        <v/>
      </c>
      <c r="I3744" s="42" t="str">
        <f>IFERROR(__xludf.DUMMYFUNCTION("""COMPUTED_VALUE"""),"Herido / atendido")</f>
        <v>Herido / atendido</v>
      </c>
      <c r="J3744" s="42" t="str">
        <f>IFERROR(__xludf.DUMMYFUNCTION("""COMPUTED_VALUE"""),"24.06.2026 ")</f>
        <v>24.06.2026 </v>
      </c>
      <c r="K3744" s="42" t="str">
        <f>IFERROR(__xludf.DUMMYFUNCTION("""COMPUTED_VALUE"""),"HOSPITAL VARGAS")</f>
        <v>HOSPITAL VARGAS</v>
      </c>
    </row>
    <row r="3745">
      <c r="A3745" s="42">
        <v>3744.0</v>
      </c>
      <c r="B3745" s="42" t="str">
        <f>IFERROR(__xludf.DUMMYFUNCTION("""COMPUTED_VALUE"""),"Seguro Social La Guaira")</f>
        <v>Seguro Social La Guaira</v>
      </c>
      <c r="C3745" s="42" t="str">
        <f>IFERROR(__xludf.DUMMYFUNCTION("""COMPUTED_VALUE"""),"YOSELIE BADILLO")</f>
        <v>YOSELIE BADILLO</v>
      </c>
      <c r="D3745" s="42" t="str">
        <f>IFERROR(__xludf.DUMMYFUNCTION("""COMPUTED_VALUE""")," ")</f>
        <v> </v>
      </c>
      <c r="E3745" s="42" t="str">
        <f>IFERROR(__xludf.DUMMYFUNCTION("""COMPUTED_VALUE"""),"")</f>
        <v/>
      </c>
      <c r="F3745" s="42" t="str">
        <f>IFERROR(__xludf.DUMMYFUNCTION("""COMPUTED_VALUE"""),"")</f>
        <v/>
      </c>
      <c r="G3745" s="42" t="str">
        <f>IFERROR(__xludf.DUMMYFUNCTION("""COMPUTED_VALUE""")," ")</f>
        <v> </v>
      </c>
      <c r="H3745" s="42" t="str">
        <f>IFERROR(__xludf.DUMMYFUNCTION("""COMPUTED_VALUE"""),"Tanaguarena")</f>
        <v>Tanaguarena</v>
      </c>
      <c r="I3745" s="42" t="str">
        <f>IFERROR(__xludf.DUMMYFUNCTION("""COMPUTED_VALUE""")," ")</f>
        <v> </v>
      </c>
      <c r="J3745" s="42" t="str">
        <f>IFERROR(__xludf.DUMMYFUNCTION("""COMPUTED_VALUE"""),"")</f>
        <v/>
      </c>
      <c r="K3745" s="42" t="str">
        <f>IFERROR(__xludf.DUMMYFUNCTION("""COMPUTED_VALUE"""),"Seguro Social La Guaira")</f>
        <v>Seguro Social La Guaira</v>
      </c>
    </row>
    <row r="3746">
      <c r="A3746" s="42">
        <v>3745.0</v>
      </c>
      <c r="B3746" s="42" t="str">
        <f>IFERROR(__xludf.DUMMYFUNCTION("""COMPUTED_VALUE"""),"Campo de Golf Playa los Cocos")</f>
        <v>Campo de Golf Playa los Cocos</v>
      </c>
      <c r="C3746" s="42" t="str">
        <f>IFERROR(__xludf.DUMMYFUNCTION("""COMPUTED_VALUE"""),"Yosgar Rodriguez")</f>
        <v>Yosgar Rodriguez</v>
      </c>
      <c r="D3746" s="42" t="str">
        <f>IFERROR(__xludf.DUMMYFUNCTION("""COMPUTED_VALUE"""),"")</f>
        <v/>
      </c>
      <c r="E3746" s="42" t="str">
        <f>IFERROR(__xludf.DUMMYFUNCTION("""COMPUTED_VALUE"""),"")</f>
        <v/>
      </c>
      <c r="F3746" s="42" t="str">
        <f>IFERROR(__xludf.DUMMYFUNCTION("""COMPUTED_VALUE"""),"")</f>
        <v/>
      </c>
      <c r="G3746" s="42" t="str">
        <f>IFERROR(__xludf.DUMMYFUNCTION("""COMPUTED_VALUE"""),"")</f>
        <v/>
      </c>
      <c r="H3746" s="42" t="str">
        <f>IFERROR(__xludf.DUMMYFUNCTION("""COMPUTED_VALUE"""),"")</f>
        <v/>
      </c>
      <c r="I3746" s="42" t="str">
        <f>IFERROR(__xludf.DUMMYFUNCTION("""COMPUTED_VALUE"""),"Nombre con baja legibilidad por brillo/reflejo en el original")</f>
        <v>Nombre con baja legibilidad por brillo/reflejo en el original</v>
      </c>
      <c r="J3746" s="42" t="str">
        <f>IFERROR(__xludf.DUMMYFUNCTION("""COMPUTED_VALUE"""),"")</f>
        <v/>
      </c>
      <c r="K3746" s="42" t="str">
        <f>IFERROR(__xludf.DUMMYFUNCTION("""COMPUTED_VALUE"""),"Campo de Golf Playa los Cocos")</f>
        <v>Campo de Golf Playa los Cocos</v>
      </c>
    </row>
    <row r="3747">
      <c r="A3747" s="42">
        <v>3746.0</v>
      </c>
      <c r="B3747" s="42" t="str">
        <f>IFERROR(__xludf.DUMMYFUNCTION("""COMPUTED_VALUE"""),"Campo de Golf Playa los Cocos")</f>
        <v>Campo de Golf Playa los Cocos</v>
      </c>
      <c r="C3747" s="42" t="str">
        <f>IFERROR(__xludf.DUMMYFUNCTION("""COMPUTED_VALUE"""),"Yosneidy Medina")</f>
        <v>Yosneidy Medina</v>
      </c>
      <c r="D3747" s="42" t="str">
        <f>IFERROR(__xludf.DUMMYFUNCTION("""COMPUTED_VALUE"""),"")</f>
        <v/>
      </c>
      <c r="E3747" s="42" t="str">
        <f>IFERROR(__xludf.DUMMYFUNCTION("""COMPUTED_VALUE"""),"")</f>
        <v/>
      </c>
      <c r="F3747" s="42" t="str">
        <f>IFERROR(__xludf.DUMMYFUNCTION("""COMPUTED_VALUE"""),"")</f>
        <v/>
      </c>
      <c r="G3747" s="42" t="str">
        <f>IFERROR(__xludf.DUMMYFUNCTION("""COMPUTED_VALUE"""),"")</f>
        <v/>
      </c>
      <c r="H3747" s="42" t="str">
        <f>IFERROR(__xludf.DUMMYFUNCTION("""COMPUTED_VALUE"""),"")</f>
        <v/>
      </c>
      <c r="I3747" s="42"/>
      <c r="J3747" s="42" t="str">
        <f>IFERROR(__xludf.DUMMYFUNCTION("""COMPUTED_VALUE"""),"")</f>
        <v/>
      </c>
      <c r="K3747" s="42" t="str">
        <f>IFERROR(__xludf.DUMMYFUNCTION("""COMPUTED_VALUE"""),"Campo de Golf Playa los Cocos")</f>
        <v>Campo de Golf Playa los Cocos</v>
      </c>
    </row>
    <row r="3748">
      <c r="A3748" s="42">
        <v>3747.0</v>
      </c>
      <c r="B3748" s="42" t="str">
        <f>IFERROR(__xludf.DUMMYFUNCTION("""COMPUTED_VALUE"""),"HOSPITAL VARGAS")</f>
        <v>HOSPITAL VARGAS</v>
      </c>
      <c r="C3748" s="42" t="str">
        <f>IFERROR(__xludf.DUMMYFUNCTION("""COMPUTED_VALUE"""),"Yosneiker Suárez")</f>
        <v>Yosneiker Suárez</v>
      </c>
      <c r="D3748" s="42"/>
      <c r="E3748" s="42" t="str">
        <f>IFERROR(__xludf.DUMMYFUNCTION("""COMPUTED_VALUE"""),"")</f>
        <v/>
      </c>
      <c r="F3748" s="42" t="str">
        <f>IFERROR(__xludf.DUMMYFUNCTION("""COMPUTED_VALUE"""),"")</f>
        <v/>
      </c>
      <c r="G3748" s="42" t="str">
        <f>IFERROR(__xludf.DUMMYFUNCTION("""COMPUTED_VALUE"""),"")</f>
        <v/>
      </c>
      <c r="H3748" s="42" t="str">
        <f>IFERROR(__xludf.DUMMYFUNCTION("""COMPUTED_VALUE"""),"")</f>
        <v/>
      </c>
      <c r="I3748" s="42" t="str">
        <f>IFERROR(__xludf.DUMMYFUNCTION("""COMPUTED_VALUE"""),"Herido / atendido")</f>
        <v>Herido / atendido</v>
      </c>
      <c r="J3748" s="42" t="str">
        <f>IFERROR(__xludf.DUMMYFUNCTION("""COMPUTED_VALUE"""),"24.06.2026 ")</f>
        <v>24.06.2026 </v>
      </c>
      <c r="K3748" s="42" t="str">
        <f>IFERROR(__xludf.DUMMYFUNCTION("""COMPUTED_VALUE"""),"HOSPITAL VARGAS")</f>
        <v>HOSPITAL VARGAS</v>
      </c>
    </row>
    <row r="3749">
      <c r="A3749" s="42">
        <v>3748.0</v>
      </c>
      <c r="B3749" s="42" t="str">
        <f>IFERROR(__xludf.DUMMYFUNCTION("""COMPUTED_VALUE"""),"Hospital Vargas de Caracas")</f>
        <v>Hospital Vargas de Caracas</v>
      </c>
      <c r="C3749" s="42" t="str">
        <f>IFERROR(__xludf.DUMMYFUNCTION("""COMPUTED_VALUE"""),"YOVANA HASSAN")</f>
        <v>YOVANA HASSAN</v>
      </c>
      <c r="D3749" s="42" t="str">
        <f>IFERROR(__xludf.DUMMYFUNCTION("""COMPUTED_VALUE""")," ")</f>
        <v> </v>
      </c>
      <c r="E3749" s="42" t="str">
        <f>IFERROR(__xludf.DUMMYFUNCTION("""COMPUTED_VALUE"""),"")</f>
        <v/>
      </c>
      <c r="F3749" s="42" t="str">
        <f>IFERROR(__xludf.DUMMYFUNCTION("""COMPUTED_VALUE""")," ")</f>
        <v> </v>
      </c>
      <c r="G3749" s="42" t="str">
        <f>IFERROR(__xludf.DUMMYFUNCTION("""COMPUTED_VALUE"""),"")</f>
        <v/>
      </c>
      <c r="H3749" s="42" t="str">
        <f>IFERROR(__xludf.DUMMYFUNCTION("""COMPUTED_VALUE""")," ")</f>
        <v> </v>
      </c>
      <c r="I3749" s="42" t="str">
        <f>IFERROR(__xludf.DUMMYFUNCTION("""COMPUTED_VALUE"""),"Pediátrico")</f>
        <v>Pediátrico</v>
      </c>
      <c r="J3749" s="42" t="str">
        <f>IFERROR(__xludf.DUMMYFUNCTION("""COMPUTED_VALUE"""),"")</f>
        <v/>
      </c>
      <c r="K3749" s="42" t="str">
        <f>IFERROR(__xludf.DUMMYFUNCTION("""COMPUTED_VALUE"""),"Hospital Vargas de Caracas")</f>
        <v>Hospital Vargas de Caracas</v>
      </c>
    </row>
    <row r="3750">
      <c r="A3750" s="42">
        <v>3749.0</v>
      </c>
      <c r="B3750" s="42" t="str">
        <f>IFERROR(__xludf.DUMMYFUNCTION("""COMPUTED_VALUE"""),"Hospital José María Vargas - La Guaira")</f>
        <v>Hospital José María Vargas - La Guaira</v>
      </c>
      <c r="C3750" s="42" t="str">
        <f>IFERROR(__xludf.DUMMYFUNCTION("""COMPUTED_VALUE"""),"YOWAN VILLAFANDA")</f>
        <v>YOWAN VILLAFANDA</v>
      </c>
      <c r="D3750" s="42">
        <f>IFERROR(__xludf.DUMMYFUNCTION("""COMPUTED_VALUE"""),36.0)</f>
        <v>36</v>
      </c>
      <c r="E3750" s="42" t="str">
        <f>IFERROR(__xludf.DUMMYFUNCTION("""COMPUTED_VALUE"""),"")</f>
        <v/>
      </c>
      <c r="F3750" s="42" t="str">
        <f>IFERROR(__xludf.DUMMYFUNCTION("""COMPUTED_VALUE"""),"")</f>
        <v/>
      </c>
      <c r="G3750" s="42" t="str">
        <f>IFERROR(__xludf.DUMMYFUNCTION("""COMPUTED_VALUE""")," ")</f>
        <v> </v>
      </c>
      <c r="H3750" s="42" t="str">
        <f>IFERROR(__xludf.DUMMYFUNCTION("""COMPUTED_VALUE""")," ")</f>
        <v> </v>
      </c>
      <c r="I3750" s="42" t="str">
        <f>IFERROR(__xludf.DUMMYFUNCTION("""COMPUTED_VALUE"""),"Internado")</f>
        <v>Internado</v>
      </c>
      <c r="J3750" s="42" t="str">
        <f>IFERROR(__xludf.DUMMYFUNCTION("""COMPUTED_VALUE"""),"")</f>
        <v/>
      </c>
      <c r="K3750" s="42" t="str">
        <f>IFERROR(__xludf.DUMMYFUNCTION("""COMPUTED_VALUE"""),"🔍 BUSCAR PACIENTES")</f>
        <v>🔍 BUSCAR PACIENTES</v>
      </c>
    </row>
    <row r="3751">
      <c r="A3751" s="42">
        <v>3750.0</v>
      </c>
      <c r="B3751" s="42" t="str">
        <f>IFERROR(__xludf.DUMMYFUNCTION("""COMPUTED_VALUE"""),"Seguro Social La Guaira")</f>
        <v>Seguro Social La Guaira</v>
      </c>
      <c r="C3751" s="42" t="str">
        <f>IFERROR(__xludf.DUMMYFUNCTION("""COMPUTED_VALUE"""),"YOWAN VILLAFANDE")</f>
        <v>YOWAN VILLAFANDE</v>
      </c>
      <c r="D3751" s="42">
        <f>IFERROR(__xludf.DUMMYFUNCTION("""COMPUTED_VALUE"""),36.0)</f>
        <v>36</v>
      </c>
      <c r="E3751" s="42" t="str">
        <f>IFERROR(__xludf.DUMMYFUNCTION("""COMPUTED_VALUE"""),"")</f>
        <v/>
      </c>
      <c r="F3751" s="42" t="str">
        <f>IFERROR(__xludf.DUMMYFUNCTION("""COMPUTED_VALUE"""),"")</f>
        <v/>
      </c>
      <c r="G3751" s="42" t="str">
        <f>IFERROR(__xludf.DUMMYFUNCTION("""COMPUTED_VALUE""")," ")</f>
        <v> </v>
      </c>
      <c r="H3751" s="42" t="str">
        <f>IFERROR(__xludf.DUMMYFUNCTION("""COMPUTED_VALUE"""),"Macuto")</f>
        <v>Macuto</v>
      </c>
      <c r="I3751" s="42" t="str">
        <f>IFERROR(__xludf.DUMMYFUNCTION("""COMPUTED_VALUE""")," ")</f>
        <v> </v>
      </c>
      <c r="J3751" s="42" t="str">
        <f>IFERROR(__xludf.DUMMYFUNCTION("""COMPUTED_VALUE"""),"")</f>
        <v/>
      </c>
      <c r="K3751" s="42" t="str">
        <f>IFERROR(__xludf.DUMMYFUNCTION("""COMPUTED_VALUE"""),"Seguro Social La Guaira")</f>
        <v>Seguro Social La Guaira</v>
      </c>
    </row>
    <row r="3752">
      <c r="A3752" s="42">
        <v>3751.0</v>
      </c>
      <c r="B3752" s="42" t="str">
        <f>IFERROR(__xludf.DUMMYFUNCTION("""COMPUTED_VALUE"""),"Campo de Golf Playa los Cocos")</f>
        <v>Campo de Golf Playa los Cocos</v>
      </c>
      <c r="C3752" s="42" t="str">
        <f>IFERROR(__xludf.DUMMYFUNCTION("""COMPUTED_VALUE"""),"Yubelkys Garcia")</f>
        <v>Yubelkys Garcia</v>
      </c>
      <c r="D3752" s="42" t="str">
        <f>IFERROR(__xludf.DUMMYFUNCTION("""COMPUTED_VALUE"""),"")</f>
        <v/>
      </c>
      <c r="E3752" s="42" t="str">
        <f>IFERROR(__xludf.DUMMYFUNCTION("""COMPUTED_VALUE"""),"")</f>
        <v/>
      </c>
      <c r="F3752" s="42" t="str">
        <f>IFERROR(__xludf.DUMMYFUNCTION("""COMPUTED_VALUE"""),"")</f>
        <v/>
      </c>
      <c r="G3752" s="42" t="str">
        <f>IFERROR(__xludf.DUMMYFUNCTION("""COMPUTED_VALUE"""),"")</f>
        <v/>
      </c>
      <c r="H3752" s="42" t="str">
        <f>IFERROR(__xludf.DUMMYFUNCTION("""COMPUTED_VALUE"""),"")</f>
        <v/>
      </c>
      <c r="I3752" s="42"/>
      <c r="J3752" s="42" t="str">
        <f>IFERROR(__xludf.DUMMYFUNCTION("""COMPUTED_VALUE"""),"")</f>
        <v/>
      </c>
      <c r="K3752" s="42" t="str">
        <f>IFERROR(__xludf.DUMMYFUNCTION("""COMPUTED_VALUE"""),"Campo de Golf Playa los Cocos")</f>
        <v>Campo de Golf Playa los Cocos</v>
      </c>
    </row>
    <row r="3753">
      <c r="A3753" s="42">
        <v>3752.0</v>
      </c>
      <c r="B3753" s="42" t="str">
        <f>IFERROR(__xludf.DUMMYFUNCTION("""COMPUTED_VALUE"""),"Hospital Pérez Carreño")</f>
        <v>Hospital Pérez Carreño</v>
      </c>
      <c r="C3753" s="42" t="str">
        <f>IFERROR(__xludf.DUMMYFUNCTION("""COMPUTED_VALUE"""),"Yuleidy Romero")</f>
        <v>Yuleidy Romero</v>
      </c>
      <c r="D3753" s="42"/>
      <c r="E3753" s="42" t="str">
        <f>IFERROR(__xludf.DUMMYFUNCTION("""COMPUTED_VALUE"""),"")</f>
        <v/>
      </c>
      <c r="F3753" s="42" t="str">
        <f>IFERROR(__xludf.DUMMYFUNCTION("""COMPUTED_VALUE"""),"")</f>
        <v/>
      </c>
      <c r="G3753" s="42" t="str">
        <f>IFERROR(__xludf.DUMMYFUNCTION("""COMPUTED_VALUE"""),"Traumashock ")</f>
        <v>Traumashock </v>
      </c>
      <c r="H3753" s="42" t="str">
        <f>IFERROR(__xludf.DUMMYFUNCTION("""COMPUTED_VALUE"""),"Hospital Miguel Perez Carreño")</f>
        <v>Hospital Miguel Perez Carreño</v>
      </c>
      <c r="I3753" s="42"/>
      <c r="J3753" s="42" t="str">
        <f>IFERROR(__xludf.DUMMYFUNCTION("""COMPUTED_VALUE"""),"26/6/26")</f>
        <v>26/6/26</v>
      </c>
      <c r="K3753" s="42" t="str">
        <f>IFERROR(__xludf.DUMMYFUNCTION("""COMPUTED_VALUE"""),"Hospital Pérez Carreño")</f>
        <v>Hospital Pérez Carreño</v>
      </c>
    </row>
    <row r="3754">
      <c r="A3754" s="42">
        <v>3753.0</v>
      </c>
      <c r="B3754" s="42" t="str">
        <f>IFERROR(__xludf.DUMMYFUNCTION("""COMPUTED_VALUE"""),"Seguro Social La Guaira")</f>
        <v>Seguro Social La Guaira</v>
      </c>
      <c r="C3754" s="42" t="str">
        <f>IFERROR(__xludf.DUMMYFUNCTION("""COMPUTED_VALUE"""),"YULEIVIS SANDOVAL")</f>
        <v>YULEIVIS SANDOVAL</v>
      </c>
      <c r="D3754" s="42">
        <f>IFERROR(__xludf.DUMMYFUNCTION("""COMPUTED_VALUE"""),34.0)</f>
        <v>34</v>
      </c>
      <c r="E3754" s="42" t="str">
        <f>IFERROR(__xludf.DUMMYFUNCTION("""COMPUTED_VALUE"""),"")</f>
        <v/>
      </c>
      <c r="F3754" s="42" t="str">
        <f>IFERROR(__xludf.DUMMYFUNCTION("""COMPUTED_VALUE"""),"")</f>
        <v/>
      </c>
      <c r="G3754" s="42" t="str">
        <f>IFERROR(__xludf.DUMMYFUNCTION("""COMPUTED_VALUE""")," ")</f>
        <v> </v>
      </c>
      <c r="H3754" s="42" t="str">
        <f>IFERROR(__xludf.DUMMYFUNCTION("""COMPUTED_VALUE"""),"Maiquetia")</f>
        <v>Maiquetia</v>
      </c>
      <c r="I3754" s="42" t="str">
        <f>IFERROR(__xludf.DUMMYFUNCTION("""COMPUTED_VALUE""")," ")</f>
        <v> </v>
      </c>
      <c r="J3754" s="42" t="str">
        <f>IFERROR(__xludf.DUMMYFUNCTION("""COMPUTED_VALUE"""),"")</f>
        <v/>
      </c>
      <c r="K3754" s="42" t="str">
        <f>IFERROR(__xludf.DUMMYFUNCTION("""COMPUTED_VALUE"""),"Seguro Social La Guaira")</f>
        <v>Seguro Social La Guaira</v>
      </c>
    </row>
    <row r="3755">
      <c r="A3755" s="42">
        <v>3754.0</v>
      </c>
      <c r="B3755" s="42" t="str">
        <f>IFERROR(__xludf.DUMMYFUNCTION("""COMPUTED_VALUE"""),"Campo de Golf Playa los Cocos")</f>
        <v>Campo de Golf Playa los Cocos</v>
      </c>
      <c r="C3755" s="42" t="str">
        <f>IFERROR(__xludf.DUMMYFUNCTION("""COMPUTED_VALUE"""),"Yulianny Rosales")</f>
        <v>Yulianny Rosales</v>
      </c>
      <c r="D3755" s="42" t="str">
        <f>IFERROR(__xludf.DUMMYFUNCTION("""COMPUTED_VALUE"""),"")</f>
        <v/>
      </c>
      <c r="E3755" s="42" t="str">
        <f>IFERROR(__xludf.DUMMYFUNCTION("""COMPUTED_VALUE"""),"")</f>
        <v/>
      </c>
      <c r="F3755" s="42" t="str">
        <f>IFERROR(__xludf.DUMMYFUNCTION("""COMPUTED_VALUE"""),"")</f>
        <v/>
      </c>
      <c r="G3755" s="42" t="str">
        <f>IFERROR(__xludf.DUMMYFUNCTION("""COMPUTED_VALUE"""),"")</f>
        <v/>
      </c>
      <c r="H3755" s="42" t="str">
        <f>IFERROR(__xludf.DUMMYFUNCTION("""COMPUTED_VALUE"""),"")</f>
        <v/>
      </c>
      <c r="I3755" s="42"/>
      <c r="J3755" s="42" t="str">
        <f>IFERROR(__xludf.DUMMYFUNCTION("""COMPUTED_VALUE"""),"")</f>
        <v/>
      </c>
      <c r="K3755" s="42" t="str">
        <f>IFERROR(__xludf.DUMMYFUNCTION("""COMPUTED_VALUE"""),"Campo de Golf Playa los Cocos")</f>
        <v>Campo de Golf Playa los Cocos</v>
      </c>
    </row>
    <row r="3756">
      <c r="A3756" s="42">
        <v>3755.0</v>
      </c>
      <c r="B3756" s="42" t="str">
        <f>IFERROR(__xludf.DUMMYFUNCTION("""COMPUTED_VALUE"""),"Hospital Pérez Carreño")</f>
        <v>Hospital Pérez Carreño</v>
      </c>
      <c r="C3756" s="42" t="str">
        <f>IFERROR(__xludf.DUMMYFUNCTION("""COMPUTED_VALUE"""),"Yulieth Leon")</f>
        <v>Yulieth Leon</v>
      </c>
      <c r="D3756" s="42"/>
      <c r="E3756" s="42" t="str">
        <f>IFERROR(__xludf.DUMMYFUNCTION("""COMPUTED_VALUE"""),"")</f>
        <v/>
      </c>
      <c r="F3756" s="42" t="str">
        <f>IFERROR(__xludf.DUMMYFUNCTION("""COMPUTED_VALUE"""),"")</f>
        <v/>
      </c>
      <c r="G3756" s="42"/>
      <c r="H3756" s="42"/>
      <c r="I3756" s="42"/>
      <c r="J3756" s="42"/>
      <c r="K3756" s="42" t="str">
        <f>IFERROR(__xludf.DUMMYFUNCTION("""COMPUTED_VALUE"""),"Hospital Pérez Carreño")</f>
        <v>Hospital Pérez Carreño</v>
      </c>
    </row>
    <row r="3757">
      <c r="A3757" s="42">
        <v>3756.0</v>
      </c>
      <c r="B3757" s="42" t="str">
        <f>IFERROR(__xludf.DUMMYFUNCTION("""COMPUTED_VALUE"""),"Hospital Domingo Luciani")</f>
        <v>Hospital Domingo Luciani</v>
      </c>
      <c r="C3757" s="42" t="str">
        <f>IFERROR(__xludf.DUMMYFUNCTION("""COMPUTED_VALUE"""),"Yuscoli Bolivar")</f>
        <v>Yuscoli Bolivar</v>
      </c>
      <c r="D3757" s="42">
        <f>IFERROR(__xludf.DUMMYFUNCTION("""COMPUTED_VALUE"""),12.0)</f>
        <v>12</v>
      </c>
      <c r="E3757" s="42" t="str">
        <f>IFERROR(__xludf.DUMMYFUNCTION("""COMPUTED_VALUE"""),"")</f>
        <v/>
      </c>
      <c r="F3757" s="42" t="str">
        <f>IFERROR(__xludf.DUMMYFUNCTION("""COMPUTED_VALUE"""),"")</f>
        <v/>
      </c>
      <c r="G3757" s="42"/>
      <c r="H3757" s="42"/>
      <c r="I3757" s="42"/>
      <c r="J3757" s="42" t="str">
        <f>IFERROR(__xludf.DUMMYFUNCTION("""COMPUTED_VALUE"""),"")</f>
        <v/>
      </c>
      <c r="K3757" s="42" t="str">
        <f>IFERROR(__xludf.DUMMYFUNCTION("""COMPUTED_VALUE"""),"Hospital Domingo Luciani")</f>
        <v>Hospital Domingo Luciani</v>
      </c>
    </row>
    <row r="3758">
      <c r="A3758" s="42">
        <v>3757.0</v>
      </c>
      <c r="B3758" s="42" t="str">
        <f>IFERROR(__xludf.DUMMYFUNCTION("""COMPUTED_VALUE"""),"Periférico de Catia")</f>
        <v>Periférico de Catia</v>
      </c>
      <c r="C3758" s="42" t="str">
        <f>IFERROR(__xludf.DUMMYFUNCTION("""COMPUTED_VALUE"""),"YUSKELI MARTINEZ")</f>
        <v>YUSKELI MARTINEZ</v>
      </c>
      <c r="D3758" s="42">
        <f>IFERROR(__xludf.DUMMYFUNCTION("""COMPUTED_VALUE"""),30.0)</f>
        <v>30</v>
      </c>
      <c r="E3758" s="42" t="str">
        <f>IFERROR(__xludf.DUMMYFUNCTION("""COMPUTED_VALUE"""),"")</f>
        <v/>
      </c>
      <c r="F3758" s="42" t="str">
        <f>IFERROR(__xludf.DUMMYFUNCTION("""COMPUTED_VALUE"""),"")</f>
        <v/>
      </c>
      <c r="G3758" s="42" t="str">
        <f>IFERROR(__xludf.DUMMYFUNCTION("""COMPUTED_VALUE""")," ")</f>
        <v> </v>
      </c>
      <c r="H3758" s="42" t="str">
        <f>IFERROR(__xludf.DUMMYFUNCTION("""COMPUTED_VALUE"""),"La Cortada de Cata")</f>
        <v>La Cortada de Cata</v>
      </c>
      <c r="I3758" s="42" t="str">
        <f>IFERROR(__xludf.DUMMYFUNCTION("""COMPUTED_VALUE""")," ")</f>
        <v> </v>
      </c>
      <c r="J3758" s="42" t="str">
        <f>IFERROR(__xludf.DUMMYFUNCTION("""COMPUTED_VALUE"""),"")</f>
        <v/>
      </c>
      <c r="K3758" s="42" t="str">
        <f>IFERROR(__xludf.DUMMYFUNCTION("""COMPUTED_VALUE"""),"Periférico de Catia")</f>
        <v>Periférico de Catia</v>
      </c>
    </row>
    <row r="3759">
      <c r="A3759" s="42">
        <v>3758.0</v>
      </c>
      <c r="B3759" s="42" t="str">
        <f>IFERROR(__xludf.DUMMYFUNCTION("""COMPUTED_VALUE"""),"Campo de Golf Playa los Cocos")</f>
        <v>Campo de Golf Playa los Cocos</v>
      </c>
      <c r="C3759" s="42" t="str">
        <f>IFERROR(__xludf.DUMMYFUNCTION("""COMPUTED_VALUE"""),"Yusmely Idriarte")</f>
        <v>Yusmely Idriarte</v>
      </c>
      <c r="D3759" s="42" t="str">
        <f>IFERROR(__xludf.DUMMYFUNCTION("""COMPUTED_VALUE"""),"")</f>
        <v/>
      </c>
      <c r="E3759" s="42" t="str">
        <f>IFERROR(__xludf.DUMMYFUNCTION("""COMPUTED_VALUE"""),"")</f>
        <v/>
      </c>
      <c r="F3759" s="42" t="str">
        <f>IFERROR(__xludf.DUMMYFUNCTION("""COMPUTED_VALUE"""),"")</f>
        <v/>
      </c>
      <c r="G3759" s="42" t="str">
        <f>IFERROR(__xludf.DUMMYFUNCTION("""COMPUTED_VALUE"""),"")</f>
        <v/>
      </c>
      <c r="H3759" s="42" t="str">
        <f>IFERROR(__xludf.DUMMYFUNCTION("""COMPUTED_VALUE"""),"")</f>
        <v/>
      </c>
      <c r="I3759" s="42"/>
      <c r="J3759" s="42" t="str">
        <f>IFERROR(__xludf.DUMMYFUNCTION("""COMPUTED_VALUE"""),"")</f>
        <v/>
      </c>
      <c r="K3759" s="42" t="str">
        <f>IFERROR(__xludf.DUMMYFUNCTION("""COMPUTED_VALUE"""),"Campo de Golf Playa los Cocos")</f>
        <v>Campo de Golf Playa los Cocos</v>
      </c>
    </row>
    <row r="3760">
      <c r="A3760" s="42">
        <v>3759.0</v>
      </c>
      <c r="B3760" s="42" t="str">
        <f>IFERROR(__xludf.DUMMYFUNCTION("""COMPUTED_VALUE"""),"HOSPITAL VARGAS")</f>
        <v>HOSPITAL VARGAS</v>
      </c>
      <c r="C3760" s="42" t="str">
        <f>IFERROR(__xludf.DUMMYFUNCTION("""COMPUTED_VALUE"""),"Yusneily Requena")</f>
        <v>Yusneily Requena</v>
      </c>
      <c r="D3760" s="42"/>
      <c r="E3760" s="42" t="str">
        <f>IFERROR(__xludf.DUMMYFUNCTION("""COMPUTED_VALUE"""),"")</f>
        <v/>
      </c>
      <c r="F3760" s="42" t="str">
        <f>IFERROR(__xludf.DUMMYFUNCTION("""COMPUTED_VALUE"""),"")</f>
        <v/>
      </c>
      <c r="G3760" s="42" t="str">
        <f>IFERROR(__xludf.DUMMYFUNCTION("""COMPUTED_VALUE"""),"")</f>
        <v/>
      </c>
      <c r="H3760" s="42" t="str">
        <f>IFERROR(__xludf.DUMMYFUNCTION("""COMPUTED_VALUE"""),"")</f>
        <v/>
      </c>
      <c r="I3760" s="42" t="str">
        <f>IFERROR(__xludf.DUMMYFUNCTION("""COMPUTED_VALUE"""),"Herido / atendido")</f>
        <v>Herido / atendido</v>
      </c>
      <c r="J3760" s="42" t="str">
        <f>IFERROR(__xludf.DUMMYFUNCTION("""COMPUTED_VALUE"""),"24.06.2026 ")</f>
        <v>24.06.2026 </v>
      </c>
      <c r="K3760" s="42" t="str">
        <f>IFERROR(__xludf.DUMMYFUNCTION("""COMPUTED_VALUE"""),"HOSPITAL VARGAS")</f>
        <v>HOSPITAL VARGAS</v>
      </c>
    </row>
    <row r="3761">
      <c r="A3761" s="42">
        <v>3760.0</v>
      </c>
      <c r="B3761" s="42" t="str">
        <f>IFERROR(__xludf.DUMMYFUNCTION("""COMPUTED_VALUE"""),"Hospital Pérez Carreño")</f>
        <v>Hospital Pérez Carreño</v>
      </c>
      <c r="C3761" s="42" t="str">
        <f>IFERROR(__xludf.DUMMYFUNCTION("""COMPUTED_VALUE"""),"ZALAZAR EDDY")</f>
        <v>ZALAZAR EDDY</v>
      </c>
      <c r="D3761" s="42" t="str">
        <f>IFERROR(__xludf.DUMMYFUNCTION("""COMPUTED_VALUE""")," ")</f>
        <v> </v>
      </c>
      <c r="E3761" s="42" t="str">
        <f>IFERROR(__xludf.DUMMYFUNCTION("""COMPUTED_VALUE"""),"")</f>
        <v/>
      </c>
      <c r="F3761" s="42" t="str">
        <f>IFERROR(__xludf.DUMMYFUNCTION("""COMPUTED_VALUE"""),"")</f>
        <v/>
      </c>
      <c r="G3761" s="42" t="str">
        <f>IFERROR(__xludf.DUMMYFUNCTION("""COMPUTED_VALUE""")," ")</f>
        <v> </v>
      </c>
      <c r="H3761" s="42" t="str">
        <f>IFERROR(__xludf.DUMMYFUNCTION("""COMPUTED_VALUE""")," ")</f>
        <v> </v>
      </c>
      <c r="I3761" s="42" t="str">
        <f>IFERROR(__xludf.DUMMYFUNCTION("""COMPUTED_VALUE"""),"Traumashock")</f>
        <v>Traumashock</v>
      </c>
      <c r="J3761" s="42" t="str">
        <f>IFERROR(__xludf.DUMMYFUNCTION("""COMPUTED_VALUE"""),"25/06/2026")</f>
        <v>25/06/2026</v>
      </c>
      <c r="K3761" s="42" t="str">
        <f>IFERROR(__xludf.DUMMYFUNCTION("""COMPUTED_VALUE"""),"Hospital Pérez Carreño")</f>
        <v>Hospital Pérez Carreño</v>
      </c>
    </row>
    <row r="3762">
      <c r="A3762" s="42">
        <v>3761.0</v>
      </c>
      <c r="B3762" s="42" t="str">
        <f>IFERROR(__xludf.DUMMYFUNCTION("""COMPUTED_VALUE"""),"Hospital Pérez Carreño")</f>
        <v>Hospital Pérez Carreño</v>
      </c>
      <c r="C3762" s="42" t="str">
        <f>IFERROR(__xludf.DUMMYFUNCTION("""COMPUTED_VALUE"""),"ZAMUENTO BRIGIDA")</f>
        <v>ZAMUENTO BRIGIDA</v>
      </c>
      <c r="D3762" s="42" t="str">
        <f>IFERROR(__xludf.DUMMYFUNCTION("""COMPUTED_VALUE""")," ")</f>
        <v> </v>
      </c>
      <c r="E3762" s="42" t="str">
        <f>IFERROR(__xludf.DUMMYFUNCTION("""COMPUTED_VALUE"""),"")</f>
        <v/>
      </c>
      <c r="F3762" s="42" t="str">
        <f>IFERROR(__xludf.DUMMYFUNCTION("""COMPUTED_VALUE"""),"")</f>
        <v/>
      </c>
      <c r="G3762" s="42" t="str">
        <f>IFERROR(__xludf.DUMMYFUNCTION("""COMPUTED_VALUE""")," ")</f>
        <v> </v>
      </c>
      <c r="H3762" s="42" t="str">
        <f>IFERROR(__xludf.DUMMYFUNCTION("""COMPUTED_VALUE""")," ")</f>
        <v> </v>
      </c>
      <c r="I3762" s="42" t="str">
        <f>IFERROR(__xludf.DUMMYFUNCTION("""COMPUTED_VALUE"""),"Traumashock")</f>
        <v>Traumashock</v>
      </c>
      <c r="J3762" s="42" t="str">
        <f>IFERROR(__xludf.DUMMYFUNCTION("""COMPUTED_VALUE"""),"25/06/2026")</f>
        <v>25/06/2026</v>
      </c>
      <c r="K3762" s="42" t="str">
        <f>IFERROR(__xludf.DUMMYFUNCTION("""COMPUTED_VALUE"""),"Hospital Pérez Carreño")</f>
        <v>Hospital Pérez Carreño</v>
      </c>
    </row>
    <row r="3763">
      <c r="A3763" s="42">
        <v>3762.0</v>
      </c>
      <c r="B3763" s="42" t="str">
        <f>IFERROR(__xludf.DUMMYFUNCTION("""COMPUTED_VALUE"""),"Hospital Pérez Carreño")</f>
        <v>Hospital Pérez Carreño</v>
      </c>
      <c r="C3763" s="42" t="str">
        <f>IFERROR(__xludf.DUMMYFUNCTION("""COMPUTED_VALUE"""),"Zarmiento Bristida")</f>
        <v>Zarmiento Bristida</v>
      </c>
      <c r="D3763" s="42"/>
      <c r="E3763" s="42" t="str">
        <f>IFERROR(__xludf.DUMMYFUNCTION("""COMPUTED_VALUE"""),"")</f>
        <v/>
      </c>
      <c r="F3763" s="42" t="str">
        <f>IFERROR(__xludf.DUMMYFUNCTION("""COMPUTED_VALUE"""),"")</f>
        <v/>
      </c>
      <c r="G3763" s="42" t="str">
        <f>IFERROR(__xludf.DUMMYFUNCTION("""COMPUTED_VALUE"""),"Traslados con destino asignado")</f>
        <v>Traslados con destino asignado</v>
      </c>
      <c r="H3763" s="42" t="str">
        <f>IFERROR(__xludf.DUMMYFUNCTION("""COMPUTED_VALUE"""),"Hospital Miguel Perez Carreño")</f>
        <v>Hospital Miguel Perez Carreño</v>
      </c>
      <c r="I3763" s="42"/>
      <c r="J3763" s="42" t="str">
        <f>IFERROR(__xludf.DUMMYFUNCTION("""COMPUTED_VALUE"""),"26/6/26")</f>
        <v>26/6/26</v>
      </c>
      <c r="K3763" s="42" t="str">
        <f>IFERROR(__xludf.DUMMYFUNCTION("""COMPUTED_VALUE"""),"Hospital Pérez Carreño")</f>
        <v>Hospital Pérez Carreño</v>
      </c>
    </row>
    <row r="3764">
      <c r="A3764" s="42">
        <v>3763.0</v>
      </c>
      <c r="B3764" s="42" t="str">
        <f>IFERROR(__xludf.DUMMYFUNCTION("""COMPUTED_VALUE"""),"Periférico de Catia")</f>
        <v>Periférico de Catia</v>
      </c>
      <c r="C3764" s="42" t="str">
        <f>IFERROR(__xludf.DUMMYFUNCTION("""COMPUTED_VALUE"""),"ZEALARIO ALEXIS")</f>
        <v>ZEALARIO ALEXIS</v>
      </c>
      <c r="D3764" s="42" t="str">
        <f>IFERROR(__xludf.DUMMYFUNCTION("""COMPUTED_VALUE""")," ")</f>
        <v> </v>
      </c>
      <c r="E3764" s="42" t="str">
        <f>IFERROR(__xludf.DUMMYFUNCTION("""COMPUTED_VALUE"""),"")</f>
        <v/>
      </c>
      <c r="F3764" s="42" t="str">
        <f>IFERROR(__xludf.DUMMYFUNCTION("""COMPUTED_VALUE"""),"")</f>
        <v/>
      </c>
      <c r="G3764" s="42" t="str">
        <f>IFERROR(__xludf.DUMMYFUNCTION("""COMPUTED_VALUE""")," ")</f>
        <v> </v>
      </c>
      <c r="H3764" s="42" t="str">
        <f>IFERROR(__xludf.DUMMYFUNCTION("""COMPUTED_VALUE"""),"Carabilla + Sector Río")</f>
        <v>Carabilla + Sector Río</v>
      </c>
      <c r="I3764" s="42" t="str">
        <f>IFERROR(__xludf.DUMMYFUNCTION("""COMPUTED_VALUE""")," ")</f>
        <v> </v>
      </c>
      <c r="J3764" s="42" t="str">
        <f>IFERROR(__xludf.DUMMYFUNCTION("""COMPUTED_VALUE"""),"")</f>
        <v/>
      </c>
      <c r="K3764" s="42" t="str">
        <f>IFERROR(__xludf.DUMMYFUNCTION("""COMPUTED_VALUE"""),"Periférico de Catia")</f>
        <v>Periférico de Catia</v>
      </c>
    </row>
    <row r="3765">
      <c r="A3765" s="42">
        <v>3764.0</v>
      </c>
      <c r="B3765" s="42" t="str">
        <f>IFERROR(__xludf.DUMMYFUNCTION("""COMPUTED_VALUE"""),"Clínica El Ávila")</f>
        <v>Clínica El Ávila</v>
      </c>
      <c r="C3765" s="42" t="str">
        <f>IFERROR(__xludf.DUMMYFUNCTION("""COMPUTED_VALUE"""),"ZERPA GRACIELA")</f>
        <v>ZERPA GRACIELA</v>
      </c>
      <c r="D3765" s="42" t="str">
        <f>IFERROR(__xludf.DUMMYFUNCTION("""COMPUTED_VALUE""")," ")</f>
        <v> </v>
      </c>
      <c r="E3765" s="42" t="str">
        <f>IFERROR(__xludf.DUMMYFUNCTION("""COMPUTED_VALUE"""),"")</f>
        <v/>
      </c>
      <c r="F3765" s="42" t="str">
        <f>IFERROR(__xludf.DUMMYFUNCTION("""COMPUTED_VALUE"""),"")</f>
        <v/>
      </c>
      <c r="G3765" s="42" t="str">
        <f>IFERROR(__xludf.DUMMYFUNCTION("""COMPUTED_VALUE""")," ")</f>
        <v> </v>
      </c>
      <c r="H3765" s="42" t="str">
        <f>IFERROR(__xludf.DUMMYFUNCTION("""COMPUTED_VALUE""")," ")</f>
        <v> </v>
      </c>
      <c r="I3765" s="42" t="str">
        <f>IFERROR(__xludf.DUMMYFUNCTION("""COMPUTED_VALUE""")," ")</f>
        <v> </v>
      </c>
      <c r="J3765" s="42" t="str">
        <f>IFERROR(__xludf.DUMMYFUNCTION("""COMPUTED_VALUE"""),"")</f>
        <v/>
      </c>
      <c r="K3765" s="42" t="str">
        <f>IFERROR(__xludf.DUMMYFUNCTION("""COMPUTED_VALUE"""),"Clínica El Ávila")</f>
        <v>Clínica El Ávila</v>
      </c>
    </row>
    <row r="3766">
      <c r="A3766" s="42">
        <v>3765.0</v>
      </c>
      <c r="B3766" s="42" t="str">
        <f>IFERROR(__xludf.DUMMYFUNCTION("""COMPUTED_VALUE"""),"Centro de Acopio Caraballeda")</f>
        <v>Centro de Acopio Caraballeda</v>
      </c>
      <c r="C3766" s="42" t="str">
        <f>IFERROR(__xludf.DUMMYFUNCTION("""COMPUTED_VALUE"""),"ZERPA JONAILFER")</f>
        <v>ZERPA JONAILFER</v>
      </c>
      <c r="D3766" s="42" t="str">
        <f>IFERROR(__xludf.DUMMYFUNCTION("""COMPUTED_VALUE""")," ")</f>
        <v> </v>
      </c>
      <c r="E3766" s="42" t="str">
        <f>IFERROR(__xludf.DUMMYFUNCTION("""COMPUTED_VALUE"""),"")</f>
        <v/>
      </c>
      <c r="F3766" s="42" t="str">
        <f>IFERROR(__xludf.DUMMYFUNCTION("""COMPUTED_VALUE"""),"")</f>
        <v/>
      </c>
      <c r="G3766" s="42" t="str">
        <f>IFERROR(__xludf.DUMMYFUNCTION("""COMPUTED_VALUE""")," ")</f>
        <v> </v>
      </c>
      <c r="H3766" s="42" t="str">
        <f>IFERROR(__xludf.DUMMYFUNCTION("""COMPUTED_VALUE""")," ")</f>
        <v> </v>
      </c>
      <c r="I3766" s="42" t="str">
        <f>IFERROR(__xludf.DUMMYFUNCTION("""COMPUTED_VALUE"""),"Internado")</f>
        <v>Internado</v>
      </c>
      <c r="J3766" s="42" t="str">
        <f>IFERROR(__xludf.DUMMYFUNCTION("""COMPUTED_VALUE"""),"")</f>
        <v/>
      </c>
      <c r="K3766" s="42" t="str">
        <f>IFERROR(__xludf.DUMMYFUNCTION("""COMPUTED_VALUE"""),"🔍 BUSCAR PACIENTES")</f>
        <v>🔍 BUSCAR PACIENTES</v>
      </c>
    </row>
    <row r="3767">
      <c r="A3767" s="42">
        <v>3766.0</v>
      </c>
      <c r="B3767" s="42" t="str">
        <f>IFERROR(__xludf.DUMMYFUNCTION("""COMPUTED_VALUE"""),"Cruz Roja")</f>
        <v>Cruz Roja</v>
      </c>
      <c r="C3767" s="42" t="str">
        <f>IFERROR(__xludf.DUMMYFUNCTION("""COMPUTED_VALUE"""),"ZHANGYOU CHEN")</f>
        <v>ZHANGYOU CHEN</v>
      </c>
      <c r="D3767" s="42">
        <f>IFERROR(__xludf.DUMMYFUNCTION("""COMPUTED_VALUE"""),57.0)</f>
        <v>57</v>
      </c>
      <c r="E3767" s="42" t="str">
        <f>IFERROR(__xludf.DUMMYFUNCTION("""COMPUTED_VALUE"""),"")</f>
        <v/>
      </c>
      <c r="F3767" s="42" t="str">
        <f>IFERROR(__xludf.DUMMYFUNCTION("""COMPUTED_VALUE"""),"")</f>
        <v/>
      </c>
      <c r="G3767" s="42" t="str">
        <f>IFERROR(__xludf.DUMMYFUNCTION("""COMPUTED_VALUE""")," ")</f>
        <v> </v>
      </c>
      <c r="H3767" s="42" t="str">
        <f>IFERROR(__xludf.DUMMYFUNCTION("""COMPUTED_VALUE""")," ")</f>
        <v> </v>
      </c>
      <c r="I3767" s="42" t="str">
        <f>IFERROR(__xludf.DUMMYFUNCTION("""COMPUTED_VALUE""")," ")</f>
        <v> </v>
      </c>
      <c r="J3767" s="42" t="str">
        <f>IFERROR(__xludf.DUMMYFUNCTION("""COMPUTED_VALUE"""),"")</f>
        <v/>
      </c>
      <c r="K3767" s="42" t="str">
        <f>IFERROR(__xludf.DUMMYFUNCTION("""COMPUTED_VALUE"""),"Cruz Roja")</f>
        <v>Cruz Roja</v>
      </c>
    </row>
    <row r="3768">
      <c r="A3768" s="42">
        <v>3767.0</v>
      </c>
      <c r="B3768" s="42" t="str">
        <f>IFERROR(__xludf.DUMMYFUNCTION("""COMPUTED_VALUE"""),"Campo de Golf Playa los Cocos")</f>
        <v>Campo de Golf Playa los Cocos</v>
      </c>
      <c r="C3768" s="42" t="str">
        <f>IFERROR(__xludf.DUMMYFUNCTION("""COMPUTED_VALUE"""),"Zoraily Dimas")</f>
        <v>Zoraily Dimas</v>
      </c>
      <c r="D3768" s="42" t="str">
        <f>IFERROR(__xludf.DUMMYFUNCTION("""COMPUTED_VALUE"""),"")</f>
        <v/>
      </c>
      <c r="E3768" s="42" t="str">
        <f>IFERROR(__xludf.DUMMYFUNCTION("""COMPUTED_VALUE"""),"")</f>
        <v/>
      </c>
      <c r="F3768" s="42" t="str">
        <f>IFERROR(__xludf.DUMMYFUNCTION("""COMPUTED_VALUE"""),"")</f>
        <v/>
      </c>
      <c r="G3768" s="42" t="str">
        <f>IFERROR(__xludf.DUMMYFUNCTION("""COMPUTED_VALUE"""),"")</f>
        <v/>
      </c>
      <c r="H3768" s="42" t="str">
        <f>IFERROR(__xludf.DUMMYFUNCTION("""COMPUTED_VALUE"""),"")</f>
        <v/>
      </c>
      <c r="I3768" s="42" t="str">
        <f>IFERROR(__xludf.DUMMYFUNCTION("""COMPUTED_VALUE"""),"Nombre poco legible en el original")</f>
        <v>Nombre poco legible en el original</v>
      </c>
      <c r="J3768" s="42" t="str">
        <f>IFERROR(__xludf.DUMMYFUNCTION("""COMPUTED_VALUE"""),"")</f>
        <v/>
      </c>
      <c r="K3768" s="42" t="str">
        <f>IFERROR(__xludf.DUMMYFUNCTION("""COMPUTED_VALUE"""),"Campo de Golf Playa los Cocos")</f>
        <v>Campo de Golf Playa los Cocos</v>
      </c>
    </row>
    <row r="3769">
      <c r="A3769" s="42">
        <v>3768.0</v>
      </c>
      <c r="B3769" s="46" t="str">
        <f>IFERROR(__xludf.DUMMYFUNCTION("""COMPUTED_VALUE"""),"Clínica El Ávila")</f>
        <v>Clínica El Ávila</v>
      </c>
      <c r="C3769" s="42" t="str">
        <f>IFERROR(__xludf.DUMMYFUNCTION("""COMPUTED_VALUE"""),"ZORRILLO DORIS")</f>
        <v>ZORRILLO DORIS</v>
      </c>
      <c r="D3769" s="42" t="str">
        <f>IFERROR(__xludf.DUMMYFUNCTION("""COMPUTED_VALUE""")," ")</f>
        <v> </v>
      </c>
      <c r="E3769" s="42" t="str">
        <f>IFERROR(__xludf.DUMMYFUNCTION("""COMPUTED_VALUE"""),"")</f>
        <v/>
      </c>
      <c r="F3769" s="42" t="str">
        <f>IFERROR(__xludf.DUMMYFUNCTION("""COMPUTED_VALUE"""),"")</f>
        <v/>
      </c>
      <c r="G3769" s="42" t="str">
        <f>IFERROR(__xludf.DUMMYFUNCTION("""COMPUTED_VALUE""")," ")</f>
        <v> </v>
      </c>
      <c r="H3769" s="42" t="str">
        <f>IFERROR(__xludf.DUMMYFUNCTION("""COMPUTED_VALUE""")," ")</f>
        <v> </v>
      </c>
      <c r="I3769" s="42" t="str">
        <f>IFERROR(__xludf.DUMMYFUNCTION("""COMPUTED_VALUE""")," ")</f>
        <v> </v>
      </c>
      <c r="J3769" s="42" t="str">
        <f>IFERROR(__xludf.DUMMYFUNCTION("""COMPUTED_VALUE"""),"")</f>
        <v/>
      </c>
      <c r="K3769" s="42" t="str">
        <f>IFERROR(__xludf.DUMMYFUNCTION("""COMPUTED_VALUE"""),"Clínica El Ávila")</f>
        <v>Clínica El Ávila</v>
      </c>
    </row>
    <row r="3770">
      <c r="A3770" s="42" t="s">
        <v>3415</v>
      </c>
    </row>
    <row r="3771">
      <c r="A3771" s="42" t="s">
        <v>3415</v>
      </c>
    </row>
    <row r="3772">
      <c r="A3772" s="42" t="s">
        <v>3415</v>
      </c>
    </row>
    <row r="3773">
      <c r="A3773" s="42" t="s">
        <v>3415</v>
      </c>
    </row>
    <row r="3774">
      <c r="A3774" s="42" t="s">
        <v>3415</v>
      </c>
    </row>
    <row r="3775">
      <c r="A3775" s="42" t="s">
        <v>3415</v>
      </c>
    </row>
    <row r="3776">
      <c r="A3776" s="42" t="s">
        <v>3415</v>
      </c>
    </row>
    <row r="3777">
      <c r="A3777" s="42" t="s">
        <v>3415</v>
      </c>
    </row>
    <row r="3778">
      <c r="A3778" s="42" t="s">
        <v>3415</v>
      </c>
    </row>
    <row r="3779">
      <c r="A3779" s="42" t="s">
        <v>3415</v>
      </c>
    </row>
    <row r="3780">
      <c r="A3780" s="42" t="s">
        <v>3415</v>
      </c>
    </row>
    <row r="3781">
      <c r="A3781" s="42" t="s">
        <v>3415</v>
      </c>
    </row>
    <row r="3782">
      <c r="A3782" s="42" t="s">
        <v>3415</v>
      </c>
    </row>
    <row r="3783">
      <c r="A3783" s="42" t="s">
        <v>3415</v>
      </c>
    </row>
    <row r="3784">
      <c r="A3784" s="42" t="s">
        <v>3415</v>
      </c>
    </row>
    <row r="3785">
      <c r="A3785" s="42" t="s">
        <v>3415</v>
      </c>
    </row>
    <row r="3786">
      <c r="A3786" s="42" t="s">
        <v>3415</v>
      </c>
    </row>
    <row r="3787">
      <c r="A3787" s="42" t="s">
        <v>3415</v>
      </c>
    </row>
    <row r="3788">
      <c r="A3788" s="42" t="s">
        <v>3415</v>
      </c>
    </row>
    <row r="3789">
      <c r="A3789" s="42" t="s">
        <v>3415</v>
      </c>
    </row>
    <row r="3790">
      <c r="A3790" s="42" t="s">
        <v>3415</v>
      </c>
    </row>
    <row r="3791">
      <c r="A3791" s="42" t="s">
        <v>3415</v>
      </c>
    </row>
    <row r="3792">
      <c r="A3792" s="42" t="s">
        <v>3415</v>
      </c>
    </row>
    <row r="3793">
      <c r="A3793" s="42" t="s">
        <v>3415</v>
      </c>
    </row>
    <row r="3794">
      <c r="A3794" s="42" t="s">
        <v>3415</v>
      </c>
    </row>
    <row r="3795">
      <c r="A3795" s="42" t="s">
        <v>3415</v>
      </c>
    </row>
    <row r="3796">
      <c r="A3796" s="42" t="s">
        <v>3415</v>
      </c>
    </row>
    <row r="3797">
      <c r="A3797" s="42" t="s">
        <v>3415</v>
      </c>
    </row>
    <row r="3798">
      <c r="A3798" s="42" t="s">
        <v>3415</v>
      </c>
    </row>
    <row r="3799">
      <c r="A3799" s="42" t="s">
        <v>3415</v>
      </c>
    </row>
    <row r="3800">
      <c r="A3800" s="42" t="s">
        <v>3415</v>
      </c>
    </row>
    <row r="3801">
      <c r="A3801" s="42" t="s">
        <v>3415</v>
      </c>
    </row>
    <row r="3802">
      <c r="A3802" s="42" t="s">
        <v>3415</v>
      </c>
    </row>
    <row r="3803">
      <c r="A3803" s="42" t="s">
        <v>3415</v>
      </c>
    </row>
    <row r="3804">
      <c r="A3804" s="42" t="s">
        <v>3415</v>
      </c>
    </row>
    <row r="3805">
      <c r="A3805" s="42" t="s">
        <v>3415</v>
      </c>
    </row>
    <row r="3806">
      <c r="A3806" s="42" t="s">
        <v>3415</v>
      </c>
    </row>
    <row r="3807">
      <c r="A3807" s="42" t="s">
        <v>3415</v>
      </c>
    </row>
    <row r="3808">
      <c r="A3808" s="42" t="s">
        <v>3415</v>
      </c>
    </row>
    <row r="3809">
      <c r="A3809" s="42" t="s">
        <v>3415</v>
      </c>
    </row>
    <row r="3810">
      <c r="A3810" s="42" t="s">
        <v>3415</v>
      </c>
    </row>
    <row r="3811">
      <c r="A3811" s="42" t="s">
        <v>3415</v>
      </c>
    </row>
    <row r="3812">
      <c r="A3812" s="42" t="s">
        <v>3415</v>
      </c>
    </row>
    <row r="3813">
      <c r="A3813" s="42" t="s">
        <v>3415</v>
      </c>
    </row>
    <row r="3814">
      <c r="A3814" s="42" t="s">
        <v>3415</v>
      </c>
    </row>
    <row r="3815">
      <c r="A3815" s="42" t="s">
        <v>3415</v>
      </c>
    </row>
    <row r="3816">
      <c r="A3816" s="42" t="s">
        <v>3415</v>
      </c>
    </row>
    <row r="3817">
      <c r="A3817" s="42" t="s">
        <v>3415</v>
      </c>
    </row>
    <row r="3818">
      <c r="A3818" s="42" t="s">
        <v>3415</v>
      </c>
    </row>
    <row r="3819">
      <c r="A3819" s="42" t="s">
        <v>3415</v>
      </c>
    </row>
    <row r="3820">
      <c r="A3820" s="42" t="s">
        <v>3415</v>
      </c>
    </row>
    <row r="3821">
      <c r="A3821" s="42" t="s">
        <v>3415</v>
      </c>
    </row>
    <row r="3822">
      <c r="A3822" s="42" t="s">
        <v>3415</v>
      </c>
    </row>
    <row r="3823">
      <c r="A3823" s="42" t="s">
        <v>3415</v>
      </c>
    </row>
    <row r="3824">
      <c r="A3824" s="42" t="s">
        <v>3415</v>
      </c>
    </row>
    <row r="3825">
      <c r="A3825" s="42" t="s">
        <v>3415</v>
      </c>
    </row>
    <row r="3826">
      <c r="A3826" s="42" t="s">
        <v>3415</v>
      </c>
    </row>
    <row r="3827">
      <c r="A3827" s="42" t="s">
        <v>3415</v>
      </c>
    </row>
    <row r="3828">
      <c r="A3828" s="42" t="s">
        <v>3415</v>
      </c>
    </row>
    <row r="3829">
      <c r="A3829" s="42" t="s">
        <v>3415</v>
      </c>
    </row>
    <row r="3830">
      <c r="A3830" s="42" t="s">
        <v>3415</v>
      </c>
    </row>
    <row r="3831">
      <c r="A3831" s="42" t="s">
        <v>3415</v>
      </c>
    </row>
    <row r="3832">
      <c r="A3832" s="42" t="s">
        <v>3415</v>
      </c>
    </row>
    <row r="3833">
      <c r="A3833" s="42" t="s">
        <v>3415</v>
      </c>
    </row>
    <row r="3834">
      <c r="A3834" s="42" t="s">
        <v>3415</v>
      </c>
    </row>
    <row r="3835">
      <c r="A3835" s="42" t="s">
        <v>3415</v>
      </c>
    </row>
    <row r="3836">
      <c r="A3836" s="42" t="s">
        <v>3415</v>
      </c>
    </row>
    <row r="3837">
      <c r="A3837" s="42" t="s">
        <v>3415</v>
      </c>
    </row>
    <row r="3838">
      <c r="A3838" s="42" t="s">
        <v>3415</v>
      </c>
    </row>
    <row r="3839">
      <c r="A3839" s="42" t="s">
        <v>3415</v>
      </c>
    </row>
    <row r="3840">
      <c r="A3840" s="42" t="s">
        <v>3415</v>
      </c>
    </row>
    <row r="3841">
      <c r="A3841" s="42" t="s">
        <v>3415</v>
      </c>
    </row>
    <row r="3842">
      <c r="A3842" s="42" t="s">
        <v>3415</v>
      </c>
    </row>
    <row r="3843">
      <c r="A3843" s="42" t="s">
        <v>3415</v>
      </c>
    </row>
    <row r="3844">
      <c r="A3844" s="42" t="s">
        <v>3415</v>
      </c>
    </row>
    <row r="3845">
      <c r="A3845" s="42" t="s">
        <v>3415</v>
      </c>
    </row>
    <row r="3846">
      <c r="A3846" s="42" t="s">
        <v>3415</v>
      </c>
    </row>
    <row r="3847">
      <c r="A3847" s="42" t="s">
        <v>3415</v>
      </c>
    </row>
    <row r="3848">
      <c r="A3848" s="42" t="s">
        <v>3415</v>
      </c>
    </row>
    <row r="3849">
      <c r="A3849" s="42" t="s">
        <v>3415</v>
      </c>
    </row>
    <row r="3850">
      <c r="A3850" s="42" t="s">
        <v>3415</v>
      </c>
    </row>
    <row r="3851">
      <c r="A3851" s="42" t="s">
        <v>3415</v>
      </c>
    </row>
    <row r="3852">
      <c r="A3852" s="42" t="s">
        <v>3415</v>
      </c>
    </row>
    <row r="3853">
      <c r="A3853" s="42" t="s">
        <v>3415</v>
      </c>
    </row>
    <row r="3854">
      <c r="A3854" s="42" t="s">
        <v>3415</v>
      </c>
    </row>
    <row r="3855">
      <c r="A3855" s="42" t="s">
        <v>3415</v>
      </c>
    </row>
    <row r="3856">
      <c r="A3856" s="42" t="s">
        <v>3415</v>
      </c>
    </row>
    <row r="3857">
      <c r="A3857" s="42" t="s">
        <v>3415</v>
      </c>
    </row>
    <row r="3858">
      <c r="A3858" s="42" t="s">
        <v>3415</v>
      </c>
    </row>
    <row r="3859">
      <c r="A3859" s="42" t="s">
        <v>3415</v>
      </c>
    </row>
    <row r="3860">
      <c r="A3860" s="42" t="s">
        <v>3415</v>
      </c>
    </row>
    <row r="3861">
      <c r="A3861" s="42" t="s">
        <v>3415</v>
      </c>
    </row>
    <row r="3862">
      <c r="A3862" s="42" t="s">
        <v>3415</v>
      </c>
    </row>
    <row r="3863">
      <c r="A3863" s="42" t="s">
        <v>3415</v>
      </c>
    </row>
    <row r="3864">
      <c r="A3864" s="42" t="s">
        <v>3415</v>
      </c>
    </row>
    <row r="3865">
      <c r="A3865" s="42" t="s">
        <v>3415</v>
      </c>
    </row>
    <row r="3866">
      <c r="A3866" s="42" t="s">
        <v>3415</v>
      </c>
    </row>
    <row r="3867">
      <c r="A3867" s="42" t="s">
        <v>3415</v>
      </c>
    </row>
    <row r="3868">
      <c r="A3868" s="42" t="s">
        <v>3415</v>
      </c>
    </row>
    <row r="3869">
      <c r="A3869" s="42" t="s">
        <v>3415</v>
      </c>
    </row>
    <row r="3870">
      <c r="A3870" s="42" t="s">
        <v>3415</v>
      </c>
    </row>
    <row r="3871">
      <c r="A3871" s="42" t="s">
        <v>3415</v>
      </c>
    </row>
    <row r="3872">
      <c r="A3872" s="42" t="s">
        <v>3415</v>
      </c>
    </row>
    <row r="3873">
      <c r="A3873" s="42" t="s">
        <v>3415</v>
      </c>
    </row>
    <row r="3874">
      <c r="A3874" s="42" t="s">
        <v>3415</v>
      </c>
    </row>
    <row r="3875">
      <c r="A3875" s="42" t="s">
        <v>3415</v>
      </c>
    </row>
    <row r="3876">
      <c r="A3876" s="42" t="s">
        <v>3415</v>
      </c>
    </row>
    <row r="3877">
      <c r="A3877" s="42" t="s">
        <v>3415</v>
      </c>
    </row>
    <row r="3878">
      <c r="A3878" s="42" t="s">
        <v>3415</v>
      </c>
    </row>
    <row r="3879">
      <c r="A3879" s="42" t="s">
        <v>3415</v>
      </c>
    </row>
    <row r="3880">
      <c r="A3880" s="42" t="s">
        <v>3415</v>
      </c>
    </row>
    <row r="3881">
      <c r="A3881" s="42" t="s">
        <v>3415</v>
      </c>
    </row>
    <row r="3882">
      <c r="A3882" s="42" t="s">
        <v>3415</v>
      </c>
    </row>
    <row r="3883">
      <c r="A3883" s="42" t="s">
        <v>3415</v>
      </c>
    </row>
    <row r="3884">
      <c r="A3884" s="42" t="s">
        <v>3415</v>
      </c>
    </row>
    <row r="3885">
      <c r="A3885" s="42" t="s">
        <v>3415</v>
      </c>
    </row>
    <row r="3886">
      <c r="A3886" s="42" t="s">
        <v>3415</v>
      </c>
    </row>
    <row r="3887">
      <c r="A3887" s="42" t="s">
        <v>3415</v>
      </c>
    </row>
    <row r="3888">
      <c r="A3888" s="42" t="s">
        <v>3415</v>
      </c>
    </row>
    <row r="3889">
      <c r="A3889" s="42" t="s">
        <v>3415</v>
      </c>
    </row>
    <row r="3890">
      <c r="A3890" s="42" t="s">
        <v>3415</v>
      </c>
    </row>
    <row r="3891">
      <c r="A3891" s="42" t="s">
        <v>3415</v>
      </c>
    </row>
    <row r="3892">
      <c r="A3892" s="42" t="s">
        <v>3415</v>
      </c>
    </row>
    <row r="3893">
      <c r="A3893" s="42" t="s">
        <v>3415</v>
      </c>
    </row>
    <row r="3894">
      <c r="A3894" s="42" t="s">
        <v>3415</v>
      </c>
    </row>
    <row r="3895">
      <c r="A3895" s="42" t="s">
        <v>3415</v>
      </c>
    </row>
    <row r="3896">
      <c r="A3896" s="42" t="s">
        <v>3415</v>
      </c>
    </row>
    <row r="3897">
      <c r="A3897" s="42" t="s">
        <v>3415</v>
      </c>
    </row>
    <row r="3898">
      <c r="A3898" s="42" t="s">
        <v>3415</v>
      </c>
    </row>
    <row r="3899">
      <c r="A3899" s="42" t="s">
        <v>3415</v>
      </c>
    </row>
    <row r="3900">
      <c r="A3900" s="42" t="s">
        <v>3415</v>
      </c>
    </row>
    <row r="3901">
      <c r="A3901" s="42" t="s">
        <v>3415</v>
      </c>
    </row>
    <row r="3902">
      <c r="A3902" s="42" t="s">
        <v>3415</v>
      </c>
    </row>
    <row r="3903">
      <c r="A3903" s="42" t="s">
        <v>3415</v>
      </c>
    </row>
    <row r="3904">
      <c r="A3904" s="42" t="s">
        <v>3415</v>
      </c>
    </row>
    <row r="3905">
      <c r="A3905" s="42" t="s">
        <v>3415</v>
      </c>
    </row>
    <row r="3906">
      <c r="A3906" s="42" t="s">
        <v>3415</v>
      </c>
    </row>
    <row r="3907">
      <c r="A3907" s="42" t="s">
        <v>3415</v>
      </c>
    </row>
    <row r="3908">
      <c r="A3908" s="42" t="s">
        <v>3415</v>
      </c>
    </row>
    <row r="3909">
      <c r="A3909" s="42" t="s">
        <v>3415</v>
      </c>
    </row>
    <row r="3910">
      <c r="A3910" s="42" t="s">
        <v>3415</v>
      </c>
    </row>
    <row r="3911">
      <c r="A3911" s="42" t="s">
        <v>3415</v>
      </c>
    </row>
    <row r="3912">
      <c r="A3912" s="42" t="s">
        <v>3415</v>
      </c>
    </row>
    <row r="3913">
      <c r="A3913" s="42" t="s">
        <v>3415</v>
      </c>
    </row>
    <row r="3914">
      <c r="A3914" s="42" t="s">
        <v>3415</v>
      </c>
    </row>
    <row r="3915">
      <c r="A3915" s="42" t="s">
        <v>3415</v>
      </c>
    </row>
    <row r="3916">
      <c r="A3916" s="42" t="s">
        <v>3415</v>
      </c>
    </row>
    <row r="3917">
      <c r="A3917" s="42" t="s">
        <v>3415</v>
      </c>
    </row>
    <row r="3918">
      <c r="A3918" s="42" t="s">
        <v>3415</v>
      </c>
    </row>
    <row r="3919">
      <c r="A3919" s="42" t="s">
        <v>3415</v>
      </c>
    </row>
    <row r="3920">
      <c r="A3920" s="42" t="s">
        <v>3415</v>
      </c>
    </row>
    <row r="3921">
      <c r="A3921" s="42" t="s">
        <v>3415</v>
      </c>
    </row>
    <row r="3922">
      <c r="A3922" s="42" t="s">
        <v>3415</v>
      </c>
    </row>
    <row r="3923">
      <c r="A3923" s="42" t="s">
        <v>3415</v>
      </c>
    </row>
    <row r="3924">
      <c r="A3924" s="42" t="s">
        <v>3415</v>
      </c>
    </row>
    <row r="3925">
      <c r="A3925" s="42" t="s">
        <v>3415</v>
      </c>
    </row>
    <row r="3926">
      <c r="A3926" s="42" t="s">
        <v>3415</v>
      </c>
    </row>
    <row r="3927">
      <c r="A3927" s="42" t="s">
        <v>3415</v>
      </c>
    </row>
    <row r="3928">
      <c r="A3928" s="42" t="s">
        <v>3415</v>
      </c>
    </row>
    <row r="3929">
      <c r="A3929" s="42" t="s">
        <v>3415</v>
      </c>
    </row>
    <row r="3930">
      <c r="A3930" s="42" t="s">
        <v>3415</v>
      </c>
    </row>
    <row r="3931">
      <c r="A3931" s="42" t="s">
        <v>3415</v>
      </c>
    </row>
    <row r="3932">
      <c r="A3932" s="42" t="s">
        <v>3415</v>
      </c>
    </row>
    <row r="3933">
      <c r="A3933" s="42" t="s">
        <v>3415</v>
      </c>
    </row>
    <row r="3934">
      <c r="A3934" s="42" t="s">
        <v>3415</v>
      </c>
    </row>
    <row r="3935">
      <c r="A3935" s="42" t="s">
        <v>3415</v>
      </c>
    </row>
    <row r="3936">
      <c r="A3936" s="42" t="s">
        <v>3415</v>
      </c>
    </row>
    <row r="3937">
      <c r="A3937" s="42" t="s">
        <v>3415</v>
      </c>
    </row>
    <row r="3938">
      <c r="A3938" s="42" t="s">
        <v>3415</v>
      </c>
    </row>
    <row r="3939">
      <c r="A3939" s="42" t="s">
        <v>3415</v>
      </c>
    </row>
    <row r="3940">
      <c r="A3940" s="42" t="s">
        <v>3415</v>
      </c>
    </row>
    <row r="3941">
      <c r="A3941" s="42" t="s">
        <v>3415</v>
      </c>
    </row>
    <row r="3942">
      <c r="A3942" s="42" t="s">
        <v>3415</v>
      </c>
    </row>
    <row r="3943">
      <c r="A3943" s="42" t="s">
        <v>3415</v>
      </c>
    </row>
    <row r="3944">
      <c r="A3944" s="42" t="s">
        <v>3415</v>
      </c>
    </row>
    <row r="3945">
      <c r="A3945" s="42" t="s">
        <v>3415</v>
      </c>
    </row>
    <row r="3946">
      <c r="A3946" s="42" t="s">
        <v>3415</v>
      </c>
    </row>
    <row r="3947">
      <c r="A3947" s="42" t="s">
        <v>3415</v>
      </c>
    </row>
    <row r="3948">
      <c r="A3948" s="42" t="s">
        <v>3415</v>
      </c>
    </row>
    <row r="3949">
      <c r="A3949" s="42" t="s">
        <v>3415</v>
      </c>
    </row>
    <row r="3950">
      <c r="A3950" s="42" t="s">
        <v>3415</v>
      </c>
    </row>
    <row r="3951">
      <c r="A3951" s="42" t="s">
        <v>3415</v>
      </c>
    </row>
    <row r="3952">
      <c r="A3952" s="42" t="s">
        <v>3415</v>
      </c>
    </row>
    <row r="3953">
      <c r="A3953" s="42" t="s">
        <v>3415</v>
      </c>
    </row>
    <row r="3954">
      <c r="A3954" s="42" t="s">
        <v>3415</v>
      </c>
    </row>
    <row r="3955">
      <c r="A3955" s="42" t="s">
        <v>3415</v>
      </c>
    </row>
    <row r="3956">
      <c r="A3956" s="42" t="s">
        <v>3415</v>
      </c>
    </row>
    <row r="3957">
      <c r="A3957" s="42" t="s">
        <v>3415</v>
      </c>
    </row>
    <row r="3958">
      <c r="A3958" s="42" t="s">
        <v>3415</v>
      </c>
    </row>
    <row r="3959">
      <c r="A3959" s="42" t="s">
        <v>3415</v>
      </c>
    </row>
    <row r="3960">
      <c r="A3960" s="42" t="s">
        <v>3415</v>
      </c>
    </row>
    <row r="3961">
      <c r="A3961" s="42" t="s">
        <v>3415</v>
      </c>
    </row>
    <row r="3962">
      <c r="A3962" s="42" t="s">
        <v>3415</v>
      </c>
    </row>
    <row r="3963">
      <c r="A3963" s="42" t="s">
        <v>3415</v>
      </c>
    </row>
    <row r="3964">
      <c r="A3964" s="42" t="s">
        <v>3415</v>
      </c>
    </row>
    <row r="3965">
      <c r="A3965" s="42" t="s">
        <v>3415</v>
      </c>
    </row>
    <row r="3966">
      <c r="A3966" s="42" t="s">
        <v>3415</v>
      </c>
    </row>
    <row r="3967">
      <c r="A3967" s="42" t="s">
        <v>3415</v>
      </c>
    </row>
    <row r="3968">
      <c r="A3968" s="42" t="s">
        <v>3415</v>
      </c>
    </row>
    <row r="3969">
      <c r="A3969" s="42" t="s">
        <v>3415</v>
      </c>
    </row>
    <row r="3970">
      <c r="A3970" s="42" t="s">
        <v>3415</v>
      </c>
    </row>
    <row r="3971">
      <c r="A3971" s="42" t="s">
        <v>3415</v>
      </c>
    </row>
    <row r="3972">
      <c r="A3972" s="42" t="s">
        <v>3415</v>
      </c>
    </row>
    <row r="3973">
      <c r="A3973" s="42" t="s">
        <v>3415</v>
      </c>
    </row>
    <row r="3974">
      <c r="A3974" s="42" t="s">
        <v>3415</v>
      </c>
    </row>
    <row r="3975">
      <c r="A3975" s="42" t="s">
        <v>3415</v>
      </c>
    </row>
    <row r="3976">
      <c r="A3976" s="42" t="s">
        <v>3415</v>
      </c>
    </row>
    <row r="3977">
      <c r="A3977" s="42" t="s">
        <v>3415</v>
      </c>
    </row>
    <row r="3978">
      <c r="A3978" s="42" t="s">
        <v>3415</v>
      </c>
    </row>
    <row r="3979">
      <c r="A3979" s="42" t="s">
        <v>3415</v>
      </c>
    </row>
    <row r="3980">
      <c r="A3980" s="42" t="s">
        <v>3415</v>
      </c>
    </row>
    <row r="3981">
      <c r="A3981" s="42" t="s">
        <v>3415</v>
      </c>
    </row>
    <row r="3982">
      <c r="A3982" s="42" t="s">
        <v>3415</v>
      </c>
    </row>
    <row r="3983">
      <c r="A3983" s="42" t="s">
        <v>3415</v>
      </c>
    </row>
    <row r="3984">
      <c r="A3984" s="42" t="s">
        <v>3415</v>
      </c>
    </row>
    <row r="3985">
      <c r="A3985" s="42" t="s">
        <v>3415</v>
      </c>
    </row>
    <row r="3986">
      <c r="A3986" s="42" t="s">
        <v>3415</v>
      </c>
    </row>
    <row r="3987">
      <c r="A3987" s="42" t="s">
        <v>3415</v>
      </c>
    </row>
    <row r="3988">
      <c r="A3988" s="42" t="s">
        <v>3415</v>
      </c>
    </row>
    <row r="3989">
      <c r="A3989" s="42" t="s">
        <v>3415</v>
      </c>
    </row>
    <row r="3990">
      <c r="A3990" s="42" t="s">
        <v>3415</v>
      </c>
    </row>
    <row r="3991">
      <c r="A3991" s="42" t="s">
        <v>3415</v>
      </c>
    </row>
    <row r="3992">
      <c r="A3992" s="42" t="s">
        <v>3415</v>
      </c>
    </row>
    <row r="3993">
      <c r="A3993" s="42" t="s">
        <v>3415</v>
      </c>
    </row>
    <row r="3994">
      <c r="A3994" s="42" t="s">
        <v>3415</v>
      </c>
    </row>
    <row r="3995">
      <c r="A3995" s="42" t="s">
        <v>3415</v>
      </c>
    </row>
    <row r="3996">
      <c r="A3996" s="42" t="s">
        <v>3415</v>
      </c>
    </row>
    <row r="3997">
      <c r="A3997" s="42" t="s">
        <v>3415</v>
      </c>
    </row>
    <row r="3998">
      <c r="A3998" s="42" t="s">
        <v>3415</v>
      </c>
    </row>
    <row r="3999">
      <c r="A3999" s="42" t="s">
        <v>3415</v>
      </c>
    </row>
    <row r="4000">
      <c r="A4000" s="42" t="s">
        <v>3415</v>
      </c>
    </row>
    <row r="4001">
      <c r="A4001" s="42" t="s">
        <v>3415</v>
      </c>
    </row>
    <row r="4002">
      <c r="A4002" s="42" t="s">
        <v>3415</v>
      </c>
    </row>
    <row r="4003">
      <c r="A4003" s="42" t="s">
        <v>3415</v>
      </c>
    </row>
    <row r="4004">
      <c r="A4004" s="42" t="s">
        <v>3415</v>
      </c>
    </row>
    <row r="4005">
      <c r="A4005" s="42" t="s">
        <v>3415</v>
      </c>
    </row>
    <row r="4006">
      <c r="A4006" s="42" t="s">
        <v>3415</v>
      </c>
    </row>
    <row r="4007">
      <c r="A4007" s="42" t="s">
        <v>3415</v>
      </c>
    </row>
    <row r="4008">
      <c r="A4008" s="42" t="s">
        <v>3415</v>
      </c>
    </row>
    <row r="4009">
      <c r="A4009" s="42" t="s">
        <v>3415</v>
      </c>
    </row>
    <row r="4010">
      <c r="A4010" s="42" t="s">
        <v>3415</v>
      </c>
    </row>
    <row r="4011">
      <c r="A4011" s="42" t="s">
        <v>3415</v>
      </c>
    </row>
    <row r="4012">
      <c r="A4012" s="42" t="s">
        <v>3415</v>
      </c>
    </row>
    <row r="4013">
      <c r="A4013" s="42" t="s">
        <v>3415</v>
      </c>
    </row>
    <row r="4014">
      <c r="A4014" s="42" t="s">
        <v>3415</v>
      </c>
    </row>
    <row r="4015">
      <c r="A4015" s="42" t="s">
        <v>3415</v>
      </c>
    </row>
    <row r="4016">
      <c r="A4016" s="42" t="s">
        <v>3415</v>
      </c>
    </row>
    <row r="4017">
      <c r="A4017" s="42" t="s">
        <v>3415</v>
      </c>
    </row>
    <row r="4018">
      <c r="A4018" s="42" t="s">
        <v>3415</v>
      </c>
    </row>
    <row r="4019">
      <c r="A4019" s="42" t="s">
        <v>3415</v>
      </c>
    </row>
    <row r="4020">
      <c r="A4020" s="42" t="s">
        <v>3415</v>
      </c>
    </row>
    <row r="4021">
      <c r="A4021" s="42" t="s">
        <v>3415</v>
      </c>
    </row>
    <row r="4022">
      <c r="A4022" s="42" t="s">
        <v>3415</v>
      </c>
    </row>
    <row r="4023">
      <c r="A4023" s="42" t="s">
        <v>3415</v>
      </c>
    </row>
    <row r="4024">
      <c r="A4024" s="42" t="s">
        <v>3415</v>
      </c>
    </row>
    <row r="4025">
      <c r="A4025" s="42" t="s">
        <v>3415</v>
      </c>
    </row>
    <row r="4026">
      <c r="A4026" s="42" t="s">
        <v>3415</v>
      </c>
    </row>
    <row r="4027">
      <c r="A4027" s="42" t="s">
        <v>3415</v>
      </c>
    </row>
    <row r="4028">
      <c r="A4028" s="42" t="s">
        <v>3415</v>
      </c>
    </row>
    <row r="4029">
      <c r="A4029" s="42" t="s">
        <v>3415</v>
      </c>
    </row>
    <row r="4030">
      <c r="A4030" s="42" t="s">
        <v>3415</v>
      </c>
    </row>
    <row r="4031">
      <c r="A4031" s="42" t="s">
        <v>3415</v>
      </c>
    </row>
    <row r="4032">
      <c r="A4032" s="42" t="s">
        <v>3415</v>
      </c>
    </row>
    <row r="4033">
      <c r="A4033" s="42" t="s">
        <v>3415</v>
      </c>
    </row>
    <row r="4034">
      <c r="A4034" s="42" t="s">
        <v>3415</v>
      </c>
    </row>
    <row r="4035">
      <c r="A4035" s="42" t="s">
        <v>3415</v>
      </c>
    </row>
    <row r="4036">
      <c r="A4036" s="42" t="s">
        <v>3415</v>
      </c>
    </row>
    <row r="4037">
      <c r="A4037" s="42" t="s">
        <v>3415</v>
      </c>
    </row>
    <row r="4038">
      <c r="A4038" s="42" t="s">
        <v>3415</v>
      </c>
    </row>
    <row r="4039">
      <c r="A4039" s="42" t="s">
        <v>3415</v>
      </c>
    </row>
    <row r="4040">
      <c r="A4040" s="42" t="s">
        <v>3415</v>
      </c>
    </row>
    <row r="4041">
      <c r="A4041" s="42" t="s">
        <v>3415</v>
      </c>
    </row>
    <row r="4042">
      <c r="A4042" s="42" t="s">
        <v>3415</v>
      </c>
    </row>
    <row r="4043">
      <c r="A4043" s="42" t="s">
        <v>3415</v>
      </c>
    </row>
    <row r="4044">
      <c r="A4044" s="42" t="s">
        <v>3415</v>
      </c>
    </row>
    <row r="4045">
      <c r="A4045" s="42" t="s">
        <v>3415</v>
      </c>
    </row>
    <row r="4046">
      <c r="A4046" s="42" t="s">
        <v>3415</v>
      </c>
    </row>
    <row r="4047">
      <c r="A4047" s="42" t="s">
        <v>3415</v>
      </c>
    </row>
    <row r="4048">
      <c r="A4048" s="42" t="s">
        <v>3415</v>
      </c>
    </row>
    <row r="4049">
      <c r="A4049" s="42" t="s">
        <v>3415</v>
      </c>
    </row>
    <row r="4050">
      <c r="A4050" s="42" t="s">
        <v>3415</v>
      </c>
    </row>
    <row r="4051">
      <c r="A4051" s="42" t="s">
        <v>3415</v>
      </c>
    </row>
    <row r="4052">
      <c r="A4052" s="42" t="s">
        <v>3415</v>
      </c>
    </row>
    <row r="4053">
      <c r="A4053" s="42" t="s">
        <v>3415</v>
      </c>
    </row>
    <row r="4054">
      <c r="A4054" s="42" t="s">
        <v>3415</v>
      </c>
    </row>
    <row r="4055">
      <c r="A4055" s="42" t="s">
        <v>3415</v>
      </c>
    </row>
    <row r="4056">
      <c r="A4056" s="42" t="s">
        <v>3415</v>
      </c>
    </row>
    <row r="4057">
      <c r="A4057" s="42" t="s">
        <v>3415</v>
      </c>
    </row>
    <row r="4058">
      <c r="A4058" s="42" t="s">
        <v>3415</v>
      </c>
    </row>
    <row r="4059">
      <c r="A4059" s="42" t="s">
        <v>3415</v>
      </c>
    </row>
    <row r="4060">
      <c r="A4060" s="42" t="s">
        <v>3415</v>
      </c>
    </row>
    <row r="4061">
      <c r="A4061" s="42" t="s">
        <v>3415</v>
      </c>
    </row>
    <row r="4062">
      <c r="A4062" s="42" t="s">
        <v>3415</v>
      </c>
    </row>
    <row r="4063">
      <c r="A4063" s="42" t="s">
        <v>3415</v>
      </c>
    </row>
    <row r="4064">
      <c r="A4064" s="42" t="s">
        <v>3415</v>
      </c>
    </row>
    <row r="4065">
      <c r="A4065" s="42" t="s">
        <v>3415</v>
      </c>
    </row>
    <row r="4066">
      <c r="A4066" s="42" t="s">
        <v>3415</v>
      </c>
    </row>
    <row r="4067">
      <c r="A4067" s="42" t="s">
        <v>3415</v>
      </c>
    </row>
    <row r="4068">
      <c r="A4068" s="42" t="s">
        <v>3415</v>
      </c>
    </row>
    <row r="4069">
      <c r="A4069" s="42" t="s">
        <v>3415</v>
      </c>
    </row>
    <row r="4070">
      <c r="A4070" s="42" t="s">
        <v>3415</v>
      </c>
    </row>
    <row r="4071">
      <c r="A4071" s="42" t="s">
        <v>3415</v>
      </c>
    </row>
    <row r="4072">
      <c r="A4072" s="42" t="s">
        <v>3415</v>
      </c>
    </row>
    <row r="4073">
      <c r="A4073" s="42" t="s">
        <v>3415</v>
      </c>
    </row>
    <row r="4074">
      <c r="A4074" s="42" t="s">
        <v>3415</v>
      </c>
    </row>
    <row r="4075">
      <c r="A4075" s="42" t="s">
        <v>3415</v>
      </c>
    </row>
    <row r="4076">
      <c r="A4076" s="42" t="s">
        <v>3415</v>
      </c>
    </row>
    <row r="4077">
      <c r="A4077" s="42" t="s">
        <v>3415</v>
      </c>
    </row>
    <row r="4078">
      <c r="A4078" s="42" t="s">
        <v>3415</v>
      </c>
    </row>
    <row r="4079">
      <c r="A4079" s="42" t="s">
        <v>3415</v>
      </c>
    </row>
    <row r="4080">
      <c r="A4080" s="42" t="s">
        <v>3415</v>
      </c>
    </row>
    <row r="4081">
      <c r="A4081" s="42" t="s">
        <v>3415</v>
      </c>
    </row>
    <row r="4082">
      <c r="A4082" s="42" t="s">
        <v>3415</v>
      </c>
    </row>
    <row r="4083">
      <c r="A4083" s="42" t="s">
        <v>3415</v>
      </c>
    </row>
    <row r="4084">
      <c r="A4084" s="42" t="s">
        <v>3415</v>
      </c>
    </row>
    <row r="4085">
      <c r="A4085" s="42" t="s">
        <v>3415</v>
      </c>
    </row>
    <row r="4086">
      <c r="A4086" s="42" t="s">
        <v>3415</v>
      </c>
    </row>
    <row r="4087">
      <c r="A4087" s="42" t="s">
        <v>3415</v>
      </c>
    </row>
    <row r="4088">
      <c r="A4088" s="42" t="s">
        <v>3415</v>
      </c>
    </row>
    <row r="4089">
      <c r="A4089" s="42" t="s">
        <v>3415</v>
      </c>
    </row>
    <row r="4090">
      <c r="A4090" s="42" t="s">
        <v>3415</v>
      </c>
    </row>
    <row r="4091">
      <c r="A4091" s="42" t="s">
        <v>3415</v>
      </c>
    </row>
    <row r="4092">
      <c r="A4092" s="42" t="s">
        <v>3415</v>
      </c>
    </row>
    <row r="4093">
      <c r="A4093" s="42" t="s">
        <v>3415</v>
      </c>
    </row>
    <row r="4094">
      <c r="A4094" s="42" t="s">
        <v>3415</v>
      </c>
    </row>
    <row r="4095">
      <c r="A4095" s="42" t="s">
        <v>3415</v>
      </c>
    </row>
    <row r="4096">
      <c r="A4096" s="42" t="s">
        <v>3415</v>
      </c>
    </row>
    <row r="4097">
      <c r="A4097" s="42" t="s">
        <v>3415</v>
      </c>
    </row>
    <row r="4098">
      <c r="A4098" s="42" t="s">
        <v>3415</v>
      </c>
    </row>
    <row r="4099">
      <c r="A4099" s="42" t="s">
        <v>3415</v>
      </c>
    </row>
    <row r="4100">
      <c r="A4100" s="42" t="s">
        <v>3415</v>
      </c>
    </row>
    <row r="4101">
      <c r="A4101" s="42" t="s">
        <v>3415</v>
      </c>
    </row>
    <row r="4102">
      <c r="A4102" s="42" t="s">
        <v>3415</v>
      </c>
    </row>
    <row r="4103">
      <c r="A4103" s="42" t="s">
        <v>3415</v>
      </c>
    </row>
    <row r="4104">
      <c r="A4104" s="42" t="s">
        <v>3415</v>
      </c>
    </row>
    <row r="4105">
      <c r="A4105" s="42" t="s">
        <v>3415</v>
      </c>
    </row>
    <row r="4106">
      <c r="A4106" s="42" t="s">
        <v>3415</v>
      </c>
    </row>
    <row r="4107">
      <c r="A4107" s="42" t="s">
        <v>3415</v>
      </c>
    </row>
    <row r="4108">
      <c r="A4108" s="42" t="s">
        <v>3415</v>
      </c>
    </row>
    <row r="4109">
      <c r="A4109" s="42" t="s">
        <v>3415</v>
      </c>
    </row>
    <row r="4110">
      <c r="A4110" s="42" t="s">
        <v>3415</v>
      </c>
    </row>
    <row r="4111">
      <c r="A4111" s="42" t="s">
        <v>3415</v>
      </c>
    </row>
    <row r="4112">
      <c r="A4112" s="42" t="s">
        <v>3415</v>
      </c>
    </row>
    <row r="4113">
      <c r="A4113" s="42" t="s">
        <v>3415</v>
      </c>
    </row>
    <row r="4114">
      <c r="A4114" s="42" t="s">
        <v>3415</v>
      </c>
    </row>
    <row r="4115">
      <c r="A4115" s="42" t="s">
        <v>3415</v>
      </c>
    </row>
    <row r="4116">
      <c r="A4116" s="42" t="s">
        <v>3415</v>
      </c>
    </row>
    <row r="4117">
      <c r="A4117" s="42" t="s">
        <v>3415</v>
      </c>
    </row>
    <row r="4118">
      <c r="A4118" s="42" t="s">
        <v>3415</v>
      </c>
    </row>
    <row r="4119">
      <c r="A4119" s="42" t="s">
        <v>3415</v>
      </c>
    </row>
    <row r="4120">
      <c r="A4120" s="42" t="s">
        <v>3415</v>
      </c>
    </row>
    <row r="4121">
      <c r="A4121" s="42" t="s">
        <v>3415</v>
      </c>
    </row>
    <row r="4122">
      <c r="A4122" s="42" t="s">
        <v>3415</v>
      </c>
    </row>
    <row r="4123">
      <c r="A4123" s="42" t="s">
        <v>3415</v>
      </c>
    </row>
    <row r="4124">
      <c r="A4124" s="42" t="s">
        <v>3415</v>
      </c>
    </row>
    <row r="4125">
      <c r="A4125" s="42" t="s">
        <v>3415</v>
      </c>
    </row>
    <row r="4126">
      <c r="A4126" s="42" t="s">
        <v>3415</v>
      </c>
    </row>
    <row r="4127">
      <c r="A4127" s="42" t="s">
        <v>3415</v>
      </c>
    </row>
    <row r="4128">
      <c r="A4128" s="42" t="s">
        <v>3415</v>
      </c>
    </row>
    <row r="4129">
      <c r="A4129" s="42" t="s">
        <v>3415</v>
      </c>
    </row>
    <row r="4130">
      <c r="A4130" s="42" t="s">
        <v>3415</v>
      </c>
    </row>
    <row r="4131">
      <c r="A4131" s="42" t="s">
        <v>3415</v>
      </c>
    </row>
    <row r="4132">
      <c r="A4132" s="42" t="s">
        <v>3415</v>
      </c>
    </row>
    <row r="4133">
      <c r="A4133" s="42" t="s">
        <v>3415</v>
      </c>
    </row>
    <row r="4134">
      <c r="A4134" s="42" t="s">
        <v>3415</v>
      </c>
    </row>
    <row r="4135">
      <c r="A4135" s="42" t="s">
        <v>3415</v>
      </c>
    </row>
    <row r="4136">
      <c r="A4136" s="42" t="s">
        <v>3415</v>
      </c>
    </row>
    <row r="4137">
      <c r="A4137" s="42" t="s">
        <v>3415</v>
      </c>
    </row>
    <row r="4138">
      <c r="A4138" s="42" t="s">
        <v>3415</v>
      </c>
    </row>
    <row r="4139">
      <c r="A4139" s="42" t="s">
        <v>3415</v>
      </c>
    </row>
    <row r="4140">
      <c r="A4140" s="42" t="s">
        <v>3415</v>
      </c>
    </row>
    <row r="4141">
      <c r="A4141" s="42" t="s">
        <v>3415</v>
      </c>
    </row>
    <row r="4142">
      <c r="A4142" s="42" t="s">
        <v>3415</v>
      </c>
    </row>
    <row r="4143">
      <c r="A4143" s="42" t="s">
        <v>3415</v>
      </c>
    </row>
    <row r="4144">
      <c r="A4144" s="42" t="s">
        <v>3415</v>
      </c>
    </row>
    <row r="4145">
      <c r="A4145" s="42" t="s">
        <v>3415</v>
      </c>
    </row>
    <row r="4146">
      <c r="A4146" s="42" t="s">
        <v>3415</v>
      </c>
    </row>
    <row r="4147">
      <c r="A4147" s="42" t="s">
        <v>3415</v>
      </c>
    </row>
    <row r="4148">
      <c r="A4148" s="42" t="s">
        <v>3415</v>
      </c>
    </row>
    <row r="4149">
      <c r="A4149" s="42" t="s">
        <v>3415</v>
      </c>
    </row>
    <row r="4150">
      <c r="A4150" s="42" t="s">
        <v>3415</v>
      </c>
    </row>
    <row r="4151">
      <c r="A4151" s="42" t="s">
        <v>3415</v>
      </c>
    </row>
    <row r="4152">
      <c r="A4152" s="42" t="s">
        <v>3415</v>
      </c>
    </row>
    <row r="4153">
      <c r="A4153" s="42" t="s">
        <v>3415</v>
      </c>
    </row>
    <row r="4154">
      <c r="A4154" s="42" t="s">
        <v>3415</v>
      </c>
    </row>
    <row r="4155">
      <c r="A4155" s="42" t="s">
        <v>3415</v>
      </c>
    </row>
    <row r="4156">
      <c r="A4156" s="42" t="s">
        <v>3415</v>
      </c>
    </row>
    <row r="4157">
      <c r="A4157" s="42" t="s">
        <v>3415</v>
      </c>
    </row>
    <row r="4158">
      <c r="A4158" s="42" t="s">
        <v>3415</v>
      </c>
    </row>
    <row r="4159">
      <c r="A4159" s="42" t="s">
        <v>3415</v>
      </c>
    </row>
    <row r="4160">
      <c r="A4160" s="42" t="s">
        <v>3415</v>
      </c>
    </row>
    <row r="4161">
      <c r="A4161" s="42" t="s">
        <v>3415</v>
      </c>
    </row>
    <row r="4162">
      <c r="A4162" s="42" t="s">
        <v>3415</v>
      </c>
    </row>
    <row r="4163">
      <c r="A4163" s="42" t="s">
        <v>3415</v>
      </c>
    </row>
    <row r="4164">
      <c r="A4164" s="42" t="s">
        <v>3415</v>
      </c>
    </row>
    <row r="4165">
      <c r="A4165" s="42" t="s">
        <v>3415</v>
      </c>
    </row>
    <row r="4166">
      <c r="A4166" s="42" t="s">
        <v>3415</v>
      </c>
    </row>
    <row r="4167">
      <c r="A4167" s="42" t="s">
        <v>3415</v>
      </c>
    </row>
    <row r="4168">
      <c r="A4168" s="42" t="s">
        <v>3415</v>
      </c>
    </row>
    <row r="4169">
      <c r="A4169" s="42" t="s">
        <v>3415</v>
      </c>
    </row>
    <row r="4170">
      <c r="A4170" s="42" t="s">
        <v>3415</v>
      </c>
    </row>
    <row r="4171">
      <c r="A4171" s="42" t="s">
        <v>3415</v>
      </c>
    </row>
    <row r="4172">
      <c r="A4172" s="42" t="s">
        <v>3415</v>
      </c>
    </row>
    <row r="4173">
      <c r="A4173" s="42" t="s">
        <v>3415</v>
      </c>
    </row>
    <row r="4174">
      <c r="A4174" s="42" t="s">
        <v>3415</v>
      </c>
    </row>
    <row r="4175">
      <c r="A4175" s="42" t="s">
        <v>3415</v>
      </c>
    </row>
    <row r="4176">
      <c r="A4176" s="42" t="s">
        <v>3415</v>
      </c>
    </row>
    <row r="4177">
      <c r="A4177" s="42" t="s">
        <v>3415</v>
      </c>
    </row>
    <row r="4178">
      <c r="A4178" s="42" t="s">
        <v>3415</v>
      </c>
    </row>
    <row r="4179">
      <c r="A4179" s="42" t="s">
        <v>3415</v>
      </c>
    </row>
    <row r="4180">
      <c r="A4180" s="42" t="s">
        <v>3415</v>
      </c>
    </row>
    <row r="4181">
      <c r="A4181" s="42" t="s">
        <v>3415</v>
      </c>
    </row>
    <row r="4182">
      <c r="A4182" s="42" t="s">
        <v>3415</v>
      </c>
    </row>
    <row r="4183">
      <c r="A4183" s="42" t="s">
        <v>3415</v>
      </c>
    </row>
    <row r="4184">
      <c r="A4184" s="42" t="s">
        <v>3415</v>
      </c>
    </row>
    <row r="4185">
      <c r="A4185" s="42" t="s">
        <v>3415</v>
      </c>
    </row>
    <row r="4186">
      <c r="A4186" s="42" t="s">
        <v>3415</v>
      </c>
    </row>
    <row r="4187">
      <c r="A4187" s="42" t="s">
        <v>3415</v>
      </c>
    </row>
    <row r="4188">
      <c r="A4188" s="42" t="s">
        <v>3415</v>
      </c>
    </row>
    <row r="4189">
      <c r="A4189" s="42" t="s">
        <v>3415</v>
      </c>
    </row>
    <row r="4190">
      <c r="A4190" s="42" t="s">
        <v>3415</v>
      </c>
    </row>
    <row r="4191">
      <c r="A4191" s="42" t="s">
        <v>3415</v>
      </c>
    </row>
    <row r="4192">
      <c r="A4192" s="42" t="s">
        <v>3415</v>
      </c>
    </row>
    <row r="4193">
      <c r="A4193" s="42" t="s">
        <v>3415</v>
      </c>
    </row>
    <row r="4194">
      <c r="A4194" s="42" t="s">
        <v>3415</v>
      </c>
    </row>
    <row r="4195">
      <c r="A4195" s="42" t="s">
        <v>3415</v>
      </c>
    </row>
    <row r="4196">
      <c r="A4196" s="42" t="s">
        <v>3415</v>
      </c>
    </row>
    <row r="4197">
      <c r="A4197" s="42" t="s">
        <v>3415</v>
      </c>
    </row>
    <row r="4198">
      <c r="A4198" s="42" t="s">
        <v>3415</v>
      </c>
    </row>
    <row r="4199">
      <c r="A4199" s="42" t="s">
        <v>3415</v>
      </c>
    </row>
    <row r="4200">
      <c r="A4200" s="42" t="s">
        <v>3415</v>
      </c>
    </row>
    <row r="4201">
      <c r="A4201" s="42" t="s">
        <v>3415</v>
      </c>
    </row>
    <row r="4202">
      <c r="A4202" s="42" t="s">
        <v>3415</v>
      </c>
    </row>
    <row r="4203">
      <c r="A4203" s="42" t="s">
        <v>3415</v>
      </c>
    </row>
    <row r="4204">
      <c r="A4204" s="42" t="s">
        <v>3415</v>
      </c>
    </row>
    <row r="4205">
      <c r="A4205" s="42" t="s">
        <v>3415</v>
      </c>
    </row>
    <row r="4206">
      <c r="A4206" s="42" t="s">
        <v>3415</v>
      </c>
    </row>
    <row r="4207">
      <c r="A4207" s="42" t="s">
        <v>3415</v>
      </c>
    </row>
    <row r="4208">
      <c r="A4208" s="42" t="s">
        <v>3415</v>
      </c>
    </row>
    <row r="4209">
      <c r="A4209" s="42" t="s">
        <v>3415</v>
      </c>
    </row>
    <row r="4210">
      <c r="A4210" s="42" t="s">
        <v>3415</v>
      </c>
    </row>
    <row r="4211">
      <c r="A4211" s="42" t="s">
        <v>3415</v>
      </c>
    </row>
    <row r="4212">
      <c r="A4212" s="42" t="s">
        <v>3415</v>
      </c>
    </row>
    <row r="4213">
      <c r="A4213" s="42" t="s">
        <v>3415</v>
      </c>
    </row>
    <row r="4214">
      <c r="A4214" s="42" t="s">
        <v>3415</v>
      </c>
    </row>
    <row r="4215">
      <c r="A4215" s="42" t="s">
        <v>3415</v>
      </c>
    </row>
    <row r="4216">
      <c r="A4216" s="42" t="s">
        <v>3415</v>
      </c>
    </row>
    <row r="4217">
      <c r="A4217" s="42" t="s">
        <v>3415</v>
      </c>
    </row>
    <row r="4218">
      <c r="A4218" s="42" t="s">
        <v>3415</v>
      </c>
    </row>
    <row r="4219">
      <c r="A4219" s="42" t="s">
        <v>3415</v>
      </c>
    </row>
    <row r="4220">
      <c r="A4220" s="42" t="s">
        <v>3415</v>
      </c>
    </row>
    <row r="4221">
      <c r="A4221" s="42" t="s">
        <v>3415</v>
      </c>
    </row>
    <row r="4222">
      <c r="A4222" s="42" t="s">
        <v>3415</v>
      </c>
    </row>
    <row r="4223">
      <c r="A4223" s="42" t="s">
        <v>3415</v>
      </c>
    </row>
    <row r="4224">
      <c r="A4224" s="42" t="s">
        <v>3415</v>
      </c>
    </row>
    <row r="4225">
      <c r="A4225" s="42" t="s">
        <v>3415</v>
      </c>
    </row>
    <row r="4226">
      <c r="A4226" s="42" t="s">
        <v>3415</v>
      </c>
    </row>
    <row r="4227">
      <c r="A4227" s="42" t="s">
        <v>3415</v>
      </c>
    </row>
    <row r="4228">
      <c r="A4228" s="42" t="s">
        <v>3415</v>
      </c>
    </row>
    <row r="4229">
      <c r="A4229" s="42" t="s">
        <v>3415</v>
      </c>
    </row>
    <row r="4230">
      <c r="A4230" s="42" t="s">
        <v>3415</v>
      </c>
    </row>
    <row r="4231">
      <c r="A4231" s="42" t="s">
        <v>3415</v>
      </c>
    </row>
    <row r="4232">
      <c r="A4232" s="42" t="s">
        <v>3415</v>
      </c>
    </row>
    <row r="4233">
      <c r="A4233" s="42" t="s">
        <v>3415</v>
      </c>
    </row>
    <row r="4234">
      <c r="A4234" s="42" t="s">
        <v>3415</v>
      </c>
    </row>
    <row r="4235">
      <c r="A4235" s="42" t="s">
        <v>3415</v>
      </c>
    </row>
    <row r="4236">
      <c r="A4236" s="42" t="s">
        <v>3415</v>
      </c>
    </row>
    <row r="4237">
      <c r="A4237" s="42" t="s">
        <v>3415</v>
      </c>
    </row>
    <row r="4238">
      <c r="A4238" s="42" t="s">
        <v>3415</v>
      </c>
    </row>
    <row r="4239">
      <c r="A4239" s="42" t="s">
        <v>3415</v>
      </c>
    </row>
    <row r="4240">
      <c r="A4240" s="42" t="s">
        <v>3415</v>
      </c>
    </row>
    <row r="4241">
      <c r="A4241" s="42" t="s">
        <v>3415</v>
      </c>
    </row>
    <row r="4242">
      <c r="A4242" s="42" t="s">
        <v>3415</v>
      </c>
    </row>
    <row r="4243">
      <c r="A4243" s="42" t="s">
        <v>3415</v>
      </c>
    </row>
    <row r="4244">
      <c r="A4244" s="42" t="s">
        <v>3415</v>
      </c>
    </row>
    <row r="4245">
      <c r="A4245" s="42" t="s">
        <v>3415</v>
      </c>
    </row>
    <row r="4246">
      <c r="A4246" s="42" t="s">
        <v>3415</v>
      </c>
    </row>
    <row r="4247">
      <c r="A4247" s="42" t="s">
        <v>3415</v>
      </c>
    </row>
    <row r="4248">
      <c r="A4248" s="42" t="s">
        <v>3415</v>
      </c>
    </row>
    <row r="4249">
      <c r="A4249" s="42" t="s">
        <v>3415</v>
      </c>
    </row>
    <row r="4250">
      <c r="A4250" s="42" t="s">
        <v>3415</v>
      </c>
    </row>
    <row r="4251">
      <c r="A4251" s="42" t="s">
        <v>3415</v>
      </c>
    </row>
    <row r="4252">
      <c r="A4252" s="42" t="s">
        <v>3415</v>
      </c>
    </row>
    <row r="4253">
      <c r="A4253" s="42" t="s">
        <v>3415</v>
      </c>
    </row>
    <row r="4254">
      <c r="A4254" s="42" t="s">
        <v>3415</v>
      </c>
    </row>
    <row r="4255">
      <c r="A4255" s="42" t="s">
        <v>3415</v>
      </c>
    </row>
    <row r="4256">
      <c r="A4256" s="42" t="s">
        <v>3415</v>
      </c>
    </row>
    <row r="4257">
      <c r="A4257" s="42" t="s">
        <v>3415</v>
      </c>
    </row>
    <row r="4258">
      <c r="A4258" s="42" t="s">
        <v>3415</v>
      </c>
    </row>
    <row r="4259">
      <c r="A4259" s="42" t="s">
        <v>3415</v>
      </c>
    </row>
    <row r="4260">
      <c r="A4260" s="42" t="s">
        <v>3415</v>
      </c>
    </row>
    <row r="4261">
      <c r="A4261" s="42" t="s">
        <v>3415</v>
      </c>
    </row>
    <row r="4262">
      <c r="A4262" s="42" t="s">
        <v>3415</v>
      </c>
    </row>
    <row r="4263">
      <c r="A4263" s="42" t="s">
        <v>3415</v>
      </c>
    </row>
    <row r="4264">
      <c r="A4264" s="42" t="s">
        <v>3415</v>
      </c>
    </row>
    <row r="4265">
      <c r="A4265" s="42" t="s">
        <v>3415</v>
      </c>
    </row>
    <row r="4266">
      <c r="A4266" s="42" t="s">
        <v>3415</v>
      </c>
    </row>
    <row r="4267">
      <c r="A4267" s="42" t="s">
        <v>3415</v>
      </c>
    </row>
    <row r="4268">
      <c r="A4268" s="42" t="s">
        <v>3415</v>
      </c>
    </row>
    <row r="4269">
      <c r="A4269" s="42" t="s">
        <v>3415</v>
      </c>
    </row>
    <row r="4270">
      <c r="A4270" s="42" t="s">
        <v>3415</v>
      </c>
    </row>
    <row r="4271">
      <c r="A4271" s="42" t="s">
        <v>3415</v>
      </c>
    </row>
    <row r="4272">
      <c r="A4272" s="42" t="s">
        <v>3415</v>
      </c>
    </row>
    <row r="4273">
      <c r="A4273" s="42" t="s">
        <v>3415</v>
      </c>
    </row>
    <row r="4274">
      <c r="A4274" s="42" t="s">
        <v>3415</v>
      </c>
    </row>
    <row r="4275">
      <c r="A4275" s="42" t="s">
        <v>3415</v>
      </c>
    </row>
    <row r="4276">
      <c r="A4276" s="42" t="s">
        <v>3415</v>
      </c>
    </row>
    <row r="4277">
      <c r="A4277" s="42" t="s">
        <v>3415</v>
      </c>
    </row>
    <row r="4278">
      <c r="A4278" s="42" t="s">
        <v>3415</v>
      </c>
    </row>
    <row r="4279">
      <c r="A4279" s="42" t="s">
        <v>3415</v>
      </c>
    </row>
    <row r="4280">
      <c r="A4280" s="42" t="s">
        <v>3415</v>
      </c>
    </row>
    <row r="4281">
      <c r="A4281" s="42" t="s">
        <v>3415</v>
      </c>
    </row>
    <row r="4282">
      <c r="A4282" s="42" t="s">
        <v>3415</v>
      </c>
    </row>
    <row r="4283">
      <c r="A4283" s="42" t="s">
        <v>3415</v>
      </c>
    </row>
    <row r="4284">
      <c r="A4284" s="42" t="s">
        <v>3415</v>
      </c>
    </row>
    <row r="4285">
      <c r="A4285" s="42" t="s">
        <v>3415</v>
      </c>
    </row>
    <row r="4286">
      <c r="A4286" s="42" t="s">
        <v>3415</v>
      </c>
    </row>
    <row r="4287">
      <c r="A4287" s="42" t="s">
        <v>3415</v>
      </c>
    </row>
    <row r="4288">
      <c r="A4288" s="42" t="s">
        <v>3415</v>
      </c>
    </row>
    <row r="4289">
      <c r="A4289" s="42" t="s">
        <v>3415</v>
      </c>
    </row>
    <row r="4290">
      <c r="A4290" s="42" t="s">
        <v>3415</v>
      </c>
    </row>
    <row r="4291">
      <c r="A4291" s="42" t="s">
        <v>3415</v>
      </c>
    </row>
    <row r="4292">
      <c r="A4292" s="42" t="s">
        <v>3415</v>
      </c>
    </row>
    <row r="4293">
      <c r="A4293" s="42" t="s">
        <v>3415</v>
      </c>
    </row>
    <row r="4294">
      <c r="A4294" s="42" t="s">
        <v>3415</v>
      </c>
    </row>
    <row r="4295">
      <c r="A4295" s="42" t="s">
        <v>3415</v>
      </c>
    </row>
    <row r="4296">
      <c r="A4296" s="42" t="s">
        <v>3415</v>
      </c>
    </row>
    <row r="4297">
      <c r="A4297" s="42" t="s">
        <v>3415</v>
      </c>
    </row>
    <row r="4298">
      <c r="A4298" s="42" t="s">
        <v>3415</v>
      </c>
    </row>
    <row r="4299">
      <c r="A4299" s="42" t="s">
        <v>3415</v>
      </c>
    </row>
    <row r="4300">
      <c r="A4300" s="42" t="s">
        <v>3415</v>
      </c>
    </row>
    <row r="4301">
      <c r="A4301" s="42" t="s">
        <v>3415</v>
      </c>
    </row>
    <row r="4302">
      <c r="A4302" s="42" t="s">
        <v>3415</v>
      </c>
    </row>
    <row r="4303">
      <c r="A4303" s="42" t="s">
        <v>3415</v>
      </c>
    </row>
    <row r="4304">
      <c r="A4304" s="42" t="s">
        <v>3415</v>
      </c>
    </row>
    <row r="4305">
      <c r="A4305" s="42" t="s">
        <v>3415</v>
      </c>
    </row>
    <row r="4306">
      <c r="A4306" s="42" t="s">
        <v>3415</v>
      </c>
    </row>
    <row r="4307">
      <c r="A4307" s="42" t="s">
        <v>3415</v>
      </c>
    </row>
    <row r="4308">
      <c r="A4308" s="42" t="s">
        <v>3415</v>
      </c>
    </row>
    <row r="4309">
      <c r="A4309" s="42" t="s">
        <v>3415</v>
      </c>
    </row>
    <row r="4310">
      <c r="A4310" s="42" t="s">
        <v>3415</v>
      </c>
    </row>
    <row r="4311">
      <c r="A4311" s="42" t="s">
        <v>3415</v>
      </c>
    </row>
    <row r="4312">
      <c r="A4312" s="42" t="s">
        <v>3415</v>
      </c>
    </row>
    <row r="4313">
      <c r="A4313" s="42" t="s">
        <v>3415</v>
      </c>
    </row>
    <row r="4314">
      <c r="A4314" s="42" t="s">
        <v>3415</v>
      </c>
    </row>
    <row r="4315">
      <c r="A4315" s="42" t="s">
        <v>3415</v>
      </c>
    </row>
    <row r="4316">
      <c r="A4316" s="42" t="s">
        <v>3415</v>
      </c>
    </row>
    <row r="4317">
      <c r="A4317" s="42" t="s">
        <v>3415</v>
      </c>
    </row>
    <row r="4318">
      <c r="A4318" s="42" t="s">
        <v>3415</v>
      </c>
    </row>
    <row r="4319">
      <c r="A4319" s="42" t="s">
        <v>3415</v>
      </c>
    </row>
    <row r="4320">
      <c r="A4320" s="42" t="s">
        <v>3415</v>
      </c>
    </row>
    <row r="4321">
      <c r="A4321" s="42" t="s">
        <v>3415</v>
      </c>
    </row>
    <row r="4322">
      <c r="A4322" s="42" t="s">
        <v>3415</v>
      </c>
    </row>
    <row r="4323">
      <c r="A4323" s="42" t="s">
        <v>3415</v>
      </c>
    </row>
    <row r="4324">
      <c r="A4324" s="42" t="s">
        <v>3415</v>
      </c>
    </row>
    <row r="4325">
      <c r="A4325" s="42" t="s">
        <v>3415</v>
      </c>
    </row>
    <row r="4326">
      <c r="A4326" s="42" t="s">
        <v>3415</v>
      </c>
    </row>
    <row r="4327">
      <c r="A4327" s="42" t="s">
        <v>3415</v>
      </c>
    </row>
    <row r="4328">
      <c r="A4328" s="42" t="s">
        <v>3415</v>
      </c>
    </row>
    <row r="4329">
      <c r="A4329" s="42" t="s">
        <v>3415</v>
      </c>
    </row>
    <row r="4330">
      <c r="A4330" s="42" t="s">
        <v>3415</v>
      </c>
    </row>
    <row r="4331">
      <c r="A4331" s="42" t="s">
        <v>3415</v>
      </c>
    </row>
    <row r="4332">
      <c r="A4332" s="42" t="s">
        <v>3415</v>
      </c>
    </row>
    <row r="4333">
      <c r="A4333" s="42" t="s">
        <v>3415</v>
      </c>
    </row>
    <row r="4334">
      <c r="A4334" s="42" t="s">
        <v>3415</v>
      </c>
    </row>
    <row r="4335">
      <c r="A4335" s="42" t="s">
        <v>3415</v>
      </c>
    </row>
    <row r="4336">
      <c r="A4336" s="42" t="s">
        <v>3415</v>
      </c>
    </row>
    <row r="4337">
      <c r="A4337" s="42" t="s">
        <v>3415</v>
      </c>
    </row>
    <row r="4338">
      <c r="A4338" s="42" t="s">
        <v>3415</v>
      </c>
    </row>
    <row r="4339">
      <c r="A4339" s="42" t="s">
        <v>3415</v>
      </c>
    </row>
    <row r="4340">
      <c r="A4340" s="42" t="s">
        <v>3415</v>
      </c>
    </row>
    <row r="4341">
      <c r="A4341" s="42" t="s">
        <v>3415</v>
      </c>
    </row>
    <row r="4342">
      <c r="A4342" s="42" t="s">
        <v>3415</v>
      </c>
    </row>
    <row r="4343">
      <c r="A4343" s="42" t="s">
        <v>3415</v>
      </c>
    </row>
    <row r="4344">
      <c r="A4344" s="42" t="s">
        <v>3415</v>
      </c>
    </row>
    <row r="4345">
      <c r="A4345" s="42" t="s">
        <v>3415</v>
      </c>
    </row>
    <row r="4346">
      <c r="A4346" s="42" t="s">
        <v>3415</v>
      </c>
    </row>
    <row r="4347">
      <c r="A4347" s="42" t="s">
        <v>3415</v>
      </c>
    </row>
    <row r="4348">
      <c r="A4348" s="42" t="s">
        <v>3415</v>
      </c>
    </row>
    <row r="4349">
      <c r="A4349" s="42" t="s">
        <v>3415</v>
      </c>
    </row>
    <row r="4350">
      <c r="A4350" s="42" t="s">
        <v>3415</v>
      </c>
    </row>
    <row r="4351">
      <c r="A4351" s="42" t="s">
        <v>3415</v>
      </c>
    </row>
    <row r="4352">
      <c r="A4352" s="42" t="s">
        <v>3415</v>
      </c>
    </row>
    <row r="4353">
      <c r="A4353" s="42" t="s">
        <v>3415</v>
      </c>
    </row>
    <row r="4354">
      <c r="A4354" s="42" t="s">
        <v>3415</v>
      </c>
    </row>
    <row r="4355">
      <c r="A4355" s="42" t="s">
        <v>3415</v>
      </c>
    </row>
    <row r="4356">
      <c r="A4356" s="42" t="s">
        <v>3415</v>
      </c>
    </row>
    <row r="4357">
      <c r="A4357" s="42" t="s">
        <v>3415</v>
      </c>
    </row>
    <row r="4358">
      <c r="A4358" s="42" t="s">
        <v>3415</v>
      </c>
    </row>
    <row r="4359">
      <c r="A4359" s="42" t="s">
        <v>3415</v>
      </c>
    </row>
    <row r="4360">
      <c r="A4360" s="42" t="s">
        <v>3415</v>
      </c>
    </row>
    <row r="4361">
      <c r="A4361" s="42" t="s">
        <v>3415</v>
      </c>
    </row>
    <row r="4362">
      <c r="A4362" s="42" t="s">
        <v>3415</v>
      </c>
    </row>
    <row r="4363">
      <c r="A4363" s="42" t="s">
        <v>3415</v>
      </c>
    </row>
    <row r="4364">
      <c r="A4364" s="42" t="s">
        <v>3415</v>
      </c>
    </row>
    <row r="4365">
      <c r="A4365" s="42" t="s">
        <v>3415</v>
      </c>
    </row>
    <row r="4366">
      <c r="A4366" s="42" t="s">
        <v>3415</v>
      </c>
    </row>
    <row r="4367">
      <c r="A4367" s="42" t="s">
        <v>3415</v>
      </c>
    </row>
    <row r="4368">
      <c r="A4368" s="42" t="s">
        <v>3415</v>
      </c>
    </row>
    <row r="4369">
      <c r="A4369" s="42" t="s">
        <v>3415</v>
      </c>
    </row>
    <row r="4370">
      <c r="A4370" s="42" t="s">
        <v>3415</v>
      </c>
    </row>
    <row r="4371">
      <c r="A4371" s="42" t="s">
        <v>3415</v>
      </c>
    </row>
    <row r="4372">
      <c r="A4372" s="42" t="s">
        <v>3415</v>
      </c>
    </row>
    <row r="4373">
      <c r="A4373" s="42" t="s">
        <v>3415</v>
      </c>
    </row>
    <row r="4374">
      <c r="A4374" s="42" t="s">
        <v>3415</v>
      </c>
    </row>
    <row r="4375">
      <c r="A4375" s="42" t="s">
        <v>3415</v>
      </c>
    </row>
    <row r="4376">
      <c r="A4376" s="42" t="s">
        <v>3415</v>
      </c>
    </row>
    <row r="4377">
      <c r="A4377" s="42" t="s">
        <v>3415</v>
      </c>
    </row>
    <row r="4378">
      <c r="A4378" s="42" t="s">
        <v>3415</v>
      </c>
    </row>
    <row r="4379">
      <c r="A4379" s="42" t="s">
        <v>3415</v>
      </c>
    </row>
    <row r="4380">
      <c r="A4380" s="42" t="s">
        <v>3415</v>
      </c>
    </row>
    <row r="4381">
      <c r="A4381" s="42" t="s">
        <v>3415</v>
      </c>
    </row>
    <row r="4382">
      <c r="A4382" s="42" t="s">
        <v>3415</v>
      </c>
    </row>
    <row r="4383">
      <c r="A4383" s="42" t="s">
        <v>3415</v>
      </c>
    </row>
    <row r="4384">
      <c r="A4384" s="42" t="s">
        <v>3415</v>
      </c>
    </row>
    <row r="4385">
      <c r="A4385" s="42" t="s">
        <v>3415</v>
      </c>
    </row>
    <row r="4386">
      <c r="A4386" s="42" t="s">
        <v>3415</v>
      </c>
    </row>
    <row r="4387">
      <c r="A4387" s="42" t="s">
        <v>3415</v>
      </c>
    </row>
    <row r="4388">
      <c r="A4388" s="42" t="s">
        <v>3415</v>
      </c>
    </row>
    <row r="4389">
      <c r="A4389" s="42" t="s">
        <v>3415</v>
      </c>
    </row>
    <row r="4390">
      <c r="A4390" s="42" t="s">
        <v>3415</v>
      </c>
    </row>
    <row r="4391">
      <c r="A4391" s="42" t="s">
        <v>3415</v>
      </c>
    </row>
    <row r="4392">
      <c r="A4392" s="42" t="s">
        <v>3415</v>
      </c>
    </row>
    <row r="4393">
      <c r="A4393" s="42" t="s">
        <v>3415</v>
      </c>
    </row>
    <row r="4394">
      <c r="A4394" s="42" t="s">
        <v>3415</v>
      </c>
    </row>
    <row r="4395">
      <c r="A4395" s="42" t="s">
        <v>3415</v>
      </c>
    </row>
    <row r="4396">
      <c r="A4396" s="42" t="s">
        <v>3415</v>
      </c>
    </row>
    <row r="4397">
      <c r="A4397" s="42" t="s">
        <v>3415</v>
      </c>
    </row>
    <row r="4398">
      <c r="A4398" s="42" t="s">
        <v>3415</v>
      </c>
    </row>
    <row r="4399">
      <c r="A4399" s="42" t="s">
        <v>3415</v>
      </c>
    </row>
    <row r="4400">
      <c r="A4400" s="42" t="s">
        <v>3415</v>
      </c>
    </row>
    <row r="4401">
      <c r="A4401" s="42" t="s">
        <v>3415</v>
      </c>
    </row>
    <row r="4402">
      <c r="A4402" s="42" t="s">
        <v>3415</v>
      </c>
    </row>
    <row r="4403">
      <c r="A4403" s="42" t="s">
        <v>3415</v>
      </c>
    </row>
    <row r="4404">
      <c r="A4404" s="42" t="s">
        <v>3415</v>
      </c>
    </row>
    <row r="4405">
      <c r="A4405" s="42" t="s">
        <v>3415</v>
      </c>
    </row>
    <row r="4406">
      <c r="A4406" s="42" t="s">
        <v>3415</v>
      </c>
    </row>
    <row r="4407">
      <c r="A4407" s="42" t="s">
        <v>3415</v>
      </c>
    </row>
    <row r="4408">
      <c r="A4408" s="42" t="s">
        <v>3415</v>
      </c>
    </row>
    <row r="4409">
      <c r="A4409" s="42" t="s">
        <v>3415</v>
      </c>
    </row>
    <row r="4410">
      <c r="A4410" s="42" t="s">
        <v>3415</v>
      </c>
    </row>
    <row r="4411">
      <c r="A4411" s="42" t="s">
        <v>3415</v>
      </c>
    </row>
    <row r="4412">
      <c r="A4412" s="42" t="s">
        <v>3415</v>
      </c>
    </row>
    <row r="4413">
      <c r="A4413" s="42" t="s">
        <v>3415</v>
      </c>
    </row>
    <row r="4414">
      <c r="A4414" s="42" t="s">
        <v>3415</v>
      </c>
    </row>
    <row r="4415">
      <c r="A4415" s="42" t="s">
        <v>3415</v>
      </c>
    </row>
    <row r="4416">
      <c r="A4416" s="42" t="s">
        <v>3415</v>
      </c>
    </row>
    <row r="4417">
      <c r="A4417" s="42" t="s">
        <v>3415</v>
      </c>
    </row>
    <row r="4418">
      <c r="A4418" s="42" t="s">
        <v>3415</v>
      </c>
    </row>
    <row r="4419">
      <c r="A4419" s="42" t="s">
        <v>3415</v>
      </c>
    </row>
    <row r="4420">
      <c r="A4420" s="42" t="s">
        <v>3415</v>
      </c>
    </row>
    <row r="4421">
      <c r="A4421" s="42" t="s">
        <v>3415</v>
      </c>
    </row>
    <row r="4422">
      <c r="A4422" s="42" t="s">
        <v>3415</v>
      </c>
    </row>
    <row r="4423">
      <c r="A4423" s="42" t="s">
        <v>3415</v>
      </c>
    </row>
    <row r="4424">
      <c r="A4424" s="42" t="s">
        <v>3415</v>
      </c>
    </row>
    <row r="4425">
      <c r="A4425" s="42" t="s">
        <v>3415</v>
      </c>
    </row>
    <row r="4426">
      <c r="A4426" s="42" t="s">
        <v>3415</v>
      </c>
    </row>
    <row r="4427">
      <c r="A4427" s="42" t="s">
        <v>3415</v>
      </c>
    </row>
    <row r="4428">
      <c r="A4428" s="42" t="s">
        <v>3415</v>
      </c>
    </row>
    <row r="4429">
      <c r="A4429" s="42" t="s">
        <v>3415</v>
      </c>
    </row>
    <row r="4430">
      <c r="A4430" s="42" t="s">
        <v>3415</v>
      </c>
    </row>
    <row r="4431">
      <c r="A4431" s="42" t="s">
        <v>3415</v>
      </c>
    </row>
    <row r="4432">
      <c r="A4432" s="42" t="s">
        <v>3415</v>
      </c>
    </row>
    <row r="4433">
      <c r="A4433" s="42" t="s">
        <v>3415</v>
      </c>
    </row>
    <row r="4434">
      <c r="A4434" s="42" t="s">
        <v>3415</v>
      </c>
    </row>
    <row r="4435">
      <c r="A4435" s="42" t="s">
        <v>3415</v>
      </c>
    </row>
    <row r="4436">
      <c r="A4436" s="42" t="s">
        <v>3415</v>
      </c>
    </row>
    <row r="4437">
      <c r="A4437" s="42" t="s">
        <v>3415</v>
      </c>
    </row>
    <row r="4438">
      <c r="A4438" s="42" t="s">
        <v>3415</v>
      </c>
    </row>
    <row r="4439">
      <c r="A4439" s="42" t="s">
        <v>3415</v>
      </c>
    </row>
    <row r="4440">
      <c r="A4440" s="42" t="s">
        <v>3415</v>
      </c>
    </row>
    <row r="4441">
      <c r="A4441" s="42" t="s">
        <v>3415</v>
      </c>
    </row>
    <row r="4442">
      <c r="A4442" s="42" t="s">
        <v>3415</v>
      </c>
    </row>
    <row r="4443">
      <c r="A4443" s="42" t="s">
        <v>3415</v>
      </c>
    </row>
    <row r="4444">
      <c r="A4444" s="42" t="s">
        <v>3415</v>
      </c>
    </row>
    <row r="4445">
      <c r="A4445" s="42" t="s">
        <v>3415</v>
      </c>
    </row>
    <row r="4446">
      <c r="A4446" s="42" t="s">
        <v>3415</v>
      </c>
    </row>
    <row r="4447">
      <c r="A4447" s="42" t="s">
        <v>3415</v>
      </c>
    </row>
    <row r="4448">
      <c r="A4448" s="42" t="s">
        <v>3415</v>
      </c>
    </row>
    <row r="4449">
      <c r="A4449" s="42" t="s">
        <v>3415</v>
      </c>
    </row>
    <row r="4450">
      <c r="A4450" s="42" t="s">
        <v>3415</v>
      </c>
    </row>
    <row r="4451">
      <c r="A4451" s="42" t="s">
        <v>3415</v>
      </c>
    </row>
    <row r="4452">
      <c r="A4452" s="42" t="s">
        <v>3415</v>
      </c>
    </row>
    <row r="4453">
      <c r="A4453" s="42" t="s">
        <v>3415</v>
      </c>
    </row>
    <row r="4454">
      <c r="A4454" s="42" t="s">
        <v>3415</v>
      </c>
    </row>
    <row r="4455">
      <c r="A4455" s="42" t="s">
        <v>3415</v>
      </c>
    </row>
    <row r="4456">
      <c r="A4456" s="42" t="s">
        <v>3415</v>
      </c>
    </row>
    <row r="4457">
      <c r="A4457" s="42" t="s">
        <v>3415</v>
      </c>
    </row>
    <row r="4458">
      <c r="A4458" s="42" t="s">
        <v>3415</v>
      </c>
    </row>
    <row r="4459">
      <c r="A4459" s="42" t="s">
        <v>3415</v>
      </c>
    </row>
    <row r="4460">
      <c r="A4460" s="42" t="s">
        <v>3415</v>
      </c>
    </row>
    <row r="4461">
      <c r="A4461" s="42" t="s">
        <v>3415</v>
      </c>
    </row>
    <row r="4462">
      <c r="A4462" s="42" t="s">
        <v>3415</v>
      </c>
    </row>
    <row r="4463">
      <c r="A4463" s="42" t="s">
        <v>3415</v>
      </c>
    </row>
    <row r="4464">
      <c r="A4464" s="42" t="s">
        <v>3415</v>
      </c>
    </row>
    <row r="4465">
      <c r="A4465" s="42" t="s">
        <v>3415</v>
      </c>
    </row>
    <row r="4466">
      <c r="A4466" s="42" t="s">
        <v>3415</v>
      </c>
    </row>
    <row r="4467">
      <c r="A4467" s="42" t="s">
        <v>3415</v>
      </c>
    </row>
    <row r="4468">
      <c r="A4468" s="42" t="s">
        <v>3415</v>
      </c>
    </row>
    <row r="4469">
      <c r="A4469" s="42" t="s">
        <v>3415</v>
      </c>
    </row>
    <row r="4470">
      <c r="A4470" s="42" t="s">
        <v>3415</v>
      </c>
    </row>
    <row r="4471">
      <c r="A4471" s="42" t="s">
        <v>3415</v>
      </c>
    </row>
    <row r="4472">
      <c r="A4472" s="42" t="s">
        <v>3415</v>
      </c>
    </row>
    <row r="4473">
      <c r="A4473" s="42" t="s">
        <v>3415</v>
      </c>
    </row>
    <row r="4474">
      <c r="A4474" s="42" t="s">
        <v>3415</v>
      </c>
    </row>
    <row r="4475">
      <c r="A4475" s="42" t="s">
        <v>3415</v>
      </c>
    </row>
    <row r="4476">
      <c r="A4476" s="42" t="s">
        <v>3415</v>
      </c>
    </row>
    <row r="4477">
      <c r="A4477" s="42" t="s">
        <v>3415</v>
      </c>
    </row>
    <row r="4478">
      <c r="A4478" s="42" t="s">
        <v>3415</v>
      </c>
    </row>
    <row r="4479">
      <c r="A4479" s="42" t="s">
        <v>3415</v>
      </c>
    </row>
    <row r="4480">
      <c r="A4480" s="42" t="s">
        <v>3415</v>
      </c>
    </row>
    <row r="4481">
      <c r="A4481" s="42" t="s">
        <v>3415</v>
      </c>
    </row>
    <row r="4482">
      <c r="A4482" s="42" t="s">
        <v>3415</v>
      </c>
    </row>
    <row r="4483">
      <c r="A4483" s="42" t="s">
        <v>3415</v>
      </c>
    </row>
    <row r="4484">
      <c r="A4484" s="42" t="s">
        <v>3415</v>
      </c>
    </row>
    <row r="4485">
      <c r="A4485" s="42" t="s">
        <v>3415</v>
      </c>
    </row>
    <row r="4486">
      <c r="A4486" s="42" t="s">
        <v>3415</v>
      </c>
    </row>
    <row r="4487">
      <c r="A4487" s="42" t="s">
        <v>3415</v>
      </c>
    </row>
    <row r="4488">
      <c r="A4488" s="42" t="s">
        <v>3415</v>
      </c>
    </row>
    <row r="4489">
      <c r="A4489" s="42" t="s">
        <v>3415</v>
      </c>
    </row>
    <row r="4490">
      <c r="A4490" s="42" t="s">
        <v>3415</v>
      </c>
    </row>
    <row r="4491">
      <c r="A4491" s="42" t="s">
        <v>3415</v>
      </c>
    </row>
    <row r="4492">
      <c r="A4492" s="42" t="s">
        <v>3415</v>
      </c>
    </row>
    <row r="4493">
      <c r="A4493" s="42" t="s">
        <v>3415</v>
      </c>
    </row>
    <row r="4494">
      <c r="A4494" s="42" t="s">
        <v>3415</v>
      </c>
    </row>
    <row r="4495">
      <c r="A4495" s="42" t="s">
        <v>3415</v>
      </c>
    </row>
    <row r="4496">
      <c r="A4496" s="42" t="s">
        <v>3415</v>
      </c>
    </row>
    <row r="4497">
      <c r="A4497" s="42" t="s">
        <v>3415</v>
      </c>
    </row>
    <row r="4498">
      <c r="A4498" s="42" t="s">
        <v>3415</v>
      </c>
    </row>
    <row r="4499">
      <c r="A4499" s="42" t="s">
        <v>3415</v>
      </c>
    </row>
    <row r="4500">
      <c r="A4500" s="42" t="s">
        <v>3415</v>
      </c>
    </row>
    <row r="4501">
      <c r="A4501" s="42" t="s">
        <v>3415</v>
      </c>
    </row>
    <row r="4502">
      <c r="A4502" s="42" t="s">
        <v>3415</v>
      </c>
    </row>
    <row r="4503">
      <c r="A4503" s="42" t="s">
        <v>3415</v>
      </c>
    </row>
    <row r="4504">
      <c r="A4504" s="42" t="s">
        <v>3415</v>
      </c>
    </row>
    <row r="4505">
      <c r="A4505" s="42" t="s">
        <v>3415</v>
      </c>
    </row>
    <row r="4506">
      <c r="A4506" s="42" t="s">
        <v>3415</v>
      </c>
    </row>
    <row r="4507">
      <c r="A4507" s="42" t="s">
        <v>3415</v>
      </c>
    </row>
    <row r="4508">
      <c r="A4508" s="42" t="s">
        <v>3415</v>
      </c>
    </row>
    <row r="4509">
      <c r="A4509" s="42" t="s">
        <v>3415</v>
      </c>
    </row>
    <row r="4510">
      <c r="A4510" s="42" t="s">
        <v>3415</v>
      </c>
    </row>
    <row r="4511">
      <c r="A4511" s="42" t="s">
        <v>3415</v>
      </c>
    </row>
    <row r="4512">
      <c r="A4512" s="42" t="s">
        <v>3415</v>
      </c>
    </row>
    <row r="4513">
      <c r="A4513" s="42" t="s">
        <v>3415</v>
      </c>
    </row>
    <row r="4514">
      <c r="A4514" s="42" t="s">
        <v>3415</v>
      </c>
    </row>
    <row r="4515">
      <c r="A4515" s="42" t="s">
        <v>3415</v>
      </c>
    </row>
    <row r="4516">
      <c r="A4516" s="42" t="s">
        <v>3415</v>
      </c>
    </row>
    <row r="4517">
      <c r="A4517" s="42" t="s">
        <v>3415</v>
      </c>
    </row>
    <row r="4518">
      <c r="A4518" s="42" t="s">
        <v>3415</v>
      </c>
    </row>
    <row r="4519">
      <c r="A4519" s="42" t="s">
        <v>3415</v>
      </c>
    </row>
    <row r="4520">
      <c r="A4520" s="42" t="s">
        <v>3415</v>
      </c>
    </row>
    <row r="4521">
      <c r="A4521" s="42" t="s">
        <v>3415</v>
      </c>
    </row>
    <row r="4522">
      <c r="A4522" s="42" t="s">
        <v>3415</v>
      </c>
    </row>
    <row r="4523">
      <c r="A4523" s="42" t="s">
        <v>3415</v>
      </c>
    </row>
    <row r="4524">
      <c r="A4524" s="42" t="s">
        <v>3415</v>
      </c>
    </row>
    <row r="4525">
      <c r="A4525" s="42" t="s">
        <v>3415</v>
      </c>
    </row>
    <row r="4526">
      <c r="A4526" s="42" t="s">
        <v>3415</v>
      </c>
    </row>
    <row r="4527">
      <c r="A4527" s="42" t="s">
        <v>3415</v>
      </c>
    </row>
    <row r="4528">
      <c r="A4528" s="42" t="s">
        <v>3415</v>
      </c>
    </row>
    <row r="4529">
      <c r="A4529" s="42" t="s">
        <v>3415</v>
      </c>
    </row>
    <row r="4530">
      <c r="A4530" s="42" t="s">
        <v>3415</v>
      </c>
    </row>
    <row r="4531">
      <c r="A4531" s="42" t="s">
        <v>3415</v>
      </c>
    </row>
    <row r="4532">
      <c r="A4532" s="42" t="s">
        <v>3415</v>
      </c>
    </row>
    <row r="4533">
      <c r="A4533" s="42" t="s">
        <v>3415</v>
      </c>
    </row>
    <row r="4534">
      <c r="A4534" s="42" t="s">
        <v>3415</v>
      </c>
    </row>
    <row r="4535">
      <c r="A4535" s="42" t="s">
        <v>3415</v>
      </c>
    </row>
    <row r="4536">
      <c r="A4536" s="42" t="s">
        <v>3415</v>
      </c>
    </row>
    <row r="4537">
      <c r="A4537" s="42" t="s">
        <v>3415</v>
      </c>
    </row>
    <row r="4538">
      <c r="A4538" s="42" t="s">
        <v>3415</v>
      </c>
    </row>
    <row r="4539">
      <c r="A4539" s="42" t="s">
        <v>3415</v>
      </c>
    </row>
    <row r="4540">
      <c r="A4540" s="42" t="s">
        <v>3415</v>
      </c>
    </row>
    <row r="4541">
      <c r="A4541" s="42" t="s">
        <v>3415</v>
      </c>
    </row>
    <row r="4542">
      <c r="A4542" s="42" t="s">
        <v>3415</v>
      </c>
    </row>
    <row r="4543">
      <c r="A4543" s="42" t="s">
        <v>3415</v>
      </c>
    </row>
    <row r="4544">
      <c r="A4544" s="42" t="s">
        <v>3415</v>
      </c>
    </row>
    <row r="4545">
      <c r="A4545" s="42" t="s">
        <v>3415</v>
      </c>
    </row>
    <row r="4546">
      <c r="A4546" s="42" t="s">
        <v>3415</v>
      </c>
    </row>
    <row r="4547">
      <c r="A4547" s="42" t="s">
        <v>3415</v>
      </c>
    </row>
    <row r="4548">
      <c r="A4548" s="42" t="s">
        <v>3415</v>
      </c>
    </row>
    <row r="4549">
      <c r="A4549" s="42" t="s">
        <v>3415</v>
      </c>
    </row>
    <row r="4550">
      <c r="A4550" s="42" t="s">
        <v>3415</v>
      </c>
    </row>
    <row r="4551">
      <c r="A4551" s="42" t="s">
        <v>3415</v>
      </c>
    </row>
    <row r="4552">
      <c r="A4552" s="42" t="s">
        <v>3415</v>
      </c>
    </row>
    <row r="4553">
      <c r="A4553" s="42" t="s">
        <v>3415</v>
      </c>
    </row>
    <row r="4554">
      <c r="A4554" s="42" t="s">
        <v>3415</v>
      </c>
    </row>
    <row r="4555">
      <c r="A4555" s="42" t="s">
        <v>3415</v>
      </c>
    </row>
    <row r="4556">
      <c r="A4556" s="42" t="s">
        <v>3415</v>
      </c>
    </row>
    <row r="4557">
      <c r="A4557" s="42" t="s">
        <v>3415</v>
      </c>
    </row>
    <row r="4558">
      <c r="A4558" s="42" t="s">
        <v>3415</v>
      </c>
    </row>
    <row r="4559">
      <c r="A4559" s="42" t="s">
        <v>3415</v>
      </c>
    </row>
    <row r="4560">
      <c r="A4560" s="42" t="s">
        <v>3415</v>
      </c>
    </row>
    <row r="4561">
      <c r="A4561" s="42" t="s">
        <v>3415</v>
      </c>
    </row>
    <row r="4562">
      <c r="A4562" s="42" t="s">
        <v>3415</v>
      </c>
    </row>
    <row r="4563">
      <c r="A4563" s="42" t="s">
        <v>3415</v>
      </c>
    </row>
    <row r="4564">
      <c r="A4564" s="42" t="s">
        <v>3415</v>
      </c>
    </row>
    <row r="4565">
      <c r="A4565" s="42" t="s">
        <v>3415</v>
      </c>
    </row>
    <row r="4566">
      <c r="A4566" s="42" t="s">
        <v>3415</v>
      </c>
    </row>
    <row r="4567">
      <c r="A4567" s="42" t="s">
        <v>3415</v>
      </c>
    </row>
    <row r="4568">
      <c r="A4568" s="42" t="s">
        <v>3415</v>
      </c>
    </row>
    <row r="4569">
      <c r="A4569" s="42" t="s">
        <v>3415</v>
      </c>
    </row>
    <row r="4570">
      <c r="A4570" s="42" t="s">
        <v>3415</v>
      </c>
    </row>
    <row r="4571">
      <c r="A4571" s="42" t="s">
        <v>3415</v>
      </c>
    </row>
    <row r="4572">
      <c r="A4572" s="42" t="s">
        <v>3415</v>
      </c>
    </row>
    <row r="4573">
      <c r="A4573" s="42" t="s">
        <v>3415</v>
      </c>
    </row>
    <row r="4574">
      <c r="A4574" s="42" t="s">
        <v>3415</v>
      </c>
    </row>
    <row r="4575">
      <c r="A4575" s="42" t="s">
        <v>3415</v>
      </c>
    </row>
    <row r="4576">
      <c r="A4576" s="42" t="s">
        <v>3415</v>
      </c>
    </row>
    <row r="4577">
      <c r="A4577" s="42" t="s">
        <v>3415</v>
      </c>
    </row>
    <row r="4578">
      <c r="A4578" s="42" t="s">
        <v>3415</v>
      </c>
    </row>
    <row r="4579">
      <c r="A4579" s="42" t="s">
        <v>3415</v>
      </c>
    </row>
    <row r="4580">
      <c r="A4580" s="42" t="s">
        <v>3415</v>
      </c>
    </row>
    <row r="4581">
      <c r="A4581" s="42" t="s">
        <v>3415</v>
      </c>
    </row>
    <row r="4582">
      <c r="A4582" s="42" t="s">
        <v>3415</v>
      </c>
    </row>
    <row r="4583">
      <c r="A4583" s="42" t="s">
        <v>3415</v>
      </c>
    </row>
    <row r="4584">
      <c r="A4584" s="42" t="s">
        <v>3415</v>
      </c>
    </row>
    <row r="4585">
      <c r="A4585" s="42" t="s">
        <v>3415</v>
      </c>
    </row>
    <row r="4586">
      <c r="A4586" s="42" t="s">
        <v>3415</v>
      </c>
    </row>
    <row r="4587">
      <c r="A4587" s="42" t="s">
        <v>3415</v>
      </c>
    </row>
    <row r="4588">
      <c r="A4588" s="42" t="s">
        <v>3415</v>
      </c>
    </row>
    <row r="4589">
      <c r="A4589" s="42" t="s">
        <v>3415</v>
      </c>
    </row>
    <row r="4590">
      <c r="A4590" s="42" t="s">
        <v>3415</v>
      </c>
    </row>
    <row r="4591">
      <c r="A4591" s="42" t="s">
        <v>3415</v>
      </c>
    </row>
    <row r="4592">
      <c r="A4592" s="42" t="s">
        <v>3415</v>
      </c>
    </row>
    <row r="4593">
      <c r="A4593" s="42" t="s">
        <v>3415</v>
      </c>
    </row>
    <row r="4594">
      <c r="A4594" s="42" t="s">
        <v>3415</v>
      </c>
    </row>
    <row r="4595">
      <c r="A4595" s="42" t="s">
        <v>3415</v>
      </c>
    </row>
    <row r="4596">
      <c r="A4596" s="42" t="s">
        <v>3415</v>
      </c>
    </row>
    <row r="4597">
      <c r="A4597" s="42" t="s">
        <v>3415</v>
      </c>
    </row>
    <row r="4598">
      <c r="A4598" s="42" t="s">
        <v>3415</v>
      </c>
    </row>
    <row r="4599">
      <c r="A4599" s="42" t="s">
        <v>3415</v>
      </c>
    </row>
    <row r="4600">
      <c r="A4600" s="42" t="s">
        <v>3415</v>
      </c>
    </row>
    <row r="4601">
      <c r="A4601" s="42" t="s">
        <v>3415</v>
      </c>
    </row>
    <row r="4602">
      <c r="A4602" s="42" t="s">
        <v>3415</v>
      </c>
    </row>
    <row r="4603">
      <c r="A4603" s="42" t="s">
        <v>3415</v>
      </c>
    </row>
    <row r="4604">
      <c r="A4604" s="42" t="s">
        <v>3415</v>
      </c>
    </row>
    <row r="4605">
      <c r="A4605" s="42" t="s">
        <v>3415</v>
      </c>
    </row>
    <row r="4606">
      <c r="A4606" s="42" t="s">
        <v>3415</v>
      </c>
    </row>
    <row r="4607">
      <c r="A4607" s="42" t="s">
        <v>3415</v>
      </c>
    </row>
    <row r="4608">
      <c r="A4608" s="42" t="s">
        <v>3415</v>
      </c>
    </row>
    <row r="4609">
      <c r="A4609" s="42" t="s">
        <v>3415</v>
      </c>
    </row>
    <row r="4610">
      <c r="A4610" s="42" t="s">
        <v>3415</v>
      </c>
    </row>
    <row r="4611">
      <c r="A4611" s="42" t="s">
        <v>3415</v>
      </c>
    </row>
    <row r="4612">
      <c r="A4612" s="42" t="s">
        <v>3415</v>
      </c>
    </row>
    <row r="4613">
      <c r="A4613" s="42" t="s">
        <v>3415</v>
      </c>
    </row>
    <row r="4614">
      <c r="A4614" s="42" t="s">
        <v>3415</v>
      </c>
    </row>
    <row r="4615">
      <c r="A4615" s="42" t="s">
        <v>3415</v>
      </c>
    </row>
    <row r="4616">
      <c r="A4616" s="42" t="s">
        <v>3415</v>
      </c>
    </row>
    <row r="4617">
      <c r="A4617" s="42" t="s">
        <v>3415</v>
      </c>
    </row>
    <row r="4618">
      <c r="A4618" s="42" t="s">
        <v>3415</v>
      </c>
    </row>
    <row r="4619">
      <c r="A4619" s="42" t="s">
        <v>3415</v>
      </c>
    </row>
    <row r="4620">
      <c r="A4620" s="42" t="s">
        <v>3415</v>
      </c>
    </row>
    <row r="4621">
      <c r="A4621" s="42" t="s">
        <v>3415</v>
      </c>
    </row>
    <row r="4622">
      <c r="A4622" s="42" t="s">
        <v>3415</v>
      </c>
    </row>
    <row r="4623">
      <c r="A4623" s="42" t="s">
        <v>3415</v>
      </c>
    </row>
    <row r="4624">
      <c r="A4624" s="42" t="s">
        <v>3415</v>
      </c>
    </row>
    <row r="4625">
      <c r="A4625" s="42" t="s">
        <v>3415</v>
      </c>
    </row>
    <row r="4626">
      <c r="A4626" s="42" t="s">
        <v>3415</v>
      </c>
    </row>
    <row r="4627">
      <c r="A4627" s="42" t="s">
        <v>3415</v>
      </c>
    </row>
    <row r="4628">
      <c r="A4628" s="42" t="s">
        <v>3415</v>
      </c>
    </row>
    <row r="4629">
      <c r="A4629" s="42" t="s">
        <v>3415</v>
      </c>
    </row>
    <row r="4630">
      <c r="A4630" s="42" t="s">
        <v>3415</v>
      </c>
    </row>
    <row r="4631">
      <c r="A4631" s="42" t="s">
        <v>3415</v>
      </c>
    </row>
    <row r="4632">
      <c r="A4632" s="42" t="s">
        <v>3415</v>
      </c>
    </row>
    <row r="4633">
      <c r="A4633" s="42" t="s">
        <v>3415</v>
      </c>
    </row>
    <row r="4634">
      <c r="A4634" s="42" t="s">
        <v>3415</v>
      </c>
    </row>
    <row r="4635">
      <c r="A4635" s="42" t="s">
        <v>3415</v>
      </c>
    </row>
    <row r="4636">
      <c r="A4636" s="42" t="s">
        <v>3415</v>
      </c>
    </row>
    <row r="4637">
      <c r="A4637" s="42" t="s">
        <v>3415</v>
      </c>
    </row>
    <row r="4638">
      <c r="A4638" s="42" t="s">
        <v>3415</v>
      </c>
    </row>
    <row r="4639">
      <c r="A4639" s="42" t="s">
        <v>3415</v>
      </c>
    </row>
    <row r="4640">
      <c r="A4640" s="42" t="s">
        <v>3415</v>
      </c>
    </row>
    <row r="4641">
      <c r="A4641" s="42" t="s">
        <v>3415</v>
      </c>
    </row>
    <row r="4642">
      <c r="A4642" s="42" t="s">
        <v>3415</v>
      </c>
    </row>
    <row r="4643">
      <c r="A4643" s="42" t="s">
        <v>3415</v>
      </c>
    </row>
    <row r="4644">
      <c r="A4644" s="42" t="s">
        <v>3415</v>
      </c>
    </row>
    <row r="4645">
      <c r="A4645" s="42" t="s">
        <v>3415</v>
      </c>
    </row>
    <row r="4646">
      <c r="A4646" s="42" t="s">
        <v>3415</v>
      </c>
    </row>
    <row r="4647">
      <c r="A4647" s="42" t="s">
        <v>3415</v>
      </c>
    </row>
    <row r="4648">
      <c r="A4648" s="42" t="s">
        <v>3415</v>
      </c>
    </row>
    <row r="4649">
      <c r="A4649" s="42" t="s">
        <v>3415</v>
      </c>
    </row>
    <row r="4650">
      <c r="A4650" s="42" t="s">
        <v>3415</v>
      </c>
    </row>
    <row r="4651">
      <c r="A4651" s="42" t="s">
        <v>3415</v>
      </c>
    </row>
    <row r="4652">
      <c r="A4652" s="42" t="s">
        <v>3415</v>
      </c>
    </row>
    <row r="4653">
      <c r="A4653" s="42" t="s">
        <v>3415</v>
      </c>
    </row>
    <row r="4654">
      <c r="A4654" s="42" t="s">
        <v>3415</v>
      </c>
    </row>
    <row r="4655">
      <c r="A4655" s="42" t="s">
        <v>3415</v>
      </c>
    </row>
    <row r="4656">
      <c r="A4656" s="42" t="s">
        <v>3415</v>
      </c>
    </row>
    <row r="4657">
      <c r="A4657" s="42" t="s">
        <v>3415</v>
      </c>
    </row>
    <row r="4658">
      <c r="A4658" s="42" t="s">
        <v>3415</v>
      </c>
    </row>
    <row r="4659">
      <c r="A4659" s="42" t="s">
        <v>3415</v>
      </c>
    </row>
    <row r="4660">
      <c r="A4660" s="42" t="s">
        <v>3415</v>
      </c>
    </row>
    <row r="4661">
      <c r="A4661" s="42" t="s">
        <v>3415</v>
      </c>
    </row>
    <row r="4662">
      <c r="A4662" s="42" t="s">
        <v>3415</v>
      </c>
    </row>
    <row r="4663">
      <c r="A4663" s="42" t="s">
        <v>3415</v>
      </c>
    </row>
    <row r="4664">
      <c r="A4664" s="42" t="s">
        <v>3415</v>
      </c>
    </row>
    <row r="4665">
      <c r="A4665" s="42" t="s">
        <v>3415</v>
      </c>
    </row>
    <row r="4666">
      <c r="A4666" s="42" t="s">
        <v>3415</v>
      </c>
    </row>
    <row r="4667">
      <c r="A4667" s="42" t="s">
        <v>3415</v>
      </c>
    </row>
    <row r="4668">
      <c r="A4668" s="42" t="s">
        <v>3415</v>
      </c>
    </row>
    <row r="4669">
      <c r="A4669" s="42" t="s">
        <v>3415</v>
      </c>
    </row>
    <row r="4670">
      <c r="A4670" s="42" t="s">
        <v>3415</v>
      </c>
    </row>
    <row r="4671">
      <c r="A4671" s="42" t="s">
        <v>3415</v>
      </c>
    </row>
    <row r="4672">
      <c r="A4672" s="42" t="s">
        <v>3415</v>
      </c>
    </row>
    <row r="4673">
      <c r="A4673" s="42" t="s">
        <v>3415</v>
      </c>
    </row>
    <row r="4674">
      <c r="A4674" s="42" t="s">
        <v>3415</v>
      </c>
    </row>
    <row r="4675">
      <c r="A4675" s="42" t="s">
        <v>3415</v>
      </c>
    </row>
    <row r="4676">
      <c r="A4676" s="42" t="s">
        <v>3415</v>
      </c>
    </row>
    <row r="4677">
      <c r="A4677" s="42" t="s">
        <v>3415</v>
      </c>
    </row>
    <row r="4678">
      <c r="A4678" s="42" t="s">
        <v>3415</v>
      </c>
    </row>
    <row r="4679">
      <c r="A4679" s="42" t="s">
        <v>3415</v>
      </c>
    </row>
    <row r="4680">
      <c r="A4680" s="42" t="s">
        <v>3415</v>
      </c>
    </row>
    <row r="4681">
      <c r="A4681" s="42" t="s">
        <v>3415</v>
      </c>
    </row>
    <row r="4682">
      <c r="A4682" s="42" t="s">
        <v>3415</v>
      </c>
    </row>
    <row r="4683">
      <c r="A4683" s="42" t="s">
        <v>3415</v>
      </c>
    </row>
    <row r="4684">
      <c r="A4684" s="42" t="s">
        <v>3415</v>
      </c>
    </row>
    <row r="4685">
      <c r="A4685" s="42" t="s">
        <v>3415</v>
      </c>
    </row>
    <row r="4686">
      <c r="A4686" s="42" t="s">
        <v>3415</v>
      </c>
    </row>
    <row r="4687">
      <c r="A4687" s="42" t="s">
        <v>3415</v>
      </c>
    </row>
    <row r="4688">
      <c r="A4688" s="42" t="s">
        <v>3415</v>
      </c>
    </row>
    <row r="4689">
      <c r="A4689" s="42" t="s">
        <v>3415</v>
      </c>
    </row>
    <row r="4690">
      <c r="A4690" s="42" t="s">
        <v>3415</v>
      </c>
    </row>
    <row r="4691">
      <c r="A4691" s="42" t="s">
        <v>3415</v>
      </c>
    </row>
    <row r="4692">
      <c r="A4692" s="42" t="s">
        <v>3415</v>
      </c>
    </row>
    <row r="4693">
      <c r="A4693" s="42" t="s">
        <v>3415</v>
      </c>
    </row>
    <row r="4694">
      <c r="A4694" s="42" t="s">
        <v>3415</v>
      </c>
    </row>
    <row r="4695">
      <c r="A4695" s="42" t="s">
        <v>3415</v>
      </c>
    </row>
    <row r="4696">
      <c r="A4696" s="42" t="s">
        <v>3415</v>
      </c>
    </row>
    <row r="4697">
      <c r="A4697" s="42" t="s">
        <v>3415</v>
      </c>
    </row>
    <row r="4698">
      <c r="A4698" s="42" t="s">
        <v>3415</v>
      </c>
    </row>
    <row r="4699">
      <c r="A4699" s="42" t="s">
        <v>3415</v>
      </c>
    </row>
    <row r="4700">
      <c r="A4700" s="42" t="s">
        <v>3415</v>
      </c>
    </row>
    <row r="4701">
      <c r="A4701" s="42" t="s">
        <v>3415</v>
      </c>
    </row>
    <row r="4702">
      <c r="A4702" s="42" t="s">
        <v>3415</v>
      </c>
    </row>
    <row r="4703">
      <c r="A4703" s="42" t="s">
        <v>3415</v>
      </c>
    </row>
    <row r="4704">
      <c r="A4704" s="42" t="s">
        <v>3415</v>
      </c>
    </row>
    <row r="4705">
      <c r="A4705" s="42" t="s">
        <v>3415</v>
      </c>
    </row>
    <row r="4706">
      <c r="A4706" s="42" t="s">
        <v>3415</v>
      </c>
    </row>
    <row r="4707">
      <c r="A4707" s="42" t="s">
        <v>3415</v>
      </c>
    </row>
    <row r="4708">
      <c r="A4708" s="42" t="s">
        <v>3415</v>
      </c>
    </row>
    <row r="4709">
      <c r="A4709" s="42" t="s">
        <v>3415</v>
      </c>
    </row>
    <row r="4710">
      <c r="A4710" s="42" t="s">
        <v>3415</v>
      </c>
    </row>
    <row r="4711">
      <c r="A4711" s="42" t="s">
        <v>3415</v>
      </c>
    </row>
    <row r="4712">
      <c r="A4712" s="42" t="s">
        <v>3415</v>
      </c>
    </row>
    <row r="4713">
      <c r="A4713" s="42" t="s">
        <v>3415</v>
      </c>
    </row>
    <row r="4714">
      <c r="A4714" s="42" t="s">
        <v>3415</v>
      </c>
    </row>
    <row r="4715">
      <c r="A4715" s="42" t="s">
        <v>3415</v>
      </c>
    </row>
    <row r="4716">
      <c r="A4716" s="42" t="s">
        <v>3415</v>
      </c>
    </row>
    <row r="4717">
      <c r="A4717" s="42" t="s">
        <v>3415</v>
      </c>
    </row>
    <row r="4718">
      <c r="A4718" s="42" t="s">
        <v>3415</v>
      </c>
    </row>
    <row r="4719">
      <c r="A4719" s="42" t="s">
        <v>3415</v>
      </c>
    </row>
    <row r="4720">
      <c r="A4720" s="42" t="s">
        <v>3415</v>
      </c>
    </row>
    <row r="4721">
      <c r="A4721" s="42" t="s">
        <v>3415</v>
      </c>
    </row>
    <row r="4722">
      <c r="A4722" s="42" t="s">
        <v>3415</v>
      </c>
    </row>
    <row r="4723">
      <c r="A4723" s="42" t="s">
        <v>3415</v>
      </c>
    </row>
    <row r="4724">
      <c r="A4724" s="42" t="s">
        <v>3415</v>
      </c>
    </row>
    <row r="4725">
      <c r="A4725" s="42" t="s">
        <v>3415</v>
      </c>
    </row>
    <row r="4726">
      <c r="A4726" s="42" t="s">
        <v>3415</v>
      </c>
    </row>
    <row r="4727">
      <c r="A4727" s="42" t="s">
        <v>3415</v>
      </c>
    </row>
    <row r="4728">
      <c r="A4728" s="42" t="s">
        <v>3415</v>
      </c>
    </row>
    <row r="4729">
      <c r="A4729" s="42" t="s">
        <v>3415</v>
      </c>
    </row>
    <row r="4730">
      <c r="A4730" s="42" t="s">
        <v>3415</v>
      </c>
    </row>
    <row r="4731">
      <c r="A4731" s="42" t="s">
        <v>3415</v>
      </c>
    </row>
    <row r="4732">
      <c r="A4732" s="42" t="s">
        <v>3415</v>
      </c>
    </row>
    <row r="4733">
      <c r="A4733" s="42" t="s">
        <v>3415</v>
      </c>
    </row>
    <row r="4734">
      <c r="A4734" s="42" t="s">
        <v>3415</v>
      </c>
    </row>
    <row r="4735">
      <c r="A4735" s="42" t="s">
        <v>3415</v>
      </c>
    </row>
    <row r="4736">
      <c r="A4736" s="42" t="s">
        <v>3415</v>
      </c>
    </row>
    <row r="4737">
      <c r="A4737" s="42" t="s">
        <v>3415</v>
      </c>
    </row>
    <row r="4738">
      <c r="A4738" s="42" t="s">
        <v>3415</v>
      </c>
    </row>
    <row r="4739">
      <c r="A4739" s="42" t="s">
        <v>3415</v>
      </c>
    </row>
    <row r="4740">
      <c r="A4740" s="42" t="s">
        <v>3415</v>
      </c>
    </row>
    <row r="4741">
      <c r="A4741" s="42" t="s">
        <v>3415</v>
      </c>
    </row>
    <row r="4742">
      <c r="A4742" s="42" t="s">
        <v>3415</v>
      </c>
    </row>
    <row r="4743">
      <c r="A4743" s="42" t="s">
        <v>3415</v>
      </c>
    </row>
    <row r="4744">
      <c r="A4744" s="42" t="s">
        <v>3415</v>
      </c>
    </row>
    <row r="4745">
      <c r="A4745" s="42" t="s">
        <v>3415</v>
      </c>
    </row>
    <row r="4746">
      <c r="A4746" s="42" t="s">
        <v>3415</v>
      </c>
    </row>
    <row r="4747">
      <c r="A4747" s="42" t="s">
        <v>3415</v>
      </c>
    </row>
    <row r="4748">
      <c r="A4748" s="42" t="s">
        <v>3415</v>
      </c>
    </row>
    <row r="4749">
      <c r="A4749" s="42" t="s">
        <v>3415</v>
      </c>
    </row>
    <row r="4750">
      <c r="A4750" s="42" t="s">
        <v>3415</v>
      </c>
    </row>
    <row r="4751">
      <c r="A4751" s="42" t="s">
        <v>3415</v>
      </c>
    </row>
    <row r="4752">
      <c r="A4752" s="42" t="s">
        <v>3415</v>
      </c>
    </row>
    <row r="4753">
      <c r="A4753" s="42" t="s">
        <v>3415</v>
      </c>
    </row>
    <row r="4754">
      <c r="A4754" s="42" t="s">
        <v>3415</v>
      </c>
    </row>
    <row r="4755">
      <c r="A4755" s="42" t="s">
        <v>3415</v>
      </c>
    </row>
    <row r="4756">
      <c r="A4756" s="42" t="s">
        <v>3415</v>
      </c>
    </row>
    <row r="4757">
      <c r="A4757" s="42" t="s">
        <v>3415</v>
      </c>
    </row>
    <row r="4758">
      <c r="A4758" s="42" t="s">
        <v>3415</v>
      </c>
    </row>
    <row r="4759">
      <c r="A4759" s="42" t="s">
        <v>3415</v>
      </c>
    </row>
    <row r="4760">
      <c r="A4760" s="42" t="s">
        <v>3415</v>
      </c>
    </row>
    <row r="4761">
      <c r="A4761" s="42" t="s">
        <v>3415</v>
      </c>
    </row>
    <row r="4762">
      <c r="A4762" s="42" t="s">
        <v>3415</v>
      </c>
    </row>
    <row r="4763">
      <c r="A4763" s="42" t="s">
        <v>3415</v>
      </c>
    </row>
    <row r="4764">
      <c r="A4764" s="42" t="s">
        <v>3415</v>
      </c>
    </row>
    <row r="4765">
      <c r="A4765" s="42" t="s">
        <v>3415</v>
      </c>
    </row>
    <row r="4766">
      <c r="A4766" s="42" t="s">
        <v>3415</v>
      </c>
    </row>
    <row r="4767">
      <c r="A4767" s="42" t="s">
        <v>3415</v>
      </c>
    </row>
    <row r="4768">
      <c r="A4768" s="42" t="s">
        <v>3415</v>
      </c>
    </row>
    <row r="4769">
      <c r="A4769" s="42" t="s">
        <v>3415</v>
      </c>
    </row>
    <row r="4770">
      <c r="A4770" s="42" t="s">
        <v>3415</v>
      </c>
    </row>
    <row r="4771">
      <c r="A4771" s="42" t="s">
        <v>3415</v>
      </c>
    </row>
    <row r="4772">
      <c r="A4772" s="42" t="s">
        <v>3415</v>
      </c>
    </row>
    <row r="4773">
      <c r="A4773" s="42" t="s">
        <v>3415</v>
      </c>
    </row>
    <row r="4774">
      <c r="A4774" s="42" t="s">
        <v>3415</v>
      </c>
    </row>
    <row r="4775">
      <c r="A4775" s="42" t="s">
        <v>3415</v>
      </c>
    </row>
    <row r="4776">
      <c r="A4776" s="42" t="s">
        <v>3415</v>
      </c>
    </row>
    <row r="4777">
      <c r="A4777" s="42" t="s">
        <v>3415</v>
      </c>
    </row>
    <row r="4778">
      <c r="A4778" s="42" t="s">
        <v>3415</v>
      </c>
    </row>
    <row r="4779">
      <c r="A4779" s="42" t="s">
        <v>3415</v>
      </c>
    </row>
    <row r="4780">
      <c r="A4780" s="42" t="s">
        <v>3415</v>
      </c>
    </row>
    <row r="4781">
      <c r="A4781" s="42" t="s">
        <v>3415</v>
      </c>
    </row>
    <row r="4782">
      <c r="A4782" s="42" t="s">
        <v>3415</v>
      </c>
    </row>
    <row r="4783">
      <c r="A4783" s="42" t="s">
        <v>3415</v>
      </c>
    </row>
    <row r="4784">
      <c r="A4784" s="42" t="s">
        <v>3415</v>
      </c>
    </row>
    <row r="4785">
      <c r="A4785" s="42" t="s">
        <v>3415</v>
      </c>
    </row>
    <row r="4786">
      <c r="A4786" s="42" t="s">
        <v>3415</v>
      </c>
    </row>
    <row r="4787">
      <c r="A4787" s="42" t="s">
        <v>3415</v>
      </c>
    </row>
    <row r="4788">
      <c r="A4788" s="42" t="s">
        <v>3415</v>
      </c>
    </row>
    <row r="4789">
      <c r="A4789" s="42" t="s">
        <v>3415</v>
      </c>
    </row>
    <row r="4790">
      <c r="A4790" s="42" t="s">
        <v>3415</v>
      </c>
    </row>
    <row r="4791">
      <c r="A4791" s="42" t="s">
        <v>3415</v>
      </c>
    </row>
    <row r="4792">
      <c r="A4792" s="42" t="s">
        <v>3415</v>
      </c>
    </row>
    <row r="4793">
      <c r="A4793" s="42" t="s">
        <v>3415</v>
      </c>
    </row>
    <row r="4794">
      <c r="A4794" s="42" t="s">
        <v>3415</v>
      </c>
    </row>
    <row r="4795">
      <c r="A4795" s="42" t="s">
        <v>3415</v>
      </c>
    </row>
    <row r="4796">
      <c r="A4796" s="42" t="s">
        <v>3415</v>
      </c>
    </row>
    <row r="4797">
      <c r="A4797" s="42" t="s">
        <v>3415</v>
      </c>
    </row>
    <row r="4798">
      <c r="A4798" s="42" t="s">
        <v>3415</v>
      </c>
    </row>
    <row r="4799">
      <c r="A4799" s="42" t="s">
        <v>3415</v>
      </c>
    </row>
    <row r="4800">
      <c r="A4800" s="42" t="s">
        <v>3415</v>
      </c>
    </row>
    <row r="4801">
      <c r="A4801" s="42" t="s">
        <v>3415</v>
      </c>
    </row>
    <row r="4802">
      <c r="A4802" s="42" t="s">
        <v>3415</v>
      </c>
    </row>
    <row r="4803">
      <c r="A4803" s="42" t="s">
        <v>3415</v>
      </c>
    </row>
    <row r="4804">
      <c r="A4804" s="42" t="s">
        <v>3415</v>
      </c>
    </row>
    <row r="4805">
      <c r="A4805" s="42" t="s">
        <v>3415</v>
      </c>
    </row>
    <row r="4806">
      <c r="A4806" s="42" t="s">
        <v>3415</v>
      </c>
    </row>
    <row r="4807">
      <c r="A4807" s="42" t="s">
        <v>3415</v>
      </c>
    </row>
    <row r="4808">
      <c r="A4808" s="42" t="s">
        <v>3415</v>
      </c>
    </row>
    <row r="4809">
      <c r="A4809" s="42" t="s">
        <v>3415</v>
      </c>
    </row>
    <row r="4810">
      <c r="A4810" s="42" t="s">
        <v>3415</v>
      </c>
    </row>
    <row r="4811">
      <c r="A4811" s="42" t="s">
        <v>3415</v>
      </c>
    </row>
    <row r="4812">
      <c r="A4812" s="42" t="s">
        <v>3415</v>
      </c>
    </row>
    <row r="4813">
      <c r="A4813" s="42" t="s">
        <v>3415</v>
      </c>
    </row>
    <row r="4814">
      <c r="A4814" s="42" t="s">
        <v>3415</v>
      </c>
    </row>
    <row r="4815">
      <c r="A4815" s="42" t="s">
        <v>3415</v>
      </c>
    </row>
    <row r="4816">
      <c r="A4816" s="42" t="s">
        <v>3415</v>
      </c>
    </row>
    <row r="4817">
      <c r="A4817" s="42" t="s">
        <v>3415</v>
      </c>
    </row>
    <row r="4818">
      <c r="A4818" s="42" t="s">
        <v>3415</v>
      </c>
    </row>
    <row r="4819">
      <c r="A4819" s="42" t="s">
        <v>3415</v>
      </c>
    </row>
    <row r="4820">
      <c r="A4820" s="42" t="s">
        <v>3415</v>
      </c>
    </row>
    <row r="4821">
      <c r="A4821" s="42" t="s">
        <v>3415</v>
      </c>
    </row>
    <row r="4822">
      <c r="A4822" s="42" t="s">
        <v>3415</v>
      </c>
    </row>
    <row r="4823">
      <c r="A4823" s="42" t="s">
        <v>3415</v>
      </c>
    </row>
    <row r="4824">
      <c r="A4824" s="42" t="s">
        <v>3415</v>
      </c>
    </row>
    <row r="4825">
      <c r="A4825" s="42" t="s">
        <v>3415</v>
      </c>
    </row>
    <row r="4826">
      <c r="A4826" s="42" t="s">
        <v>3415</v>
      </c>
    </row>
    <row r="4827">
      <c r="A4827" s="42" t="s">
        <v>3415</v>
      </c>
    </row>
    <row r="4828">
      <c r="A4828" s="42" t="s">
        <v>3415</v>
      </c>
    </row>
    <row r="4829">
      <c r="A4829" s="42" t="s">
        <v>3415</v>
      </c>
    </row>
    <row r="4830">
      <c r="A4830" s="42" t="s">
        <v>3415</v>
      </c>
    </row>
    <row r="4831">
      <c r="A4831" s="42" t="s">
        <v>3415</v>
      </c>
    </row>
    <row r="4832">
      <c r="A4832" s="42" t="s">
        <v>3415</v>
      </c>
    </row>
    <row r="4833">
      <c r="A4833" s="42" t="s">
        <v>3415</v>
      </c>
    </row>
    <row r="4834">
      <c r="A4834" s="42" t="s">
        <v>3415</v>
      </c>
    </row>
    <row r="4835">
      <c r="A4835" s="42" t="s">
        <v>3415</v>
      </c>
    </row>
    <row r="4836">
      <c r="A4836" s="42" t="s">
        <v>3415</v>
      </c>
    </row>
    <row r="4837">
      <c r="A4837" s="42" t="s">
        <v>3415</v>
      </c>
    </row>
    <row r="4838">
      <c r="A4838" s="42" t="s">
        <v>3415</v>
      </c>
    </row>
    <row r="4839">
      <c r="A4839" s="42" t="s">
        <v>3415</v>
      </c>
    </row>
    <row r="4840">
      <c r="A4840" s="42" t="s">
        <v>3415</v>
      </c>
    </row>
    <row r="4841">
      <c r="A4841" s="42" t="s">
        <v>3415</v>
      </c>
    </row>
    <row r="4842">
      <c r="A4842" s="42" t="s">
        <v>3415</v>
      </c>
    </row>
    <row r="4843">
      <c r="A4843" s="42" t="s">
        <v>3415</v>
      </c>
    </row>
    <row r="4844">
      <c r="A4844" s="42" t="s">
        <v>3415</v>
      </c>
    </row>
    <row r="4845">
      <c r="A4845" s="42" t="s">
        <v>3415</v>
      </c>
    </row>
    <row r="4846">
      <c r="A4846" s="42" t="s">
        <v>3415</v>
      </c>
    </row>
    <row r="4847">
      <c r="A4847" s="42" t="s">
        <v>3415</v>
      </c>
    </row>
    <row r="4848">
      <c r="A4848" s="42" t="s">
        <v>3415</v>
      </c>
    </row>
    <row r="4849">
      <c r="A4849" s="42" t="s">
        <v>3415</v>
      </c>
    </row>
    <row r="4850">
      <c r="A4850" s="42" t="s">
        <v>3415</v>
      </c>
    </row>
    <row r="4851">
      <c r="A4851" s="42" t="s">
        <v>3415</v>
      </c>
    </row>
    <row r="4852">
      <c r="A4852" s="42" t="s">
        <v>3415</v>
      </c>
    </row>
    <row r="4853">
      <c r="A4853" s="42" t="s">
        <v>3415</v>
      </c>
    </row>
    <row r="4854">
      <c r="A4854" s="42" t="s">
        <v>3415</v>
      </c>
    </row>
    <row r="4855">
      <c r="A4855" s="42" t="s">
        <v>3415</v>
      </c>
    </row>
    <row r="4856">
      <c r="A4856" s="42" t="s">
        <v>3415</v>
      </c>
    </row>
    <row r="4857">
      <c r="A4857" s="42" t="s">
        <v>3415</v>
      </c>
    </row>
    <row r="4858">
      <c r="A4858" s="42" t="s">
        <v>3415</v>
      </c>
    </row>
    <row r="4859">
      <c r="A4859" s="42" t="s">
        <v>3415</v>
      </c>
    </row>
    <row r="4860">
      <c r="A4860" s="42" t="s">
        <v>3415</v>
      </c>
    </row>
    <row r="4861">
      <c r="A4861" s="42" t="s">
        <v>3415</v>
      </c>
    </row>
    <row r="4862">
      <c r="A4862" s="42" t="s">
        <v>3415</v>
      </c>
    </row>
    <row r="4863">
      <c r="A4863" s="42" t="s">
        <v>3415</v>
      </c>
    </row>
    <row r="4864">
      <c r="A4864" s="42" t="s">
        <v>3415</v>
      </c>
    </row>
    <row r="4865">
      <c r="A4865" s="42" t="s">
        <v>3415</v>
      </c>
    </row>
    <row r="4866">
      <c r="A4866" s="42" t="s">
        <v>3415</v>
      </c>
    </row>
    <row r="4867">
      <c r="A4867" s="42" t="s">
        <v>3415</v>
      </c>
    </row>
    <row r="4868">
      <c r="A4868" s="42" t="s">
        <v>3415</v>
      </c>
    </row>
    <row r="4869">
      <c r="A4869" s="42" t="s">
        <v>3415</v>
      </c>
    </row>
    <row r="4870">
      <c r="A4870" s="42" t="s">
        <v>3415</v>
      </c>
    </row>
    <row r="4871">
      <c r="A4871" s="42" t="s">
        <v>3415</v>
      </c>
    </row>
    <row r="4872">
      <c r="A4872" s="42" t="s">
        <v>3415</v>
      </c>
    </row>
    <row r="4873">
      <c r="A4873" s="42" t="s">
        <v>3415</v>
      </c>
    </row>
    <row r="4874">
      <c r="A4874" s="42" t="s">
        <v>3415</v>
      </c>
    </row>
    <row r="4875">
      <c r="A4875" s="42" t="s">
        <v>3415</v>
      </c>
    </row>
    <row r="4876">
      <c r="A4876" s="42" t="s">
        <v>3415</v>
      </c>
    </row>
    <row r="4877">
      <c r="A4877" s="42" t="s">
        <v>3415</v>
      </c>
    </row>
    <row r="4878">
      <c r="A4878" s="42" t="s">
        <v>3415</v>
      </c>
    </row>
    <row r="4879">
      <c r="A4879" s="42" t="s">
        <v>3415</v>
      </c>
    </row>
    <row r="4880">
      <c r="A4880" s="42" t="s">
        <v>3415</v>
      </c>
    </row>
    <row r="4881">
      <c r="A4881" s="42" t="s">
        <v>3415</v>
      </c>
    </row>
    <row r="4882">
      <c r="A4882" s="42" t="s">
        <v>3415</v>
      </c>
    </row>
    <row r="4883">
      <c r="A4883" s="42" t="s">
        <v>3415</v>
      </c>
    </row>
    <row r="4884">
      <c r="A4884" s="42" t="s">
        <v>3415</v>
      </c>
    </row>
    <row r="4885">
      <c r="A4885" s="42" t="s">
        <v>3415</v>
      </c>
    </row>
    <row r="4886">
      <c r="A4886" s="42" t="s">
        <v>3415</v>
      </c>
    </row>
    <row r="4887">
      <c r="A4887" s="42" t="s">
        <v>3415</v>
      </c>
    </row>
    <row r="4888">
      <c r="A4888" s="42" t="s">
        <v>3415</v>
      </c>
    </row>
    <row r="4889">
      <c r="A4889" s="42" t="s">
        <v>3415</v>
      </c>
    </row>
    <row r="4890">
      <c r="A4890" s="42" t="s">
        <v>3415</v>
      </c>
    </row>
    <row r="4891">
      <c r="A4891" s="42" t="s">
        <v>3415</v>
      </c>
    </row>
    <row r="4892">
      <c r="A4892" s="42" t="s">
        <v>3415</v>
      </c>
    </row>
    <row r="4893">
      <c r="A4893" s="42" t="s">
        <v>3415</v>
      </c>
    </row>
    <row r="4894">
      <c r="A4894" s="42" t="s">
        <v>3415</v>
      </c>
    </row>
    <row r="4895">
      <c r="A4895" s="42" t="s">
        <v>3415</v>
      </c>
    </row>
    <row r="4896">
      <c r="A4896" s="42" t="s">
        <v>3415</v>
      </c>
    </row>
    <row r="4897">
      <c r="A4897" s="42" t="s">
        <v>3415</v>
      </c>
    </row>
    <row r="4898">
      <c r="A4898" s="42" t="s">
        <v>3415</v>
      </c>
    </row>
    <row r="4899">
      <c r="A4899" s="42" t="s">
        <v>3415</v>
      </c>
    </row>
    <row r="4900">
      <c r="A4900" s="42" t="s">
        <v>3415</v>
      </c>
    </row>
    <row r="4901">
      <c r="A4901" s="42" t="s">
        <v>3415</v>
      </c>
    </row>
    <row r="4902">
      <c r="A4902" s="42" t="s">
        <v>3415</v>
      </c>
    </row>
    <row r="4903">
      <c r="A4903" s="42" t="s">
        <v>3415</v>
      </c>
    </row>
    <row r="4904">
      <c r="A4904" s="42" t="s">
        <v>3415</v>
      </c>
    </row>
    <row r="4905">
      <c r="A4905" s="42" t="s">
        <v>3415</v>
      </c>
    </row>
    <row r="4906">
      <c r="A4906" s="42" t="s">
        <v>3415</v>
      </c>
    </row>
    <row r="4907">
      <c r="A4907" s="42" t="s">
        <v>3415</v>
      </c>
    </row>
    <row r="4908">
      <c r="A4908" s="42" t="s">
        <v>3415</v>
      </c>
    </row>
    <row r="4909">
      <c r="A4909" s="42" t="s">
        <v>3415</v>
      </c>
    </row>
    <row r="4910">
      <c r="A4910" s="42" t="s">
        <v>3415</v>
      </c>
    </row>
    <row r="4911">
      <c r="A4911" s="42" t="s">
        <v>3415</v>
      </c>
    </row>
    <row r="4912">
      <c r="A4912" s="42" t="s">
        <v>3415</v>
      </c>
    </row>
    <row r="4913">
      <c r="A4913" s="42" t="s">
        <v>3415</v>
      </c>
    </row>
    <row r="4914">
      <c r="A4914" s="42" t="s">
        <v>3415</v>
      </c>
    </row>
    <row r="4915">
      <c r="A4915" s="42" t="s">
        <v>3415</v>
      </c>
    </row>
    <row r="4916">
      <c r="A4916" s="42" t="s">
        <v>3415</v>
      </c>
    </row>
    <row r="4917">
      <c r="A4917" s="42" t="s">
        <v>3415</v>
      </c>
    </row>
    <row r="4918">
      <c r="A4918" s="42" t="s">
        <v>3415</v>
      </c>
    </row>
    <row r="4919">
      <c r="A4919" s="42" t="s">
        <v>3415</v>
      </c>
    </row>
    <row r="4920">
      <c r="A4920" s="42" t="s">
        <v>3415</v>
      </c>
    </row>
    <row r="4921">
      <c r="A4921" s="42" t="s">
        <v>3415</v>
      </c>
    </row>
    <row r="4922">
      <c r="A4922" s="42" t="s">
        <v>3415</v>
      </c>
    </row>
    <row r="4923">
      <c r="A4923" s="42" t="s">
        <v>3415</v>
      </c>
    </row>
    <row r="4924">
      <c r="A4924" s="42" t="s">
        <v>3415</v>
      </c>
    </row>
    <row r="4925">
      <c r="A4925" s="42" t="s">
        <v>3415</v>
      </c>
    </row>
    <row r="4926">
      <c r="A4926" s="42" t="s">
        <v>3415</v>
      </c>
    </row>
    <row r="4927">
      <c r="A4927" s="42" t="s">
        <v>3415</v>
      </c>
    </row>
    <row r="4928">
      <c r="A4928" s="42" t="s">
        <v>3415</v>
      </c>
    </row>
    <row r="4929">
      <c r="A4929" s="42" t="s">
        <v>3415</v>
      </c>
    </row>
    <row r="4930">
      <c r="A4930" s="42" t="s">
        <v>3415</v>
      </c>
    </row>
    <row r="4931">
      <c r="A4931" s="42" t="s">
        <v>3415</v>
      </c>
    </row>
    <row r="4932">
      <c r="A4932" s="42" t="s">
        <v>3415</v>
      </c>
    </row>
    <row r="4933">
      <c r="A4933" s="42" t="s">
        <v>3415</v>
      </c>
    </row>
    <row r="4934">
      <c r="A4934" s="42" t="s">
        <v>3415</v>
      </c>
    </row>
    <row r="4935">
      <c r="A4935" s="42" t="s">
        <v>3415</v>
      </c>
    </row>
    <row r="4936">
      <c r="A4936" s="42" t="s">
        <v>3415</v>
      </c>
    </row>
    <row r="4937">
      <c r="A4937" s="42" t="s">
        <v>3415</v>
      </c>
    </row>
    <row r="4938">
      <c r="A4938" s="42" t="s">
        <v>3415</v>
      </c>
    </row>
    <row r="4939">
      <c r="A4939" s="42" t="s">
        <v>3415</v>
      </c>
    </row>
    <row r="4940">
      <c r="A4940" s="42" t="s">
        <v>3415</v>
      </c>
    </row>
    <row r="4941">
      <c r="A4941" s="42" t="s">
        <v>3415</v>
      </c>
    </row>
    <row r="4942">
      <c r="A4942" s="42" t="s">
        <v>3415</v>
      </c>
    </row>
    <row r="4943">
      <c r="A4943" s="42" t="s">
        <v>3415</v>
      </c>
    </row>
    <row r="4944">
      <c r="A4944" s="42" t="s">
        <v>3415</v>
      </c>
    </row>
    <row r="4945">
      <c r="A4945" s="42" t="s">
        <v>3415</v>
      </c>
    </row>
    <row r="4946">
      <c r="A4946" s="42" t="s">
        <v>3415</v>
      </c>
    </row>
    <row r="4947">
      <c r="A4947" s="42" t="s">
        <v>3415</v>
      </c>
    </row>
    <row r="4948">
      <c r="A4948" s="42" t="s">
        <v>3415</v>
      </c>
    </row>
    <row r="4949">
      <c r="A4949" s="42" t="s">
        <v>3415</v>
      </c>
    </row>
    <row r="4950">
      <c r="A4950" s="42" t="s">
        <v>3415</v>
      </c>
    </row>
    <row r="4951">
      <c r="A4951" s="42" t="s">
        <v>3415</v>
      </c>
    </row>
    <row r="4952">
      <c r="A4952" s="42" t="s">
        <v>3415</v>
      </c>
    </row>
    <row r="4953">
      <c r="A4953" s="42" t="s">
        <v>3415</v>
      </c>
    </row>
    <row r="4954">
      <c r="A4954" s="42" t="s">
        <v>3415</v>
      </c>
    </row>
    <row r="4955">
      <c r="A4955" s="42" t="s">
        <v>3415</v>
      </c>
    </row>
    <row r="4956">
      <c r="A4956" s="42" t="s">
        <v>3415</v>
      </c>
    </row>
    <row r="4957">
      <c r="A4957" s="42" t="s">
        <v>3415</v>
      </c>
    </row>
    <row r="4958">
      <c r="A4958" s="42" t="s">
        <v>3415</v>
      </c>
    </row>
    <row r="4959">
      <c r="A4959" s="42" t="s">
        <v>3415</v>
      </c>
    </row>
    <row r="4960">
      <c r="A4960" s="42" t="s">
        <v>3415</v>
      </c>
    </row>
    <row r="4961">
      <c r="A4961" s="42" t="s">
        <v>3415</v>
      </c>
    </row>
    <row r="4962">
      <c r="A4962" s="42" t="s">
        <v>3415</v>
      </c>
    </row>
    <row r="4963">
      <c r="A4963" s="42" t="s">
        <v>3415</v>
      </c>
    </row>
    <row r="4964">
      <c r="A4964" s="42" t="s">
        <v>3415</v>
      </c>
    </row>
    <row r="4965">
      <c r="A4965" s="42" t="s">
        <v>3415</v>
      </c>
    </row>
    <row r="4966">
      <c r="A4966" s="42" t="s">
        <v>3415</v>
      </c>
    </row>
    <row r="4967">
      <c r="A4967" s="42" t="s">
        <v>3415</v>
      </c>
    </row>
    <row r="4968">
      <c r="A4968" s="42" t="s">
        <v>3415</v>
      </c>
    </row>
    <row r="4969">
      <c r="A4969" s="42" t="s">
        <v>3415</v>
      </c>
    </row>
    <row r="4970">
      <c r="A4970" s="42" t="s">
        <v>3415</v>
      </c>
    </row>
    <row r="4971">
      <c r="A4971" s="42" t="s">
        <v>3415</v>
      </c>
    </row>
    <row r="4972">
      <c r="A4972" s="42" t="s">
        <v>3415</v>
      </c>
    </row>
    <row r="4973">
      <c r="A4973" s="42" t="s">
        <v>3415</v>
      </c>
    </row>
    <row r="4974">
      <c r="A4974" s="42" t="s">
        <v>3415</v>
      </c>
    </row>
    <row r="4975">
      <c r="A4975" s="42" t="s">
        <v>3415</v>
      </c>
    </row>
    <row r="4976">
      <c r="A4976" s="42" t="s">
        <v>3415</v>
      </c>
    </row>
    <row r="4977">
      <c r="A4977" s="42" t="s">
        <v>3415</v>
      </c>
    </row>
    <row r="4978">
      <c r="A4978" s="42" t="s">
        <v>3415</v>
      </c>
    </row>
    <row r="4979">
      <c r="A4979" s="42" t="s">
        <v>3415</v>
      </c>
    </row>
    <row r="4980">
      <c r="A4980" s="42" t="s">
        <v>3415</v>
      </c>
    </row>
    <row r="4981">
      <c r="A4981" s="42" t="s">
        <v>3415</v>
      </c>
    </row>
    <row r="4982">
      <c r="A4982" s="42" t="s">
        <v>3415</v>
      </c>
    </row>
    <row r="4983">
      <c r="A4983" s="42" t="s">
        <v>3415</v>
      </c>
    </row>
    <row r="4984">
      <c r="A4984" s="42" t="s">
        <v>3415</v>
      </c>
    </row>
    <row r="4985">
      <c r="A4985" s="42" t="s">
        <v>3415</v>
      </c>
    </row>
    <row r="4986">
      <c r="A4986" s="42" t="s">
        <v>3415</v>
      </c>
    </row>
    <row r="4987">
      <c r="A4987" s="42" t="s">
        <v>3415</v>
      </c>
    </row>
    <row r="4988">
      <c r="A4988" s="42" t="s">
        <v>3415</v>
      </c>
    </row>
    <row r="4989">
      <c r="A4989" s="42" t="s">
        <v>3415</v>
      </c>
    </row>
    <row r="4990">
      <c r="A4990" s="42" t="s">
        <v>3415</v>
      </c>
    </row>
    <row r="4991">
      <c r="A4991" s="42" t="s">
        <v>3415</v>
      </c>
    </row>
    <row r="4992">
      <c r="A4992" s="42" t="s">
        <v>3415</v>
      </c>
    </row>
    <row r="4993">
      <c r="A4993" s="42" t="s">
        <v>3415</v>
      </c>
    </row>
    <row r="4994">
      <c r="A4994" s="42" t="s">
        <v>3415</v>
      </c>
    </row>
    <row r="4995">
      <c r="A4995" s="42" t="s">
        <v>3415</v>
      </c>
    </row>
    <row r="4996">
      <c r="A4996" s="42" t="s">
        <v>3415</v>
      </c>
    </row>
    <row r="4997">
      <c r="A4997" s="42" t="s">
        <v>3415</v>
      </c>
    </row>
    <row r="4998">
      <c r="A4998" s="42" t="s">
        <v>3415</v>
      </c>
    </row>
    <row r="4999">
      <c r="A4999" s="42" t="s">
        <v>3415</v>
      </c>
    </row>
    <row r="5000">
      <c r="A5000" s="42" t="s">
        <v>3415</v>
      </c>
    </row>
    <row r="5001">
      <c r="A5001" s="42" t="s">
        <v>3415</v>
      </c>
    </row>
    <row r="5002">
      <c r="A5002" s="42" t="s">
        <v>3415</v>
      </c>
    </row>
    <row r="5003">
      <c r="A5003" s="42" t="s">
        <v>3415</v>
      </c>
    </row>
    <row r="5004">
      <c r="A5004" s="42" t="s">
        <v>3415</v>
      </c>
    </row>
    <row r="5005">
      <c r="A5005" s="42" t="s">
        <v>3415</v>
      </c>
    </row>
    <row r="5006">
      <c r="A5006" s="42" t="s">
        <v>3415</v>
      </c>
    </row>
    <row r="5007">
      <c r="A5007" s="42" t="s">
        <v>3415</v>
      </c>
    </row>
    <row r="5008">
      <c r="A5008" s="42" t="s">
        <v>3415</v>
      </c>
    </row>
    <row r="5009">
      <c r="A5009" s="42" t="s">
        <v>3415</v>
      </c>
    </row>
    <row r="5010">
      <c r="A5010" s="42" t="s">
        <v>3415</v>
      </c>
    </row>
    <row r="5011">
      <c r="A5011" s="42" t="s">
        <v>3415</v>
      </c>
    </row>
    <row r="5012">
      <c r="A5012" s="42" t="s">
        <v>3415</v>
      </c>
    </row>
    <row r="5013">
      <c r="A5013" s="42" t="s">
        <v>3415</v>
      </c>
    </row>
    <row r="5014">
      <c r="A5014" s="42" t="s">
        <v>3415</v>
      </c>
    </row>
    <row r="5015">
      <c r="A5015" s="42" t="s">
        <v>3415</v>
      </c>
    </row>
    <row r="5016">
      <c r="A5016" s="42" t="s">
        <v>3415</v>
      </c>
    </row>
    <row r="5017">
      <c r="A5017" s="42" t="s">
        <v>3415</v>
      </c>
    </row>
    <row r="5018">
      <c r="A5018" s="42" t="s">
        <v>3415</v>
      </c>
    </row>
    <row r="5019">
      <c r="A5019" s="42" t="s">
        <v>3415</v>
      </c>
    </row>
    <row r="5020">
      <c r="A5020" s="42" t="s">
        <v>3415</v>
      </c>
    </row>
    <row r="5021">
      <c r="A5021" s="42" t="s">
        <v>3415</v>
      </c>
    </row>
    <row r="5022">
      <c r="A5022" s="42" t="s">
        <v>3415</v>
      </c>
    </row>
    <row r="5023">
      <c r="A5023" s="42" t="s">
        <v>3415</v>
      </c>
    </row>
    <row r="5024">
      <c r="A5024" s="42" t="s">
        <v>3415</v>
      </c>
    </row>
    <row r="5025">
      <c r="A5025" s="42" t="s">
        <v>3415</v>
      </c>
    </row>
    <row r="5026">
      <c r="A5026" s="42" t="s">
        <v>3415</v>
      </c>
    </row>
    <row r="5027">
      <c r="A5027" s="42" t="s">
        <v>3415</v>
      </c>
    </row>
    <row r="5028">
      <c r="A5028" s="42" t="s">
        <v>3415</v>
      </c>
    </row>
    <row r="5029">
      <c r="A5029" s="42" t="s">
        <v>3415</v>
      </c>
    </row>
    <row r="5030">
      <c r="A5030" s="42" t="s">
        <v>3415</v>
      </c>
    </row>
    <row r="5031">
      <c r="A5031" s="42" t="s">
        <v>3415</v>
      </c>
    </row>
    <row r="5032">
      <c r="A5032" s="42" t="s">
        <v>3415</v>
      </c>
    </row>
    <row r="5033">
      <c r="A5033" s="42" t="s">
        <v>3415</v>
      </c>
    </row>
    <row r="5034">
      <c r="A5034" s="42" t="s">
        <v>3415</v>
      </c>
    </row>
    <row r="5035">
      <c r="A5035" s="42" t="s">
        <v>3415</v>
      </c>
    </row>
    <row r="5036">
      <c r="A5036" s="42" t="s">
        <v>3415</v>
      </c>
    </row>
    <row r="5037">
      <c r="A5037" s="42" t="s">
        <v>3415</v>
      </c>
    </row>
    <row r="5038">
      <c r="A5038" s="42" t="s">
        <v>3415</v>
      </c>
    </row>
    <row r="5039">
      <c r="A5039" s="42" t="s">
        <v>3415</v>
      </c>
    </row>
    <row r="5040">
      <c r="A5040" s="42" t="s">
        <v>3415</v>
      </c>
    </row>
    <row r="5041">
      <c r="A5041" s="42" t="s">
        <v>3415</v>
      </c>
    </row>
    <row r="5042">
      <c r="A5042" s="42" t="s">
        <v>3415</v>
      </c>
    </row>
    <row r="5043">
      <c r="A5043" s="42" t="s">
        <v>3415</v>
      </c>
    </row>
    <row r="5044">
      <c r="A5044" s="42" t="s">
        <v>3415</v>
      </c>
    </row>
    <row r="5045">
      <c r="A5045" s="42" t="s">
        <v>3415</v>
      </c>
    </row>
    <row r="5046">
      <c r="A5046" s="42" t="s">
        <v>3415</v>
      </c>
    </row>
    <row r="5047">
      <c r="A5047" s="42" t="s">
        <v>3415</v>
      </c>
    </row>
    <row r="5048">
      <c r="A5048" s="42" t="s">
        <v>3415</v>
      </c>
    </row>
    <row r="5049">
      <c r="A5049" s="42" t="s">
        <v>3415</v>
      </c>
    </row>
    <row r="5050">
      <c r="A5050" s="42" t="s">
        <v>3415</v>
      </c>
    </row>
    <row r="5051">
      <c r="A5051" s="42" t="s">
        <v>3415</v>
      </c>
    </row>
    <row r="5052">
      <c r="A5052" s="42" t="s">
        <v>3415</v>
      </c>
    </row>
    <row r="5053">
      <c r="A5053" s="42" t="s">
        <v>3415</v>
      </c>
    </row>
    <row r="5054">
      <c r="A5054" s="42" t="s">
        <v>3415</v>
      </c>
    </row>
    <row r="5055">
      <c r="A5055" s="42" t="s">
        <v>3415</v>
      </c>
    </row>
    <row r="5056">
      <c r="A5056" s="42" t="s">
        <v>3415</v>
      </c>
    </row>
    <row r="5057">
      <c r="A5057" s="42" t="s">
        <v>3415</v>
      </c>
    </row>
    <row r="5058">
      <c r="A5058" s="42" t="s">
        <v>3415</v>
      </c>
    </row>
    <row r="5059">
      <c r="A5059" s="42" t="s">
        <v>3415</v>
      </c>
    </row>
    <row r="5060">
      <c r="A5060" s="42" t="s">
        <v>3415</v>
      </c>
    </row>
    <row r="5061">
      <c r="A5061" s="42" t="s">
        <v>3415</v>
      </c>
    </row>
    <row r="5062">
      <c r="A5062" s="42" t="s">
        <v>3415</v>
      </c>
    </row>
    <row r="5063">
      <c r="A5063" s="42" t="s">
        <v>3415</v>
      </c>
    </row>
    <row r="5064">
      <c r="A5064" s="42" t="s">
        <v>3415</v>
      </c>
    </row>
    <row r="5065">
      <c r="A5065" s="42" t="s">
        <v>3415</v>
      </c>
    </row>
    <row r="5066">
      <c r="A5066" s="42" t="s">
        <v>3415</v>
      </c>
    </row>
    <row r="5067">
      <c r="A5067" s="42" t="s">
        <v>3415</v>
      </c>
    </row>
    <row r="5068">
      <c r="A5068" s="42" t="s">
        <v>3415</v>
      </c>
    </row>
    <row r="5069">
      <c r="A5069" s="42" t="s">
        <v>3415</v>
      </c>
    </row>
    <row r="5070">
      <c r="A5070" s="42" t="s">
        <v>3415</v>
      </c>
    </row>
    <row r="5071">
      <c r="A5071" s="42" t="s">
        <v>3415</v>
      </c>
    </row>
    <row r="5072">
      <c r="A5072" s="42" t="s">
        <v>3415</v>
      </c>
    </row>
    <row r="5073">
      <c r="A5073" s="42" t="s">
        <v>3415</v>
      </c>
    </row>
    <row r="5074">
      <c r="A5074" s="42" t="s">
        <v>3415</v>
      </c>
    </row>
    <row r="5075">
      <c r="A5075" s="42" t="s">
        <v>3415</v>
      </c>
    </row>
    <row r="5076">
      <c r="A5076" s="42" t="s">
        <v>3415</v>
      </c>
    </row>
    <row r="5077">
      <c r="A5077" s="42" t="s">
        <v>3415</v>
      </c>
    </row>
    <row r="5078">
      <c r="A5078" s="42" t="s">
        <v>3415</v>
      </c>
    </row>
    <row r="5079">
      <c r="A5079" s="42" t="s">
        <v>3415</v>
      </c>
    </row>
    <row r="5080">
      <c r="A5080" s="42" t="s">
        <v>3415</v>
      </c>
    </row>
    <row r="5081">
      <c r="A5081" s="42" t="s">
        <v>3415</v>
      </c>
    </row>
    <row r="5082">
      <c r="A5082" s="42" t="s">
        <v>3415</v>
      </c>
    </row>
    <row r="5083">
      <c r="A5083" s="42" t="s">
        <v>3415</v>
      </c>
    </row>
    <row r="5084">
      <c r="A5084" s="42" t="s">
        <v>3415</v>
      </c>
    </row>
    <row r="5085">
      <c r="A5085" s="42" t="s">
        <v>3415</v>
      </c>
    </row>
    <row r="5086">
      <c r="A5086" s="42" t="s">
        <v>3415</v>
      </c>
    </row>
    <row r="5087">
      <c r="A5087" s="42" t="s">
        <v>3415</v>
      </c>
    </row>
    <row r="5088">
      <c r="A5088" s="42" t="s">
        <v>3415</v>
      </c>
    </row>
    <row r="5089">
      <c r="A5089" s="42" t="s">
        <v>3415</v>
      </c>
    </row>
    <row r="5090">
      <c r="A5090" s="42" t="s">
        <v>3415</v>
      </c>
    </row>
    <row r="5091">
      <c r="A5091" s="42" t="s">
        <v>3415</v>
      </c>
    </row>
    <row r="5092">
      <c r="A5092" s="42" t="s">
        <v>3415</v>
      </c>
    </row>
    <row r="5093">
      <c r="A5093" s="42" t="s">
        <v>3415</v>
      </c>
    </row>
    <row r="5094">
      <c r="A5094" s="42" t="s">
        <v>3415</v>
      </c>
    </row>
    <row r="5095">
      <c r="A5095" s="42" t="s">
        <v>3415</v>
      </c>
    </row>
    <row r="5096">
      <c r="A5096" s="42" t="s">
        <v>3415</v>
      </c>
    </row>
    <row r="5097">
      <c r="A5097" s="42" t="s">
        <v>3415</v>
      </c>
    </row>
    <row r="5098">
      <c r="A5098" s="42" t="s">
        <v>3415</v>
      </c>
    </row>
    <row r="5099">
      <c r="A5099" s="42" t="s">
        <v>3415</v>
      </c>
    </row>
    <row r="5100">
      <c r="A5100" s="42" t="s">
        <v>3415</v>
      </c>
    </row>
    <row r="5101">
      <c r="A5101" s="42" t="s">
        <v>3415</v>
      </c>
    </row>
    <row r="5102">
      <c r="A5102" s="42" t="s">
        <v>3415</v>
      </c>
    </row>
    <row r="5103">
      <c r="A5103" s="42" t="s">
        <v>3415</v>
      </c>
    </row>
    <row r="5104">
      <c r="A5104" s="42" t="s">
        <v>3415</v>
      </c>
    </row>
    <row r="5105">
      <c r="A5105" s="42" t="s">
        <v>3415</v>
      </c>
    </row>
    <row r="5106">
      <c r="A5106" s="42" t="s">
        <v>3415</v>
      </c>
    </row>
    <row r="5107">
      <c r="A5107" s="42" t="s">
        <v>3415</v>
      </c>
    </row>
    <row r="5108">
      <c r="A5108" s="42" t="s">
        <v>3415</v>
      </c>
    </row>
    <row r="5109">
      <c r="A5109" s="42" t="s">
        <v>3415</v>
      </c>
    </row>
    <row r="5110">
      <c r="A5110" s="42" t="s">
        <v>3415</v>
      </c>
    </row>
    <row r="5111">
      <c r="A5111" s="42" t="s">
        <v>3415</v>
      </c>
    </row>
    <row r="5112">
      <c r="A5112" s="42" t="s">
        <v>3415</v>
      </c>
    </row>
    <row r="5113">
      <c r="A5113" s="42" t="s">
        <v>3415</v>
      </c>
    </row>
    <row r="5114">
      <c r="A5114" s="42" t="s">
        <v>3415</v>
      </c>
    </row>
    <row r="5115">
      <c r="A5115" s="42" t="s">
        <v>3415</v>
      </c>
    </row>
    <row r="5116">
      <c r="A5116" s="42" t="s">
        <v>3415</v>
      </c>
    </row>
    <row r="5117">
      <c r="A5117" s="42" t="s">
        <v>3415</v>
      </c>
    </row>
    <row r="5118">
      <c r="A5118" s="42" t="s">
        <v>3415</v>
      </c>
    </row>
    <row r="5119">
      <c r="A5119" s="42" t="s">
        <v>3415</v>
      </c>
    </row>
    <row r="5120">
      <c r="A5120" s="42" t="s">
        <v>3415</v>
      </c>
    </row>
    <row r="5121">
      <c r="A5121" s="42" t="s">
        <v>3415</v>
      </c>
    </row>
    <row r="5122">
      <c r="A5122" s="42" t="s">
        <v>3415</v>
      </c>
    </row>
    <row r="5123">
      <c r="A5123" s="42" t="s">
        <v>3415</v>
      </c>
    </row>
    <row r="5124">
      <c r="A5124" s="42" t="s">
        <v>3415</v>
      </c>
    </row>
    <row r="5125">
      <c r="A5125" s="42" t="s">
        <v>3415</v>
      </c>
    </row>
    <row r="5126">
      <c r="A5126" s="42" t="s">
        <v>3415</v>
      </c>
    </row>
    <row r="5127">
      <c r="A5127" s="42" t="s">
        <v>3415</v>
      </c>
    </row>
    <row r="5128">
      <c r="A5128" s="42" t="s">
        <v>3415</v>
      </c>
    </row>
    <row r="5129">
      <c r="A5129" s="42" t="s">
        <v>3415</v>
      </c>
    </row>
    <row r="5130">
      <c r="A5130" s="42" t="s">
        <v>3415</v>
      </c>
    </row>
    <row r="5131">
      <c r="A5131" s="42" t="s">
        <v>3415</v>
      </c>
    </row>
    <row r="5132">
      <c r="A5132" s="42" t="s">
        <v>3415</v>
      </c>
    </row>
    <row r="5133">
      <c r="A5133" s="42" t="s">
        <v>3415</v>
      </c>
    </row>
    <row r="5134">
      <c r="A5134" s="42" t="s">
        <v>3415</v>
      </c>
    </row>
    <row r="5135">
      <c r="A5135" s="42" t="s">
        <v>3415</v>
      </c>
    </row>
    <row r="5136">
      <c r="A5136" s="42" t="s">
        <v>3415</v>
      </c>
    </row>
    <row r="5137">
      <c r="A5137" s="42" t="s">
        <v>3415</v>
      </c>
    </row>
    <row r="5138">
      <c r="A5138" s="42" t="s">
        <v>3415</v>
      </c>
    </row>
    <row r="5139">
      <c r="A5139" s="42" t="s">
        <v>3415</v>
      </c>
    </row>
    <row r="5140">
      <c r="A5140" s="42" t="s">
        <v>3415</v>
      </c>
    </row>
    <row r="5141">
      <c r="A5141" s="42" t="s">
        <v>3415</v>
      </c>
    </row>
    <row r="5142">
      <c r="A5142" s="42" t="s">
        <v>3415</v>
      </c>
    </row>
    <row r="5143">
      <c r="A5143" s="42" t="s">
        <v>3415</v>
      </c>
    </row>
    <row r="5144">
      <c r="A5144" s="42" t="s">
        <v>3415</v>
      </c>
    </row>
    <row r="5145">
      <c r="A5145" s="42" t="s">
        <v>3415</v>
      </c>
    </row>
    <row r="5146">
      <c r="A5146" s="42" t="s">
        <v>3415</v>
      </c>
    </row>
    <row r="5147">
      <c r="A5147" s="42" t="s">
        <v>3415</v>
      </c>
    </row>
    <row r="5148">
      <c r="A5148" s="42" t="s">
        <v>3415</v>
      </c>
    </row>
    <row r="5149">
      <c r="A5149" s="42" t="s">
        <v>3415</v>
      </c>
    </row>
    <row r="5150">
      <c r="A5150" s="42" t="s">
        <v>3415</v>
      </c>
    </row>
    <row r="5151">
      <c r="A5151" s="42" t="s">
        <v>3415</v>
      </c>
    </row>
    <row r="5152">
      <c r="A5152" s="42" t="s">
        <v>3415</v>
      </c>
    </row>
    <row r="5153">
      <c r="A5153" s="42" t="s">
        <v>3415</v>
      </c>
    </row>
    <row r="5154">
      <c r="A5154" s="42" t="s">
        <v>3415</v>
      </c>
    </row>
    <row r="5155">
      <c r="A5155" s="42" t="s">
        <v>3415</v>
      </c>
    </row>
    <row r="5156">
      <c r="A5156" s="42" t="s">
        <v>3415</v>
      </c>
    </row>
    <row r="5157">
      <c r="A5157" s="42" t="s">
        <v>3415</v>
      </c>
    </row>
    <row r="5158">
      <c r="A5158" s="42" t="s">
        <v>3415</v>
      </c>
    </row>
    <row r="5159">
      <c r="A5159" s="42" t="s">
        <v>3415</v>
      </c>
    </row>
    <row r="5160">
      <c r="A5160" s="42" t="s">
        <v>3415</v>
      </c>
    </row>
    <row r="5161">
      <c r="A5161" s="42" t="s">
        <v>3415</v>
      </c>
    </row>
    <row r="5162">
      <c r="A5162" s="42" t="s">
        <v>3415</v>
      </c>
    </row>
    <row r="5163">
      <c r="A5163" s="42" t="s">
        <v>3415</v>
      </c>
    </row>
    <row r="5164">
      <c r="A5164" s="42" t="s">
        <v>3415</v>
      </c>
    </row>
    <row r="5165">
      <c r="A5165" s="42" t="s">
        <v>3415</v>
      </c>
    </row>
    <row r="5166">
      <c r="A5166" s="42" t="s">
        <v>3415</v>
      </c>
    </row>
    <row r="5167">
      <c r="A5167" s="42" t="s">
        <v>3415</v>
      </c>
    </row>
    <row r="5168">
      <c r="A5168" s="42" t="s">
        <v>3415</v>
      </c>
    </row>
    <row r="5169">
      <c r="A5169" s="42" t="s">
        <v>3415</v>
      </c>
    </row>
    <row r="5170">
      <c r="A5170" s="42" t="s">
        <v>3415</v>
      </c>
    </row>
    <row r="5171">
      <c r="A5171" s="42" t="s">
        <v>3415</v>
      </c>
    </row>
    <row r="5172">
      <c r="A5172" s="42" t="s">
        <v>3415</v>
      </c>
    </row>
    <row r="5173">
      <c r="A5173" s="42" t="s">
        <v>3415</v>
      </c>
    </row>
    <row r="5174">
      <c r="A5174" s="42" t="s">
        <v>3415</v>
      </c>
    </row>
    <row r="5175">
      <c r="A5175" s="42" t="s">
        <v>3415</v>
      </c>
    </row>
    <row r="5176">
      <c r="A5176" s="42" t="s">
        <v>3415</v>
      </c>
    </row>
    <row r="5177">
      <c r="A5177" s="42" t="s">
        <v>3415</v>
      </c>
    </row>
    <row r="5178">
      <c r="A5178" s="42" t="s">
        <v>3415</v>
      </c>
    </row>
    <row r="5179">
      <c r="A5179" s="42" t="s">
        <v>3415</v>
      </c>
    </row>
    <row r="5180">
      <c r="A5180" s="42" t="s">
        <v>3415</v>
      </c>
    </row>
    <row r="5181">
      <c r="A5181" s="42" t="s">
        <v>3415</v>
      </c>
    </row>
    <row r="5182">
      <c r="A5182" s="42" t="s">
        <v>3415</v>
      </c>
    </row>
    <row r="5183">
      <c r="A5183" s="42" t="s">
        <v>3415</v>
      </c>
    </row>
    <row r="5184">
      <c r="A5184" s="42" t="s">
        <v>3415</v>
      </c>
    </row>
    <row r="5185">
      <c r="A5185" s="42" t="s">
        <v>3415</v>
      </c>
    </row>
    <row r="5186">
      <c r="A5186" s="42" t="s">
        <v>3415</v>
      </c>
    </row>
    <row r="5187">
      <c r="A5187" s="42" t="s">
        <v>3415</v>
      </c>
    </row>
    <row r="5188">
      <c r="A5188" s="42" t="s">
        <v>3415</v>
      </c>
    </row>
    <row r="5189">
      <c r="A5189" s="42" t="s">
        <v>3415</v>
      </c>
    </row>
    <row r="5190">
      <c r="A5190" s="42" t="s">
        <v>3415</v>
      </c>
    </row>
    <row r="5191">
      <c r="A5191" s="42" t="s">
        <v>3415</v>
      </c>
    </row>
    <row r="5192">
      <c r="A5192" s="42" t="s">
        <v>3415</v>
      </c>
    </row>
    <row r="5193">
      <c r="A5193" s="42" t="s">
        <v>3415</v>
      </c>
    </row>
    <row r="5194">
      <c r="A5194" s="42" t="s">
        <v>3415</v>
      </c>
    </row>
    <row r="5195">
      <c r="A5195" s="42" t="s">
        <v>3415</v>
      </c>
    </row>
    <row r="5196">
      <c r="A5196" s="42" t="s">
        <v>3415</v>
      </c>
    </row>
    <row r="5197">
      <c r="A5197" s="42" t="s">
        <v>3415</v>
      </c>
    </row>
    <row r="5198">
      <c r="A5198" s="42" t="s">
        <v>3415</v>
      </c>
    </row>
    <row r="5199">
      <c r="A5199" s="42" t="s">
        <v>3415</v>
      </c>
    </row>
    <row r="5200">
      <c r="A5200" s="42" t="s">
        <v>3415</v>
      </c>
    </row>
    <row r="5201">
      <c r="A5201" s="42" t="s">
        <v>3415</v>
      </c>
    </row>
    <row r="5202">
      <c r="A5202" s="42" t="s">
        <v>3415</v>
      </c>
    </row>
    <row r="5203">
      <c r="A5203" s="42" t="s">
        <v>3415</v>
      </c>
    </row>
    <row r="5204">
      <c r="A5204" s="42" t="s">
        <v>3415</v>
      </c>
    </row>
    <row r="5205">
      <c r="A5205" s="42" t="s">
        <v>3415</v>
      </c>
    </row>
    <row r="5206">
      <c r="A5206" s="42" t="s">
        <v>3415</v>
      </c>
    </row>
    <row r="5207">
      <c r="A5207" s="42" t="s">
        <v>3415</v>
      </c>
    </row>
    <row r="5208">
      <c r="A5208" s="42" t="s">
        <v>3415</v>
      </c>
    </row>
    <row r="5209">
      <c r="A5209" s="42" t="s">
        <v>3415</v>
      </c>
    </row>
    <row r="5210">
      <c r="A5210" s="42" t="s">
        <v>3415</v>
      </c>
    </row>
    <row r="5211">
      <c r="A5211" s="42" t="s">
        <v>3415</v>
      </c>
    </row>
    <row r="5212">
      <c r="A5212" s="42" t="s">
        <v>3415</v>
      </c>
    </row>
    <row r="5213">
      <c r="A5213" s="42" t="s">
        <v>3415</v>
      </c>
    </row>
    <row r="5214">
      <c r="A5214" s="42" t="s">
        <v>3415</v>
      </c>
    </row>
    <row r="5215">
      <c r="A5215" s="42" t="s">
        <v>3415</v>
      </c>
    </row>
    <row r="5216">
      <c r="A5216" s="42" t="s">
        <v>3415</v>
      </c>
    </row>
    <row r="5217">
      <c r="A5217" s="42" t="s">
        <v>3415</v>
      </c>
    </row>
    <row r="5218">
      <c r="A5218" s="42" t="s">
        <v>3415</v>
      </c>
    </row>
    <row r="5219">
      <c r="A5219" s="42" t="s">
        <v>3415</v>
      </c>
    </row>
    <row r="5220">
      <c r="A5220" s="42" t="s">
        <v>3415</v>
      </c>
    </row>
    <row r="5221">
      <c r="A5221" s="42" t="s">
        <v>3415</v>
      </c>
    </row>
    <row r="5222">
      <c r="A5222" s="42" t="s">
        <v>3415</v>
      </c>
    </row>
    <row r="5223">
      <c r="A5223" s="42" t="s">
        <v>3415</v>
      </c>
    </row>
    <row r="5224">
      <c r="A5224" s="42" t="s">
        <v>3415</v>
      </c>
    </row>
    <row r="5225">
      <c r="A5225" s="42" t="s">
        <v>3415</v>
      </c>
    </row>
    <row r="5226">
      <c r="A5226" s="42" t="s">
        <v>3415</v>
      </c>
    </row>
    <row r="5227">
      <c r="A5227" s="42" t="s">
        <v>3415</v>
      </c>
    </row>
    <row r="5228">
      <c r="A5228" s="42" t="s">
        <v>3415</v>
      </c>
    </row>
    <row r="5229">
      <c r="A5229" s="42" t="s">
        <v>3415</v>
      </c>
    </row>
    <row r="5230">
      <c r="A5230" s="42" t="s">
        <v>3415</v>
      </c>
    </row>
    <row r="5231">
      <c r="A5231" s="42" t="s">
        <v>3415</v>
      </c>
    </row>
    <row r="5232">
      <c r="A5232" s="42" t="s">
        <v>3415</v>
      </c>
    </row>
    <row r="5233">
      <c r="A5233" s="42" t="s">
        <v>3415</v>
      </c>
    </row>
    <row r="5234">
      <c r="A5234" s="42" t="s">
        <v>3415</v>
      </c>
    </row>
    <row r="5235">
      <c r="A5235" s="42" t="s">
        <v>3415</v>
      </c>
    </row>
    <row r="5236">
      <c r="A5236" s="42" t="s">
        <v>3415</v>
      </c>
    </row>
    <row r="5237">
      <c r="A5237" s="42" t="s">
        <v>3415</v>
      </c>
    </row>
    <row r="5238">
      <c r="A5238" s="42" t="s">
        <v>3415</v>
      </c>
    </row>
    <row r="5239">
      <c r="A5239" s="42" t="s">
        <v>3415</v>
      </c>
    </row>
    <row r="5240">
      <c r="A5240" s="42" t="s">
        <v>3415</v>
      </c>
    </row>
    <row r="5241">
      <c r="A5241" s="42" t="s">
        <v>3415</v>
      </c>
    </row>
    <row r="5242">
      <c r="A5242" s="42" t="s">
        <v>3415</v>
      </c>
    </row>
    <row r="5243">
      <c r="A5243" s="42" t="s">
        <v>3415</v>
      </c>
    </row>
    <row r="5244">
      <c r="A5244" s="42" t="s">
        <v>3415</v>
      </c>
    </row>
    <row r="5245">
      <c r="A5245" s="42" t="s">
        <v>3415</v>
      </c>
    </row>
    <row r="5246">
      <c r="A5246" s="42" t="s">
        <v>3415</v>
      </c>
    </row>
    <row r="5247">
      <c r="A5247" s="42" t="s">
        <v>3415</v>
      </c>
    </row>
    <row r="5248">
      <c r="A5248" s="42" t="s">
        <v>3415</v>
      </c>
    </row>
    <row r="5249">
      <c r="A5249" s="42" t="s">
        <v>3415</v>
      </c>
    </row>
    <row r="5250">
      <c r="A5250" s="42" t="s">
        <v>3415</v>
      </c>
    </row>
    <row r="5251">
      <c r="A5251" s="42" t="s">
        <v>3415</v>
      </c>
    </row>
    <row r="5252">
      <c r="A5252" s="42" t="s">
        <v>3415</v>
      </c>
    </row>
    <row r="5253">
      <c r="A5253" s="42" t="s">
        <v>3415</v>
      </c>
    </row>
    <row r="5254">
      <c r="A5254" s="42" t="s">
        <v>3415</v>
      </c>
    </row>
    <row r="5255">
      <c r="A5255" s="42" t="s">
        <v>3415</v>
      </c>
    </row>
    <row r="5256">
      <c r="A5256" s="42" t="s">
        <v>3415</v>
      </c>
    </row>
    <row r="5257">
      <c r="A5257" s="42" t="s">
        <v>3415</v>
      </c>
    </row>
    <row r="5258">
      <c r="A5258" s="42" t="s">
        <v>3415</v>
      </c>
    </row>
    <row r="5259">
      <c r="A5259" s="42" t="s">
        <v>3415</v>
      </c>
    </row>
    <row r="5260">
      <c r="A5260" s="42" t="s">
        <v>3415</v>
      </c>
    </row>
    <row r="5261">
      <c r="A5261" s="42" t="s">
        <v>3415</v>
      </c>
    </row>
    <row r="5262">
      <c r="A5262" s="42" t="s">
        <v>3415</v>
      </c>
    </row>
    <row r="5263">
      <c r="A5263" s="42" t="s">
        <v>3415</v>
      </c>
    </row>
    <row r="5264">
      <c r="A5264" s="42" t="s">
        <v>3415</v>
      </c>
    </row>
    <row r="5265">
      <c r="A5265" s="42" t="s">
        <v>3415</v>
      </c>
    </row>
    <row r="5266">
      <c r="A5266" s="42" t="s">
        <v>3415</v>
      </c>
    </row>
    <row r="5267">
      <c r="A5267" s="42" t="s">
        <v>3415</v>
      </c>
    </row>
    <row r="5268">
      <c r="A5268" s="42" t="s">
        <v>3415</v>
      </c>
    </row>
    <row r="5269">
      <c r="A5269" s="42" t="s">
        <v>3415</v>
      </c>
    </row>
    <row r="5270">
      <c r="A5270" s="42" t="s">
        <v>3415</v>
      </c>
    </row>
    <row r="5271">
      <c r="A5271" s="42" t="s">
        <v>3415</v>
      </c>
    </row>
    <row r="5272">
      <c r="A5272" s="42" t="s">
        <v>3415</v>
      </c>
    </row>
    <row r="5273">
      <c r="A5273" s="42" t="s">
        <v>3415</v>
      </c>
    </row>
    <row r="5274">
      <c r="A5274" s="42" t="s">
        <v>3415</v>
      </c>
    </row>
    <row r="5275">
      <c r="A5275" s="42" t="s">
        <v>3415</v>
      </c>
    </row>
    <row r="5276">
      <c r="A5276" s="42" t="s">
        <v>3415</v>
      </c>
    </row>
    <row r="5277">
      <c r="A5277" s="42" t="s">
        <v>3415</v>
      </c>
    </row>
    <row r="5278">
      <c r="A5278" s="42" t="s">
        <v>3415</v>
      </c>
    </row>
    <row r="5279">
      <c r="A5279" s="42" t="s">
        <v>3415</v>
      </c>
    </row>
    <row r="5280">
      <c r="A5280" s="42" t="s">
        <v>3415</v>
      </c>
    </row>
    <row r="5281">
      <c r="A5281" s="42" t="s">
        <v>3415</v>
      </c>
    </row>
    <row r="5282">
      <c r="A5282" s="42" t="s">
        <v>3415</v>
      </c>
    </row>
    <row r="5283">
      <c r="A5283" s="42" t="s">
        <v>3415</v>
      </c>
    </row>
    <row r="5284">
      <c r="A5284" s="42" t="s">
        <v>3415</v>
      </c>
    </row>
    <row r="5285">
      <c r="A5285" s="42" t="s">
        <v>3415</v>
      </c>
    </row>
    <row r="5286">
      <c r="A5286" s="42" t="s">
        <v>3415</v>
      </c>
    </row>
    <row r="5287">
      <c r="A5287" s="42" t="s">
        <v>3415</v>
      </c>
    </row>
    <row r="5288">
      <c r="A5288" s="42" t="s">
        <v>3415</v>
      </c>
    </row>
    <row r="5289">
      <c r="A5289" s="42" t="s">
        <v>3415</v>
      </c>
    </row>
    <row r="5290">
      <c r="A5290" s="42" t="s">
        <v>3415</v>
      </c>
    </row>
    <row r="5291">
      <c r="A5291" s="42" t="s">
        <v>3415</v>
      </c>
    </row>
    <row r="5292">
      <c r="A5292" s="42" t="s">
        <v>3415</v>
      </c>
    </row>
    <row r="5293">
      <c r="A5293" s="42" t="s">
        <v>3415</v>
      </c>
    </row>
    <row r="5294">
      <c r="A5294" s="42" t="s">
        <v>3415</v>
      </c>
    </row>
    <row r="5295">
      <c r="A5295" s="42" t="s">
        <v>3415</v>
      </c>
    </row>
    <row r="5296">
      <c r="A5296" s="42" t="s">
        <v>3415</v>
      </c>
    </row>
    <row r="5297">
      <c r="A5297" s="42" t="s">
        <v>3415</v>
      </c>
    </row>
    <row r="5298">
      <c r="A5298" s="42" t="s">
        <v>3415</v>
      </c>
    </row>
    <row r="5299">
      <c r="A5299" s="42" t="s">
        <v>3415</v>
      </c>
    </row>
    <row r="5300">
      <c r="A5300" s="42" t="s">
        <v>3415</v>
      </c>
    </row>
    <row r="5301">
      <c r="A5301" s="42" t="s">
        <v>3415</v>
      </c>
    </row>
    <row r="5302">
      <c r="A5302" s="42" t="s">
        <v>3415</v>
      </c>
    </row>
    <row r="5303">
      <c r="A5303" s="42" t="s">
        <v>3415</v>
      </c>
    </row>
    <row r="5304">
      <c r="A5304" s="42" t="s">
        <v>3415</v>
      </c>
    </row>
    <row r="5305">
      <c r="A5305" s="42" t="s">
        <v>3415</v>
      </c>
    </row>
    <row r="5306">
      <c r="A5306" s="42" t="s">
        <v>3415</v>
      </c>
    </row>
    <row r="5307">
      <c r="A5307" s="42" t="s">
        <v>3415</v>
      </c>
    </row>
    <row r="5308">
      <c r="A5308" s="42" t="s">
        <v>3415</v>
      </c>
    </row>
    <row r="5309">
      <c r="A5309" s="42" t="s">
        <v>3415</v>
      </c>
    </row>
    <row r="5310">
      <c r="A5310" s="42" t="s">
        <v>3415</v>
      </c>
    </row>
    <row r="5311">
      <c r="A5311" s="42" t="s">
        <v>3415</v>
      </c>
    </row>
    <row r="5312">
      <c r="A5312" s="42" t="s">
        <v>3415</v>
      </c>
    </row>
    <row r="5313">
      <c r="A5313" s="42" t="s">
        <v>3415</v>
      </c>
    </row>
    <row r="5314">
      <c r="A5314" s="42" t="s">
        <v>3415</v>
      </c>
    </row>
    <row r="5315">
      <c r="A5315" s="42" t="s">
        <v>3415</v>
      </c>
    </row>
    <row r="5316">
      <c r="A5316" s="42" t="s">
        <v>3415</v>
      </c>
    </row>
    <row r="5317">
      <c r="A5317" s="42" t="s">
        <v>3415</v>
      </c>
    </row>
    <row r="5318">
      <c r="A5318" s="42" t="s">
        <v>3415</v>
      </c>
    </row>
    <row r="5319">
      <c r="A5319" s="42" t="s">
        <v>3415</v>
      </c>
    </row>
    <row r="5320">
      <c r="A5320" s="42" t="s">
        <v>3415</v>
      </c>
    </row>
    <row r="5321">
      <c r="A5321" s="42" t="s">
        <v>3415</v>
      </c>
    </row>
    <row r="5322">
      <c r="A5322" s="42" t="s">
        <v>3415</v>
      </c>
    </row>
    <row r="5323">
      <c r="A5323" s="42" t="s">
        <v>3415</v>
      </c>
    </row>
    <row r="5324">
      <c r="A5324" s="42" t="s">
        <v>3415</v>
      </c>
    </row>
    <row r="5325">
      <c r="A5325" s="42" t="s">
        <v>3415</v>
      </c>
    </row>
    <row r="5326">
      <c r="A5326" s="42" t="s">
        <v>3415</v>
      </c>
    </row>
    <row r="5327">
      <c r="A5327" s="42" t="s">
        <v>3415</v>
      </c>
    </row>
    <row r="5328">
      <c r="A5328" s="42" t="s">
        <v>3415</v>
      </c>
    </row>
    <row r="5329">
      <c r="A5329" s="42" t="s">
        <v>3415</v>
      </c>
    </row>
    <row r="5330">
      <c r="A5330" s="42" t="s">
        <v>3415</v>
      </c>
    </row>
    <row r="5331">
      <c r="A5331" s="42" t="s">
        <v>3415</v>
      </c>
    </row>
    <row r="5332">
      <c r="A5332" s="42" t="s">
        <v>3415</v>
      </c>
    </row>
    <row r="5333">
      <c r="A5333" s="42" t="s">
        <v>3415</v>
      </c>
    </row>
    <row r="5334">
      <c r="A5334" s="42" t="s">
        <v>3415</v>
      </c>
    </row>
    <row r="5335">
      <c r="A5335" s="42" t="s">
        <v>3415</v>
      </c>
    </row>
    <row r="5336">
      <c r="A5336" s="42" t="s">
        <v>3415</v>
      </c>
    </row>
    <row r="5337">
      <c r="A5337" s="42" t="s">
        <v>3415</v>
      </c>
    </row>
    <row r="5338">
      <c r="A5338" s="42" t="s">
        <v>3415</v>
      </c>
    </row>
    <row r="5339">
      <c r="A5339" s="42" t="s">
        <v>3415</v>
      </c>
    </row>
    <row r="5340">
      <c r="A5340" s="42" t="s">
        <v>3415</v>
      </c>
    </row>
    <row r="5341">
      <c r="A5341" s="42" t="s">
        <v>3415</v>
      </c>
    </row>
    <row r="5342">
      <c r="A5342" s="42" t="s">
        <v>3415</v>
      </c>
    </row>
    <row r="5343">
      <c r="A5343" s="42" t="s">
        <v>3415</v>
      </c>
    </row>
    <row r="5344">
      <c r="A5344" s="42" t="s">
        <v>3415</v>
      </c>
    </row>
    <row r="5345">
      <c r="A5345" s="42" t="s">
        <v>3415</v>
      </c>
    </row>
    <row r="5346">
      <c r="A5346" s="42" t="s">
        <v>3415</v>
      </c>
    </row>
    <row r="5347">
      <c r="A5347" s="42" t="s">
        <v>3415</v>
      </c>
    </row>
    <row r="5348">
      <c r="A5348" s="42" t="s">
        <v>3415</v>
      </c>
    </row>
    <row r="5349">
      <c r="A5349" s="42" t="s">
        <v>3415</v>
      </c>
    </row>
    <row r="5350">
      <c r="A5350" s="42" t="s">
        <v>3415</v>
      </c>
    </row>
    <row r="5351">
      <c r="A5351" s="42" t="s">
        <v>3415</v>
      </c>
    </row>
    <row r="5352">
      <c r="A5352" s="42" t="s">
        <v>3415</v>
      </c>
    </row>
    <row r="5353">
      <c r="A5353" s="42" t="s">
        <v>3415</v>
      </c>
    </row>
    <row r="5354">
      <c r="A5354" s="42" t="s">
        <v>3415</v>
      </c>
    </row>
    <row r="5355">
      <c r="A5355" s="42" t="s">
        <v>3415</v>
      </c>
    </row>
    <row r="5356">
      <c r="A5356" s="42" t="s">
        <v>3415</v>
      </c>
    </row>
    <row r="5357">
      <c r="A5357" s="42" t="s">
        <v>3415</v>
      </c>
    </row>
    <row r="5358">
      <c r="A5358" s="42" t="s">
        <v>3415</v>
      </c>
    </row>
    <row r="5359">
      <c r="A5359" s="42" t="s">
        <v>3415</v>
      </c>
    </row>
    <row r="5360">
      <c r="A5360" s="42" t="s">
        <v>3415</v>
      </c>
    </row>
    <row r="5361">
      <c r="A5361" s="42" t="s">
        <v>3415</v>
      </c>
    </row>
    <row r="5362">
      <c r="A5362" s="42" t="s">
        <v>3415</v>
      </c>
    </row>
    <row r="5363">
      <c r="A5363" s="42" t="s">
        <v>3415</v>
      </c>
    </row>
    <row r="5364">
      <c r="A5364" s="42" t="s">
        <v>3415</v>
      </c>
    </row>
    <row r="5365">
      <c r="A5365" s="42" t="s">
        <v>3415</v>
      </c>
    </row>
    <row r="5366">
      <c r="A5366" s="42" t="s">
        <v>3415</v>
      </c>
    </row>
    <row r="5367">
      <c r="A5367" s="42" t="s">
        <v>3415</v>
      </c>
    </row>
    <row r="5368">
      <c r="A5368" s="42" t="s">
        <v>3415</v>
      </c>
    </row>
    <row r="5369">
      <c r="A5369" s="42" t="s">
        <v>3415</v>
      </c>
    </row>
    <row r="5370">
      <c r="A5370" s="42" t="s">
        <v>3415</v>
      </c>
    </row>
    <row r="5371">
      <c r="A5371" s="42" t="s">
        <v>3415</v>
      </c>
    </row>
    <row r="5372">
      <c r="A5372" s="42" t="s">
        <v>3415</v>
      </c>
    </row>
    <row r="5373">
      <c r="A5373" s="42" t="s">
        <v>3415</v>
      </c>
    </row>
    <row r="5374">
      <c r="A5374" s="42" t="s">
        <v>3415</v>
      </c>
    </row>
    <row r="5375">
      <c r="A5375" s="42" t="s">
        <v>3415</v>
      </c>
    </row>
    <row r="5376">
      <c r="A5376" s="42" t="s">
        <v>3415</v>
      </c>
    </row>
    <row r="5377">
      <c r="A5377" s="42" t="s">
        <v>3415</v>
      </c>
    </row>
    <row r="5378">
      <c r="A5378" s="42" t="s">
        <v>3415</v>
      </c>
    </row>
    <row r="5379">
      <c r="A5379" s="42" t="s">
        <v>3415</v>
      </c>
    </row>
    <row r="5380">
      <c r="A5380" s="42" t="s">
        <v>3415</v>
      </c>
    </row>
    <row r="5381">
      <c r="A5381" s="42" t="s">
        <v>3415</v>
      </c>
    </row>
    <row r="5382">
      <c r="A5382" s="42" t="s">
        <v>3415</v>
      </c>
    </row>
    <row r="5383">
      <c r="A5383" s="42" t="s">
        <v>3415</v>
      </c>
    </row>
    <row r="5384">
      <c r="A5384" s="42" t="s">
        <v>3415</v>
      </c>
    </row>
    <row r="5385">
      <c r="A5385" s="42" t="s">
        <v>3415</v>
      </c>
    </row>
    <row r="5386">
      <c r="A5386" s="42" t="s">
        <v>3415</v>
      </c>
    </row>
    <row r="5387">
      <c r="A5387" s="42" t="s">
        <v>3415</v>
      </c>
    </row>
    <row r="5388">
      <c r="A5388" s="42" t="s">
        <v>3415</v>
      </c>
    </row>
    <row r="5389">
      <c r="A5389" s="42" t="s">
        <v>3415</v>
      </c>
    </row>
    <row r="5390">
      <c r="A5390" s="42" t="s">
        <v>3415</v>
      </c>
    </row>
    <row r="5391">
      <c r="A5391" s="42" t="s">
        <v>3415</v>
      </c>
    </row>
    <row r="5392">
      <c r="A5392" s="42" t="s">
        <v>3415</v>
      </c>
    </row>
    <row r="5393">
      <c r="A5393" s="42" t="s">
        <v>3415</v>
      </c>
    </row>
    <row r="5394">
      <c r="A5394" s="42" t="s">
        <v>3415</v>
      </c>
    </row>
    <row r="5395">
      <c r="A5395" s="42" t="s">
        <v>3415</v>
      </c>
    </row>
    <row r="5396">
      <c r="A5396" s="42" t="s">
        <v>3415</v>
      </c>
    </row>
    <row r="5397">
      <c r="A5397" s="42" t="s">
        <v>3415</v>
      </c>
    </row>
    <row r="5398">
      <c r="A5398" s="42" t="s">
        <v>3415</v>
      </c>
    </row>
    <row r="5399">
      <c r="A5399" s="42" t="s">
        <v>3415</v>
      </c>
    </row>
    <row r="5400">
      <c r="A5400" s="42" t="s">
        <v>3415</v>
      </c>
    </row>
    <row r="5401">
      <c r="A5401" s="42" t="s">
        <v>3415</v>
      </c>
    </row>
    <row r="5402">
      <c r="A5402" s="42" t="s">
        <v>3415</v>
      </c>
    </row>
    <row r="5403">
      <c r="A5403" s="42" t="s">
        <v>3415</v>
      </c>
    </row>
    <row r="5404">
      <c r="A5404" s="42" t="s">
        <v>3415</v>
      </c>
    </row>
    <row r="5405">
      <c r="A5405" s="42" t="s">
        <v>3415</v>
      </c>
    </row>
    <row r="5406">
      <c r="A5406" s="42" t="s">
        <v>3415</v>
      </c>
    </row>
    <row r="5407">
      <c r="A5407" s="42" t="s">
        <v>3415</v>
      </c>
    </row>
    <row r="5408">
      <c r="A5408" s="42" t="s">
        <v>3415</v>
      </c>
    </row>
    <row r="5409">
      <c r="A5409" s="42" t="s">
        <v>3415</v>
      </c>
    </row>
    <row r="5410">
      <c r="A5410" s="42" t="s">
        <v>3415</v>
      </c>
    </row>
    <row r="5411">
      <c r="A5411" s="42" t="s">
        <v>3415</v>
      </c>
    </row>
    <row r="5412">
      <c r="A5412" s="42" t="s">
        <v>3415</v>
      </c>
    </row>
    <row r="5413">
      <c r="A5413" s="42" t="s">
        <v>3415</v>
      </c>
    </row>
    <row r="5414">
      <c r="A5414" s="42" t="s">
        <v>3415</v>
      </c>
    </row>
    <row r="5415">
      <c r="A5415" s="42" t="s">
        <v>3415</v>
      </c>
    </row>
    <row r="5416">
      <c r="A5416" s="42" t="s">
        <v>3415</v>
      </c>
    </row>
    <row r="5417">
      <c r="A5417" s="42" t="s">
        <v>3415</v>
      </c>
    </row>
    <row r="5418">
      <c r="A5418" s="42" t="s">
        <v>3415</v>
      </c>
    </row>
    <row r="5419">
      <c r="A5419" s="42" t="s">
        <v>3415</v>
      </c>
    </row>
    <row r="5420">
      <c r="A5420" s="42" t="s">
        <v>3415</v>
      </c>
    </row>
    <row r="5421">
      <c r="A5421" s="42" t="s">
        <v>3415</v>
      </c>
    </row>
    <row r="5422">
      <c r="A5422" s="42" t="s">
        <v>3415</v>
      </c>
    </row>
    <row r="5423">
      <c r="A5423" s="42" t="s">
        <v>3415</v>
      </c>
    </row>
    <row r="5424">
      <c r="A5424" s="42" t="s">
        <v>3415</v>
      </c>
    </row>
    <row r="5425">
      <c r="A5425" s="42" t="s">
        <v>3415</v>
      </c>
    </row>
    <row r="5426">
      <c r="A5426" s="42" t="s">
        <v>3415</v>
      </c>
    </row>
    <row r="5427">
      <c r="A5427" s="42" t="s">
        <v>3415</v>
      </c>
    </row>
    <row r="5428">
      <c r="A5428" s="42" t="s">
        <v>3415</v>
      </c>
    </row>
    <row r="5429">
      <c r="A5429" s="42" t="s">
        <v>3415</v>
      </c>
    </row>
    <row r="5430">
      <c r="A5430" s="42" t="s">
        <v>3415</v>
      </c>
    </row>
    <row r="5431">
      <c r="A5431" s="42" t="s">
        <v>3415</v>
      </c>
    </row>
    <row r="5432">
      <c r="A5432" s="42" t="s">
        <v>3415</v>
      </c>
    </row>
    <row r="5433">
      <c r="A5433" s="42" t="s">
        <v>3415</v>
      </c>
    </row>
    <row r="5434">
      <c r="A5434" s="42" t="s">
        <v>3415</v>
      </c>
    </row>
    <row r="5435">
      <c r="A5435" s="42" t="s">
        <v>3415</v>
      </c>
    </row>
    <row r="5436">
      <c r="A5436" s="42" t="s">
        <v>3415</v>
      </c>
    </row>
    <row r="5437">
      <c r="A5437" s="42" t="s">
        <v>3415</v>
      </c>
    </row>
    <row r="5438">
      <c r="A5438" s="42" t="s">
        <v>3415</v>
      </c>
    </row>
    <row r="5439">
      <c r="A5439" s="42" t="s">
        <v>3415</v>
      </c>
    </row>
    <row r="5440">
      <c r="A5440" s="42" t="s">
        <v>3415</v>
      </c>
    </row>
    <row r="5441">
      <c r="A5441" s="42" t="s">
        <v>3415</v>
      </c>
    </row>
    <row r="5442">
      <c r="A5442" s="42" t="s">
        <v>3415</v>
      </c>
    </row>
    <row r="5443">
      <c r="A5443" s="42" t="s">
        <v>3415</v>
      </c>
    </row>
    <row r="5444">
      <c r="A5444" s="42" t="s">
        <v>3415</v>
      </c>
    </row>
    <row r="5445">
      <c r="A5445" s="42" t="s">
        <v>3415</v>
      </c>
    </row>
    <row r="5446">
      <c r="A5446" s="42" t="s">
        <v>3415</v>
      </c>
    </row>
    <row r="5447">
      <c r="A5447" s="42" t="s">
        <v>3415</v>
      </c>
    </row>
    <row r="5448">
      <c r="A5448" s="42" t="s">
        <v>3415</v>
      </c>
    </row>
    <row r="5449">
      <c r="A5449" s="42" t="s">
        <v>3415</v>
      </c>
    </row>
    <row r="5450">
      <c r="A5450" s="42" t="s">
        <v>3415</v>
      </c>
    </row>
    <row r="5451">
      <c r="A5451" s="42" t="s">
        <v>3415</v>
      </c>
    </row>
    <row r="5452">
      <c r="A5452" s="42" t="s">
        <v>3415</v>
      </c>
    </row>
    <row r="5453">
      <c r="A5453" s="42" t="s">
        <v>3415</v>
      </c>
    </row>
    <row r="5454">
      <c r="A5454" s="42" t="s">
        <v>3415</v>
      </c>
    </row>
    <row r="5455">
      <c r="A5455" s="42" t="s">
        <v>3415</v>
      </c>
    </row>
    <row r="5456">
      <c r="A5456" s="42" t="s">
        <v>3415</v>
      </c>
    </row>
    <row r="5457">
      <c r="A5457" s="42" t="s">
        <v>3415</v>
      </c>
    </row>
    <row r="5458">
      <c r="A5458" s="42" t="s">
        <v>3415</v>
      </c>
    </row>
    <row r="5459">
      <c r="A5459" s="42" t="s">
        <v>3415</v>
      </c>
    </row>
    <row r="5460">
      <c r="A5460" s="42" t="s">
        <v>3415</v>
      </c>
    </row>
    <row r="5461">
      <c r="A5461" s="42" t="s">
        <v>3415</v>
      </c>
    </row>
    <row r="5462">
      <c r="A5462" s="42" t="s">
        <v>3415</v>
      </c>
    </row>
    <row r="5463">
      <c r="A5463" s="42" t="s">
        <v>3415</v>
      </c>
    </row>
    <row r="5464">
      <c r="A5464" s="42" t="s">
        <v>3415</v>
      </c>
    </row>
    <row r="5465">
      <c r="A5465" s="42" t="s">
        <v>3415</v>
      </c>
    </row>
    <row r="5466">
      <c r="A5466" s="42" t="s">
        <v>3415</v>
      </c>
    </row>
    <row r="5467">
      <c r="A5467" s="42" t="s">
        <v>3415</v>
      </c>
    </row>
    <row r="5468">
      <c r="A5468" s="42" t="s">
        <v>3415</v>
      </c>
    </row>
    <row r="5469">
      <c r="A5469" s="42" t="s">
        <v>3415</v>
      </c>
    </row>
    <row r="5470">
      <c r="A5470" s="42" t="s">
        <v>3415</v>
      </c>
    </row>
    <row r="5471">
      <c r="A5471" s="42" t="s">
        <v>3415</v>
      </c>
    </row>
    <row r="5472">
      <c r="A5472" s="42" t="s">
        <v>3415</v>
      </c>
    </row>
    <row r="5473">
      <c r="A5473" s="42" t="s">
        <v>3415</v>
      </c>
    </row>
    <row r="5474">
      <c r="A5474" s="42" t="s">
        <v>3415</v>
      </c>
    </row>
    <row r="5475">
      <c r="A5475" s="42" t="s">
        <v>3415</v>
      </c>
    </row>
    <row r="5476">
      <c r="A5476" s="42" t="s">
        <v>3415</v>
      </c>
    </row>
    <row r="5477">
      <c r="A5477" s="42" t="s">
        <v>3415</v>
      </c>
    </row>
    <row r="5478">
      <c r="A5478" s="42" t="s">
        <v>3415</v>
      </c>
    </row>
    <row r="5479">
      <c r="A5479" s="42" t="s">
        <v>3415</v>
      </c>
    </row>
    <row r="5480">
      <c r="A5480" s="42" t="s">
        <v>3415</v>
      </c>
    </row>
    <row r="5481">
      <c r="A5481" s="42" t="s">
        <v>3415</v>
      </c>
    </row>
    <row r="5482">
      <c r="A5482" s="42" t="s">
        <v>3415</v>
      </c>
    </row>
    <row r="5483">
      <c r="A5483" s="42" t="s">
        <v>3415</v>
      </c>
    </row>
    <row r="5484">
      <c r="A5484" s="42" t="s">
        <v>3415</v>
      </c>
    </row>
    <row r="5485">
      <c r="A5485" s="42" t="s">
        <v>3415</v>
      </c>
    </row>
    <row r="5486">
      <c r="A5486" s="42" t="s">
        <v>3415</v>
      </c>
    </row>
    <row r="5487">
      <c r="A5487" s="42" t="s">
        <v>3415</v>
      </c>
    </row>
    <row r="5488">
      <c r="A5488" s="42" t="s">
        <v>3415</v>
      </c>
    </row>
    <row r="5489">
      <c r="A5489" s="42" t="s">
        <v>3415</v>
      </c>
    </row>
    <row r="5490">
      <c r="A5490" s="42" t="s">
        <v>3415</v>
      </c>
    </row>
    <row r="5491">
      <c r="A5491" s="42" t="s">
        <v>3415</v>
      </c>
    </row>
    <row r="5492">
      <c r="A5492" s="42" t="s">
        <v>3415</v>
      </c>
    </row>
    <row r="5493">
      <c r="A5493" s="42" t="s">
        <v>3415</v>
      </c>
    </row>
    <row r="5494">
      <c r="A5494" s="42" t="s">
        <v>3415</v>
      </c>
    </row>
    <row r="5495">
      <c r="A5495" s="42" t="s">
        <v>3415</v>
      </c>
    </row>
    <row r="5496">
      <c r="A5496" s="42" t="s">
        <v>3415</v>
      </c>
    </row>
    <row r="5497">
      <c r="A5497" s="42" t="s">
        <v>3415</v>
      </c>
    </row>
    <row r="5498">
      <c r="A5498" s="42" t="s">
        <v>3415</v>
      </c>
    </row>
    <row r="5499">
      <c r="A5499" s="42" t="s">
        <v>3415</v>
      </c>
    </row>
    <row r="5500">
      <c r="A5500" s="42" t="s">
        <v>3415</v>
      </c>
    </row>
    <row r="5501">
      <c r="A5501" s="42" t="s">
        <v>3415</v>
      </c>
    </row>
    <row r="5502">
      <c r="A5502" s="42" t="s">
        <v>3415</v>
      </c>
    </row>
    <row r="5503">
      <c r="A5503" s="42" t="s">
        <v>3415</v>
      </c>
    </row>
    <row r="5504">
      <c r="A5504" s="42" t="s">
        <v>3415</v>
      </c>
    </row>
    <row r="5505">
      <c r="A5505" s="42" t="s">
        <v>3415</v>
      </c>
    </row>
    <row r="5506">
      <c r="A5506" s="42" t="s">
        <v>3415</v>
      </c>
    </row>
    <row r="5507">
      <c r="A5507" s="42" t="s">
        <v>3415</v>
      </c>
    </row>
    <row r="5508">
      <c r="A5508" s="42" t="s">
        <v>3415</v>
      </c>
    </row>
    <row r="5509">
      <c r="A5509" s="42" t="s">
        <v>3415</v>
      </c>
    </row>
    <row r="5510">
      <c r="A5510" s="42" t="s">
        <v>3415</v>
      </c>
    </row>
    <row r="5511">
      <c r="A5511" s="42" t="s">
        <v>3415</v>
      </c>
    </row>
    <row r="5512">
      <c r="A5512" s="42" t="s">
        <v>3415</v>
      </c>
    </row>
    <row r="5513">
      <c r="A5513" s="42" t="s">
        <v>3415</v>
      </c>
    </row>
    <row r="5514">
      <c r="A5514" s="42" t="s">
        <v>3415</v>
      </c>
    </row>
    <row r="5515">
      <c r="A5515" s="42" t="s">
        <v>3415</v>
      </c>
    </row>
    <row r="5516">
      <c r="A5516" s="42" t="s">
        <v>3415</v>
      </c>
    </row>
    <row r="5517">
      <c r="A5517" s="42" t="s">
        <v>3415</v>
      </c>
    </row>
    <row r="5518">
      <c r="A5518" s="42" t="s">
        <v>3415</v>
      </c>
    </row>
    <row r="5519">
      <c r="A5519" s="42" t="s">
        <v>3415</v>
      </c>
    </row>
    <row r="5520">
      <c r="A5520" s="42" t="s">
        <v>3415</v>
      </c>
    </row>
    <row r="5521">
      <c r="A5521" s="42" t="s">
        <v>3415</v>
      </c>
    </row>
    <row r="5522">
      <c r="A5522" s="42" t="s">
        <v>3415</v>
      </c>
    </row>
    <row r="5523">
      <c r="A5523" s="42" t="s">
        <v>3415</v>
      </c>
    </row>
    <row r="5524">
      <c r="A5524" s="42" t="s">
        <v>3415</v>
      </c>
    </row>
    <row r="5525">
      <c r="A5525" s="42" t="s">
        <v>3415</v>
      </c>
    </row>
    <row r="5526">
      <c r="A5526" s="42" t="s">
        <v>3415</v>
      </c>
    </row>
    <row r="5527">
      <c r="A5527" s="42" t="s">
        <v>3415</v>
      </c>
    </row>
    <row r="5528">
      <c r="A5528" s="42" t="s">
        <v>3415</v>
      </c>
    </row>
    <row r="5529">
      <c r="A5529" s="42" t="s">
        <v>3415</v>
      </c>
    </row>
    <row r="5530">
      <c r="A5530" s="42" t="s">
        <v>3415</v>
      </c>
    </row>
    <row r="5531">
      <c r="A5531" s="42" t="s">
        <v>3415</v>
      </c>
    </row>
    <row r="5532">
      <c r="A5532" s="42" t="s">
        <v>3415</v>
      </c>
    </row>
    <row r="5533">
      <c r="A5533" s="42" t="s">
        <v>3415</v>
      </c>
    </row>
    <row r="5534">
      <c r="A5534" s="42" t="s">
        <v>3415</v>
      </c>
    </row>
    <row r="5535">
      <c r="A5535" s="42" t="s">
        <v>3415</v>
      </c>
    </row>
    <row r="5536">
      <c r="A5536" s="42" t="s">
        <v>3415</v>
      </c>
    </row>
    <row r="5537">
      <c r="A5537" s="42" t="s">
        <v>3415</v>
      </c>
    </row>
    <row r="5538">
      <c r="A5538" s="42" t="s">
        <v>3415</v>
      </c>
    </row>
    <row r="5539">
      <c r="A5539" s="42" t="s">
        <v>3415</v>
      </c>
    </row>
    <row r="5540">
      <c r="A5540" s="42" t="s">
        <v>3415</v>
      </c>
    </row>
    <row r="5541">
      <c r="A5541" s="42" t="s">
        <v>3415</v>
      </c>
    </row>
    <row r="5542">
      <c r="A5542" s="42" t="s">
        <v>3415</v>
      </c>
    </row>
    <row r="5543">
      <c r="A5543" s="42" t="s">
        <v>3415</v>
      </c>
    </row>
    <row r="5544">
      <c r="A5544" s="42" t="s">
        <v>3415</v>
      </c>
    </row>
    <row r="5545">
      <c r="A5545" s="42" t="s">
        <v>3415</v>
      </c>
    </row>
    <row r="5546">
      <c r="A5546" s="42" t="s">
        <v>3415</v>
      </c>
    </row>
    <row r="5547">
      <c r="A5547" s="42" t="s">
        <v>3415</v>
      </c>
    </row>
    <row r="5548">
      <c r="A5548" s="42" t="s">
        <v>3415</v>
      </c>
    </row>
    <row r="5549">
      <c r="A5549" s="42" t="s">
        <v>3415</v>
      </c>
    </row>
    <row r="5550">
      <c r="A5550" s="42" t="s">
        <v>3415</v>
      </c>
    </row>
    <row r="5551">
      <c r="A5551" s="42" t="s">
        <v>3415</v>
      </c>
    </row>
    <row r="5552">
      <c r="A5552" s="42" t="s">
        <v>3415</v>
      </c>
    </row>
    <row r="5553">
      <c r="A5553" s="42" t="s">
        <v>3415</v>
      </c>
    </row>
    <row r="5554">
      <c r="A5554" s="42" t="s">
        <v>3415</v>
      </c>
    </row>
    <row r="5555">
      <c r="A5555" s="42" t="s">
        <v>3415</v>
      </c>
    </row>
    <row r="5556">
      <c r="A5556" s="42" t="s">
        <v>3415</v>
      </c>
    </row>
    <row r="5557">
      <c r="A5557" s="42" t="s">
        <v>3415</v>
      </c>
    </row>
    <row r="5558">
      <c r="A5558" s="42" t="s">
        <v>3415</v>
      </c>
    </row>
    <row r="5559">
      <c r="A5559" s="42" t="s">
        <v>3415</v>
      </c>
    </row>
    <row r="5560">
      <c r="A5560" s="42" t="s">
        <v>3415</v>
      </c>
    </row>
    <row r="5561">
      <c r="A5561" s="42" t="s">
        <v>3415</v>
      </c>
    </row>
    <row r="5562">
      <c r="A5562" s="42" t="s">
        <v>3415</v>
      </c>
    </row>
    <row r="5563">
      <c r="A5563" s="42" t="s">
        <v>3415</v>
      </c>
    </row>
    <row r="5564">
      <c r="A5564" s="42" t="s">
        <v>3415</v>
      </c>
    </row>
    <row r="5565">
      <c r="A5565" s="42" t="s">
        <v>3415</v>
      </c>
    </row>
    <row r="5566">
      <c r="A5566" s="42" t="s">
        <v>3415</v>
      </c>
    </row>
    <row r="5567">
      <c r="A5567" s="42" t="s">
        <v>3415</v>
      </c>
    </row>
    <row r="5568">
      <c r="A5568" s="42" t="s">
        <v>3415</v>
      </c>
    </row>
    <row r="5569">
      <c r="A5569" s="42" t="s">
        <v>3415</v>
      </c>
    </row>
    <row r="5570">
      <c r="A5570" s="42" t="s">
        <v>3415</v>
      </c>
    </row>
    <row r="5571">
      <c r="A5571" s="42" t="s">
        <v>3415</v>
      </c>
    </row>
    <row r="5572">
      <c r="A5572" s="42" t="s">
        <v>3415</v>
      </c>
    </row>
    <row r="5573">
      <c r="A5573" s="42" t="s">
        <v>3415</v>
      </c>
    </row>
    <row r="5574">
      <c r="A5574" s="42" t="s">
        <v>3415</v>
      </c>
    </row>
    <row r="5575">
      <c r="A5575" s="42" t="s">
        <v>3415</v>
      </c>
    </row>
    <row r="5576">
      <c r="A5576" s="42" t="s">
        <v>3415</v>
      </c>
    </row>
    <row r="5577">
      <c r="A5577" s="42" t="s">
        <v>3415</v>
      </c>
    </row>
    <row r="5578">
      <c r="A5578" s="42" t="s">
        <v>3415</v>
      </c>
    </row>
    <row r="5579">
      <c r="A5579" s="42" t="s">
        <v>3415</v>
      </c>
    </row>
    <row r="5580">
      <c r="A5580" s="42" t="s">
        <v>3415</v>
      </c>
    </row>
    <row r="5581">
      <c r="A5581" s="42" t="s">
        <v>3415</v>
      </c>
    </row>
    <row r="5582">
      <c r="A5582" s="42" t="s">
        <v>3415</v>
      </c>
    </row>
    <row r="5583">
      <c r="A5583" s="42" t="s">
        <v>3415</v>
      </c>
    </row>
    <row r="5584">
      <c r="A5584" s="42" t="s">
        <v>3415</v>
      </c>
    </row>
    <row r="5585">
      <c r="A5585" s="42" t="s">
        <v>3415</v>
      </c>
    </row>
    <row r="5586">
      <c r="A5586" s="42" t="s">
        <v>3415</v>
      </c>
    </row>
    <row r="5587">
      <c r="A5587" s="42" t="s">
        <v>3415</v>
      </c>
    </row>
    <row r="5588">
      <c r="A5588" s="42" t="s">
        <v>3415</v>
      </c>
    </row>
    <row r="5589">
      <c r="A5589" s="42" t="s">
        <v>3415</v>
      </c>
    </row>
    <row r="5590">
      <c r="A5590" s="42" t="s">
        <v>3415</v>
      </c>
    </row>
    <row r="5591">
      <c r="A5591" s="42" t="s">
        <v>3415</v>
      </c>
    </row>
    <row r="5592">
      <c r="A5592" s="42" t="s">
        <v>3415</v>
      </c>
    </row>
    <row r="5593">
      <c r="A5593" s="42" t="s">
        <v>3415</v>
      </c>
    </row>
    <row r="5594">
      <c r="A5594" s="42" t="s">
        <v>3415</v>
      </c>
    </row>
    <row r="5595">
      <c r="A5595" s="42" t="s">
        <v>3415</v>
      </c>
    </row>
    <row r="5596">
      <c r="A5596" s="42" t="s">
        <v>3415</v>
      </c>
    </row>
    <row r="5597">
      <c r="A5597" s="42" t="s">
        <v>3415</v>
      </c>
    </row>
    <row r="5598">
      <c r="A5598" s="42" t="s">
        <v>3415</v>
      </c>
    </row>
    <row r="5599">
      <c r="A5599" s="42" t="s">
        <v>3415</v>
      </c>
    </row>
    <row r="5600">
      <c r="A5600" s="42" t="s">
        <v>3415</v>
      </c>
    </row>
    <row r="5601">
      <c r="A5601" s="42" t="s">
        <v>3415</v>
      </c>
    </row>
    <row r="5602">
      <c r="A5602" s="42" t="s">
        <v>3415</v>
      </c>
    </row>
    <row r="5603">
      <c r="A5603" s="42" t="s">
        <v>3415</v>
      </c>
    </row>
    <row r="5604">
      <c r="A5604" s="42" t="s">
        <v>3415</v>
      </c>
    </row>
    <row r="5605">
      <c r="A5605" s="42" t="s">
        <v>3415</v>
      </c>
    </row>
    <row r="5606">
      <c r="A5606" s="42" t="s">
        <v>3415</v>
      </c>
    </row>
    <row r="5607">
      <c r="A5607" s="42" t="s">
        <v>3415</v>
      </c>
    </row>
    <row r="5608">
      <c r="A5608" s="42" t="s">
        <v>3415</v>
      </c>
    </row>
    <row r="5609">
      <c r="A5609" s="42" t="s">
        <v>3415</v>
      </c>
    </row>
    <row r="5610">
      <c r="A5610" s="42" t="s">
        <v>3415</v>
      </c>
    </row>
    <row r="5611">
      <c r="A5611" s="42" t="s">
        <v>3415</v>
      </c>
    </row>
    <row r="5612">
      <c r="A5612" s="42" t="s">
        <v>3415</v>
      </c>
    </row>
    <row r="5613">
      <c r="A5613" s="42" t="s">
        <v>3415</v>
      </c>
    </row>
    <row r="5614">
      <c r="A5614" s="42" t="s">
        <v>3415</v>
      </c>
    </row>
    <row r="5615">
      <c r="A5615" s="42" t="s">
        <v>3415</v>
      </c>
    </row>
    <row r="5616">
      <c r="A5616" s="42" t="s">
        <v>3415</v>
      </c>
    </row>
    <row r="5617">
      <c r="A5617" s="42" t="s">
        <v>3415</v>
      </c>
    </row>
    <row r="5618">
      <c r="A5618" s="42" t="s">
        <v>3415</v>
      </c>
    </row>
    <row r="5619">
      <c r="A5619" s="42" t="s">
        <v>3415</v>
      </c>
    </row>
    <row r="5620">
      <c r="A5620" s="42" t="s">
        <v>3415</v>
      </c>
    </row>
    <row r="5621">
      <c r="A5621" s="42" t="s">
        <v>3415</v>
      </c>
    </row>
    <row r="5622">
      <c r="A5622" s="42" t="s">
        <v>3415</v>
      </c>
    </row>
    <row r="5623">
      <c r="A5623" s="42" t="s">
        <v>3415</v>
      </c>
    </row>
    <row r="5624">
      <c r="A5624" s="42" t="s">
        <v>3415</v>
      </c>
    </row>
    <row r="5625">
      <c r="A5625" s="42" t="s">
        <v>3415</v>
      </c>
    </row>
    <row r="5626">
      <c r="A5626" s="42" t="s">
        <v>3415</v>
      </c>
    </row>
    <row r="5627">
      <c r="A5627" s="42" t="s">
        <v>3415</v>
      </c>
    </row>
    <row r="5628">
      <c r="A5628" s="42" t="s">
        <v>3415</v>
      </c>
    </row>
    <row r="5629">
      <c r="A5629" s="42" t="s">
        <v>3415</v>
      </c>
    </row>
    <row r="5630">
      <c r="A5630" s="42" t="s">
        <v>3415</v>
      </c>
    </row>
    <row r="5631">
      <c r="A5631" s="42" t="s">
        <v>3415</v>
      </c>
    </row>
    <row r="5632">
      <c r="A5632" s="42" t="s">
        <v>3415</v>
      </c>
    </row>
    <row r="5633">
      <c r="A5633" s="42" t="s">
        <v>3415</v>
      </c>
    </row>
    <row r="5634">
      <c r="A5634" s="42" t="s">
        <v>3415</v>
      </c>
    </row>
    <row r="5635">
      <c r="A5635" s="42" t="s">
        <v>3415</v>
      </c>
    </row>
    <row r="5636">
      <c r="A5636" s="42" t="s">
        <v>3415</v>
      </c>
    </row>
    <row r="5637">
      <c r="A5637" s="42" t="s">
        <v>3415</v>
      </c>
    </row>
    <row r="5638">
      <c r="A5638" s="42" t="s">
        <v>3415</v>
      </c>
    </row>
    <row r="5639">
      <c r="A5639" s="42" t="s">
        <v>3415</v>
      </c>
    </row>
    <row r="5640">
      <c r="A5640" s="42" t="s">
        <v>3415</v>
      </c>
    </row>
    <row r="5641">
      <c r="A5641" s="42" t="s">
        <v>3415</v>
      </c>
    </row>
    <row r="5642">
      <c r="A5642" s="42" t="s">
        <v>3415</v>
      </c>
    </row>
    <row r="5643">
      <c r="A5643" s="42" t="s">
        <v>3415</v>
      </c>
    </row>
    <row r="5644">
      <c r="A5644" s="42" t="s">
        <v>3415</v>
      </c>
    </row>
    <row r="5645">
      <c r="A5645" s="42" t="s">
        <v>3415</v>
      </c>
    </row>
    <row r="5646">
      <c r="A5646" s="42" t="s">
        <v>3415</v>
      </c>
    </row>
    <row r="5647">
      <c r="A5647" s="42" t="s">
        <v>3415</v>
      </c>
    </row>
    <row r="5648">
      <c r="A5648" s="42" t="s">
        <v>3415</v>
      </c>
    </row>
    <row r="5649">
      <c r="A5649" s="42" t="s">
        <v>3415</v>
      </c>
    </row>
    <row r="5650">
      <c r="A5650" s="42" t="s">
        <v>3415</v>
      </c>
    </row>
    <row r="5651">
      <c r="A5651" s="42" t="s">
        <v>3415</v>
      </c>
    </row>
    <row r="5652">
      <c r="A5652" s="42" t="s">
        <v>3415</v>
      </c>
    </row>
    <row r="5653">
      <c r="A5653" s="42" t="s">
        <v>3415</v>
      </c>
    </row>
    <row r="5654">
      <c r="A5654" s="42" t="s">
        <v>3415</v>
      </c>
    </row>
    <row r="5655">
      <c r="A5655" s="42" t="s">
        <v>3415</v>
      </c>
    </row>
    <row r="5656">
      <c r="A5656" s="42" t="s">
        <v>3415</v>
      </c>
    </row>
    <row r="5657">
      <c r="A5657" s="42" t="s">
        <v>3415</v>
      </c>
    </row>
    <row r="5658">
      <c r="A5658" s="42" t="s">
        <v>3415</v>
      </c>
    </row>
    <row r="5659">
      <c r="A5659" s="42" t="s">
        <v>3415</v>
      </c>
    </row>
    <row r="5660">
      <c r="A5660" s="42" t="s">
        <v>3415</v>
      </c>
    </row>
    <row r="5661">
      <c r="A5661" s="42" t="s">
        <v>3415</v>
      </c>
    </row>
    <row r="5662">
      <c r="A5662" s="42" t="s">
        <v>3415</v>
      </c>
    </row>
    <row r="5663">
      <c r="A5663" s="42" t="s">
        <v>3415</v>
      </c>
    </row>
    <row r="5664">
      <c r="A5664" s="42" t="s">
        <v>3415</v>
      </c>
    </row>
    <row r="5665">
      <c r="A5665" s="42" t="s">
        <v>3415</v>
      </c>
    </row>
    <row r="5666">
      <c r="A5666" s="42" t="s">
        <v>3415</v>
      </c>
    </row>
    <row r="5667">
      <c r="A5667" s="42" t="s">
        <v>3415</v>
      </c>
    </row>
    <row r="5668">
      <c r="A5668" s="42" t="s">
        <v>3415</v>
      </c>
    </row>
    <row r="5669">
      <c r="A5669" s="42" t="s">
        <v>3415</v>
      </c>
    </row>
    <row r="5670">
      <c r="A5670" s="42" t="s">
        <v>3415</v>
      </c>
    </row>
    <row r="5671">
      <c r="A5671" s="42" t="s">
        <v>3415</v>
      </c>
    </row>
    <row r="5672">
      <c r="A5672" s="42" t="s">
        <v>3415</v>
      </c>
    </row>
    <row r="5673">
      <c r="A5673" s="42" t="s">
        <v>3415</v>
      </c>
    </row>
    <row r="5674">
      <c r="A5674" s="42" t="s">
        <v>3415</v>
      </c>
    </row>
    <row r="5675">
      <c r="A5675" s="42" t="s">
        <v>3415</v>
      </c>
    </row>
    <row r="5676">
      <c r="A5676" s="42" t="s">
        <v>3415</v>
      </c>
    </row>
    <row r="5677">
      <c r="A5677" s="42" t="s">
        <v>3415</v>
      </c>
    </row>
    <row r="5678">
      <c r="A5678" s="42" t="s">
        <v>3415</v>
      </c>
    </row>
    <row r="5679">
      <c r="A5679" s="42" t="s">
        <v>3415</v>
      </c>
    </row>
    <row r="5680">
      <c r="A5680" s="42" t="s">
        <v>3415</v>
      </c>
    </row>
    <row r="5681">
      <c r="A5681" s="42" t="s">
        <v>3415</v>
      </c>
    </row>
    <row r="5682">
      <c r="A5682" s="42" t="s">
        <v>3415</v>
      </c>
    </row>
    <row r="5683">
      <c r="A5683" s="42" t="s">
        <v>3415</v>
      </c>
    </row>
    <row r="5684">
      <c r="A5684" s="42" t="s">
        <v>3415</v>
      </c>
    </row>
    <row r="5685">
      <c r="A5685" s="42" t="s">
        <v>3415</v>
      </c>
    </row>
    <row r="5686">
      <c r="A5686" s="42" t="s">
        <v>3415</v>
      </c>
    </row>
    <row r="5687">
      <c r="A5687" s="42" t="s">
        <v>3415</v>
      </c>
    </row>
    <row r="5688">
      <c r="A5688" s="42" t="s">
        <v>3415</v>
      </c>
    </row>
    <row r="5689">
      <c r="A5689" s="42" t="s">
        <v>3415</v>
      </c>
    </row>
    <row r="5690">
      <c r="A5690" s="42" t="s">
        <v>3415</v>
      </c>
    </row>
    <row r="5691">
      <c r="A5691" s="42" t="s">
        <v>3415</v>
      </c>
    </row>
    <row r="5692">
      <c r="A5692" s="42" t="s">
        <v>3415</v>
      </c>
    </row>
    <row r="5693">
      <c r="A5693" s="42" t="s">
        <v>3415</v>
      </c>
    </row>
    <row r="5694">
      <c r="A5694" s="42" t="s">
        <v>3415</v>
      </c>
    </row>
    <row r="5695">
      <c r="A5695" s="42" t="s">
        <v>3415</v>
      </c>
    </row>
    <row r="5696">
      <c r="A5696" s="42" t="s">
        <v>3415</v>
      </c>
    </row>
    <row r="5697">
      <c r="A5697" s="42" t="s">
        <v>3415</v>
      </c>
    </row>
    <row r="5698">
      <c r="A5698" s="42" t="s">
        <v>3415</v>
      </c>
    </row>
    <row r="5699">
      <c r="A5699" s="42" t="s">
        <v>3415</v>
      </c>
    </row>
    <row r="5700">
      <c r="A5700" s="42" t="s">
        <v>3415</v>
      </c>
    </row>
    <row r="5701">
      <c r="A5701" s="42" t="s">
        <v>3415</v>
      </c>
    </row>
    <row r="5702">
      <c r="A5702" s="42" t="s">
        <v>3415</v>
      </c>
    </row>
    <row r="5703">
      <c r="A5703" s="42" t="s">
        <v>3415</v>
      </c>
    </row>
    <row r="5704">
      <c r="A5704" s="42" t="s">
        <v>3415</v>
      </c>
    </row>
    <row r="5705">
      <c r="A5705" s="42" t="s">
        <v>3415</v>
      </c>
    </row>
    <row r="5706">
      <c r="A5706" s="42" t="s">
        <v>3415</v>
      </c>
    </row>
    <row r="5707">
      <c r="A5707" s="42" t="s">
        <v>3415</v>
      </c>
    </row>
    <row r="5708">
      <c r="A5708" s="42" t="s">
        <v>3415</v>
      </c>
    </row>
    <row r="5709">
      <c r="A5709" s="42" t="s">
        <v>3415</v>
      </c>
    </row>
    <row r="5710">
      <c r="A5710" s="42" t="s">
        <v>3415</v>
      </c>
    </row>
    <row r="5711">
      <c r="A5711" s="42" t="s">
        <v>3415</v>
      </c>
    </row>
    <row r="5712">
      <c r="A5712" s="42" t="s">
        <v>3415</v>
      </c>
    </row>
    <row r="5713">
      <c r="A5713" s="42" t="s">
        <v>3415</v>
      </c>
    </row>
    <row r="5714">
      <c r="A5714" s="42" t="s">
        <v>3415</v>
      </c>
    </row>
    <row r="5715">
      <c r="A5715" s="42" t="s">
        <v>3415</v>
      </c>
    </row>
    <row r="5716">
      <c r="A5716" s="42" t="s">
        <v>3415</v>
      </c>
    </row>
    <row r="5717">
      <c r="A5717" s="42" t="s">
        <v>3415</v>
      </c>
    </row>
    <row r="5718">
      <c r="A5718" s="42" t="s">
        <v>3415</v>
      </c>
    </row>
    <row r="5719">
      <c r="A5719" s="42" t="s">
        <v>3415</v>
      </c>
    </row>
    <row r="5720">
      <c r="A5720" s="42" t="s">
        <v>3415</v>
      </c>
    </row>
    <row r="5721">
      <c r="A5721" s="42" t="s">
        <v>3415</v>
      </c>
    </row>
    <row r="5722">
      <c r="A5722" s="42" t="s">
        <v>3415</v>
      </c>
    </row>
    <row r="5723">
      <c r="A5723" s="42" t="s">
        <v>3415</v>
      </c>
    </row>
    <row r="5724">
      <c r="A5724" s="42" t="s">
        <v>3415</v>
      </c>
    </row>
    <row r="5725">
      <c r="A5725" s="42" t="s">
        <v>3415</v>
      </c>
    </row>
    <row r="5726">
      <c r="A5726" s="42" t="s">
        <v>3415</v>
      </c>
    </row>
    <row r="5727">
      <c r="A5727" s="42" t="s">
        <v>3415</v>
      </c>
    </row>
    <row r="5728">
      <c r="A5728" s="42" t="s">
        <v>3415</v>
      </c>
    </row>
    <row r="5729">
      <c r="A5729" s="42" t="s">
        <v>3415</v>
      </c>
    </row>
    <row r="5730">
      <c r="A5730" s="42" t="s">
        <v>3415</v>
      </c>
    </row>
    <row r="5731">
      <c r="A5731" s="42" t="s">
        <v>3415</v>
      </c>
    </row>
    <row r="5732">
      <c r="A5732" s="42" t="s">
        <v>3415</v>
      </c>
    </row>
    <row r="5733">
      <c r="A5733" s="42" t="s">
        <v>3415</v>
      </c>
    </row>
    <row r="5734">
      <c r="A5734" s="42" t="s">
        <v>3415</v>
      </c>
    </row>
    <row r="5735">
      <c r="A5735" s="42" t="s">
        <v>3415</v>
      </c>
    </row>
    <row r="5736">
      <c r="A5736" s="42" t="s">
        <v>3415</v>
      </c>
    </row>
    <row r="5737">
      <c r="A5737" s="42" t="s">
        <v>3415</v>
      </c>
    </row>
    <row r="5738">
      <c r="A5738" s="42" t="s">
        <v>3415</v>
      </c>
    </row>
    <row r="5739">
      <c r="A5739" s="42" t="s">
        <v>3415</v>
      </c>
    </row>
    <row r="5740">
      <c r="A5740" s="42" t="s">
        <v>3415</v>
      </c>
    </row>
    <row r="5741">
      <c r="A5741" s="42" t="s">
        <v>3415</v>
      </c>
    </row>
    <row r="5742">
      <c r="A5742" s="42" t="s">
        <v>3415</v>
      </c>
    </row>
    <row r="5743">
      <c r="A5743" s="42" t="s">
        <v>3415</v>
      </c>
    </row>
    <row r="5744">
      <c r="A5744" s="42" t="s">
        <v>3415</v>
      </c>
    </row>
    <row r="5745">
      <c r="A5745" s="42" t="s">
        <v>3415</v>
      </c>
    </row>
    <row r="5746">
      <c r="A5746" s="42" t="s">
        <v>3415</v>
      </c>
    </row>
    <row r="5747">
      <c r="A5747" s="42" t="s">
        <v>3415</v>
      </c>
    </row>
    <row r="5748">
      <c r="A5748" s="42" t="s">
        <v>3415</v>
      </c>
    </row>
    <row r="5749">
      <c r="A5749" s="42" t="s">
        <v>3415</v>
      </c>
    </row>
    <row r="5750">
      <c r="A5750" s="42" t="s">
        <v>3415</v>
      </c>
    </row>
    <row r="5751">
      <c r="A5751" s="42" t="s">
        <v>3415</v>
      </c>
    </row>
    <row r="5752">
      <c r="A5752" s="42" t="s">
        <v>3415</v>
      </c>
    </row>
    <row r="5753">
      <c r="A5753" s="42" t="s">
        <v>3415</v>
      </c>
    </row>
    <row r="5754">
      <c r="A5754" s="42" t="s">
        <v>3415</v>
      </c>
    </row>
    <row r="5755">
      <c r="A5755" s="42" t="s">
        <v>3415</v>
      </c>
    </row>
    <row r="5756">
      <c r="A5756" s="42" t="s">
        <v>3415</v>
      </c>
    </row>
    <row r="5757">
      <c r="A5757" s="42" t="s">
        <v>3415</v>
      </c>
    </row>
    <row r="5758">
      <c r="A5758" s="42" t="s">
        <v>3415</v>
      </c>
    </row>
    <row r="5759">
      <c r="A5759" s="42" t="s">
        <v>3415</v>
      </c>
    </row>
    <row r="5760">
      <c r="A5760" s="42" t="s">
        <v>3415</v>
      </c>
    </row>
    <row r="5761">
      <c r="A5761" s="42" t="s">
        <v>3415</v>
      </c>
    </row>
    <row r="5762">
      <c r="A5762" s="42" t="s">
        <v>3415</v>
      </c>
    </row>
    <row r="5763">
      <c r="A5763" s="42" t="s">
        <v>3415</v>
      </c>
    </row>
    <row r="5764">
      <c r="A5764" s="42" t="s">
        <v>3415</v>
      </c>
    </row>
    <row r="5765">
      <c r="A5765" s="42" t="s">
        <v>3415</v>
      </c>
    </row>
    <row r="5766">
      <c r="A5766" s="42" t="s">
        <v>3415</v>
      </c>
    </row>
    <row r="5767">
      <c r="A5767" s="42" t="s">
        <v>3415</v>
      </c>
    </row>
    <row r="5768">
      <c r="A5768" s="42" t="s">
        <v>3415</v>
      </c>
    </row>
    <row r="5769">
      <c r="A5769" s="42" t="s">
        <v>3415</v>
      </c>
    </row>
    <row r="5770">
      <c r="A5770" s="42" t="s">
        <v>3415</v>
      </c>
    </row>
    <row r="5771">
      <c r="A5771" s="42" t="s">
        <v>3415</v>
      </c>
    </row>
    <row r="5772">
      <c r="A5772" s="42" t="s">
        <v>3415</v>
      </c>
    </row>
    <row r="5773">
      <c r="A5773" s="42" t="s">
        <v>3415</v>
      </c>
    </row>
    <row r="5774">
      <c r="A5774" s="42" t="s">
        <v>3415</v>
      </c>
    </row>
    <row r="5775">
      <c r="A5775" s="42" t="s">
        <v>3415</v>
      </c>
    </row>
    <row r="5776">
      <c r="A5776" s="42" t="s">
        <v>3415</v>
      </c>
    </row>
    <row r="5777">
      <c r="A5777" s="42" t="s">
        <v>3415</v>
      </c>
    </row>
    <row r="5778">
      <c r="A5778" s="42" t="s">
        <v>3415</v>
      </c>
    </row>
    <row r="5779">
      <c r="A5779" s="42" t="s">
        <v>3415</v>
      </c>
    </row>
    <row r="5780">
      <c r="A5780" s="42" t="s">
        <v>3415</v>
      </c>
    </row>
    <row r="5781">
      <c r="A5781" s="42" t="s">
        <v>3415</v>
      </c>
    </row>
    <row r="5782">
      <c r="A5782" s="42" t="s">
        <v>3415</v>
      </c>
    </row>
    <row r="5783">
      <c r="A5783" s="42" t="s">
        <v>3415</v>
      </c>
    </row>
    <row r="5784">
      <c r="A5784" s="42" t="s">
        <v>3415</v>
      </c>
    </row>
    <row r="5785">
      <c r="A5785" s="42" t="s">
        <v>3415</v>
      </c>
    </row>
    <row r="5786">
      <c r="A5786" s="42" t="s">
        <v>3415</v>
      </c>
    </row>
    <row r="5787">
      <c r="A5787" s="42" t="s">
        <v>3415</v>
      </c>
    </row>
    <row r="5788">
      <c r="A5788" s="42" t="s">
        <v>3415</v>
      </c>
    </row>
    <row r="5789">
      <c r="A5789" s="42" t="s">
        <v>3415</v>
      </c>
    </row>
    <row r="5790">
      <c r="A5790" s="42" t="s">
        <v>3415</v>
      </c>
    </row>
    <row r="5791">
      <c r="A5791" s="42" t="s">
        <v>3415</v>
      </c>
    </row>
    <row r="5792">
      <c r="A5792" s="42" t="s">
        <v>3415</v>
      </c>
    </row>
    <row r="5793">
      <c r="A5793" s="42" t="s">
        <v>3415</v>
      </c>
    </row>
    <row r="5794">
      <c r="A5794" s="42" t="s">
        <v>3415</v>
      </c>
    </row>
    <row r="5795">
      <c r="A5795" s="42" t="s">
        <v>3415</v>
      </c>
    </row>
    <row r="5796">
      <c r="A5796" s="42" t="s">
        <v>3415</v>
      </c>
    </row>
    <row r="5797">
      <c r="A5797" s="42" t="s">
        <v>3415</v>
      </c>
    </row>
    <row r="5798">
      <c r="A5798" s="42" t="s">
        <v>3415</v>
      </c>
    </row>
    <row r="5799">
      <c r="A5799" s="42" t="s">
        <v>3415</v>
      </c>
    </row>
    <row r="5800">
      <c r="A5800" s="42" t="s">
        <v>3415</v>
      </c>
    </row>
    <row r="5801">
      <c r="A5801" s="42" t="s">
        <v>3415</v>
      </c>
    </row>
    <row r="5802">
      <c r="A5802" s="42" t="s">
        <v>3415</v>
      </c>
    </row>
    <row r="5803">
      <c r="A5803" s="42" t="s">
        <v>3415</v>
      </c>
    </row>
    <row r="5804">
      <c r="A5804" s="42" t="s">
        <v>3415</v>
      </c>
    </row>
    <row r="5805">
      <c r="A5805" s="42" t="s">
        <v>3415</v>
      </c>
    </row>
    <row r="5806">
      <c r="A5806" s="42" t="s">
        <v>3415</v>
      </c>
    </row>
    <row r="5807">
      <c r="A5807" s="42" t="s">
        <v>3415</v>
      </c>
    </row>
    <row r="5808">
      <c r="A5808" s="42" t="s">
        <v>3415</v>
      </c>
    </row>
    <row r="5809">
      <c r="A5809" s="42" t="s">
        <v>3415</v>
      </c>
    </row>
    <row r="5810">
      <c r="A5810" s="42" t="s">
        <v>3415</v>
      </c>
    </row>
    <row r="5811">
      <c r="A5811" s="42" t="s">
        <v>3415</v>
      </c>
    </row>
    <row r="5812">
      <c r="A5812" s="42" t="s">
        <v>3415</v>
      </c>
    </row>
    <row r="5813">
      <c r="A5813" s="42" t="s">
        <v>3415</v>
      </c>
    </row>
    <row r="5814">
      <c r="A5814" s="42" t="s">
        <v>3415</v>
      </c>
    </row>
    <row r="5815">
      <c r="A5815" s="42" t="s">
        <v>3415</v>
      </c>
    </row>
    <row r="5816">
      <c r="A5816" s="42" t="s">
        <v>3415</v>
      </c>
    </row>
    <row r="5817">
      <c r="A5817" s="42" t="s">
        <v>3415</v>
      </c>
    </row>
    <row r="5818">
      <c r="A5818" s="42" t="s">
        <v>3415</v>
      </c>
    </row>
    <row r="5819">
      <c r="A5819" s="42" t="s">
        <v>3415</v>
      </c>
    </row>
    <row r="5820">
      <c r="A5820" s="42" t="s">
        <v>3415</v>
      </c>
    </row>
    <row r="5821">
      <c r="A5821" s="42" t="s">
        <v>3415</v>
      </c>
    </row>
    <row r="5822">
      <c r="A5822" s="42" t="s">
        <v>3415</v>
      </c>
    </row>
    <row r="5823">
      <c r="A5823" s="42" t="s">
        <v>3415</v>
      </c>
    </row>
    <row r="5824">
      <c r="A5824" s="42" t="s">
        <v>3415</v>
      </c>
    </row>
    <row r="5825">
      <c r="A5825" s="42" t="s">
        <v>3415</v>
      </c>
    </row>
    <row r="5826">
      <c r="A5826" s="42" t="s">
        <v>3415</v>
      </c>
    </row>
    <row r="5827">
      <c r="A5827" s="42" t="s">
        <v>3415</v>
      </c>
    </row>
    <row r="5828">
      <c r="A5828" s="42" t="s">
        <v>3415</v>
      </c>
    </row>
    <row r="5829">
      <c r="A5829" s="42" t="s">
        <v>3415</v>
      </c>
    </row>
    <row r="5830">
      <c r="A5830" s="42" t="s">
        <v>3415</v>
      </c>
    </row>
    <row r="5831">
      <c r="A5831" s="42" t="s">
        <v>3415</v>
      </c>
    </row>
    <row r="5832">
      <c r="A5832" s="42" t="s">
        <v>3415</v>
      </c>
    </row>
    <row r="5833">
      <c r="A5833" s="42" t="s">
        <v>3415</v>
      </c>
    </row>
    <row r="5834">
      <c r="A5834" s="42" t="s">
        <v>3415</v>
      </c>
    </row>
    <row r="5835">
      <c r="A5835" s="42" t="s">
        <v>3415</v>
      </c>
    </row>
    <row r="5836">
      <c r="A5836" s="42" t="s">
        <v>3415</v>
      </c>
    </row>
    <row r="5837">
      <c r="A5837" s="42" t="s">
        <v>3415</v>
      </c>
    </row>
    <row r="5838">
      <c r="A5838" s="42" t="s">
        <v>3415</v>
      </c>
    </row>
    <row r="5839">
      <c r="A5839" s="42" t="s">
        <v>3415</v>
      </c>
    </row>
    <row r="5840">
      <c r="A5840" s="42" t="s">
        <v>3415</v>
      </c>
    </row>
    <row r="5841">
      <c r="A5841" s="42" t="s">
        <v>3415</v>
      </c>
    </row>
    <row r="5842">
      <c r="A5842" s="42" t="s">
        <v>3415</v>
      </c>
    </row>
    <row r="5843">
      <c r="A5843" s="42" t="s">
        <v>3415</v>
      </c>
    </row>
    <row r="5844">
      <c r="A5844" s="42" t="s">
        <v>3415</v>
      </c>
    </row>
    <row r="5845">
      <c r="A5845" s="42" t="s">
        <v>3415</v>
      </c>
    </row>
    <row r="5846">
      <c r="A5846" s="42" t="s">
        <v>3415</v>
      </c>
    </row>
    <row r="5847">
      <c r="A5847" s="42" t="s">
        <v>3415</v>
      </c>
    </row>
    <row r="5848">
      <c r="A5848" s="42" t="s">
        <v>3415</v>
      </c>
    </row>
    <row r="5849">
      <c r="A5849" s="42" t="s">
        <v>3415</v>
      </c>
    </row>
    <row r="5850">
      <c r="A5850" s="42" t="s">
        <v>3415</v>
      </c>
    </row>
    <row r="5851">
      <c r="A5851" s="42" t="s">
        <v>3415</v>
      </c>
    </row>
    <row r="5852">
      <c r="A5852" s="42" t="s">
        <v>3415</v>
      </c>
    </row>
    <row r="5853">
      <c r="A5853" s="42" t="s">
        <v>3415</v>
      </c>
    </row>
    <row r="5854">
      <c r="A5854" s="42" t="s">
        <v>3415</v>
      </c>
    </row>
    <row r="5855">
      <c r="A5855" s="42" t="s">
        <v>3415</v>
      </c>
    </row>
    <row r="5856">
      <c r="A5856" s="42" t="s">
        <v>3415</v>
      </c>
    </row>
    <row r="5857">
      <c r="A5857" s="42" t="s">
        <v>3415</v>
      </c>
    </row>
    <row r="5858">
      <c r="A5858" s="42" t="s">
        <v>3415</v>
      </c>
    </row>
    <row r="5859">
      <c r="A5859" s="42" t="s">
        <v>3415</v>
      </c>
    </row>
    <row r="5860">
      <c r="A5860" s="42" t="s">
        <v>3415</v>
      </c>
    </row>
    <row r="5861">
      <c r="A5861" s="42" t="s">
        <v>3415</v>
      </c>
    </row>
    <row r="5862">
      <c r="A5862" s="42" t="s">
        <v>3415</v>
      </c>
    </row>
    <row r="5863">
      <c r="A5863" s="42" t="s">
        <v>3415</v>
      </c>
    </row>
    <row r="5864">
      <c r="A5864" s="42" t="s">
        <v>3415</v>
      </c>
    </row>
    <row r="5865">
      <c r="A5865" s="42" t="s">
        <v>3415</v>
      </c>
    </row>
    <row r="5866">
      <c r="A5866" s="42" t="s">
        <v>3415</v>
      </c>
    </row>
    <row r="5867">
      <c r="A5867" s="42" t="s">
        <v>3415</v>
      </c>
    </row>
    <row r="5868">
      <c r="A5868" s="42" t="s">
        <v>3415</v>
      </c>
    </row>
    <row r="5869">
      <c r="A5869" s="42" t="s">
        <v>3415</v>
      </c>
    </row>
    <row r="5870">
      <c r="A5870" s="42" t="s">
        <v>3415</v>
      </c>
    </row>
    <row r="5871">
      <c r="A5871" s="42" t="s">
        <v>3415</v>
      </c>
    </row>
    <row r="5872">
      <c r="A5872" s="42" t="s">
        <v>3415</v>
      </c>
    </row>
    <row r="5873">
      <c r="A5873" s="42" t="s">
        <v>3415</v>
      </c>
    </row>
    <row r="5874">
      <c r="A5874" s="42" t="s">
        <v>3415</v>
      </c>
    </row>
    <row r="5875">
      <c r="A5875" s="42" t="s">
        <v>3415</v>
      </c>
    </row>
    <row r="5876">
      <c r="A5876" s="42" t="s">
        <v>3415</v>
      </c>
    </row>
    <row r="5877">
      <c r="A5877" s="42" t="s">
        <v>3415</v>
      </c>
    </row>
    <row r="5878">
      <c r="A5878" s="42" t="s">
        <v>3415</v>
      </c>
    </row>
    <row r="5879">
      <c r="A5879" s="42" t="s">
        <v>3415</v>
      </c>
    </row>
    <row r="5880">
      <c r="A5880" s="42" t="s">
        <v>3415</v>
      </c>
    </row>
    <row r="5881">
      <c r="A5881" s="42" t="s">
        <v>3415</v>
      </c>
    </row>
    <row r="5882">
      <c r="A5882" s="42" t="s">
        <v>3415</v>
      </c>
    </row>
    <row r="5883">
      <c r="A5883" s="42" t="s">
        <v>3415</v>
      </c>
    </row>
    <row r="5884">
      <c r="A5884" s="42" t="s">
        <v>3415</v>
      </c>
    </row>
    <row r="5885">
      <c r="A5885" s="42" t="s">
        <v>3415</v>
      </c>
    </row>
    <row r="5886">
      <c r="A5886" s="42" t="s">
        <v>3415</v>
      </c>
    </row>
    <row r="5887">
      <c r="A5887" s="42" t="s">
        <v>3415</v>
      </c>
    </row>
    <row r="5888">
      <c r="A5888" s="42" t="s">
        <v>3415</v>
      </c>
    </row>
    <row r="5889">
      <c r="A5889" s="42" t="s">
        <v>3415</v>
      </c>
    </row>
    <row r="5890">
      <c r="A5890" s="42" t="s">
        <v>3415</v>
      </c>
    </row>
    <row r="5891">
      <c r="A5891" s="42" t="s">
        <v>3415</v>
      </c>
    </row>
    <row r="5892">
      <c r="A5892" s="42" t="s">
        <v>3415</v>
      </c>
    </row>
    <row r="5893">
      <c r="A5893" s="42" t="s">
        <v>3415</v>
      </c>
    </row>
    <row r="5894">
      <c r="A5894" s="42" t="s">
        <v>3415</v>
      </c>
    </row>
    <row r="5895">
      <c r="A5895" s="42" t="s">
        <v>3415</v>
      </c>
    </row>
    <row r="5896">
      <c r="A5896" s="42" t="s">
        <v>3415</v>
      </c>
    </row>
    <row r="5897">
      <c r="A5897" s="42" t="s">
        <v>3415</v>
      </c>
    </row>
    <row r="5898">
      <c r="A5898" s="42" t="s">
        <v>3415</v>
      </c>
    </row>
    <row r="5899">
      <c r="A5899" s="42" t="s">
        <v>3415</v>
      </c>
    </row>
    <row r="5900">
      <c r="A5900" s="42" t="s">
        <v>3415</v>
      </c>
    </row>
    <row r="5901">
      <c r="A5901" s="42" t="s">
        <v>3415</v>
      </c>
    </row>
    <row r="5902">
      <c r="A5902" s="42" t="s">
        <v>3415</v>
      </c>
    </row>
    <row r="5903">
      <c r="A5903" s="42" t="s">
        <v>3415</v>
      </c>
    </row>
    <row r="5904">
      <c r="A5904" s="42" t="s">
        <v>3415</v>
      </c>
    </row>
    <row r="5905">
      <c r="A5905" s="42" t="s">
        <v>3415</v>
      </c>
    </row>
    <row r="5906">
      <c r="A5906" s="42" t="s">
        <v>3415</v>
      </c>
    </row>
    <row r="5907">
      <c r="A5907" s="42" t="s">
        <v>3415</v>
      </c>
    </row>
    <row r="5908">
      <c r="A5908" s="42" t="s">
        <v>3415</v>
      </c>
    </row>
    <row r="5909">
      <c r="A5909" s="42" t="s">
        <v>3415</v>
      </c>
    </row>
    <row r="5910">
      <c r="A5910" s="42" t="s">
        <v>3415</v>
      </c>
    </row>
    <row r="5911">
      <c r="A5911" s="42" t="s">
        <v>3415</v>
      </c>
    </row>
    <row r="5912">
      <c r="A5912" s="42" t="s">
        <v>3415</v>
      </c>
    </row>
    <row r="5913">
      <c r="A5913" s="42" t="s">
        <v>3415</v>
      </c>
    </row>
    <row r="5914">
      <c r="A5914" s="42" t="s">
        <v>3415</v>
      </c>
    </row>
    <row r="5915">
      <c r="A5915" s="42" t="s">
        <v>3415</v>
      </c>
    </row>
    <row r="5916">
      <c r="A5916" s="42" t="s">
        <v>3415</v>
      </c>
    </row>
    <row r="5917">
      <c r="A5917" s="42" t="s">
        <v>3415</v>
      </c>
    </row>
    <row r="5918">
      <c r="A5918" s="42" t="s">
        <v>3415</v>
      </c>
    </row>
    <row r="5919">
      <c r="A5919" s="42" t="s">
        <v>3415</v>
      </c>
    </row>
    <row r="5920">
      <c r="A5920" s="42" t="s">
        <v>3415</v>
      </c>
    </row>
    <row r="5921">
      <c r="A5921" s="42" t="s">
        <v>3415</v>
      </c>
    </row>
    <row r="5922">
      <c r="A5922" s="42" t="s">
        <v>3415</v>
      </c>
    </row>
    <row r="5923">
      <c r="A5923" s="42" t="s">
        <v>3415</v>
      </c>
    </row>
    <row r="5924">
      <c r="A5924" s="42" t="s">
        <v>3415</v>
      </c>
    </row>
    <row r="5925">
      <c r="A5925" s="42" t="s">
        <v>3415</v>
      </c>
    </row>
    <row r="5926">
      <c r="A5926" s="42" t="s">
        <v>3415</v>
      </c>
    </row>
    <row r="5927">
      <c r="A5927" s="42" t="s">
        <v>3415</v>
      </c>
    </row>
    <row r="5928">
      <c r="A5928" s="42" t="s">
        <v>3415</v>
      </c>
    </row>
    <row r="5929">
      <c r="A5929" s="42" t="s">
        <v>3415</v>
      </c>
    </row>
    <row r="5930">
      <c r="A5930" s="42" t="s">
        <v>3415</v>
      </c>
    </row>
    <row r="5931">
      <c r="A5931" s="42" t="s">
        <v>3415</v>
      </c>
    </row>
    <row r="5932">
      <c r="A5932" s="42" t="s">
        <v>3415</v>
      </c>
    </row>
    <row r="5933">
      <c r="A5933" s="42" t="s">
        <v>3415</v>
      </c>
    </row>
    <row r="5934">
      <c r="A5934" s="42" t="s">
        <v>3415</v>
      </c>
    </row>
    <row r="5935">
      <c r="A5935" s="42" t="s">
        <v>3415</v>
      </c>
    </row>
    <row r="5936">
      <c r="A5936" s="42" t="s">
        <v>3415</v>
      </c>
    </row>
    <row r="5937">
      <c r="A5937" s="42" t="s">
        <v>3415</v>
      </c>
    </row>
    <row r="5938">
      <c r="A5938" s="42" t="s">
        <v>3415</v>
      </c>
    </row>
    <row r="5939">
      <c r="A5939" s="42" t="s">
        <v>3415</v>
      </c>
    </row>
    <row r="5940">
      <c r="A5940" s="42" t="s">
        <v>3415</v>
      </c>
    </row>
    <row r="5941">
      <c r="A5941" s="42" t="s">
        <v>3415</v>
      </c>
    </row>
    <row r="5942">
      <c r="A5942" s="42" t="s">
        <v>3415</v>
      </c>
    </row>
    <row r="5943">
      <c r="A5943" s="42" t="s">
        <v>3415</v>
      </c>
    </row>
    <row r="5944">
      <c r="A5944" s="42" t="s">
        <v>3415</v>
      </c>
    </row>
    <row r="5945">
      <c r="A5945" s="42" t="s">
        <v>3415</v>
      </c>
    </row>
    <row r="5946">
      <c r="A5946" s="42" t="s">
        <v>3415</v>
      </c>
    </row>
    <row r="5947">
      <c r="A5947" s="42" t="s">
        <v>3415</v>
      </c>
    </row>
    <row r="5948">
      <c r="A5948" s="42" t="s">
        <v>3415</v>
      </c>
    </row>
    <row r="5949">
      <c r="A5949" s="42" t="s">
        <v>3415</v>
      </c>
    </row>
    <row r="5950">
      <c r="A5950" s="42" t="s">
        <v>3415</v>
      </c>
    </row>
    <row r="5951">
      <c r="A5951" s="42" t="s">
        <v>3415</v>
      </c>
    </row>
    <row r="5952">
      <c r="A5952" s="42" t="s">
        <v>3415</v>
      </c>
    </row>
    <row r="5953">
      <c r="A5953" s="42" t="s">
        <v>3415</v>
      </c>
    </row>
    <row r="5954">
      <c r="A5954" s="42" t="s">
        <v>3415</v>
      </c>
    </row>
    <row r="5955">
      <c r="A5955" s="42" t="s">
        <v>3415</v>
      </c>
    </row>
    <row r="5956">
      <c r="A5956" s="42" t="s">
        <v>3415</v>
      </c>
    </row>
    <row r="5957">
      <c r="A5957" s="42" t="s">
        <v>3415</v>
      </c>
    </row>
    <row r="5958">
      <c r="A5958" s="42" t="s">
        <v>3415</v>
      </c>
    </row>
    <row r="5959">
      <c r="A5959" s="42" t="s">
        <v>3415</v>
      </c>
    </row>
    <row r="5960">
      <c r="A5960" s="42" t="s">
        <v>3415</v>
      </c>
    </row>
    <row r="5961">
      <c r="A5961" s="42" t="s">
        <v>3415</v>
      </c>
    </row>
    <row r="5962">
      <c r="A5962" s="42" t="s">
        <v>3415</v>
      </c>
    </row>
    <row r="5963">
      <c r="A5963" s="42" t="s">
        <v>3415</v>
      </c>
    </row>
    <row r="5964">
      <c r="A5964" s="42" t="s">
        <v>3415</v>
      </c>
    </row>
    <row r="5965">
      <c r="A5965" s="42" t="s">
        <v>3415</v>
      </c>
    </row>
    <row r="5966">
      <c r="A5966" s="42" t="s">
        <v>3415</v>
      </c>
    </row>
    <row r="5967">
      <c r="A5967" s="42" t="s">
        <v>3415</v>
      </c>
    </row>
    <row r="5968">
      <c r="A5968" s="42" t="s">
        <v>3415</v>
      </c>
    </row>
    <row r="5969">
      <c r="A5969" s="42" t="s">
        <v>3415</v>
      </c>
    </row>
    <row r="5970">
      <c r="A5970" s="42" t="s">
        <v>3415</v>
      </c>
    </row>
    <row r="5971">
      <c r="A5971" s="42" t="s">
        <v>3415</v>
      </c>
    </row>
    <row r="5972">
      <c r="A5972" s="42" t="s">
        <v>3415</v>
      </c>
    </row>
    <row r="5973">
      <c r="A5973" s="42" t="s">
        <v>3415</v>
      </c>
    </row>
    <row r="5974">
      <c r="A5974" s="42" t="s">
        <v>3415</v>
      </c>
    </row>
    <row r="5975">
      <c r="A5975" s="42" t="s">
        <v>3415</v>
      </c>
    </row>
    <row r="5976">
      <c r="A5976" s="42" t="s">
        <v>3415</v>
      </c>
    </row>
    <row r="5977">
      <c r="A5977" s="42" t="s">
        <v>3415</v>
      </c>
    </row>
    <row r="5978">
      <c r="A5978" s="42" t="s">
        <v>3415</v>
      </c>
    </row>
    <row r="5979">
      <c r="A5979" s="42" t="s">
        <v>3415</v>
      </c>
    </row>
    <row r="5980">
      <c r="A5980" s="42" t="s">
        <v>3415</v>
      </c>
    </row>
    <row r="5981">
      <c r="A5981" s="42" t="s">
        <v>3415</v>
      </c>
    </row>
    <row r="5982">
      <c r="A5982" s="42" t="s">
        <v>3415</v>
      </c>
    </row>
    <row r="5983">
      <c r="A5983" s="42" t="s">
        <v>3415</v>
      </c>
    </row>
    <row r="5984">
      <c r="A5984" s="42" t="s">
        <v>3415</v>
      </c>
    </row>
    <row r="5985">
      <c r="A5985" s="42" t="s">
        <v>3415</v>
      </c>
    </row>
    <row r="5986">
      <c r="A5986" s="42" t="s">
        <v>3415</v>
      </c>
    </row>
    <row r="5987">
      <c r="A5987" s="42" t="s">
        <v>3415</v>
      </c>
    </row>
    <row r="5988">
      <c r="A5988" s="42" t="s">
        <v>3415</v>
      </c>
    </row>
    <row r="5989">
      <c r="A5989" s="42" t="s">
        <v>3415</v>
      </c>
    </row>
    <row r="5990">
      <c r="A5990" s="42" t="s">
        <v>3415</v>
      </c>
    </row>
    <row r="5991">
      <c r="A5991" s="42" t="s">
        <v>3415</v>
      </c>
    </row>
    <row r="5992">
      <c r="A5992" s="42" t="s">
        <v>3415</v>
      </c>
    </row>
    <row r="5993">
      <c r="A5993" s="42" t="s">
        <v>3415</v>
      </c>
    </row>
    <row r="5994">
      <c r="A5994" s="42" t="s">
        <v>3415</v>
      </c>
    </row>
    <row r="5995">
      <c r="A5995" s="42" t="s">
        <v>3415</v>
      </c>
    </row>
    <row r="5996">
      <c r="A5996" s="42" t="s">
        <v>3415</v>
      </c>
    </row>
    <row r="5997">
      <c r="A5997" s="42" t="s">
        <v>3415</v>
      </c>
    </row>
    <row r="5998">
      <c r="A5998" s="42" t="s">
        <v>3415</v>
      </c>
    </row>
    <row r="5999">
      <c r="A5999" s="42" t="s">
        <v>3415</v>
      </c>
    </row>
    <row r="6000">
      <c r="A6000" s="42" t="s">
        <v>3415</v>
      </c>
    </row>
    <row r="6001">
      <c r="A6001" s="42" t="s">
        <v>3415</v>
      </c>
    </row>
    <row r="6002">
      <c r="A6002" s="42" t="s">
        <v>3415</v>
      </c>
    </row>
    <row r="6003">
      <c r="A6003" s="42" t="s">
        <v>3415</v>
      </c>
    </row>
    <row r="6004">
      <c r="A6004" s="42" t="s">
        <v>3415</v>
      </c>
    </row>
    <row r="6005">
      <c r="A6005" s="42" t="s">
        <v>3415</v>
      </c>
    </row>
    <row r="6006">
      <c r="A6006" s="42" t="s">
        <v>3415</v>
      </c>
    </row>
    <row r="6007">
      <c r="A6007" s="42" t="s">
        <v>3415</v>
      </c>
    </row>
    <row r="6008">
      <c r="A6008" s="42" t="s">
        <v>3415</v>
      </c>
    </row>
    <row r="6009">
      <c r="A6009" s="42" t="s">
        <v>3415</v>
      </c>
    </row>
    <row r="6010">
      <c r="A6010" s="42" t="s">
        <v>3415</v>
      </c>
    </row>
    <row r="6011">
      <c r="A6011" s="42" t="s">
        <v>3415</v>
      </c>
    </row>
    <row r="6012">
      <c r="A6012" s="42" t="s">
        <v>3415</v>
      </c>
    </row>
    <row r="6013">
      <c r="A6013" s="42" t="s">
        <v>3415</v>
      </c>
    </row>
    <row r="6014">
      <c r="A6014" s="42" t="s">
        <v>3415</v>
      </c>
    </row>
    <row r="6015">
      <c r="A6015" s="42" t="s">
        <v>3415</v>
      </c>
    </row>
    <row r="6016">
      <c r="A6016" s="42" t="s">
        <v>3415</v>
      </c>
    </row>
    <row r="6017">
      <c r="A6017" s="42" t="s">
        <v>3415</v>
      </c>
    </row>
    <row r="6018">
      <c r="A6018" s="42" t="s">
        <v>3415</v>
      </c>
    </row>
    <row r="6019">
      <c r="A6019" s="42" t="s">
        <v>3415</v>
      </c>
    </row>
    <row r="6020">
      <c r="A6020" s="42" t="s">
        <v>3415</v>
      </c>
    </row>
    <row r="6021">
      <c r="A6021" s="42" t="s">
        <v>3415</v>
      </c>
    </row>
    <row r="6022">
      <c r="A6022" s="42" t="s">
        <v>3415</v>
      </c>
    </row>
    <row r="6023">
      <c r="A6023" s="42" t="s">
        <v>3415</v>
      </c>
    </row>
    <row r="6024">
      <c r="A6024" s="42" t="s">
        <v>3415</v>
      </c>
    </row>
    <row r="6025">
      <c r="A6025" s="42" t="s">
        <v>3415</v>
      </c>
    </row>
    <row r="6026">
      <c r="A6026" s="42" t="s">
        <v>3415</v>
      </c>
    </row>
    <row r="6027">
      <c r="A6027" s="42" t="s">
        <v>3415</v>
      </c>
    </row>
    <row r="6028">
      <c r="A6028" s="42" t="s">
        <v>3415</v>
      </c>
    </row>
    <row r="6029">
      <c r="A6029" s="42" t="s">
        <v>3415</v>
      </c>
    </row>
    <row r="6030">
      <c r="A6030" s="42" t="s">
        <v>3415</v>
      </c>
    </row>
    <row r="6031">
      <c r="A6031" s="42" t="s">
        <v>3415</v>
      </c>
    </row>
    <row r="6032">
      <c r="A6032" s="42" t="s">
        <v>3415</v>
      </c>
    </row>
    <row r="6033">
      <c r="A6033" s="42" t="s">
        <v>3415</v>
      </c>
    </row>
    <row r="6034">
      <c r="A6034" s="42" t="s">
        <v>3415</v>
      </c>
    </row>
    <row r="6035">
      <c r="A6035" s="42" t="s">
        <v>3415</v>
      </c>
    </row>
    <row r="6036">
      <c r="A6036" s="42" t="s">
        <v>3415</v>
      </c>
    </row>
    <row r="6037">
      <c r="A6037" s="42" t="s">
        <v>3415</v>
      </c>
    </row>
    <row r="6038">
      <c r="A6038" s="42" t="s">
        <v>3415</v>
      </c>
    </row>
    <row r="6039">
      <c r="A6039" s="42" t="s">
        <v>3415</v>
      </c>
    </row>
    <row r="6040">
      <c r="A6040" s="42" t="s">
        <v>3415</v>
      </c>
    </row>
    <row r="6041">
      <c r="A6041" s="42" t="s">
        <v>3415</v>
      </c>
    </row>
    <row r="6042">
      <c r="A6042" s="42" t="s">
        <v>3415</v>
      </c>
    </row>
    <row r="6043">
      <c r="A6043" s="42" t="s">
        <v>3415</v>
      </c>
    </row>
    <row r="6044">
      <c r="A6044" s="42" t="s">
        <v>3415</v>
      </c>
    </row>
    <row r="6045">
      <c r="A6045" s="42" t="s">
        <v>3415</v>
      </c>
    </row>
    <row r="6046">
      <c r="A6046" s="42" t="s">
        <v>3415</v>
      </c>
    </row>
    <row r="6047">
      <c r="A6047" s="42" t="s">
        <v>3415</v>
      </c>
    </row>
    <row r="6048">
      <c r="A6048" s="42" t="s">
        <v>3415</v>
      </c>
    </row>
    <row r="6049">
      <c r="A6049" s="42" t="s">
        <v>3415</v>
      </c>
    </row>
    <row r="6050">
      <c r="A6050" s="42" t="s">
        <v>3415</v>
      </c>
    </row>
    <row r="6051">
      <c r="A6051" s="42" t="s">
        <v>3415</v>
      </c>
    </row>
    <row r="6052">
      <c r="A6052" s="42" t="s">
        <v>3415</v>
      </c>
    </row>
    <row r="6053">
      <c r="A6053" s="42" t="s">
        <v>3415</v>
      </c>
    </row>
    <row r="6054">
      <c r="A6054" s="42" t="s">
        <v>3415</v>
      </c>
    </row>
    <row r="6055">
      <c r="A6055" s="42" t="s">
        <v>3415</v>
      </c>
    </row>
    <row r="6056">
      <c r="A6056" s="42" t="s">
        <v>3415</v>
      </c>
    </row>
    <row r="6057">
      <c r="A6057" s="42" t="s">
        <v>3415</v>
      </c>
    </row>
    <row r="6058">
      <c r="A6058" s="42" t="s">
        <v>3415</v>
      </c>
    </row>
    <row r="6059">
      <c r="A6059" s="42" t="s">
        <v>3415</v>
      </c>
    </row>
    <row r="6060">
      <c r="A6060" s="42" t="s">
        <v>3415</v>
      </c>
    </row>
    <row r="6061">
      <c r="A6061" s="42" t="s">
        <v>3415</v>
      </c>
    </row>
    <row r="6062">
      <c r="A6062" s="42" t="s">
        <v>3415</v>
      </c>
    </row>
    <row r="6063">
      <c r="A6063" s="42" t="s">
        <v>3415</v>
      </c>
    </row>
    <row r="6064">
      <c r="A6064" s="42" t="s">
        <v>3415</v>
      </c>
    </row>
    <row r="6065">
      <c r="A6065" s="42" t="s">
        <v>3415</v>
      </c>
    </row>
    <row r="6066">
      <c r="A6066" s="42" t="s">
        <v>3415</v>
      </c>
    </row>
    <row r="6067">
      <c r="A6067" s="42" t="s">
        <v>3415</v>
      </c>
    </row>
    <row r="6068">
      <c r="A6068" s="42" t="s">
        <v>3415</v>
      </c>
    </row>
    <row r="6069">
      <c r="A6069" s="42" t="s">
        <v>3415</v>
      </c>
    </row>
    <row r="6070">
      <c r="A6070" s="42" t="s">
        <v>3415</v>
      </c>
    </row>
    <row r="6071">
      <c r="A6071" s="42" t="s">
        <v>3415</v>
      </c>
    </row>
    <row r="6072">
      <c r="A6072" s="42" t="s">
        <v>3415</v>
      </c>
    </row>
    <row r="6073">
      <c r="A6073" s="42" t="s">
        <v>3415</v>
      </c>
    </row>
    <row r="6074">
      <c r="A6074" s="42" t="s">
        <v>3415</v>
      </c>
    </row>
    <row r="6075">
      <c r="A6075" s="42" t="s">
        <v>3415</v>
      </c>
    </row>
    <row r="6076">
      <c r="A6076" s="42" t="s">
        <v>3415</v>
      </c>
    </row>
    <row r="6077">
      <c r="A6077" s="42" t="s">
        <v>3415</v>
      </c>
    </row>
    <row r="6078">
      <c r="A6078" s="42" t="s">
        <v>3415</v>
      </c>
    </row>
    <row r="6079">
      <c r="A6079" s="42" t="s">
        <v>3415</v>
      </c>
    </row>
    <row r="6080">
      <c r="A6080" s="42" t="s">
        <v>3415</v>
      </c>
    </row>
    <row r="6081">
      <c r="A6081" s="42" t="s">
        <v>3415</v>
      </c>
    </row>
    <row r="6082">
      <c r="A6082" s="42" t="s">
        <v>3415</v>
      </c>
    </row>
    <row r="6083">
      <c r="A6083" s="42" t="s">
        <v>3415</v>
      </c>
    </row>
    <row r="6084">
      <c r="A6084" s="42" t="s">
        <v>3415</v>
      </c>
    </row>
    <row r="6085">
      <c r="A6085" s="42" t="s">
        <v>3415</v>
      </c>
    </row>
    <row r="6086">
      <c r="A6086" s="42" t="s">
        <v>3415</v>
      </c>
    </row>
    <row r="6087">
      <c r="A6087" s="42" t="s">
        <v>3415</v>
      </c>
    </row>
    <row r="6088">
      <c r="A6088" s="42" t="s">
        <v>3415</v>
      </c>
    </row>
    <row r="6089">
      <c r="A6089" s="42" t="s">
        <v>3415</v>
      </c>
    </row>
    <row r="6090">
      <c r="A6090" s="42" t="s">
        <v>3415</v>
      </c>
    </row>
    <row r="6091">
      <c r="A6091" s="42" t="s">
        <v>3415</v>
      </c>
    </row>
    <row r="6092">
      <c r="A6092" s="42" t="s">
        <v>3415</v>
      </c>
    </row>
    <row r="6093">
      <c r="A6093" s="42" t="s">
        <v>3415</v>
      </c>
    </row>
    <row r="6094">
      <c r="A6094" s="42" t="s">
        <v>3415</v>
      </c>
    </row>
    <row r="6095">
      <c r="A6095" s="42" t="s">
        <v>3415</v>
      </c>
    </row>
    <row r="6096">
      <c r="A6096" s="42" t="s">
        <v>3415</v>
      </c>
    </row>
    <row r="6097">
      <c r="A6097" s="42" t="s">
        <v>3415</v>
      </c>
    </row>
    <row r="6098">
      <c r="A6098" s="42" t="s">
        <v>3415</v>
      </c>
    </row>
    <row r="6099">
      <c r="A6099" s="42" t="s">
        <v>3415</v>
      </c>
    </row>
    <row r="6100">
      <c r="A6100" s="42" t="s">
        <v>3415</v>
      </c>
    </row>
    <row r="6101">
      <c r="A6101" s="42" t="s">
        <v>3415</v>
      </c>
    </row>
    <row r="6102">
      <c r="A6102" s="42" t="s">
        <v>3415</v>
      </c>
    </row>
    <row r="6103">
      <c r="A6103" s="42" t="s">
        <v>3415</v>
      </c>
    </row>
    <row r="6104">
      <c r="A6104" s="42" t="s">
        <v>3415</v>
      </c>
    </row>
    <row r="6105">
      <c r="A6105" s="42" t="s">
        <v>3415</v>
      </c>
    </row>
    <row r="6106">
      <c r="A6106" s="42" t="s">
        <v>3415</v>
      </c>
    </row>
    <row r="6107">
      <c r="A6107" s="42" t="s">
        <v>3415</v>
      </c>
    </row>
    <row r="6108">
      <c r="A6108" s="42" t="s">
        <v>3415</v>
      </c>
    </row>
    <row r="6109">
      <c r="A6109" s="42" t="s">
        <v>3415</v>
      </c>
    </row>
    <row r="6110">
      <c r="A6110" s="42" t="s">
        <v>3415</v>
      </c>
    </row>
    <row r="6111">
      <c r="A6111" s="42" t="s">
        <v>3415</v>
      </c>
    </row>
    <row r="6112">
      <c r="A6112" s="42" t="s">
        <v>3415</v>
      </c>
    </row>
    <row r="6113">
      <c r="A6113" s="42" t="s">
        <v>3415</v>
      </c>
    </row>
    <row r="6114">
      <c r="A6114" s="42" t="s">
        <v>3415</v>
      </c>
    </row>
    <row r="6115">
      <c r="A6115" s="42" t="s">
        <v>3415</v>
      </c>
    </row>
    <row r="6116">
      <c r="A6116" s="42" t="s">
        <v>3415</v>
      </c>
    </row>
    <row r="6117">
      <c r="A6117" s="42" t="s">
        <v>3415</v>
      </c>
    </row>
    <row r="6118">
      <c r="A6118" s="42" t="s">
        <v>3415</v>
      </c>
    </row>
    <row r="6119">
      <c r="A6119" s="42" t="s">
        <v>3415</v>
      </c>
    </row>
    <row r="6120">
      <c r="A6120" s="42" t="s">
        <v>3415</v>
      </c>
    </row>
    <row r="6121">
      <c r="A6121" s="42" t="s">
        <v>3415</v>
      </c>
    </row>
    <row r="6122">
      <c r="A6122" s="42" t="s">
        <v>3415</v>
      </c>
    </row>
    <row r="6123">
      <c r="A6123" s="42" t="s">
        <v>3415</v>
      </c>
    </row>
    <row r="6124">
      <c r="A6124" s="42" t="s">
        <v>3415</v>
      </c>
    </row>
    <row r="6125">
      <c r="A6125" s="42" t="s">
        <v>3415</v>
      </c>
    </row>
    <row r="6126">
      <c r="A6126" s="42" t="s">
        <v>3415</v>
      </c>
    </row>
    <row r="6127">
      <c r="A6127" s="42" t="s">
        <v>3415</v>
      </c>
    </row>
    <row r="6128">
      <c r="A6128" s="42" t="s">
        <v>3415</v>
      </c>
    </row>
    <row r="6129">
      <c r="A6129" s="42" t="s">
        <v>3415</v>
      </c>
    </row>
    <row r="6130">
      <c r="A6130" s="42" t="s">
        <v>3415</v>
      </c>
    </row>
    <row r="6131">
      <c r="A6131" s="42" t="s">
        <v>3415</v>
      </c>
    </row>
    <row r="6132">
      <c r="A6132" s="42" t="s">
        <v>3415</v>
      </c>
    </row>
    <row r="6133">
      <c r="A6133" s="42" t="s">
        <v>3415</v>
      </c>
    </row>
    <row r="6134">
      <c r="A6134" s="42" t="s">
        <v>3415</v>
      </c>
    </row>
    <row r="6135">
      <c r="A6135" s="42" t="s">
        <v>3415</v>
      </c>
    </row>
    <row r="6136">
      <c r="A6136" s="42" t="s">
        <v>3415</v>
      </c>
    </row>
    <row r="6137">
      <c r="A6137" s="42" t="s">
        <v>3415</v>
      </c>
    </row>
    <row r="6138">
      <c r="A6138" s="42" t="s">
        <v>3415</v>
      </c>
    </row>
    <row r="6139">
      <c r="A6139" s="42" t="s">
        <v>3415</v>
      </c>
    </row>
    <row r="6140">
      <c r="A6140" s="42" t="s">
        <v>3415</v>
      </c>
    </row>
    <row r="6141">
      <c r="A6141" s="42" t="s">
        <v>3415</v>
      </c>
    </row>
    <row r="6142">
      <c r="A6142" s="42" t="s">
        <v>3415</v>
      </c>
    </row>
    <row r="6143">
      <c r="A6143" s="42" t="s">
        <v>3415</v>
      </c>
    </row>
    <row r="6144">
      <c r="A6144" s="42" t="s">
        <v>3415</v>
      </c>
    </row>
    <row r="6145">
      <c r="A6145" s="42" t="s">
        <v>3415</v>
      </c>
    </row>
    <row r="6146">
      <c r="A6146" s="42" t="s">
        <v>3415</v>
      </c>
    </row>
    <row r="6147">
      <c r="A6147" s="42" t="s">
        <v>3415</v>
      </c>
    </row>
    <row r="6148">
      <c r="A6148" s="42" t="s">
        <v>3415</v>
      </c>
    </row>
    <row r="6149">
      <c r="A6149" s="42" t="s">
        <v>3415</v>
      </c>
    </row>
    <row r="6150">
      <c r="A6150" s="42" t="s">
        <v>3415</v>
      </c>
    </row>
    <row r="6151">
      <c r="A6151" s="42" t="s">
        <v>3415</v>
      </c>
    </row>
    <row r="6152">
      <c r="A6152" s="42" t="s">
        <v>3415</v>
      </c>
    </row>
    <row r="6153">
      <c r="A6153" s="42" t="s">
        <v>3415</v>
      </c>
    </row>
    <row r="6154">
      <c r="A6154" s="42" t="s">
        <v>3415</v>
      </c>
    </row>
    <row r="6155">
      <c r="A6155" s="42" t="s">
        <v>3415</v>
      </c>
    </row>
    <row r="6156">
      <c r="A6156" s="42" t="s">
        <v>3415</v>
      </c>
    </row>
    <row r="6157">
      <c r="A6157" s="42" t="s">
        <v>3415</v>
      </c>
    </row>
    <row r="6158">
      <c r="A6158" s="42" t="s">
        <v>3415</v>
      </c>
    </row>
    <row r="6159">
      <c r="A6159" s="42" t="s">
        <v>3415</v>
      </c>
    </row>
    <row r="6160">
      <c r="A6160" s="42" t="s">
        <v>3415</v>
      </c>
    </row>
    <row r="6161">
      <c r="A6161" s="42" t="s">
        <v>3415</v>
      </c>
    </row>
    <row r="6162">
      <c r="A6162" s="42" t="s">
        <v>3415</v>
      </c>
    </row>
    <row r="6163">
      <c r="A6163" s="42" t="s">
        <v>3415</v>
      </c>
    </row>
    <row r="6164">
      <c r="A6164" s="42" t="s">
        <v>3415</v>
      </c>
    </row>
    <row r="6165">
      <c r="A6165" s="42" t="s">
        <v>3415</v>
      </c>
    </row>
    <row r="6166">
      <c r="A6166" s="42" t="s">
        <v>3415</v>
      </c>
    </row>
    <row r="6167">
      <c r="A6167" s="42" t="s">
        <v>3415</v>
      </c>
    </row>
    <row r="6168">
      <c r="A6168" s="42" t="s">
        <v>3415</v>
      </c>
    </row>
    <row r="6169">
      <c r="A6169" s="42" t="s">
        <v>3415</v>
      </c>
    </row>
    <row r="6170">
      <c r="A6170" s="42" t="s">
        <v>3415</v>
      </c>
    </row>
    <row r="6171">
      <c r="A6171" s="42" t="s">
        <v>3415</v>
      </c>
    </row>
    <row r="6172">
      <c r="A6172" s="42" t="s">
        <v>3415</v>
      </c>
    </row>
    <row r="6173">
      <c r="A6173" s="42" t="s">
        <v>3415</v>
      </c>
    </row>
    <row r="6174">
      <c r="A6174" s="42" t="s">
        <v>3415</v>
      </c>
    </row>
    <row r="6175">
      <c r="A6175" s="42" t="s">
        <v>3415</v>
      </c>
    </row>
    <row r="6176">
      <c r="A6176" s="42" t="s">
        <v>3415</v>
      </c>
    </row>
    <row r="6177">
      <c r="A6177" s="42" t="s">
        <v>3415</v>
      </c>
    </row>
    <row r="6178">
      <c r="A6178" s="42" t="s">
        <v>3415</v>
      </c>
    </row>
    <row r="6179">
      <c r="A6179" s="42" t="s">
        <v>3415</v>
      </c>
    </row>
    <row r="6180">
      <c r="A6180" s="42" t="s">
        <v>3415</v>
      </c>
    </row>
    <row r="6181">
      <c r="A6181" s="42" t="s">
        <v>3415</v>
      </c>
    </row>
    <row r="6182">
      <c r="A6182" s="42" t="s">
        <v>3415</v>
      </c>
    </row>
    <row r="6183">
      <c r="A6183" s="42" t="s">
        <v>3415</v>
      </c>
    </row>
    <row r="6184">
      <c r="A6184" s="42" t="s">
        <v>3415</v>
      </c>
    </row>
    <row r="6185">
      <c r="A6185" s="42" t="s">
        <v>3415</v>
      </c>
    </row>
    <row r="6186">
      <c r="A6186" s="42" t="s">
        <v>3415</v>
      </c>
    </row>
    <row r="6187">
      <c r="A6187" s="42" t="s">
        <v>3415</v>
      </c>
    </row>
    <row r="6188">
      <c r="A6188" s="42" t="s">
        <v>3415</v>
      </c>
    </row>
    <row r="6189">
      <c r="A6189" s="42" t="s">
        <v>3415</v>
      </c>
    </row>
    <row r="6190">
      <c r="A6190" s="42" t="s">
        <v>3415</v>
      </c>
    </row>
    <row r="6191">
      <c r="A6191" s="42" t="s">
        <v>3415</v>
      </c>
    </row>
    <row r="6192">
      <c r="A6192" s="42" t="s">
        <v>3415</v>
      </c>
    </row>
    <row r="6193">
      <c r="A6193" s="42" t="s">
        <v>3415</v>
      </c>
    </row>
    <row r="6194">
      <c r="A6194" s="42" t="s">
        <v>3415</v>
      </c>
    </row>
    <row r="6195">
      <c r="A6195" s="42" t="s">
        <v>3415</v>
      </c>
    </row>
    <row r="6196">
      <c r="A6196" s="42" t="s">
        <v>3415</v>
      </c>
    </row>
    <row r="6197">
      <c r="A6197" s="42" t="s">
        <v>3415</v>
      </c>
    </row>
    <row r="6198">
      <c r="A6198" s="42" t="s">
        <v>3415</v>
      </c>
    </row>
    <row r="6199">
      <c r="A6199" s="42" t="s">
        <v>3415</v>
      </c>
    </row>
    <row r="6200">
      <c r="A6200" s="42" t="s">
        <v>3415</v>
      </c>
    </row>
    <row r="6201">
      <c r="A6201" s="42" t="s">
        <v>3415</v>
      </c>
    </row>
    <row r="6202">
      <c r="A6202" s="42" t="s">
        <v>3415</v>
      </c>
    </row>
    <row r="6203">
      <c r="A6203" s="42" t="s">
        <v>3415</v>
      </c>
    </row>
    <row r="6204">
      <c r="A6204" s="42" t="s">
        <v>3415</v>
      </c>
    </row>
    <row r="6205">
      <c r="A6205" s="42" t="s">
        <v>3415</v>
      </c>
    </row>
    <row r="6206">
      <c r="A6206" s="42" t="s">
        <v>3415</v>
      </c>
    </row>
    <row r="6207">
      <c r="A6207" s="42" t="s">
        <v>3415</v>
      </c>
    </row>
    <row r="6208">
      <c r="A6208" s="42" t="s">
        <v>3415</v>
      </c>
    </row>
    <row r="6209">
      <c r="A6209" s="42" t="s">
        <v>3415</v>
      </c>
    </row>
    <row r="6210">
      <c r="A6210" s="42" t="s">
        <v>3415</v>
      </c>
    </row>
    <row r="6211">
      <c r="A6211" s="42" t="s">
        <v>3415</v>
      </c>
    </row>
    <row r="6212">
      <c r="A6212" s="42" t="s">
        <v>3415</v>
      </c>
    </row>
    <row r="6213">
      <c r="A6213" s="42" t="s">
        <v>3415</v>
      </c>
    </row>
    <row r="6214">
      <c r="A6214" s="42" t="s">
        <v>3415</v>
      </c>
    </row>
    <row r="6215">
      <c r="A6215" s="42" t="s">
        <v>3415</v>
      </c>
    </row>
    <row r="6216">
      <c r="A6216" s="42" t="s">
        <v>3415</v>
      </c>
    </row>
    <row r="6217">
      <c r="A6217" s="42" t="s">
        <v>3415</v>
      </c>
    </row>
    <row r="6218">
      <c r="A6218" s="42" t="s">
        <v>3415</v>
      </c>
    </row>
    <row r="6219">
      <c r="A6219" s="42" t="s">
        <v>3415</v>
      </c>
    </row>
    <row r="6220">
      <c r="A6220" s="42" t="s">
        <v>3415</v>
      </c>
    </row>
    <row r="6221">
      <c r="A6221" s="42" t="s">
        <v>3415</v>
      </c>
    </row>
    <row r="6222">
      <c r="A6222" s="42" t="s">
        <v>3415</v>
      </c>
    </row>
    <row r="6223">
      <c r="A6223" s="42" t="s">
        <v>3415</v>
      </c>
    </row>
    <row r="6224">
      <c r="A6224" s="42" t="s">
        <v>3415</v>
      </c>
    </row>
    <row r="6225">
      <c r="A6225" s="42" t="s">
        <v>3415</v>
      </c>
    </row>
    <row r="6226">
      <c r="A6226" s="42" t="s">
        <v>3415</v>
      </c>
    </row>
    <row r="6227">
      <c r="A6227" s="42" t="s">
        <v>3415</v>
      </c>
    </row>
    <row r="6228">
      <c r="A6228" s="42" t="s">
        <v>3415</v>
      </c>
    </row>
    <row r="6229">
      <c r="A6229" s="42" t="s">
        <v>3415</v>
      </c>
    </row>
    <row r="6230">
      <c r="A6230" s="42" t="s">
        <v>3415</v>
      </c>
    </row>
    <row r="6231">
      <c r="A6231" s="42" t="s">
        <v>3415</v>
      </c>
    </row>
    <row r="6232">
      <c r="A6232" s="42" t="s">
        <v>3415</v>
      </c>
    </row>
    <row r="6233">
      <c r="A6233" s="42" t="s">
        <v>3415</v>
      </c>
    </row>
    <row r="6234">
      <c r="A6234" s="42" t="s">
        <v>3415</v>
      </c>
    </row>
    <row r="6235">
      <c r="A6235" s="42" t="s">
        <v>3415</v>
      </c>
    </row>
    <row r="6236">
      <c r="A6236" s="42" t="s">
        <v>3415</v>
      </c>
    </row>
    <row r="6237">
      <c r="A6237" s="42" t="s">
        <v>3415</v>
      </c>
    </row>
    <row r="6238">
      <c r="A6238" s="42" t="s">
        <v>3415</v>
      </c>
    </row>
    <row r="6239">
      <c r="A6239" s="42" t="s">
        <v>3415</v>
      </c>
    </row>
    <row r="6240">
      <c r="A6240" s="42" t="s">
        <v>3415</v>
      </c>
    </row>
    <row r="6241">
      <c r="A6241" s="42" t="s">
        <v>3415</v>
      </c>
    </row>
    <row r="6242">
      <c r="A6242" s="42" t="s">
        <v>3415</v>
      </c>
    </row>
    <row r="6243">
      <c r="A6243" s="42" t="s">
        <v>3415</v>
      </c>
    </row>
    <row r="6244">
      <c r="A6244" s="42" t="s">
        <v>3415</v>
      </c>
    </row>
    <row r="6245">
      <c r="A6245" s="42" t="s">
        <v>3415</v>
      </c>
    </row>
    <row r="6246">
      <c r="A6246" s="42" t="s">
        <v>3415</v>
      </c>
    </row>
    <row r="6247">
      <c r="A6247" s="42" t="s">
        <v>3415</v>
      </c>
    </row>
    <row r="6248">
      <c r="A6248" s="42" t="s">
        <v>3415</v>
      </c>
    </row>
    <row r="6249">
      <c r="A6249" s="42" t="s">
        <v>3415</v>
      </c>
    </row>
    <row r="6250">
      <c r="A6250" s="42" t="s">
        <v>3415</v>
      </c>
    </row>
    <row r="6251">
      <c r="A6251" s="42" t="s">
        <v>3415</v>
      </c>
    </row>
    <row r="6252">
      <c r="A6252" s="42" t="s">
        <v>3415</v>
      </c>
    </row>
    <row r="6253">
      <c r="A6253" s="42" t="s">
        <v>3415</v>
      </c>
    </row>
    <row r="6254">
      <c r="A6254" s="42" t="s">
        <v>3415</v>
      </c>
    </row>
    <row r="6255">
      <c r="A6255" s="42" t="s">
        <v>3415</v>
      </c>
    </row>
    <row r="6256">
      <c r="A6256" s="42" t="s">
        <v>3415</v>
      </c>
    </row>
    <row r="6257">
      <c r="A6257" s="42" t="s">
        <v>3415</v>
      </c>
    </row>
    <row r="6258">
      <c r="A6258" s="42" t="s">
        <v>3415</v>
      </c>
    </row>
    <row r="6259">
      <c r="A6259" s="42" t="s">
        <v>3415</v>
      </c>
    </row>
    <row r="6260">
      <c r="A6260" s="42" t="s">
        <v>3415</v>
      </c>
    </row>
    <row r="6261">
      <c r="A6261" s="42" t="s">
        <v>3415</v>
      </c>
    </row>
    <row r="6262">
      <c r="A6262" s="42" t="s">
        <v>3415</v>
      </c>
    </row>
    <row r="6263">
      <c r="A6263" s="42" t="s">
        <v>3415</v>
      </c>
    </row>
    <row r="6264">
      <c r="A6264" s="42" t="s">
        <v>3415</v>
      </c>
    </row>
    <row r="6265">
      <c r="A6265" s="42" t="s">
        <v>3415</v>
      </c>
    </row>
    <row r="6266">
      <c r="A6266" s="42" t="s">
        <v>3415</v>
      </c>
    </row>
    <row r="6267">
      <c r="A6267" s="42" t="s">
        <v>3415</v>
      </c>
    </row>
    <row r="6268">
      <c r="A6268" s="42" t="s">
        <v>3415</v>
      </c>
    </row>
    <row r="6269">
      <c r="A6269" s="42" t="s">
        <v>3415</v>
      </c>
    </row>
    <row r="6270">
      <c r="A6270" s="42" t="s">
        <v>3415</v>
      </c>
    </row>
    <row r="6271">
      <c r="A6271" s="42" t="s">
        <v>3415</v>
      </c>
    </row>
    <row r="6272">
      <c r="A6272" s="42" t="s">
        <v>3415</v>
      </c>
    </row>
    <row r="6273">
      <c r="A6273" s="42" t="s">
        <v>3415</v>
      </c>
    </row>
    <row r="6274">
      <c r="A6274" s="42" t="s">
        <v>3415</v>
      </c>
    </row>
    <row r="6275">
      <c r="A6275" s="42" t="s">
        <v>3415</v>
      </c>
    </row>
    <row r="6276">
      <c r="A6276" s="42" t="s">
        <v>3415</v>
      </c>
    </row>
    <row r="6277">
      <c r="A6277" s="42" t="s">
        <v>3415</v>
      </c>
    </row>
    <row r="6278">
      <c r="A6278" s="42" t="s">
        <v>3415</v>
      </c>
    </row>
    <row r="6279">
      <c r="A6279" s="42" t="s">
        <v>3415</v>
      </c>
    </row>
    <row r="6280">
      <c r="A6280" s="42" t="s">
        <v>3415</v>
      </c>
    </row>
    <row r="6281">
      <c r="A6281" s="42" t="s">
        <v>3415</v>
      </c>
    </row>
    <row r="6282">
      <c r="A6282" s="42" t="s">
        <v>3415</v>
      </c>
    </row>
    <row r="6283">
      <c r="A6283" s="42" t="s">
        <v>3415</v>
      </c>
    </row>
    <row r="6284">
      <c r="A6284" s="42" t="s">
        <v>3415</v>
      </c>
    </row>
    <row r="6285">
      <c r="A6285" s="42" t="s">
        <v>3415</v>
      </c>
    </row>
    <row r="6286">
      <c r="A6286" s="42" t="s">
        <v>3415</v>
      </c>
    </row>
    <row r="6287">
      <c r="A6287" s="42" t="s">
        <v>3415</v>
      </c>
    </row>
    <row r="6288">
      <c r="A6288" s="42" t="s">
        <v>3415</v>
      </c>
    </row>
    <row r="6289">
      <c r="A6289" s="42" t="s">
        <v>3415</v>
      </c>
    </row>
    <row r="6290">
      <c r="A6290" s="42" t="s">
        <v>3415</v>
      </c>
    </row>
    <row r="6291">
      <c r="A6291" s="42" t="s">
        <v>3415</v>
      </c>
    </row>
    <row r="6292">
      <c r="A6292" s="42" t="s">
        <v>3415</v>
      </c>
    </row>
    <row r="6293">
      <c r="A6293" s="42" t="s">
        <v>3415</v>
      </c>
    </row>
    <row r="6294">
      <c r="A6294" s="42" t="s">
        <v>3415</v>
      </c>
    </row>
    <row r="6295">
      <c r="A6295" s="42" t="s">
        <v>3415</v>
      </c>
    </row>
    <row r="6296">
      <c r="A6296" s="42" t="s">
        <v>3415</v>
      </c>
    </row>
    <row r="6297">
      <c r="A6297" s="42" t="s">
        <v>3415</v>
      </c>
    </row>
    <row r="6298">
      <c r="A6298" s="42" t="s">
        <v>3415</v>
      </c>
    </row>
    <row r="6299">
      <c r="A6299" s="42" t="s">
        <v>3415</v>
      </c>
    </row>
    <row r="6300">
      <c r="A6300" s="42" t="s">
        <v>3415</v>
      </c>
    </row>
    <row r="6301">
      <c r="A6301" s="42" t="s">
        <v>3415</v>
      </c>
    </row>
    <row r="6302">
      <c r="A6302" s="42" t="s">
        <v>3415</v>
      </c>
    </row>
    <row r="6303">
      <c r="A6303" s="42" t="s">
        <v>3415</v>
      </c>
    </row>
    <row r="6304">
      <c r="A6304" s="42" t="s">
        <v>3415</v>
      </c>
    </row>
    <row r="6305">
      <c r="A6305" s="42" t="s">
        <v>3415</v>
      </c>
    </row>
    <row r="6306">
      <c r="A6306" s="42" t="s">
        <v>3415</v>
      </c>
    </row>
    <row r="6307">
      <c r="A6307" s="42" t="s">
        <v>3415</v>
      </c>
    </row>
    <row r="6308">
      <c r="A6308" s="42" t="s">
        <v>3415</v>
      </c>
    </row>
    <row r="6309">
      <c r="A6309" s="42" t="s">
        <v>3415</v>
      </c>
    </row>
    <row r="6310">
      <c r="A6310" s="42" t="s">
        <v>3415</v>
      </c>
    </row>
    <row r="6311">
      <c r="A6311" s="42" t="s">
        <v>3415</v>
      </c>
    </row>
    <row r="6312">
      <c r="A6312" s="42" t="s">
        <v>3415</v>
      </c>
    </row>
    <row r="6313">
      <c r="A6313" s="42" t="s">
        <v>3415</v>
      </c>
    </row>
    <row r="6314">
      <c r="A6314" s="42" t="s">
        <v>3415</v>
      </c>
    </row>
    <row r="6315">
      <c r="A6315" s="42" t="s">
        <v>3415</v>
      </c>
    </row>
    <row r="6316">
      <c r="A6316" s="42" t="s">
        <v>3415</v>
      </c>
    </row>
    <row r="6317">
      <c r="A6317" s="42" t="s">
        <v>3415</v>
      </c>
    </row>
    <row r="6318">
      <c r="A6318" s="42" t="s">
        <v>3415</v>
      </c>
    </row>
    <row r="6319">
      <c r="A6319" s="42" t="s">
        <v>3415</v>
      </c>
    </row>
    <row r="6320">
      <c r="A6320" s="42" t="s">
        <v>3415</v>
      </c>
    </row>
    <row r="6321">
      <c r="A6321" s="42" t="s">
        <v>3415</v>
      </c>
    </row>
    <row r="6322">
      <c r="A6322" s="42" t="s">
        <v>3415</v>
      </c>
    </row>
    <row r="6323">
      <c r="A6323" s="42" t="s">
        <v>3415</v>
      </c>
    </row>
    <row r="6324">
      <c r="A6324" s="42" t="s">
        <v>3415</v>
      </c>
    </row>
    <row r="6325">
      <c r="A6325" s="42" t="s">
        <v>3415</v>
      </c>
    </row>
    <row r="6326">
      <c r="A6326" s="42" t="s">
        <v>3415</v>
      </c>
    </row>
    <row r="6327">
      <c r="A6327" s="42" t="s">
        <v>3415</v>
      </c>
    </row>
    <row r="6328">
      <c r="A6328" s="42" t="s">
        <v>3415</v>
      </c>
    </row>
    <row r="6329">
      <c r="A6329" s="42" t="s">
        <v>3415</v>
      </c>
    </row>
    <row r="6330">
      <c r="A6330" s="42" t="s">
        <v>3415</v>
      </c>
    </row>
    <row r="6331">
      <c r="A6331" s="42" t="s">
        <v>3415</v>
      </c>
    </row>
    <row r="6332">
      <c r="A6332" s="42" t="s">
        <v>3415</v>
      </c>
    </row>
    <row r="6333">
      <c r="A6333" s="42" t="s">
        <v>3415</v>
      </c>
    </row>
    <row r="6334">
      <c r="A6334" s="42" t="s">
        <v>3415</v>
      </c>
    </row>
    <row r="6335">
      <c r="A6335" s="42" t="s">
        <v>3415</v>
      </c>
    </row>
    <row r="6336">
      <c r="A6336" s="42" t="s">
        <v>3415</v>
      </c>
    </row>
    <row r="6337">
      <c r="A6337" s="42" t="s">
        <v>3415</v>
      </c>
    </row>
    <row r="6338">
      <c r="A6338" s="42" t="s">
        <v>3415</v>
      </c>
    </row>
    <row r="6339">
      <c r="A6339" s="42" t="s">
        <v>3415</v>
      </c>
    </row>
    <row r="6340">
      <c r="A6340" s="42" t="s">
        <v>3415</v>
      </c>
    </row>
    <row r="6341">
      <c r="A6341" s="42" t="s">
        <v>3415</v>
      </c>
    </row>
    <row r="6342">
      <c r="A6342" s="42" t="s">
        <v>3415</v>
      </c>
    </row>
    <row r="6343">
      <c r="A6343" s="42" t="s">
        <v>3415</v>
      </c>
    </row>
    <row r="6344">
      <c r="A6344" s="42" t="s">
        <v>3415</v>
      </c>
    </row>
    <row r="6345">
      <c r="A6345" s="42" t="s">
        <v>3415</v>
      </c>
    </row>
    <row r="6346">
      <c r="A6346" s="42" t="s">
        <v>3415</v>
      </c>
    </row>
    <row r="6347">
      <c r="A6347" s="42" t="s">
        <v>3415</v>
      </c>
    </row>
    <row r="6348">
      <c r="A6348" s="42" t="s">
        <v>3415</v>
      </c>
    </row>
    <row r="6349">
      <c r="A6349" s="42" t="s">
        <v>3415</v>
      </c>
    </row>
    <row r="6350">
      <c r="A6350" s="42" t="s">
        <v>3415</v>
      </c>
    </row>
    <row r="6351">
      <c r="A6351" s="42" t="s">
        <v>3415</v>
      </c>
    </row>
    <row r="6352">
      <c r="A6352" s="42" t="s">
        <v>3415</v>
      </c>
    </row>
    <row r="6353">
      <c r="A6353" s="42" t="s">
        <v>3415</v>
      </c>
    </row>
    <row r="6354">
      <c r="A6354" s="42" t="s">
        <v>3415</v>
      </c>
    </row>
    <row r="6355">
      <c r="A6355" s="42" t="s">
        <v>3415</v>
      </c>
    </row>
    <row r="6356">
      <c r="A6356" s="42" t="s">
        <v>3415</v>
      </c>
    </row>
    <row r="6357">
      <c r="A6357" s="42" t="s">
        <v>3415</v>
      </c>
    </row>
    <row r="6358">
      <c r="A6358" s="42" t="s">
        <v>3415</v>
      </c>
    </row>
    <row r="6359">
      <c r="A6359" s="42" t="s">
        <v>3415</v>
      </c>
    </row>
    <row r="6360">
      <c r="A6360" s="42" t="s">
        <v>3415</v>
      </c>
    </row>
    <row r="6361">
      <c r="A6361" s="42" t="s">
        <v>3415</v>
      </c>
    </row>
    <row r="6362">
      <c r="A6362" s="42" t="s">
        <v>3415</v>
      </c>
    </row>
    <row r="6363">
      <c r="A6363" s="42" t="s">
        <v>3415</v>
      </c>
    </row>
    <row r="6364">
      <c r="A6364" s="42" t="s">
        <v>3415</v>
      </c>
    </row>
    <row r="6365">
      <c r="A6365" s="42" t="s">
        <v>3415</v>
      </c>
    </row>
    <row r="6366">
      <c r="A6366" s="42" t="s">
        <v>3415</v>
      </c>
    </row>
    <row r="6367">
      <c r="A6367" s="42" t="s">
        <v>3415</v>
      </c>
    </row>
    <row r="6368">
      <c r="A6368" s="42" t="s">
        <v>3415</v>
      </c>
    </row>
    <row r="6369">
      <c r="A6369" s="42" t="s">
        <v>3415</v>
      </c>
    </row>
    <row r="6370">
      <c r="A6370" s="42" t="s">
        <v>3415</v>
      </c>
    </row>
    <row r="6371">
      <c r="A6371" s="42" t="s">
        <v>3415</v>
      </c>
    </row>
    <row r="6372">
      <c r="A6372" s="42" t="s">
        <v>3415</v>
      </c>
    </row>
    <row r="6373">
      <c r="A6373" s="42" t="s">
        <v>3415</v>
      </c>
    </row>
    <row r="6374">
      <c r="A6374" s="42" t="s">
        <v>3415</v>
      </c>
    </row>
    <row r="6375">
      <c r="A6375" s="42" t="s">
        <v>3415</v>
      </c>
    </row>
    <row r="6376">
      <c r="A6376" s="42" t="s">
        <v>3415</v>
      </c>
    </row>
    <row r="6377">
      <c r="A6377" s="42" t="s">
        <v>3415</v>
      </c>
    </row>
    <row r="6378">
      <c r="A6378" s="42" t="s">
        <v>3415</v>
      </c>
    </row>
    <row r="6379">
      <c r="A6379" s="42" t="s">
        <v>3415</v>
      </c>
    </row>
    <row r="6380">
      <c r="A6380" s="42" t="s">
        <v>3415</v>
      </c>
    </row>
    <row r="6381">
      <c r="A6381" s="42" t="s">
        <v>3415</v>
      </c>
    </row>
    <row r="6382">
      <c r="A6382" s="42" t="s">
        <v>3415</v>
      </c>
    </row>
    <row r="6383">
      <c r="A6383" s="42" t="s">
        <v>3415</v>
      </c>
    </row>
    <row r="6384">
      <c r="A6384" s="42" t="s">
        <v>3415</v>
      </c>
    </row>
    <row r="6385">
      <c r="A6385" s="42" t="s">
        <v>3415</v>
      </c>
    </row>
    <row r="6386">
      <c r="A6386" s="42" t="s">
        <v>3415</v>
      </c>
    </row>
    <row r="6387">
      <c r="A6387" s="42" t="s">
        <v>3415</v>
      </c>
    </row>
    <row r="6388">
      <c r="A6388" s="42" t="s">
        <v>3415</v>
      </c>
    </row>
    <row r="6389">
      <c r="A6389" s="42" t="s">
        <v>3415</v>
      </c>
    </row>
    <row r="6390">
      <c r="A6390" s="42" t="s">
        <v>3415</v>
      </c>
    </row>
    <row r="6391">
      <c r="A6391" s="42" t="s">
        <v>3415</v>
      </c>
    </row>
    <row r="6392">
      <c r="A6392" s="42" t="s">
        <v>3415</v>
      </c>
    </row>
    <row r="6393">
      <c r="A6393" s="42" t="s">
        <v>3415</v>
      </c>
    </row>
    <row r="6394">
      <c r="A6394" s="42" t="s">
        <v>3415</v>
      </c>
    </row>
    <row r="6395">
      <c r="A6395" s="42" t="s">
        <v>3415</v>
      </c>
    </row>
    <row r="6396">
      <c r="A6396" s="42" t="s">
        <v>3415</v>
      </c>
    </row>
    <row r="6397">
      <c r="A6397" s="42" t="s">
        <v>3415</v>
      </c>
    </row>
    <row r="6398">
      <c r="A6398" s="42" t="s">
        <v>3415</v>
      </c>
    </row>
    <row r="6399">
      <c r="A6399" s="42" t="s">
        <v>3415</v>
      </c>
    </row>
    <row r="6400">
      <c r="A6400" s="42" t="s">
        <v>3415</v>
      </c>
    </row>
    <row r="6401">
      <c r="A6401" s="42" t="s">
        <v>3415</v>
      </c>
    </row>
    <row r="6402">
      <c r="A6402" s="42" t="s">
        <v>3415</v>
      </c>
    </row>
    <row r="6403">
      <c r="A6403" s="42" t="s">
        <v>3415</v>
      </c>
    </row>
    <row r="6404">
      <c r="A6404" s="42" t="s">
        <v>3415</v>
      </c>
    </row>
    <row r="6405">
      <c r="A6405" s="42" t="s">
        <v>3415</v>
      </c>
    </row>
    <row r="6406">
      <c r="A6406" s="42" t="s">
        <v>3415</v>
      </c>
    </row>
    <row r="6407">
      <c r="A6407" s="42" t="s">
        <v>3415</v>
      </c>
    </row>
    <row r="6408">
      <c r="A6408" s="42" t="s">
        <v>3415</v>
      </c>
    </row>
    <row r="6409">
      <c r="A6409" s="42" t="s">
        <v>3415</v>
      </c>
    </row>
    <row r="6410">
      <c r="A6410" s="42" t="s">
        <v>3415</v>
      </c>
    </row>
    <row r="6411">
      <c r="A6411" s="42" t="s">
        <v>3415</v>
      </c>
    </row>
    <row r="6412">
      <c r="A6412" s="42" t="s">
        <v>3415</v>
      </c>
    </row>
    <row r="6413">
      <c r="A6413" s="42" t="s">
        <v>3415</v>
      </c>
    </row>
    <row r="6414">
      <c r="A6414" s="42" t="s">
        <v>3415</v>
      </c>
    </row>
    <row r="6415">
      <c r="A6415" s="42" t="s">
        <v>3415</v>
      </c>
    </row>
    <row r="6416">
      <c r="A6416" s="42" t="s">
        <v>3415</v>
      </c>
    </row>
    <row r="6417">
      <c r="A6417" s="42" t="s">
        <v>3415</v>
      </c>
    </row>
    <row r="6418">
      <c r="A6418" s="42" t="s">
        <v>3415</v>
      </c>
    </row>
    <row r="6419">
      <c r="A6419" s="42" t="s">
        <v>3415</v>
      </c>
    </row>
    <row r="6420">
      <c r="A6420" s="42" t="s">
        <v>3415</v>
      </c>
    </row>
    <row r="6421">
      <c r="A6421" s="42" t="s">
        <v>3415</v>
      </c>
    </row>
    <row r="6422">
      <c r="A6422" s="42" t="s">
        <v>3415</v>
      </c>
    </row>
    <row r="6423">
      <c r="A6423" s="42" t="s">
        <v>3415</v>
      </c>
    </row>
    <row r="6424">
      <c r="A6424" s="42" t="s">
        <v>3415</v>
      </c>
    </row>
    <row r="6425">
      <c r="A6425" s="42" t="s">
        <v>3415</v>
      </c>
    </row>
    <row r="6426">
      <c r="A6426" s="42" t="s">
        <v>3415</v>
      </c>
    </row>
    <row r="6427">
      <c r="A6427" s="42" t="s">
        <v>3415</v>
      </c>
    </row>
    <row r="6428">
      <c r="A6428" s="42" t="s">
        <v>3415</v>
      </c>
    </row>
    <row r="6429">
      <c r="A6429" s="42" t="s">
        <v>3415</v>
      </c>
    </row>
    <row r="6430">
      <c r="A6430" s="42" t="s">
        <v>3415</v>
      </c>
    </row>
    <row r="6431">
      <c r="A6431" s="42" t="s">
        <v>3415</v>
      </c>
    </row>
    <row r="6432">
      <c r="A6432" s="42" t="s">
        <v>3415</v>
      </c>
    </row>
    <row r="6433">
      <c r="A6433" s="42" t="s">
        <v>3415</v>
      </c>
    </row>
    <row r="6434">
      <c r="A6434" s="42" t="s">
        <v>3415</v>
      </c>
    </row>
    <row r="6435">
      <c r="A6435" s="42" t="s">
        <v>3415</v>
      </c>
    </row>
    <row r="6436">
      <c r="A6436" s="42" t="s">
        <v>3415</v>
      </c>
    </row>
    <row r="6437">
      <c r="A6437" s="42" t="s">
        <v>3415</v>
      </c>
    </row>
    <row r="6438">
      <c r="A6438" s="42" t="s">
        <v>3415</v>
      </c>
    </row>
    <row r="6439">
      <c r="A6439" s="42" t="s">
        <v>3415</v>
      </c>
    </row>
    <row r="6440">
      <c r="A6440" s="42" t="s">
        <v>3415</v>
      </c>
    </row>
    <row r="6441">
      <c r="A6441" s="42" t="s">
        <v>3415</v>
      </c>
    </row>
    <row r="6442">
      <c r="A6442" s="42" t="s">
        <v>3415</v>
      </c>
    </row>
    <row r="6443">
      <c r="A6443" s="42" t="s">
        <v>3415</v>
      </c>
    </row>
    <row r="6444">
      <c r="A6444" s="42" t="s">
        <v>3415</v>
      </c>
    </row>
    <row r="6445">
      <c r="A6445" s="42" t="s">
        <v>3415</v>
      </c>
    </row>
    <row r="6446">
      <c r="A6446" s="42" t="s">
        <v>3415</v>
      </c>
    </row>
    <row r="6447">
      <c r="A6447" s="42" t="s">
        <v>3415</v>
      </c>
    </row>
    <row r="6448">
      <c r="A6448" s="42" t="s">
        <v>3415</v>
      </c>
    </row>
    <row r="6449">
      <c r="A6449" s="42" t="s">
        <v>3415</v>
      </c>
    </row>
    <row r="6450">
      <c r="A6450" s="42" t="s">
        <v>3415</v>
      </c>
    </row>
    <row r="6451">
      <c r="A6451" s="42" t="s">
        <v>3415</v>
      </c>
    </row>
    <row r="6452">
      <c r="A6452" s="42" t="s">
        <v>3415</v>
      </c>
    </row>
    <row r="6453">
      <c r="A6453" s="42" t="s">
        <v>3415</v>
      </c>
    </row>
    <row r="6454">
      <c r="A6454" s="42" t="s">
        <v>3415</v>
      </c>
    </row>
    <row r="6455">
      <c r="A6455" s="42" t="s">
        <v>3415</v>
      </c>
    </row>
    <row r="6456">
      <c r="A6456" s="42" t="s">
        <v>3415</v>
      </c>
    </row>
    <row r="6457">
      <c r="A6457" s="42" t="s">
        <v>3415</v>
      </c>
    </row>
    <row r="6458">
      <c r="A6458" s="42" t="s">
        <v>3415</v>
      </c>
    </row>
    <row r="6459">
      <c r="A6459" s="42" t="s">
        <v>3415</v>
      </c>
    </row>
    <row r="6460">
      <c r="A6460" s="42" t="s">
        <v>3415</v>
      </c>
    </row>
    <row r="6461">
      <c r="A6461" s="42" t="s">
        <v>3415</v>
      </c>
    </row>
    <row r="6462">
      <c r="A6462" s="42" t="s">
        <v>3415</v>
      </c>
    </row>
    <row r="6463">
      <c r="A6463" s="42" t="s">
        <v>3415</v>
      </c>
    </row>
    <row r="6464">
      <c r="A6464" s="42" t="s">
        <v>3415</v>
      </c>
    </row>
    <row r="6465">
      <c r="A6465" s="42" t="s">
        <v>3415</v>
      </c>
    </row>
    <row r="6466">
      <c r="A6466" s="42" t="s">
        <v>3415</v>
      </c>
    </row>
    <row r="6467">
      <c r="A6467" s="42" t="s">
        <v>3415</v>
      </c>
    </row>
    <row r="6468">
      <c r="A6468" s="42" t="s">
        <v>3415</v>
      </c>
    </row>
    <row r="6469">
      <c r="A6469" s="42" t="s">
        <v>3415</v>
      </c>
    </row>
    <row r="6470">
      <c r="A6470" s="42" t="s">
        <v>3415</v>
      </c>
    </row>
    <row r="6471">
      <c r="A6471" s="42" t="s">
        <v>3415</v>
      </c>
    </row>
    <row r="6472">
      <c r="A6472" s="42" t="s">
        <v>3415</v>
      </c>
    </row>
    <row r="6473">
      <c r="A6473" s="42" t="s">
        <v>3415</v>
      </c>
    </row>
    <row r="6474">
      <c r="A6474" s="42" t="s">
        <v>3415</v>
      </c>
    </row>
    <row r="6475">
      <c r="A6475" s="42" t="s">
        <v>3415</v>
      </c>
    </row>
    <row r="6476">
      <c r="A6476" s="42" t="s">
        <v>3415</v>
      </c>
    </row>
    <row r="6477">
      <c r="A6477" s="42" t="s">
        <v>3415</v>
      </c>
    </row>
    <row r="6478">
      <c r="A6478" s="42" t="s">
        <v>3415</v>
      </c>
    </row>
    <row r="6479">
      <c r="A6479" s="42" t="s">
        <v>3415</v>
      </c>
    </row>
    <row r="6480">
      <c r="A6480" s="42" t="s">
        <v>3415</v>
      </c>
    </row>
    <row r="6481">
      <c r="A6481" s="42" t="s">
        <v>3415</v>
      </c>
    </row>
    <row r="6482">
      <c r="A6482" s="42" t="s">
        <v>3415</v>
      </c>
    </row>
    <row r="6483">
      <c r="A6483" s="42" t="s">
        <v>3415</v>
      </c>
    </row>
    <row r="6484">
      <c r="A6484" s="42" t="s">
        <v>3415</v>
      </c>
    </row>
    <row r="6485">
      <c r="A6485" s="42" t="s">
        <v>3415</v>
      </c>
    </row>
    <row r="6486">
      <c r="A6486" s="42" t="s">
        <v>3415</v>
      </c>
    </row>
    <row r="6487">
      <c r="A6487" s="42" t="s">
        <v>3415</v>
      </c>
    </row>
    <row r="6488">
      <c r="A6488" s="42" t="s">
        <v>3415</v>
      </c>
    </row>
    <row r="6489">
      <c r="A6489" s="42" t="s">
        <v>3415</v>
      </c>
    </row>
    <row r="6490">
      <c r="A6490" s="42" t="s">
        <v>3415</v>
      </c>
    </row>
    <row r="6491">
      <c r="A6491" s="42" t="s">
        <v>3415</v>
      </c>
    </row>
    <row r="6492">
      <c r="A6492" s="42" t="s">
        <v>3415</v>
      </c>
    </row>
    <row r="6493">
      <c r="A6493" s="42" t="s">
        <v>3415</v>
      </c>
    </row>
    <row r="6494">
      <c r="A6494" s="42" t="s">
        <v>3415</v>
      </c>
    </row>
    <row r="6495">
      <c r="A6495" s="42" t="s">
        <v>3415</v>
      </c>
    </row>
    <row r="6496">
      <c r="A6496" s="42" t="s">
        <v>3415</v>
      </c>
    </row>
    <row r="6497">
      <c r="A6497" s="42" t="s">
        <v>3415</v>
      </c>
    </row>
    <row r="6498">
      <c r="A6498" s="42" t="s">
        <v>3415</v>
      </c>
    </row>
    <row r="6499">
      <c r="A6499" s="42" t="s">
        <v>3415</v>
      </c>
    </row>
    <row r="6500">
      <c r="A6500" s="42" t="s">
        <v>3415</v>
      </c>
    </row>
    <row r="6501">
      <c r="A6501" s="42" t="s">
        <v>3415</v>
      </c>
    </row>
    <row r="6502">
      <c r="A6502" s="42" t="s">
        <v>3415</v>
      </c>
    </row>
    <row r="6503">
      <c r="A6503" s="42" t="s">
        <v>3415</v>
      </c>
    </row>
    <row r="6504">
      <c r="A6504" s="42" t="s">
        <v>3415</v>
      </c>
    </row>
    <row r="6505">
      <c r="A6505" s="42" t="s">
        <v>3415</v>
      </c>
    </row>
    <row r="6506">
      <c r="A6506" s="42" t="s">
        <v>3415</v>
      </c>
    </row>
    <row r="6507">
      <c r="A6507" s="42" t="s">
        <v>3415</v>
      </c>
    </row>
    <row r="6508">
      <c r="A6508" s="42" t="s">
        <v>3415</v>
      </c>
    </row>
    <row r="6509">
      <c r="A6509" s="42" t="s">
        <v>3415</v>
      </c>
    </row>
    <row r="6510">
      <c r="A6510" s="42" t="s">
        <v>3415</v>
      </c>
    </row>
    <row r="6511">
      <c r="A6511" s="42" t="s">
        <v>3415</v>
      </c>
    </row>
    <row r="6512">
      <c r="A6512" s="42" t="s">
        <v>3415</v>
      </c>
    </row>
    <row r="6513">
      <c r="A6513" s="42" t="s">
        <v>3415</v>
      </c>
    </row>
    <row r="6514">
      <c r="A6514" s="42" t="s">
        <v>3415</v>
      </c>
    </row>
    <row r="6515">
      <c r="A6515" s="42" t="s">
        <v>3415</v>
      </c>
    </row>
    <row r="6516">
      <c r="A6516" s="42" t="s">
        <v>3415</v>
      </c>
    </row>
    <row r="6517">
      <c r="A6517" s="42" t="s">
        <v>3415</v>
      </c>
    </row>
    <row r="6518">
      <c r="A6518" s="42" t="s">
        <v>3415</v>
      </c>
    </row>
    <row r="6519">
      <c r="A6519" s="42" t="s">
        <v>3415</v>
      </c>
    </row>
    <row r="6520">
      <c r="A6520" s="42" t="s">
        <v>3415</v>
      </c>
    </row>
    <row r="6521">
      <c r="A6521" s="42" t="s">
        <v>3415</v>
      </c>
    </row>
    <row r="6522">
      <c r="A6522" s="42" t="s">
        <v>3415</v>
      </c>
    </row>
    <row r="6523">
      <c r="A6523" s="42" t="s">
        <v>3415</v>
      </c>
    </row>
    <row r="6524">
      <c r="A6524" s="42" t="s">
        <v>3415</v>
      </c>
    </row>
    <row r="6525">
      <c r="A6525" s="42" t="s">
        <v>3415</v>
      </c>
    </row>
    <row r="6526">
      <c r="A6526" s="42" t="s">
        <v>3415</v>
      </c>
    </row>
    <row r="6527">
      <c r="A6527" s="42" t="s">
        <v>3415</v>
      </c>
    </row>
    <row r="6528">
      <c r="A6528" s="42" t="s">
        <v>3415</v>
      </c>
    </row>
    <row r="6529">
      <c r="A6529" s="42" t="s">
        <v>3415</v>
      </c>
    </row>
    <row r="6530">
      <c r="A6530" s="42" t="s">
        <v>3415</v>
      </c>
    </row>
    <row r="6531">
      <c r="A6531" s="42" t="s">
        <v>3415</v>
      </c>
    </row>
    <row r="6532">
      <c r="A6532" s="42" t="s">
        <v>3415</v>
      </c>
    </row>
    <row r="6533">
      <c r="A6533" s="42" t="s">
        <v>3415</v>
      </c>
    </row>
    <row r="6534">
      <c r="A6534" s="42" t="s">
        <v>3415</v>
      </c>
    </row>
    <row r="6535">
      <c r="A6535" s="42" t="s">
        <v>3415</v>
      </c>
    </row>
    <row r="6536">
      <c r="A6536" s="42" t="s">
        <v>3415</v>
      </c>
    </row>
    <row r="6537">
      <c r="A6537" s="42" t="s">
        <v>3415</v>
      </c>
    </row>
    <row r="6538">
      <c r="A6538" s="42" t="s">
        <v>3415</v>
      </c>
    </row>
    <row r="6539">
      <c r="A6539" s="42" t="s">
        <v>3415</v>
      </c>
    </row>
    <row r="6540">
      <c r="A6540" s="42" t="s">
        <v>3415</v>
      </c>
    </row>
    <row r="6541">
      <c r="A6541" s="42" t="s">
        <v>3415</v>
      </c>
    </row>
    <row r="6542">
      <c r="A6542" s="42" t="s">
        <v>3415</v>
      </c>
    </row>
    <row r="6543">
      <c r="A6543" s="42" t="s">
        <v>3415</v>
      </c>
    </row>
    <row r="6544">
      <c r="A6544" s="42" t="s">
        <v>3415</v>
      </c>
    </row>
    <row r="6545">
      <c r="A6545" s="42" t="s">
        <v>3415</v>
      </c>
    </row>
    <row r="6546">
      <c r="A6546" s="42" t="s">
        <v>3415</v>
      </c>
    </row>
    <row r="6547">
      <c r="A6547" s="42" t="s">
        <v>3415</v>
      </c>
    </row>
    <row r="6548">
      <c r="A6548" s="42" t="s">
        <v>3415</v>
      </c>
    </row>
    <row r="6549">
      <c r="A6549" s="42" t="s">
        <v>3415</v>
      </c>
    </row>
    <row r="6550">
      <c r="A6550" s="42" t="s">
        <v>3415</v>
      </c>
    </row>
    <row r="6551">
      <c r="A6551" s="42" t="s">
        <v>3415</v>
      </c>
    </row>
    <row r="6552">
      <c r="A6552" s="42" t="s">
        <v>3415</v>
      </c>
    </row>
    <row r="6553">
      <c r="A6553" s="42" t="s">
        <v>3415</v>
      </c>
    </row>
    <row r="6554">
      <c r="A6554" s="42" t="s">
        <v>3415</v>
      </c>
    </row>
    <row r="6555">
      <c r="A6555" s="42" t="s">
        <v>3415</v>
      </c>
    </row>
    <row r="6556">
      <c r="A6556" s="42" t="s">
        <v>3415</v>
      </c>
    </row>
    <row r="6557">
      <c r="A6557" s="42" t="s">
        <v>3415</v>
      </c>
    </row>
    <row r="6558">
      <c r="A6558" s="42" t="s">
        <v>3415</v>
      </c>
    </row>
    <row r="6559">
      <c r="A6559" s="42" t="s">
        <v>3415</v>
      </c>
    </row>
    <row r="6560">
      <c r="A6560" s="42" t="s">
        <v>3415</v>
      </c>
    </row>
    <row r="6561">
      <c r="A6561" s="42" t="s">
        <v>3415</v>
      </c>
    </row>
    <row r="6562">
      <c r="A6562" s="42" t="s">
        <v>3415</v>
      </c>
    </row>
    <row r="6563">
      <c r="A6563" s="42" t="s">
        <v>3415</v>
      </c>
    </row>
    <row r="6564">
      <c r="A6564" s="42" t="s">
        <v>3415</v>
      </c>
    </row>
    <row r="6565">
      <c r="A6565" s="42" t="s">
        <v>3415</v>
      </c>
    </row>
    <row r="6566">
      <c r="A6566" s="42" t="s">
        <v>3415</v>
      </c>
    </row>
    <row r="6567">
      <c r="A6567" s="42" t="s">
        <v>3415</v>
      </c>
    </row>
    <row r="6568">
      <c r="A6568" s="42" t="s">
        <v>3415</v>
      </c>
    </row>
    <row r="6569">
      <c r="A6569" s="42" t="s">
        <v>3415</v>
      </c>
    </row>
    <row r="6570">
      <c r="A6570" s="42" t="s">
        <v>3415</v>
      </c>
    </row>
    <row r="6571">
      <c r="A6571" s="42" t="s">
        <v>3415</v>
      </c>
    </row>
    <row r="6572">
      <c r="A6572" s="42" t="s">
        <v>3415</v>
      </c>
    </row>
    <row r="6573">
      <c r="A6573" s="42" t="s">
        <v>3415</v>
      </c>
    </row>
    <row r="6574">
      <c r="A6574" s="42" t="s">
        <v>3415</v>
      </c>
    </row>
    <row r="6575">
      <c r="A6575" s="42" t="s">
        <v>3415</v>
      </c>
    </row>
    <row r="6576">
      <c r="A6576" s="42" t="s">
        <v>3415</v>
      </c>
    </row>
    <row r="6577">
      <c r="A6577" s="42" t="s">
        <v>3415</v>
      </c>
    </row>
    <row r="6578">
      <c r="A6578" s="42" t="s">
        <v>3415</v>
      </c>
    </row>
    <row r="6579">
      <c r="A6579" s="42" t="s">
        <v>3415</v>
      </c>
    </row>
    <row r="6580">
      <c r="A6580" s="42" t="s">
        <v>3415</v>
      </c>
    </row>
    <row r="6581">
      <c r="A6581" s="42" t="s">
        <v>3415</v>
      </c>
    </row>
    <row r="6582">
      <c r="A6582" s="42" t="s">
        <v>3415</v>
      </c>
    </row>
    <row r="6583">
      <c r="A6583" s="42" t="s">
        <v>3415</v>
      </c>
    </row>
    <row r="6584">
      <c r="A6584" s="42" t="s">
        <v>3415</v>
      </c>
    </row>
    <row r="6585">
      <c r="A6585" s="42" t="s">
        <v>3415</v>
      </c>
    </row>
    <row r="6586">
      <c r="A6586" s="42" t="s">
        <v>3415</v>
      </c>
    </row>
    <row r="6587">
      <c r="A6587" s="42" t="s">
        <v>3415</v>
      </c>
    </row>
    <row r="6588">
      <c r="A6588" s="42" t="s">
        <v>3415</v>
      </c>
    </row>
    <row r="6589">
      <c r="A6589" s="42" t="s">
        <v>3415</v>
      </c>
    </row>
    <row r="6590">
      <c r="A6590" s="42" t="s">
        <v>3415</v>
      </c>
    </row>
    <row r="6591">
      <c r="A6591" s="42" t="s">
        <v>3415</v>
      </c>
    </row>
    <row r="6592">
      <c r="A6592" s="42" t="s">
        <v>3415</v>
      </c>
    </row>
    <row r="6593">
      <c r="A6593" s="42" t="s">
        <v>3415</v>
      </c>
    </row>
    <row r="6594">
      <c r="A6594" s="42" t="s">
        <v>3415</v>
      </c>
    </row>
    <row r="6595">
      <c r="A6595" s="42" t="s">
        <v>3415</v>
      </c>
    </row>
    <row r="6596">
      <c r="A6596" s="42" t="s">
        <v>3415</v>
      </c>
    </row>
    <row r="6597">
      <c r="A6597" s="42" t="s">
        <v>3415</v>
      </c>
    </row>
    <row r="6598">
      <c r="A6598" s="42" t="s">
        <v>3415</v>
      </c>
    </row>
    <row r="6599">
      <c r="A6599" s="42" t="s">
        <v>3415</v>
      </c>
    </row>
    <row r="6600">
      <c r="A6600" s="42" t="s">
        <v>3415</v>
      </c>
    </row>
    <row r="6601">
      <c r="A6601" s="42" t="s">
        <v>3415</v>
      </c>
    </row>
    <row r="6602">
      <c r="A6602" s="42" t="s">
        <v>3415</v>
      </c>
    </row>
    <row r="6603">
      <c r="A6603" s="42" t="s">
        <v>3415</v>
      </c>
    </row>
    <row r="6604">
      <c r="A6604" s="42" t="s">
        <v>3415</v>
      </c>
    </row>
    <row r="6605">
      <c r="A6605" s="42" t="s">
        <v>3415</v>
      </c>
    </row>
    <row r="6606">
      <c r="A6606" s="42" t="s">
        <v>3415</v>
      </c>
    </row>
    <row r="6607">
      <c r="A6607" s="42" t="s">
        <v>3415</v>
      </c>
    </row>
    <row r="6608">
      <c r="A6608" s="42" t="s">
        <v>3415</v>
      </c>
    </row>
    <row r="6609">
      <c r="A6609" s="42" t="s">
        <v>3415</v>
      </c>
    </row>
    <row r="6610">
      <c r="A6610" s="42" t="s">
        <v>3415</v>
      </c>
    </row>
    <row r="6611">
      <c r="A6611" s="42" t="s">
        <v>3415</v>
      </c>
    </row>
    <row r="6612">
      <c r="A6612" s="42" t="s">
        <v>3415</v>
      </c>
    </row>
    <row r="6613">
      <c r="A6613" s="42" t="s">
        <v>3415</v>
      </c>
    </row>
    <row r="6614">
      <c r="A6614" s="42" t="s">
        <v>3415</v>
      </c>
    </row>
    <row r="6615">
      <c r="A6615" s="42" t="s">
        <v>3415</v>
      </c>
    </row>
    <row r="6616">
      <c r="A6616" s="42" t="s">
        <v>3415</v>
      </c>
    </row>
    <row r="6617">
      <c r="A6617" s="42" t="s">
        <v>3415</v>
      </c>
    </row>
    <row r="6618">
      <c r="A6618" s="42" t="s">
        <v>3415</v>
      </c>
    </row>
    <row r="6619">
      <c r="A6619" s="42" t="s">
        <v>3415</v>
      </c>
    </row>
    <row r="6620">
      <c r="A6620" s="42" t="s">
        <v>3415</v>
      </c>
    </row>
    <row r="6621">
      <c r="A6621" s="42" t="s">
        <v>3415</v>
      </c>
    </row>
    <row r="6622">
      <c r="A6622" s="42" t="s">
        <v>3415</v>
      </c>
    </row>
    <row r="6623">
      <c r="A6623" s="42" t="s">
        <v>3415</v>
      </c>
    </row>
    <row r="6624">
      <c r="A6624" s="42" t="s">
        <v>3415</v>
      </c>
    </row>
    <row r="6625">
      <c r="A6625" s="42" t="s">
        <v>3415</v>
      </c>
    </row>
    <row r="6626">
      <c r="A6626" s="42" t="s">
        <v>3415</v>
      </c>
    </row>
    <row r="6627">
      <c r="A6627" s="42" t="s">
        <v>3415</v>
      </c>
    </row>
    <row r="6628">
      <c r="A6628" s="42" t="s">
        <v>3415</v>
      </c>
    </row>
    <row r="6629">
      <c r="A6629" s="42" t="s">
        <v>3415</v>
      </c>
    </row>
    <row r="6630">
      <c r="A6630" s="42" t="s">
        <v>3415</v>
      </c>
    </row>
    <row r="6631">
      <c r="A6631" s="42" t="s">
        <v>3415</v>
      </c>
    </row>
    <row r="6632">
      <c r="A6632" s="42" t="s">
        <v>3415</v>
      </c>
    </row>
    <row r="6633">
      <c r="A6633" s="42" t="s">
        <v>3415</v>
      </c>
    </row>
    <row r="6634">
      <c r="A6634" s="42" t="s">
        <v>3415</v>
      </c>
    </row>
    <row r="6635">
      <c r="A6635" s="42" t="s">
        <v>3415</v>
      </c>
    </row>
    <row r="6636">
      <c r="A6636" s="42" t="s">
        <v>3415</v>
      </c>
    </row>
    <row r="6637">
      <c r="A6637" s="42" t="s">
        <v>3415</v>
      </c>
    </row>
    <row r="6638">
      <c r="A6638" s="42" t="s">
        <v>3415</v>
      </c>
    </row>
    <row r="6639">
      <c r="A6639" s="42" t="s">
        <v>3415</v>
      </c>
    </row>
    <row r="6640">
      <c r="A6640" s="42" t="s">
        <v>3415</v>
      </c>
    </row>
    <row r="6641">
      <c r="A6641" s="42" t="s">
        <v>3415</v>
      </c>
    </row>
    <row r="6642">
      <c r="A6642" s="42" t="s">
        <v>3415</v>
      </c>
    </row>
    <row r="6643">
      <c r="A6643" s="42" t="s">
        <v>3415</v>
      </c>
    </row>
    <row r="6644">
      <c r="A6644" s="42" t="s">
        <v>3415</v>
      </c>
    </row>
    <row r="6645">
      <c r="A6645" s="42" t="s">
        <v>3415</v>
      </c>
    </row>
    <row r="6646">
      <c r="A6646" s="42" t="s">
        <v>3415</v>
      </c>
    </row>
    <row r="6647">
      <c r="A6647" s="42" t="s">
        <v>3415</v>
      </c>
    </row>
    <row r="6648">
      <c r="A6648" s="42" t="s">
        <v>3415</v>
      </c>
    </row>
    <row r="6649">
      <c r="A6649" s="42" t="s">
        <v>3415</v>
      </c>
    </row>
    <row r="6650">
      <c r="A6650" s="42" t="s">
        <v>3415</v>
      </c>
    </row>
    <row r="6651">
      <c r="A6651" s="42" t="s">
        <v>3415</v>
      </c>
    </row>
    <row r="6652">
      <c r="A6652" s="42" t="s">
        <v>3415</v>
      </c>
    </row>
    <row r="6653">
      <c r="A6653" s="42" t="s">
        <v>3415</v>
      </c>
    </row>
    <row r="6654">
      <c r="A6654" s="42" t="s">
        <v>3415</v>
      </c>
    </row>
    <row r="6655">
      <c r="A6655" s="42" t="s">
        <v>3415</v>
      </c>
    </row>
    <row r="6656">
      <c r="A6656" s="42" t="s">
        <v>3415</v>
      </c>
    </row>
    <row r="6657">
      <c r="A6657" s="42" t="s">
        <v>3415</v>
      </c>
    </row>
    <row r="6658">
      <c r="A6658" s="42" t="s">
        <v>3415</v>
      </c>
    </row>
    <row r="6659">
      <c r="A6659" s="42" t="s">
        <v>3415</v>
      </c>
    </row>
    <row r="6660">
      <c r="A6660" s="42" t="s">
        <v>3415</v>
      </c>
    </row>
    <row r="6661">
      <c r="A6661" s="42" t="s">
        <v>3415</v>
      </c>
    </row>
    <row r="6662">
      <c r="A6662" s="42" t="s">
        <v>3415</v>
      </c>
    </row>
    <row r="6663">
      <c r="A6663" s="42" t="s">
        <v>3415</v>
      </c>
    </row>
    <row r="6664">
      <c r="A6664" s="42" t="s">
        <v>3415</v>
      </c>
    </row>
    <row r="6665">
      <c r="A6665" s="42" t="s">
        <v>3415</v>
      </c>
    </row>
    <row r="6666">
      <c r="A6666" s="42" t="s">
        <v>3415</v>
      </c>
    </row>
    <row r="6667">
      <c r="A6667" s="42" t="s">
        <v>3415</v>
      </c>
    </row>
    <row r="6668">
      <c r="A6668" s="42" t="s">
        <v>3415</v>
      </c>
    </row>
    <row r="6669">
      <c r="A6669" s="42" t="s">
        <v>3415</v>
      </c>
    </row>
    <row r="6670">
      <c r="A6670" s="42" t="s">
        <v>3415</v>
      </c>
    </row>
    <row r="6671">
      <c r="A6671" s="42" t="s">
        <v>3415</v>
      </c>
    </row>
    <row r="6672">
      <c r="A6672" s="42" t="s">
        <v>3415</v>
      </c>
    </row>
    <row r="6673">
      <c r="A6673" s="42" t="s">
        <v>3415</v>
      </c>
    </row>
    <row r="6674">
      <c r="A6674" s="42" t="s">
        <v>3415</v>
      </c>
    </row>
    <row r="6675">
      <c r="A6675" s="42" t="s">
        <v>3415</v>
      </c>
    </row>
    <row r="6676">
      <c r="A6676" s="42" t="s">
        <v>3415</v>
      </c>
    </row>
    <row r="6677">
      <c r="A6677" s="42" t="s">
        <v>3415</v>
      </c>
    </row>
    <row r="6678">
      <c r="A6678" s="42" t="s">
        <v>3415</v>
      </c>
    </row>
    <row r="6679">
      <c r="A6679" s="42" t="s">
        <v>3415</v>
      </c>
    </row>
    <row r="6680">
      <c r="A6680" s="42" t="s">
        <v>3415</v>
      </c>
    </row>
    <row r="6681">
      <c r="A6681" s="42" t="s">
        <v>3415</v>
      </c>
    </row>
    <row r="6682">
      <c r="A6682" s="42" t="s">
        <v>3415</v>
      </c>
    </row>
    <row r="6683">
      <c r="A6683" s="42" t="s">
        <v>3415</v>
      </c>
    </row>
    <row r="6684">
      <c r="A6684" s="42" t="s">
        <v>3415</v>
      </c>
    </row>
    <row r="6685">
      <c r="A6685" s="42" t="s">
        <v>3415</v>
      </c>
    </row>
    <row r="6686">
      <c r="A6686" s="42" t="s">
        <v>3415</v>
      </c>
    </row>
    <row r="6687">
      <c r="A6687" s="42" t="s">
        <v>3415</v>
      </c>
    </row>
    <row r="6688">
      <c r="A6688" s="42" t="s">
        <v>3415</v>
      </c>
    </row>
    <row r="6689">
      <c r="A6689" s="42" t="s">
        <v>3415</v>
      </c>
    </row>
    <row r="6690">
      <c r="A6690" s="42" t="s">
        <v>3415</v>
      </c>
    </row>
    <row r="6691">
      <c r="A6691" s="42" t="s">
        <v>3415</v>
      </c>
    </row>
    <row r="6692">
      <c r="A6692" s="42" t="s">
        <v>3415</v>
      </c>
    </row>
    <row r="6693">
      <c r="A6693" s="42" t="s">
        <v>3415</v>
      </c>
    </row>
    <row r="6694">
      <c r="A6694" s="42" t="s">
        <v>3415</v>
      </c>
    </row>
    <row r="6695">
      <c r="A6695" s="42" t="s">
        <v>3415</v>
      </c>
    </row>
    <row r="6696">
      <c r="A6696" s="42" t="s">
        <v>3415</v>
      </c>
    </row>
    <row r="6697">
      <c r="A6697" s="42" t="s">
        <v>3415</v>
      </c>
    </row>
    <row r="6698">
      <c r="A6698" s="42" t="s">
        <v>3415</v>
      </c>
    </row>
    <row r="6699">
      <c r="A6699" s="42" t="s">
        <v>3415</v>
      </c>
    </row>
    <row r="6700">
      <c r="A6700" s="42" t="s">
        <v>3415</v>
      </c>
    </row>
    <row r="6701">
      <c r="A6701" s="42" t="s">
        <v>3415</v>
      </c>
    </row>
    <row r="6702">
      <c r="A6702" s="42" t="s">
        <v>3415</v>
      </c>
    </row>
    <row r="6703">
      <c r="A6703" s="42" t="s">
        <v>3415</v>
      </c>
    </row>
    <row r="6704">
      <c r="A6704" s="42" t="s">
        <v>3415</v>
      </c>
    </row>
    <row r="6705">
      <c r="A6705" s="42" t="s">
        <v>3415</v>
      </c>
    </row>
    <row r="6706">
      <c r="A6706" s="42" t="s">
        <v>3415</v>
      </c>
    </row>
    <row r="6707">
      <c r="A6707" s="42" t="s">
        <v>3415</v>
      </c>
    </row>
    <row r="6708">
      <c r="A6708" s="42" t="s">
        <v>3415</v>
      </c>
    </row>
    <row r="6709">
      <c r="A6709" s="42" t="s">
        <v>3415</v>
      </c>
    </row>
    <row r="6710">
      <c r="A6710" s="42" t="s">
        <v>3415</v>
      </c>
    </row>
    <row r="6711">
      <c r="A6711" s="42" t="s">
        <v>3415</v>
      </c>
    </row>
    <row r="6712">
      <c r="A6712" s="42" t="s">
        <v>3415</v>
      </c>
    </row>
    <row r="6713">
      <c r="A6713" s="42" t="s">
        <v>3415</v>
      </c>
    </row>
    <row r="6714">
      <c r="A6714" s="42" t="s">
        <v>3415</v>
      </c>
    </row>
    <row r="6715">
      <c r="A6715" s="42" t="s">
        <v>3415</v>
      </c>
    </row>
    <row r="6716">
      <c r="A6716" s="42" t="s">
        <v>3415</v>
      </c>
    </row>
    <row r="6717">
      <c r="A6717" s="42" t="s">
        <v>3415</v>
      </c>
    </row>
    <row r="6718">
      <c r="A6718" s="42" t="s">
        <v>3415</v>
      </c>
    </row>
    <row r="6719">
      <c r="A6719" s="42" t="s">
        <v>3415</v>
      </c>
    </row>
    <row r="6720">
      <c r="A6720" s="42" t="s">
        <v>3415</v>
      </c>
    </row>
    <row r="6721">
      <c r="A6721" s="42" t="s">
        <v>3415</v>
      </c>
    </row>
    <row r="6722">
      <c r="A6722" s="42" t="s">
        <v>3415</v>
      </c>
    </row>
    <row r="6723">
      <c r="A6723" s="42" t="s">
        <v>3415</v>
      </c>
    </row>
    <row r="6724">
      <c r="A6724" s="42" t="s">
        <v>3415</v>
      </c>
    </row>
    <row r="6725">
      <c r="A6725" s="42" t="s">
        <v>3415</v>
      </c>
    </row>
    <row r="6726">
      <c r="A6726" s="42" t="s">
        <v>3415</v>
      </c>
    </row>
    <row r="6727">
      <c r="A6727" s="42" t="s">
        <v>3415</v>
      </c>
    </row>
    <row r="6728">
      <c r="A6728" s="42" t="s">
        <v>3415</v>
      </c>
    </row>
    <row r="6729">
      <c r="A6729" s="42" t="s">
        <v>3415</v>
      </c>
    </row>
    <row r="6730">
      <c r="A6730" s="42" t="s">
        <v>3415</v>
      </c>
    </row>
    <row r="6731">
      <c r="A6731" s="42" t="s">
        <v>3415</v>
      </c>
    </row>
    <row r="6732">
      <c r="A6732" s="42" t="s">
        <v>3415</v>
      </c>
    </row>
    <row r="6733">
      <c r="A6733" s="42" t="s">
        <v>3415</v>
      </c>
    </row>
    <row r="6734">
      <c r="A6734" s="42" t="s">
        <v>3415</v>
      </c>
    </row>
    <row r="6735">
      <c r="A6735" s="42" t="s">
        <v>3415</v>
      </c>
    </row>
    <row r="6736">
      <c r="A6736" s="42" t="s">
        <v>3415</v>
      </c>
    </row>
    <row r="6737">
      <c r="A6737" s="42" t="s">
        <v>3415</v>
      </c>
    </row>
    <row r="6738">
      <c r="A6738" s="42" t="s">
        <v>3415</v>
      </c>
    </row>
    <row r="6739">
      <c r="A6739" s="42" t="s">
        <v>3415</v>
      </c>
    </row>
    <row r="6740">
      <c r="A6740" s="42" t="s">
        <v>3415</v>
      </c>
    </row>
    <row r="6741">
      <c r="A6741" s="42" t="s">
        <v>3415</v>
      </c>
    </row>
    <row r="6742">
      <c r="A6742" s="42" t="s">
        <v>3415</v>
      </c>
    </row>
    <row r="6743">
      <c r="A6743" s="42" t="s">
        <v>3415</v>
      </c>
    </row>
    <row r="6744">
      <c r="A6744" s="42" t="s">
        <v>3415</v>
      </c>
    </row>
    <row r="6745">
      <c r="A6745" s="42" t="s">
        <v>3415</v>
      </c>
    </row>
    <row r="6746">
      <c r="A6746" s="42" t="s">
        <v>3415</v>
      </c>
    </row>
    <row r="6747">
      <c r="A6747" s="42" t="s">
        <v>3415</v>
      </c>
    </row>
    <row r="6748">
      <c r="A6748" s="42" t="s">
        <v>3415</v>
      </c>
    </row>
    <row r="6749">
      <c r="A6749" s="42" t="s">
        <v>3415</v>
      </c>
    </row>
    <row r="6750">
      <c r="A6750" s="42" t="s">
        <v>3415</v>
      </c>
    </row>
    <row r="6751">
      <c r="A6751" s="42" t="s">
        <v>3415</v>
      </c>
    </row>
    <row r="6752">
      <c r="A6752" s="42" t="s">
        <v>3415</v>
      </c>
    </row>
    <row r="6753">
      <c r="A6753" s="42" t="s">
        <v>3415</v>
      </c>
    </row>
    <row r="6754">
      <c r="A6754" s="42" t="s">
        <v>3415</v>
      </c>
    </row>
    <row r="6755">
      <c r="A6755" s="42" t="s">
        <v>3415</v>
      </c>
    </row>
    <row r="6756">
      <c r="A6756" s="42" t="s">
        <v>3415</v>
      </c>
    </row>
    <row r="6757">
      <c r="A6757" s="42" t="s">
        <v>3415</v>
      </c>
    </row>
    <row r="6758">
      <c r="A6758" s="42" t="s">
        <v>3415</v>
      </c>
    </row>
    <row r="6759">
      <c r="A6759" s="42" t="s">
        <v>3415</v>
      </c>
    </row>
    <row r="6760">
      <c r="A6760" s="42" t="s">
        <v>3415</v>
      </c>
    </row>
    <row r="6761">
      <c r="A6761" s="42" t="s">
        <v>3415</v>
      </c>
    </row>
    <row r="6762">
      <c r="A6762" s="42" t="s">
        <v>3415</v>
      </c>
    </row>
    <row r="6763">
      <c r="A6763" s="42" t="s">
        <v>3415</v>
      </c>
    </row>
    <row r="6764">
      <c r="A6764" s="42" t="s">
        <v>3415</v>
      </c>
    </row>
    <row r="6765">
      <c r="A6765" s="42" t="s">
        <v>3415</v>
      </c>
    </row>
    <row r="6766">
      <c r="A6766" s="42" t="s">
        <v>3415</v>
      </c>
    </row>
    <row r="6767">
      <c r="A6767" s="42" t="s">
        <v>3415</v>
      </c>
    </row>
    <row r="6768">
      <c r="A6768" s="42" t="s">
        <v>3415</v>
      </c>
    </row>
    <row r="6769">
      <c r="A6769" s="42" t="s">
        <v>3415</v>
      </c>
    </row>
    <row r="6770">
      <c r="A6770" s="42" t="s">
        <v>3415</v>
      </c>
    </row>
    <row r="6771">
      <c r="A6771" s="42" t="s">
        <v>3415</v>
      </c>
    </row>
    <row r="6772">
      <c r="A6772" s="42" t="s">
        <v>3415</v>
      </c>
    </row>
    <row r="6773">
      <c r="A6773" s="42" t="s">
        <v>3415</v>
      </c>
    </row>
    <row r="6774">
      <c r="A6774" s="42" t="s">
        <v>3415</v>
      </c>
    </row>
    <row r="6775">
      <c r="A6775" s="42" t="s">
        <v>3415</v>
      </c>
    </row>
    <row r="6776">
      <c r="A6776" s="42" t="s">
        <v>3415</v>
      </c>
    </row>
    <row r="6777">
      <c r="A6777" s="42" t="s">
        <v>3415</v>
      </c>
    </row>
    <row r="6778">
      <c r="A6778" s="42" t="s">
        <v>3415</v>
      </c>
    </row>
    <row r="6779">
      <c r="A6779" s="42" t="s">
        <v>3415</v>
      </c>
    </row>
    <row r="6780">
      <c r="A6780" s="42" t="s">
        <v>3415</v>
      </c>
    </row>
    <row r="6781">
      <c r="A6781" s="42" t="s">
        <v>3415</v>
      </c>
    </row>
    <row r="6782">
      <c r="A6782" s="42" t="s">
        <v>3415</v>
      </c>
    </row>
    <row r="6783">
      <c r="A6783" s="42" t="s">
        <v>3415</v>
      </c>
    </row>
    <row r="6784">
      <c r="A6784" s="42" t="s">
        <v>3415</v>
      </c>
    </row>
    <row r="6785">
      <c r="A6785" s="42" t="s">
        <v>3415</v>
      </c>
    </row>
    <row r="6786">
      <c r="A6786" s="42" t="s">
        <v>3415</v>
      </c>
    </row>
    <row r="6787">
      <c r="A6787" s="42" t="s">
        <v>3415</v>
      </c>
    </row>
    <row r="6788">
      <c r="A6788" s="42" t="s">
        <v>3415</v>
      </c>
    </row>
    <row r="6789">
      <c r="A6789" s="42" t="s">
        <v>3415</v>
      </c>
    </row>
    <row r="6790">
      <c r="A6790" s="42" t="s">
        <v>3415</v>
      </c>
    </row>
    <row r="6791">
      <c r="A6791" s="42" t="s">
        <v>3415</v>
      </c>
    </row>
    <row r="6792">
      <c r="A6792" s="42" t="s">
        <v>3415</v>
      </c>
    </row>
    <row r="6793">
      <c r="A6793" s="42" t="s">
        <v>3415</v>
      </c>
    </row>
    <row r="6794">
      <c r="A6794" s="42" t="s">
        <v>3415</v>
      </c>
    </row>
    <row r="6795">
      <c r="A6795" s="42" t="s">
        <v>3415</v>
      </c>
    </row>
    <row r="6796">
      <c r="A6796" s="42" t="s">
        <v>3415</v>
      </c>
    </row>
    <row r="6797">
      <c r="A6797" s="42" t="s">
        <v>3415</v>
      </c>
    </row>
    <row r="6798">
      <c r="A6798" s="42" t="s">
        <v>3415</v>
      </c>
    </row>
    <row r="6799">
      <c r="A6799" s="42" t="s">
        <v>3415</v>
      </c>
    </row>
    <row r="6800">
      <c r="A6800" s="42" t="s">
        <v>3415</v>
      </c>
    </row>
    <row r="6801">
      <c r="A6801" s="42" t="s">
        <v>3415</v>
      </c>
    </row>
    <row r="6802">
      <c r="A6802" s="42" t="s">
        <v>3415</v>
      </c>
    </row>
    <row r="6803">
      <c r="A6803" s="42" t="s">
        <v>3415</v>
      </c>
    </row>
    <row r="6804">
      <c r="A6804" s="42" t="s">
        <v>3415</v>
      </c>
    </row>
    <row r="6805">
      <c r="A6805" s="42" t="s">
        <v>3415</v>
      </c>
    </row>
    <row r="6806">
      <c r="A6806" s="42" t="s">
        <v>3415</v>
      </c>
    </row>
    <row r="6807">
      <c r="A6807" s="42" t="s">
        <v>3415</v>
      </c>
    </row>
    <row r="6808">
      <c r="A6808" s="42" t="s">
        <v>3415</v>
      </c>
    </row>
    <row r="6809">
      <c r="A6809" s="42" t="s">
        <v>3415</v>
      </c>
    </row>
    <row r="6810">
      <c r="A6810" s="42" t="s">
        <v>3415</v>
      </c>
    </row>
    <row r="6811">
      <c r="A6811" s="42" t="s">
        <v>3415</v>
      </c>
    </row>
    <row r="6812">
      <c r="A6812" s="42" t="s">
        <v>3415</v>
      </c>
    </row>
    <row r="6813">
      <c r="A6813" s="42" t="s">
        <v>3415</v>
      </c>
    </row>
    <row r="6814">
      <c r="A6814" s="42" t="s">
        <v>3415</v>
      </c>
    </row>
    <row r="6815">
      <c r="A6815" s="42" t="s">
        <v>3415</v>
      </c>
    </row>
    <row r="6816">
      <c r="A6816" s="42" t="s">
        <v>3415</v>
      </c>
    </row>
    <row r="6817">
      <c r="A6817" s="42" t="s">
        <v>3415</v>
      </c>
    </row>
    <row r="6818">
      <c r="A6818" s="42" t="s">
        <v>3415</v>
      </c>
    </row>
    <row r="6819">
      <c r="A6819" s="42" t="s">
        <v>3415</v>
      </c>
    </row>
    <row r="6820">
      <c r="A6820" s="42" t="s">
        <v>3415</v>
      </c>
    </row>
    <row r="6821">
      <c r="A6821" s="42" t="s">
        <v>3415</v>
      </c>
    </row>
    <row r="6822">
      <c r="A6822" s="42" t="s">
        <v>3415</v>
      </c>
    </row>
    <row r="6823">
      <c r="A6823" s="42" t="s">
        <v>3415</v>
      </c>
    </row>
    <row r="6824">
      <c r="A6824" s="42" t="s">
        <v>3415</v>
      </c>
    </row>
    <row r="6825">
      <c r="A6825" s="42" t="s">
        <v>3415</v>
      </c>
    </row>
    <row r="6826">
      <c r="A6826" s="42" t="s">
        <v>3415</v>
      </c>
    </row>
    <row r="6827">
      <c r="A6827" s="42" t="s">
        <v>3415</v>
      </c>
    </row>
    <row r="6828">
      <c r="A6828" s="42" t="s">
        <v>3415</v>
      </c>
    </row>
    <row r="6829">
      <c r="A6829" s="42" t="s">
        <v>3415</v>
      </c>
    </row>
    <row r="6830">
      <c r="A6830" s="42" t="s">
        <v>3415</v>
      </c>
    </row>
    <row r="6831">
      <c r="A6831" s="42" t="s">
        <v>3415</v>
      </c>
    </row>
    <row r="6832">
      <c r="A6832" s="42" t="s">
        <v>3415</v>
      </c>
    </row>
    <row r="6833">
      <c r="A6833" s="42" t="s">
        <v>3415</v>
      </c>
    </row>
    <row r="6834">
      <c r="A6834" s="42" t="s">
        <v>3415</v>
      </c>
    </row>
    <row r="6835">
      <c r="A6835" s="42" t="s">
        <v>3415</v>
      </c>
    </row>
    <row r="6836">
      <c r="A6836" s="42" t="s">
        <v>3415</v>
      </c>
    </row>
    <row r="6837">
      <c r="A6837" s="42" t="s">
        <v>3415</v>
      </c>
    </row>
    <row r="6838">
      <c r="A6838" s="42" t="s">
        <v>3415</v>
      </c>
    </row>
    <row r="6839">
      <c r="A6839" s="42" t="s">
        <v>3415</v>
      </c>
    </row>
    <row r="6840">
      <c r="A6840" s="42" t="s">
        <v>3415</v>
      </c>
    </row>
    <row r="6841">
      <c r="A6841" s="42" t="s">
        <v>3415</v>
      </c>
    </row>
    <row r="6842">
      <c r="A6842" s="42" t="s">
        <v>3415</v>
      </c>
    </row>
    <row r="6843">
      <c r="A6843" s="42" t="s">
        <v>3415</v>
      </c>
    </row>
    <row r="6844">
      <c r="A6844" s="42" t="s">
        <v>3415</v>
      </c>
    </row>
    <row r="6845">
      <c r="A6845" s="42" t="s">
        <v>3415</v>
      </c>
    </row>
    <row r="6846">
      <c r="A6846" s="42" t="s">
        <v>3415</v>
      </c>
    </row>
    <row r="6847">
      <c r="A6847" s="42" t="s">
        <v>3415</v>
      </c>
    </row>
    <row r="6848">
      <c r="A6848" s="42" t="s">
        <v>3415</v>
      </c>
    </row>
    <row r="6849">
      <c r="A6849" s="42" t="s">
        <v>3415</v>
      </c>
    </row>
    <row r="6850">
      <c r="A6850" s="42" t="s">
        <v>3415</v>
      </c>
    </row>
    <row r="6851">
      <c r="A6851" s="42" t="s">
        <v>3415</v>
      </c>
    </row>
    <row r="6852">
      <c r="A6852" s="42" t="s">
        <v>3415</v>
      </c>
    </row>
    <row r="6853">
      <c r="A6853" s="42" t="s">
        <v>3415</v>
      </c>
    </row>
    <row r="6854">
      <c r="A6854" s="42" t="s">
        <v>3415</v>
      </c>
    </row>
    <row r="6855">
      <c r="A6855" s="42" t="s">
        <v>3415</v>
      </c>
    </row>
    <row r="6856">
      <c r="A6856" s="42" t="s">
        <v>3415</v>
      </c>
    </row>
    <row r="6857">
      <c r="A6857" s="42" t="s">
        <v>3415</v>
      </c>
    </row>
    <row r="6858">
      <c r="A6858" s="42" t="s">
        <v>3415</v>
      </c>
    </row>
    <row r="6859">
      <c r="A6859" s="42" t="s">
        <v>3415</v>
      </c>
    </row>
    <row r="6860">
      <c r="A6860" s="42" t="s">
        <v>3415</v>
      </c>
    </row>
    <row r="6861">
      <c r="A6861" s="42" t="s">
        <v>3415</v>
      </c>
    </row>
    <row r="6862">
      <c r="A6862" s="42" t="s">
        <v>3415</v>
      </c>
    </row>
    <row r="6863">
      <c r="A6863" s="42" t="s">
        <v>3415</v>
      </c>
    </row>
    <row r="6864">
      <c r="A6864" s="42" t="s">
        <v>3415</v>
      </c>
    </row>
    <row r="6865">
      <c r="A6865" s="42" t="s">
        <v>3415</v>
      </c>
    </row>
    <row r="6866">
      <c r="A6866" s="42" t="s">
        <v>3415</v>
      </c>
    </row>
    <row r="6867">
      <c r="A6867" s="42" t="s">
        <v>3415</v>
      </c>
    </row>
    <row r="6868">
      <c r="A6868" s="42" t="s">
        <v>3415</v>
      </c>
    </row>
    <row r="6869">
      <c r="A6869" s="42" t="s">
        <v>3415</v>
      </c>
    </row>
    <row r="6870">
      <c r="A6870" s="42" t="s">
        <v>3415</v>
      </c>
    </row>
    <row r="6871">
      <c r="A6871" s="42" t="s">
        <v>3415</v>
      </c>
    </row>
    <row r="6872">
      <c r="A6872" s="42" t="s">
        <v>3415</v>
      </c>
    </row>
    <row r="6873">
      <c r="A6873" s="42" t="s">
        <v>3415</v>
      </c>
    </row>
    <row r="6874">
      <c r="A6874" s="42" t="s">
        <v>3415</v>
      </c>
    </row>
    <row r="6875">
      <c r="A6875" s="42" t="s">
        <v>3415</v>
      </c>
    </row>
    <row r="6876">
      <c r="A6876" s="42" t="s">
        <v>3415</v>
      </c>
    </row>
    <row r="6877">
      <c r="A6877" s="42" t="s">
        <v>3415</v>
      </c>
    </row>
    <row r="6878">
      <c r="A6878" s="42" t="s">
        <v>3415</v>
      </c>
    </row>
    <row r="6879">
      <c r="A6879" s="42" t="s">
        <v>3415</v>
      </c>
    </row>
    <row r="6880">
      <c r="A6880" s="42" t="s">
        <v>3415</v>
      </c>
    </row>
    <row r="6881">
      <c r="A6881" s="42" t="s">
        <v>3415</v>
      </c>
    </row>
    <row r="6882">
      <c r="A6882" s="42" t="s">
        <v>3415</v>
      </c>
    </row>
    <row r="6883">
      <c r="A6883" s="42" t="s">
        <v>3415</v>
      </c>
    </row>
    <row r="6884">
      <c r="A6884" s="42" t="s">
        <v>3415</v>
      </c>
    </row>
    <row r="6885">
      <c r="A6885" s="42" t="s">
        <v>3415</v>
      </c>
    </row>
    <row r="6886">
      <c r="A6886" s="42" t="s">
        <v>3415</v>
      </c>
    </row>
    <row r="6887">
      <c r="A6887" s="42" t="s">
        <v>3415</v>
      </c>
    </row>
    <row r="6888">
      <c r="A6888" s="42" t="s">
        <v>3415</v>
      </c>
    </row>
    <row r="6889">
      <c r="A6889" s="42" t="s">
        <v>3415</v>
      </c>
    </row>
    <row r="6890">
      <c r="A6890" s="42" t="s">
        <v>3415</v>
      </c>
    </row>
    <row r="6891">
      <c r="A6891" s="42" t="s">
        <v>3415</v>
      </c>
    </row>
    <row r="6892">
      <c r="A6892" s="42" t="s">
        <v>3415</v>
      </c>
    </row>
    <row r="6893">
      <c r="A6893" s="42" t="s">
        <v>3415</v>
      </c>
    </row>
    <row r="6894">
      <c r="A6894" s="42" t="s">
        <v>3415</v>
      </c>
    </row>
    <row r="6895">
      <c r="A6895" s="42" t="s">
        <v>3415</v>
      </c>
    </row>
    <row r="6896">
      <c r="A6896" s="42" t="s">
        <v>3415</v>
      </c>
    </row>
    <row r="6897">
      <c r="A6897" s="42" t="s">
        <v>3415</v>
      </c>
    </row>
    <row r="6898">
      <c r="A6898" s="42" t="s">
        <v>3415</v>
      </c>
    </row>
    <row r="6899">
      <c r="A6899" s="42" t="s">
        <v>3415</v>
      </c>
    </row>
    <row r="6900">
      <c r="A6900" s="42" t="s">
        <v>3415</v>
      </c>
    </row>
    <row r="6901">
      <c r="A6901" s="42" t="s">
        <v>3415</v>
      </c>
    </row>
    <row r="6902">
      <c r="A6902" s="42" t="s">
        <v>3415</v>
      </c>
    </row>
    <row r="6903">
      <c r="A6903" s="42" t="s">
        <v>3415</v>
      </c>
    </row>
    <row r="6904">
      <c r="A6904" s="42" t="s">
        <v>3415</v>
      </c>
    </row>
    <row r="6905">
      <c r="A6905" s="42" t="s">
        <v>3415</v>
      </c>
    </row>
    <row r="6906">
      <c r="A6906" s="42" t="s">
        <v>3415</v>
      </c>
    </row>
    <row r="6907">
      <c r="A6907" s="42" t="s">
        <v>3415</v>
      </c>
    </row>
    <row r="6908">
      <c r="A6908" s="42" t="s">
        <v>3415</v>
      </c>
    </row>
    <row r="6909">
      <c r="A6909" s="42" t="s">
        <v>3415</v>
      </c>
    </row>
    <row r="6910">
      <c r="A6910" s="42" t="s">
        <v>3415</v>
      </c>
    </row>
    <row r="6911">
      <c r="A6911" s="42" t="s">
        <v>3415</v>
      </c>
    </row>
    <row r="6912">
      <c r="A6912" s="42" t="s">
        <v>3415</v>
      </c>
    </row>
    <row r="6913">
      <c r="A6913" s="42" t="s">
        <v>3415</v>
      </c>
    </row>
    <row r="6914">
      <c r="A6914" s="42" t="s">
        <v>3415</v>
      </c>
    </row>
    <row r="6915">
      <c r="A6915" s="42" t="s">
        <v>3415</v>
      </c>
    </row>
    <row r="6916">
      <c r="A6916" s="42" t="s">
        <v>3415</v>
      </c>
    </row>
    <row r="6917">
      <c r="A6917" s="42" t="s">
        <v>3415</v>
      </c>
    </row>
    <row r="6918">
      <c r="A6918" s="42" t="s">
        <v>3415</v>
      </c>
    </row>
    <row r="6919">
      <c r="A6919" s="42" t="s">
        <v>3415</v>
      </c>
    </row>
    <row r="6920">
      <c r="A6920" s="42" t="s">
        <v>3415</v>
      </c>
    </row>
    <row r="6921">
      <c r="A6921" s="42" t="s">
        <v>3415</v>
      </c>
    </row>
    <row r="6922">
      <c r="A6922" s="42" t="s">
        <v>3415</v>
      </c>
    </row>
    <row r="6923">
      <c r="A6923" s="42" t="s">
        <v>3415</v>
      </c>
    </row>
    <row r="6924">
      <c r="A6924" s="42" t="s">
        <v>3415</v>
      </c>
    </row>
    <row r="6925">
      <c r="A6925" s="42" t="s">
        <v>3415</v>
      </c>
    </row>
    <row r="6926">
      <c r="A6926" s="42" t="s">
        <v>3415</v>
      </c>
    </row>
    <row r="6927">
      <c r="A6927" s="42" t="s">
        <v>3415</v>
      </c>
    </row>
    <row r="6928">
      <c r="A6928" s="42" t="s">
        <v>3415</v>
      </c>
    </row>
    <row r="6929">
      <c r="A6929" s="42" t="s">
        <v>3415</v>
      </c>
    </row>
    <row r="6930">
      <c r="A6930" s="42" t="s">
        <v>3415</v>
      </c>
    </row>
    <row r="6931">
      <c r="A6931" s="42" t="s">
        <v>3415</v>
      </c>
    </row>
    <row r="6932">
      <c r="A6932" s="42" t="s">
        <v>3415</v>
      </c>
    </row>
    <row r="6933">
      <c r="A6933" s="42" t="s">
        <v>3415</v>
      </c>
    </row>
    <row r="6934">
      <c r="A6934" s="42" t="s">
        <v>3415</v>
      </c>
    </row>
    <row r="6935">
      <c r="A6935" s="42" t="s">
        <v>3415</v>
      </c>
    </row>
    <row r="6936">
      <c r="A6936" s="42" t="s">
        <v>3415</v>
      </c>
    </row>
    <row r="6937">
      <c r="A6937" s="42" t="s">
        <v>3415</v>
      </c>
    </row>
    <row r="6938">
      <c r="A6938" s="42" t="s">
        <v>3415</v>
      </c>
    </row>
    <row r="6939">
      <c r="A6939" s="42" t="s">
        <v>3415</v>
      </c>
    </row>
    <row r="6940">
      <c r="A6940" s="42" t="s">
        <v>3415</v>
      </c>
    </row>
    <row r="6941">
      <c r="A6941" s="42" t="s">
        <v>3415</v>
      </c>
    </row>
    <row r="6942">
      <c r="A6942" s="42" t="s">
        <v>3415</v>
      </c>
    </row>
    <row r="6943">
      <c r="A6943" s="42" t="s">
        <v>3415</v>
      </c>
    </row>
    <row r="6944">
      <c r="A6944" s="42" t="s">
        <v>3415</v>
      </c>
    </row>
    <row r="6945">
      <c r="A6945" s="42" t="s">
        <v>3415</v>
      </c>
    </row>
    <row r="6946">
      <c r="A6946" s="42" t="s">
        <v>3415</v>
      </c>
    </row>
    <row r="6947">
      <c r="A6947" s="42" t="s">
        <v>3415</v>
      </c>
    </row>
    <row r="6948">
      <c r="A6948" s="42" t="s">
        <v>3415</v>
      </c>
    </row>
    <row r="6949">
      <c r="A6949" s="42" t="s">
        <v>3415</v>
      </c>
    </row>
    <row r="6950">
      <c r="A6950" s="42" t="s">
        <v>3415</v>
      </c>
    </row>
    <row r="6951">
      <c r="A6951" s="42" t="s">
        <v>3415</v>
      </c>
    </row>
    <row r="6952">
      <c r="A6952" s="42" t="s">
        <v>3415</v>
      </c>
    </row>
    <row r="6953">
      <c r="A6953" s="42" t="s">
        <v>3415</v>
      </c>
    </row>
    <row r="6954">
      <c r="A6954" s="42" t="s">
        <v>3415</v>
      </c>
    </row>
    <row r="6955">
      <c r="A6955" s="42" t="s">
        <v>3415</v>
      </c>
    </row>
    <row r="6956">
      <c r="A6956" s="42" t="s">
        <v>3415</v>
      </c>
    </row>
    <row r="6957">
      <c r="A6957" s="42" t="s">
        <v>3415</v>
      </c>
    </row>
    <row r="6958">
      <c r="A6958" s="42" t="s">
        <v>3415</v>
      </c>
    </row>
    <row r="6959">
      <c r="A6959" s="42" t="s">
        <v>3415</v>
      </c>
    </row>
    <row r="6960">
      <c r="A6960" s="42" t="s">
        <v>3415</v>
      </c>
    </row>
    <row r="6961">
      <c r="A6961" s="42" t="s">
        <v>3415</v>
      </c>
    </row>
    <row r="6962">
      <c r="A6962" s="42" t="s">
        <v>3415</v>
      </c>
    </row>
    <row r="6963">
      <c r="A6963" s="42" t="s">
        <v>3415</v>
      </c>
    </row>
    <row r="6964">
      <c r="A6964" s="42" t="s">
        <v>3415</v>
      </c>
    </row>
    <row r="6965">
      <c r="A6965" s="42" t="s">
        <v>3415</v>
      </c>
    </row>
    <row r="6966">
      <c r="A6966" s="42" t="s">
        <v>3415</v>
      </c>
    </row>
    <row r="6967">
      <c r="A6967" s="42" t="s">
        <v>3415</v>
      </c>
    </row>
    <row r="6968">
      <c r="A6968" s="42" t="s">
        <v>3415</v>
      </c>
    </row>
    <row r="6969">
      <c r="A6969" s="42" t="s">
        <v>3415</v>
      </c>
    </row>
    <row r="6970">
      <c r="A6970" s="42" t="s">
        <v>3415</v>
      </c>
    </row>
    <row r="6971">
      <c r="A6971" s="42" t="s">
        <v>3415</v>
      </c>
    </row>
    <row r="6972">
      <c r="A6972" s="42" t="s">
        <v>3415</v>
      </c>
    </row>
    <row r="6973">
      <c r="A6973" s="42" t="s">
        <v>3415</v>
      </c>
    </row>
    <row r="6974">
      <c r="A6974" s="42" t="s">
        <v>3415</v>
      </c>
    </row>
    <row r="6975">
      <c r="A6975" s="42" t="s">
        <v>3415</v>
      </c>
    </row>
    <row r="6976">
      <c r="A6976" s="42" t="s">
        <v>3415</v>
      </c>
    </row>
    <row r="6977">
      <c r="A6977" s="42" t="s">
        <v>3415</v>
      </c>
    </row>
    <row r="6978">
      <c r="A6978" s="42" t="s">
        <v>3415</v>
      </c>
    </row>
    <row r="6979">
      <c r="A6979" s="42" t="s">
        <v>3415</v>
      </c>
    </row>
    <row r="6980">
      <c r="A6980" s="42" t="s">
        <v>3415</v>
      </c>
    </row>
    <row r="6981">
      <c r="A6981" s="42" t="s">
        <v>3415</v>
      </c>
    </row>
    <row r="6982">
      <c r="A6982" s="42" t="s">
        <v>3415</v>
      </c>
    </row>
    <row r="6983">
      <c r="A6983" s="42" t="s">
        <v>3415</v>
      </c>
    </row>
    <row r="6984">
      <c r="A6984" s="42" t="s">
        <v>3415</v>
      </c>
    </row>
    <row r="6985">
      <c r="A6985" s="42" t="s">
        <v>3415</v>
      </c>
    </row>
    <row r="6986">
      <c r="A6986" s="42" t="s">
        <v>3415</v>
      </c>
    </row>
    <row r="6987">
      <c r="A6987" s="42" t="s">
        <v>3415</v>
      </c>
    </row>
    <row r="6988">
      <c r="A6988" s="42" t="s">
        <v>3415</v>
      </c>
    </row>
    <row r="6989">
      <c r="A6989" s="42" t="s">
        <v>3415</v>
      </c>
    </row>
    <row r="6990">
      <c r="A6990" s="42" t="s">
        <v>3415</v>
      </c>
    </row>
    <row r="6991">
      <c r="A6991" s="42" t="s">
        <v>3415</v>
      </c>
    </row>
    <row r="6992">
      <c r="A6992" s="42" t="s">
        <v>3415</v>
      </c>
    </row>
    <row r="6993">
      <c r="A6993" s="42" t="s">
        <v>3415</v>
      </c>
    </row>
    <row r="6994">
      <c r="A6994" s="42" t="s">
        <v>3415</v>
      </c>
    </row>
    <row r="6995">
      <c r="A6995" s="42" t="s">
        <v>3415</v>
      </c>
    </row>
    <row r="6996">
      <c r="A6996" s="42" t="s">
        <v>3415</v>
      </c>
    </row>
    <row r="6997">
      <c r="A6997" s="42" t="s">
        <v>3415</v>
      </c>
    </row>
    <row r="6998">
      <c r="A6998" s="42" t="s">
        <v>3415</v>
      </c>
    </row>
    <row r="6999">
      <c r="A6999" s="42" t="s">
        <v>3415</v>
      </c>
    </row>
    <row r="7000">
      <c r="A7000" s="42" t="s">
        <v>3415</v>
      </c>
    </row>
    <row r="7001">
      <c r="A7001" s="42" t="s">
        <v>3415</v>
      </c>
    </row>
    <row r="7002">
      <c r="A7002" s="42" t="s">
        <v>3415</v>
      </c>
    </row>
    <row r="7003">
      <c r="A7003" s="42" t="s">
        <v>3415</v>
      </c>
    </row>
    <row r="7004">
      <c r="A7004" s="42" t="s">
        <v>3415</v>
      </c>
    </row>
    <row r="7005">
      <c r="A7005" s="42" t="s">
        <v>3415</v>
      </c>
    </row>
    <row r="7006">
      <c r="A7006" s="42" t="s">
        <v>3415</v>
      </c>
    </row>
    <row r="7007">
      <c r="A7007" s="42" t="s">
        <v>3415</v>
      </c>
    </row>
    <row r="7008">
      <c r="A7008" s="42" t="s">
        <v>3415</v>
      </c>
    </row>
    <row r="7009">
      <c r="A7009" s="42" t="s">
        <v>3415</v>
      </c>
    </row>
    <row r="7010">
      <c r="A7010" s="42" t="s">
        <v>3415</v>
      </c>
    </row>
    <row r="7011">
      <c r="A7011" s="42" t="s">
        <v>3415</v>
      </c>
    </row>
    <row r="7012">
      <c r="A7012" s="42" t="s">
        <v>3415</v>
      </c>
    </row>
    <row r="7013">
      <c r="A7013" s="42" t="s">
        <v>3415</v>
      </c>
    </row>
    <row r="7014">
      <c r="A7014" s="42" t="s">
        <v>3415</v>
      </c>
    </row>
    <row r="7015">
      <c r="A7015" s="42" t="s">
        <v>3415</v>
      </c>
    </row>
    <row r="7016">
      <c r="A7016" s="42" t="s">
        <v>3415</v>
      </c>
    </row>
    <row r="7017">
      <c r="A7017" s="42" t="s">
        <v>3415</v>
      </c>
    </row>
    <row r="7018">
      <c r="A7018" s="42" t="s">
        <v>3415</v>
      </c>
    </row>
    <row r="7019">
      <c r="A7019" s="42" t="s">
        <v>3415</v>
      </c>
    </row>
    <row r="7020">
      <c r="A7020" s="42" t="s">
        <v>3415</v>
      </c>
    </row>
    <row r="7021">
      <c r="A7021" s="42" t="s">
        <v>3415</v>
      </c>
    </row>
    <row r="7022">
      <c r="A7022" s="42" t="s">
        <v>3415</v>
      </c>
    </row>
    <row r="7023">
      <c r="A7023" s="42" t="s">
        <v>3415</v>
      </c>
    </row>
    <row r="7024">
      <c r="A7024" s="42" t="s">
        <v>3415</v>
      </c>
    </row>
    <row r="7025">
      <c r="A7025" s="42" t="s">
        <v>3415</v>
      </c>
    </row>
    <row r="7026">
      <c r="A7026" s="42" t="s">
        <v>3415</v>
      </c>
    </row>
    <row r="7027">
      <c r="A7027" s="42" t="s">
        <v>3415</v>
      </c>
    </row>
    <row r="7028">
      <c r="A7028" s="42" t="s">
        <v>3415</v>
      </c>
    </row>
    <row r="7029">
      <c r="A7029" s="42" t="s">
        <v>3415</v>
      </c>
    </row>
    <row r="7030">
      <c r="A7030" s="42" t="s">
        <v>3415</v>
      </c>
    </row>
    <row r="7031">
      <c r="A7031" s="42" t="s">
        <v>3415</v>
      </c>
    </row>
    <row r="7032">
      <c r="A7032" s="42" t="s">
        <v>3415</v>
      </c>
    </row>
    <row r="7033">
      <c r="A7033" s="42" t="s">
        <v>3415</v>
      </c>
    </row>
    <row r="7034">
      <c r="A7034" s="42" t="s">
        <v>3415</v>
      </c>
    </row>
    <row r="7035">
      <c r="A7035" s="42" t="s">
        <v>3415</v>
      </c>
    </row>
    <row r="7036">
      <c r="A7036" s="42" t="s">
        <v>3415</v>
      </c>
    </row>
    <row r="7037">
      <c r="A7037" s="42" t="s">
        <v>3415</v>
      </c>
    </row>
    <row r="7038">
      <c r="A7038" s="42" t="s">
        <v>3415</v>
      </c>
    </row>
    <row r="7039">
      <c r="A7039" s="42" t="s">
        <v>3415</v>
      </c>
    </row>
    <row r="7040">
      <c r="A7040" s="42" t="s">
        <v>3415</v>
      </c>
    </row>
    <row r="7041">
      <c r="A7041" s="42" t="s">
        <v>3415</v>
      </c>
    </row>
    <row r="7042">
      <c r="A7042" s="42" t="s">
        <v>3415</v>
      </c>
    </row>
    <row r="7043">
      <c r="A7043" s="42" t="s">
        <v>3415</v>
      </c>
    </row>
    <row r="7044">
      <c r="A7044" s="42" t="s">
        <v>3415</v>
      </c>
    </row>
    <row r="7045">
      <c r="A7045" s="42" t="s">
        <v>3415</v>
      </c>
    </row>
    <row r="7046">
      <c r="A7046" s="42" t="s">
        <v>3415</v>
      </c>
    </row>
    <row r="7047">
      <c r="A7047" s="42" t="s">
        <v>3415</v>
      </c>
    </row>
    <row r="7048">
      <c r="A7048" s="42" t="s">
        <v>3415</v>
      </c>
    </row>
    <row r="7049">
      <c r="A7049" s="42" t="s">
        <v>3415</v>
      </c>
    </row>
    <row r="7050">
      <c r="A7050" s="42" t="s">
        <v>3415</v>
      </c>
    </row>
    <row r="7051">
      <c r="A7051" s="42" t="s">
        <v>3415</v>
      </c>
    </row>
    <row r="7052">
      <c r="A7052" s="42" t="s">
        <v>3415</v>
      </c>
    </row>
    <row r="7053">
      <c r="A7053" s="42" t="s">
        <v>3415</v>
      </c>
    </row>
    <row r="7054">
      <c r="A7054" s="42" t="s">
        <v>3415</v>
      </c>
    </row>
    <row r="7055">
      <c r="A7055" s="42" t="s">
        <v>3415</v>
      </c>
    </row>
    <row r="7056">
      <c r="A7056" s="42" t="s">
        <v>3415</v>
      </c>
    </row>
    <row r="7057">
      <c r="A7057" s="42" t="s">
        <v>3415</v>
      </c>
    </row>
    <row r="7058">
      <c r="A7058" s="42" t="s">
        <v>3415</v>
      </c>
    </row>
    <row r="7059">
      <c r="A7059" s="42" t="s">
        <v>3415</v>
      </c>
    </row>
    <row r="7060">
      <c r="A7060" s="42" t="s">
        <v>3415</v>
      </c>
    </row>
    <row r="7061">
      <c r="A7061" s="42" t="s">
        <v>3415</v>
      </c>
    </row>
    <row r="7062">
      <c r="A7062" s="42" t="s">
        <v>3415</v>
      </c>
    </row>
    <row r="7063">
      <c r="A7063" s="42" t="s">
        <v>3415</v>
      </c>
    </row>
    <row r="7064">
      <c r="A7064" s="42" t="s">
        <v>3415</v>
      </c>
    </row>
    <row r="7065">
      <c r="A7065" s="42" t="s">
        <v>3415</v>
      </c>
    </row>
    <row r="7066">
      <c r="A7066" s="42" t="s">
        <v>3415</v>
      </c>
    </row>
    <row r="7067">
      <c r="A7067" s="42" t="s">
        <v>3415</v>
      </c>
    </row>
    <row r="7068">
      <c r="A7068" s="42" t="s">
        <v>3415</v>
      </c>
    </row>
    <row r="7069">
      <c r="A7069" s="42" t="s">
        <v>3415</v>
      </c>
    </row>
    <row r="7070">
      <c r="A7070" s="42" t="s">
        <v>3415</v>
      </c>
    </row>
    <row r="7071">
      <c r="A7071" s="42" t="s">
        <v>3415</v>
      </c>
    </row>
    <row r="7072">
      <c r="A7072" s="42" t="s">
        <v>3415</v>
      </c>
    </row>
    <row r="7073">
      <c r="A7073" s="42" t="s">
        <v>3415</v>
      </c>
    </row>
    <row r="7074">
      <c r="A7074" s="42" t="s">
        <v>3415</v>
      </c>
    </row>
    <row r="7075">
      <c r="A7075" s="42" t="s">
        <v>3415</v>
      </c>
    </row>
    <row r="7076">
      <c r="A7076" s="42" t="s">
        <v>3415</v>
      </c>
    </row>
    <row r="7077">
      <c r="A7077" s="42" t="s">
        <v>3415</v>
      </c>
    </row>
    <row r="7078">
      <c r="A7078" s="42" t="s">
        <v>3415</v>
      </c>
    </row>
    <row r="7079">
      <c r="A7079" s="42" t="s">
        <v>3415</v>
      </c>
    </row>
    <row r="7080">
      <c r="A7080" s="42" t="s">
        <v>3415</v>
      </c>
    </row>
    <row r="7081">
      <c r="A7081" s="42" t="s">
        <v>3415</v>
      </c>
    </row>
    <row r="7082">
      <c r="A7082" s="42" t="s">
        <v>3415</v>
      </c>
    </row>
    <row r="7083">
      <c r="A7083" s="42" t="s">
        <v>3415</v>
      </c>
    </row>
    <row r="7084">
      <c r="A7084" s="42" t="s">
        <v>3415</v>
      </c>
    </row>
    <row r="7085">
      <c r="A7085" s="42" t="s">
        <v>3415</v>
      </c>
    </row>
    <row r="7086">
      <c r="A7086" s="42" t="s">
        <v>3415</v>
      </c>
    </row>
    <row r="7087">
      <c r="A7087" s="42" t="s">
        <v>3415</v>
      </c>
    </row>
    <row r="7088">
      <c r="A7088" s="42" t="s">
        <v>3415</v>
      </c>
    </row>
    <row r="7089">
      <c r="A7089" s="42" t="s">
        <v>3415</v>
      </c>
    </row>
    <row r="7090">
      <c r="A7090" s="42" t="s">
        <v>3415</v>
      </c>
    </row>
    <row r="7091">
      <c r="A7091" s="42" t="s">
        <v>3415</v>
      </c>
    </row>
    <row r="7092">
      <c r="A7092" s="42" t="s">
        <v>3415</v>
      </c>
    </row>
    <row r="7093">
      <c r="A7093" s="42" t="s">
        <v>3415</v>
      </c>
    </row>
    <row r="7094">
      <c r="A7094" s="42" t="s">
        <v>3415</v>
      </c>
    </row>
    <row r="7095">
      <c r="A7095" s="42" t="s">
        <v>3415</v>
      </c>
    </row>
    <row r="7096">
      <c r="A7096" s="42" t="s">
        <v>3415</v>
      </c>
    </row>
    <row r="7097">
      <c r="A7097" s="42" t="s">
        <v>3415</v>
      </c>
    </row>
    <row r="7098">
      <c r="A7098" s="42" t="s">
        <v>3415</v>
      </c>
    </row>
    <row r="7099">
      <c r="A7099" s="42" t="s">
        <v>3415</v>
      </c>
    </row>
    <row r="7100">
      <c r="A7100" s="42" t="s">
        <v>3415</v>
      </c>
    </row>
    <row r="7101">
      <c r="A7101" s="42" t="s">
        <v>3415</v>
      </c>
    </row>
    <row r="7102">
      <c r="A7102" s="42" t="s">
        <v>3415</v>
      </c>
    </row>
    <row r="7103">
      <c r="A7103" s="42" t="s">
        <v>3415</v>
      </c>
    </row>
    <row r="7104">
      <c r="A7104" s="42" t="s">
        <v>3415</v>
      </c>
    </row>
    <row r="7105">
      <c r="A7105" s="42" t="s">
        <v>3415</v>
      </c>
    </row>
    <row r="7106">
      <c r="A7106" s="42" t="s">
        <v>3415</v>
      </c>
    </row>
    <row r="7107">
      <c r="A7107" s="42" t="s">
        <v>3415</v>
      </c>
    </row>
    <row r="7108">
      <c r="A7108" s="42" t="s">
        <v>3415</v>
      </c>
    </row>
    <row r="7109">
      <c r="A7109" s="42" t="s">
        <v>3415</v>
      </c>
    </row>
    <row r="7110">
      <c r="A7110" s="42" t="s">
        <v>3415</v>
      </c>
    </row>
    <row r="7111">
      <c r="A7111" s="42" t="s">
        <v>3415</v>
      </c>
    </row>
    <row r="7112">
      <c r="A7112" s="42" t="s">
        <v>3415</v>
      </c>
    </row>
    <row r="7113">
      <c r="A7113" s="42" t="s">
        <v>3415</v>
      </c>
    </row>
    <row r="7114">
      <c r="A7114" s="42" t="s">
        <v>3415</v>
      </c>
    </row>
    <row r="7115">
      <c r="A7115" s="42" t="s">
        <v>3415</v>
      </c>
    </row>
    <row r="7116">
      <c r="A7116" s="42" t="s">
        <v>3415</v>
      </c>
    </row>
    <row r="7117">
      <c r="A7117" s="42" t="s">
        <v>3415</v>
      </c>
    </row>
    <row r="7118">
      <c r="A7118" s="42" t="s">
        <v>3415</v>
      </c>
    </row>
    <row r="7119">
      <c r="A7119" s="42" t="s">
        <v>3415</v>
      </c>
    </row>
    <row r="7120">
      <c r="A7120" s="42" t="s">
        <v>3415</v>
      </c>
    </row>
    <row r="7121">
      <c r="A7121" s="42" t="s">
        <v>3415</v>
      </c>
    </row>
    <row r="7122">
      <c r="A7122" s="42" t="s">
        <v>3415</v>
      </c>
    </row>
    <row r="7123">
      <c r="A7123" s="42" t="s">
        <v>3415</v>
      </c>
    </row>
    <row r="7124">
      <c r="A7124" s="42" t="s">
        <v>3415</v>
      </c>
    </row>
    <row r="7125">
      <c r="A7125" s="42" t="s">
        <v>3415</v>
      </c>
    </row>
    <row r="7126">
      <c r="A7126" s="42" t="s">
        <v>3415</v>
      </c>
    </row>
    <row r="7127">
      <c r="A7127" s="42" t="s">
        <v>3415</v>
      </c>
    </row>
    <row r="7128">
      <c r="A7128" s="42" t="s">
        <v>3415</v>
      </c>
    </row>
    <row r="7129">
      <c r="A7129" s="42" t="s">
        <v>3415</v>
      </c>
    </row>
    <row r="7130">
      <c r="A7130" s="42" t="s">
        <v>3415</v>
      </c>
    </row>
    <row r="7131">
      <c r="A7131" s="42" t="s">
        <v>3415</v>
      </c>
    </row>
    <row r="7132">
      <c r="A7132" s="42" t="s">
        <v>3415</v>
      </c>
    </row>
    <row r="7133">
      <c r="A7133" s="42" t="s">
        <v>3415</v>
      </c>
    </row>
    <row r="7134">
      <c r="A7134" s="42" t="s">
        <v>3415</v>
      </c>
    </row>
    <row r="7135">
      <c r="A7135" s="42" t="s">
        <v>3415</v>
      </c>
    </row>
    <row r="7136">
      <c r="A7136" s="42" t="s">
        <v>3415</v>
      </c>
    </row>
    <row r="7137">
      <c r="A7137" s="42" t="s">
        <v>3415</v>
      </c>
    </row>
    <row r="7138">
      <c r="A7138" s="42" t="s">
        <v>3415</v>
      </c>
    </row>
    <row r="7139">
      <c r="A7139" s="42" t="s">
        <v>3415</v>
      </c>
    </row>
    <row r="7140">
      <c r="A7140" s="42" t="s">
        <v>3415</v>
      </c>
    </row>
    <row r="7141">
      <c r="A7141" s="42" t="s">
        <v>3415</v>
      </c>
    </row>
    <row r="7142">
      <c r="A7142" s="42" t="s">
        <v>3415</v>
      </c>
    </row>
    <row r="7143">
      <c r="A7143" s="42" t="s">
        <v>3415</v>
      </c>
    </row>
    <row r="7144">
      <c r="A7144" s="42" t="s">
        <v>3415</v>
      </c>
    </row>
    <row r="7145">
      <c r="A7145" s="42" t="s">
        <v>3415</v>
      </c>
    </row>
    <row r="7146">
      <c r="A7146" s="42" t="s">
        <v>3415</v>
      </c>
    </row>
    <row r="7147">
      <c r="A7147" s="42" t="s">
        <v>3415</v>
      </c>
    </row>
    <row r="7148">
      <c r="A7148" s="42" t="s">
        <v>3415</v>
      </c>
    </row>
    <row r="7149">
      <c r="A7149" s="42" t="s">
        <v>3415</v>
      </c>
    </row>
    <row r="7150">
      <c r="A7150" s="42" t="s">
        <v>3415</v>
      </c>
    </row>
    <row r="7151">
      <c r="A7151" s="42" t="s">
        <v>3415</v>
      </c>
    </row>
    <row r="7152">
      <c r="A7152" s="42" t="s">
        <v>3415</v>
      </c>
    </row>
    <row r="7153">
      <c r="A7153" s="42" t="s">
        <v>3415</v>
      </c>
    </row>
    <row r="7154">
      <c r="A7154" s="42" t="s">
        <v>3415</v>
      </c>
    </row>
    <row r="7155">
      <c r="A7155" s="42" t="s">
        <v>3415</v>
      </c>
    </row>
    <row r="7156">
      <c r="A7156" s="42" t="s">
        <v>3415</v>
      </c>
    </row>
    <row r="7157">
      <c r="A7157" s="42" t="s">
        <v>3415</v>
      </c>
    </row>
    <row r="7158">
      <c r="A7158" s="42" t="s">
        <v>3415</v>
      </c>
    </row>
    <row r="7159">
      <c r="A7159" s="42" t="s">
        <v>3415</v>
      </c>
    </row>
    <row r="7160">
      <c r="A7160" s="42" t="s">
        <v>3415</v>
      </c>
    </row>
    <row r="7161">
      <c r="A7161" s="42" t="s">
        <v>3415</v>
      </c>
    </row>
    <row r="7162">
      <c r="A7162" s="42" t="s">
        <v>3415</v>
      </c>
    </row>
    <row r="7163">
      <c r="A7163" s="42" t="s">
        <v>3415</v>
      </c>
    </row>
    <row r="7164">
      <c r="A7164" s="42" t="s">
        <v>3415</v>
      </c>
    </row>
    <row r="7165">
      <c r="A7165" s="42" t="s">
        <v>3415</v>
      </c>
    </row>
    <row r="7166">
      <c r="A7166" s="42" t="s">
        <v>3415</v>
      </c>
    </row>
    <row r="7167">
      <c r="A7167" s="42" t="s">
        <v>3415</v>
      </c>
    </row>
    <row r="7168">
      <c r="A7168" s="42" t="s">
        <v>3415</v>
      </c>
    </row>
    <row r="7169">
      <c r="A7169" s="42" t="s">
        <v>3415</v>
      </c>
    </row>
    <row r="7170">
      <c r="A7170" s="42" t="s">
        <v>3415</v>
      </c>
    </row>
    <row r="7171">
      <c r="A7171" s="42" t="s">
        <v>3415</v>
      </c>
    </row>
    <row r="7172">
      <c r="A7172" s="42" t="s">
        <v>3415</v>
      </c>
    </row>
    <row r="7173">
      <c r="A7173" s="42" t="s">
        <v>3415</v>
      </c>
    </row>
    <row r="7174">
      <c r="A7174" s="42" t="s">
        <v>3415</v>
      </c>
    </row>
    <row r="7175">
      <c r="A7175" s="42" t="s">
        <v>3415</v>
      </c>
    </row>
    <row r="7176">
      <c r="A7176" s="42" t="s">
        <v>3415</v>
      </c>
    </row>
    <row r="7177">
      <c r="A7177" s="42" t="s">
        <v>3415</v>
      </c>
    </row>
    <row r="7178">
      <c r="A7178" s="42" t="s">
        <v>3415</v>
      </c>
    </row>
    <row r="7179">
      <c r="A7179" s="42" t="s">
        <v>3415</v>
      </c>
    </row>
    <row r="7180">
      <c r="A7180" s="42" t="s">
        <v>3415</v>
      </c>
    </row>
    <row r="7181">
      <c r="A7181" s="42" t="s">
        <v>3415</v>
      </c>
    </row>
    <row r="7182">
      <c r="A7182" s="42" t="s">
        <v>3415</v>
      </c>
    </row>
    <row r="7183">
      <c r="A7183" s="42" t="s">
        <v>3415</v>
      </c>
    </row>
    <row r="7184">
      <c r="A7184" s="42" t="s">
        <v>3415</v>
      </c>
    </row>
    <row r="7185">
      <c r="A7185" s="42" t="s">
        <v>3415</v>
      </c>
    </row>
    <row r="7186">
      <c r="A7186" s="42" t="s">
        <v>3415</v>
      </c>
    </row>
    <row r="7187">
      <c r="A7187" s="42" t="s">
        <v>3415</v>
      </c>
    </row>
    <row r="7188">
      <c r="A7188" s="42" t="s">
        <v>3415</v>
      </c>
    </row>
    <row r="7189">
      <c r="A7189" s="42" t="s">
        <v>3415</v>
      </c>
    </row>
    <row r="7190">
      <c r="A7190" s="42" t="s">
        <v>3415</v>
      </c>
    </row>
    <row r="7191">
      <c r="A7191" s="42" t="s">
        <v>3415</v>
      </c>
    </row>
    <row r="7192">
      <c r="A7192" s="42" t="s">
        <v>3415</v>
      </c>
    </row>
    <row r="7193">
      <c r="A7193" s="42" t="s">
        <v>3415</v>
      </c>
    </row>
    <row r="7194">
      <c r="A7194" s="42" t="s">
        <v>3415</v>
      </c>
    </row>
    <row r="7195">
      <c r="A7195" s="42" t="s">
        <v>3415</v>
      </c>
    </row>
    <row r="7196">
      <c r="A7196" s="42" t="s">
        <v>3415</v>
      </c>
    </row>
    <row r="7197">
      <c r="A7197" s="42" t="s">
        <v>3415</v>
      </c>
    </row>
    <row r="7198">
      <c r="A7198" s="42" t="s">
        <v>3415</v>
      </c>
    </row>
    <row r="7199">
      <c r="A7199" s="42" t="s">
        <v>3415</v>
      </c>
    </row>
    <row r="7200">
      <c r="A7200" s="42" t="s">
        <v>3415</v>
      </c>
    </row>
    <row r="7201">
      <c r="A7201" s="42" t="s">
        <v>3415</v>
      </c>
    </row>
    <row r="7202">
      <c r="A7202" s="42" t="s">
        <v>3415</v>
      </c>
    </row>
    <row r="7203">
      <c r="A7203" s="42" t="s">
        <v>3415</v>
      </c>
    </row>
    <row r="7204">
      <c r="A7204" s="42" t="s">
        <v>3415</v>
      </c>
    </row>
    <row r="7205">
      <c r="A7205" s="42" t="s">
        <v>3415</v>
      </c>
    </row>
    <row r="7206">
      <c r="A7206" s="42" t="s">
        <v>3415</v>
      </c>
    </row>
    <row r="7207">
      <c r="A7207" s="42" t="s">
        <v>3415</v>
      </c>
    </row>
    <row r="7208">
      <c r="A7208" s="42" t="s">
        <v>3415</v>
      </c>
    </row>
    <row r="7209">
      <c r="A7209" s="42" t="s">
        <v>3415</v>
      </c>
    </row>
    <row r="7210">
      <c r="A7210" s="42" t="s">
        <v>3415</v>
      </c>
    </row>
    <row r="7211">
      <c r="A7211" s="42" t="s">
        <v>3415</v>
      </c>
    </row>
    <row r="7212">
      <c r="A7212" s="42" t="s">
        <v>3415</v>
      </c>
    </row>
    <row r="7213">
      <c r="A7213" s="42" t="s">
        <v>3415</v>
      </c>
    </row>
    <row r="7214">
      <c r="A7214" s="42" t="s">
        <v>3415</v>
      </c>
    </row>
    <row r="7215">
      <c r="A7215" s="42" t="s">
        <v>3415</v>
      </c>
    </row>
    <row r="7216">
      <c r="A7216" s="42" t="s">
        <v>3415</v>
      </c>
    </row>
    <row r="7217">
      <c r="A7217" s="42" t="s">
        <v>3415</v>
      </c>
    </row>
    <row r="7218">
      <c r="A7218" s="42" t="s">
        <v>3415</v>
      </c>
    </row>
    <row r="7219">
      <c r="A7219" s="42" t="s">
        <v>3415</v>
      </c>
    </row>
    <row r="7220">
      <c r="A7220" s="42" t="s">
        <v>3415</v>
      </c>
    </row>
    <row r="7221">
      <c r="A7221" s="42" t="s">
        <v>3415</v>
      </c>
    </row>
    <row r="7222">
      <c r="A7222" s="42" t="s">
        <v>3415</v>
      </c>
    </row>
    <row r="7223">
      <c r="A7223" s="42" t="s">
        <v>3415</v>
      </c>
    </row>
    <row r="7224">
      <c r="A7224" s="42" t="s">
        <v>3415</v>
      </c>
    </row>
    <row r="7225">
      <c r="A7225" s="42" t="s">
        <v>3415</v>
      </c>
    </row>
    <row r="7226">
      <c r="A7226" s="42" t="s">
        <v>3415</v>
      </c>
    </row>
    <row r="7227">
      <c r="A7227" s="42" t="s">
        <v>3415</v>
      </c>
    </row>
    <row r="7228">
      <c r="A7228" s="42" t="s">
        <v>3415</v>
      </c>
    </row>
    <row r="7229">
      <c r="A7229" s="42" t="s">
        <v>3415</v>
      </c>
    </row>
    <row r="7230">
      <c r="A7230" s="42" t="s">
        <v>3415</v>
      </c>
    </row>
    <row r="7231">
      <c r="A7231" s="42" t="s">
        <v>3415</v>
      </c>
    </row>
    <row r="7232">
      <c r="A7232" s="42" t="s">
        <v>3415</v>
      </c>
    </row>
    <row r="7233">
      <c r="A7233" s="42" t="s">
        <v>3415</v>
      </c>
    </row>
    <row r="7234">
      <c r="A7234" s="42" t="s">
        <v>3415</v>
      </c>
    </row>
    <row r="7235">
      <c r="A7235" s="42" t="s">
        <v>3415</v>
      </c>
    </row>
    <row r="7236">
      <c r="A7236" s="42" t="s">
        <v>3415</v>
      </c>
    </row>
    <row r="7237">
      <c r="A7237" s="42" t="s">
        <v>3415</v>
      </c>
    </row>
    <row r="7238">
      <c r="A7238" s="42" t="s">
        <v>3415</v>
      </c>
    </row>
    <row r="7239">
      <c r="A7239" s="42" t="s">
        <v>3415</v>
      </c>
    </row>
    <row r="7240">
      <c r="A7240" s="42" t="s">
        <v>3415</v>
      </c>
    </row>
    <row r="7241">
      <c r="A7241" s="42" t="s">
        <v>3415</v>
      </c>
    </row>
    <row r="7242">
      <c r="A7242" s="42" t="s">
        <v>3415</v>
      </c>
    </row>
    <row r="7243">
      <c r="A7243" s="42" t="s">
        <v>3415</v>
      </c>
    </row>
    <row r="7244">
      <c r="A7244" s="42" t="s">
        <v>3415</v>
      </c>
    </row>
    <row r="7245">
      <c r="A7245" s="42" t="s">
        <v>3415</v>
      </c>
    </row>
    <row r="7246">
      <c r="A7246" s="42" t="s">
        <v>3415</v>
      </c>
    </row>
    <row r="7247">
      <c r="A7247" s="42" t="s">
        <v>3415</v>
      </c>
    </row>
    <row r="7248">
      <c r="A7248" s="42" t="s">
        <v>3415</v>
      </c>
    </row>
    <row r="7249">
      <c r="A7249" s="42" t="s">
        <v>3415</v>
      </c>
    </row>
    <row r="7250">
      <c r="A7250" s="42" t="s">
        <v>3415</v>
      </c>
    </row>
    <row r="7251">
      <c r="A7251" s="42" t="s">
        <v>3415</v>
      </c>
    </row>
    <row r="7252">
      <c r="A7252" s="42" t="s">
        <v>3415</v>
      </c>
    </row>
    <row r="7253">
      <c r="A7253" s="42" t="s">
        <v>3415</v>
      </c>
    </row>
    <row r="7254">
      <c r="A7254" s="42" t="s">
        <v>3415</v>
      </c>
    </row>
    <row r="7255">
      <c r="A7255" s="42" t="s">
        <v>3415</v>
      </c>
    </row>
    <row r="7256">
      <c r="A7256" s="42" t="s">
        <v>3415</v>
      </c>
    </row>
    <row r="7257">
      <c r="A7257" s="42" t="s">
        <v>3415</v>
      </c>
    </row>
    <row r="7258">
      <c r="A7258" s="42" t="s">
        <v>3415</v>
      </c>
    </row>
    <row r="7259">
      <c r="A7259" s="42" t="s">
        <v>3415</v>
      </c>
    </row>
    <row r="7260">
      <c r="A7260" s="42" t="s">
        <v>3415</v>
      </c>
    </row>
    <row r="7261">
      <c r="A7261" s="42" t="s">
        <v>3415</v>
      </c>
    </row>
    <row r="7262">
      <c r="A7262" s="42" t="s">
        <v>3415</v>
      </c>
    </row>
    <row r="7263">
      <c r="A7263" s="42" t="s">
        <v>3415</v>
      </c>
    </row>
    <row r="7264">
      <c r="A7264" s="42" t="s">
        <v>3415</v>
      </c>
    </row>
    <row r="7265">
      <c r="A7265" s="42" t="s">
        <v>3415</v>
      </c>
    </row>
    <row r="7266">
      <c r="A7266" s="42" t="s">
        <v>3415</v>
      </c>
    </row>
    <row r="7267">
      <c r="A7267" s="42" t="s">
        <v>3415</v>
      </c>
    </row>
    <row r="7268">
      <c r="A7268" s="42" t="s">
        <v>3415</v>
      </c>
    </row>
    <row r="7269">
      <c r="A7269" s="42" t="s">
        <v>3415</v>
      </c>
    </row>
    <row r="7270">
      <c r="A7270" s="42" t="s">
        <v>3415</v>
      </c>
    </row>
    <row r="7271">
      <c r="A7271" s="42" t="s">
        <v>3415</v>
      </c>
    </row>
    <row r="7272">
      <c r="A7272" s="42" t="s">
        <v>3415</v>
      </c>
    </row>
    <row r="7273">
      <c r="A7273" s="42" t="s">
        <v>3415</v>
      </c>
    </row>
    <row r="7274">
      <c r="A7274" s="42" t="s">
        <v>3415</v>
      </c>
    </row>
    <row r="7275">
      <c r="A7275" s="42" t="s">
        <v>3415</v>
      </c>
    </row>
    <row r="7276">
      <c r="A7276" s="42" t="s">
        <v>3415</v>
      </c>
    </row>
  </sheetData>
  <mergeCells count="1">
    <mergeCell ref="A1:J1"/>
  </mergeCells>
  <drawing r:id="rId1"/>
  <tableParts count="1">
    <tablePart r:id="rId3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4.38"/>
    <col customWidth="1" min="2" max="2" width="28.0"/>
    <col customWidth="1" min="3" max="3" width="7.0"/>
    <col customWidth="1" min="4" max="4" width="15.75"/>
    <col customWidth="1" min="5" max="5" width="14.0"/>
    <col customWidth="1" min="6" max="6" width="21.88"/>
    <col customWidth="1" min="7" max="7" width="26.25"/>
    <col customWidth="1" min="8" max="26" width="7.63"/>
  </cols>
  <sheetData>
    <row r="1" ht="27.75" customHeight="1">
      <c r="A1" s="69" t="s">
        <v>5248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7" t="s">
        <v>3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36">
        <v>1.0</v>
      </c>
      <c r="B3" s="126" t="s">
        <v>3271</v>
      </c>
      <c r="C3" s="126">
        <v>8.0</v>
      </c>
      <c r="D3" s="126" t="s">
        <v>13</v>
      </c>
      <c r="E3" s="126" t="s">
        <v>13</v>
      </c>
      <c r="F3" s="126" t="s">
        <v>3272</v>
      </c>
      <c r="G3" s="126" t="s">
        <v>13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36">
        <v>2.0</v>
      </c>
      <c r="B4" s="37" t="s">
        <v>3273</v>
      </c>
      <c r="C4" s="37" t="s">
        <v>13</v>
      </c>
      <c r="D4" s="37">
        <v>7.995694E7</v>
      </c>
      <c r="E4" s="37" t="s">
        <v>13</v>
      </c>
      <c r="F4" s="37" t="s">
        <v>3274</v>
      </c>
      <c r="G4" s="37" t="s">
        <v>13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36">
        <v>3.0</v>
      </c>
      <c r="B5" s="37" t="s">
        <v>3275</v>
      </c>
      <c r="C5" s="37">
        <v>6.0</v>
      </c>
      <c r="D5" s="37" t="s">
        <v>13</v>
      </c>
      <c r="E5" s="37" t="s">
        <v>13</v>
      </c>
      <c r="F5" s="37" t="s">
        <v>346</v>
      </c>
      <c r="G5" s="37" t="s">
        <v>13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36">
        <v>4.0</v>
      </c>
      <c r="B6" s="37" t="s">
        <v>3276</v>
      </c>
      <c r="C6" s="37" t="s">
        <v>13</v>
      </c>
      <c r="D6" s="37" t="s">
        <v>13</v>
      </c>
      <c r="E6" s="37" t="s">
        <v>13</v>
      </c>
      <c r="F6" s="37" t="s">
        <v>346</v>
      </c>
      <c r="G6" s="37" t="s">
        <v>13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36">
        <v>5.0</v>
      </c>
      <c r="B7" s="37" t="s">
        <v>3277</v>
      </c>
      <c r="C7" s="37">
        <v>50.0</v>
      </c>
      <c r="D7" s="37" t="s">
        <v>13</v>
      </c>
      <c r="E7" s="37" t="s">
        <v>13</v>
      </c>
      <c r="F7" s="37" t="s">
        <v>346</v>
      </c>
      <c r="G7" s="37" t="s">
        <v>13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36">
        <v>6.0</v>
      </c>
      <c r="B8" s="37" t="s">
        <v>3278</v>
      </c>
      <c r="C8" s="37" t="s">
        <v>13</v>
      </c>
      <c r="D8" s="37">
        <v>3.4056073E8</v>
      </c>
      <c r="E8" s="37" t="s">
        <v>13</v>
      </c>
      <c r="F8" s="37" t="s">
        <v>1126</v>
      </c>
      <c r="G8" s="37" t="s">
        <v>13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36">
        <v>7.0</v>
      </c>
      <c r="B9" s="37" t="s">
        <v>3279</v>
      </c>
      <c r="C9" s="37">
        <v>9.0</v>
      </c>
      <c r="D9" s="37" t="s">
        <v>13</v>
      </c>
      <c r="E9" s="37" t="s">
        <v>13</v>
      </c>
      <c r="F9" s="37" t="s">
        <v>3280</v>
      </c>
      <c r="G9" s="37" t="s">
        <v>13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36">
        <v>8.0</v>
      </c>
      <c r="B10" s="37" t="s">
        <v>3281</v>
      </c>
      <c r="C10" s="37">
        <v>2.0</v>
      </c>
      <c r="D10" s="37" t="s">
        <v>13</v>
      </c>
      <c r="E10" s="37" t="s">
        <v>13</v>
      </c>
      <c r="F10" s="37" t="s">
        <v>1126</v>
      </c>
      <c r="G10" s="37" t="s">
        <v>13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36">
        <v>9.0</v>
      </c>
      <c r="B11" s="37" t="s">
        <v>3282</v>
      </c>
      <c r="C11" s="37">
        <v>4.0</v>
      </c>
      <c r="D11" s="37">
        <v>2.4182252E8</v>
      </c>
      <c r="E11" s="37" t="s">
        <v>13</v>
      </c>
      <c r="F11" s="37" t="s">
        <v>1126</v>
      </c>
      <c r="G11" s="37" t="s">
        <v>13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36">
        <v>10.0</v>
      </c>
      <c r="B12" s="37" t="s">
        <v>3283</v>
      </c>
      <c r="C12" s="37">
        <v>12.0</v>
      </c>
      <c r="D12" s="37" t="s">
        <v>13</v>
      </c>
      <c r="E12" s="37" t="s">
        <v>13</v>
      </c>
      <c r="F12" s="37" t="s">
        <v>986</v>
      </c>
      <c r="G12" s="37" t="s">
        <v>13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36">
        <v>11.0</v>
      </c>
      <c r="B13" s="37" t="s">
        <v>3284</v>
      </c>
      <c r="C13" s="37">
        <v>45.0</v>
      </c>
      <c r="D13" s="37" t="s">
        <v>13</v>
      </c>
      <c r="E13" s="37" t="s">
        <v>13</v>
      </c>
      <c r="F13" s="37" t="s">
        <v>1088</v>
      </c>
      <c r="G13" s="37" t="s">
        <v>13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36">
        <v>12.0</v>
      </c>
      <c r="B14" s="37" t="s">
        <v>3285</v>
      </c>
      <c r="C14" s="37">
        <v>83.0</v>
      </c>
      <c r="D14" s="37" t="s">
        <v>13</v>
      </c>
      <c r="E14" s="37" t="s">
        <v>13</v>
      </c>
      <c r="F14" s="37" t="s">
        <v>1078</v>
      </c>
      <c r="G14" s="37" t="s">
        <v>13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36">
        <v>13.0</v>
      </c>
      <c r="B15" s="37" t="s">
        <v>3286</v>
      </c>
      <c r="C15" s="37">
        <v>21.0</v>
      </c>
      <c r="D15" s="37" t="s">
        <v>13</v>
      </c>
      <c r="E15" s="37" t="s">
        <v>13</v>
      </c>
      <c r="F15" s="37" t="s">
        <v>1126</v>
      </c>
      <c r="G15" s="37" t="s">
        <v>13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36">
        <v>14.0</v>
      </c>
      <c r="B16" s="37" t="s">
        <v>3287</v>
      </c>
      <c r="C16" s="37" t="s">
        <v>13</v>
      </c>
      <c r="D16" s="37">
        <v>1.6310971E8</v>
      </c>
      <c r="E16" s="37" t="s">
        <v>13</v>
      </c>
      <c r="F16" s="37" t="s">
        <v>3288</v>
      </c>
      <c r="G16" s="37" t="s">
        <v>13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36">
        <v>15.0</v>
      </c>
      <c r="B17" s="37" t="s">
        <v>3289</v>
      </c>
      <c r="C17" s="37">
        <v>11.0</v>
      </c>
      <c r="D17" s="37" t="s">
        <v>13</v>
      </c>
      <c r="E17" s="37" t="s">
        <v>13</v>
      </c>
      <c r="F17" s="37" t="s">
        <v>3290</v>
      </c>
      <c r="G17" s="37" t="s">
        <v>13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36">
        <v>16.0</v>
      </c>
      <c r="B18" s="37" t="s">
        <v>3291</v>
      </c>
      <c r="C18" s="37">
        <v>21.0</v>
      </c>
      <c r="D18" s="37" t="s">
        <v>13</v>
      </c>
      <c r="E18" s="37" t="s">
        <v>13</v>
      </c>
      <c r="F18" s="37" t="s">
        <v>346</v>
      </c>
      <c r="G18" s="37" t="s">
        <v>13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36">
        <v>17.0</v>
      </c>
      <c r="B19" s="37" t="s">
        <v>3291</v>
      </c>
      <c r="C19" s="37" t="s">
        <v>13</v>
      </c>
      <c r="D19" s="37">
        <v>3.0324338E8</v>
      </c>
      <c r="E19" s="37" t="s">
        <v>13</v>
      </c>
      <c r="F19" s="37" t="s">
        <v>13</v>
      </c>
      <c r="G19" s="37" t="s">
        <v>13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36">
        <v>18.0</v>
      </c>
      <c r="B20" s="37" t="s">
        <v>3292</v>
      </c>
      <c r="C20" s="37" t="s">
        <v>13</v>
      </c>
      <c r="D20" s="37">
        <v>3.0456505E8</v>
      </c>
      <c r="E20" s="37" t="s">
        <v>13</v>
      </c>
      <c r="F20" s="37" t="s">
        <v>1088</v>
      </c>
      <c r="G20" s="37" t="s">
        <v>13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36">
        <v>19.0</v>
      </c>
      <c r="B21" s="37" t="s">
        <v>3293</v>
      </c>
      <c r="C21" s="37">
        <v>67.0</v>
      </c>
      <c r="D21" s="37" t="s">
        <v>13</v>
      </c>
      <c r="E21" s="37" t="s">
        <v>13</v>
      </c>
      <c r="F21" s="37" t="s">
        <v>1088</v>
      </c>
      <c r="G21" s="37" t="s">
        <v>13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36">
        <v>20.0</v>
      </c>
      <c r="B22" s="37" t="s">
        <v>3294</v>
      </c>
      <c r="C22" s="37" t="s">
        <v>13</v>
      </c>
      <c r="D22" s="37">
        <v>2.0560037E8</v>
      </c>
      <c r="E22" s="37" t="s">
        <v>13</v>
      </c>
      <c r="F22" s="37" t="s">
        <v>3295</v>
      </c>
      <c r="G22" s="37" t="s">
        <v>13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36">
        <v>21.0</v>
      </c>
      <c r="B23" s="37" t="s">
        <v>3296</v>
      </c>
      <c r="C23" s="37">
        <v>16.0</v>
      </c>
      <c r="D23" s="37" t="s">
        <v>13</v>
      </c>
      <c r="E23" s="37" t="s">
        <v>13</v>
      </c>
      <c r="F23" s="37" t="s">
        <v>346</v>
      </c>
      <c r="G23" s="37" t="s">
        <v>13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36">
        <v>22.0</v>
      </c>
      <c r="B24" s="37" t="s">
        <v>3297</v>
      </c>
      <c r="C24" s="37">
        <v>41.0</v>
      </c>
      <c r="D24" s="37" t="s">
        <v>13</v>
      </c>
      <c r="E24" s="37" t="s">
        <v>13</v>
      </c>
      <c r="F24" s="37" t="s">
        <v>13</v>
      </c>
      <c r="G24" s="37" t="s">
        <v>13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36">
        <v>23.0</v>
      </c>
      <c r="B25" s="37" t="s">
        <v>3298</v>
      </c>
      <c r="C25" s="37" t="s">
        <v>13</v>
      </c>
      <c r="D25" s="37">
        <v>6.331767E7</v>
      </c>
      <c r="E25" s="37" t="s">
        <v>13</v>
      </c>
      <c r="F25" s="37" t="s">
        <v>343</v>
      </c>
      <c r="G25" s="37" t="s">
        <v>13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36">
        <v>24.0</v>
      </c>
      <c r="B26" s="37" t="s">
        <v>3299</v>
      </c>
      <c r="C26" s="37">
        <v>15.0</v>
      </c>
      <c r="D26" s="37" t="s">
        <v>13</v>
      </c>
      <c r="E26" s="37" t="s">
        <v>13</v>
      </c>
      <c r="F26" s="37" t="s">
        <v>346</v>
      </c>
      <c r="G26" s="37" t="s">
        <v>13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36">
        <v>25.0</v>
      </c>
      <c r="B27" s="37" t="s">
        <v>3300</v>
      </c>
      <c r="C27" s="37">
        <v>7.0</v>
      </c>
      <c r="D27" s="37" t="s">
        <v>13</v>
      </c>
      <c r="E27" s="37" t="s">
        <v>13</v>
      </c>
      <c r="F27" s="37" t="s">
        <v>3290</v>
      </c>
      <c r="G27" s="37" t="s">
        <v>13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36">
        <v>26.0</v>
      </c>
      <c r="B28" s="37" t="s">
        <v>3300</v>
      </c>
      <c r="C28" s="37">
        <v>7.0</v>
      </c>
      <c r="D28" s="37">
        <v>1.715406E8</v>
      </c>
      <c r="E28" s="37" t="s">
        <v>13</v>
      </c>
      <c r="F28" s="37" t="s">
        <v>346</v>
      </c>
      <c r="G28" s="37" t="s">
        <v>13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36">
        <v>27.0</v>
      </c>
      <c r="B29" s="37" t="s">
        <v>3301</v>
      </c>
      <c r="C29" s="37" t="s">
        <v>13</v>
      </c>
      <c r="D29" s="37">
        <v>1.7434972E8</v>
      </c>
      <c r="E29" s="37" t="s">
        <v>13</v>
      </c>
      <c r="F29" s="37" t="s">
        <v>3302</v>
      </c>
      <c r="G29" s="37" t="s">
        <v>13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36">
        <v>28.0</v>
      </c>
      <c r="B30" s="37" t="s">
        <v>3303</v>
      </c>
      <c r="C30" s="37" t="s">
        <v>13</v>
      </c>
      <c r="D30" s="37">
        <v>1.1692456E8</v>
      </c>
      <c r="E30" s="37" t="s">
        <v>13</v>
      </c>
      <c r="F30" s="37" t="s">
        <v>346</v>
      </c>
      <c r="G30" s="37" t="s">
        <v>13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36">
        <v>29.0</v>
      </c>
      <c r="B31" s="37" t="s">
        <v>3304</v>
      </c>
      <c r="C31" s="37">
        <v>21.0</v>
      </c>
      <c r="D31" s="37">
        <v>3.0824977E8</v>
      </c>
      <c r="E31" s="37" t="s">
        <v>13</v>
      </c>
      <c r="F31" s="37" t="s">
        <v>1126</v>
      </c>
      <c r="G31" s="37" t="s">
        <v>13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36">
        <v>30.0</v>
      </c>
      <c r="B32" s="37" t="s">
        <v>3305</v>
      </c>
      <c r="C32" s="37" t="s">
        <v>13</v>
      </c>
      <c r="D32" s="37">
        <v>1.4536125E8</v>
      </c>
      <c r="E32" s="37" t="s">
        <v>13</v>
      </c>
      <c r="F32" s="37" t="s">
        <v>3306</v>
      </c>
      <c r="G32" s="37" t="s">
        <v>13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36">
        <v>31.0</v>
      </c>
      <c r="B33" s="37" t="s">
        <v>3307</v>
      </c>
      <c r="C33" s="37" t="s">
        <v>13</v>
      </c>
      <c r="D33" s="37" t="s">
        <v>13</v>
      </c>
      <c r="E33" s="37" t="s">
        <v>13</v>
      </c>
      <c r="F33" s="37" t="s">
        <v>1126</v>
      </c>
      <c r="G33" s="37" t="s">
        <v>13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36">
        <v>32.0</v>
      </c>
      <c r="B34" s="37" t="s">
        <v>3308</v>
      </c>
      <c r="C34" s="37" t="s">
        <v>3309</v>
      </c>
      <c r="D34" s="37" t="s">
        <v>13</v>
      </c>
      <c r="E34" s="37" t="s">
        <v>13</v>
      </c>
      <c r="F34" s="37" t="s">
        <v>346</v>
      </c>
      <c r="G34" s="37" t="s">
        <v>13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36">
        <v>33.0</v>
      </c>
      <c r="B35" s="37" t="s">
        <v>3310</v>
      </c>
      <c r="C35" s="37">
        <v>47.0</v>
      </c>
      <c r="D35" s="37">
        <v>1.3526796E8</v>
      </c>
      <c r="E35" s="37" t="s">
        <v>13</v>
      </c>
      <c r="F35" s="37" t="s">
        <v>3272</v>
      </c>
      <c r="G35" s="37" t="s">
        <v>13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36">
        <v>34.0</v>
      </c>
      <c r="B36" s="37" t="s">
        <v>3311</v>
      </c>
      <c r="C36" s="37" t="s">
        <v>13</v>
      </c>
      <c r="D36" s="37" t="s">
        <v>13</v>
      </c>
      <c r="E36" s="37" t="s">
        <v>13</v>
      </c>
      <c r="F36" s="37" t="s">
        <v>346</v>
      </c>
      <c r="G36" s="37" t="s">
        <v>13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36">
        <v>35.0</v>
      </c>
      <c r="B37" s="37" t="s">
        <v>3312</v>
      </c>
      <c r="C37" s="37" t="s">
        <v>13</v>
      </c>
      <c r="D37" s="37" t="s">
        <v>13</v>
      </c>
      <c r="E37" s="37" t="s">
        <v>13</v>
      </c>
      <c r="F37" s="37" t="s">
        <v>1088</v>
      </c>
      <c r="G37" s="37" t="s">
        <v>13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36">
        <v>36.0</v>
      </c>
      <c r="B38" s="37" t="s">
        <v>3313</v>
      </c>
      <c r="C38" s="37" t="s">
        <v>3309</v>
      </c>
      <c r="D38" s="37" t="s">
        <v>13</v>
      </c>
      <c r="E38" s="37" t="s">
        <v>13</v>
      </c>
      <c r="F38" s="37" t="s">
        <v>1126</v>
      </c>
      <c r="G38" s="37" t="s">
        <v>13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36">
        <v>37.0</v>
      </c>
      <c r="B39" s="37" t="s">
        <v>3314</v>
      </c>
      <c r="C39" s="37" t="s">
        <v>13</v>
      </c>
      <c r="D39" s="37">
        <v>3.2304284E8</v>
      </c>
      <c r="E39" s="37" t="s">
        <v>13</v>
      </c>
      <c r="F39" s="37" t="s">
        <v>3306</v>
      </c>
      <c r="G39" s="37" t="s">
        <v>13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36">
        <v>38.0</v>
      </c>
      <c r="B40" s="37" t="s">
        <v>1138</v>
      </c>
      <c r="C40" s="37">
        <v>48.0</v>
      </c>
      <c r="D40" s="37" t="s">
        <v>13</v>
      </c>
      <c r="E40" s="37" t="s">
        <v>13</v>
      </c>
      <c r="F40" s="37" t="s">
        <v>1088</v>
      </c>
      <c r="G40" s="37" t="s">
        <v>13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36">
        <v>39.0</v>
      </c>
      <c r="B41" s="37" t="s">
        <v>3315</v>
      </c>
      <c r="C41" s="37">
        <v>45.0</v>
      </c>
      <c r="D41" s="37" t="s">
        <v>13</v>
      </c>
      <c r="E41" s="37" t="s">
        <v>13</v>
      </c>
      <c r="F41" s="37" t="s">
        <v>346</v>
      </c>
      <c r="G41" s="37" t="s">
        <v>13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36">
        <v>40.0</v>
      </c>
      <c r="B42" s="37" t="s">
        <v>3316</v>
      </c>
      <c r="C42" s="37" t="s">
        <v>13</v>
      </c>
      <c r="D42" s="37">
        <v>3.1428812E8</v>
      </c>
      <c r="E42" s="37" t="s">
        <v>13</v>
      </c>
      <c r="F42" s="37" t="s">
        <v>346</v>
      </c>
      <c r="G42" s="37" t="s">
        <v>13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36">
        <v>41.0</v>
      </c>
      <c r="B43" s="37" t="s">
        <v>3317</v>
      </c>
      <c r="C43" s="37" t="s">
        <v>13</v>
      </c>
      <c r="D43" s="37">
        <v>2.361788E8</v>
      </c>
      <c r="E43" s="37" t="s">
        <v>13</v>
      </c>
      <c r="F43" s="37" t="s">
        <v>3318</v>
      </c>
      <c r="G43" s="37" t="s">
        <v>13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36">
        <v>42.0</v>
      </c>
      <c r="B44" s="37" t="s">
        <v>3319</v>
      </c>
      <c r="C44" s="37" t="s">
        <v>13</v>
      </c>
      <c r="D44" s="37" t="s">
        <v>13</v>
      </c>
      <c r="E44" s="37" t="s">
        <v>13</v>
      </c>
      <c r="F44" s="37" t="s">
        <v>346</v>
      </c>
      <c r="G44" s="37" t="s">
        <v>13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36">
        <v>43.0</v>
      </c>
      <c r="B45" s="37" t="s">
        <v>3320</v>
      </c>
      <c r="C45" s="37">
        <v>39.0</v>
      </c>
      <c r="D45" s="37" t="s">
        <v>13</v>
      </c>
      <c r="E45" s="37" t="s">
        <v>13</v>
      </c>
      <c r="F45" s="37" t="s">
        <v>1373</v>
      </c>
      <c r="G45" s="37" t="s">
        <v>13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36">
        <v>44.0</v>
      </c>
      <c r="B46" s="37" t="s">
        <v>3321</v>
      </c>
      <c r="C46" s="37" t="s">
        <v>13</v>
      </c>
      <c r="D46" s="37">
        <v>1.382606E8</v>
      </c>
      <c r="E46" s="37" t="s">
        <v>13</v>
      </c>
      <c r="F46" s="37" t="s">
        <v>3322</v>
      </c>
      <c r="G46" s="37" t="s">
        <v>13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36">
        <v>45.0</v>
      </c>
      <c r="B47" s="37" t="s">
        <v>3323</v>
      </c>
      <c r="C47" s="37">
        <v>61.0</v>
      </c>
      <c r="D47" s="37" t="s">
        <v>13</v>
      </c>
      <c r="E47" s="37" t="s">
        <v>13</v>
      </c>
      <c r="F47" s="37" t="s">
        <v>3306</v>
      </c>
      <c r="G47" s="37" t="s">
        <v>13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36">
        <v>46.0</v>
      </c>
      <c r="B48" s="37" t="s">
        <v>1155</v>
      </c>
      <c r="C48" s="37">
        <v>50.0</v>
      </c>
      <c r="D48" s="37">
        <v>1.3644495E8</v>
      </c>
      <c r="E48" s="37" t="s">
        <v>13</v>
      </c>
      <c r="F48" s="37" t="s">
        <v>346</v>
      </c>
      <c r="G48" s="37" t="s">
        <v>13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36">
        <v>47.0</v>
      </c>
      <c r="B49" s="37" t="s">
        <v>1494</v>
      </c>
      <c r="C49" s="37">
        <v>20.0</v>
      </c>
      <c r="D49" s="37">
        <v>2.8574216E8</v>
      </c>
      <c r="E49" s="37" t="s">
        <v>13</v>
      </c>
      <c r="F49" s="37" t="s">
        <v>3306</v>
      </c>
      <c r="G49" s="37" t="s">
        <v>13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36">
        <v>48.0</v>
      </c>
      <c r="B50" s="37" t="s">
        <v>3324</v>
      </c>
      <c r="C50" s="37" t="s">
        <v>13</v>
      </c>
      <c r="D50" s="37">
        <v>1.6975095E8</v>
      </c>
      <c r="E50" s="37" t="s">
        <v>13</v>
      </c>
      <c r="F50" s="37" t="s">
        <v>1503</v>
      </c>
      <c r="G50" s="37" t="s">
        <v>13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36">
        <v>49.0</v>
      </c>
      <c r="B51" s="37" t="s">
        <v>3325</v>
      </c>
      <c r="C51" s="37">
        <v>36.0</v>
      </c>
      <c r="D51" s="37">
        <v>1.875657E8</v>
      </c>
      <c r="E51" s="37" t="s">
        <v>13</v>
      </c>
      <c r="F51" s="37" t="s">
        <v>1126</v>
      </c>
      <c r="G51" s="37" t="s">
        <v>13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36">
        <v>50.0</v>
      </c>
      <c r="B52" s="37" t="s">
        <v>3326</v>
      </c>
      <c r="C52" s="37" t="s">
        <v>13</v>
      </c>
      <c r="D52" s="37" t="s">
        <v>13</v>
      </c>
      <c r="E52" s="37" t="s">
        <v>13</v>
      </c>
      <c r="F52" s="37" t="s">
        <v>13</v>
      </c>
      <c r="G52" s="37" t="s">
        <v>13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36">
        <v>51.0</v>
      </c>
      <c r="B53" s="37" t="s">
        <v>3327</v>
      </c>
      <c r="C53" s="37" t="s">
        <v>13</v>
      </c>
      <c r="D53" s="37">
        <v>3.3594982E8</v>
      </c>
      <c r="E53" s="37" t="s">
        <v>13</v>
      </c>
      <c r="F53" s="37" t="s">
        <v>3306</v>
      </c>
      <c r="G53" s="37" t="s">
        <v>13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36">
        <v>52.0</v>
      </c>
      <c r="B54" s="37" t="s">
        <v>3328</v>
      </c>
      <c r="C54" s="37" t="s">
        <v>13</v>
      </c>
      <c r="D54" s="37" t="s">
        <v>13</v>
      </c>
      <c r="E54" s="37" t="s">
        <v>13</v>
      </c>
      <c r="F54" s="37" t="s">
        <v>346</v>
      </c>
      <c r="G54" s="37" t="s">
        <v>13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36">
        <v>53.0</v>
      </c>
      <c r="B55" s="37" t="s">
        <v>3329</v>
      </c>
      <c r="C55" s="37" t="s">
        <v>13</v>
      </c>
      <c r="D55" s="37">
        <v>2.9815405E8</v>
      </c>
      <c r="E55" s="37" t="s">
        <v>13</v>
      </c>
      <c r="F55" s="37" t="s">
        <v>3306</v>
      </c>
      <c r="G55" s="37" t="s">
        <v>13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36">
        <v>54.0</v>
      </c>
      <c r="B56" s="37" t="s">
        <v>3330</v>
      </c>
      <c r="C56" s="37" t="s">
        <v>13</v>
      </c>
      <c r="D56" s="37">
        <v>3.210694E8</v>
      </c>
      <c r="E56" s="37" t="s">
        <v>13</v>
      </c>
      <c r="F56" s="37" t="s">
        <v>343</v>
      </c>
      <c r="G56" s="37" t="s">
        <v>13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36">
        <v>55.0</v>
      </c>
      <c r="B57" s="37" t="s">
        <v>1204</v>
      </c>
      <c r="C57" s="37" t="s">
        <v>13</v>
      </c>
      <c r="D57" s="37" t="s">
        <v>13</v>
      </c>
      <c r="E57" s="37" t="s">
        <v>13</v>
      </c>
      <c r="F57" s="37" t="s">
        <v>346</v>
      </c>
      <c r="G57" s="37" t="s">
        <v>13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36">
        <v>56.0</v>
      </c>
      <c r="B58" s="37" t="s">
        <v>3331</v>
      </c>
      <c r="C58" s="37" t="s">
        <v>13</v>
      </c>
      <c r="D58" s="37" t="s">
        <v>13</v>
      </c>
      <c r="E58" s="37" t="s">
        <v>13</v>
      </c>
      <c r="F58" s="37" t="s">
        <v>13</v>
      </c>
      <c r="G58" s="37" t="s">
        <v>13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36">
        <v>57.0</v>
      </c>
      <c r="B59" s="37" t="s">
        <v>3332</v>
      </c>
      <c r="C59" s="37" t="s">
        <v>13</v>
      </c>
      <c r="D59" s="37">
        <v>1.3827506E8</v>
      </c>
      <c r="E59" s="37" t="s">
        <v>13</v>
      </c>
      <c r="F59" s="37" t="s">
        <v>986</v>
      </c>
      <c r="G59" s="37" t="s">
        <v>13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36">
        <v>58.0</v>
      </c>
      <c r="B60" s="37" t="s">
        <v>3333</v>
      </c>
      <c r="C60" s="37">
        <v>32.0</v>
      </c>
      <c r="D60" s="37" t="s">
        <v>13</v>
      </c>
      <c r="E60" s="37" t="s">
        <v>13</v>
      </c>
      <c r="F60" s="37" t="s">
        <v>1078</v>
      </c>
      <c r="G60" s="37" t="s">
        <v>13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36">
        <v>59.0</v>
      </c>
      <c r="B61" s="37" t="s">
        <v>3334</v>
      </c>
      <c r="C61" s="37">
        <v>45.0</v>
      </c>
      <c r="D61" s="37">
        <v>1.650949E8</v>
      </c>
      <c r="E61" s="37" t="s">
        <v>13</v>
      </c>
      <c r="F61" s="37" t="s">
        <v>1088</v>
      </c>
      <c r="G61" s="37" t="s">
        <v>13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36">
        <v>60.0</v>
      </c>
      <c r="B62" s="37" t="s">
        <v>3335</v>
      </c>
      <c r="C62" s="37">
        <v>47.0</v>
      </c>
      <c r="D62" s="37" t="s">
        <v>13</v>
      </c>
      <c r="E62" s="37" t="s">
        <v>13</v>
      </c>
      <c r="F62" s="37" t="s">
        <v>1088</v>
      </c>
      <c r="G62" s="37" t="s">
        <v>13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36">
        <v>61.0</v>
      </c>
      <c r="B63" s="37" t="s">
        <v>3336</v>
      </c>
      <c r="C63" s="37" t="s">
        <v>13</v>
      </c>
      <c r="D63" s="37">
        <v>1.5859387E8</v>
      </c>
      <c r="E63" s="37" t="s">
        <v>13</v>
      </c>
      <c r="F63" s="37" t="s">
        <v>343</v>
      </c>
      <c r="G63" s="37" t="s">
        <v>13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36">
        <v>62.0</v>
      </c>
      <c r="B64" s="37" t="s">
        <v>3337</v>
      </c>
      <c r="C64" s="37">
        <v>95.0</v>
      </c>
      <c r="D64" s="37" t="s">
        <v>13</v>
      </c>
      <c r="E64" s="37" t="s">
        <v>13</v>
      </c>
      <c r="F64" s="37" t="s">
        <v>346</v>
      </c>
      <c r="G64" s="37" t="s">
        <v>13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36">
        <v>63.0</v>
      </c>
      <c r="B65" s="37" t="s">
        <v>3338</v>
      </c>
      <c r="C65" s="37">
        <v>40.0</v>
      </c>
      <c r="D65" s="37" t="s">
        <v>13</v>
      </c>
      <c r="E65" s="37" t="s">
        <v>13</v>
      </c>
      <c r="F65" s="37" t="s">
        <v>1126</v>
      </c>
      <c r="G65" s="37" t="s">
        <v>13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36">
        <v>64.0</v>
      </c>
      <c r="B66" s="37" t="s">
        <v>3339</v>
      </c>
      <c r="C66" s="37">
        <v>22.0</v>
      </c>
      <c r="D66" s="37" t="s">
        <v>13</v>
      </c>
      <c r="E66" s="37" t="s">
        <v>13</v>
      </c>
      <c r="F66" s="37" t="s">
        <v>346</v>
      </c>
      <c r="G66" s="37" t="s">
        <v>13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36">
        <v>65.0</v>
      </c>
      <c r="B67" s="37" t="s">
        <v>3340</v>
      </c>
      <c r="C67" s="37" t="s">
        <v>13</v>
      </c>
      <c r="D67" s="37" t="s">
        <v>13</v>
      </c>
      <c r="E67" s="37" t="s">
        <v>13</v>
      </c>
      <c r="F67" s="37" t="s">
        <v>13</v>
      </c>
      <c r="G67" s="37" t="s">
        <v>13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36">
        <v>66.0</v>
      </c>
      <c r="B68" s="37" t="s">
        <v>3341</v>
      </c>
      <c r="C68" s="37">
        <v>42.0</v>
      </c>
      <c r="D68" s="37" t="s">
        <v>13</v>
      </c>
      <c r="E68" s="37" t="s">
        <v>13</v>
      </c>
      <c r="F68" s="37" t="s">
        <v>346</v>
      </c>
      <c r="G68" s="37" t="s">
        <v>13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36">
        <v>67.0</v>
      </c>
      <c r="B69" s="37" t="s">
        <v>3342</v>
      </c>
      <c r="C69" s="37">
        <v>10.0</v>
      </c>
      <c r="D69" s="37" t="s">
        <v>13</v>
      </c>
      <c r="E69" s="37" t="s">
        <v>13</v>
      </c>
      <c r="F69" s="37" t="s">
        <v>1078</v>
      </c>
      <c r="G69" s="37" t="s">
        <v>13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36">
        <v>68.0</v>
      </c>
      <c r="B70" s="37" t="s">
        <v>3343</v>
      </c>
      <c r="C70" s="37" t="s">
        <v>13</v>
      </c>
      <c r="D70" s="37" t="s">
        <v>13</v>
      </c>
      <c r="E70" s="37" t="s">
        <v>13</v>
      </c>
      <c r="F70" s="37" t="s">
        <v>346</v>
      </c>
      <c r="G70" s="37" t="s">
        <v>13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36">
        <v>69.0</v>
      </c>
      <c r="B71" s="37" t="s">
        <v>3344</v>
      </c>
      <c r="C71" s="37" t="s">
        <v>13</v>
      </c>
      <c r="D71" s="37">
        <v>1.6309376E8</v>
      </c>
      <c r="E71" s="37" t="s">
        <v>13</v>
      </c>
      <c r="F71" s="37" t="s">
        <v>3345</v>
      </c>
      <c r="G71" s="37" t="s">
        <v>13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36">
        <v>70.0</v>
      </c>
      <c r="B72" s="37" t="s">
        <v>3346</v>
      </c>
      <c r="C72" s="37">
        <v>26.0</v>
      </c>
      <c r="D72" s="37" t="s">
        <v>13</v>
      </c>
      <c r="E72" s="37" t="s">
        <v>13</v>
      </c>
      <c r="F72" s="37" t="s">
        <v>1107</v>
      </c>
      <c r="G72" s="37" t="s">
        <v>13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36">
        <v>71.0</v>
      </c>
      <c r="B73" s="37" t="s">
        <v>3347</v>
      </c>
      <c r="C73" s="37">
        <v>38.0</v>
      </c>
      <c r="D73" s="37" t="s">
        <v>13</v>
      </c>
      <c r="E73" s="37" t="s">
        <v>13</v>
      </c>
      <c r="F73" s="37" t="s">
        <v>3306</v>
      </c>
      <c r="G73" s="37" t="s">
        <v>13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36">
        <v>72.0</v>
      </c>
      <c r="B74" s="37" t="s">
        <v>1217</v>
      </c>
      <c r="C74" s="37" t="s">
        <v>13</v>
      </c>
      <c r="D74" s="37" t="s">
        <v>13</v>
      </c>
      <c r="E74" s="37" t="s">
        <v>13</v>
      </c>
      <c r="F74" s="37" t="s">
        <v>1078</v>
      </c>
      <c r="G74" s="37" t="s">
        <v>13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36">
        <v>73.0</v>
      </c>
      <c r="B75" s="37" t="s">
        <v>3348</v>
      </c>
      <c r="C75" s="37">
        <v>43.0</v>
      </c>
      <c r="D75" s="37" t="s">
        <v>13</v>
      </c>
      <c r="E75" s="37" t="s">
        <v>13</v>
      </c>
      <c r="F75" s="37" t="s">
        <v>346</v>
      </c>
      <c r="G75" s="37" t="s">
        <v>13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36">
        <v>74.0</v>
      </c>
      <c r="B76" s="37" t="s">
        <v>3349</v>
      </c>
      <c r="C76" s="37">
        <v>31.0</v>
      </c>
      <c r="D76" s="37" t="s">
        <v>13</v>
      </c>
      <c r="E76" s="37" t="s">
        <v>13</v>
      </c>
      <c r="F76" s="37" t="s">
        <v>1126</v>
      </c>
      <c r="G76" s="37" t="s">
        <v>13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36">
        <v>75.0</v>
      </c>
      <c r="B77" s="37" t="s">
        <v>3350</v>
      </c>
      <c r="C77" s="37" t="s">
        <v>13</v>
      </c>
      <c r="D77" s="37">
        <v>1.1059667E8</v>
      </c>
      <c r="E77" s="37" t="s">
        <v>13</v>
      </c>
      <c r="F77" s="37" t="s">
        <v>3274</v>
      </c>
      <c r="G77" s="37" t="s">
        <v>13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36">
        <v>76.0</v>
      </c>
      <c r="B78" s="37" t="s">
        <v>3351</v>
      </c>
      <c r="C78" s="37" t="s">
        <v>13</v>
      </c>
      <c r="D78" s="37" t="s">
        <v>13</v>
      </c>
      <c r="E78" s="37" t="s">
        <v>13</v>
      </c>
      <c r="F78" s="37" t="s">
        <v>1370</v>
      </c>
      <c r="G78" s="37" t="s">
        <v>13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36">
        <v>77.0</v>
      </c>
      <c r="B79" s="37" t="s">
        <v>3352</v>
      </c>
      <c r="C79" s="37" t="s">
        <v>13</v>
      </c>
      <c r="D79" s="37">
        <v>1.4314455E8</v>
      </c>
      <c r="E79" s="37" t="s">
        <v>13</v>
      </c>
      <c r="F79" s="37" t="s">
        <v>1142</v>
      </c>
      <c r="G79" s="37" t="s">
        <v>13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36">
        <v>78.0</v>
      </c>
      <c r="B80" s="37" t="s">
        <v>3353</v>
      </c>
      <c r="C80" s="37" t="s">
        <v>13</v>
      </c>
      <c r="D80" s="37">
        <v>2.6363002E8</v>
      </c>
      <c r="E80" s="37" t="s">
        <v>13</v>
      </c>
      <c r="F80" s="37" t="s">
        <v>1370</v>
      </c>
      <c r="G80" s="37" t="s">
        <v>13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36">
        <v>79.0</v>
      </c>
      <c r="B81" s="37" t="s">
        <v>3354</v>
      </c>
      <c r="C81" s="37" t="s">
        <v>13</v>
      </c>
      <c r="D81" s="37" t="s">
        <v>13</v>
      </c>
      <c r="E81" s="37" t="s">
        <v>13</v>
      </c>
      <c r="F81" s="37" t="s">
        <v>3355</v>
      </c>
      <c r="G81" s="37" t="s">
        <v>13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36">
        <v>80.0</v>
      </c>
      <c r="B82" s="37" t="s">
        <v>3356</v>
      </c>
      <c r="C82" s="37" t="s">
        <v>13</v>
      </c>
      <c r="D82" s="37">
        <v>1.1966827E8</v>
      </c>
      <c r="E82" s="37" t="s">
        <v>13</v>
      </c>
      <c r="F82" s="37" t="s">
        <v>343</v>
      </c>
      <c r="G82" s="37" t="s">
        <v>13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36">
        <v>81.0</v>
      </c>
      <c r="B83" s="37" t="s">
        <v>3357</v>
      </c>
      <c r="C83" s="37">
        <v>64.0</v>
      </c>
      <c r="D83" s="37" t="s">
        <v>13</v>
      </c>
      <c r="E83" s="37" t="s">
        <v>13</v>
      </c>
      <c r="F83" s="37" t="s">
        <v>3306</v>
      </c>
      <c r="G83" s="37" t="s">
        <v>13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36">
        <v>82.0</v>
      </c>
      <c r="B84" s="37" t="s">
        <v>3358</v>
      </c>
      <c r="C84" s="37">
        <v>65.0</v>
      </c>
      <c r="D84" s="37">
        <v>6.448422E7</v>
      </c>
      <c r="E84" s="37" t="s">
        <v>13</v>
      </c>
      <c r="F84" s="37" t="s">
        <v>3306</v>
      </c>
      <c r="G84" s="37" t="s">
        <v>13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36">
        <v>83.0</v>
      </c>
      <c r="B85" s="37" t="s">
        <v>3359</v>
      </c>
      <c r="C85" s="37" t="s">
        <v>13</v>
      </c>
      <c r="D85" s="37" t="s">
        <v>13</v>
      </c>
      <c r="E85" s="37" t="s">
        <v>13</v>
      </c>
      <c r="F85" s="37" t="s">
        <v>13</v>
      </c>
      <c r="G85" s="37" t="s">
        <v>13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36">
        <v>84.0</v>
      </c>
      <c r="B86" s="37" t="s">
        <v>3360</v>
      </c>
      <c r="C86" s="37">
        <v>70.0</v>
      </c>
      <c r="D86" s="37" t="s">
        <v>13</v>
      </c>
      <c r="E86" s="37" t="s">
        <v>13</v>
      </c>
      <c r="F86" s="37" t="s">
        <v>346</v>
      </c>
      <c r="G86" s="37" t="s">
        <v>13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36">
        <v>85.0</v>
      </c>
      <c r="B87" s="37" t="s">
        <v>3361</v>
      </c>
      <c r="C87" s="37">
        <v>4.0</v>
      </c>
      <c r="D87" s="37" t="s">
        <v>13</v>
      </c>
      <c r="E87" s="37" t="s">
        <v>13</v>
      </c>
      <c r="F87" s="37" t="s">
        <v>1126</v>
      </c>
      <c r="G87" s="37" t="s">
        <v>13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36">
        <v>86.0</v>
      </c>
      <c r="B88" s="37" t="s">
        <v>3362</v>
      </c>
      <c r="C88" s="37" t="s">
        <v>13</v>
      </c>
      <c r="D88" s="37" t="s">
        <v>13</v>
      </c>
      <c r="E88" s="37" t="s">
        <v>13</v>
      </c>
      <c r="F88" s="37" t="s">
        <v>343</v>
      </c>
      <c r="G88" s="37" t="s">
        <v>13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36">
        <v>87.0</v>
      </c>
      <c r="B89" s="37" t="s">
        <v>3363</v>
      </c>
      <c r="C89" s="37" t="s">
        <v>13</v>
      </c>
      <c r="D89" s="37">
        <v>7.991965E7</v>
      </c>
      <c r="E89" s="37" t="s">
        <v>13</v>
      </c>
      <c r="F89" s="37" t="s">
        <v>3306</v>
      </c>
      <c r="G89" s="37" t="s">
        <v>13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36">
        <v>88.0</v>
      </c>
      <c r="B90" s="37" t="s">
        <v>3364</v>
      </c>
      <c r="C90" s="37">
        <v>41.0</v>
      </c>
      <c r="D90" s="37" t="s">
        <v>13</v>
      </c>
      <c r="E90" s="37" t="s">
        <v>13</v>
      </c>
      <c r="F90" s="37" t="s">
        <v>1088</v>
      </c>
      <c r="G90" s="37" t="s">
        <v>13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36">
        <v>89.0</v>
      </c>
      <c r="B91" s="37" t="s">
        <v>3365</v>
      </c>
      <c r="C91" s="37" t="s">
        <v>13</v>
      </c>
      <c r="D91" s="37">
        <v>6.800389E7</v>
      </c>
      <c r="E91" s="37" t="s">
        <v>13</v>
      </c>
      <c r="F91" s="37" t="s">
        <v>1126</v>
      </c>
      <c r="G91" s="37" t="s">
        <v>13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36">
        <v>90.0</v>
      </c>
      <c r="B92" s="37" t="s">
        <v>3366</v>
      </c>
      <c r="C92" s="37">
        <v>65.0</v>
      </c>
      <c r="D92" s="37" t="s">
        <v>13</v>
      </c>
      <c r="E92" s="37" t="s">
        <v>13</v>
      </c>
      <c r="F92" s="37" t="s">
        <v>1078</v>
      </c>
      <c r="G92" s="37" t="s">
        <v>13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36">
        <v>91.0</v>
      </c>
      <c r="B93" s="37" t="s">
        <v>3367</v>
      </c>
      <c r="C93" s="37" t="s">
        <v>13</v>
      </c>
      <c r="D93" s="37" t="s">
        <v>13</v>
      </c>
      <c r="E93" s="37" t="s">
        <v>13</v>
      </c>
      <c r="F93" s="37" t="s">
        <v>3306</v>
      </c>
      <c r="G93" s="37" t="s">
        <v>13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36">
        <v>92.0</v>
      </c>
      <c r="B94" s="37" t="s">
        <v>3368</v>
      </c>
      <c r="C94" s="37" t="s">
        <v>13</v>
      </c>
      <c r="D94" s="37">
        <v>6.487637E7</v>
      </c>
      <c r="E94" s="37" t="s">
        <v>13</v>
      </c>
      <c r="F94" s="37" t="s">
        <v>3306</v>
      </c>
      <c r="G94" s="37" t="s">
        <v>13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36">
        <v>93.0</v>
      </c>
      <c r="B95" s="37" t="s">
        <v>3369</v>
      </c>
      <c r="C95" s="37" t="s">
        <v>13</v>
      </c>
      <c r="D95" s="37">
        <v>2.1171308E8</v>
      </c>
      <c r="E95" s="37" t="s">
        <v>13</v>
      </c>
      <c r="F95" s="37" t="s">
        <v>3370</v>
      </c>
      <c r="G95" s="37" t="s">
        <v>13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36">
        <v>94.0</v>
      </c>
      <c r="B96" s="37" t="s">
        <v>3371</v>
      </c>
      <c r="C96" s="37" t="s">
        <v>13</v>
      </c>
      <c r="D96" s="37">
        <v>1.8923829E8</v>
      </c>
      <c r="E96" s="37" t="s">
        <v>13</v>
      </c>
      <c r="F96" s="37" t="s">
        <v>1373</v>
      </c>
      <c r="G96" s="37" t="s">
        <v>13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36">
        <v>95.0</v>
      </c>
      <c r="B97" s="37" t="s">
        <v>3372</v>
      </c>
      <c r="C97" s="37">
        <v>5.0</v>
      </c>
      <c r="D97" s="37">
        <v>2.3710852E8</v>
      </c>
      <c r="E97" s="37" t="s">
        <v>13</v>
      </c>
      <c r="F97" s="37" t="s">
        <v>3373</v>
      </c>
      <c r="G97" s="37" t="s">
        <v>13</v>
      </c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36">
        <v>96.0</v>
      </c>
      <c r="B98" s="37" t="s">
        <v>3374</v>
      </c>
      <c r="C98" s="37" t="s">
        <v>13</v>
      </c>
      <c r="D98" s="37">
        <v>1.5929488E8</v>
      </c>
      <c r="E98" s="37" t="s">
        <v>13</v>
      </c>
      <c r="F98" s="37" t="s">
        <v>3355</v>
      </c>
      <c r="G98" s="37" t="s">
        <v>13</v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36">
        <v>97.0</v>
      </c>
      <c r="B99" s="37" t="s">
        <v>3375</v>
      </c>
      <c r="C99" s="37" t="s">
        <v>13</v>
      </c>
      <c r="D99" s="37">
        <v>2.9910634E8</v>
      </c>
      <c r="E99" s="37" t="s">
        <v>13</v>
      </c>
      <c r="F99" s="37" t="s">
        <v>1107</v>
      </c>
      <c r="G99" s="37" t="s">
        <v>13</v>
      </c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36">
        <v>98.0</v>
      </c>
      <c r="B100" s="37" t="s">
        <v>3376</v>
      </c>
      <c r="C100" s="37" t="s">
        <v>13</v>
      </c>
      <c r="D100" s="37" t="s">
        <v>13</v>
      </c>
      <c r="E100" s="37" t="s">
        <v>13</v>
      </c>
      <c r="F100" s="37" t="s">
        <v>346</v>
      </c>
      <c r="G100" s="37" t="s">
        <v>13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36">
        <v>99.0</v>
      </c>
      <c r="B101" s="37" t="s">
        <v>3377</v>
      </c>
      <c r="C101" s="37" t="s">
        <v>13</v>
      </c>
      <c r="D101" s="37">
        <v>2.0007932E8</v>
      </c>
      <c r="E101" s="37" t="s">
        <v>13</v>
      </c>
      <c r="F101" s="37" t="s">
        <v>3306</v>
      </c>
      <c r="G101" s="37" t="s">
        <v>13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36">
        <v>100.0</v>
      </c>
      <c r="B102" s="37" t="s">
        <v>3378</v>
      </c>
      <c r="C102" s="37">
        <v>41.0</v>
      </c>
      <c r="D102" s="37" t="s">
        <v>13</v>
      </c>
      <c r="E102" s="37" t="s">
        <v>13</v>
      </c>
      <c r="F102" s="37" t="s">
        <v>346</v>
      </c>
      <c r="G102" s="37" t="s">
        <v>13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36">
        <v>101.0</v>
      </c>
      <c r="B103" s="37" t="s">
        <v>3379</v>
      </c>
      <c r="C103" s="37" t="s">
        <v>13</v>
      </c>
      <c r="D103" s="37" t="s">
        <v>13</v>
      </c>
      <c r="E103" s="37" t="s">
        <v>13</v>
      </c>
      <c r="F103" s="37" t="s">
        <v>346</v>
      </c>
      <c r="G103" s="37" t="s">
        <v>13</v>
      </c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36">
        <v>102.0</v>
      </c>
      <c r="B104" s="37" t="s">
        <v>3380</v>
      </c>
      <c r="C104" s="37" t="s">
        <v>13</v>
      </c>
      <c r="D104" s="37">
        <v>3.6337677E8</v>
      </c>
      <c r="E104" s="37" t="s">
        <v>13</v>
      </c>
      <c r="F104" s="37" t="s">
        <v>3306</v>
      </c>
      <c r="G104" s="37" t="s">
        <v>13</v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36">
        <v>103.0</v>
      </c>
      <c r="B105" s="37" t="s">
        <v>3381</v>
      </c>
      <c r="C105" s="37">
        <v>7.0</v>
      </c>
      <c r="D105" s="37" t="s">
        <v>13</v>
      </c>
      <c r="E105" s="37" t="s">
        <v>13</v>
      </c>
      <c r="F105" s="37" t="s">
        <v>13</v>
      </c>
      <c r="G105" s="37" t="s">
        <v>13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36">
        <v>104.0</v>
      </c>
      <c r="B106" s="37" t="s">
        <v>3382</v>
      </c>
      <c r="C106" s="37" t="s">
        <v>13</v>
      </c>
      <c r="D106" s="37" t="s">
        <v>13</v>
      </c>
      <c r="E106" s="37" t="s">
        <v>13</v>
      </c>
      <c r="F106" s="37" t="s">
        <v>3383</v>
      </c>
      <c r="G106" s="37" t="s">
        <v>13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36">
        <v>105.0</v>
      </c>
      <c r="B107" s="37" t="s">
        <v>3384</v>
      </c>
      <c r="C107" s="37" t="s">
        <v>13</v>
      </c>
      <c r="D107" s="37">
        <v>1.2717464E8</v>
      </c>
      <c r="E107" s="37" t="s">
        <v>13</v>
      </c>
      <c r="F107" s="37" t="s">
        <v>346</v>
      </c>
      <c r="G107" s="37" t="s">
        <v>13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36">
        <v>106.0</v>
      </c>
      <c r="B108" s="37" t="s">
        <v>3385</v>
      </c>
      <c r="C108" s="37">
        <v>15.0</v>
      </c>
      <c r="D108" s="37">
        <v>3.4064139E8</v>
      </c>
      <c r="E108" s="37" t="s">
        <v>13</v>
      </c>
      <c r="F108" s="37" t="s">
        <v>343</v>
      </c>
      <c r="G108" s="37" t="s">
        <v>13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36">
        <v>107.0</v>
      </c>
      <c r="B109" s="37" t="s">
        <v>3386</v>
      </c>
      <c r="C109" s="37">
        <v>60.0</v>
      </c>
      <c r="D109" s="37" t="s">
        <v>13</v>
      </c>
      <c r="E109" s="37" t="s">
        <v>13</v>
      </c>
      <c r="F109" s="37" t="s">
        <v>346</v>
      </c>
      <c r="G109" s="37" t="s">
        <v>13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36">
        <v>108.0</v>
      </c>
      <c r="B110" s="37" t="s">
        <v>3387</v>
      </c>
      <c r="C110" s="37" t="s">
        <v>13</v>
      </c>
      <c r="D110" s="37" t="s">
        <v>13</v>
      </c>
      <c r="E110" s="37" t="s">
        <v>13</v>
      </c>
      <c r="F110" s="37" t="s">
        <v>1126</v>
      </c>
      <c r="G110" s="37" t="s">
        <v>13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36">
        <v>109.0</v>
      </c>
      <c r="B111" s="37" t="s">
        <v>3388</v>
      </c>
      <c r="C111" s="37" t="s">
        <v>13</v>
      </c>
      <c r="D111" s="37">
        <v>3.3218212E8</v>
      </c>
      <c r="E111" s="37" t="s">
        <v>13</v>
      </c>
      <c r="F111" s="37" t="s">
        <v>3389</v>
      </c>
      <c r="G111" s="37" t="s">
        <v>13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36">
        <v>110.0</v>
      </c>
      <c r="B112" s="37" t="s">
        <v>3390</v>
      </c>
      <c r="C112" s="37">
        <v>10.0</v>
      </c>
      <c r="D112" s="37" t="s">
        <v>13</v>
      </c>
      <c r="E112" s="37" t="s">
        <v>13</v>
      </c>
      <c r="F112" s="37" t="s">
        <v>346</v>
      </c>
      <c r="G112" s="37" t="s">
        <v>13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36">
        <v>111.0</v>
      </c>
      <c r="B113" s="37" t="s">
        <v>3391</v>
      </c>
      <c r="C113" s="37">
        <v>29.0</v>
      </c>
      <c r="D113" s="37">
        <v>2.6316132E8</v>
      </c>
      <c r="E113" s="37" t="s">
        <v>13</v>
      </c>
      <c r="F113" s="37" t="s">
        <v>1160</v>
      </c>
      <c r="G113" s="37" t="s">
        <v>13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36">
        <v>112.0</v>
      </c>
      <c r="B114" s="37" t="s">
        <v>3392</v>
      </c>
      <c r="C114" s="37">
        <v>10.0</v>
      </c>
      <c r="D114" s="37">
        <v>2.4942164E8</v>
      </c>
      <c r="E114" s="37" t="s">
        <v>13</v>
      </c>
      <c r="F114" s="37" t="s">
        <v>1088</v>
      </c>
      <c r="G114" s="37" t="s">
        <v>13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36">
        <v>113.0</v>
      </c>
      <c r="B115" s="37" t="s">
        <v>3393</v>
      </c>
      <c r="C115" s="37">
        <v>3.0</v>
      </c>
      <c r="D115" s="37">
        <v>2.5464509E8</v>
      </c>
      <c r="E115" s="37" t="s">
        <v>13</v>
      </c>
      <c r="F115" s="37" t="s">
        <v>346</v>
      </c>
      <c r="G115" s="37" t="s">
        <v>13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36">
        <v>114.0</v>
      </c>
      <c r="B116" s="37" t="s">
        <v>3394</v>
      </c>
      <c r="C116" s="37">
        <v>11.0</v>
      </c>
      <c r="D116" s="37" t="s">
        <v>13</v>
      </c>
      <c r="E116" s="37" t="s">
        <v>13</v>
      </c>
      <c r="F116" s="37" t="s">
        <v>346</v>
      </c>
      <c r="G116" s="37" t="s">
        <v>13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36">
        <v>115.0</v>
      </c>
      <c r="B117" s="37" t="s">
        <v>3395</v>
      </c>
      <c r="C117" s="37" t="s">
        <v>13</v>
      </c>
      <c r="D117" s="37">
        <v>2.6131879E8</v>
      </c>
      <c r="E117" s="37" t="s">
        <v>13</v>
      </c>
      <c r="F117" s="37" t="s">
        <v>3306</v>
      </c>
      <c r="G117" s="37" t="s">
        <v>13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36">
        <v>116.0</v>
      </c>
      <c r="B118" s="37" t="s">
        <v>3396</v>
      </c>
      <c r="C118" s="37">
        <v>28.0</v>
      </c>
      <c r="D118" s="37">
        <v>2.6648434E8</v>
      </c>
      <c r="E118" s="37" t="s">
        <v>13</v>
      </c>
      <c r="F118" s="37" t="s">
        <v>1126</v>
      </c>
      <c r="G118" s="37" t="s">
        <v>13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36">
        <v>117.0</v>
      </c>
      <c r="B119" s="37" t="s">
        <v>3397</v>
      </c>
      <c r="C119" s="37" t="s">
        <v>13</v>
      </c>
      <c r="D119" s="37" t="s">
        <v>13</v>
      </c>
      <c r="E119" s="37" t="s">
        <v>13</v>
      </c>
      <c r="F119" s="37" t="s">
        <v>13</v>
      </c>
      <c r="G119" s="37" t="s">
        <v>13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36">
        <v>118.0</v>
      </c>
      <c r="B120" s="37" t="s">
        <v>3398</v>
      </c>
      <c r="C120" s="37" t="s">
        <v>13</v>
      </c>
      <c r="D120" s="37" t="s">
        <v>13</v>
      </c>
      <c r="E120" s="37" t="s">
        <v>13</v>
      </c>
      <c r="F120" s="37" t="s">
        <v>1126</v>
      </c>
      <c r="G120" s="37" t="s">
        <v>13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36">
        <v>119.0</v>
      </c>
      <c r="B121" s="37" t="s">
        <v>3399</v>
      </c>
      <c r="C121" s="37">
        <v>50.0</v>
      </c>
      <c r="D121" s="37" t="s">
        <v>13</v>
      </c>
      <c r="E121" s="37" t="s">
        <v>13</v>
      </c>
      <c r="F121" s="37" t="s">
        <v>3400</v>
      </c>
      <c r="G121" s="37" t="s">
        <v>13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36">
        <v>120.0</v>
      </c>
      <c r="B122" s="37" t="s">
        <v>3401</v>
      </c>
      <c r="C122" s="37">
        <v>13.0</v>
      </c>
      <c r="D122" s="37">
        <v>3.2273006E8</v>
      </c>
      <c r="E122" s="37" t="s">
        <v>13</v>
      </c>
      <c r="F122" s="37" t="s">
        <v>346</v>
      </c>
      <c r="G122" s="37" t="s">
        <v>13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36">
        <v>121.0</v>
      </c>
      <c r="B123" s="37" t="s">
        <v>3402</v>
      </c>
      <c r="C123" s="37" t="s">
        <v>13</v>
      </c>
      <c r="D123" s="37">
        <v>1.7960912E8</v>
      </c>
      <c r="E123" s="37" t="s">
        <v>13</v>
      </c>
      <c r="F123" s="37" t="s">
        <v>3306</v>
      </c>
      <c r="G123" s="37" t="s">
        <v>13</v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36">
        <v>122.0</v>
      </c>
      <c r="B124" s="37" t="s">
        <v>3403</v>
      </c>
      <c r="C124" s="37" t="s">
        <v>13</v>
      </c>
      <c r="D124" s="37">
        <v>2.4187992E8</v>
      </c>
      <c r="E124" s="37" t="s">
        <v>13</v>
      </c>
      <c r="F124" s="37" t="s">
        <v>545</v>
      </c>
      <c r="G124" s="37" t="s">
        <v>13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36">
        <v>123.0</v>
      </c>
      <c r="B125" s="37" t="s">
        <v>3404</v>
      </c>
      <c r="C125" s="37">
        <v>2.0</v>
      </c>
      <c r="D125" s="37" t="s">
        <v>13</v>
      </c>
      <c r="E125" s="37" t="s">
        <v>13</v>
      </c>
      <c r="F125" s="37" t="s">
        <v>346</v>
      </c>
      <c r="G125" s="37" t="s">
        <v>13</v>
      </c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36">
        <v>124.0</v>
      </c>
      <c r="B126" s="37" t="s">
        <v>3405</v>
      </c>
      <c r="C126" s="37">
        <v>9.0</v>
      </c>
      <c r="D126" s="37" t="s">
        <v>13</v>
      </c>
      <c r="E126" s="37" t="s">
        <v>13</v>
      </c>
      <c r="F126" s="37" t="s">
        <v>3406</v>
      </c>
      <c r="G126" s="37" t="s">
        <v>13</v>
      </c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36">
        <v>125.0</v>
      </c>
      <c r="B127" s="37" t="s">
        <v>3407</v>
      </c>
      <c r="C127" s="37">
        <v>52.0</v>
      </c>
      <c r="D127" s="37" t="s">
        <v>13</v>
      </c>
      <c r="E127" s="37" t="s">
        <v>13</v>
      </c>
      <c r="F127" s="37" t="s">
        <v>3408</v>
      </c>
      <c r="G127" s="37" t="s">
        <v>13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36">
        <v>126.0</v>
      </c>
      <c r="B128" s="37" t="s">
        <v>3409</v>
      </c>
      <c r="C128" s="37">
        <v>1.0</v>
      </c>
      <c r="D128" s="37" t="s">
        <v>13</v>
      </c>
      <c r="E128" s="37" t="s">
        <v>13</v>
      </c>
      <c r="F128" s="37" t="s">
        <v>3410</v>
      </c>
      <c r="G128" s="37" t="s">
        <v>13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36">
        <v>127.0</v>
      </c>
      <c r="B129" s="37" t="s">
        <v>3411</v>
      </c>
      <c r="C129" s="37" t="s">
        <v>13</v>
      </c>
      <c r="D129" s="37" t="s">
        <v>13</v>
      </c>
      <c r="E129" s="37" t="s">
        <v>13</v>
      </c>
      <c r="F129" s="37" t="s">
        <v>1088</v>
      </c>
      <c r="G129" s="37" t="s">
        <v>13</v>
      </c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36">
        <v>128.0</v>
      </c>
      <c r="B130" s="37" t="s">
        <v>3412</v>
      </c>
      <c r="C130" s="37">
        <v>36.0</v>
      </c>
      <c r="D130" s="37" t="s">
        <v>13</v>
      </c>
      <c r="E130" s="37" t="s">
        <v>13</v>
      </c>
      <c r="F130" s="37" t="s">
        <v>1078</v>
      </c>
      <c r="G130" s="37" t="s">
        <v>13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36">
        <v>129.0</v>
      </c>
      <c r="B131" s="37" t="s">
        <v>3413</v>
      </c>
      <c r="C131" s="37">
        <v>34.0</v>
      </c>
      <c r="D131" s="37" t="s">
        <v>13</v>
      </c>
      <c r="E131" s="37" t="s">
        <v>13</v>
      </c>
      <c r="F131" s="37" t="s">
        <v>986</v>
      </c>
      <c r="G131" s="37" t="s">
        <v>13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autoFilter ref="$A$2:$G$2"/>
  <mergeCells count="1">
    <mergeCell ref="A1:G1"/>
  </mergeCells>
  <printOptions/>
  <pageMargins bottom="1.0" footer="0.0" header="0.0" left="0.75" right="0.75" top="1.0"/>
  <pageSetup paperSize="9"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4.38"/>
    <col customWidth="1" min="2" max="2" width="28.0"/>
    <col customWidth="1" min="3" max="3" width="7.0"/>
    <col customWidth="1" min="4" max="4" width="15.75"/>
    <col customWidth="1" min="5" max="5" width="14.0"/>
    <col customWidth="1" min="6" max="6" width="21.88"/>
    <col customWidth="1" min="7" max="7" width="26.25"/>
    <col customWidth="1" min="8" max="26" width="7.63"/>
  </cols>
  <sheetData>
    <row r="1" ht="27.75" customHeight="1">
      <c r="A1" s="69" t="s">
        <v>5249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9.5" customHeight="1">
      <c r="A2" s="7" t="s">
        <v>3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5.75" customHeight="1">
      <c r="A3" s="30">
        <v>1.0</v>
      </c>
      <c r="B3" s="81" t="s">
        <v>1060</v>
      </c>
      <c r="C3" s="81" t="s">
        <v>13</v>
      </c>
      <c r="D3" s="81" t="s">
        <v>13</v>
      </c>
      <c r="E3" s="81" t="s">
        <v>13</v>
      </c>
      <c r="F3" s="81" t="s">
        <v>13</v>
      </c>
      <c r="G3" s="81" t="s">
        <v>13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30">
        <v>2.0</v>
      </c>
      <c r="B4" s="31" t="s">
        <v>1061</v>
      </c>
      <c r="C4" s="31" t="s">
        <v>13</v>
      </c>
      <c r="D4" s="31">
        <v>7991965.0</v>
      </c>
      <c r="E4" s="31" t="s">
        <v>13</v>
      </c>
      <c r="F4" s="31" t="s">
        <v>545</v>
      </c>
      <c r="G4" s="31" t="s">
        <v>13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30">
        <v>3.0</v>
      </c>
      <c r="B5" s="31" t="s">
        <v>1062</v>
      </c>
      <c r="C5" s="31" t="s">
        <v>13</v>
      </c>
      <c r="D5" s="31" t="s">
        <v>13</v>
      </c>
      <c r="E5" s="31" t="s">
        <v>13</v>
      </c>
      <c r="F5" s="31" t="s">
        <v>13</v>
      </c>
      <c r="G5" s="31" t="s">
        <v>13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30">
        <v>4.0</v>
      </c>
      <c r="B6" s="31" t="s">
        <v>1063</v>
      </c>
      <c r="C6" s="31" t="s">
        <v>13</v>
      </c>
      <c r="D6" s="31" t="s">
        <v>13</v>
      </c>
      <c r="E6" s="31" t="s">
        <v>13</v>
      </c>
      <c r="F6" s="31" t="s">
        <v>13</v>
      </c>
      <c r="G6" s="31" t="s">
        <v>13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30">
        <v>5.0</v>
      </c>
      <c r="B7" s="31" t="s">
        <v>1064</v>
      </c>
      <c r="C7" s="31">
        <v>80.0</v>
      </c>
      <c r="D7" s="31" t="s">
        <v>13</v>
      </c>
      <c r="E7" s="31" t="s">
        <v>13</v>
      </c>
      <c r="F7" s="31" t="s">
        <v>346</v>
      </c>
      <c r="G7" s="31" t="s">
        <v>13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30">
        <v>6.0</v>
      </c>
      <c r="B8" s="31" t="s">
        <v>1065</v>
      </c>
      <c r="C8" s="31" t="s">
        <v>13</v>
      </c>
      <c r="D8" s="31">
        <v>1.8032277E7</v>
      </c>
      <c r="E8" s="31" t="s">
        <v>13</v>
      </c>
      <c r="F8" s="31" t="s">
        <v>13</v>
      </c>
      <c r="G8" s="31" t="s">
        <v>13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30">
        <v>7.0</v>
      </c>
      <c r="B9" s="31" t="s">
        <v>1066</v>
      </c>
      <c r="C9" s="31">
        <v>42.0</v>
      </c>
      <c r="D9" s="31" t="s">
        <v>14</v>
      </c>
      <c r="E9" s="31" t="s">
        <v>13</v>
      </c>
      <c r="F9" s="31" t="s">
        <v>13</v>
      </c>
      <c r="G9" s="31" t="s">
        <v>15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30">
        <v>8.0</v>
      </c>
      <c r="B10" s="31" t="s">
        <v>1067</v>
      </c>
      <c r="C10" s="31" t="s">
        <v>13</v>
      </c>
      <c r="D10" s="31">
        <v>2.5464509E7</v>
      </c>
      <c r="E10" s="31" t="s">
        <v>13</v>
      </c>
      <c r="F10" s="31" t="s">
        <v>13</v>
      </c>
      <c r="G10" s="31" t="s">
        <v>13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30">
        <v>9.0</v>
      </c>
      <c r="B11" s="31" t="s">
        <v>1068</v>
      </c>
      <c r="C11" s="31" t="s">
        <v>13</v>
      </c>
      <c r="D11" s="31" t="s">
        <v>13</v>
      </c>
      <c r="E11" s="31" t="s">
        <v>13</v>
      </c>
      <c r="F11" s="31" t="s">
        <v>346</v>
      </c>
      <c r="G11" s="31" t="s">
        <v>13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30">
        <v>10.0</v>
      </c>
      <c r="B12" s="31" t="s">
        <v>1069</v>
      </c>
      <c r="C12" s="31">
        <v>32.0</v>
      </c>
      <c r="D12" s="31" t="s">
        <v>13</v>
      </c>
      <c r="E12" s="31" t="s">
        <v>13</v>
      </c>
      <c r="F12" s="31" t="s">
        <v>13</v>
      </c>
      <c r="G12" s="31" t="s">
        <v>13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30">
        <v>11.0</v>
      </c>
      <c r="B13" s="31" t="s">
        <v>1070</v>
      </c>
      <c r="C13" s="31" t="s">
        <v>13</v>
      </c>
      <c r="D13" s="31" t="s">
        <v>13</v>
      </c>
      <c r="E13" s="31" t="s">
        <v>13</v>
      </c>
      <c r="F13" s="31" t="s">
        <v>13</v>
      </c>
      <c r="G13" s="31" t="s">
        <v>13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30">
        <v>12.0</v>
      </c>
      <c r="B14" s="31" t="s">
        <v>1071</v>
      </c>
      <c r="C14" s="31" t="s">
        <v>13</v>
      </c>
      <c r="D14" s="31" t="s">
        <v>13</v>
      </c>
      <c r="E14" s="31" t="s">
        <v>13</v>
      </c>
      <c r="F14" s="31" t="s">
        <v>13</v>
      </c>
      <c r="G14" s="31" t="s">
        <v>13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30">
        <v>13.0</v>
      </c>
      <c r="B15" s="31" t="s">
        <v>1072</v>
      </c>
      <c r="C15" s="31" t="s">
        <v>13</v>
      </c>
      <c r="D15" s="31" t="s">
        <v>13</v>
      </c>
      <c r="E15" s="31" t="s">
        <v>13</v>
      </c>
      <c r="F15" s="31" t="s">
        <v>13</v>
      </c>
      <c r="G15" s="31" t="s">
        <v>13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30">
        <v>14.0</v>
      </c>
      <c r="B16" s="31" t="s">
        <v>1073</v>
      </c>
      <c r="C16" s="31">
        <v>7.0</v>
      </c>
      <c r="D16" s="31" t="s">
        <v>13</v>
      </c>
      <c r="E16" s="31" t="s">
        <v>13</v>
      </c>
      <c r="F16" s="31" t="s">
        <v>1074</v>
      </c>
      <c r="G16" s="31" t="s">
        <v>13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30">
        <v>15.0</v>
      </c>
      <c r="B17" s="31" t="s">
        <v>1075</v>
      </c>
      <c r="C17" s="31">
        <v>15.0</v>
      </c>
      <c r="D17" s="31" t="s">
        <v>13</v>
      </c>
      <c r="E17" s="31" t="s">
        <v>13</v>
      </c>
      <c r="F17" s="31" t="s">
        <v>1074</v>
      </c>
      <c r="G17" s="31" t="s">
        <v>13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30">
        <v>16.0</v>
      </c>
      <c r="B18" s="31" t="s">
        <v>1076</v>
      </c>
      <c r="C18" s="31" t="s">
        <v>13</v>
      </c>
      <c r="D18" s="31" t="s">
        <v>13</v>
      </c>
      <c r="E18" s="31" t="s">
        <v>13</v>
      </c>
      <c r="F18" s="31" t="s">
        <v>13</v>
      </c>
      <c r="G18" s="31" t="s">
        <v>13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30">
        <v>17.0</v>
      </c>
      <c r="B19" s="31" t="s">
        <v>1077</v>
      </c>
      <c r="C19" s="31">
        <v>52.0</v>
      </c>
      <c r="D19" s="31" t="s">
        <v>13</v>
      </c>
      <c r="E19" s="31" t="s">
        <v>13</v>
      </c>
      <c r="F19" s="31" t="s">
        <v>1078</v>
      </c>
      <c r="G19" s="31" t="s">
        <v>13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30">
        <v>18.0</v>
      </c>
      <c r="B20" s="31" t="s">
        <v>1079</v>
      </c>
      <c r="C20" s="31" t="s">
        <v>13</v>
      </c>
      <c r="D20" s="31" t="s">
        <v>13</v>
      </c>
      <c r="E20" s="31" t="s">
        <v>13</v>
      </c>
      <c r="F20" s="31" t="s">
        <v>13</v>
      </c>
      <c r="G20" s="31" t="s">
        <v>13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30">
        <v>19.0</v>
      </c>
      <c r="B21" s="31" t="s">
        <v>1080</v>
      </c>
      <c r="C21" s="31" t="s">
        <v>13</v>
      </c>
      <c r="D21" s="31" t="s">
        <v>13</v>
      </c>
      <c r="E21" s="31" t="s">
        <v>13</v>
      </c>
      <c r="F21" s="31" t="s">
        <v>13</v>
      </c>
      <c r="G21" s="31" t="s">
        <v>13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30">
        <v>20.0</v>
      </c>
      <c r="B22" s="31" t="s">
        <v>1081</v>
      </c>
      <c r="C22" s="31" t="s">
        <v>13</v>
      </c>
      <c r="D22" s="31" t="s">
        <v>13</v>
      </c>
      <c r="E22" s="31" t="s">
        <v>13</v>
      </c>
      <c r="F22" s="31" t="s">
        <v>13</v>
      </c>
      <c r="G22" s="31" t="s">
        <v>13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30">
        <v>21.0</v>
      </c>
      <c r="B23" s="31" t="s">
        <v>1082</v>
      </c>
      <c r="C23" s="31" t="s">
        <v>13</v>
      </c>
      <c r="D23" s="31">
        <v>1.7865775E7</v>
      </c>
      <c r="E23" s="31" t="s">
        <v>13</v>
      </c>
      <c r="F23" s="31" t="s">
        <v>1083</v>
      </c>
      <c r="G23" s="31" t="s">
        <v>13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30">
        <v>22.0</v>
      </c>
      <c r="B24" s="31" t="s">
        <v>1084</v>
      </c>
      <c r="C24" s="31" t="s">
        <v>13</v>
      </c>
      <c r="D24" s="31" t="s">
        <v>1085</v>
      </c>
      <c r="E24" s="31" t="s">
        <v>13</v>
      </c>
      <c r="F24" s="31" t="s">
        <v>13</v>
      </c>
      <c r="G24" s="31" t="s">
        <v>15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30">
        <v>23.0</v>
      </c>
      <c r="B25" s="31" t="s">
        <v>1086</v>
      </c>
      <c r="C25" s="31" t="s">
        <v>13</v>
      </c>
      <c r="D25" s="31" t="s">
        <v>13</v>
      </c>
      <c r="E25" s="31" t="s">
        <v>13</v>
      </c>
      <c r="F25" s="31" t="s">
        <v>13</v>
      </c>
      <c r="G25" s="31" t="s">
        <v>13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30">
        <v>24.0</v>
      </c>
      <c r="B26" s="31" t="s">
        <v>1087</v>
      </c>
      <c r="C26" s="31" t="s">
        <v>13</v>
      </c>
      <c r="D26" s="31" t="s">
        <v>13</v>
      </c>
      <c r="E26" s="31" t="s">
        <v>13</v>
      </c>
      <c r="F26" s="31" t="s">
        <v>1088</v>
      </c>
      <c r="G26" s="31" t="s">
        <v>13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30">
        <v>25.0</v>
      </c>
      <c r="B27" s="31" t="s">
        <v>1089</v>
      </c>
      <c r="C27" s="31" t="s">
        <v>13</v>
      </c>
      <c r="D27" s="31" t="s">
        <v>13</v>
      </c>
      <c r="E27" s="31" t="s">
        <v>13</v>
      </c>
      <c r="F27" s="31" t="s">
        <v>13</v>
      </c>
      <c r="G27" s="31" t="s">
        <v>13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30">
        <v>26.0</v>
      </c>
      <c r="B28" s="31" t="s">
        <v>1090</v>
      </c>
      <c r="C28" s="31" t="s">
        <v>13</v>
      </c>
      <c r="D28" s="31" t="s">
        <v>13</v>
      </c>
      <c r="E28" s="31" t="s">
        <v>13</v>
      </c>
      <c r="F28" s="31" t="s">
        <v>13</v>
      </c>
      <c r="G28" s="31" t="s">
        <v>13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30">
        <v>27.0</v>
      </c>
      <c r="B29" s="31" t="s">
        <v>1091</v>
      </c>
      <c r="C29" s="31" t="s">
        <v>13</v>
      </c>
      <c r="D29" s="31">
        <v>1.3582518E7</v>
      </c>
      <c r="E29" s="31" t="s">
        <v>13</v>
      </c>
      <c r="F29" s="31" t="s">
        <v>1083</v>
      </c>
      <c r="G29" s="31" t="s">
        <v>13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30">
        <v>28.0</v>
      </c>
      <c r="B30" s="31" t="s">
        <v>1092</v>
      </c>
      <c r="C30" s="31" t="s">
        <v>13</v>
      </c>
      <c r="D30" s="31" t="s">
        <v>13</v>
      </c>
      <c r="E30" s="31" t="s">
        <v>13</v>
      </c>
      <c r="F30" s="31" t="s">
        <v>13</v>
      </c>
      <c r="G30" s="31" t="s">
        <v>13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30">
        <v>29.0</v>
      </c>
      <c r="B31" s="31" t="s">
        <v>493</v>
      </c>
      <c r="C31" s="31" t="s">
        <v>13</v>
      </c>
      <c r="D31" s="31">
        <v>6331767.0</v>
      </c>
      <c r="E31" s="31" t="s">
        <v>13</v>
      </c>
      <c r="F31" s="31" t="s">
        <v>343</v>
      </c>
      <c r="G31" s="31" t="s">
        <v>13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30">
        <v>30.0</v>
      </c>
      <c r="B32" s="31" t="s">
        <v>1093</v>
      </c>
      <c r="C32" s="31" t="s">
        <v>13</v>
      </c>
      <c r="D32" s="31" t="s">
        <v>13</v>
      </c>
      <c r="E32" s="31" t="s">
        <v>13</v>
      </c>
      <c r="F32" s="31" t="s">
        <v>13</v>
      </c>
      <c r="G32" s="31" t="s">
        <v>13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30">
        <v>31.0</v>
      </c>
      <c r="B33" s="31" t="s">
        <v>1094</v>
      </c>
      <c r="C33" s="31" t="s">
        <v>13</v>
      </c>
      <c r="D33" s="31" t="s">
        <v>13</v>
      </c>
      <c r="E33" s="31" t="s">
        <v>13</v>
      </c>
      <c r="F33" s="31" t="s">
        <v>13</v>
      </c>
      <c r="G33" s="31" t="s">
        <v>13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30">
        <v>32.0</v>
      </c>
      <c r="B34" s="31" t="s">
        <v>1095</v>
      </c>
      <c r="C34" s="31" t="s">
        <v>13</v>
      </c>
      <c r="D34" s="31" t="s">
        <v>13</v>
      </c>
      <c r="E34" s="31" t="s">
        <v>13</v>
      </c>
      <c r="F34" s="31" t="s">
        <v>13</v>
      </c>
      <c r="G34" s="31" t="s">
        <v>13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30">
        <v>33.0</v>
      </c>
      <c r="B35" s="31" t="s">
        <v>1096</v>
      </c>
      <c r="C35" s="31" t="s">
        <v>13</v>
      </c>
      <c r="D35" s="31" t="s">
        <v>13</v>
      </c>
      <c r="E35" s="31" t="s">
        <v>13</v>
      </c>
      <c r="F35" s="31" t="s">
        <v>13</v>
      </c>
      <c r="G35" s="31" t="s">
        <v>13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30">
        <v>34.0</v>
      </c>
      <c r="B36" s="31" t="s">
        <v>1097</v>
      </c>
      <c r="C36" s="31">
        <v>42.0</v>
      </c>
      <c r="D36" s="31">
        <v>1.6310954E7</v>
      </c>
      <c r="E36" s="31" t="s">
        <v>13</v>
      </c>
      <c r="F36" s="31" t="s">
        <v>13</v>
      </c>
      <c r="G36" s="31" t="s">
        <v>13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30">
        <v>35.0</v>
      </c>
      <c r="B37" s="31" t="s">
        <v>1098</v>
      </c>
      <c r="C37" s="31" t="s">
        <v>13</v>
      </c>
      <c r="D37" s="31">
        <v>3.0456508E7</v>
      </c>
      <c r="E37" s="31" t="s">
        <v>13</v>
      </c>
      <c r="F37" s="31" t="s">
        <v>1088</v>
      </c>
      <c r="G37" s="31" t="s">
        <v>13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30">
        <v>36.0</v>
      </c>
      <c r="B38" s="31" t="s">
        <v>1099</v>
      </c>
      <c r="C38" s="31" t="s">
        <v>13</v>
      </c>
      <c r="D38" s="31" t="s">
        <v>13</v>
      </c>
      <c r="E38" s="31" t="s">
        <v>13</v>
      </c>
      <c r="F38" s="31" t="s">
        <v>13</v>
      </c>
      <c r="G38" s="31" t="s">
        <v>13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30">
        <v>37.0</v>
      </c>
      <c r="B39" s="31" t="s">
        <v>1100</v>
      </c>
      <c r="C39" s="31" t="s">
        <v>13</v>
      </c>
      <c r="D39" s="31" t="s">
        <v>13</v>
      </c>
      <c r="E39" s="31" t="s">
        <v>13</v>
      </c>
      <c r="F39" s="31" t="s">
        <v>13</v>
      </c>
      <c r="G39" s="31" t="s">
        <v>13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30">
        <v>38.0</v>
      </c>
      <c r="B40" s="31" t="s">
        <v>1101</v>
      </c>
      <c r="C40" s="31">
        <v>17.0</v>
      </c>
      <c r="D40" s="31" t="s">
        <v>1102</v>
      </c>
      <c r="E40" s="31" t="s">
        <v>13</v>
      </c>
      <c r="F40" s="31" t="s">
        <v>13</v>
      </c>
      <c r="G40" s="31" t="s">
        <v>15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30">
        <v>39.0</v>
      </c>
      <c r="B41" s="31" t="s">
        <v>1103</v>
      </c>
      <c r="C41" s="31" t="s">
        <v>13</v>
      </c>
      <c r="D41" s="31" t="s">
        <v>13</v>
      </c>
      <c r="E41" s="31" t="s">
        <v>13</v>
      </c>
      <c r="F41" s="31" t="s">
        <v>13</v>
      </c>
      <c r="G41" s="31" t="s">
        <v>13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30">
        <v>40.0</v>
      </c>
      <c r="B42" s="31" t="s">
        <v>1104</v>
      </c>
      <c r="C42" s="31">
        <v>67.0</v>
      </c>
      <c r="D42" s="31" t="s">
        <v>13</v>
      </c>
      <c r="E42" s="31" t="s">
        <v>13</v>
      </c>
      <c r="F42" s="31" t="s">
        <v>1088</v>
      </c>
      <c r="G42" s="31" t="s">
        <v>13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30">
        <v>41.0</v>
      </c>
      <c r="B43" s="31" t="s">
        <v>1105</v>
      </c>
      <c r="C43" s="31">
        <v>50.0</v>
      </c>
      <c r="D43" s="31">
        <v>1.3373379E7</v>
      </c>
      <c r="E43" s="31" t="s">
        <v>13</v>
      </c>
      <c r="F43" s="31" t="s">
        <v>1088</v>
      </c>
      <c r="G43" s="31" t="s">
        <v>13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30">
        <v>42.0</v>
      </c>
      <c r="B44" s="31" t="s">
        <v>1106</v>
      </c>
      <c r="C44" s="31">
        <v>26.0</v>
      </c>
      <c r="D44" s="31" t="s">
        <v>13</v>
      </c>
      <c r="E44" s="31" t="s">
        <v>13</v>
      </c>
      <c r="F44" s="31" t="s">
        <v>1107</v>
      </c>
      <c r="G44" s="31" t="s">
        <v>13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30">
        <v>43.0</v>
      </c>
      <c r="B45" s="31" t="s">
        <v>1108</v>
      </c>
      <c r="C45" s="31" t="s">
        <v>13</v>
      </c>
      <c r="D45" s="31" t="s">
        <v>13</v>
      </c>
      <c r="E45" s="31" t="s">
        <v>13</v>
      </c>
      <c r="F45" s="31" t="s">
        <v>13</v>
      </c>
      <c r="G45" s="31" t="s">
        <v>13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30">
        <v>44.0</v>
      </c>
      <c r="B46" s="31" t="s">
        <v>1109</v>
      </c>
      <c r="C46" s="31" t="s">
        <v>13</v>
      </c>
      <c r="D46" s="31">
        <v>1.7484972E7</v>
      </c>
      <c r="E46" s="31" t="s">
        <v>13</v>
      </c>
      <c r="F46" s="31" t="s">
        <v>1110</v>
      </c>
      <c r="G46" s="31" t="s">
        <v>13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30">
        <v>45.0</v>
      </c>
      <c r="B47" s="31" t="s">
        <v>1111</v>
      </c>
      <c r="C47" s="31">
        <v>26.0</v>
      </c>
      <c r="D47" s="31">
        <v>2.8132141E7</v>
      </c>
      <c r="E47" s="31" t="s">
        <v>13</v>
      </c>
      <c r="F47" s="31" t="s">
        <v>346</v>
      </c>
      <c r="G47" s="31" t="s">
        <v>13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30">
        <v>46.0</v>
      </c>
      <c r="B48" s="31" t="s">
        <v>537</v>
      </c>
      <c r="C48" s="31" t="s">
        <v>13</v>
      </c>
      <c r="D48" s="31">
        <v>6.3337677E7</v>
      </c>
      <c r="E48" s="31" t="s">
        <v>13</v>
      </c>
      <c r="F48" s="31" t="s">
        <v>545</v>
      </c>
      <c r="G48" s="31" t="s">
        <v>13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30">
        <v>47.0</v>
      </c>
      <c r="B49" s="31" t="s">
        <v>1112</v>
      </c>
      <c r="C49" s="31" t="s">
        <v>13</v>
      </c>
      <c r="D49" s="31" t="s">
        <v>13</v>
      </c>
      <c r="E49" s="31" t="s">
        <v>13</v>
      </c>
      <c r="F49" s="31" t="s">
        <v>13</v>
      </c>
      <c r="G49" s="31" t="s">
        <v>13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30">
        <v>48.0</v>
      </c>
      <c r="B50" s="31" t="s">
        <v>556</v>
      </c>
      <c r="C50" s="31">
        <v>10.0</v>
      </c>
      <c r="D50" s="31" t="s">
        <v>1113</v>
      </c>
      <c r="E50" s="31" t="s">
        <v>13</v>
      </c>
      <c r="F50" s="31" t="s">
        <v>13</v>
      </c>
      <c r="G50" s="31" t="s">
        <v>15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30">
        <v>49.0</v>
      </c>
      <c r="B51" s="31" t="s">
        <v>1114</v>
      </c>
      <c r="C51" s="31" t="s">
        <v>13</v>
      </c>
      <c r="D51" s="31" t="s">
        <v>13</v>
      </c>
      <c r="E51" s="31" t="s">
        <v>13</v>
      </c>
      <c r="F51" s="31" t="s">
        <v>13</v>
      </c>
      <c r="G51" s="31" t="s">
        <v>13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30">
        <v>50.0</v>
      </c>
      <c r="B52" s="31" t="s">
        <v>1115</v>
      </c>
      <c r="C52" s="31" t="s">
        <v>13</v>
      </c>
      <c r="D52" s="31" t="s">
        <v>14</v>
      </c>
      <c r="E52" s="31" t="s">
        <v>13</v>
      </c>
      <c r="F52" s="31" t="s">
        <v>13</v>
      </c>
      <c r="G52" s="31" t="s">
        <v>15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30">
        <v>51.0</v>
      </c>
      <c r="B53" s="31" t="s">
        <v>1116</v>
      </c>
      <c r="C53" s="31" t="s">
        <v>13</v>
      </c>
      <c r="D53" s="31" t="s">
        <v>14</v>
      </c>
      <c r="E53" s="31" t="s">
        <v>13</v>
      </c>
      <c r="F53" s="31" t="s">
        <v>13</v>
      </c>
      <c r="G53" s="31" t="s">
        <v>1117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30">
        <v>52.0</v>
      </c>
      <c r="B54" s="31" t="s">
        <v>1118</v>
      </c>
      <c r="C54" s="31" t="s">
        <v>13</v>
      </c>
      <c r="D54" s="31">
        <v>2.9910694E7</v>
      </c>
      <c r="E54" s="31" t="s">
        <v>13</v>
      </c>
      <c r="F54" s="31" t="s">
        <v>1107</v>
      </c>
      <c r="G54" s="31" t="s">
        <v>13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30">
        <v>53.0</v>
      </c>
      <c r="B55" s="31" t="s">
        <v>1119</v>
      </c>
      <c r="C55" s="31" t="s">
        <v>13</v>
      </c>
      <c r="D55" s="31">
        <v>1.9122329E7</v>
      </c>
      <c r="E55" s="31" t="s">
        <v>13</v>
      </c>
      <c r="F55" s="31" t="s">
        <v>13</v>
      </c>
      <c r="G55" s="31" t="s">
        <v>13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30">
        <v>54.0</v>
      </c>
      <c r="B56" s="31" t="s">
        <v>1120</v>
      </c>
      <c r="C56" s="31" t="s">
        <v>13</v>
      </c>
      <c r="D56" s="31" t="s">
        <v>1121</v>
      </c>
      <c r="E56" s="31" t="s">
        <v>13</v>
      </c>
      <c r="F56" s="31" t="s">
        <v>13</v>
      </c>
      <c r="G56" s="31" t="s">
        <v>15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30">
        <v>55.0</v>
      </c>
      <c r="B57" s="31" t="s">
        <v>1122</v>
      </c>
      <c r="C57" s="31" t="s">
        <v>13</v>
      </c>
      <c r="D57" s="31" t="s">
        <v>14</v>
      </c>
      <c r="E57" s="31" t="s">
        <v>13</v>
      </c>
      <c r="F57" s="31" t="s">
        <v>13</v>
      </c>
      <c r="G57" s="31" t="s">
        <v>15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30">
        <v>56.0</v>
      </c>
      <c r="B58" s="31" t="s">
        <v>1123</v>
      </c>
      <c r="C58" s="31" t="s">
        <v>13</v>
      </c>
      <c r="D58" s="31" t="s">
        <v>13</v>
      </c>
      <c r="E58" s="31" t="s">
        <v>13</v>
      </c>
      <c r="F58" s="31" t="s">
        <v>13</v>
      </c>
      <c r="G58" s="31" t="s">
        <v>13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30">
        <v>57.0</v>
      </c>
      <c r="B59" s="31" t="s">
        <v>1124</v>
      </c>
      <c r="C59" s="31" t="s">
        <v>13</v>
      </c>
      <c r="D59" s="31" t="s">
        <v>13</v>
      </c>
      <c r="E59" s="31" t="s">
        <v>13</v>
      </c>
      <c r="F59" s="31" t="s">
        <v>13</v>
      </c>
      <c r="G59" s="31" t="s">
        <v>13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30">
        <v>58.0</v>
      </c>
      <c r="B60" s="31" t="s">
        <v>1125</v>
      </c>
      <c r="C60" s="31" t="s">
        <v>13</v>
      </c>
      <c r="D60" s="31">
        <v>6800389.0</v>
      </c>
      <c r="E60" s="31" t="s">
        <v>13</v>
      </c>
      <c r="F60" s="31" t="s">
        <v>1126</v>
      </c>
      <c r="G60" s="31" t="s">
        <v>13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30">
        <v>59.0</v>
      </c>
      <c r="B61" s="31" t="s">
        <v>1127</v>
      </c>
      <c r="C61" s="31">
        <v>65.0</v>
      </c>
      <c r="D61" s="31">
        <v>6.2488422E7</v>
      </c>
      <c r="E61" s="31" t="s">
        <v>13</v>
      </c>
      <c r="F61" s="31" t="s">
        <v>545</v>
      </c>
      <c r="G61" s="31" t="s">
        <v>13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30">
        <v>60.0</v>
      </c>
      <c r="B62" s="31" t="s">
        <v>1128</v>
      </c>
      <c r="C62" s="31" t="s">
        <v>13</v>
      </c>
      <c r="D62" s="31" t="s">
        <v>1129</v>
      </c>
      <c r="E62" s="31" t="s">
        <v>13</v>
      </c>
      <c r="F62" s="31" t="s">
        <v>13</v>
      </c>
      <c r="G62" s="31" t="s">
        <v>15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30">
        <v>61.0</v>
      </c>
      <c r="B63" s="31" t="s">
        <v>1130</v>
      </c>
      <c r="C63" s="31" t="s">
        <v>13</v>
      </c>
      <c r="D63" s="31" t="s">
        <v>13</v>
      </c>
      <c r="E63" s="31" t="s">
        <v>13</v>
      </c>
      <c r="F63" s="31" t="s">
        <v>13</v>
      </c>
      <c r="G63" s="31" t="s">
        <v>13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30">
        <v>62.0</v>
      </c>
      <c r="B64" s="31" t="s">
        <v>1131</v>
      </c>
      <c r="C64" s="31" t="s">
        <v>13</v>
      </c>
      <c r="D64" s="31" t="s">
        <v>13</v>
      </c>
      <c r="E64" s="31" t="s">
        <v>13</v>
      </c>
      <c r="F64" s="31" t="s">
        <v>1126</v>
      </c>
      <c r="G64" s="31" t="s">
        <v>13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30">
        <v>63.0</v>
      </c>
      <c r="B65" s="31" t="s">
        <v>1132</v>
      </c>
      <c r="C65" s="31">
        <v>60.0</v>
      </c>
      <c r="D65" s="31" t="s">
        <v>13</v>
      </c>
      <c r="E65" s="31" t="s">
        <v>13</v>
      </c>
      <c r="F65" s="31" t="s">
        <v>13</v>
      </c>
      <c r="G65" s="31" t="s">
        <v>13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30">
        <v>64.0</v>
      </c>
      <c r="B66" s="31" t="s">
        <v>1133</v>
      </c>
      <c r="C66" s="31" t="s">
        <v>13</v>
      </c>
      <c r="D66" s="31" t="s">
        <v>13</v>
      </c>
      <c r="E66" s="31" t="s">
        <v>13</v>
      </c>
      <c r="F66" s="31" t="s">
        <v>13</v>
      </c>
      <c r="G66" s="31" t="s">
        <v>13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30">
        <v>65.0</v>
      </c>
      <c r="B67" s="31" t="s">
        <v>1134</v>
      </c>
      <c r="C67" s="31" t="s">
        <v>13</v>
      </c>
      <c r="D67" s="31">
        <v>1.6310977E7</v>
      </c>
      <c r="E67" s="31" t="s">
        <v>13</v>
      </c>
      <c r="F67" s="31" t="s">
        <v>13</v>
      </c>
      <c r="G67" s="31" t="s">
        <v>13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30">
        <v>66.0</v>
      </c>
      <c r="B68" s="31" t="s">
        <v>1135</v>
      </c>
      <c r="C68" s="31" t="s">
        <v>13</v>
      </c>
      <c r="D68" s="31" t="s">
        <v>13</v>
      </c>
      <c r="E68" s="31" t="s">
        <v>13</v>
      </c>
      <c r="F68" s="31" t="s">
        <v>13</v>
      </c>
      <c r="G68" s="31" t="s">
        <v>13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30">
        <v>67.0</v>
      </c>
      <c r="B69" s="31" t="s">
        <v>1136</v>
      </c>
      <c r="C69" s="31">
        <v>13.0</v>
      </c>
      <c r="D69" s="31" t="s">
        <v>13</v>
      </c>
      <c r="E69" s="31" t="s">
        <v>13</v>
      </c>
      <c r="F69" s="31" t="s">
        <v>1088</v>
      </c>
      <c r="G69" s="31" t="s">
        <v>13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30">
        <v>68.0</v>
      </c>
      <c r="B70" s="31" t="s">
        <v>1137</v>
      </c>
      <c r="C70" s="31" t="s">
        <v>13</v>
      </c>
      <c r="D70" s="31" t="s">
        <v>13</v>
      </c>
      <c r="E70" s="31" t="s">
        <v>13</v>
      </c>
      <c r="F70" s="31" t="s">
        <v>13</v>
      </c>
      <c r="G70" s="31" t="s">
        <v>13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30">
        <v>69.0</v>
      </c>
      <c r="B71" s="31" t="s">
        <v>1137</v>
      </c>
      <c r="C71" s="31" t="s">
        <v>13</v>
      </c>
      <c r="D71" s="31">
        <v>1.4536129E7</v>
      </c>
      <c r="E71" s="31" t="s">
        <v>13</v>
      </c>
      <c r="F71" s="31" t="s">
        <v>545</v>
      </c>
      <c r="G71" s="31" t="s">
        <v>13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30">
        <v>70.0</v>
      </c>
      <c r="B72" s="31" t="s">
        <v>1138</v>
      </c>
      <c r="C72" s="31">
        <v>48.0</v>
      </c>
      <c r="D72" s="31" t="s">
        <v>14</v>
      </c>
      <c r="E72" s="31" t="s">
        <v>13</v>
      </c>
      <c r="F72" s="31" t="s">
        <v>13</v>
      </c>
      <c r="G72" s="31" t="s">
        <v>15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30">
        <v>71.0</v>
      </c>
      <c r="B73" s="31" t="s">
        <v>395</v>
      </c>
      <c r="C73" s="31" t="s">
        <v>13</v>
      </c>
      <c r="D73" s="31" t="s">
        <v>13</v>
      </c>
      <c r="E73" s="31" t="s">
        <v>13</v>
      </c>
      <c r="F73" s="31" t="s">
        <v>13</v>
      </c>
      <c r="G73" s="31" t="s">
        <v>13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30">
        <v>72.0</v>
      </c>
      <c r="B74" s="31" t="s">
        <v>1139</v>
      </c>
      <c r="C74" s="31" t="s">
        <v>13</v>
      </c>
      <c r="D74" s="31" t="s">
        <v>13</v>
      </c>
      <c r="E74" s="31" t="s">
        <v>13</v>
      </c>
      <c r="F74" s="31" t="s">
        <v>545</v>
      </c>
      <c r="G74" s="31" t="s">
        <v>13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30">
        <v>73.0</v>
      </c>
      <c r="B75" s="31" t="s">
        <v>1140</v>
      </c>
      <c r="C75" s="31" t="s">
        <v>13</v>
      </c>
      <c r="D75" s="31" t="s">
        <v>13</v>
      </c>
      <c r="E75" s="31" t="s">
        <v>13</v>
      </c>
      <c r="F75" s="31" t="s">
        <v>13</v>
      </c>
      <c r="G75" s="31" t="s">
        <v>13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30">
        <v>74.0</v>
      </c>
      <c r="B76" s="31" t="s">
        <v>1141</v>
      </c>
      <c r="C76" s="31" t="s">
        <v>13</v>
      </c>
      <c r="D76" s="31">
        <v>1.4314453E7</v>
      </c>
      <c r="E76" s="31" t="s">
        <v>13</v>
      </c>
      <c r="F76" s="31" t="s">
        <v>1142</v>
      </c>
      <c r="G76" s="31" t="s">
        <v>13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30">
        <v>75.0</v>
      </c>
      <c r="B77" s="31" t="s">
        <v>1143</v>
      </c>
      <c r="C77" s="31">
        <v>20.0</v>
      </c>
      <c r="D77" s="31" t="s">
        <v>13</v>
      </c>
      <c r="E77" s="31" t="s">
        <v>13</v>
      </c>
      <c r="F77" s="31" t="s">
        <v>346</v>
      </c>
      <c r="G77" s="31" t="s">
        <v>13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30">
        <v>76.0</v>
      </c>
      <c r="B78" s="31" t="s">
        <v>1144</v>
      </c>
      <c r="C78" s="31" t="s">
        <v>13</v>
      </c>
      <c r="D78" s="31" t="s">
        <v>13</v>
      </c>
      <c r="E78" s="31" t="s">
        <v>13</v>
      </c>
      <c r="F78" s="31" t="s">
        <v>13</v>
      </c>
      <c r="G78" s="31" t="s">
        <v>13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30">
        <v>77.0</v>
      </c>
      <c r="B79" s="31" t="s">
        <v>1145</v>
      </c>
      <c r="C79" s="31" t="s">
        <v>13</v>
      </c>
      <c r="D79" s="31" t="s">
        <v>13</v>
      </c>
      <c r="E79" s="31" t="s">
        <v>13</v>
      </c>
      <c r="F79" s="31" t="s">
        <v>13</v>
      </c>
      <c r="G79" s="31" t="s">
        <v>13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30">
        <v>78.0</v>
      </c>
      <c r="B80" s="31" t="s">
        <v>1146</v>
      </c>
      <c r="C80" s="31" t="s">
        <v>13</v>
      </c>
      <c r="D80" s="31">
        <v>1.8975095E7</v>
      </c>
      <c r="E80" s="31" t="s">
        <v>13</v>
      </c>
      <c r="F80" s="31" t="s">
        <v>545</v>
      </c>
      <c r="G80" s="31" t="s">
        <v>13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30">
        <v>79.0</v>
      </c>
      <c r="B81" s="31" t="s">
        <v>1147</v>
      </c>
      <c r="C81" s="31" t="s">
        <v>13</v>
      </c>
      <c r="D81" s="31" t="s">
        <v>1148</v>
      </c>
      <c r="E81" s="31" t="s">
        <v>13</v>
      </c>
      <c r="F81" s="31" t="s">
        <v>13</v>
      </c>
      <c r="G81" s="31" t="s">
        <v>15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30">
        <v>80.0</v>
      </c>
      <c r="B82" s="31" t="s">
        <v>1149</v>
      </c>
      <c r="C82" s="31" t="s">
        <v>13</v>
      </c>
      <c r="D82" s="31" t="s">
        <v>13</v>
      </c>
      <c r="E82" s="31" t="s">
        <v>13</v>
      </c>
      <c r="F82" s="31" t="s">
        <v>13</v>
      </c>
      <c r="G82" s="31" t="s">
        <v>13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30">
        <v>81.0</v>
      </c>
      <c r="B83" s="31" t="s">
        <v>1150</v>
      </c>
      <c r="C83" s="31" t="s">
        <v>13</v>
      </c>
      <c r="D83" s="31" t="s">
        <v>13</v>
      </c>
      <c r="E83" s="31" t="s">
        <v>13</v>
      </c>
      <c r="F83" s="31" t="s">
        <v>13</v>
      </c>
      <c r="G83" s="31" t="s">
        <v>13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30">
        <v>82.0</v>
      </c>
      <c r="B84" s="31" t="s">
        <v>1151</v>
      </c>
      <c r="C84" s="31" t="s">
        <v>13</v>
      </c>
      <c r="D84" s="31">
        <v>7.0</v>
      </c>
      <c r="E84" s="31" t="s">
        <v>13</v>
      </c>
      <c r="F84" s="31" t="s">
        <v>343</v>
      </c>
      <c r="G84" s="31" t="s">
        <v>13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30">
        <v>83.0</v>
      </c>
      <c r="B85" s="31" t="s">
        <v>1152</v>
      </c>
      <c r="C85" s="31" t="s">
        <v>13</v>
      </c>
      <c r="D85" s="31" t="s">
        <v>13</v>
      </c>
      <c r="E85" s="31" t="s">
        <v>13</v>
      </c>
      <c r="F85" s="31" t="s">
        <v>13</v>
      </c>
      <c r="G85" s="31" t="s">
        <v>13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30">
        <v>84.0</v>
      </c>
      <c r="B86" s="31" t="s">
        <v>1153</v>
      </c>
      <c r="C86" s="31" t="s">
        <v>13</v>
      </c>
      <c r="D86" s="31" t="s">
        <v>13</v>
      </c>
      <c r="E86" s="31" t="s">
        <v>13</v>
      </c>
      <c r="F86" s="31" t="s">
        <v>13</v>
      </c>
      <c r="G86" s="31" t="s">
        <v>13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30">
        <v>85.0</v>
      </c>
      <c r="B87" s="31" t="s">
        <v>1154</v>
      </c>
      <c r="C87" s="31" t="s">
        <v>13</v>
      </c>
      <c r="D87" s="31" t="s">
        <v>13</v>
      </c>
      <c r="E87" s="31" t="s">
        <v>13</v>
      </c>
      <c r="F87" s="31" t="s">
        <v>13</v>
      </c>
      <c r="G87" s="31" t="s">
        <v>13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30">
        <v>86.0</v>
      </c>
      <c r="B88" s="31" t="s">
        <v>1155</v>
      </c>
      <c r="C88" s="31">
        <v>50.0</v>
      </c>
      <c r="D88" s="31">
        <v>1.3044495E7</v>
      </c>
      <c r="E88" s="31" t="s">
        <v>13</v>
      </c>
      <c r="F88" s="31" t="s">
        <v>346</v>
      </c>
      <c r="G88" s="31" t="s">
        <v>13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30">
        <v>87.0</v>
      </c>
      <c r="B89" s="31" t="s">
        <v>1156</v>
      </c>
      <c r="C89" s="31" t="s">
        <v>13</v>
      </c>
      <c r="D89" s="31" t="s">
        <v>13</v>
      </c>
      <c r="E89" s="31" t="s">
        <v>13</v>
      </c>
      <c r="F89" s="31" t="s">
        <v>13</v>
      </c>
      <c r="G89" s="31" t="s">
        <v>13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30">
        <v>88.0</v>
      </c>
      <c r="B90" s="31" t="s">
        <v>1157</v>
      </c>
      <c r="C90" s="31" t="s">
        <v>13</v>
      </c>
      <c r="D90" s="31" t="s">
        <v>13</v>
      </c>
      <c r="E90" s="31" t="s">
        <v>13</v>
      </c>
      <c r="F90" s="31" t="s">
        <v>13</v>
      </c>
      <c r="G90" s="31" t="s">
        <v>13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30">
        <v>89.0</v>
      </c>
      <c r="B91" s="31" t="s">
        <v>1158</v>
      </c>
      <c r="C91" s="31" t="s">
        <v>13</v>
      </c>
      <c r="D91" s="31" t="s">
        <v>13</v>
      </c>
      <c r="E91" s="31" t="s">
        <v>13</v>
      </c>
      <c r="F91" s="31" t="s">
        <v>13</v>
      </c>
      <c r="G91" s="31" t="s">
        <v>13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30">
        <v>90.0</v>
      </c>
      <c r="B92" s="31" t="s">
        <v>1159</v>
      </c>
      <c r="C92" s="31" t="s">
        <v>13</v>
      </c>
      <c r="D92" s="31">
        <v>2.4713737E7</v>
      </c>
      <c r="E92" s="31" t="s">
        <v>13</v>
      </c>
      <c r="F92" s="31" t="s">
        <v>1160</v>
      </c>
      <c r="G92" s="31" t="s">
        <v>13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30">
        <v>91.0</v>
      </c>
      <c r="B93" s="31" t="s">
        <v>1161</v>
      </c>
      <c r="C93" s="31">
        <v>15.0</v>
      </c>
      <c r="D93" s="31" t="s">
        <v>14</v>
      </c>
      <c r="E93" s="31" t="s">
        <v>13</v>
      </c>
      <c r="F93" s="31" t="s">
        <v>13</v>
      </c>
      <c r="G93" s="31" t="s">
        <v>15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30">
        <v>92.0</v>
      </c>
      <c r="B94" s="31" t="s">
        <v>1162</v>
      </c>
      <c r="C94" s="31" t="s">
        <v>13</v>
      </c>
      <c r="D94" s="31" t="s">
        <v>13</v>
      </c>
      <c r="E94" s="31" t="s">
        <v>13</v>
      </c>
      <c r="F94" s="31" t="s">
        <v>13</v>
      </c>
      <c r="G94" s="31" t="s">
        <v>13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30">
        <v>93.0</v>
      </c>
      <c r="B95" s="31" t="s">
        <v>1163</v>
      </c>
      <c r="C95" s="31" t="s">
        <v>13</v>
      </c>
      <c r="D95" s="31">
        <v>2.1191038E7</v>
      </c>
      <c r="E95" s="31" t="s">
        <v>13</v>
      </c>
      <c r="F95" s="31" t="s">
        <v>986</v>
      </c>
      <c r="G95" s="31" t="s">
        <v>13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30">
        <v>94.0</v>
      </c>
      <c r="B96" s="31" t="s">
        <v>1164</v>
      </c>
      <c r="C96" s="31">
        <v>4.0</v>
      </c>
      <c r="D96" s="31" t="s">
        <v>13</v>
      </c>
      <c r="E96" s="31" t="s">
        <v>13</v>
      </c>
      <c r="F96" s="31" t="s">
        <v>1126</v>
      </c>
      <c r="G96" s="31" t="s">
        <v>13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30">
        <v>95.0</v>
      </c>
      <c r="B97" s="31" t="s">
        <v>1165</v>
      </c>
      <c r="C97" s="31" t="s">
        <v>13</v>
      </c>
      <c r="D97" s="31">
        <v>6801699.0</v>
      </c>
      <c r="E97" s="31" t="s">
        <v>13</v>
      </c>
      <c r="F97" s="31" t="s">
        <v>330</v>
      </c>
      <c r="G97" s="31" t="s">
        <v>13</v>
      </c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30">
        <v>96.0</v>
      </c>
      <c r="B98" s="31" t="s">
        <v>1166</v>
      </c>
      <c r="C98" s="31">
        <v>19.0</v>
      </c>
      <c r="D98" s="31" t="s">
        <v>13</v>
      </c>
      <c r="E98" s="31" t="s">
        <v>13</v>
      </c>
      <c r="F98" s="31" t="s">
        <v>346</v>
      </c>
      <c r="G98" s="31" t="s">
        <v>13</v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30">
        <v>97.0</v>
      </c>
      <c r="B99" s="31" t="s">
        <v>1167</v>
      </c>
      <c r="C99" s="31" t="s">
        <v>13</v>
      </c>
      <c r="D99" s="31" t="s">
        <v>13</v>
      </c>
      <c r="E99" s="31" t="s">
        <v>13</v>
      </c>
      <c r="F99" s="31" t="s">
        <v>13</v>
      </c>
      <c r="G99" s="31" t="s">
        <v>13</v>
      </c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30">
        <v>98.0</v>
      </c>
      <c r="B100" s="31" t="s">
        <v>1168</v>
      </c>
      <c r="C100" s="31">
        <v>24.0</v>
      </c>
      <c r="D100" s="31">
        <v>2.960966E7</v>
      </c>
      <c r="E100" s="31" t="s">
        <v>13</v>
      </c>
      <c r="F100" s="31" t="s">
        <v>346</v>
      </c>
      <c r="G100" s="31" t="s">
        <v>13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30">
        <v>99.0</v>
      </c>
      <c r="B101" s="31" t="s">
        <v>1169</v>
      </c>
      <c r="C101" s="31" t="s">
        <v>13</v>
      </c>
      <c r="D101" s="31">
        <v>3.3218202E7</v>
      </c>
      <c r="E101" s="31" t="s">
        <v>13</v>
      </c>
      <c r="F101" s="31" t="s">
        <v>346</v>
      </c>
      <c r="G101" s="31" t="s">
        <v>13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30">
        <v>100.0</v>
      </c>
      <c r="B102" s="31" t="s">
        <v>1170</v>
      </c>
      <c r="C102" s="31" t="s">
        <v>13</v>
      </c>
      <c r="D102" s="31" t="s">
        <v>13</v>
      </c>
      <c r="E102" s="31" t="s">
        <v>13</v>
      </c>
      <c r="F102" s="31" t="s">
        <v>346</v>
      </c>
      <c r="G102" s="31" t="s">
        <v>13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30">
        <v>101.0</v>
      </c>
      <c r="B103" s="31" t="s">
        <v>1171</v>
      </c>
      <c r="C103" s="31">
        <v>36.0</v>
      </c>
      <c r="D103" s="31">
        <v>1.875657E7</v>
      </c>
      <c r="E103" s="31" t="s">
        <v>13</v>
      </c>
      <c r="F103" s="31" t="s">
        <v>1126</v>
      </c>
      <c r="G103" s="31" t="s">
        <v>13</v>
      </c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30">
        <v>102.0</v>
      </c>
      <c r="B104" s="31" t="s">
        <v>1172</v>
      </c>
      <c r="C104" s="31" t="s">
        <v>13</v>
      </c>
      <c r="D104" s="31" t="s">
        <v>13</v>
      </c>
      <c r="E104" s="31" t="s">
        <v>13</v>
      </c>
      <c r="F104" s="31" t="s">
        <v>13</v>
      </c>
      <c r="G104" s="31" t="s">
        <v>13</v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30">
        <v>103.0</v>
      </c>
      <c r="B105" s="31" t="s">
        <v>1173</v>
      </c>
      <c r="C105" s="31" t="s">
        <v>13</v>
      </c>
      <c r="D105" s="31" t="s">
        <v>14</v>
      </c>
      <c r="E105" s="31" t="s">
        <v>13</v>
      </c>
      <c r="F105" s="31" t="s">
        <v>13</v>
      </c>
      <c r="G105" s="31" t="s">
        <v>15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30">
        <v>104.0</v>
      </c>
      <c r="B106" s="31" t="s">
        <v>1174</v>
      </c>
      <c r="C106" s="31" t="s">
        <v>13</v>
      </c>
      <c r="D106" s="31">
        <v>2.966523E7</v>
      </c>
      <c r="E106" s="31" t="s">
        <v>13</v>
      </c>
      <c r="F106" s="31" t="s">
        <v>343</v>
      </c>
      <c r="G106" s="31" t="s">
        <v>13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30">
        <v>105.0</v>
      </c>
      <c r="B107" s="31" t="s">
        <v>1175</v>
      </c>
      <c r="C107" s="31" t="s">
        <v>13</v>
      </c>
      <c r="D107" s="31" t="s">
        <v>14</v>
      </c>
      <c r="E107" s="31" t="s">
        <v>13</v>
      </c>
      <c r="F107" s="31" t="s">
        <v>13</v>
      </c>
      <c r="G107" s="31" t="s">
        <v>15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30">
        <v>106.0</v>
      </c>
      <c r="B108" s="31" t="s">
        <v>1176</v>
      </c>
      <c r="C108" s="31">
        <v>41.0</v>
      </c>
      <c r="D108" s="31" t="s">
        <v>13</v>
      </c>
      <c r="E108" s="31" t="s">
        <v>13</v>
      </c>
      <c r="F108" s="31" t="s">
        <v>346</v>
      </c>
      <c r="G108" s="31" t="s">
        <v>13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30">
        <v>107.0</v>
      </c>
      <c r="B109" s="31" t="s">
        <v>1177</v>
      </c>
      <c r="C109" s="31" t="s">
        <v>13</v>
      </c>
      <c r="D109" s="31" t="s">
        <v>13</v>
      </c>
      <c r="E109" s="31" t="s">
        <v>13</v>
      </c>
      <c r="F109" s="31" t="s">
        <v>1160</v>
      </c>
      <c r="G109" s="31" t="s">
        <v>13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30">
        <v>108.0</v>
      </c>
      <c r="B110" s="31" t="s">
        <v>1178</v>
      </c>
      <c r="C110" s="31" t="s">
        <v>13</v>
      </c>
      <c r="D110" s="31" t="s">
        <v>14</v>
      </c>
      <c r="E110" s="31" t="s">
        <v>13</v>
      </c>
      <c r="F110" s="31" t="s">
        <v>13</v>
      </c>
      <c r="G110" s="31" t="s">
        <v>15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30">
        <v>109.0</v>
      </c>
      <c r="B111" s="31" t="s">
        <v>1179</v>
      </c>
      <c r="C111" s="31">
        <v>6.0</v>
      </c>
      <c r="D111" s="31" t="s">
        <v>13</v>
      </c>
      <c r="E111" s="31" t="s">
        <v>13</v>
      </c>
      <c r="F111" s="31" t="s">
        <v>346</v>
      </c>
      <c r="G111" s="31" t="s">
        <v>13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30">
        <v>110.0</v>
      </c>
      <c r="B112" s="31" t="s">
        <v>1180</v>
      </c>
      <c r="C112" s="31" t="s">
        <v>13</v>
      </c>
      <c r="D112" s="31" t="s">
        <v>13</v>
      </c>
      <c r="E112" s="31" t="s">
        <v>13</v>
      </c>
      <c r="F112" s="31" t="s">
        <v>13</v>
      </c>
      <c r="G112" s="31" t="s">
        <v>13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30">
        <v>111.0</v>
      </c>
      <c r="B113" s="31" t="s">
        <v>656</v>
      </c>
      <c r="C113" s="31" t="s">
        <v>13</v>
      </c>
      <c r="D113" s="31">
        <v>1.8140377E7</v>
      </c>
      <c r="E113" s="31" t="s">
        <v>13</v>
      </c>
      <c r="F113" s="31" t="s">
        <v>1126</v>
      </c>
      <c r="G113" s="31" t="s">
        <v>13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30">
        <v>112.0</v>
      </c>
      <c r="B114" s="31" t="s">
        <v>1181</v>
      </c>
      <c r="C114" s="31" t="s">
        <v>13</v>
      </c>
      <c r="D114" s="31" t="s">
        <v>13</v>
      </c>
      <c r="E114" s="31" t="s">
        <v>13</v>
      </c>
      <c r="F114" s="31" t="s">
        <v>13</v>
      </c>
      <c r="G114" s="31" t="s">
        <v>13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30">
        <v>113.0</v>
      </c>
      <c r="B115" s="31" t="s">
        <v>1182</v>
      </c>
      <c r="C115" s="31">
        <v>10.0</v>
      </c>
      <c r="D115" s="31" t="s">
        <v>13</v>
      </c>
      <c r="E115" s="31" t="s">
        <v>13</v>
      </c>
      <c r="F115" s="31" t="s">
        <v>346</v>
      </c>
      <c r="G115" s="31" t="s">
        <v>13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30">
        <v>114.0</v>
      </c>
      <c r="B116" s="31" t="s">
        <v>1183</v>
      </c>
      <c r="C116" s="31">
        <v>3.0</v>
      </c>
      <c r="D116" s="31" t="s">
        <v>13</v>
      </c>
      <c r="E116" s="31" t="s">
        <v>13</v>
      </c>
      <c r="F116" s="31" t="s">
        <v>346</v>
      </c>
      <c r="G116" s="31" t="s">
        <v>13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30">
        <v>115.0</v>
      </c>
      <c r="B117" s="31" t="s">
        <v>1184</v>
      </c>
      <c r="C117" s="31" t="s">
        <v>13</v>
      </c>
      <c r="D117" s="31" t="s">
        <v>13</v>
      </c>
      <c r="E117" s="31" t="s">
        <v>13</v>
      </c>
      <c r="F117" s="31" t="s">
        <v>346</v>
      </c>
      <c r="G117" s="31" t="s">
        <v>13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30">
        <v>116.0</v>
      </c>
      <c r="B118" s="31" t="s">
        <v>1185</v>
      </c>
      <c r="C118" s="31" t="s">
        <v>13</v>
      </c>
      <c r="D118" s="31" t="s">
        <v>13</v>
      </c>
      <c r="E118" s="31" t="s">
        <v>13</v>
      </c>
      <c r="F118" s="31" t="s">
        <v>13</v>
      </c>
      <c r="G118" s="31" t="s">
        <v>13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30">
        <v>117.0</v>
      </c>
      <c r="B119" s="31" t="s">
        <v>1186</v>
      </c>
      <c r="C119" s="31">
        <v>39.0</v>
      </c>
      <c r="D119" s="31" t="s">
        <v>14</v>
      </c>
      <c r="E119" s="31" t="s">
        <v>13</v>
      </c>
      <c r="F119" s="31" t="s">
        <v>13</v>
      </c>
      <c r="G119" s="31" t="s">
        <v>15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30">
        <v>118.0</v>
      </c>
      <c r="B120" s="31" t="s">
        <v>1187</v>
      </c>
      <c r="C120" s="31" t="s">
        <v>13</v>
      </c>
      <c r="D120" s="31" t="s">
        <v>13</v>
      </c>
      <c r="E120" s="31" t="s">
        <v>13</v>
      </c>
      <c r="F120" s="31" t="s">
        <v>13</v>
      </c>
      <c r="G120" s="31" t="s">
        <v>13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30">
        <v>119.0</v>
      </c>
      <c r="B121" s="31" t="s">
        <v>1188</v>
      </c>
      <c r="C121" s="31" t="s">
        <v>13</v>
      </c>
      <c r="D121" s="31" t="s">
        <v>13</v>
      </c>
      <c r="E121" s="31" t="s">
        <v>13</v>
      </c>
      <c r="F121" s="31" t="s">
        <v>13</v>
      </c>
      <c r="G121" s="31" t="s">
        <v>13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30">
        <v>120.0</v>
      </c>
      <c r="B122" s="31" t="s">
        <v>1189</v>
      </c>
      <c r="C122" s="31">
        <v>39.0</v>
      </c>
      <c r="D122" s="31" t="s">
        <v>13</v>
      </c>
      <c r="E122" s="31" t="s">
        <v>13</v>
      </c>
      <c r="F122" s="31" t="s">
        <v>13</v>
      </c>
      <c r="G122" s="31" t="s">
        <v>13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30">
        <v>121.0</v>
      </c>
      <c r="B123" s="31" t="s">
        <v>1190</v>
      </c>
      <c r="C123" s="31" t="s">
        <v>13</v>
      </c>
      <c r="D123" s="31">
        <v>2.0007998E7</v>
      </c>
      <c r="E123" s="31" t="s">
        <v>13</v>
      </c>
      <c r="F123" s="31" t="s">
        <v>1191</v>
      </c>
      <c r="G123" s="31" t="s">
        <v>13</v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30">
        <v>122.0</v>
      </c>
      <c r="B124" s="31" t="s">
        <v>1192</v>
      </c>
      <c r="C124" s="31" t="s">
        <v>13</v>
      </c>
      <c r="D124" s="31" t="s">
        <v>13</v>
      </c>
      <c r="E124" s="31" t="s">
        <v>13</v>
      </c>
      <c r="F124" s="31" t="s">
        <v>13</v>
      </c>
      <c r="G124" s="31" t="s">
        <v>13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30">
        <v>123.0</v>
      </c>
      <c r="B125" s="31" t="s">
        <v>1193</v>
      </c>
      <c r="C125" s="31" t="s">
        <v>13</v>
      </c>
      <c r="D125" s="31" t="s">
        <v>13</v>
      </c>
      <c r="E125" s="31" t="s">
        <v>13</v>
      </c>
      <c r="F125" s="31" t="s">
        <v>346</v>
      </c>
      <c r="G125" s="31" t="s">
        <v>13</v>
      </c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30">
        <v>124.0</v>
      </c>
      <c r="B126" s="31" t="s">
        <v>1194</v>
      </c>
      <c r="C126" s="31" t="s">
        <v>13</v>
      </c>
      <c r="D126" s="31" t="s">
        <v>13</v>
      </c>
      <c r="E126" s="31" t="s">
        <v>13</v>
      </c>
      <c r="F126" s="31" t="s">
        <v>13</v>
      </c>
      <c r="G126" s="31" t="s">
        <v>13</v>
      </c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30">
        <v>125.0</v>
      </c>
      <c r="B127" s="31" t="s">
        <v>1195</v>
      </c>
      <c r="C127" s="31" t="s">
        <v>13</v>
      </c>
      <c r="D127" s="31" t="s">
        <v>13</v>
      </c>
      <c r="E127" s="31" t="s">
        <v>13</v>
      </c>
      <c r="F127" s="31" t="s">
        <v>13</v>
      </c>
      <c r="G127" s="31" t="s">
        <v>13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30">
        <v>126.0</v>
      </c>
      <c r="B128" s="31" t="s">
        <v>1196</v>
      </c>
      <c r="C128" s="31" t="s">
        <v>13</v>
      </c>
      <c r="D128" s="31" t="s">
        <v>14</v>
      </c>
      <c r="E128" s="31" t="s">
        <v>13</v>
      </c>
      <c r="F128" s="31" t="s">
        <v>13</v>
      </c>
      <c r="G128" s="31" t="s">
        <v>15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30">
        <v>127.0</v>
      </c>
      <c r="B129" s="31" t="s">
        <v>1197</v>
      </c>
      <c r="C129" s="31" t="s">
        <v>13</v>
      </c>
      <c r="D129" s="31" t="s">
        <v>14</v>
      </c>
      <c r="E129" s="31" t="s">
        <v>13</v>
      </c>
      <c r="F129" s="31" t="s">
        <v>13</v>
      </c>
      <c r="G129" s="31" t="s">
        <v>15</v>
      </c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30">
        <v>128.0</v>
      </c>
      <c r="B130" s="31" t="s">
        <v>1198</v>
      </c>
      <c r="C130" s="31">
        <v>70.0</v>
      </c>
      <c r="D130" s="31" t="s">
        <v>14</v>
      </c>
      <c r="E130" s="31" t="s">
        <v>13</v>
      </c>
      <c r="F130" s="31" t="s">
        <v>13</v>
      </c>
      <c r="G130" s="31" t="s">
        <v>15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30">
        <v>129.0</v>
      </c>
      <c r="B131" s="31" t="s">
        <v>1199</v>
      </c>
      <c r="C131" s="31" t="s">
        <v>13</v>
      </c>
      <c r="D131" s="31" t="s">
        <v>13</v>
      </c>
      <c r="E131" s="31" t="s">
        <v>13</v>
      </c>
      <c r="F131" s="31" t="s">
        <v>13</v>
      </c>
      <c r="G131" s="31" t="s">
        <v>13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30">
        <v>130.0</v>
      </c>
      <c r="B132" s="31" t="s">
        <v>1200</v>
      </c>
      <c r="C132" s="31">
        <v>83.0</v>
      </c>
      <c r="D132" s="31" t="s">
        <v>13</v>
      </c>
      <c r="E132" s="31" t="s">
        <v>13</v>
      </c>
      <c r="F132" s="31" t="s">
        <v>1078</v>
      </c>
      <c r="G132" s="31" t="s">
        <v>13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30">
        <v>131.0</v>
      </c>
      <c r="B133" s="31" t="s">
        <v>1201</v>
      </c>
      <c r="C133" s="31">
        <v>4.0</v>
      </c>
      <c r="D133" s="31" t="s">
        <v>13</v>
      </c>
      <c r="E133" s="31" t="s">
        <v>13</v>
      </c>
      <c r="F133" s="31" t="s">
        <v>1126</v>
      </c>
      <c r="G133" s="31" t="s">
        <v>13</v>
      </c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30">
        <v>132.0</v>
      </c>
      <c r="B134" s="31" t="s">
        <v>1202</v>
      </c>
      <c r="C134" s="31">
        <v>61.0</v>
      </c>
      <c r="D134" s="31" t="s">
        <v>13</v>
      </c>
      <c r="E134" s="31" t="s">
        <v>13</v>
      </c>
      <c r="F134" s="31" t="s">
        <v>545</v>
      </c>
      <c r="G134" s="31" t="s">
        <v>13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30">
        <v>133.0</v>
      </c>
      <c r="B135" s="31" t="s">
        <v>1203</v>
      </c>
      <c r="C135" s="31" t="s">
        <v>13</v>
      </c>
      <c r="D135" s="31" t="s">
        <v>13</v>
      </c>
      <c r="E135" s="31" t="s">
        <v>13</v>
      </c>
      <c r="F135" s="31" t="s">
        <v>13</v>
      </c>
      <c r="G135" s="31" t="s">
        <v>13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30">
        <v>134.0</v>
      </c>
      <c r="B136" s="31" t="s">
        <v>1204</v>
      </c>
      <c r="C136" s="31" t="s">
        <v>13</v>
      </c>
      <c r="D136" s="31" t="s">
        <v>14</v>
      </c>
      <c r="E136" s="31" t="s">
        <v>13</v>
      </c>
      <c r="F136" s="31" t="s">
        <v>13</v>
      </c>
      <c r="G136" s="31" t="s">
        <v>15</v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30">
        <v>135.0</v>
      </c>
      <c r="B137" s="31" t="s">
        <v>1205</v>
      </c>
      <c r="C137" s="31" t="s">
        <v>13</v>
      </c>
      <c r="D137" s="31">
        <v>1.1058667E7</v>
      </c>
      <c r="E137" s="31" t="s">
        <v>13</v>
      </c>
      <c r="F137" s="31" t="s">
        <v>1074</v>
      </c>
      <c r="G137" s="31" t="s">
        <v>13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30">
        <v>136.0</v>
      </c>
      <c r="B138" s="31" t="s">
        <v>1206</v>
      </c>
      <c r="C138" s="31">
        <v>48.0</v>
      </c>
      <c r="D138" s="31" t="s">
        <v>13</v>
      </c>
      <c r="E138" s="31" t="s">
        <v>13</v>
      </c>
      <c r="F138" s="31" t="s">
        <v>346</v>
      </c>
      <c r="G138" s="31" t="s">
        <v>13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30">
        <v>137.0</v>
      </c>
      <c r="B139" s="31" t="s">
        <v>1207</v>
      </c>
      <c r="C139" s="31" t="s">
        <v>13</v>
      </c>
      <c r="D139" s="31">
        <v>3.310694E7</v>
      </c>
      <c r="E139" s="31" t="s">
        <v>13</v>
      </c>
      <c r="F139" s="31" t="s">
        <v>346</v>
      </c>
      <c r="G139" s="31" t="s">
        <v>13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30">
        <v>138.0</v>
      </c>
      <c r="B140" s="31" t="s">
        <v>1208</v>
      </c>
      <c r="C140" s="31">
        <v>58.0</v>
      </c>
      <c r="D140" s="31" t="s">
        <v>13</v>
      </c>
      <c r="E140" s="31" t="s">
        <v>13</v>
      </c>
      <c r="F140" s="31" t="s">
        <v>545</v>
      </c>
      <c r="G140" s="31" t="s">
        <v>13</v>
      </c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30">
        <v>139.0</v>
      </c>
      <c r="B141" s="31" t="s">
        <v>1209</v>
      </c>
      <c r="C141" s="31" t="s">
        <v>13</v>
      </c>
      <c r="D141" s="31" t="s">
        <v>13</v>
      </c>
      <c r="E141" s="31" t="s">
        <v>13</v>
      </c>
      <c r="F141" s="31" t="s">
        <v>545</v>
      </c>
      <c r="G141" s="31" t="s">
        <v>13</v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30">
        <v>140.0</v>
      </c>
      <c r="B142" s="31" t="s">
        <v>1210</v>
      </c>
      <c r="C142" s="31">
        <v>10.0</v>
      </c>
      <c r="D142" s="31" t="s">
        <v>13</v>
      </c>
      <c r="E142" s="31" t="s">
        <v>13</v>
      </c>
      <c r="F142" s="31" t="s">
        <v>1078</v>
      </c>
      <c r="G142" s="31" t="s">
        <v>13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30">
        <v>141.0</v>
      </c>
      <c r="B143" s="31" t="s">
        <v>1211</v>
      </c>
      <c r="C143" s="31" t="s">
        <v>13</v>
      </c>
      <c r="D143" s="31" t="s">
        <v>13</v>
      </c>
      <c r="E143" s="31" t="s">
        <v>13</v>
      </c>
      <c r="F143" s="31" t="s">
        <v>13</v>
      </c>
      <c r="G143" s="31" t="s">
        <v>13</v>
      </c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30">
        <v>142.0</v>
      </c>
      <c r="B144" s="31" t="s">
        <v>1212</v>
      </c>
      <c r="C144" s="31">
        <v>21.0</v>
      </c>
      <c r="D144" s="31" t="s">
        <v>13</v>
      </c>
      <c r="E144" s="31" t="s">
        <v>13</v>
      </c>
      <c r="F144" s="31" t="s">
        <v>346</v>
      </c>
      <c r="G144" s="31" t="s">
        <v>13</v>
      </c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30">
        <v>143.0</v>
      </c>
      <c r="B145" s="31" t="s">
        <v>1213</v>
      </c>
      <c r="C145" s="31" t="s">
        <v>13</v>
      </c>
      <c r="D145" s="31" t="s">
        <v>13</v>
      </c>
      <c r="E145" s="31" t="s">
        <v>13</v>
      </c>
      <c r="F145" s="31" t="s">
        <v>13</v>
      </c>
      <c r="G145" s="31" t="s">
        <v>13</v>
      </c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30">
        <v>144.0</v>
      </c>
      <c r="B146" s="31" t="s">
        <v>1214</v>
      </c>
      <c r="C146" s="31">
        <v>25.0</v>
      </c>
      <c r="D146" s="31" t="s">
        <v>13</v>
      </c>
      <c r="E146" s="31" t="s">
        <v>13</v>
      </c>
      <c r="F146" s="31" t="s">
        <v>13</v>
      </c>
      <c r="G146" s="31" t="s">
        <v>13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30">
        <v>145.0</v>
      </c>
      <c r="B147" s="31" t="s">
        <v>1215</v>
      </c>
      <c r="C147" s="31">
        <v>72.0</v>
      </c>
      <c r="D147" s="31">
        <v>7996011.0</v>
      </c>
      <c r="E147" s="31" t="s">
        <v>13</v>
      </c>
      <c r="F147" s="31" t="s">
        <v>346</v>
      </c>
      <c r="G147" s="31" t="s">
        <v>13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30">
        <v>146.0</v>
      </c>
      <c r="B148" s="31" t="s">
        <v>1216</v>
      </c>
      <c r="C148" s="31">
        <v>7.0</v>
      </c>
      <c r="D148" s="31" t="s">
        <v>13</v>
      </c>
      <c r="E148" s="31" t="s">
        <v>13</v>
      </c>
      <c r="F148" s="31" t="s">
        <v>343</v>
      </c>
      <c r="G148" s="31" t="s">
        <v>13</v>
      </c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30">
        <v>147.0</v>
      </c>
      <c r="B149" s="31" t="s">
        <v>1217</v>
      </c>
      <c r="C149" s="31" t="s">
        <v>13</v>
      </c>
      <c r="D149" s="31" t="s">
        <v>14</v>
      </c>
      <c r="E149" s="31" t="s">
        <v>13</v>
      </c>
      <c r="F149" s="31" t="s">
        <v>13</v>
      </c>
      <c r="G149" s="31" t="s">
        <v>15</v>
      </c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30">
        <v>148.0</v>
      </c>
      <c r="B150" s="31" t="s">
        <v>1218</v>
      </c>
      <c r="C150" s="31">
        <v>4.0</v>
      </c>
      <c r="D150" s="31" t="s">
        <v>13</v>
      </c>
      <c r="E150" s="31" t="s">
        <v>13</v>
      </c>
      <c r="F150" s="31" t="s">
        <v>1126</v>
      </c>
      <c r="G150" s="31" t="s">
        <v>13</v>
      </c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30">
        <v>149.0</v>
      </c>
      <c r="B151" s="31" t="s">
        <v>1219</v>
      </c>
      <c r="C151" s="31" t="s">
        <v>13</v>
      </c>
      <c r="D151" s="31" t="s">
        <v>13</v>
      </c>
      <c r="E151" s="31" t="s">
        <v>13</v>
      </c>
      <c r="F151" s="31" t="s">
        <v>13</v>
      </c>
      <c r="G151" s="31" t="s">
        <v>13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30">
        <v>150.0</v>
      </c>
      <c r="B152" s="31" t="s">
        <v>1220</v>
      </c>
      <c r="C152" s="31" t="s">
        <v>13</v>
      </c>
      <c r="D152" s="31">
        <v>1.3827306E7</v>
      </c>
      <c r="E152" s="31" t="s">
        <v>13</v>
      </c>
      <c r="F152" s="31" t="s">
        <v>986</v>
      </c>
      <c r="G152" s="31" t="s">
        <v>13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30">
        <v>151.0</v>
      </c>
      <c r="B153" s="31" t="s">
        <v>1221</v>
      </c>
      <c r="C153" s="31" t="s">
        <v>13</v>
      </c>
      <c r="D153" s="31" t="s">
        <v>14</v>
      </c>
      <c r="E153" s="31" t="s">
        <v>13</v>
      </c>
      <c r="F153" s="31" t="s">
        <v>13</v>
      </c>
      <c r="G153" s="31" t="s">
        <v>15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30">
        <v>152.0</v>
      </c>
      <c r="B154" s="31" t="s">
        <v>1222</v>
      </c>
      <c r="C154" s="31" t="s">
        <v>13</v>
      </c>
      <c r="D154" s="31">
        <v>1.5389387E7</v>
      </c>
      <c r="E154" s="31" t="s">
        <v>13</v>
      </c>
      <c r="F154" s="31" t="s">
        <v>343</v>
      </c>
      <c r="G154" s="31" t="s">
        <v>13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30">
        <v>153.0</v>
      </c>
      <c r="B155" s="31" t="s">
        <v>1223</v>
      </c>
      <c r="C155" s="31" t="s">
        <v>13</v>
      </c>
      <c r="D155" s="31" t="s">
        <v>13</v>
      </c>
      <c r="E155" s="31" t="s">
        <v>13</v>
      </c>
      <c r="F155" s="31" t="s">
        <v>13</v>
      </c>
      <c r="G155" s="31" t="s">
        <v>13</v>
      </c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30">
        <v>154.0</v>
      </c>
      <c r="B156" s="31" t="s">
        <v>1224</v>
      </c>
      <c r="C156" s="31" t="s">
        <v>13</v>
      </c>
      <c r="D156" s="31" t="s">
        <v>13</v>
      </c>
      <c r="E156" s="31" t="s">
        <v>13</v>
      </c>
      <c r="F156" s="31" t="s">
        <v>13</v>
      </c>
      <c r="G156" s="31" t="s">
        <v>13</v>
      </c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30">
        <v>155.0</v>
      </c>
      <c r="B157" s="31" t="s">
        <v>1225</v>
      </c>
      <c r="C157" s="31" t="s">
        <v>13</v>
      </c>
      <c r="D157" s="31" t="s">
        <v>13</v>
      </c>
      <c r="E157" s="31" t="s">
        <v>13</v>
      </c>
      <c r="F157" s="31" t="s">
        <v>13</v>
      </c>
      <c r="G157" s="31" t="s">
        <v>13</v>
      </c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30">
        <v>156.0</v>
      </c>
      <c r="B158" s="31" t="s">
        <v>1226</v>
      </c>
      <c r="C158" s="31">
        <v>28.0</v>
      </c>
      <c r="D158" s="31">
        <v>2.6648434E7</v>
      </c>
      <c r="E158" s="31" t="s">
        <v>13</v>
      </c>
      <c r="F158" s="31" t="s">
        <v>1126</v>
      </c>
      <c r="G158" s="31" t="s">
        <v>13</v>
      </c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30">
        <v>157.0</v>
      </c>
      <c r="B159" s="31" t="s">
        <v>1227</v>
      </c>
      <c r="C159" s="31">
        <v>44.0</v>
      </c>
      <c r="D159" s="31">
        <v>1.6625037E7</v>
      </c>
      <c r="E159" s="31" t="s">
        <v>13</v>
      </c>
      <c r="F159" s="31" t="s">
        <v>343</v>
      </c>
      <c r="G159" s="31" t="s">
        <v>13</v>
      </c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30">
        <v>158.0</v>
      </c>
      <c r="B160" s="31" t="s">
        <v>1228</v>
      </c>
      <c r="C160" s="31">
        <v>16.0</v>
      </c>
      <c r="D160" s="31" t="s">
        <v>13</v>
      </c>
      <c r="E160" s="31" t="s">
        <v>13</v>
      </c>
      <c r="F160" s="31" t="s">
        <v>545</v>
      </c>
      <c r="G160" s="31" t="s">
        <v>13</v>
      </c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30">
        <v>159.0</v>
      </c>
      <c r="B161" s="31" t="s">
        <v>1229</v>
      </c>
      <c r="C161" s="31" t="s">
        <v>13</v>
      </c>
      <c r="D161" s="31" t="s">
        <v>13</v>
      </c>
      <c r="E161" s="31" t="s">
        <v>13</v>
      </c>
      <c r="F161" s="31" t="s">
        <v>13</v>
      </c>
      <c r="G161" s="31" t="s">
        <v>13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30">
        <v>160.0</v>
      </c>
      <c r="B162" s="31" t="s">
        <v>1230</v>
      </c>
      <c r="C162" s="31" t="s">
        <v>13</v>
      </c>
      <c r="D162" s="31">
        <v>3.3344762E7</v>
      </c>
      <c r="E162" s="31" t="s">
        <v>13</v>
      </c>
      <c r="F162" s="31" t="s">
        <v>1078</v>
      </c>
      <c r="G162" s="31" t="s">
        <v>13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30">
        <v>161.0</v>
      </c>
      <c r="B163" s="31" t="s">
        <v>1231</v>
      </c>
      <c r="C163" s="31" t="s">
        <v>13</v>
      </c>
      <c r="D163" s="31" t="s">
        <v>14</v>
      </c>
      <c r="E163" s="31" t="s">
        <v>13</v>
      </c>
      <c r="F163" s="31" t="s">
        <v>13</v>
      </c>
      <c r="G163" s="31" t="s">
        <v>15</v>
      </c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30">
        <v>162.0</v>
      </c>
      <c r="B164" s="31" t="s">
        <v>1232</v>
      </c>
      <c r="C164" s="31" t="s">
        <v>13</v>
      </c>
      <c r="D164" s="31">
        <v>1.3315025E7</v>
      </c>
      <c r="E164" s="31" t="s">
        <v>13</v>
      </c>
      <c r="F164" s="31" t="s">
        <v>13</v>
      </c>
      <c r="G164" s="31" t="s">
        <v>13</v>
      </c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30">
        <v>163.0</v>
      </c>
      <c r="B165" s="31" t="s">
        <v>1233</v>
      </c>
      <c r="C165" s="31" t="s">
        <v>13</v>
      </c>
      <c r="D165" s="31" t="s">
        <v>13</v>
      </c>
      <c r="E165" s="31" t="s">
        <v>13</v>
      </c>
      <c r="F165" s="31" t="s">
        <v>13</v>
      </c>
      <c r="G165" s="31" t="s">
        <v>13</v>
      </c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30">
        <v>164.0</v>
      </c>
      <c r="B166" s="31" t="s">
        <v>1234</v>
      </c>
      <c r="C166" s="31">
        <v>14.0</v>
      </c>
      <c r="D166" s="31" t="s">
        <v>13</v>
      </c>
      <c r="E166" s="31" t="s">
        <v>13</v>
      </c>
      <c r="F166" s="31" t="s">
        <v>1088</v>
      </c>
      <c r="G166" s="31" t="s">
        <v>13</v>
      </c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30">
        <v>165.0</v>
      </c>
      <c r="B167" s="31" t="s">
        <v>1235</v>
      </c>
      <c r="C167" s="31" t="s">
        <v>13</v>
      </c>
      <c r="D167" s="31" t="s">
        <v>13</v>
      </c>
      <c r="E167" s="31" t="s">
        <v>13</v>
      </c>
      <c r="F167" s="31" t="s">
        <v>13</v>
      </c>
      <c r="G167" s="31" t="s">
        <v>13</v>
      </c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30">
        <v>166.0</v>
      </c>
      <c r="B168" s="31" t="s">
        <v>1236</v>
      </c>
      <c r="C168" s="31">
        <v>38.0</v>
      </c>
      <c r="D168" s="31">
        <v>1.7483578E7</v>
      </c>
      <c r="E168" s="31" t="s">
        <v>13</v>
      </c>
      <c r="F168" s="31" t="s">
        <v>1078</v>
      </c>
      <c r="G168" s="31" t="s">
        <v>13</v>
      </c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30">
        <v>167.0</v>
      </c>
      <c r="B169" s="31" t="s">
        <v>1237</v>
      </c>
      <c r="C169" s="31">
        <v>42.0</v>
      </c>
      <c r="D169" s="31" t="s">
        <v>13</v>
      </c>
      <c r="E169" s="31" t="s">
        <v>13</v>
      </c>
      <c r="F169" s="31" t="s">
        <v>346</v>
      </c>
      <c r="G169" s="31" t="s">
        <v>13</v>
      </c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30">
        <v>168.0</v>
      </c>
      <c r="B170" s="31" t="s">
        <v>135</v>
      </c>
      <c r="C170" s="31" t="s">
        <v>13</v>
      </c>
      <c r="D170" s="31" t="s">
        <v>13</v>
      </c>
      <c r="E170" s="31" t="s">
        <v>13</v>
      </c>
      <c r="F170" s="31" t="s">
        <v>13</v>
      </c>
      <c r="G170" s="31" t="s">
        <v>13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30">
        <v>169.0</v>
      </c>
      <c r="B171" s="31" t="s">
        <v>1238</v>
      </c>
      <c r="C171" s="31" t="s">
        <v>13</v>
      </c>
      <c r="D171" s="31">
        <v>4348517.0</v>
      </c>
      <c r="E171" s="31" t="s">
        <v>13</v>
      </c>
      <c r="F171" s="31" t="s">
        <v>545</v>
      </c>
      <c r="G171" s="31" t="s">
        <v>13</v>
      </c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30">
        <v>170.0</v>
      </c>
      <c r="B172" s="31" t="s">
        <v>1239</v>
      </c>
      <c r="C172" s="31" t="s">
        <v>13</v>
      </c>
      <c r="D172" s="31" t="s">
        <v>13</v>
      </c>
      <c r="E172" s="31" t="s">
        <v>13</v>
      </c>
      <c r="F172" s="31" t="s">
        <v>13</v>
      </c>
      <c r="G172" s="31" t="s">
        <v>13</v>
      </c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30">
        <v>171.0</v>
      </c>
      <c r="B173" s="31" t="s">
        <v>1240</v>
      </c>
      <c r="C173" s="31" t="s">
        <v>13</v>
      </c>
      <c r="D173" s="31" t="s">
        <v>13</v>
      </c>
      <c r="E173" s="31" t="s">
        <v>13</v>
      </c>
      <c r="F173" s="31" t="s">
        <v>13</v>
      </c>
      <c r="G173" s="31" t="s">
        <v>13</v>
      </c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30">
        <v>172.0</v>
      </c>
      <c r="B174" s="31" t="s">
        <v>1241</v>
      </c>
      <c r="C174" s="31" t="s">
        <v>13</v>
      </c>
      <c r="D174" s="31" t="s">
        <v>13</v>
      </c>
      <c r="E174" s="31" t="s">
        <v>13</v>
      </c>
      <c r="F174" s="31" t="s">
        <v>13</v>
      </c>
      <c r="G174" s="31" t="s">
        <v>13</v>
      </c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30">
        <v>173.0</v>
      </c>
      <c r="B175" s="31" t="s">
        <v>1242</v>
      </c>
      <c r="C175" s="31" t="s">
        <v>13</v>
      </c>
      <c r="D175" s="31" t="s">
        <v>13</v>
      </c>
      <c r="E175" s="31" t="s">
        <v>13</v>
      </c>
      <c r="F175" s="31" t="s">
        <v>13</v>
      </c>
      <c r="G175" s="31" t="s">
        <v>13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30">
        <v>174.0</v>
      </c>
      <c r="B176" s="31" t="s">
        <v>1243</v>
      </c>
      <c r="C176" s="31">
        <v>48.0</v>
      </c>
      <c r="D176" s="31">
        <v>1.4387306E7</v>
      </c>
      <c r="E176" s="31" t="s">
        <v>13</v>
      </c>
      <c r="F176" s="31" t="s">
        <v>346</v>
      </c>
      <c r="G176" s="31" t="s">
        <v>13</v>
      </c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30">
        <v>175.0</v>
      </c>
      <c r="B177" s="31" t="s">
        <v>1244</v>
      </c>
      <c r="C177" s="31" t="s">
        <v>13</v>
      </c>
      <c r="D177" s="31" t="s">
        <v>13</v>
      </c>
      <c r="E177" s="31" t="s">
        <v>13</v>
      </c>
      <c r="F177" s="31" t="s">
        <v>13</v>
      </c>
      <c r="G177" s="31" t="s">
        <v>13</v>
      </c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30">
        <v>176.0</v>
      </c>
      <c r="B178" s="31" t="s">
        <v>1245</v>
      </c>
      <c r="C178" s="31">
        <v>47.0</v>
      </c>
      <c r="D178" s="31">
        <v>1.3326786E7</v>
      </c>
      <c r="E178" s="31" t="s">
        <v>13</v>
      </c>
      <c r="F178" s="31" t="s">
        <v>346</v>
      </c>
      <c r="G178" s="31" t="s">
        <v>13</v>
      </c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30">
        <v>177.0</v>
      </c>
      <c r="B179" s="31" t="s">
        <v>1246</v>
      </c>
      <c r="C179" s="31" t="s">
        <v>13</v>
      </c>
      <c r="D179" s="31" t="s">
        <v>13</v>
      </c>
      <c r="E179" s="31" t="s">
        <v>13</v>
      </c>
      <c r="F179" s="31" t="s">
        <v>13</v>
      </c>
      <c r="G179" s="31" t="s">
        <v>13</v>
      </c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30">
        <v>178.0</v>
      </c>
      <c r="B180" s="31" t="s">
        <v>1247</v>
      </c>
      <c r="C180" s="31" t="s">
        <v>13</v>
      </c>
      <c r="D180" s="31" t="s">
        <v>13</v>
      </c>
      <c r="E180" s="31" t="s">
        <v>13</v>
      </c>
      <c r="F180" s="31" t="s">
        <v>1088</v>
      </c>
      <c r="G180" s="31" t="s">
        <v>13</v>
      </c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30">
        <v>179.0</v>
      </c>
      <c r="B181" s="31" t="s">
        <v>1248</v>
      </c>
      <c r="C181" s="31">
        <v>11.0</v>
      </c>
      <c r="D181" s="31" t="s">
        <v>13</v>
      </c>
      <c r="E181" s="31" t="s">
        <v>13</v>
      </c>
      <c r="F181" s="31" t="s">
        <v>13</v>
      </c>
      <c r="G181" s="31" t="s">
        <v>13</v>
      </c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30">
        <v>180.0</v>
      </c>
      <c r="B182" s="31" t="s">
        <v>1249</v>
      </c>
      <c r="C182" s="31" t="s">
        <v>13</v>
      </c>
      <c r="D182" s="31">
        <v>2007992.0</v>
      </c>
      <c r="E182" s="31" t="s">
        <v>13</v>
      </c>
      <c r="F182" s="31" t="s">
        <v>13</v>
      </c>
      <c r="G182" s="31" t="s">
        <v>13</v>
      </c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30">
        <v>181.0</v>
      </c>
      <c r="B183" s="31" t="s">
        <v>1250</v>
      </c>
      <c r="C183" s="31" t="s">
        <v>13</v>
      </c>
      <c r="D183" s="31" t="s">
        <v>13</v>
      </c>
      <c r="E183" s="31" t="s">
        <v>13</v>
      </c>
      <c r="F183" s="31" t="s">
        <v>13</v>
      </c>
      <c r="G183" s="31" t="s">
        <v>13</v>
      </c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30">
        <v>182.0</v>
      </c>
      <c r="B184" s="31" t="s">
        <v>1251</v>
      </c>
      <c r="C184" s="31" t="s">
        <v>13</v>
      </c>
      <c r="D184" s="31" t="s">
        <v>13</v>
      </c>
      <c r="E184" s="31" t="s">
        <v>13</v>
      </c>
      <c r="F184" s="31" t="s">
        <v>13</v>
      </c>
      <c r="G184" s="31" t="s">
        <v>13</v>
      </c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30">
        <v>183.0</v>
      </c>
      <c r="B185" s="31" t="s">
        <v>1252</v>
      </c>
      <c r="C185" s="31">
        <v>65.0</v>
      </c>
      <c r="D185" s="31" t="s">
        <v>13</v>
      </c>
      <c r="E185" s="31" t="s">
        <v>13</v>
      </c>
      <c r="F185" s="31" t="s">
        <v>1078</v>
      </c>
      <c r="G185" s="31" t="s">
        <v>13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30">
        <v>184.0</v>
      </c>
      <c r="B186" s="31" t="s">
        <v>1253</v>
      </c>
      <c r="C186" s="31" t="s">
        <v>13</v>
      </c>
      <c r="D186" s="31" t="s">
        <v>13</v>
      </c>
      <c r="E186" s="31" t="s">
        <v>13</v>
      </c>
      <c r="F186" s="31" t="s">
        <v>13</v>
      </c>
      <c r="G186" s="31" t="s">
        <v>13</v>
      </c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30">
        <v>185.0</v>
      </c>
      <c r="B187" s="31" t="s">
        <v>1254</v>
      </c>
      <c r="C187" s="31" t="s">
        <v>1255</v>
      </c>
      <c r="D187" s="31" t="s">
        <v>14</v>
      </c>
      <c r="E187" s="31" t="s">
        <v>13</v>
      </c>
      <c r="F187" s="31" t="s">
        <v>13</v>
      </c>
      <c r="G187" s="31" t="s">
        <v>15</v>
      </c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30">
        <v>186.0</v>
      </c>
      <c r="B188" s="31" t="s">
        <v>1256</v>
      </c>
      <c r="C188" s="31">
        <v>50.0</v>
      </c>
      <c r="D188" s="31" t="s">
        <v>13</v>
      </c>
      <c r="E188" s="31" t="s">
        <v>13</v>
      </c>
      <c r="F188" s="31" t="s">
        <v>346</v>
      </c>
      <c r="G188" s="31" t="s">
        <v>13</v>
      </c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30">
        <v>187.0</v>
      </c>
      <c r="B189" s="31" t="s">
        <v>1257</v>
      </c>
      <c r="C189" s="31">
        <v>50.0</v>
      </c>
      <c r="D189" s="31" t="s">
        <v>13</v>
      </c>
      <c r="E189" s="31" t="s">
        <v>13</v>
      </c>
      <c r="F189" s="31" t="s">
        <v>346</v>
      </c>
      <c r="G189" s="31" t="s">
        <v>13</v>
      </c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30">
        <v>188.0</v>
      </c>
      <c r="B190" s="31" t="s">
        <v>1258</v>
      </c>
      <c r="C190" s="31" t="s">
        <v>13</v>
      </c>
      <c r="D190" s="31">
        <v>4121307.0</v>
      </c>
      <c r="E190" s="31" t="s">
        <v>13</v>
      </c>
      <c r="F190" s="31" t="s">
        <v>13</v>
      </c>
      <c r="G190" s="31" t="s">
        <v>13</v>
      </c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30">
        <v>189.0</v>
      </c>
      <c r="B191" s="31" t="s">
        <v>1259</v>
      </c>
      <c r="C191" s="31" t="s">
        <v>13</v>
      </c>
      <c r="D191" s="31">
        <v>1.3374907E7</v>
      </c>
      <c r="E191" s="31" t="s">
        <v>13</v>
      </c>
      <c r="F191" s="31" t="s">
        <v>545</v>
      </c>
      <c r="G191" s="31" t="s">
        <v>13</v>
      </c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30">
        <v>190.0</v>
      </c>
      <c r="B192" s="31" t="s">
        <v>1260</v>
      </c>
      <c r="C192" s="31" t="s">
        <v>13</v>
      </c>
      <c r="D192" s="31" t="s">
        <v>13</v>
      </c>
      <c r="E192" s="31" t="s">
        <v>13</v>
      </c>
      <c r="F192" s="31" t="s">
        <v>13</v>
      </c>
      <c r="G192" s="31" t="s">
        <v>13</v>
      </c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30">
        <v>191.0</v>
      </c>
      <c r="B193" s="31" t="s">
        <v>1261</v>
      </c>
      <c r="C193" s="31">
        <v>6.0</v>
      </c>
      <c r="D193" s="31" t="s">
        <v>13</v>
      </c>
      <c r="E193" s="31" t="s">
        <v>13</v>
      </c>
      <c r="F193" s="31" t="s">
        <v>343</v>
      </c>
      <c r="G193" s="31" t="s">
        <v>13</v>
      </c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30">
        <v>192.0</v>
      </c>
      <c r="B194" s="31" t="s">
        <v>1262</v>
      </c>
      <c r="C194" s="31" t="s">
        <v>13</v>
      </c>
      <c r="D194" s="31">
        <v>1.3223654E7</v>
      </c>
      <c r="E194" s="31" t="s">
        <v>13</v>
      </c>
      <c r="F194" s="31" t="s">
        <v>13</v>
      </c>
      <c r="G194" s="31" t="s">
        <v>13</v>
      </c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30">
        <v>193.0</v>
      </c>
      <c r="B195" s="31" t="s">
        <v>1263</v>
      </c>
      <c r="C195" s="31" t="s">
        <v>13</v>
      </c>
      <c r="D195" s="31">
        <v>2.5575635E7</v>
      </c>
      <c r="E195" s="31" t="s">
        <v>13</v>
      </c>
      <c r="F195" s="31" t="s">
        <v>545</v>
      </c>
      <c r="G195" s="31" t="s">
        <v>13</v>
      </c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30">
        <v>194.0</v>
      </c>
      <c r="B196" s="31" t="s">
        <v>1264</v>
      </c>
      <c r="C196" s="31" t="s">
        <v>13</v>
      </c>
      <c r="D196" s="31" t="s">
        <v>13</v>
      </c>
      <c r="E196" s="31" t="s">
        <v>13</v>
      </c>
      <c r="F196" s="31" t="s">
        <v>13</v>
      </c>
      <c r="G196" s="31" t="s">
        <v>13</v>
      </c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30">
        <v>195.0</v>
      </c>
      <c r="B197" s="31" t="s">
        <v>1265</v>
      </c>
      <c r="C197" s="31">
        <v>47.0</v>
      </c>
      <c r="D197" s="31" t="s">
        <v>13</v>
      </c>
      <c r="E197" s="31" t="s">
        <v>13</v>
      </c>
      <c r="F197" s="31" t="s">
        <v>1088</v>
      </c>
      <c r="G197" s="31" t="s">
        <v>13</v>
      </c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30">
        <v>196.0</v>
      </c>
      <c r="B198" s="31" t="s">
        <v>1266</v>
      </c>
      <c r="C198" s="31" t="s">
        <v>13</v>
      </c>
      <c r="D198" s="31" t="s">
        <v>13</v>
      </c>
      <c r="E198" s="31" t="s">
        <v>13</v>
      </c>
      <c r="F198" s="31" t="s">
        <v>13</v>
      </c>
      <c r="G198" s="31" t="s">
        <v>13</v>
      </c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30">
        <v>197.0</v>
      </c>
      <c r="B199" s="31" t="s">
        <v>1267</v>
      </c>
      <c r="C199" s="31" t="s">
        <v>13</v>
      </c>
      <c r="D199" s="31" t="s">
        <v>13</v>
      </c>
      <c r="E199" s="31" t="s">
        <v>13</v>
      </c>
      <c r="F199" s="31" t="s">
        <v>13</v>
      </c>
      <c r="G199" s="31" t="s">
        <v>13</v>
      </c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30">
        <v>198.0</v>
      </c>
      <c r="B200" s="31" t="s">
        <v>1268</v>
      </c>
      <c r="C200" s="31" t="s">
        <v>13</v>
      </c>
      <c r="D200" s="31" t="s">
        <v>13</v>
      </c>
      <c r="E200" s="31" t="s">
        <v>13</v>
      </c>
      <c r="F200" s="31" t="s">
        <v>13</v>
      </c>
      <c r="G200" s="31" t="s">
        <v>13</v>
      </c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30">
        <v>199.0</v>
      </c>
      <c r="B201" s="31" t="s">
        <v>1269</v>
      </c>
      <c r="C201" s="31" t="s">
        <v>13</v>
      </c>
      <c r="D201" s="31" t="s">
        <v>13</v>
      </c>
      <c r="E201" s="31" t="s">
        <v>13</v>
      </c>
      <c r="F201" s="31" t="s">
        <v>1088</v>
      </c>
      <c r="G201" s="31" t="s">
        <v>13</v>
      </c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30">
        <v>200.0</v>
      </c>
      <c r="B202" s="31" t="s">
        <v>1270</v>
      </c>
      <c r="C202" s="31" t="s">
        <v>13</v>
      </c>
      <c r="D202" s="31" t="s">
        <v>13</v>
      </c>
      <c r="E202" s="31" t="s">
        <v>13</v>
      </c>
      <c r="F202" s="31" t="s">
        <v>1271</v>
      </c>
      <c r="G202" s="31" t="s">
        <v>13</v>
      </c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30">
        <v>201.0</v>
      </c>
      <c r="B203" s="31" t="s">
        <v>1272</v>
      </c>
      <c r="C203" s="31">
        <v>61.0</v>
      </c>
      <c r="D203" s="31" t="s">
        <v>14</v>
      </c>
      <c r="E203" s="31" t="s">
        <v>13</v>
      </c>
      <c r="F203" s="31" t="s">
        <v>13</v>
      </c>
      <c r="G203" s="31" t="s">
        <v>15</v>
      </c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30">
        <v>202.0</v>
      </c>
      <c r="B204" s="31" t="s">
        <v>1273</v>
      </c>
      <c r="C204" s="31" t="s">
        <v>13</v>
      </c>
      <c r="D204" s="31" t="s">
        <v>1274</v>
      </c>
      <c r="E204" s="31" t="s">
        <v>13</v>
      </c>
      <c r="F204" s="31" t="s">
        <v>13</v>
      </c>
      <c r="G204" s="31" t="s">
        <v>15</v>
      </c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30">
        <v>203.0</v>
      </c>
      <c r="B205" s="31" t="s">
        <v>1275</v>
      </c>
      <c r="C205" s="31" t="s">
        <v>13</v>
      </c>
      <c r="D205" s="31" t="s">
        <v>13</v>
      </c>
      <c r="E205" s="31" t="s">
        <v>13</v>
      </c>
      <c r="F205" s="31" t="s">
        <v>13</v>
      </c>
      <c r="G205" s="31" t="s">
        <v>13</v>
      </c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30">
        <v>204.0</v>
      </c>
      <c r="B206" s="31" t="s">
        <v>1276</v>
      </c>
      <c r="C206" s="31" t="s">
        <v>13</v>
      </c>
      <c r="D206" s="31" t="s">
        <v>13</v>
      </c>
      <c r="E206" s="31" t="s">
        <v>13</v>
      </c>
      <c r="F206" s="31" t="s">
        <v>13</v>
      </c>
      <c r="G206" s="31" t="s">
        <v>13</v>
      </c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30">
        <v>205.0</v>
      </c>
      <c r="B207" s="31" t="s">
        <v>1277</v>
      </c>
      <c r="C207" s="31" t="s">
        <v>13</v>
      </c>
      <c r="D207" s="31" t="s">
        <v>13</v>
      </c>
      <c r="E207" s="31" t="s">
        <v>13</v>
      </c>
      <c r="F207" s="31" t="s">
        <v>13</v>
      </c>
      <c r="G207" s="31" t="s">
        <v>13</v>
      </c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30">
        <v>206.0</v>
      </c>
      <c r="B208" s="31" t="s">
        <v>1277</v>
      </c>
      <c r="C208" s="31" t="s">
        <v>13</v>
      </c>
      <c r="D208" s="31">
        <v>2.361788E7</v>
      </c>
      <c r="E208" s="31" t="s">
        <v>13</v>
      </c>
      <c r="F208" s="31" t="s">
        <v>1126</v>
      </c>
      <c r="G208" s="31" t="s">
        <v>13</v>
      </c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30">
        <v>207.0</v>
      </c>
      <c r="B209" s="31" t="s">
        <v>1278</v>
      </c>
      <c r="C209" s="31">
        <v>69.0</v>
      </c>
      <c r="D209" s="31" t="s">
        <v>13</v>
      </c>
      <c r="E209" s="31" t="s">
        <v>13</v>
      </c>
      <c r="F209" s="31" t="s">
        <v>13</v>
      </c>
      <c r="G209" s="31" t="s">
        <v>13</v>
      </c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30">
        <v>208.0</v>
      </c>
      <c r="B210" s="31" t="s">
        <v>1279</v>
      </c>
      <c r="C210" s="31" t="s">
        <v>13</v>
      </c>
      <c r="D210" s="31" t="s">
        <v>13</v>
      </c>
      <c r="E210" s="31" t="s">
        <v>13</v>
      </c>
      <c r="F210" s="31" t="s">
        <v>13</v>
      </c>
      <c r="G210" s="31" t="s">
        <v>13</v>
      </c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30">
        <v>209.0</v>
      </c>
      <c r="B211" s="31" t="s">
        <v>1280</v>
      </c>
      <c r="C211" s="31" t="s">
        <v>13</v>
      </c>
      <c r="D211" s="31" t="s">
        <v>13</v>
      </c>
      <c r="E211" s="31" t="s">
        <v>13</v>
      </c>
      <c r="F211" s="31" t="s">
        <v>13</v>
      </c>
      <c r="G211" s="31" t="s">
        <v>13</v>
      </c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30">
        <v>210.0</v>
      </c>
      <c r="B212" s="31" t="s">
        <v>1281</v>
      </c>
      <c r="C212" s="31">
        <v>14.0</v>
      </c>
      <c r="D212" s="31" t="s">
        <v>13</v>
      </c>
      <c r="E212" s="31" t="s">
        <v>13</v>
      </c>
      <c r="F212" s="31" t="s">
        <v>346</v>
      </c>
      <c r="G212" s="31" t="s">
        <v>13</v>
      </c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30">
        <v>211.0</v>
      </c>
      <c r="B213" s="31" t="s">
        <v>1282</v>
      </c>
      <c r="C213" s="31" t="s">
        <v>13</v>
      </c>
      <c r="D213" s="31" t="s">
        <v>1283</v>
      </c>
      <c r="E213" s="31" t="s">
        <v>13</v>
      </c>
      <c r="F213" s="31" t="s">
        <v>13</v>
      </c>
      <c r="G213" s="31" t="s">
        <v>15</v>
      </c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30">
        <v>212.0</v>
      </c>
      <c r="B214" s="31" t="s">
        <v>1284</v>
      </c>
      <c r="C214" s="31" t="s">
        <v>13</v>
      </c>
      <c r="D214" s="31">
        <v>3.3594982E7</v>
      </c>
      <c r="E214" s="31" t="s">
        <v>13</v>
      </c>
      <c r="F214" s="31" t="s">
        <v>545</v>
      </c>
      <c r="G214" s="31" t="s">
        <v>13</v>
      </c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30">
        <v>213.0</v>
      </c>
      <c r="B215" s="31" t="s">
        <v>1285</v>
      </c>
      <c r="C215" s="31" t="s">
        <v>13</v>
      </c>
      <c r="D215" s="31" t="s">
        <v>13</v>
      </c>
      <c r="E215" s="31" t="s">
        <v>13</v>
      </c>
      <c r="F215" s="31" t="s">
        <v>13</v>
      </c>
      <c r="G215" s="31" t="s">
        <v>13</v>
      </c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30">
        <v>214.0</v>
      </c>
      <c r="B216" s="31" t="s">
        <v>1286</v>
      </c>
      <c r="C216" s="31" t="s">
        <v>13</v>
      </c>
      <c r="D216" s="31" t="s">
        <v>13</v>
      </c>
      <c r="E216" s="31" t="s">
        <v>13</v>
      </c>
      <c r="F216" s="31" t="s">
        <v>13</v>
      </c>
      <c r="G216" s="31" t="s">
        <v>13</v>
      </c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30">
        <v>215.0</v>
      </c>
      <c r="B217" s="31" t="s">
        <v>1287</v>
      </c>
      <c r="C217" s="31" t="s">
        <v>13</v>
      </c>
      <c r="D217" s="31">
        <v>1.1406882E7</v>
      </c>
      <c r="E217" s="31" t="s">
        <v>13</v>
      </c>
      <c r="F217" s="31" t="s">
        <v>346</v>
      </c>
      <c r="G217" s="31" t="s">
        <v>13</v>
      </c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30">
        <v>216.0</v>
      </c>
      <c r="B218" s="31" t="s">
        <v>1288</v>
      </c>
      <c r="C218" s="31" t="s">
        <v>13</v>
      </c>
      <c r="D218" s="31" t="s">
        <v>13</v>
      </c>
      <c r="E218" s="31" t="s">
        <v>13</v>
      </c>
      <c r="F218" s="31" t="s">
        <v>1088</v>
      </c>
      <c r="G218" s="31" t="s">
        <v>13</v>
      </c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30">
        <v>217.0</v>
      </c>
      <c r="B219" s="31" t="s">
        <v>1289</v>
      </c>
      <c r="C219" s="31">
        <v>2.0</v>
      </c>
      <c r="D219" s="31" t="s">
        <v>13</v>
      </c>
      <c r="E219" s="31" t="s">
        <v>13</v>
      </c>
      <c r="F219" s="31" t="s">
        <v>346</v>
      </c>
      <c r="G219" s="31" t="s">
        <v>13</v>
      </c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30">
        <v>218.0</v>
      </c>
      <c r="B220" s="31" t="s">
        <v>1290</v>
      </c>
      <c r="C220" s="31" t="s">
        <v>13</v>
      </c>
      <c r="D220" s="31" t="s">
        <v>13</v>
      </c>
      <c r="E220" s="31" t="s">
        <v>13</v>
      </c>
      <c r="F220" s="31" t="s">
        <v>13</v>
      </c>
      <c r="G220" s="31" t="s">
        <v>13</v>
      </c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30">
        <v>219.0</v>
      </c>
      <c r="B221" s="31" t="s">
        <v>1291</v>
      </c>
      <c r="C221" s="31" t="s">
        <v>13</v>
      </c>
      <c r="D221" s="31" t="s">
        <v>13</v>
      </c>
      <c r="E221" s="31" t="s">
        <v>13</v>
      </c>
      <c r="F221" s="31" t="s">
        <v>13</v>
      </c>
      <c r="G221" s="31" t="s">
        <v>13</v>
      </c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30">
        <v>220.0</v>
      </c>
      <c r="B222" s="31" t="s">
        <v>1292</v>
      </c>
      <c r="C222" s="31">
        <v>11.0</v>
      </c>
      <c r="D222" s="31" t="s">
        <v>13</v>
      </c>
      <c r="E222" s="31" t="s">
        <v>13</v>
      </c>
      <c r="F222" s="31" t="s">
        <v>346</v>
      </c>
      <c r="G222" s="31" t="s">
        <v>13</v>
      </c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30">
        <v>221.0</v>
      </c>
      <c r="B223" s="31" t="s">
        <v>1293</v>
      </c>
      <c r="C223" s="31" t="s">
        <v>13</v>
      </c>
      <c r="D223" s="31">
        <v>3.210694E7</v>
      </c>
      <c r="E223" s="31" t="s">
        <v>13</v>
      </c>
      <c r="F223" s="31" t="s">
        <v>343</v>
      </c>
      <c r="G223" s="31" t="s">
        <v>13</v>
      </c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30">
        <v>222.0</v>
      </c>
      <c r="B224" s="31" t="s">
        <v>1294</v>
      </c>
      <c r="C224" s="31">
        <v>16.0</v>
      </c>
      <c r="D224" s="31">
        <v>3.3218403E7</v>
      </c>
      <c r="E224" s="31" t="s">
        <v>13</v>
      </c>
      <c r="F224" s="31" t="s">
        <v>346</v>
      </c>
      <c r="G224" s="31" t="s">
        <v>13</v>
      </c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30">
        <v>223.0</v>
      </c>
      <c r="B225" s="31" t="s">
        <v>1295</v>
      </c>
      <c r="C225" s="31" t="s">
        <v>13</v>
      </c>
      <c r="D225" s="31" t="s">
        <v>13</v>
      </c>
      <c r="E225" s="31" t="s">
        <v>13</v>
      </c>
      <c r="F225" s="31" t="s">
        <v>13</v>
      </c>
      <c r="G225" s="31" t="s">
        <v>13</v>
      </c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30">
        <v>224.0</v>
      </c>
      <c r="B226" s="31" t="s">
        <v>1296</v>
      </c>
      <c r="C226" s="31" t="s">
        <v>13</v>
      </c>
      <c r="D226" s="31" t="s">
        <v>13</v>
      </c>
      <c r="E226" s="31" t="s">
        <v>13</v>
      </c>
      <c r="F226" s="31" t="s">
        <v>13</v>
      </c>
      <c r="G226" s="31" t="s">
        <v>13</v>
      </c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30">
        <v>225.0</v>
      </c>
      <c r="B227" s="31" t="s">
        <v>1297</v>
      </c>
      <c r="C227" s="31" t="s">
        <v>13</v>
      </c>
      <c r="D227" s="31" t="s">
        <v>14</v>
      </c>
      <c r="E227" s="31" t="s">
        <v>13</v>
      </c>
      <c r="F227" s="31" t="s">
        <v>13</v>
      </c>
      <c r="G227" s="31" t="s">
        <v>15</v>
      </c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30">
        <v>226.0</v>
      </c>
      <c r="B228" s="31" t="s">
        <v>1298</v>
      </c>
      <c r="C228" s="31" t="s">
        <v>13</v>
      </c>
      <c r="D228" s="31">
        <v>2.4182992E7</v>
      </c>
      <c r="E228" s="31" t="s">
        <v>13</v>
      </c>
      <c r="F228" s="31" t="s">
        <v>545</v>
      </c>
      <c r="G228" s="31" t="s">
        <v>13</v>
      </c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30">
        <v>227.0</v>
      </c>
      <c r="B229" s="31" t="s">
        <v>1299</v>
      </c>
      <c r="C229" s="31" t="s">
        <v>13</v>
      </c>
      <c r="D229" s="31">
        <v>2.0560037E7</v>
      </c>
      <c r="E229" s="31" t="s">
        <v>13</v>
      </c>
      <c r="F229" s="31" t="s">
        <v>1300</v>
      </c>
      <c r="G229" s="31" t="s">
        <v>13</v>
      </c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30">
        <v>228.0</v>
      </c>
      <c r="B230" s="31" t="s">
        <v>1299</v>
      </c>
      <c r="C230" s="31" t="s">
        <v>13</v>
      </c>
      <c r="D230" s="31" t="s">
        <v>13</v>
      </c>
      <c r="E230" s="31" t="s">
        <v>13</v>
      </c>
      <c r="F230" s="31" t="s">
        <v>13</v>
      </c>
      <c r="G230" s="31" t="s">
        <v>13</v>
      </c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30">
        <v>229.0</v>
      </c>
      <c r="B231" s="31" t="s">
        <v>1301</v>
      </c>
      <c r="C231" s="31">
        <v>52.0</v>
      </c>
      <c r="D231" s="31" t="s">
        <v>13</v>
      </c>
      <c r="E231" s="31" t="s">
        <v>13</v>
      </c>
      <c r="F231" s="31" t="s">
        <v>346</v>
      </c>
      <c r="G231" s="31" t="s">
        <v>13</v>
      </c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30">
        <v>230.0</v>
      </c>
      <c r="B232" s="31" t="s">
        <v>1302</v>
      </c>
      <c r="C232" s="31">
        <v>5.0</v>
      </c>
      <c r="D232" s="31" t="s">
        <v>14</v>
      </c>
      <c r="E232" s="31" t="s">
        <v>13</v>
      </c>
      <c r="F232" s="31" t="s">
        <v>13</v>
      </c>
      <c r="G232" s="31" t="s">
        <v>15</v>
      </c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30">
        <v>231.0</v>
      </c>
      <c r="B233" s="31" t="s">
        <v>1303</v>
      </c>
      <c r="C233" s="31" t="s">
        <v>13</v>
      </c>
      <c r="D233" s="31" t="s">
        <v>14</v>
      </c>
      <c r="E233" s="31" t="s">
        <v>13</v>
      </c>
      <c r="F233" s="31" t="s">
        <v>13</v>
      </c>
      <c r="G233" s="31" t="s">
        <v>15</v>
      </c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30">
        <v>232.0</v>
      </c>
      <c r="B234" s="31" t="s">
        <v>1304</v>
      </c>
      <c r="C234" s="31">
        <v>21.0</v>
      </c>
      <c r="D234" s="31">
        <v>3.0824977E7</v>
      </c>
      <c r="E234" s="31" t="s">
        <v>13</v>
      </c>
      <c r="F234" s="31" t="s">
        <v>1126</v>
      </c>
      <c r="G234" s="31" t="s">
        <v>13</v>
      </c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30">
        <v>233.0</v>
      </c>
      <c r="B235" s="31" t="s">
        <v>1305</v>
      </c>
      <c r="C235" s="31" t="s">
        <v>13</v>
      </c>
      <c r="D235" s="31" t="s">
        <v>13</v>
      </c>
      <c r="E235" s="31" t="s">
        <v>13</v>
      </c>
      <c r="F235" s="31" t="s">
        <v>13</v>
      </c>
      <c r="G235" s="31" t="s">
        <v>13</v>
      </c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30">
        <v>234.0</v>
      </c>
      <c r="B236" s="31" t="s">
        <v>1306</v>
      </c>
      <c r="C236" s="31" t="s">
        <v>13</v>
      </c>
      <c r="D236" s="31" t="s">
        <v>13</v>
      </c>
      <c r="E236" s="31" t="s">
        <v>13</v>
      </c>
      <c r="F236" s="31" t="s">
        <v>13</v>
      </c>
      <c r="G236" s="31" t="s">
        <v>13</v>
      </c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30">
        <v>235.0</v>
      </c>
      <c r="B237" s="31" t="s">
        <v>1307</v>
      </c>
      <c r="C237" s="31" t="s">
        <v>13</v>
      </c>
      <c r="D237" s="31" t="s">
        <v>13</v>
      </c>
      <c r="E237" s="31" t="s">
        <v>13</v>
      </c>
      <c r="F237" s="31" t="s">
        <v>13</v>
      </c>
      <c r="G237" s="31" t="s">
        <v>13</v>
      </c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30">
        <v>236.0</v>
      </c>
      <c r="B238" s="31" t="s">
        <v>1308</v>
      </c>
      <c r="C238" s="31" t="s">
        <v>13</v>
      </c>
      <c r="D238" s="31">
        <v>1.2717464E7</v>
      </c>
      <c r="E238" s="31" t="s">
        <v>13</v>
      </c>
      <c r="F238" s="31" t="s">
        <v>346</v>
      </c>
      <c r="G238" s="31" t="s">
        <v>13</v>
      </c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30">
        <v>237.0</v>
      </c>
      <c r="B239" s="31" t="s">
        <v>1309</v>
      </c>
      <c r="C239" s="31" t="s">
        <v>13</v>
      </c>
      <c r="D239" s="31">
        <v>1.381606E7</v>
      </c>
      <c r="E239" s="31" t="s">
        <v>13</v>
      </c>
      <c r="F239" s="31" t="s">
        <v>1310</v>
      </c>
      <c r="G239" s="31" t="s">
        <v>13</v>
      </c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30">
        <v>238.0</v>
      </c>
      <c r="B240" s="31" t="s">
        <v>1311</v>
      </c>
      <c r="C240" s="31" t="s">
        <v>13</v>
      </c>
      <c r="D240" s="31" t="s">
        <v>13</v>
      </c>
      <c r="E240" s="31" t="s">
        <v>13</v>
      </c>
      <c r="F240" s="31" t="s">
        <v>13</v>
      </c>
      <c r="G240" s="31" t="s">
        <v>13</v>
      </c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30">
        <v>239.0</v>
      </c>
      <c r="B241" s="31" t="s">
        <v>1312</v>
      </c>
      <c r="C241" s="31" t="s">
        <v>13</v>
      </c>
      <c r="D241" s="31" t="s">
        <v>13</v>
      </c>
      <c r="E241" s="31" t="s">
        <v>13</v>
      </c>
      <c r="F241" s="31" t="s">
        <v>13</v>
      </c>
      <c r="G241" s="31" t="s">
        <v>13</v>
      </c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30">
        <v>240.0</v>
      </c>
      <c r="B242" s="31" t="s">
        <v>1313</v>
      </c>
      <c r="C242" s="31" t="s">
        <v>13</v>
      </c>
      <c r="D242" s="31" t="s">
        <v>13</v>
      </c>
      <c r="E242" s="31" t="s">
        <v>13</v>
      </c>
      <c r="F242" s="31" t="s">
        <v>13</v>
      </c>
      <c r="G242" s="31" t="s">
        <v>13</v>
      </c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30">
        <v>241.0</v>
      </c>
      <c r="B243" s="31" t="s">
        <v>838</v>
      </c>
      <c r="C243" s="31">
        <v>57.0</v>
      </c>
      <c r="D243" s="31" t="s">
        <v>13</v>
      </c>
      <c r="E243" s="31" t="s">
        <v>13</v>
      </c>
      <c r="F243" s="31" t="s">
        <v>346</v>
      </c>
      <c r="G243" s="31" t="s">
        <v>13</v>
      </c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30">
        <v>242.0</v>
      </c>
      <c r="B244" s="31" t="s">
        <v>1314</v>
      </c>
      <c r="C244" s="31" t="s">
        <v>13</v>
      </c>
      <c r="D244" s="31">
        <v>7995694.0</v>
      </c>
      <c r="E244" s="31" t="s">
        <v>13</v>
      </c>
      <c r="F244" s="31" t="s">
        <v>1074</v>
      </c>
      <c r="G244" s="31" t="s">
        <v>13</v>
      </c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30">
        <v>243.0</v>
      </c>
      <c r="B245" s="31" t="s">
        <v>1315</v>
      </c>
      <c r="C245" s="31" t="s">
        <v>13</v>
      </c>
      <c r="D245" s="31" t="s">
        <v>13</v>
      </c>
      <c r="E245" s="31" t="s">
        <v>13</v>
      </c>
      <c r="F245" s="31" t="s">
        <v>13</v>
      </c>
      <c r="G245" s="31" t="s">
        <v>13</v>
      </c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30">
        <v>244.0</v>
      </c>
      <c r="B246" s="31" t="s">
        <v>1316</v>
      </c>
      <c r="C246" s="31" t="s">
        <v>13</v>
      </c>
      <c r="D246" s="31" t="s">
        <v>13</v>
      </c>
      <c r="E246" s="31" t="s">
        <v>13</v>
      </c>
      <c r="F246" s="31" t="s">
        <v>13</v>
      </c>
      <c r="G246" s="31" t="s">
        <v>13</v>
      </c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30">
        <v>245.0</v>
      </c>
      <c r="B247" s="31" t="s">
        <v>1317</v>
      </c>
      <c r="C247" s="31" t="s">
        <v>13</v>
      </c>
      <c r="D247" s="31" t="s">
        <v>13</v>
      </c>
      <c r="E247" s="31" t="s">
        <v>13</v>
      </c>
      <c r="F247" s="31" t="s">
        <v>13</v>
      </c>
      <c r="G247" s="31" t="s">
        <v>13</v>
      </c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30">
        <v>246.0</v>
      </c>
      <c r="B248" s="31" t="s">
        <v>1318</v>
      </c>
      <c r="C248" s="31" t="s">
        <v>13</v>
      </c>
      <c r="D248" s="31" t="s">
        <v>13</v>
      </c>
      <c r="E248" s="31" t="s">
        <v>13</v>
      </c>
      <c r="F248" s="31" t="s">
        <v>13</v>
      </c>
      <c r="G248" s="31" t="s">
        <v>13</v>
      </c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30">
        <v>247.0</v>
      </c>
      <c r="B249" s="31" t="s">
        <v>1319</v>
      </c>
      <c r="C249" s="31" t="s">
        <v>13</v>
      </c>
      <c r="D249" s="31">
        <v>1.5929488E7</v>
      </c>
      <c r="E249" s="31" t="s">
        <v>13</v>
      </c>
      <c r="F249" s="31" t="s">
        <v>1320</v>
      </c>
      <c r="G249" s="31" t="s">
        <v>13</v>
      </c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30">
        <v>248.0</v>
      </c>
      <c r="B250" s="31" t="s">
        <v>1319</v>
      </c>
      <c r="C250" s="31" t="s">
        <v>13</v>
      </c>
      <c r="D250" s="31" t="s">
        <v>13</v>
      </c>
      <c r="E250" s="31" t="s">
        <v>13</v>
      </c>
      <c r="F250" s="31" t="s">
        <v>13</v>
      </c>
      <c r="G250" s="31" t="s">
        <v>13</v>
      </c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30">
        <v>249.0</v>
      </c>
      <c r="B251" s="31" t="s">
        <v>1321</v>
      </c>
      <c r="C251" s="31" t="s">
        <v>13</v>
      </c>
      <c r="D251" s="31">
        <v>1.21629E7</v>
      </c>
      <c r="E251" s="31" t="s">
        <v>13</v>
      </c>
      <c r="F251" s="31" t="s">
        <v>330</v>
      </c>
      <c r="G251" s="31" t="s">
        <v>13</v>
      </c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30">
        <v>250.0</v>
      </c>
      <c r="B252" s="31" t="s">
        <v>1322</v>
      </c>
      <c r="C252" s="31" t="s">
        <v>13</v>
      </c>
      <c r="D252" s="31">
        <v>1777176.0</v>
      </c>
      <c r="E252" s="31" t="s">
        <v>13</v>
      </c>
      <c r="F252" s="31" t="s">
        <v>13</v>
      </c>
      <c r="G252" s="31" t="s">
        <v>13</v>
      </c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30">
        <v>251.0</v>
      </c>
      <c r="B253" s="31" t="s">
        <v>1323</v>
      </c>
      <c r="C253" s="31" t="s">
        <v>13</v>
      </c>
      <c r="D253" s="31" t="s">
        <v>13</v>
      </c>
      <c r="E253" s="31" t="s">
        <v>13</v>
      </c>
      <c r="F253" s="31" t="s">
        <v>13</v>
      </c>
      <c r="G253" s="31" t="s">
        <v>13</v>
      </c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30">
        <v>252.0</v>
      </c>
      <c r="B254" s="31" t="s">
        <v>1324</v>
      </c>
      <c r="C254" s="31" t="s">
        <v>13</v>
      </c>
      <c r="D254" s="31" t="s">
        <v>13</v>
      </c>
      <c r="E254" s="31" t="s">
        <v>13</v>
      </c>
      <c r="F254" s="31" t="s">
        <v>13</v>
      </c>
      <c r="G254" s="31" t="s">
        <v>13</v>
      </c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30">
        <v>253.0</v>
      </c>
      <c r="B255" s="31" t="s">
        <v>1325</v>
      </c>
      <c r="C255" s="31" t="s">
        <v>13</v>
      </c>
      <c r="D255" s="31" t="s">
        <v>13</v>
      </c>
      <c r="E255" s="31" t="s">
        <v>13</v>
      </c>
      <c r="F255" s="31" t="s">
        <v>1326</v>
      </c>
      <c r="G255" s="31" t="s">
        <v>13</v>
      </c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30">
        <v>254.0</v>
      </c>
      <c r="B256" s="31" t="s">
        <v>1327</v>
      </c>
      <c r="C256" s="31">
        <v>1.0</v>
      </c>
      <c r="D256" s="31" t="s">
        <v>14</v>
      </c>
      <c r="E256" s="31" t="s">
        <v>13</v>
      </c>
      <c r="F256" s="31" t="s">
        <v>13</v>
      </c>
      <c r="G256" s="31" t="s">
        <v>15</v>
      </c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30">
        <v>255.0</v>
      </c>
      <c r="B257" s="31" t="s">
        <v>1328</v>
      </c>
      <c r="C257" s="31">
        <v>12.0</v>
      </c>
      <c r="D257" s="31" t="s">
        <v>13</v>
      </c>
      <c r="E257" s="31" t="s">
        <v>13</v>
      </c>
      <c r="F257" s="31" t="s">
        <v>1107</v>
      </c>
      <c r="G257" s="31" t="s">
        <v>13</v>
      </c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30">
        <v>256.0</v>
      </c>
      <c r="B258" s="31" t="s">
        <v>1329</v>
      </c>
      <c r="C258" s="31" t="s">
        <v>13</v>
      </c>
      <c r="D258" s="31" t="s">
        <v>13</v>
      </c>
      <c r="E258" s="31" t="s">
        <v>13</v>
      </c>
      <c r="F258" s="31" t="s">
        <v>13</v>
      </c>
      <c r="G258" s="31" t="s">
        <v>13</v>
      </c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30">
        <v>257.0</v>
      </c>
      <c r="B259" s="31" t="s">
        <v>1330</v>
      </c>
      <c r="C259" s="31" t="s">
        <v>13</v>
      </c>
      <c r="D259" s="31" t="s">
        <v>13</v>
      </c>
      <c r="E259" s="31" t="s">
        <v>13</v>
      </c>
      <c r="F259" s="31" t="s">
        <v>13</v>
      </c>
      <c r="G259" s="31" t="s">
        <v>13</v>
      </c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30">
        <v>258.0</v>
      </c>
      <c r="B260" s="31" t="s">
        <v>1331</v>
      </c>
      <c r="C260" s="31">
        <v>45.0</v>
      </c>
      <c r="D260" s="31" t="s">
        <v>13</v>
      </c>
      <c r="E260" s="31" t="s">
        <v>13</v>
      </c>
      <c r="F260" s="31" t="s">
        <v>346</v>
      </c>
      <c r="G260" s="31" t="s">
        <v>13</v>
      </c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30">
        <v>259.0</v>
      </c>
      <c r="B261" s="31" t="s">
        <v>1024</v>
      </c>
      <c r="C261" s="31" t="s">
        <v>13</v>
      </c>
      <c r="D261" s="31" t="s">
        <v>13</v>
      </c>
      <c r="E261" s="31" t="s">
        <v>13</v>
      </c>
      <c r="F261" s="31" t="s">
        <v>13</v>
      </c>
      <c r="G261" s="31" t="s">
        <v>13</v>
      </c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30">
        <v>260.0</v>
      </c>
      <c r="B262" s="31" t="s">
        <v>1332</v>
      </c>
      <c r="C262" s="31" t="s">
        <v>13</v>
      </c>
      <c r="D262" s="31">
        <v>2.0560612E7</v>
      </c>
      <c r="E262" s="31" t="s">
        <v>13</v>
      </c>
      <c r="F262" s="31" t="s">
        <v>1088</v>
      </c>
      <c r="G262" s="31" t="s">
        <v>13</v>
      </c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30">
        <v>261.0</v>
      </c>
      <c r="B263" s="31" t="s">
        <v>1333</v>
      </c>
      <c r="C263" s="31">
        <v>32.0</v>
      </c>
      <c r="D263" s="31" t="s">
        <v>13</v>
      </c>
      <c r="E263" s="31" t="s">
        <v>13</v>
      </c>
      <c r="F263" s="31" t="s">
        <v>1078</v>
      </c>
      <c r="G263" s="31" t="s">
        <v>13</v>
      </c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30">
        <v>262.0</v>
      </c>
      <c r="B264" s="31" t="s">
        <v>1334</v>
      </c>
      <c r="C264" s="31" t="s">
        <v>13</v>
      </c>
      <c r="D264" s="31">
        <v>2.2250708E7</v>
      </c>
      <c r="E264" s="31" t="s">
        <v>13</v>
      </c>
      <c r="F264" s="31" t="s">
        <v>13</v>
      </c>
      <c r="G264" s="31" t="s">
        <v>13</v>
      </c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30">
        <v>263.0</v>
      </c>
      <c r="B265" s="31" t="s">
        <v>1335</v>
      </c>
      <c r="C265" s="31">
        <v>44.0</v>
      </c>
      <c r="D265" s="31" t="s">
        <v>13</v>
      </c>
      <c r="E265" s="31" t="s">
        <v>13</v>
      </c>
      <c r="F265" s="31" t="s">
        <v>346</v>
      </c>
      <c r="G265" s="31" t="s">
        <v>13</v>
      </c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30">
        <v>264.0</v>
      </c>
      <c r="B266" s="31" t="s">
        <v>1336</v>
      </c>
      <c r="C266" s="31" t="s">
        <v>13</v>
      </c>
      <c r="D266" s="31" t="s">
        <v>13</v>
      </c>
      <c r="E266" s="31" t="s">
        <v>13</v>
      </c>
      <c r="F266" s="31" t="s">
        <v>346</v>
      </c>
      <c r="G266" s="31" t="s">
        <v>13</v>
      </c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30">
        <v>265.0</v>
      </c>
      <c r="B267" s="31" t="s">
        <v>1337</v>
      </c>
      <c r="C267" s="31" t="s">
        <v>13</v>
      </c>
      <c r="D267" s="31" t="s">
        <v>13</v>
      </c>
      <c r="E267" s="31" t="s">
        <v>13</v>
      </c>
      <c r="F267" s="31" t="s">
        <v>13</v>
      </c>
      <c r="G267" s="31" t="s">
        <v>13</v>
      </c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30">
        <v>266.0</v>
      </c>
      <c r="B268" s="31" t="s">
        <v>884</v>
      </c>
      <c r="C268" s="31">
        <v>13.0</v>
      </c>
      <c r="D268" s="31" t="s">
        <v>1338</v>
      </c>
      <c r="E268" s="31" t="s">
        <v>13</v>
      </c>
      <c r="F268" s="31" t="s">
        <v>13</v>
      </c>
      <c r="G268" s="31" t="s">
        <v>15</v>
      </c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30">
        <v>267.0</v>
      </c>
      <c r="B269" s="31" t="s">
        <v>1339</v>
      </c>
      <c r="C269" s="31" t="s">
        <v>13</v>
      </c>
      <c r="D269" s="31" t="s">
        <v>14</v>
      </c>
      <c r="E269" s="31" t="s">
        <v>13</v>
      </c>
      <c r="F269" s="31" t="s">
        <v>13</v>
      </c>
      <c r="G269" s="31" t="s">
        <v>15</v>
      </c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30">
        <v>268.0</v>
      </c>
      <c r="B270" s="31" t="s">
        <v>1340</v>
      </c>
      <c r="C270" s="31">
        <v>45.0</v>
      </c>
      <c r="D270" s="31" t="s">
        <v>14</v>
      </c>
      <c r="E270" s="31" t="s">
        <v>13</v>
      </c>
      <c r="F270" s="31" t="s">
        <v>13</v>
      </c>
      <c r="G270" s="31" t="s">
        <v>15</v>
      </c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30">
        <v>269.0</v>
      </c>
      <c r="B271" s="31" t="s">
        <v>1341</v>
      </c>
      <c r="C271" s="31" t="s">
        <v>13</v>
      </c>
      <c r="D271" s="31">
        <v>2.9815405E7</v>
      </c>
      <c r="E271" s="31" t="s">
        <v>13</v>
      </c>
      <c r="F271" s="31" t="s">
        <v>545</v>
      </c>
      <c r="G271" s="31" t="s">
        <v>13</v>
      </c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30">
        <v>270.0</v>
      </c>
      <c r="B272" s="31" t="s">
        <v>1342</v>
      </c>
      <c r="C272" s="31">
        <v>32.0</v>
      </c>
      <c r="D272" s="31" t="s">
        <v>13</v>
      </c>
      <c r="E272" s="31" t="s">
        <v>13</v>
      </c>
      <c r="F272" s="31" t="s">
        <v>13</v>
      </c>
      <c r="G272" s="31" t="s">
        <v>13</v>
      </c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30">
        <v>271.0</v>
      </c>
      <c r="B273" s="31" t="s">
        <v>1343</v>
      </c>
      <c r="C273" s="31" t="s">
        <v>13</v>
      </c>
      <c r="D273" s="31" t="s">
        <v>13</v>
      </c>
      <c r="E273" s="31" t="s">
        <v>13</v>
      </c>
      <c r="F273" s="31" t="s">
        <v>13</v>
      </c>
      <c r="G273" s="31" t="s">
        <v>13</v>
      </c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30">
        <v>272.0</v>
      </c>
      <c r="B274" s="31" t="s">
        <v>1344</v>
      </c>
      <c r="C274" s="31" t="s">
        <v>13</v>
      </c>
      <c r="D274" s="31" t="s">
        <v>13</v>
      </c>
      <c r="E274" s="31" t="s">
        <v>13</v>
      </c>
      <c r="F274" s="31" t="s">
        <v>986</v>
      </c>
      <c r="G274" s="31" t="s">
        <v>13</v>
      </c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30">
        <v>273.0</v>
      </c>
      <c r="B275" s="31" t="s">
        <v>1345</v>
      </c>
      <c r="C275" s="31" t="s">
        <v>13</v>
      </c>
      <c r="D275" s="31" t="s">
        <v>13</v>
      </c>
      <c r="E275" s="31" t="s">
        <v>13</v>
      </c>
      <c r="F275" s="31" t="s">
        <v>1088</v>
      </c>
      <c r="G275" s="31" t="s">
        <v>13</v>
      </c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30">
        <v>274.0</v>
      </c>
      <c r="B276" s="31" t="s">
        <v>1346</v>
      </c>
      <c r="C276" s="31" t="s">
        <v>13</v>
      </c>
      <c r="D276" s="31" t="s">
        <v>13</v>
      </c>
      <c r="E276" s="31" t="s">
        <v>13</v>
      </c>
      <c r="F276" s="31" t="s">
        <v>13</v>
      </c>
      <c r="G276" s="31" t="s">
        <v>13</v>
      </c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30">
        <v>275.0</v>
      </c>
      <c r="B277" s="31" t="s">
        <v>1347</v>
      </c>
      <c r="C277" s="31" t="s">
        <v>13</v>
      </c>
      <c r="D277" s="31" t="s">
        <v>13</v>
      </c>
      <c r="E277" s="31" t="s">
        <v>13</v>
      </c>
      <c r="F277" s="31" t="s">
        <v>13</v>
      </c>
      <c r="G277" s="31" t="s">
        <v>13</v>
      </c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30">
        <v>276.0</v>
      </c>
      <c r="B278" s="31" t="s">
        <v>1348</v>
      </c>
      <c r="C278" s="31">
        <v>84.0</v>
      </c>
      <c r="D278" s="31">
        <v>3147495.0</v>
      </c>
      <c r="E278" s="31" t="s">
        <v>13</v>
      </c>
      <c r="F278" s="31" t="s">
        <v>346</v>
      </c>
      <c r="G278" s="31" t="s">
        <v>13</v>
      </c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30">
        <v>277.0</v>
      </c>
      <c r="B279" s="31" t="s">
        <v>1349</v>
      </c>
      <c r="C279" s="31" t="s">
        <v>13</v>
      </c>
      <c r="D279" s="31" t="s">
        <v>13</v>
      </c>
      <c r="E279" s="31" t="s">
        <v>13</v>
      </c>
      <c r="F279" s="31" t="s">
        <v>986</v>
      </c>
      <c r="G279" s="31" t="s">
        <v>13</v>
      </c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30">
        <v>278.0</v>
      </c>
      <c r="B280" s="31" t="s">
        <v>1350</v>
      </c>
      <c r="C280" s="31" t="s">
        <v>13</v>
      </c>
      <c r="D280" s="31" t="s">
        <v>13</v>
      </c>
      <c r="E280" s="31" t="s">
        <v>13</v>
      </c>
      <c r="F280" s="31" t="s">
        <v>13</v>
      </c>
      <c r="G280" s="31" t="s">
        <v>13</v>
      </c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30">
        <v>279.0</v>
      </c>
      <c r="B281" s="31" t="s">
        <v>905</v>
      </c>
      <c r="C281" s="31">
        <v>15.0</v>
      </c>
      <c r="D281" s="31" t="s">
        <v>1351</v>
      </c>
      <c r="E281" s="31" t="s">
        <v>13</v>
      </c>
      <c r="F281" s="31" t="s">
        <v>13</v>
      </c>
      <c r="G281" s="31" t="s">
        <v>15</v>
      </c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30">
        <v>280.0</v>
      </c>
      <c r="B282" s="31" t="s">
        <v>1352</v>
      </c>
      <c r="C282" s="31" t="s">
        <v>13</v>
      </c>
      <c r="D282" s="31">
        <v>2.6131879E7</v>
      </c>
      <c r="E282" s="31" t="s">
        <v>13</v>
      </c>
      <c r="F282" s="31" t="s">
        <v>545</v>
      </c>
      <c r="G282" s="31" t="s">
        <v>13</v>
      </c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30">
        <v>281.0</v>
      </c>
      <c r="B283" s="31" t="s">
        <v>1353</v>
      </c>
      <c r="C283" s="31">
        <v>30.0</v>
      </c>
      <c r="D283" s="31">
        <v>2.5574216E7</v>
      </c>
      <c r="E283" s="31" t="s">
        <v>13</v>
      </c>
      <c r="F283" s="31" t="s">
        <v>545</v>
      </c>
      <c r="G283" s="31" t="s">
        <v>13</v>
      </c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30">
        <v>282.0</v>
      </c>
      <c r="B284" s="31" t="s">
        <v>1354</v>
      </c>
      <c r="C284" s="31" t="s">
        <v>13</v>
      </c>
      <c r="D284" s="31" t="s">
        <v>13</v>
      </c>
      <c r="E284" s="31" t="s">
        <v>13</v>
      </c>
      <c r="F284" s="31" t="s">
        <v>13</v>
      </c>
      <c r="G284" s="31" t="s">
        <v>13</v>
      </c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30">
        <v>283.0</v>
      </c>
      <c r="B285" s="31" t="s">
        <v>1355</v>
      </c>
      <c r="C285" s="31" t="s">
        <v>13</v>
      </c>
      <c r="D285" s="31" t="s">
        <v>13</v>
      </c>
      <c r="E285" s="31" t="s">
        <v>13</v>
      </c>
      <c r="F285" s="31" t="s">
        <v>13</v>
      </c>
      <c r="G285" s="31" t="s">
        <v>13</v>
      </c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30">
        <v>284.0</v>
      </c>
      <c r="B286" s="31" t="s">
        <v>1356</v>
      </c>
      <c r="C286" s="31">
        <v>54.0</v>
      </c>
      <c r="D286" s="31">
        <v>1.1692456E7</v>
      </c>
      <c r="E286" s="31" t="s">
        <v>13</v>
      </c>
      <c r="F286" s="31" t="s">
        <v>346</v>
      </c>
      <c r="G286" s="31" t="s">
        <v>13</v>
      </c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30">
        <v>285.0</v>
      </c>
      <c r="B287" s="31" t="s">
        <v>1357</v>
      </c>
      <c r="C287" s="31">
        <v>40.0</v>
      </c>
      <c r="D287" s="31" t="s">
        <v>14</v>
      </c>
      <c r="E287" s="31" t="s">
        <v>13</v>
      </c>
      <c r="F287" s="31" t="s">
        <v>13</v>
      </c>
      <c r="G287" s="31" t="s">
        <v>15</v>
      </c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30">
        <v>286.0</v>
      </c>
      <c r="B288" s="31" t="s">
        <v>1358</v>
      </c>
      <c r="C288" s="31">
        <v>40.0</v>
      </c>
      <c r="D288" s="31">
        <v>1.688843E7</v>
      </c>
      <c r="E288" s="31" t="s">
        <v>13</v>
      </c>
      <c r="F288" s="31" t="s">
        <v>1126</v>
      </c>
      <c r="G288" s="31" t="s">
        <v>13</v>
      </c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30">
        <v>287.0</v>
      </c>
      <c r="B289" s="31" t="s">
        <v>1359</v>
      </c>
      <c r="C289" s="31">
        <v>45.0</v>
      </c>
      <c r="D289" s="31">
        <v>1.650999E7</v>
      </c>
      <c r="E289" s="31" t="s">
        <v>13</v>
      </c>
      <c r="F289" s="31" t="s">
        <v>1088</v>
      </c>
      <c r="G289" s="31" t="s">
        <v>13</v>
      </c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30">
        <v>288.0</v>
      </c>
      <c r="B290" s="31" t="s">
        <v>1360</v>
      </c>
      <c r="C290" s="31" t="s">
        <v>13</v>
      </c>
      <c r="D290" s="31" t="s">
        <v>13</v>
      </c>
      <c r="E290" s="31" t="s">
        <v>13</v>
      </c>
      <c r="F290" s="31" t="s">
        <v>13</v>
      </c>
      <c r="G290" s="31" t="s">
        <v>13</v>
      </c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38">
        <v>289.0</v>
      </c>
      <c r="B291" s="38" t="s">
        <v>1361</v>
      </c>
      <c r="C291" s="38" t="s">
        <v>13</v>
      </c>
      <c r="D291" s="38" t="s">
        <v>13</v>
      </c>
      <c r="E291" s="38" t="s">
        <v>13</v>
      </c>
      <c r="F291" s="38" t="s">
        <v>13</v>
      </c>
      <c r="G291" s="38" t="s">
        <v>13</v>
      </c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38">
        <v>290.0</v>
      </c>
      <c r="B292" s="38" t="s">
        <v>1362</v>
      </c>
      <c r="C292" s="38" t="s">
        <v>13</v>
      </c>
      <c r="D292" s="38" t="s">
        <v>13</v>
      </c>
      <c r="E292" s="38" t="s">
        <v>13</v>
      </c>
      <c r="F292" s="38" t="s">
        <v>346</v>
      </c>
      <c r="G292" s="38" t="s">
        <v>13</v>
      </c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38">
        <v>291.0</v>
      </c>
      <c r="B293" s="38" t="s">
        <v>1363</v>
      </c>
      <c r="C293" s="38" t="s">
        <v>13</v>
      </c>
      <c r="D293" s="38" t="s">
        <v>13</v>
      </c>
      <c r="E293" s="38" t="s">
        <v>13</v>
      </c>
      <c r="F293" s="38" t="s">
        <v>13</v>
      </c>
      <c r="G293" s="38" t="s">
        <v>13</v>
      </c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38">
        <v>292.0</v>
      </c>
      <c r="B294" s="38" t="s">
        <v>1364</v>
      </c>
      <c r="C294" s="38" t="s">
        <v>13</v>
      </c>
      <c r="D294" s="38" t="s">
        <v>13</v>
      </c>
      <c r="E294" s="38" t="s">
        <v>13</v>
      </c>
      <c r="F294" s="38" t="s">
        <v>13</v>
      </c>
      <c r="G294" s="38" t="s">
        <v>13</v>
      </c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38">
        <v>293.0</v>
      </c>
      <c r="B295" s="38" t="s">
        <v>1365</v>
      </c>
      <c r="C295" s="38" t="s">
        <v>13</v>
      </c>
      <c r="D295" s="38" t="s">
        <v>13</v>
      </c>
      <c r="E295" s="38" t="s">
        <v>13</v>
      </c>
      <c r="F295" s="38" t="s">
        <v>13</v>
      </c>
      <c r="G295" s="38" t="s">
        <v>13</v>
      </c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38">
        <v>294.0</v>
      </c>
      <c r="B296" s="38" t="s">
        <v>1366</v>
      </c>
      <c r="C296" s="38" t="s">
        <v>13</v>
      </c>
      <c r="D296" s="38" t="s">
        <v>13</v>
      </c>
      <c r="E296" s="38" t="s">
        <v>13</v>
      </c>
      <c r="F296" s="38" t="s">
        <v>13</v>
      </c>
      <c r="G296" s="38" t="s">
        <v>13</v>
      </c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38">
        <v>295.0</v>
      </c>
      <c r="B297" s="38" t="s">
        <v>1367</v>
      </c>
      <c r="C297" s="38" t="s">
        <v>13</v>
      </c>
      <c r="D297" s="38" t="s">
        <v>13</v>
      </c>
      <c r="E297" s="38" t="s">
        <v>13</v>
      </c>
      <c r="F297" s="38" t="s">
        <v>13</v>
      </c>
      <c r="G297" s="38" t="s">
        <v>13</v>
      </c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38">
        <v>296.0</v>
      </c>
      <c r="B298" s="38" t="s">
        <v>1368</v>
      </c>
      <c r="C298" s="38" t="s">
        <v>13</v>
      </c>
      <c r="D298" s="38">
        <v>3.2304284E7</v>
      </c>
      <c r="E298" s="38" t="s">
        <v>13</v>
      </c>
      <c r="F298" s="38" t="s">
        <v>13</v>
      </c>
      <c r="G298" s="38" t="s">
        <v>13</v>
      </c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38">
        <v>297.0</v>
      </c>
      <c r="B299" s="38" t="s">
        <v>1369</v>
      </c>
      <c r="C299" s="38">
        <v>8.0</v>
      </c>
      <c r="D299" s="38" t="s">
        <v>13</v>
      </c>
      <c r="E299" s="38" t="s">
        <v>13</v>
      </c>
      <c r="F299" s="38" t="s">
        <v>1370</v>
      </c>
      <c r="G299" s="38" t="s">
        <v>13</v>
      </c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38">
        <v>298.0</v>
      </c>
      <c r="B300" s="38" t="s">
        <v>1371</v>
      </c>
      <c r="C300" s="38" t="s">
        <v>13</v>
      </c>
      <c r="D300" s="38">
        <v>2.6363021E7</v>
      </c>
      <c r="E300" s="38" t="s">
        <v>13</v>
      </c>
      <c r="F300" s="38" t="s">
        <v>1370</v>
      </c>
      <c r="G300" s="38" t="s">
        <v>13</v>
      </c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38">
        <v>299.0</v>
      </c>
      <c r="B301" s="38" t="s">
        <v>1372</v>
      </c>
      <c r="C301" s="38" t="s">
        <v>13</v>
      </c>
      <c r="D301" s="38">
        <v>1.8923829E7</v>
      </c>
      <c r="E301" s="38" t="s">
        <v>13</v>
      </c>
      <c r="F301" s="38" t="s">
        <v>1373</v>
      </c>
      <c r="G301" s="38" t="s">
        <v>13</v>
      </c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38">
        <v>300.0</v>
      </c>
      <c r="B302" s="38" t="s">
        <v>1374</v>
      </c>
      <c r="C302" s="38" t="s">
        <v>13</v>
      </c>
      <c r="D302" s="38" t="s">
        <v>13</v>
      </c>
      <c r="E302" s="38" t="s">
        <v>13</v>
      </c>
      <c r="F302" s="38" t="s">
        <v>13</v>
      </c>
      <c r="G302" s="38" t="s">
        <v>13</v>
      </c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38">
        <v>301.0</v>
      </c>
      <c r="B303" s="38" t="s">
        <v>1375</v>
      </c>
      <c r="C303" s="38" t="s">
        <v>13</v>
      </c>
      <c r="D303" s="38">
        <v>6487637.0</v>
      </c>
      <c r="E303" s="38" t="s">
        <v>13</v>
      </c>
      <c r="F303" s="38" t="s">
        <v>545</v>
      </c>
      <c r="G303" s="38" t="s">
        <v>13</v>
      </c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38">
        <v>302.0</v>
      </c>
      <c r="B304" s="38" t="s">
        <v>1376</v>
      </c>
      <c r="C304" s="38" t="s">
        <v>13</v>
      </c>
      <c r="D304" s="38" t="s">
        <v>13</v>
      </c>
      <c r="E304" s="38" t="s">
        <v>13</v>
      </c>
      <c r="F304" s="38" t="s">
        <v>13</v>
      </c>
      <c r="G304" s="38" t="s">
        <v>13</v>
      </c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38">
        <v>303.0</v>
      </c>
      <c r="B305" s="38" t="s">
        <v>1377</v>
      </c>
      <c r="C305" s="38" t="s">
        <v>13</v>
      </c>
      <c r="D305" s="38" t="s">
        <v>13</v>
      </c>
      <c r="E305" s="38" t="s">
        <v>13</v>
      </c>
      <c r="F305" s="38" t="s">
        <v>13</v>
      </c>
      <c r="G305" s="38" t="s">
        <v>13</v>
      </c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38">
        <v>304.0</v>
      </c>
      <c r="B306" s="38" t="s">
        <v>1378</v>
      </c>
      <c r="C306" s="38" t="s">
        <v>13</v>
      </c>
      <c r="D306" s="38" t="s">
        <v>13</v>
      </c>
      <c r="E306" s="38" t="s">
        <v>13</v>
      </c>
      <c r="F306" s="38" t="s">
        <v>1126</v>
      </c>
      <c r="G306" s="38" t="s">
        <v>13</v>
      </c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38">
        <v>305.0</v>
      </c>
      <c r="B307" s="38" t="s">
        <v>1379</v>
      </c>
      <c r="C307" s="38">
        <v>37.0</v>
      </c>
      <c r="D307" s="38" t="s">
        <v>13</v>
      </c>
      <c r="E307" s="38" t="s">
        <v>13</v>
      </c>
      <c r="F307" s="38" t="s">
        <v>346</v>
      </c>
      <c r="G307" s="38" t="s">
        <v>13</v>
      </c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38">
        <v>306.0</v>
      </c>
      <c r="B308" s="38" t="s">
        <v>933</v>
      </c>
      <c r="C308" s="38" t="s">
        <v>13</v>
      </c>
      <c r="D308" s="38">
        <v>1.1966827E7</v>
      </c>
      <c r="E308" s="38" t="s">
        <v>13</v>
      </c>
      <c r="F308" s="38" t="s">
        <v>343</v>
      </c>
      <c r="G308" s="38" t="s">
        <v>13</v>
      </c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38">
        <v>307.0</v>
      </c>
      <c r="B309" s="38" t="s">
        <v>1380</v>
      </c>
      <c r="C309" s="38" t="s">
        <v>13</v>
      </c>
      <c r="D309" s="38" t="s">
        <v>13</v>
      </c>
      <c r="E309" s="38" t="s">
        <v>13</v>
      </c>
      <c r="F309" s="38" t="s">
        <v>13</v>
      </c>
      <c r="G309" s="38" t="s">
        <v>13</v>
      </c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38">
        <v>308.0</v>
      </c>
      <c r="B310" s="38" t="s">
        <v>1381</v>
      </c>
      <c r="C310" s="38">
        <v>38.0</v>
      </c>
      <c r="D310" s="38" t="s">
        <v>13</v>
      </c>
      <c r="E310" s="38" t="s">
        <v>13</v>
      </c>
      <c r="F310" s="38" t="s">
        <v>545</v>
      </c>
      <c r="G310" s="38" t="s">
        <v>13</v>
      </c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38">
        <v>309.0</v>
      </c>
      <c r="B311" s="38" t="s">
        <v>1382</v>
      </c>
      <c r="C311" s="38" t="s">
        <v>13</v>
      </c>
      <c r="D311" s="38" t="s">
        <v>13</v>
      </c>
      <c r="E311" s="38" t="s">
        <v>13</v>
      </c>
      <c r="F311" s="38" t="s">
        <v>13</v>
      </c>
      <c r="G311" s="38" t="s">
        <v>13</v>
      </c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38">
        <v>310.0</v>
      </c>
      <c r="B312" s="38" t="s">
        <v>1383</v>
      </c>
      <c r="C312" s="38" t="s">
        <v>13</v>
      </c>
      <c r="D312" s="38" t="s">
        <v>13</v>
      </c>
      <c r="E312" s="38" t="s">
        <v>13</v>
      </c>
      <c r="F312" s="38" t="s">
        <v>13</v>
      </c>
      <c r="G312" s="38" t="s">
        <v>13</v>
      </c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38">
        <v>311.0</v>
      </c>
      <c r="B313" s="38" t="s">
        <v>245</v>
      </c>
      <c r="C313" s="38" t="s">
        <v>13</v>
      </c>
      <c r="D313" s="38">
        <v>6225765.0</v>
      </c>
      <c r="E313" s="38" t="s">
        <v>13</v>
      </c>
      <c r="F313" s="38" t="s">
        <v>545</v>
      </c>
      <c r="G313" s="38" t="s">
        <v>13</v>
      </c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38">
        <v>312.0</v>
      </c>
      <c r="B314" s="38" t="s">
        <v>1384</v>
      </c>
      <c r="C314" s="38" t="s">
        <v>13</v>
      </c>
      <c r="D314" s="38" t="s">
        <v>13</v>
      </c>
      <c r="E314" s="38" t="s">
        <v>13</v>
      </c>
      <c r="F314" s="38" t="s">
        <v>1126</v>
      </c>
      <c r="G314" s="38" t="s">
        <v>13</v>
      </c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38">
        <v>313.0</v>
      </c>
      <c r="B315" s="38" t="s">
        <v>1385</v>
      </c>
      <c r="C315" s="38" t="s">
        <v>13</v>
      </c>
      <c r="D315" s="38" t="s">
        <v>13</v>
      </c>
      <c r="E315" s="38" t="s">
        <v>13</v>
      </c>
      <c r="F315" s="38" t="s">
        <v>13</v>
      </c>
      <c r="G315" s="38" t="s">
        <v>13</v>
      </c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38">
        <v>314.0</v>
      </c>
      <c r="B316" s="38" t="s">
        <v>1386</v>
      </c>
      <c r="C316" s="38">
        <v>8.0</v>
      </c>
      <c r="D316" s="38" t="s">
        <v>14</v>
      </c>
      <c r="E316" s="38"/>
      <c r="F316" s="38"/>
      <c r="G316" s="38" t="s">
        <v>15</v>
      </c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38">
        <v>315.0</v>
      </c>
      <c r="B317" s="38" t="s">
        <v>1387</v>
      </c>
      <c r="C317" s="38" t="s">
        <v>13</v>
      </c>
      <c r="D317" s="38" t="s">
        <v>13</v>
      </c>
      <c r="E317" s="38" t="s">
        <v>13</v>
      </c>
      <c r="F317" s="38" t="s">
        <v>13</v>
      </c>
      <c r="G317" s="38" t="s">
        <v>13</v>
      </c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38">
        <v>316.0</v>
      </c>
      <c r="B318" s="38" t="s">
        <v>1388</v>
      </c>
      <c r="C318" s="38">
        <v>84.0</v>
      </c>
      <c r="D318" s="38" t="s">
        <v>13</v>
      </c>
      <c r="E318" s="38" t="s">
        <v>13</v>
      </c>
      <c r="F318" s="38" t="s">
        <v>545</v>
      </c>
      <c r="G318" s="38" t="s">
        <v>13</v>
      </c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38">
        <v>317.0</v>
      </c>
      <c r="B319" s="38" t="s">
        <v>1389</v>
      </c>
      <c r="C319" s="38" t="s">
        <v>13</v>
      </c>
      <c r="D319" s="38" t="s">
        <v>13</v>
      </c>
      <c r="E319" s="38" t="s">
        <v>13</v>
      </c>
      <c r="F319" s="38" t="s">
        <v>1078</v>
      </c>
      <c r="G319" s="38" t="s">
        <v>13</v>
      </c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38">
        <v>318.0</v>
      </c>
      <c r="B320" s="38" t="s">
        <v>1390</v>
      </c>
      <c r="C320" s="38" t="s">
        <v>13</v>
      </c>
      <c r="D320" s="38" t="s">
        <v>13</v>
      </c>
      <c r="E320" s="38" t="s">
        <v>13</v>
      </c>
      <c r="F320" s="38" t="s">
        <v>13</v>
      </c>
      <c r="G320" s="38" t="s">
        <v>13</v>
      </c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38">
        <v>319.0</v>
      </c>
      <c r="B321" s="38" t="s">
        <v>1391</v>
      </c>
      <c r="C321" s="38" t="s">
        <v>13</v>
      </c>
      <c r="D321" s="38" t="s">
        <v>13</v>
      </c>
      <c r="E321" s="38" t="s">
        <v>13</v>
      </c>
      <c r="F321" s="38" t="s">
        <v>13</v>
      </c>
      <c r="G321" s="38" t="s">
        <v>13</v>
      </c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38">
        <v>320.0</v>
      </c>
      <c r="B322" s="38" t="s">
        <v>1392</v>
      </c>
      <c r="C322" s="38">
        <v>22.0</v>
      </c>
      <c r="D322" s="38" t="s">
        <v>14</v>
      </c>
      <c r="E322" s="38"/>
      <c r="F322" s="38"/>
      <c r="G322" s="38" t="s">
        <v>15</v>
      </c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38">
        <v>321.0</v>
      </c>
      <c r="B323" s="38" t="s">
        <v>1393</v>
      </c>
      <c r="C323" s="38" t="s">
        <v>13</v>
      </c>
      <c r="D323" s="38" t="s">
        <v>13</v>
      </c>
      <c r="E323" s="38" t="s">
        <v>13</v>
      </c>
      <c r="F323" s="38" t="s">
        <v>13</v>
      </c>
      <c r="G323" s="38" t="s">
        <v>13</v>
      </c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38">
        <v>322.0</v>
      </c>
      <c r="B324" s="38" t="s">
        <v>1394</v>
      </c>
      <c r="C324" s="38">
        <v>36.0</v>
      </c>
      <c r="D324" s="38" t="s">
        <v>14</v>
      </c>
      <c r="E324" s="38"/>
      <c r="F324" s="38"/>
      <c r="G324" s="38" t="s">
        <v>15</v>
      </c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autoFilter ref="$A$2:$G$2"/>
  <mergeCells count="1">
    <mergeCell ref="A1:G1"/>
  </mergeCells>
  <printOptions/>
  <pageMargins bottom="1.0" footer="0.0" header="0.0" left="0.75" right="0.75" top="1.0"/>
  <pageSetup paperSize="9"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7.5"/>
    <col customWidth="1" min="2" max="2" width="24.5"/>
    <col customWidth="1" min="3" max="3" width="8.75"/>
    <col customWidth="1" min="4" max="4" width="29.75"/>
    <col customWidth="1" min="5" max="5" width="21.0"/>
    <col customWidth="1" min="6" max="26" width="7.63"/>
  </cols>
  <sheetData>
    <row r="1">
      <c r="A1" s="127" t="s">
        <v>5250</v>
      </c>
      <c r="B1" s="127" t="s">
        <v>5251</v>
      </c>
      <c r="C1" s="127" t="s">
        <v>5252</v>
      </c>
      <c r="D1" s="127" t="s">
        <v>5253</v>
      </c>
      <c r="E1" s="127" t="s">
        <v>5254</v>
      </c>
    </row>
    <row r="2">
      <c r="A2" s="42" t="s">
        <v>5255</v>
      </c>
      <c r="E2" s="42" t="s">
        <v>5256</v>
      </c>
    </row>
    <row r="3">
      <c r="A3" s="42" t="s">
        <v>5257</v>
      </c>
      <c r="B3" s="42" t="s">
        <v>5258</v>
      </c>
      <c r="C3" s="42" t="s">
        <v>5259</v>
      </c>
      <c r="E3" s="42" t="s">
        <v>5260</v>
      </c>
    </row>
    <row r="4">
      <c r="A4" s="42" t="s">
        <v>5261</v>
      </c>
      <c r="B4" s="42" t="s">
        <v>5262</v>
      </c>
      <c r="E4" s="42" t="s">
        <v>5256</v>
      </c>
    </row>
    <row r="5">
      <c r="A5" s="42" t="s">
        <v>5263</v>
      </c>
      <c r="B5" s="42" t="s">
        <v>5264</v>
      </c>
      <c r="C5" s="42" t="s">
        <v>5265</v>
      </c>
      <c r="E5" s="42" t="s">
        <v>5260</v>
      </c>
    </row>
    <row r="6">
      <c r="A6" s="42" t="s">
        <v>5266</v>
      </c>
      <c r="B6" s="42" t="s">
        <v>5267</v>
      </c>
      <c r="D6" s="42" t="s">
        <v>3908</v>
      </c>
      <c r="E6" s="42" t="s">
        <v>5268</v>
      </c>
    </row>
    <row r="7">
      <c r="A7" s="42" t="s">
        <v>5269</v>
      </c>
      <c r="B7" s="42" t="s">
        <v>5270</v>
      </c>
      <c r="E7" s="42" t="s">
        <v>5256</v>
      </c>
    </row>
    <row r="8">
      <c r="A8" s="42" t="s">
        <v>5271</v>
      </c>
      <c r="B8" s="42" t="s">
        <v>5272</v>
      </c>
      <c r="C8" s="42" t="s">
        <v>5273</v>
      </c>
      <c r="E8" s="42" t="s">
        <v>5260</v>
      </c>
    </row>
    <row r="9">
      <c r="A9" s="42" t="s">
        <v>5271</v>
      </c>
      <c r="B9" s="42" t="s">
        <v>5274</v>
      </c>
      <c r="C9" s="42" t="s">
        <v>5273</v>
      </c>
      <c r="E9" s="42" t="s">
        <v>5260</v>
      </c>
    </row>
    <row r="10">
      <c r="A10" s="42" t="s">
        <v>5275</v>
      </c>
      <c r="B10" s="42" t="s">
        <v>5276</v>
      </c>
      <c r="E10" s="42" t="s">
        <v>5256</v>
      </c>
    </row>
    <row r="11">
      <c r="A11" s="42" t="s">
        <v>5277</v>
      </c>
      <c r="B11" s="42" t="s">
        <v>5278</v>
      </c>
      <c r="C11" s="42" t="s">
        <v>5279</v>
      </c>
      <c r="E11" s="42" t="s">
        <v>5260</v>
      </c>
    </row>
    <row r="12">
      <c r="A12" s="42" t="s">
        <v>5280</v>
      </c>
      <c r="B12" s="42" t="s">
        <v>5281</v>
      </c>
      <c r="E12" s="42" t="s">
        <v>5256</v>
      </c>
    </row>
    <row r="13">
      <c r="A13" s="42" t="s">
        <v>5282</v>
      </c>
      <c r="B13" s="42" t="s">
        <v>5267</v>
      </c>
      <c r="C13" s="42" t="s">
        <v>5283</v>
      </c>
      <c r="E13" s="42" t="s">
        <v>5260</v>
      </c>
    </row>
    <row r="14">
      <c r="A14" s="42" t="s">
        <v>5284</v>
      </c>
      <c r="B14" s="42" t="s">
        <v>5285</v>
      </c>
      <c r="C14" s="42" t="s">
        <v>5286</v>
      </c>
      <c r="E14" s="42" t="s">
        <v>5260</v>
      </c>
    </row>
    <row r="15">
      <c r="A15" s="42" t="s">
        <v>5287</v>
      </c>
      <c r="B15" s="42" t="s">
        <v>5288</v>
      </c>
      <c r="C15" s="42" t="s">
        <v>5289</v>
      </c>
      <c r="E15" s="42" t="s">
        <v>5260</v>
      </c>
    </row>
    <row r="16">
      <c r="A16" s="42" t="s">
        <v>5290</v>
      </c>
      <c r="B16" s="42" t="s">
        <v>5291</v>
      </c>
      <c r="E16" s="42" t="s">
        <v>5256</v>
      </c>
    </row>
    <row r="17">
      <c r="A17" s="42" t="s">
        <v>5292</v>
      </c>
      <c r="B17" s="42" t="s">
        <v>5293</v>
      </c>
      <c r="C17" s="42" t="s">
        <v>5294</v>
      </c>
      <c r="E17" s="42" t="s">
        <v>5260</v>
      </c>
    </row>
    <row r="18">
      <c r="A18" s="42" t="s">
        <v>5295</v>
      </c>
      <c r="B18" s="42" t="s">
        <v>5296</v>
      </c>
      <c r="C18" s="42" t="s">
        <v>5297</v>
      </c>
      <c r="E18" s="42" t="s">
        <v>5260</v>
      </c>
    </row>
    <row r="19">
      <c r="A19" s="42" t="s">
        <v>5298</v>
      </c>
      <c r="B19" s="42" t="s">
        <v>5299</v>
      </c>
      <c r="C19" s="42" t="s">
        <v>5300</v>
      </c>
      <c r="E19" s="42" t="s">
        <v>5260</v>
      </c>
    </row>
    <row r="20">
      <c r="A20" s="42" t="s">
        <v>5298</v>
      </c>
      <c r="B20" s="42" t="s">
        <v>5299</v>
      </c>
      <c r="C20" s="42" t="s">
        <v>5300</v>
      </c>
      <c r="E20" s="42" t="s">
        <v>5260</v>
      </c>
    </row>
    <row r="21">
      <c r="A21" s="42" t="s">
        <v>5301</v>
      </c>
      <c r="B21" s="42" t="s">
        <v>5302</v>
      </c>
      <c r="C21" s="42" t="s">
        <v>5303</v>
      </c>
      <c r="E21" s="42" t="s">
        <v>5260</v>
      </c>
    </row>
    <row r="22">
      <c r="A22" s="42" t="s">
        <v>5304</v>
      </c>
      <c r="B22" s="42" t="s">
        <v>5305</v>
      </c>
      <c r="E22" s="42" t="s">
        <v>5268</v>
      </c>
    </row>
    <row r="23">
      <c r="A23" s="42" t="s">
        <v>5306</v>
      </c>
      <c r="B23" s="42" t="s">
        <v>5307</v>
      </c>
      <c r="D23" s="42" t="s">
        <v>5308</v>
      </c>
      <c r="E23" s="42" t="s">
        <v>5268</v>
      </c>
    </row>
    <row r="24">
      <c r="A24" s="42" t="s">
        <v>5306</v>
      </c>
      <c r="B24" s="42" t="s">
        <v>5309</v>
      </c>
      <c r="D24" s="42" t="s">
        <v>5308</v>
      </c>
      <c r="E24" s="42" t="s">
        <v>5268</v>
      </c>
    </row>
    <row r="25">
      <c r="A25" s="42" t="s">
        <v>5310</v>
      </c>
      <c r="B25" s="42" t="s">
        <v>5311</v>
      </c>
      <c r="C25" s="42" t="s">
        <v>5312</v>
      </c>
      <c r="E25" s="42" t="s">
        <v>5260</v>
      </c>
    </row>
    <row r="26">
      <c r="A26" s="42" t="s">
        <v>5313</v>
      </c>
      <c r="B26" s="42" t="s">
        <v>5311</v>
      </c>
      <c r="E26" s="42" t="s">
        <v>5256</v>
      </c>
    </row>
    <row r="27">
      <c r="A27" s="42" t="s">
        <v>5314</v>
      </c>
      <c r="B27" s="42" t="s">
        <v>5315</v>
      </c>
      <c r="E27" s="42" t="s">
        <v>5256</v>
      </c>
    </row>
    <row r="28">
      <c r="A28" s="42" t="s">
        <v>5314</v>
      </c>
      <c r="B28" s="42" t="s">
        <v>5316</v>
      </c>
      <c r="C28" s="42" t="s">
        <v>5317</v>
      </c>
      <c r="E28" s="42" t="s">
        <v>5260</v>
      </c>
    </row>
    <row r="29">
      <c r="A29" s="42" t="s">
        <v>5318</v>
      </c>
      <c r="B29" s="42" t="s">
        <v>5319</v>
      </c>
      <c r="E29" s="42" t="s">
        <v>5256</v>
      </c>
    </row>
    <row r="30">
      <c r="A30" s="42" t="s">
        <v>5320</v>
      </c>
      <c r="B30" s="42" t="s">
        <v>5321</v>
      </c>
      <c r="E30" s="42" t="s">
        <v>5256</v>
      </c>
    </row>
    <row r="31">
      <c r="A31" s="42" t="s">
        <v>5322</v>
      </c>
      <c r="B31" s="42" t="s">
        <v>5323</v>
      </c>
      <c r="D31" s="42" t="s">
        <v>997</v>
      </c>
      <c r="E31" s="42" t="s">
        <v>5268</v>
      </c>
    </row>
    <row r="32">
      <c r="A32" s="42" t="s">
        <v>5322</v>
      </c>
      <c r="B32" s="42" t="s">
        <v>5324</v>
      </c>
      <c r="C32" s="42" t="s">
        <v>5325</v>
      </c>
      <c r="E32" s="42" t="s">
        <v>5260</v>
      </c>
    </row>
    <row r="33">
      <c r="A33" s="42" t="s">
        <v>5322</v>
      </c>
      <c r="B33" s="42" t="s">
        <v>5324</v>
      </c>
      <c r="C33" s="42" t="s">
        <v>5325</v>
      </c>
      <c r="E33" s="42" t="s">
        <v>5260</v>
      </c>
    </row>
    <row r="34">
      <c r="A34" s="42" t="s">
        <v>5326</v>
      </c>
      <c r="B34" s="42" t="s">
        <v>5327</v>
      </c>
      <c r="C34" s="42" t="s">
        <v>5328</v>
      </c>
      <c r="E34" s="42" t="s">
        <v>5260</v>
      </c>
    </row>
    <row r="35">
      <c r="A35" s="42" t="s">
        <v>5326</v>
      </c>
      <c r="B35" s="42" t="s">
        <v>5329</v>
      </c>
      <c r="D35" s="42" t="s">
        <v>972</v>
      </c>
      <c r="E35" s="42" t="s">
        <v>5268</v>
      </c>
    </row>
    <row r="36">
      <c r="A36" s="42" t="s">
        <v>5330</v>
      </c>
      <c r="B36" s="42" t="s">
        <v>5331</v>
      </c>
      <c r="C36" s="42" t="s">
        <v>5332</v>
      </c>
      <c r="E36" s="42" t="s">
        <v>5260</v>
      </c>
    </row>
    <row r="37">
      <c r="A37" s="42" t="s">
        <v>5330</v>
      </c>
      <c r="B37" s="42" t="s">
        <v>5331</v>
      </c>
      <c r="C37" s="42" t="s">
        <v>5332</v>
      </c>
      <c r="E37" s="42" t="s">
        <v>5260</v>
      </c>
    </row>
    <row r="38">
      <c r="A38" s="42" t="s">
        <v>5330</v>
      </c>
      <c r="B38" s="42" t="s">
        <v>5333</v>
      </c>
      <c r="C38" s="42" t="s">
        <v>5332</v>
      </c>
      <c r="E38" s="42" t="s">
        <v>5260</v>
      </c>
    </row>
    <row r="39">
      <c r="A39" s="42" t="s">
        <v>5334</v>
      </c>
      <c r="B39" s="42" t="s">
        <v>5331</v>
      </c>
      <c r="C39" s="42" t="s">
        <v>5332</v>
      </c>
      <c r="E39" s="42" t="s">
        <v>5260</v>
      </c>
    </row>
    <row r="40">
      <c r="A40" s="42" t="s">
        <v>5335</v>
      </c>
      <c r="B40" s="42" t="s">
        <v>5336</v>
      </c>
      <c r="D40" s="42" t="s">
        <v>5337</v>
      </c>
      <c r="E40" s="42" t="s">
        <v>5268</v>
      </c>
    </row>
    <row r="41">
      <c r="A41" s="42" t="s">
        <v>5338</v>
      </c>
      <c r="B41" s="42" t="s">
        <v>5339</v>
      </c>
      <c r="D41" s="42" t="s">
        <v>3898</v>
      </c>
      <c r="E41" s="42" t="s">
        <v>5268</v>
      </c>
    </row>
    <row r="42">
      <c r="A42" s="42" t="s">
        <v>5338</v>
      </c>
      <c r="B42" s="42" t="s">
        <v>5340</v>
      </c>
      <c r="D42" s="42" t="s">
        <v>5337</v>
      </c>
      <c r="E42" s="42" t="s">
        <v>5268</v>
      </c>
    </row>
    <row r="43">
      <c r="A43" s="42" t="s">
        <v>5341</v>
      </c>
      <c r="B43" s="42" t="s">
        <v>5342</v>
      </c>
      <c r="C43" s="42" t="s">
        <v>5343</v>
      </c>
      <c r="E43" s="42" t="s">
        <v>5260</v>
      </c>
    </row>
    <row r="44">
      <c r="A44" s="42" t="s">
        <v>5341</v>
      </c>
      <c r="B44" s="42" t="s">
        <v>5342</v>
      </c>
      <c r="C44" s="42" t="s">
        <v>5343</v>
      </c>
      <c r="E44" s="42" t="s">
        <v>5260</v>
      </c>
    </row>
    <row r="45">
      <c r="A45" s="42" t="s">
        <v>5344</v>
      </c>
      <c r="B45" s="42" t="s">
        <v>5345</v>
      </c>
      <c r="D45" s="42" t="s">
        <v>343</v>
      </c>
      <c r="E45" s="42" t="s">
        <v>5268</v>
      </c>
    </row>
    <row r="46">
      <c r="A46" s="42" t="s">
        <v>5346</v>
      </c>
      <c r="B46" s="42" t="s">
        <v>5347</v>
      </c>
      <c r="C46" s="42" t="s">
        <v>5348</v>
      </c>
      <c r="E46" s="42" t="s">
        <v>5260</v>
      </c>
    </row>
    <row r="47">
      <c r="A47" s="42" t="s">
        <v>5346</v>
      </c>
      <c r="B47" s="42" t="s">
        <v>5349</v>
      </c>
      <c r="E47" s="42" t="s">
        <v>5256</v>
      </c>
    </row>
    <row r="48">
      <c r="A48" s="42" t="s">
        <v>5350</v>
      </c>
      <c r="B48" s="42" t="s">
        <v>5351</v>
      </c>
      <c r="E48" s="42" t="s">
        <v>5256</v>
      </c>
    </row>
    <row r="49">
      <c r="A49" s="42" t="s">
        <v>5352</v>
      </c>
      <c r="B49" s="42" t="s">
        <v>5353</v>
      </c>
      <c r="C49" s="42" t="s">
        <v>5354</v>
      </c>
      <c r="E49" s="42" t="s">
        <v>5260</v>
      </c>
    </row>
    <row r="50">
      <c r="A50" s="42" t="s">
        <v>5355</v>
      </c>
      <c r="B50" s="42" t="s">
        <v>5356</v>
      </c>
      <c r="C50" s="42" t="s">
        <v>5357</v>
      </c>
      <c r="E50" s="42" t="s">
        <v>5260</v>
      </c>
    </row>
    <row r="51">
      <c r="A51" s="42" t="s">
        <v>5358</v>
      </c>
      <c r="B51" s="42" t="s">
        <v>5359</v>
      </c>
      <c r="D51" s="42" t="s">
        <v>5360</v>
      </c>
      <c r="E51" s="42" t="s">
        <v>5268</v>
      </c>
    </row>
    <row r="52">
      <c r="A52" s="42" t="s">
        <v>5361</v>
      </c>
      <c r="B52" s="42" t="s">
        <v>5362</v>
      </c>
      <c r="C52" s="42" t="s">
        <v>5363</v>
      </c>
      <c r="E52" s="42" t="s">
        <v>5260</v>
      </c>
    </row>
    <row r="53">
      <c r="A53" s="42" t="s">
        <v>5364</v>
      </c>
      <c r="B53" s="42" t="s">
        <v>5365</v>
      </c>
      <c r="E53" s="42" t="s">
        <v>5256</v>
      </c>
    </row>
    <row r="54">
      <c r="A54" s="42" t="s">
        <v>5366</v>
      </c>
      <c r="B54" s="42" t="s">
        <v>5367</v>
      </c>
      <c r="C54" s="42" t="s">
        <v>5368</v>
      </c>
      <c r="E54" s="42" t="s">
        <v>5260</v>
      </c>
    </row>
    <row r="55">
      <c r="A55" s="42" t="s">
        <v>5369</v>
      </c>
      <c r="B55" s="42" t="s">
        <v>5370</v>
      </c>
      <c r="E55" s="42" t="s">
        <v>5256</v>
      </c>
    </row>
    <row r="56">
      <c r="A56" s="42" t="s">
        <v>5371</v>
      </c>
      <c r="B56" s="42" t="s">
        <v>5372</v>
      </c>
      <c r="C56" s="42" t="s">
        <v>5373</v>
      </c>
      <c r="E56" s="42" t="s">
        <v>5260</v>
      </c>
    </row>
    <row r="57">
      <c r="A57" s="42" t="s">
        <v>5374</v>
      </c>
      <c r="B57" s="42" t="s">
        <v>5375</v>
      </c>
      <c r="D57" s="42" t="s">
        <v>330</v>
      </c>
      <c r="E57" s="42" t="s">
        <v>5268</v>
      </c>
    </row>
    <row r="58">
      <c r="A58" s="42" t="s">
        <v>5376</v>
      </c>
      <c r="B58" s="42" t="s">
        <v>5377</v>
      </c>
      <c r="C58" s="42" t="s">
        <v>5378</v>
      </c>
      <c r="E58" s="42" t="s">
        <v>5260</v>
      </c>
    </row>
    <row r="59">
      <c r="A59" s="42" t="s">
        <v>5379</v>
      </c>
      <c r="B59" s="42" t="s">
        <v>5380</v>
      </c>
      <c r="D59" s="42" t="s">
        <v>5381</v>
      </c>
      <c r="E59" s="42" t="s">
        <v>5268</v>
      </c>
    </row>
    <row r="60">
      <c r="A60" s="42" t="s">
        <v>5382</v>
      </c>
      <c r="B60" s="42" t="s">
        <v>5383</v>
      </c>
      <c r="C60" s="42" t="s">
        <v>5384</v>
      </c>
      <c r="E60" s="42" t="s">
        <v>5260</v>
      </c>
    </row>
    <row r="61">
      <c r="A61" s="42" t="s">
        <v>5385</v>
      </c>
      <c r="B61" s="42" t="s">
        <v>5372</v>
      </c>
      <c r="C61" s="42" t="s">
        <v>5373</v>
      </c>
      <c r="E61" s="42" t="s">
        <v>5260</v>
      </c>
    </row>
    <row r="62">
      <c r="A62" s="42" t="s">
        <v>5386</v>
      </c>
      <c r="B62" s="42" t="s">
        <v>5387</v>
      </c>
      <c r="D62" s="42" t="s">
        <v>5388</v>
      </c>
      <c r="E62" s="42" t="s">
        <v>5268</v>
      </c>
    </row>
    <row r="63">
      <c r="A63" s="42" t="s">
        <v>5389</v>
      </c>
      <c r="B63" s="42" t="s">
        <v>5264</v>
      </c>
      <c r="C63" s="42" t="s">
        <v>5390</v>
      </c>
      <c r="E63" s="42" t="s">
        <v>5260</v>
      </c>
    </row>
    <row r="64">
      <c r="A64" s="42" t="s">
        <v>5389</v>
      </c>
      <c r="B64" s="42" t="s">
        <v>5391</v>
      </c>
      <c r="C64" s="42" t="s">
        <v>5392</v>
      </c>
      <c r="E64" s="42" t="s">
        <v>5260</v>
      </c>
    </row>
    <row r="65">
      <c r="A65" s="42" t="s">
        <v>5389</v>
      </c>
      <c r="B65" s="42" t="s">
        <v>5393</v>
      </c>
      <c r="C65" s="42" t="s">
        <v>5394</v>
      </c>
      <c r="E65" s="42" t="s">
        <v>5260</v>
      </c>
    </row>
    <row r="66">
      <c r="A66" s="42" t="s">
        <v>5395</v>
      </c>
      <c r="B66" s="42" t="s">
        <v>5396</v>
      </c>
      <c r="E66" s="42" t="s">
        <v>5256</v>
      </c>
    </row>
    <row r="67">
      <c r="A67" s="42" t="s">
        <v>5397</v>
      </c>
      <c r="B67" s="42" t="s">
        <v>5398</v>
      </c>
      <c r="E67" s="42" t="s">
        <v>5256</v>
      </c>
    </row>
    <row r="68">
      <c r="A68" s="42" t="s">
        <v>5399</v>
      </c>
      <c r="B68" s="42" t="s">
        <v>5400</v>
      </c>
      <c r="D68" s="42" t="s">
        <v>5401</v>
      </c>
      <c r="E68" s="42" t="s">
        <v>5268</v>
      </c>
    </row>
    <row r="69">
      <c r="A69" s="42" t="s">
        <v>5402</v>
      </c>
      <c r="B69" s="42" t="s">
        <v>5403</v>
      </c>
      <c r="C69" s="42" t="s">
        <v>5404</v>
      </c>
      <c r="E69" s="42" t="s">
        <v>5260</v>
      </c>
    </row>
    <row r="70">
      <c r="A70" s="42" t="s">
        <v>5405</v>
      </c>
      <c r="B70" s="42" t="s">
        <v>5406</v>
      </c>
      <c r="E70" s="42" t="s">
        <v>5256</v>
      </c>
    </row>
    <row r="71">
      <c r="A71" s="42" t="s">
        <v>5407</v>
      </c>
      <c r="B71" s="42" t="s">
        <v>5408</v>
      </c>
      <c r="D71" s="42" t="s">
        <v>5409</v>
      </c>
      <c r="E71" s="42" t="s">
        <v>5268</v>
      </c>
    </row>
    <row r="72">
      <c r="A72" s="42" t="s">
        <v>5410</v>
      </c>
      <c r="B72" s="42" t="s">
        <v>3695</v>
      </c>
      <c r="D72" s="42" t="s">
        <v>3898</v>
      </c>
      <c r="E72" s="42" t="s">
        <v>5268</v>
      </c>
    </row>
    <row r="73">
      <c r="A73" s="42" t="s">
        <v>5411</v>
      </c>
      <c r="B73" s="42" t="s">
        <v>5412</v>
      </c>
      <c r="D73" s="42" t="s">
        <v>545</v>
      </c>
      <c r="E73" s="42" t="s">
        <v>5268</v>
      </c>
    </row>
    <row r="74">
      <c r="A74" s="42" t="s">
        <v>5411</v>
      </c>
      <c r="B74" s="42" t="s">
        <v>5264</v>
      </c>
      <c r="C74" s="42" t="s">
        <v>5413</v>
      </c>
      <c r="E74" s="42" t="s">
        <v>5260</v>
      </c>
    </row>
    <row r="75">
      <c r="A75" s="42" t="s">
        <v>5411</v>
      </c>
      <c r="B75" s="42" t="s">
        <v>5414</v>
      </c>
      <c r="D75" s="42" t="s">
        <v>4118</v>
      </c>
      <c r="E75" s="42" t="s">
        <v>5268</v>
      </c>
    </row>
    <row r="76">
      <c r="A76" s="42" t="s">
        <v>5411</v>
      </c>
      <c r="B76" s="42" t="s">
        <v>5415</v>
      </c>
      <c r="C76" s="42" t="s">
        <v>5416</v>
      </c>
      <c r="E76" s="42" t="s">
        <v>5260</v>
      </c>
    </row>
    <row r="77">
      <c r="A77" s="42" t="s">
        <v>5411</v>
      </c>
      <c r="B77" s="42" t="s">
        <v>5417</v>
      </c>
      <c r="D77" s="42" t="s">
        <v>545</v>
      </c>
      <c r="E77" s="42" t="s">
        <v>5268</v>
      </c>
    </row>
    <row r="78">
      <c r="A78" s="42" t="s">
        <v>5418</v>
      </c>
      <c r="B78" s="42" t="s">
        <v>5419</v>
      </c>
      <c r="D78" s="42" t="s">
        <v>4624</v>
      </c>
      <c r="E78" s="42" t="s">
        <v>5268</v>
      </c>
    </row>
    <row r="79">
      <c r="A79" s="42" t="s">
        <v>5418</v>
      </c>
      <c r="B79" s="42" t="s">
        <v>5420</v>
      </c>
      <c r="C79" s="42" t="s">
        <v>5421</v>
      </c>
      <c r="E79" s="42" t="s">
        <v>5260</v>
      </c>
    </row>
    <row r="80">
      <c r="A80" s="42" t="s">
        <v>5418</v>
      </c>
      <c r="B80" s="42" t="s">
        <v>5422</v>
      </c>
      <c r="D80" s="42" t="s">
        <v>330</v>
      </c>
      <c r="E80" s="42" t="s">
        <v>5268</v>
      </c>
    </row>
    <row r="81">
      <c r="A81" s="42" t="s">
        <v>5423</v>
      </c>
      <c r="B81" s="42" t="s">
        <v>5424</v>
      </c>
      <c r="D81" s="42" t="s">
        <v>5425</v>
      </c>
      <c r="E81" s="42" t="s">
        <v>5268</v>
      </c>
    </row>
    <row r="82">
      <c r="A82" s="42" t="s">
        <v>5426</v>
      </c>
      <c r="B82" s="42" t="s">
        <v>5427</v>
      </c>
      <c r="D82" s="42" t="s">
        <v>330</v>
      </c>
      <c r="E82" s="42" t="s">
        <v>5268</v>
      </c>
    </row>
    <row r="83">
      <c r="A83" s="42" t="s">
        <v>5428</v>
      </c>
      <c r="B83" s="42" t="s">
        <v>5429</v>
      </c>
      <c r="C83" s="42" t="s">
        <v>5430</v>
      </c>
      <c r="E83" s="42" t="s">
        <v>5260</v>
      </c>
    </row>
    <row r="84">
      <c r="A84" s="42" t="s">
        <v>5428</v>
      </c>
      <c r="B84" s="42" t="s">
        <v>5429</v>
      </c>
      <c r="C84" s="42" t="s">
        <v>5430</v>
      </c>
      <c r="E84" s="42" t="s">
        <v>5260</v>
      </c>
    </row>
    <row r="85">
      <c r="A85" s="42" t="s">
        <v>5428</v>
      </c>
      <c r="B85" s="42" t="s">
        <v>5431</v>
      </c>
      <c r="D85" s="42" t="s">
        <v>1126</v>
      </c>
      <c r="E85" s="42" t="s">
        <v>5268</v>
      </c>
    </row>
    <row r="86">
      <c r="A86" s="42" t="s">
        <v>5428</v>
      </c>
      <c r="B86" s="42" t="s">
        <v>5432</v>
      </c>
      <c r="C86" s="42" t="s">
        <v>5433</v>
      </c>
      <c r="E86" s="42" t="s">
        <v>5260</v>
      </c>
    </row>
    <row r="87">
      <c r="A87" s="42" t="s">
        <v>5428</v>
      </c>
      <c r="B87" s="42" t="s">
        <v>5434</v>
      </c>
      <c r="C87" s="42" t="s">
        <v>5435</v>
      </c>
      <c r="E87" s="42" t="s">
        <v>5260</v>
      </c>
    </row>
    <row r="88">
      <c r="A88" s="42" t="s">
        <v>5428</v>
      </c>
      <c r="B88" s="42" t="s">
        <v>5436</v>
      </c>
      <c r="C88" s="42" t="s">
        <v>5437</v>
      </c>
      <c r="E88" s="42" t="s">
        <v>5260</v>
      </c>
    </row>
    <row r="89">
      <c r="A89" s="42" t="s">
        <v>5428</v>
      </c>
      <c r="B89" s="42" t="s">
        <v>5436</v>
      </c>
      <c r="C89" s="42" t="s">
        <v>5437</v>
      </c>
      <c r="E89" s="42" t="s">
        <v>5260</v>
      </c>
    </row>
    <row r="90">
      <c r="A90" s="42" t="s">
        <v>5428</v>
      </c>
      <c r="B90" s="42" t="s">
        <v>5438</v>
      </c>
      <c r="D90" s="42" t="s">
        <v>5439</v>
      </c>
      <c r="E90" s="42" t="s">
        <v>5268</v>
      </c>
    </row>
    <row r="91">
      <c r="A91" s="42" t="s">
        <v>5440</v>
      </c>
      <c r="B91" s="42" t="s">
        <v>5441</v>
      </c>
      <c r="E91" s="42" t="s">
        <v>5256</v>
      </c>
    </row>
    <row r="92">
      <c r="A92" s="42" t="s">
        <v>5442</v>
      </c>
      <c r="B92" s="42" t="s">
        <v>5443</v>
      </c>
      <c r="C92" s="42" t="s">
        <v>5444</v>
      </c>
      <c r="E92" s="42" t="s">
        <v>5260</v>
      </c>
    </row>
    <row r="93">
      <c r="A93" s="42" t="s">
        <v>5445</v>
      </c>
      <c r="B93" s="42" t="s">
        <v>5446</v>
      </c>
      <c r="C93" s="42" t="s">
        <v>5447</v>
      </c>
      <c r="E93" s="42" t="s">
        <v>5260</v>
      </c>
    </row>
    <row r="94">
      <c r="A94" s="42" t="s">
        <v>5448</v>
      </c>
      <c r="B94" s="42" t="s">
        <v>5449</v>
      </c>
      <c r="E94" s="42" t="s">
        <v>5256</v>
      </c>
    </row>
    <row r="95">
      <c r="A95" s="42" t="s">
        <v>5450</v>
      </c>
      <c r="B95" s="42" t="s">
        <v>5451</v>
      </c>
      <c r="C95" s="42" t="s">
        <v>5452</v>
      </c>
      <c r="E95" s="42" t="s">
        <v>5260</v>
      </c>
    </row>
    <row r="96">
      <c r="A96" s="42" t="s">
        <v>5453</v>
      </c>
      <c r="B96" s="42" t="s">
        <v>5454</v>
      </c>
      <c r="D96" s="42" t="s">
        <v>4624</v>
      </c>
      <c r="E96" s="42" t="s">
        <v>5268</v>
      </c>
    </row>
    <row r="97">
      <c r="A97" s="42" t="s">
        <v>5453</v>
      </c>
      <c r="B97" s="42" t="s">
        <v>5455</v>
      </c>
      <c r="C97" s="42" t="s">
        <v>5456</v>
      </c>
      <c r="E97" s="42" t="s">
        <v>5260</v>
      </c>
    </row>
    <row r="98">
      <c r="A98" s="42" t="s">
        <v>5453</v>
      </c>
      <c r="B98" s="42" t="s">
        <v>5324</v>
      </c>
      <c r="E98" s="42" t="s">
        <v>5260</v>
      </c>
    </row>
    <row r="99">
      <c r="A99" s="42" t="s">
        <v>5453</v>
      </c>
      <c r="B99" s="42" t="s">
        <v>5324</v>
      </c>
      <c r="D99" s="42" t="s">
        <v>3898</v>
      </c>
      <c r="E99" s="42" t="s">
        <v>5268</v>
      </c>
    </row>
    <row r="100">
      <c r="A100" s="42" t="s">
        <v>5453</v>
      </c>
      <c r="B100" s="42" t="s">
        <v>5457</v>
      </c>
      <c r="D100" s="42" t="s">
        <v>5458</v>
      </c>
      <c r="E100" s="42" t="s">
        <v>5268</v>
      </c>
    </row>
    <row r="101">
      <c r="A101" s="42" t="s">
        <v>5453</v>
      </c>
      <c r="B101" s="42" t="s">
        <v>5459</v>
      </c>
      <c r="D101" s="42" t="s">
        <v>330</v>
      </c>
      <c r="E101" s="42" t="s">
        <v>5268</v>
      </c>
    </row>
    <row r="102">
      <c r="A102" s="42" t="s">
        <v>5453</v>
      </c>
      <c r="B102" s="42" t="s">
        <v>5460</v>
      </c>
      <c r="C102" s="42" t="s">
        <v>5461</v>
      </c>
      <c r="E102" s="42" t="s">
        <v>5260</v>
      </c>
    </row>
    <row r="103">
      <c r="A103" s="42" t="s">
        <v>5453</v>
      </c>
      <c r="B103" s="42" t="s">
        <v>5460</v>
      </c>
      <c r="C103" s="42" t="s">
        <v>5461</v>
      </c>
      <c r="E103" s="42" t="s">
        <v>5260</v>
      </c>
    </row>
    <row r="104">
      <c r="A104" s="42" t="s">
        <v>5453</v>
      </c>
      <c r="B104" s="42" t="s">
        <v>5462</v>
      </c>
      <c r="D104" s="42" t="s">
        <v>5463</v>
      </c>
      <c r="E104" s="42" t="s">
        <v>5268</v>
      </c>
    </row>
    <row r="105">
      <c r="A105" s="42" t="s">
        <v>5464</v>
      </c>
      <c r="B105" s="42" t="s">
        <v>5451</v>
      </c>
      <c r="E105" s="42" t="s">
        <v>5256</v>
      </c>
    </row>
    <row r="106">
      <c r="A106" s="42" t="s">
        <v>5465</v>
      </c>
      <c r="B106" s="42" t="s">
        <v>5466</v>
      </c>
      <c r="E106" s="42" t="s">
        <v>5256</v>
      </c>
    </row>
    <row r="107">
      <c r="A107" s="42" t="s">
        <v>5467</v>
      </c>
      <c r="B107" s="42" t="s">
        <v>5468</v>
      </c>
      <c r="E107" s="42" t="s">
        <v>5256</v>
      </c>
    </row>
    <row r="108">
      <c r="A108" s="42" t="s">
        <v>5469</v>
      </c>
      <c r="B108" s="42" t="s">
        <v>5470</v>
      </c>
      <c r="D108" s="42" t="s">
        <v>5308</v>
      </c>
      <c r="E108" s="42" t="s">
        <v>5268</v>
      </c>
    </row>
    <row r="109">
      <c r="A109" s="42" t="s">
        <v>5471</v>
      </c>
      <c r="B109" s="42" t="s">
        <v>5472</v>
      </c>
      <c r="C109" s="42" t="s">
        <v>5473</v>
      </c>
      <c r="E109" s="42" t="s">
        <v>5260</v>
      </c>
    </row>
    <row r="110">
      <c r="A110" s="42" t="s">
        <v>5474</v>
      </c>
      <c r="B110" s="42" t="s">
        <v>5475</v>
      </c>
      <c r="E110" s="42" t="s">
        <v>5256</v>
      </c>
    </row>
    <row r="111">
      <c r="A111" s="42" t="s">
        <v>5476</v>
      </c>
      <c r="B111" s="42" t="s">
        <v>5477</v>
      </c>
      <c r="C111" s="42" t="s">
        <v>5478</v>
      </c>
      <c r="E111" s="42" t="s">
        <v>5260</v>
      </c>
    </row>
    <row r="112">
      <c r="A112" s="42" t="s">
        <v>5476</v>
      </c>
      <c r="B112" s="42" t="s">
        <v>5477</v>
      </c>
      <c r="C112" s="42" t="s">
        <v>5478</v>
      </c>
      <c r="E112" s="42" t="s">
        <v>5260</v>
      </c>
    </row>
    <row r="113">
      <c r="A113" s="42" t="s">
        <v>5479</v>
      </c>
      <c r="B113" s="42" t="s">
        <v>5267</v>
      </c>
      <c r="C113" s="42" t="s">
        <v>5480</v>
      </c>
      <c r="E113" s="42" t="s">
        <v>5260</v>
      </c>
    </row>
    <row r="114">
      <c r="A114" s="42" t="s">
        <v>5481</v>
      </c>
      <c r="B114" s="42" t="s">
        <v>5482</v>
      </c>
      <c r="E114" s="42" t="s">
        <v>5256</v>
      </c>
    </row>
    <row r="115">
      <c r="A115" s="42" t="s">
        <v>5483</v>
      </c>
      <c r="B115" s="42" t="s">
        <v>5484</v>
      </c>
      <c r="C115" s="42" t="s">
        <v>5485</v>
      </c>
      <c r="E115" s="42" t="s">
        <v>5260</v>
      </c>
    </row>
    <row r="116">
      <c r="A116" s="42" t="s">
        <v>5483</v>
      </c>
      <c r="B116" s="42" t="s">
        <v>5484</v>
      </c>
      <c r="C116" s="42" t="s">
        <v>5485</v>
      </c>
      <c r="E116" s="42" t="s">
        <v>5260</v>
      </c>
    </row>
    <row r="117">
      <c r="A117" s="42" t="s">
        <v>5483</v>
      </c>
      <c r="B117" s="42" t="s">
        <v>5484</v>
      </c>
      <c r="D117" s="42" t="s">
        <v>5486</v>
      </c>
      <c r="E117" s="42" t="s">
        <v>5268</v>
      </c>
    </row>
    <row r="118">
      <c r="A118" s="42" t="s">
        <v>5487</v>
      </c>
      <c r="B118" s="42" t="s">
        <v>5488</v>
      </c>
      <c r="D118" s="42" t="s">
        <v>1126</v>
      </c>
      <c r="E118" s="42" t="s">
        <v>5268</v>
      </c>
    </row>
    <row r="119">
      <c r="A119" s="42" t="s">
        <v>5487</v>
      </c>
      <c r="B119" s="42" t="s">
        <v>5489</v>
      </c>
      <c r="C119" s="42" t="s">
        <v>5490</v>
      </c>
      <c r="E119" s="42" t="s">
        <v>5260</v>
      </c>
    </row>
    <row r="120">
      <c r="A120" s="42" t="s">
        <v>5487</v>
      </c>
      <c r="B120" s="42" t="s">
        <v>5489</v>
      </c>
      <c r="C120" s="42" t="s">
        <v>5490</v>
      </c>
      <c r="E120" s="42" t="s">
        <v>5260</v>
      </c>
    </row>
    <row r="121">
      <c r="A121" s="42" t="s">
        <v>5491</v>
      </c>
      <c r="B121" s="42" t="s">
        <v>5492</v>
      </c>
      <c r="C121" s="42" t="s">
        <v>5493</v>
      </c>
      <c r="E121" s="42" t="s">
        <v>5260</v>
      </c>
    </row>
    <row r="122">
      <c r="A122" s="42" t="s">
        <v>5494</v>
      </c>
      <c r="B122" s="42" t="s">
        <v>5495</v>
      </c>
      <c r="D122" s="42" t="s">
        <v>993</v>
      </c>
      <c r="E122" s="42" t="s">
        <v>5268</v>
      </c>
    </row>
    <row r="123">
      <c r="A123" s="42" t="s">
        <v>5496</v>
      </c>
      <c r="B123" s="42" t="s">
        <v>5497</v>
      </c>
      <c r="C123" s="42" t="s">
        <v>5498</v>
      </c>
      <c r="E123" s="42" t="s">
        <v>5260</v>
      </c>
    </row>
    <row r="124">
      <c r="A124" s="42" t="s">
        <v>5499</v>
      </c>
      <c r="B124" s="42" t="s">
        <v>5500</v>
      </c>
      <c r="E124" s="42" t="s">
        <v>5256</v>
      </c>
    </row>
    <row r="125">
      <c r="A125" s="42" t="s">
        <v>5501</v>
      </c>
      <c r="B125" s="42" t="s">
        <v>5502</v>
      </c>
      <c r="D125" s="42" t="s">
        <v>5503</v>
      </c>
      <c r="E125" s="42" t="s">
        <v>5268</v>
      </c>
    </row>
    <row r="126">
      <c r="A126" s="42" t="s">
        <v>5504</v>
      </c>
      <c r="B126" s="42" t="s">
        <v>5505</v>
      </c>
      <c r="D126" s="42" t="s">
        <v>330</v>
      </c>
      <c r="E126" s="42" t="s">
        <v>5268</v>
      </c>
    </row>
    <row r="127">
      <c r="A127" s="42" t="s">
        <v>5506</v>
      </c>
      <c r="B127" s="42" t="s">
        <v>5507</v>
      </c>
      <c r="D127" s="42" t="s">
        <v>5508</v>
      </c>
      <c r="E127" s="42" t="s">
        <v>5268</v>
      </c>
    </row>
    <row r="128">
      <c r="A128" s="42" t="s">
        <v>5509</v>
      </c>
      <c r="B128" s="42" t="s">
        <v>5267</v>
      </c>
      <c r="D128" s="42" t="s">
        <v>3933</v>
      </c>
      <c r="E128" s="42" t="s">
        <v>5268</v>
      </c>
    </row>
    <row r="129">
      <c r="A129" s="42" t="s">
        <v>5510</v>
      </c>
      <c r="B129" s="42" t="s">
        <v>5511</v>
      </c>
      <c r="C129" s="42" t="s">
        <v>5512</v>
      </c>
      <c r="E129" s="42" t="s">
        <v>5260</v>
      </c>
    </row>
    <row r="130">
      <c r="A130" s="42" t="s">
        <v>5513</v>
      </c>
      <c r="B130" s="42" t="s">
        <v>5511</v>
      </c>
      <c r="C130" s="42" t="s">
        <v>5512</v>
      </c>
      <c r="E130" s="42" t="s">
        <v>5260</v>
      </c>
    </row>
    <row r="131">
      <c r="A131" s="42" t="s">
        <v>5514</v>
      </c>
      <c r="B131" s="42" t="s">
        <v>5267</v>
      </c>
      <c r="E131" s="42" t="s">
        <v>5256</v>
      </c>
    </row>
    <row r="132">
      <c r="A132" s="42" t="s">
        <v>5515</v>
      </c>
      <c r="B132" s="42" t="s">
        <v>5516</v>
      </c>
      <c r="C132" s="42" t="s">
        <v>5517</v>
      </c>
      <c r="E132" s="42" t="s">
        <v>5260</v>
      </c>
    </row>
    <row r="133">
      <c r="A133" s="42" t="s">
        <v>5515</v>
      </c>
      <c r="B133" s="42" t="s">
        <v>5518</v>
      </c>
      <c r="C133" s="42" t="s">
        <v>5519</v>
      </c>
      <c r="E133" s="42" t="s">
        <v>5260</v>
      </c>
    </row>
    <row r="134">
      <c r="A134" s="42" t="s">
        <v>5515</v>
      </c>
      <c r="B134" s="42" t="s">
        <v>5520</v>
      </c>
      <c r="D134" s="42" t="s">
        <v>4624</v>
      </c>
      <c r="E134" s="42" t="s">
        <v>5268</v>
      </c>
    </row>
    <row r="135">
      <c r="A135" s="42" t="s">
        <v>5515</v>
      </c>
      <c r="B135" s="42" t="s">
        <v>5521</v>
      </c>
      <c r="C135" s="42" t="s">
        <v>5522</v>
      </c>
      <c r="E135" s="42" t="s">
        <v>5260</v>
      </c>
    </row>
    <row r="136">
      <c r="A136" s="42" t="s">
        <v>5515</v>
      </c>
      <c r="B136" s="42" t="s">
        <v>5523</v>
      </c>
      <c r="C136" s="42" t="s">
        <v>5524</v>
      </c>
      <c r="E136" s="42" t="s">
        <v>5260</v>
      </c>
    </row>
    <row r="137">
      <c r="A137" s="42" t="s">
        <v>5525</v>
      </c>
      <c r="B137" s="42" t="s">
        <v>5526</v>
      </c>
      <c r="E137" s="42" t="s">
        <v>5256</v>
      </c>
    </row>
    <row r="138">
      <c r="A138" s="42" t="s">
        <v>5525</v>
      </c>
      <c r="B138" s="42" t="s">
        <v>5527</v>
      </c>
      <c r="E138" s="42" t="s">
        <v>5256</v>
      </c>
    </row>
    <row r="139">
      <c r="A139" s="42" t="s">
        <v>5528</v>
      </c>
      <c r="B139" s="42" t="s">
        <v>5529</v>
      </c>
      <c r="D139" s="42" t="s">
        <v>3933</v>
      </c>
      <c r="E139" s="42" t="s">
        <v>5268</v>
      </c>
    </row>
    <row r="140">
      <c r="A140" s="42" t="s">
        <v>5530</v>
      </c>
      <c r="B140" s="42" t="s">
        <v>5531</v>
      </c>
      <c r="D140" s="42" t="s">
        <v>3928</v>
      </c>
      <c r="E140" s="42" t="s">
        <v>5268</v>
      </c>
    </row>
    <row r="141">
      <c r="A141" s="42" t="s">
        <v>5532</v>
      </c>
      <c r="B141" s="42" t="s">
        <v>5533</v>
      </c>
      <c r="D141" s="42" t="s">
        <v>1126</v>
      </c>
      <c r="E141" s="42" t="s">
        <v>5268</v>
      </c>
    </row>
    <row r="142">
      <c r="A142" s="42" t="s">
        <v>5532</v>
      </c>
      <c r="B142" s="42" t="s">
        <v>5534</v>
      </c>
      <c r="D142" s="42" t="s">
        <v>5503</v>
      </c>
      <c r="E142" s="42" t="s">
        <v>5268</v>
      </c>
    </row>
    <row r="143">
      <c r="A143" s="42" t="s">
        <v>5535</v>
      </c>
      <c r="B143" s="42" t="s">
        <v>5536</v>
      </c>
      <c r="C143" s="42" t="s">
        <v>5537</v>
      </c>
      <c r="E143" s="42" t="s">
        <v>5260</v>
      </c>
    </row>
    <row r="144">
      <c r="A144" s="42" t="s">
        <v>5535</v>
      </c>
      <c r="B144" s="42" t="s">
        <v>5536</v>
      </c>
      <c r="C144" s="42" t="s">
        <v>5537</v>
      </c>
      <c r="E144" s="42" t="s">
        <v>5260</v>
      </c>
    </row>
    <row r="145">
      <c r="A145" s="42" t="s">
        <v>5535</v>
      </c>
      <c r="B145" s="42" t="s">
        <v>5538</v>
      </c>
      <c r="C145" s="42" t="s">
        <v>5539</v>
      </c>
      <c r="E145" s="42" t="s">
        <v>5260</v>
      </c>
    </row>
    <row r="146">
      <c r="A146" s="42" t="s">
        <v>5535</v>
      </c>
      <c r="B146" s="42" t="s">
        <v>5538</v>
      </c>
      <c r="C146" s="42" t="s">
        <v>5540</v>
      </c>
      <c r="E146" s="42" t="s">
        <v>5260</v>
      </c>
    </row>
    <row r="147">
      <c r="A147" s="42" t="s">
        <v>5541</v>
      </c>
      <c r="B147" s="42" t="s">
        <v>5542</v>
      </c>
      <c r="C147" s="42" t="s">
        <v>5543</v>
      </c>
      <c r="E147" s="42" t="s">
        <v>5260</v>
      </c>
    </row>
    <row r="148">
      <c r="A148" s="42" t="s">
        <v>5541</v>
      </c>
      <c r="B148" s="42" t="s">
        <v>5544</v>
      </c>
      <c r="D148" s="42" t="s">
        <v>5545</v>
      </c>
      <c r="E148" s="42" t="s">
        <v>5268</v>
      </c>
    </row>
    <row r="149">
      <c r="A149" s="42" t="s">
        <v>5541</v>
      </c>
      <c r="B149" s="42" t="s">
        <v>5546</v>
      </c>
      <c r="C149" s="42" t="s">
        <v>5547</v>
      </c>
      <c r="E149" s="42" t="s">
        <v>5260</v>
      </c>
    </row>
    <row r="150">
      <c r="A150" s="42" t="s">
        <v>5541</v>
      </c>
      <c r="B150" s="42" t="s">
        <v>5548</v>
      </c>
      <c r="C150" s="42" t="s">
        <v>5549</v>
      </c>
      <c r="E150" s="42" t="s">
        <v>5260</v>
      </c>
    </row>
    <row r="151">
      <c r="A151" s="42" t="s">
        <v>5550</v>
      </c>
      <c r="B151" s="42" t="s">
        <v>5551</v>
      </c>
      <c r="E151" s="42" t="s">
        <v>5256</v>
      </c>
    </row>
    <row r="152">
      <c r="A152" s="42" t="s">
        <v>5550</v>
      </c>
      <c r="B152" s="42" t="s">
        <v>5552</v>
      </c>
      <c r="E152" s="42" t="s">
        <v>5256</v>
      </c>
    </row>
    <row r="153">
      <c r="A153" s="42" t="s">
        <v>5553</v>
      </c>
      <c r="B153" s="42" t="s">
        <v>5267</v>
      </c>
      <c r="D153" s="42" t="s">
        <v>3933</v>
      </c>
      <c r="E153" s="42" t="s">
        <v>5268</v>
      </c>
    </row>
    <row r="154">
      <c r="A154" s="42" t="s">
        <v>5554</v>
      </c>
      <c r="B154" s="42" t="s">
        <v>5555</v>
      </c>
      <c r="D154" s="42" t="s">
        <v>3969</v>
      </c>
      <c r="E154" s="42" t="s">
        <v>5268</v>
      </c>
    </row>
    <row r="155">
      <c r="A155" s="42" t="s">
        <v>5554</v>
      </c>
      <c r="B155" s="42" t="s">
        <v>5556</v>
      </c>
      <c r="C155" s="42" t="s">
        <v>5557</v>
      </c>
      <c r="E155" s="42" t="s">
        <v>5260</v>
      </c>
    </row>
    <row r="156">
      <c r="A156" s="42" t="s">
        <v>5554</v>
      </c>
      <c r="B156" s="42" t="s">
        <v>5556</v>
      </c>
      <c r="C156" s="42" t="s">
        <v>5557</v>
      </c>
      <c r="E156" s="42" t="s">
        <v>5260</v>
      </c>
    </row>
    <row r="157">
      <c r="A157" s="42" t="s">
        <v>5554</v>
      </c>
      <c r="B157" s="42" t="s">
        <v>5558</v>
      </c>
      <c r="C157" s="42" t="s">
        <v>5559</v>
      </c>
      <c r="E157" s="42" t="s">
        <v>5260</v>
      </c>
    </row>
    <row r="158">
      <c r="A158" s="42" t="s">
        <v>5560</v>
      </c>
      <c r="B158" s="42" t="s">
        <v>5561</v>
      </c>
      <c r="E158" s="42" t="s">
        <v>5256</v>
      </c>
    </row>
    <row r="159">
      <c r="A159" s="42" t="s">
        <v>5562</v>
      </c>
      <c r="B159" s="42" t="s">
        <v>5563</v>
      </c>
      <c r="E159" s="42" t="s">
        <v>5256</v>
      </c>
    </row>
    <row r="160">
      <c r="A160" s="42" t="s">
        <v>5564</v>
      </c>
      <c r="B160" s="42" t="s">
        <v>5565</v>
      </c>
      <c r="D160" s="42" t="s">
        <v>375</v>
      </c>
      <c r="E160" s="42" t="s">
        <v>5268</v>
      </c>
    </row>
    <row r="161">
      <c r="A161" s="42" t="s">
        <v>5566</v>
      </c>
      <c r="B161" s="42" t="s">
        <v>5567</v>
      </c>
      <c r="D161" s="42" t="s">
        <v>5568</v>
      </c>
      <c r="E161" s="42" t="s">
        <v>5268</v>
      </c>
    </row>
    <row r="162">
      <c r="A162" s="42" t="s">
        <v>5566</v>
      </c>
      <c r="B162" s="42" t="s">
        <v>5569</v>
      </c>
      <c r="D162" s="42" t="s">
        <v>2861</v>
      </c>
      <c r="E162" s="42" t="s">
        <v>5268</v>
      </c>
    </row>
    <row r="163">
      <c r="A163" s="42" t="s">
        <v>5570</v>
      </c>
      <c r="B163" s="42" t="s">
        <v>5571</v>
      </c>
      <c r="C163" s="42" t="s">
        <v>5572</v>
      </c>
      <c r="E163" s="42" t="s">
        <v>5260</v>
      </c>
    </row>
    <row r="164">
      <c r="A164" s="42" t="s">
        <v>5570</v>
      </c>
      <c r="B164" s="42" t="s">
        <v>5571</v>
      </c>
      <c r="C164" s="42" t="s">
        <v>5572</v>
      </c>
      <c r="E164" s="42" t="s">
        <v>5260</v>
      </c>
    </row>
    <row r="165">
      <c r="A165" s="42" t="s">
        <v>5573</v>
      </c>
      <c r="B165" s="42" t="s">
        <v>5574</v>
      </c>
      <c r="C165" s="42" t="s">
        <v>5575</v>
      </c>
      <c r="E165" s="42" t="s">
        <v>5260</v>
      </c>
    </row>
    <row r="166">
      <c r="A166" s="42" t="s">
        <v>5573</v>
      </c>
      <c r="B166" s="42" t="s">
        <v>5574</v>
      </c>
      <c r="C166" s="42" t="s">
        <v>5575</v>
      </c>
      <c r="E166" s="42" t="s">
        <v>5260</v>
      </c>
    </row>
    <row r="167">
      <c r="A167" s="42" t="s">
        <v>5576</v>
      </c>
      <c r="B167" s="42" t="s">
        <v>5577</v>
      </c>
      <c r="E167" s="42" t="s">
        <v>5256</v>
      </c>
    </row>
    <row r="168">
      <c r="A168" s="42" t="s">
        <v>5578</v>
      </c>
      <c r="B168" s="42" t="s">
        <v>5579</v>
      </c>
      <c r="C168" s="42" t="s">
        <v>5580</v>
      </c>
      <c r="E168" s="42" t="s">
        <v>5260</v>
      </c>
    </row>
    <row r="169">
      <c r="A169" s="42" t="s">
        <v>5581</v>
      </c>
      <c r="B169" s="42" t="s">
        <v>5267</v>
      </c>
      <c r="C169" s="42" t="s">
        <v>5582</v>
      </c>
      <c r="E169" s="42" t="s">
        <v>5260</v>
      </c>
    </row>
    <row r="170">
      <c r="A170" s="42" t="s">
        <v>5583</v>
      </c>
      <c r="B170" s="42" t="s">
        <v>5584</v>
      </c>
      <c r="C170" s="42" t="s">
        <v>5585</v>
      </c>
      <c r="E170" s="42" t="s">
        <v>5260</v>
      </c>
    </row>
    <row r="171">
      <c r="A171" s="42" t="s">
        <v>5586</v>
      </c>
      <c r="B171" s="42" t="s">
        <v>5267</v>
      </c>
      <c r="C171" s="42" t="s">
        <v>5587</v>
      </c>
      <c r="E171" s="42" t="s">
        <v>5260</v>
      </c>
    </row>
    <row r="172">
      <c r="A172" s="42" t="s">
        <v>5588</v>
      </c>
      <c r="B172" s="42" t="s">
        <v>5589</v>
      </c>
      <c r="C172" s="42" t="s">
        <v>5590</v>
      </c>
      <c r="E172" s="42" t="s">
        <v>5260</v>
      </c>
    </row>
    <row r="173">
      <c r="A173" s="42" t="s">
        <v>5591</v>
      </c>
      <c r="B173" s="42" t="s">
        <v>5592</v>
      </c>
      <c r="C173" s="42" t="s">
        <v>5593</v>
      </c>
      <c r="E173" s="42" t="s">
        <v>5260</v>
      </c>
    </row>
    <row r="174">
      <c r="A174" s="42" t="s">
        <v>5594</v>
      </c>
      <c r="B174" s="42" t="s">
        <v>5595</v>
      </c>
      <c r="E174" s="42" t="s">
        <v>5256</v>
      </c>
    </row>
    <row r="175">
      <c r="A175" s="42" t="s">
        <v>5596</v>
      </c>
      <c r="B175" s="42" t="s">
        <v>5597</v>
      </c>
      <c r="C175" s="42" t="s">
        <v>5598</v>
      </c>
      <c r="E175" s="42" t="s">
        <v>5260</v>
      </c>
    </row>
    <row r="176">
      <c r="A176" s="42" t="s">
        <v>5596</v>
      </c>
      <c r="B176" s="42" t="s">
        <v>5599</v>
      </c>
      <c r="D176" s="42" t="s">
        <v>4334</v>
      </c>
      <c r="E176" s="42" t="s">
        <v>5268</v>
      </c>
    </row>
    <row r="177">
      <c r="A177" s="42" t="s">
        <v>5600</v>
      </c>
      <c r="B177" s="42" t="s">
        <v>5264</v>
      </c>
      <c r="C177" s="42" t="s">
        <v>5601</v>
      </c>
      <c r="E177" s="42" t="s">
        <v>5260</v>
      </c>
    </row>
    <row r="178">
      <c r="A178" s="42" t="s">
        <v>5602</v>
      </c>
      <c r="B178" s="42" t="s">
        <v>5603</v>
      </c>
      <c r="D178" s="42" t="s">
        <v>3933</v>
      </c>
      <c r="E178" s="42" t="s">
        <v>5268</v>
      </c>
    </row>
    <row r="179">
      <c r="A179" s="42" t="s">
        <v>5604</v>
      </c>
      <c r="B179" s="42" t="s">
        <v>5605</v>
      </c>
      <c r="E179" s="42" t="s">
        <v>5260</v>
      </c>
    </row>
    <row r="180">
      <c r="A180" s="42" t="s">
        <v>5606</v>
      </c>
      <c r="B180" s="42" t="s">
        <v>5607</v>
      </c>
      <c r="E180" s="42" t="s">
        <v>5256</v>
      </c>
    </row>
    <row r="181">
      <c r="A181" s="42" t="s">
        <v>5608</v>
      </c>
      <c r="B181" s="42" t="s">
        <v>5609</v>
      </c>
      <c r="E181" s="42" t="s">
        <v>5256</v>
      </c>
    </row>
    <row r="182">
      <c r="A182" s="42" t="s">
        <v>5610</v>
      </c>
      <c r="B182" s="42" t="s">
        <v>5611</v>
      </c>
      <c r="E182" s="42" t="s">
        <v>5256</v>
      </c>
    </row>
    <row r="183">
      <c r="A183" s="42" t="s">
        <v>5612</v>
      </c>
      <c r="B183" s="42" t="s">
        <v>5429</v>
      </c>
      <c r="E183" s="42" t="s">
        <v>5256</v>
      </c>
    </row>
    <row r="184">
      <c r="A184" s="42" t="s">
        <v>5613</v>
      </c>
      <c r="B184" s="42" t="s">
        <v>5614</v>
      </c>
      <c r="D184" s="42" t="s">
        <v>5308</v>
      </c>
      <c r="E184" s="42" t="s">
        <v>5268</v>
      </c>
    </row>
    <row r="185">
      <c r="A185" s="42" t="s">
        <v>5615</v>
      </c>
      <c r="B185" s="42" t="s">
        <v>5616</v>
      </c>
      <c r="C185" s="42" t="s">
        <v>5617</v>
      </c>
      <c r="E185" s="42" t="s">
        <v>5260</v>
      </c>
    </row>
    <row r="186">
      <c r="A186" s="42" t="s">
        <v>5618</v>
      </c>
      <c r="B186" s="42" t="s">
        <v>5619</v>
      </c>
      <c r="E186" s="42" t="s">
        <v>5256</v>
      </c>
    </row>
    <row r="187">
      <c r="A187" s="42" t="s">
        <v>5620</v>
      </c>
      <c r="B187" s="42" t="s">
        <v>5621</v>
      </c>
      <c r="E187" s="42" t="s">
        <v>5256</v>
      </c>
    </row>
    <row r="188">
      <c r="A188" s="42" t="s">
        <v>5620</v>
      </c>
      <c r="B188" s="42" t="s">
        <v>5622</v>
      </c>
      <c r="C188" s="42" t="s">
        <v>5623</v>
      </c>
      <c r="E188" s="42" t="s">
        <v>5260</v>
      </c>
    </row>
    <row r="189">
      <c r="A189" s="42" t="s">
        <v>5620</v>
      </c>
      <c r="B189" s="42" t="s">
        <v>5624</v>
      </c>
      <c r="C189" s="42" t="s">
        <v>5625</v>
      </c>
      <c r="E189" s="42" t="s">
        <v>5260</v>
      </c>
    </row>
    <row r="190">
      <c r="A190" s="42" t="s">
        <v>5620</v>
      </c>
      <c r="B190" s="42" t="s">
        <v>5624</v>
      </c>
      <c r="C190" s="42" t="s">
        <v>5625</v>
      </c>
      <c r="E190" s="42" t="s">
        <v>5260</v>
      </c>
    </row>
    <row r="191">
      <c r="A191" s="42" t="s">
        <v>5626</v>
      </c>
      <c r="B191" s="42" t="s">
        <v>5627</v>
      </c>
      <c r="C191" s="42" t="s">
        <v>5628</v>
      </c>
      <c r="E191" s="42" t="s">
        <v>5260</v>
      </c>
    </row>
    <row r="192">
      <c r="A192" s="42" t="s">
        <v>5629</v>
      </c>
      <c r="B192" s="42" t="s">
        <v>5630</v>
      </c>
      <c r="E192" s="42" t="s">
        <v>5256</v>
      </c>
    </row>
    <row r="193">
      <c r="A193" s="42" t="s">
        <v>5631</v>
      </c>
      <c r="B193" s="42" t="s">
        <v>5632</v>
      </c>
      <c r="E193" s="42" t="s">
        <v>5256</v>
      </c>
    </row>
    <row r="194">
      <c r="A194" s="42" t="s">
        <v>5633</v>
      </c>
      <c r="B194" s="42" t="s">
        <v>5634</v>
      </c>
      <c r="C194" s="42" t="s">
        <v>5635</v>
      </c>
      <c r="E194" s="42" t="s">
        <v>5260</v>
      </c>
    </row>
    <row r="195">
      <c r="A195" s="42" t="s">
        <v>5636</v>
      </c>
      <c r="B195" s="42" t="s">
        <v>5637</v>
      </c>
      <c r="E195" s="42" t="s">
        <v>5256</v>
      </c>
    </row>
    <row r="196">
      <c r="A196" s="42" t="s">
        <v>5638</v>
      </c>
      <c r="B196" s="42" t="s">
        <v>5639</v>
      </c>
      <c r="C196" s="42" t="s">
        <v>5640</v>
      </c>
      <c r="E196" s="42" t="s">
        <v>5260</v>
      </c>
    </row>
    <row r="197">
      <c r="A197" s="42" t="s">
        <v>5638</v>
      </c>
      <c r="B197" s="42" t="s">
        <v>5641</v>
      </c>
      <c r="C197" s="42" t="s">
        <v>5640</v>
      </c>
      <c r="E197" s="42" t="s">
        <v>5260</v>
      </c>
    </row>
    <row r="198">
      <c r="A198" s="42" t="s">
        <v>5638</v>
      </c>
      <c r="B198" s="42" t="s">
        <v>5642</v>
      </c>
      <c r="C198" s="42" t="s">
        <v>5643</v>
      </c>
      <c r="E198" s="42" t="s">
        <v>5260</v>
      </c>
    </row>
    <row r="199">
      <c r="A199" s="42" t="s">
        <v>5638</v>
      </c>
      <c r="B199" s="42" t="s">
        <v>5644</v>
      </c>
      <c r="C199" s="42" t="s">
        <v>5643</v>
      </c>
      <c r="E199" s="42" t="s">
        <v>5260</v>
      </c>
    </row>
    <row r="200">
      <c r="A200" s="42" t="s">
        <v>5645</v>
      </c>
      <c r="B200" s="42" t="s">
        <v>5646</v>
      </c>
      <c r="E200" s="42" t="s">
        <v>5256</v>
      </c>
    </row>
    <row r="201">
      <c r="A201" s="42" t="s">
        <v>5647</v>
      </c>
      <c r="B201" s="42" t="s">
        <v>5426</v>
      </c>
      <c r="E201" s="42" t="s">
        <v>5256</v>
      </c>
    </row>
    <row r="202">
      <c r="A202" s="42" t="s">
        <v>5647</v>
      </c>
      <c r="B202" s="42" t="s">
        <v>5648</v>
      </c>
      <c r="E202" s="42" t="s">
        <v>5256</v>
      </c>
    </row>
    <row r="203">
      <c r="A203" s="42" t="s">
        <v>5649</v>
      </c>
      <c r="B203" s="42" t="s">
        <v>5650</v>
      </c>
      <c r="E203" s="42" t="s">
        <v>5256</v>
      </c>
    </row>
    <row r="204">
      <c r="A204" s="42" t="s">
        <v>5651</v>
      </c>
      <c r="B204" s="42" t="s">
        <v>5321</v>
      </c>
      <c r="C204" s="42" t="s">
        <v>5652</v>
      </c>
      <c r="E204" s="42" t="s">
        <v>5260</v>
      </c>
    </row>
    <row r="205">
      <c r="A205" s="42" t="s">
        <v>5653</v>
      </c>
      <c r="B205" s="42" t="s">
        <v>5654</v>
      </c>
      <c r="E205" s="42" t="s">
        <v>5256</v>
      </c>
    </row>
    <row r="206">
      <c r="A206" s="42" t="s">
        <v>5655</v>
      </c>
      <c r="B206" s="42" t="s">
        <v>5656</v>
      </c>
      <c r="D206" s="42" t="s">
        <v>5657</v>
      </c>
      <c r="E206" s="42" t="s">
        <v>5268</v>
      </c>
    </row>
    <row r="207">
      <c r="A207" s="42" t="s">
        <v>5655</v>
      </c>
      <c r="B207" s="42" t="s">
        <v>5658</v>
      </c>
      <c r="C207" s="42" t="s">
        <v>5659</v>
      </c>
      <c r="E207" s="42" t="s">
        <v>5260</v>
      </c>
    </row>
    <row r="208">
      <c r="A208" s="42" t="s">
        <v>5660</v>
      </c>
      <c r="B208" s="42" t="s">
        <v>5661</v>
      </c>
      <c r="E208" s="42" t="s">
        <v>5256</v>
      </c>
    </row>
    <row r="209">
      <c r="A209" s="42" t="s">
        <v>5662</v>
      </c>
      <c r="B209" s="42" t="s">
        <v>5663</v>
      </c>
      <c r="E209" s="42" t="s">
        <v>5256</v>
      </c>
    </row>
    <row r="210">
      <c r="A210" s="42" t="s">
        <v>5664</v>
      </c>
      <c r="B210" s="42" t="s">
        <v>5665</v>
      </c>
      <c r="C210" s="42" t="s">
        <v>5666</v>
      </c>
      <c r="E210" s="42" t="s">
        <v>5260</v>
      </c>
    </row>
    <row r="211">
      <c r="A211" s="42" t="s">
        <v>5667</v>
      </c>
      <c r="B211" s="42" t="s">
        <v>5665</v>
      </c>
      <c r="C211" s="42" t="s">
        <v>5668</v>
      </c>
      <c r="E211" s="42" t="s">
        <v>5260</v>
      </c>
    </row>
    <row r="212">
      <c r="A212" s="42" t="s">
        <v>5667</v>
      </c>
      <c r="B212" s="42" t="s">
        <v>5669</v>
      </c>
      <c r="C212" s="42" t="s">
        <v>5670</v>
      </c>
      <c r="E212" s="42" t="s">
        <v>5260</v>
      </c>
    </row>
    <row r="213">
      <c r="A213" s="42" t="s">
        <v>5667</v>
      </c>
      <c r="B213" s="42" t="s">
        <v>5669</v>
      </c>
      <c r="C213" s="42" t="s">
        <v>5670</v>
      </c>
      <c r="E213" s="42" t="s">
        <v>5260</v>
      </c>
    </row>
    <row r="214">
      <c r="A214" s="42" t="s">
        <v>5671</v>
      </c>
      <c r="B214" s="42" t="s">
        <v>5672</v>
      </c>
      <c r="E214" s="42" t="s">
        <v>5256</v>
      </c>
    </row>
    <row r="215">
      <c r="A215" s="42" t="s">
        <v>5673</v>
      </c>
      <c r="B215" s="42" t="s">
        <v>5674</v>
      </c>
      <c r="E215" s="42" t="s">
        <v>5256</v>
      </c>
    </row>
    <row r="216">
      <c r="A216" s="42" t="s">
        <v>5675</v>
      </c>
      <c r="B216" s="42" t="s">
        <v>5676</v>
      </c>
      <c r="D216" s="42" t="s">
        <v>3898</v>
      </c>
      <c r="E216" s="42" t="s">
        <v>5268</v>
      </c>
    </row>
    <row r="217">
      <c r="A217" s="42" t="s">
        <v>5677</v>
      </c>
      <c r="B217" s="42" t="s">
        <v>5678</v>
      </c>
      <c r="C217" s="42" t="s">
        <v>5679</v>
      </c>
      <c r="E217" s="42" t="s">
        <v>5260</v>
      </c>
    </row>
    <row r="218">
      <c r="A218" s="42" t="s">
        <v>5680</v>
      </c>
      <c r="B218" s="42" t="s">
        <v>5681</v>
      </c>
      <c r="C218" s="42" t="s">
        <v>5682</v>
      </c>
      <c r="E218" s="42" t="s">
        <v>5260</v>
      </c>
    </row>
    <row r="219">
      <c r="A219" s="42" t="s">
        <v>5680</v>
      </c>
      <c r="B219" s="42" t="s">
        <v>5683</v>
      </c>
      <c r="D219" s="42" t="s">
        <v>3898</v>
      </c>
      <c r="E219" s="42" t="s">
        <v>5268</v>
      </c>
    </row>
    <row r="220">
      <c r="A220" s="42" t="s">
        <v>5680</v>
      </c>
      <c r="B220" s="42" t="s">
        <v>5684</v>
      </c>
      <c r="D220" s="42" t="s">
        <v>3898</v>
      </c>
      <c r="E220" s="42" t="s">
        <v>5268</v>
      </c>
    </row>
    <row r="221">
      <c r="A221" s="42" t="s">
        <v>5685</v>
      </c>
      <c r="B221" s="42" t="s">
        <v>5686</v>
      </c>
      <c r="E221" s="42" t="s">
        <v>5256</v>
      </c>
    </row>
    <row r="222">
      <c r="A222" s="42" t="s">
        <v>5687</v>
      </c>
      <c r="B222" s="42" t="s">
        <v>5688</v>
      </c>
      <c r="E222" s="42" t="s">
        <v>5256</v>
      </c>
    </row>
    <row r="223">
      <c r="A223" s="42" t="s">
        <v>5689</v>
      </c>
      <c r="B223" s="42" t="s">
        <v>5690</v>
      </c>
      <c r="D223" s="42" t="s">
        <v>346</v>
      </c>
      <c r="E223" s="42" t="s">
        <v>5268</v>
      </c>
    </row>
    <row r="224">
      <c r="A224" s="42" t="s">
        <v>5691</v>
      </c>
      <c r="B224" s="42" t="s">
        <v>5692</v>
      </c>
      <c r="C224" s="42" t="s">
        <v>5693</v>
      </c>
      <c r="E224" s="42" t="s">
        <v>5260</v>
      </c>
    </row>
    <row r="225">
      <c r="A225" s="42" t="s">
        <v>5691</v>
      </c>
      <c r="B225" s="42" t="s">
        <v>5692</v>
      </c>
      <c r="C225" s="42" t="s">
        <v>5693</v>
      </c>
      <c r="E225" s="42" t="s">
        <v>5260</v>
      </c>
    </row>
    <row r="226">
      <c r="A226" s="42" t="s">
        <v>5694</v>
      </c>
      <c r="B226" s="42" t="s">
        <v>5695</v>
      </c>
      <c r="E226" s="42" t="s">
        <v>5256</v>
      </c>
    </row>
    <row r="227">
      <c r="A227" s="42" t="s">
        <v>5696</v>
      </c>
      <c r="B227" s="42" t="s">
        <v>5697</v>
      </c>
      <c r="D227" s="42" t="s">
        <v>330</v>
      </c>
      <c r="E227" s="42" t="s">
        <v>5268</v>
      </c>
    </row>
    <row r="228">
      <c r="A228" s="42" t="s">
        <v>5698</v>
      </c>
      <c r="B228" s="42" t="s">
        <v>5296</v>
      </c>
      <c r="C228" s="42" t="s">
        <v>5699</v>
      </c>
      <c r="E228" s="42" t="s">
        <v>5260</v>
      </c>
    </row>
    <row r="229">
      <c r="A229" s="42" t="s">
        <v>5698</v>
      </c>
      <c r="B229" s="42" t="s">
        <v>5296</v>
      </c>
      <c r="C229" s="42" t="s">
        <v>5699</v>
      </c>
      <c r="E229" s="42" t="s">
        <v>5260</v>
      </c>
    </row>
    <row r="230">
      <c r="A230" s="42" t="s">
        <v>5698</v>
      </c>
      <c r="B230" s="42" t="s">
        <v>5296</v>
      </c>
      <c r="E230" s="42" t="s">
        <v>5256</v>
      </c>
    </row>
    <row r="231">
      <c r="A231" s="42" t="s">
        <v>5700</v>
      </c>
      <c r="B231" s="42" t="s">
        <v>5701</v>
      </c>
      <c r="C231" s="42" t="s">
        <v>5702</v>
      </c>
      <c r="E231" s="42" t="s">
        <v>5260</v>
      </c>
    </row>
    <row r="232">
      <c r="A232" s="42" t="s">
        <v>5703</v>
      </c>
      <c r="B232" s="42" t="s">
        <v>5704</v>
      </c>
      <c r="C232" s="42" t="s">
        <v>5705</v>
      </c>
      <c r="E232" s="42" t="s">
        <v>5260</v>
      </c>
    </row>
    <row r="233">
      <c r="A233" s="42" t="s">
        <v>5703</v>
      </c>
      <c r="B233" s="42" t="s">
        <v>5706</v>
      </c>
      <c r="D233" s="42" t="s">
        <v>4118</v>
      </c>
      <c r="E233" s="42" t="s">
        <v>5268</v>
      </c>
    </row>
    <row r="234">
      <c r="A234" s="42" t="s">
        <v>5707</v>
      </c>
      <c r="B234" s="42" t="s">
        <v>5708</v>
      </c>
      <c r="C234" s="42" t="s">
        <v>5709</v>
      </c>
      <c r="E234" s="42" t="s">
        <v>5260</v>
      </c>
    </row>
    <row r="235">
      <c r="A235" s="42" t="s">
        <v>5707</v>
      </c>
      <c r="B235" s="42" t="s">
        <v>5710</v>
      </c>
      <c r="D235" s="42" t="s">
        <v>3898</v>
      </c>
      <c r="E235" s="42" t="s">
        <v>5268</v>
      </c>
    </row>
    <row r="236">
      <c r="A236" s="42" t="s">
        <v>5711</v>
      </c>
      <c r="B236" s="42" t="s">
        <v>5712</v>
      </c>
      <c r="C236" s="42" t="s">
        <v>5713</v>
      </c>
      <c r="E236" s="42" t="s">
        <v>5260</v>
      </c>
    </row>
    <row r="237">
      <c r="A237" s="42" t="s">
        <v>5711</v>
      </c>
      <c r="B237" s="42" t="s">
        <v>5712</v>
      </c>
      <c r="C237" s="42" t="s">
        <v>5713</v>
      </c>
      <c r="E237" s="42" t="s">
        <v>5260</v>
      </c>
    </row>
    <row r="238">
      <c r="A238" s="42" t="s">
        <v>5714</v>
      </c>
      <c r="B238" s="42" t="s">
        <v>5267</v>
      </c>
      <c r="C238" s="42" t="s">
        <v>5715</v>
      </c>
      <c r="E238" s="42" t="s">
        <v>5260</v>
      </c>
    </row>
    <row r="239">
      <c r="A239" s="42" t="s">
        <v>5716</v>
      </c>
      <c r="B239" s="42" t="s">
        <v>5717</v>
      </c>
      <c r="C239" s="42" t="s">
        <v>5718</v>
      </c>
      <c r="E239" s="42" t="s">
        <v>5260</v>
      </c>
    </row>
    <row r="240">
      <c r="A240" s="42" t="s">
        <v>5719</v>
      </c>
      <c r="B240" s="42" t="s">
        <v>5720</v>
      </c>
      <c r="E240" s="42" t="s">
        <v>5256</v>
      </c>
    </row>
    <row r="241">
      <c r="A241" s="42" t="s">
        <v>5721</v>
      </c>
      <c r="B241" s="42" t="s">
        <v>5722</v>
      </c>
      <c r="D241" s="42" t="s">
        <v>5425</v>
      </c>
      <c r="E241" s="42" t="s">
        <v>5268</v>
      </c>
    </row>
    <row r="242">
      <c r="A242" s="42" t="s">
        <v>5723</v>
      </c>
      <c r="B242" s="42" t="s">
        <v>5724</v>
      </c>
      <c r="D242" s="42" t="s">
        <v>330</v>
      </c>
      <c r="E242" s="42" t="s">
        <v>5268</v>
      </c>
    </row>
    <row r="243">
      <c r="A243" s="42" t="s">
        <v>5723</v>
      </c>
      <c r="B243" s="42" t="s">
        <v>5451</v>
      </c>
      <c r="C243" s="42" t="s">
        <v>5725</v>
      </c>
      <c r="E243" s="42" t="s">
        <v>5260</v>
      </c>
    </row>
    <row r="244">
      <c r="A244" s="42" t="s">
        <v>5723</v>
      </c>
      <c r="B244" s="42" t="s">
        <v>5726</v>
      </c>
      <c r="D244" s="42" t="s">
        <v>5727</v>
      </c>
      <c r="E244" s="42" t="s">
        <v>5268</v>
      </c>
    </row>
    <row r="245">
      <c r="A245" s="42" t="s">
        <v>5728</v>
      </c>
      <c r="B245" s="42" t="s">
        <v>5729</v>
      </c>
      <c r="D245" s="42" t="s">
        <v>4624</v>
      </c>
      <c r="E245" s="42" t="s">
        <v>5268</v>
      </c>
    </row>
    <row r="246">
      <c r="A246" s="42" t="s">
        <v>5730</v>
      </c>
      <c r="B246" s="42" t="s">
        <v>5484</v>
      </c>
      <c r="D246" s="42" t="s">
        <v>5731</v>
      </c>
      <c r="E246" s="42" t="s">
        <v>5268</v>
      </c>
    </row>
    <row r="247">
      <c r="A247" s="42" t="s">
        <v>5732</v>
      </c>
      <c r="B247" s="42" t="s">
        <v>5733</v>
      </c>
      <c r="E247" s="42" t="s">
        <v>5256</v>
      </c>
    </row>
    <row r="248">
      <c r="A248" s="42" t="s">
        <v>5734</v>
      </c>
      <c r="B248" s="42" t="s">
        <v>5735</v>
      </c>
      <c r="E248" s="42" t="s">
        <v>5256</v>
      </c>
    </row>
    <row r="249">
      <c r="A249" s="42" t="s">
        <v>5736</v>
      </c>
      <c r="B249" s="42" t="s">
        <v>5737</v>
      </c>
      <c r="C249" s="42" t="s">
        <v>5738</v>
      </c>
      <c r="E249" s="42" t="s">
        <v>5260</v>
      </c>
    </row>
    <row r="250">
      <c r="A250" s="42" t="s">
        <v>5739</v>
      </c>
      <c r="B250" s="42" t="s">
        <v>5740</v>
      </c>
      <c r="D250" s="42" t="s">
        <v>5741</v>
      </c>
      <c r="E250" s="42" t="s">
        <v>5268</v>
      </c>
    </row>
    <row r="251">
      <c r="A251" s="42" t="s">
        <v>5742</v>
      </c>
      <c r="B251" s="42" t="s">
        <v>5743</v>
      </c>
      <c r="E251" s="42" t="s">
        <v>5256</v>
      </c>
    </row>
    <row r="252">
      <c r="A252" s="42" t="s">
        <v>5744</v>
      </c>
      <c r="B252" s="42" t="s">
        <v>5296</v>
      </c>
      <c r="C252" s="42" t="s">
        <v>5297</v>
      </c>
      <c r="E252" s="42" t="s">
        <v>5260</v>
      </c>
    </row>
    <row r="253">
      <c r="A253" s="42" t="s">
        <v>5745</v>
      </c>
      <c r="B253" s="42" t="s">
        <v>5746</v>
      </c>
      <c r="C253" s="42" t="s">
        <v>5747</v>
      </c>
      <c r="E253" s="42" t="s">
        <v>5260</v>
      </c>
    </row>
    <row r="254">
      <c r="A254" s="42" t="s">
        <v>5748</v>
      </c>
      <c r="B254" s="42" t="s">
        <v>5749</v>
      </c>
      <c r="D254" s="42" t="s">
        <v>5425</v>
      </c>
      <c r="E254" s="42" t="s">
        <v>5268</v>
      </c>
    </row>
    <row r="255">
      <c r="A255" s="42" t="s">
        <v>5750</v>
      </c>
      <c r="B255" s="42" t="s">
        <v>5751</v>
      </c>
      <c r="C255" s="42" t="s">
        <v>5752</v>
      </c>
      <c r="E255" s="42" t="s">
        <v>5260</v>
      </c>
    </row>
    <row r="256">
      <c r="A256" s="42" t="s">
        <v>5753</v>
      </c>
      <c r="B256" s="42" t="s">
        <v>5754</v>
      </c>
      <c r="E256" s="42" t="s">
        <v>5256</v>
      </c>
    </row>
    <row r="257">
      <c r="A257" s="42" t="s">
        <v>5755</v>
      </c>
      <c r="B257" s="42" t="s">
        <v>5756</v>
      </c>
      <c r="C257" s="42" t="s">
        <v>5757</v>
      </c>
      <c r="E257" s="42" t="s">
        <v>5260</v>
      </c>
    </row>
    <row r="258">
      <c r="A258" s="42" t="s">
        <v>5758</v>
      </c>
      <c r="B258" s="42" t="s">
        <v>5759</v>
      </c>
      <c r="D258" s="42" t="s">
        <v>293</v>
      </c>
      <c r="E258" s="42" t="s">
        <v>5268</v>
      </c>
    </row>
    <row r="259">
      <c r="A259" s="42" t="s">
        <v>5760</v>
      </c>
      <c r="B259" s="42" t="s">
        <v>5761</v>
      </c>
      <c r="D259" s="42" t="s">
        <v>4334</v>
      </c>
      <c r="E259" s="42" t="s">
        <v>5268</v>
      </c>
    </row>
    <row r="260">
      <c r="A260" s="42" t="s">
        <v>5762</v>
      </c>
      <c r="B260" s="42" t="s">
        <v>5432</v>
      </c>
      <c r="C260" s="42" t="s">
        <v>5715</v>
      </c>
      <c r="E260" s="42" t="s">
        <v>5260</v>
      </c>
    </row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printOptions/>
  <pageMargins bottom="1.0" footer="0.0" header="0.0" left="0.75" right="0.75" top="1.0"/>
  <pageSetup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13"/>
    <col customWidth="1" min="2" max="2" width="28.38"/>
  </cols>
  <sheetData>
    <row r="1">
      <c r="A1" s="128" t="s">
        <v>5</v>
      </c>
      <c r="B1" s="128" t="s">
        <v>5763</v>
      </c>
    </row>
    <row r="2">
      <c r="A2" s="84" t="s">
        <v>5764</v>
      </c>
      <c r="B2" s="129"/>
    </row>
    <row r="3">
      <c r="A3" s="87" t="s">
        <v>5765</v>
      </c>
      <c r="B3" s="130"/>
    </row>
    <row r="4">
      <c r="A4" s="84" t="s">
        <v>5766</v>
      </c>
      <c r="B4" s="129"/>
    </row>
    <row r="5">
      <c r="A5" s="87" t="s">
        <v>5767</v>
      </c>
      <c r="B5" s="130"/>
    </row>
    <row r="6">
      <c r="A6" s="84" t="s">
        <v>5768</v>
      </c>
      <c r="B6" s="129"/>
    </row>
    <row r="7">
      <c r="A7" s="87" t="s">
        <v>5769</v>
      </c>
      <c r="B7" s="130"/>
    </row>
    <row r="8">
      <c r="A8" s="84" t="s">
        <v>5770</v>
      </c>
      <c r="B8" s="129"/>
    </row>
    <row r="9">
      <c r="A9" s="87" t="s">
        <v>5771</v>
      </c>
      <c r="B9" s="130"/>
    </row>
    <row r="10">
      <c r="A10" s="84" t="s">
        <v>4459</v>
      </c>
      <c r="B10" s="129"/>
    </row>
    <row r="11">
      <c r="A11" s="87" t="s">
        <v>5772</v>
      </c>
      <c r="B11" s="130"/>
    </row>
    <row r="12">
      <c r="A12" s="84" t="s">
        <v>5773</v>
      </c>
      <c r="B12" s="129"/>
    </row>
    <row r="13">
      <c r="A13" s="87" t="s">
        <v>5774</v>
      </c>
      <c r="B13" s="130"/>
    </row>
    <row r="14">
      <c r="A14" s="84" t="s">
        <v>5775</v>
      </c>
      <c r="B14" s="129"/>
    </row>
    <row r="15">
      <c r="A15" s="87" t="s">
        <v>5776</v>
      </c>
      <c r="B15" s="130"/>
    </row>
    <row r="16">
      <c r="A16" s="84" t="s">
        <v>5777</v>
      </c>
      <c r="B16" s="129"/>
    </row>
    <row r="17">
      <c r="A17" s="87" t="s">
        <v>5778</v>
      </c>
      <c r="B17" s="130"/>
    </row>
    <row r="18">
      <c r="A18" s="84" t="s">
        <v>5779</v>
      </c>
      <c r="B18" s="129"/>
    </row>
    <row r="19">
      <c r="A19" s="87" t="s">
        <v>5780</v>
      </c>
      <c r="B19" s="130"/>
    </row>
    <row r="20">
      <c r="A20" s="84" t="s">
        <v>5781</v>
      </c>
      <c r="B20" s="129"/>
    </row>
    <row r="21">
      <c r="A21" s="87" t="s">
        <v>5782</v>
      </c>
      <c r="B21" s="87" t="s">
        <v>5783</v>
      </c>
    </row>
    <row r="22">
      <c r="A22" s="84" t="s">
        <v>5784</v>
      </c>
      <c r="B22" s="129"/>
    </row>
    <row r="23">
      <c r="A23" s="87" t="s">
        <v>5785</v>
      </c>
      <c r="B23" s="130"/>
    </row>
    <row r="24">
      <c r="A24" s="84" t="s">
        <v>5786</v>
      </c>
      <c r="B24" s="129"/>
    </row>
    <row r="25">
      <c r="A25" s="87" t="s">
        <v>5787</v>
      </c>
      <c r="B25" s="130"/>
    </row>
    <row r="26">
      <c r="A26" s="84" t="s">
        <v>5788</v>
      </c>
      <c r="B26" s="129"/>
    </row>
    <row r="27">
      <c r="A27" s="87" t="s">
        <v>5789</v>
      </c>
      <c r="B27" s="130"/>
    </row>
    <row r="28">
      <c r="A28" s="84" t="s">
        <v>5790</v>
      </c>
      <c r="B28" s="129"/>
    </row>
    <row r="29">
      <c r="A29" s="87" t="s">
        <v>5791</v>
      </c>
      <c r="B29" s="130"/>
    </row>
    <row r="30">
      <c r="A30" s="84" t="s">
        <v>5792</v>
      </c>
      <c r="B30" s="129"/>
    </row>
    <row r="31">
      <c r="A31" s="87" t="s">
        <v>5793</v>
      </c>
      <c r="B31" s="130"/>
    </row>
    <row r="32">
      <c r="A32" s="84" t="s">
        <v>5794</v>
      </c>
      <c r="B32" s="129"/>
    </row>
    <row r="33">
      <c r="A33" s="87" t="s">
        <v>5795</v>
      </c>
      <c r="B33" s="130"/>
    </row>
    <row r="34">
      <c r="A34" s="84" t="s">
        <v>5796</v>
      </c>
      <c r="B34" s="129"/>
    </row>
    <row r="35">
      <c r="A35" s="87" t="s">
        <v>5797</v>
      </c>
      <c r="B35" s="130"/>
    </row>
    <row r="36">
      <c r="A36" s="84" t="s">
        <v>5798</v>
      </c>
      <c r="B36" s="129"/>
    </row>
    <row r="37">
      <c r="A37" s="87" t="s">
        <v>5799</v>
      </c>
      <c r="B37" s="130"/>
    </row>
    <row r="38">
      <c r="A38" s="84" t="s">
        <v>5800</v>
      </c>
      <c r="B38" s="129"/>
    </row>
    <row r="39">
      <c r="A39" s="87" t="s">
        <v>5801</v>
      </c>
      <c r="B39" s="130"/>
    </row>
    <row r="40">
      <c r="A40" s="84" t="s">
        <v>5802</v>
      </c>
      <c r="B40" s="129"/>
    </row>
    <row r="41">
      <c r="A41" s="87" t="s">
        <v>5803</v>
      </c>
      <c r="B41" s="130"/>
    </row>
    <row r="42">
      <c r="A42" s="84" t="s">
        <v>5804</v>
      </c>
      <c r="B42" s="129"/>
    </row>
    <row r="43">
      <c r="A43" s="87" t="s">
        <v>5805</v>
      </c>
      <c r="B43" s="130"/>
    </row>
    <row r="44">
      <c r="A44" s="84" t="s">
        <v>5806</v>
      </c>
      <c r="B44" s="129"/>
    </row>
    <row r="45">
      <c r="A45" s="87" t="s">
        <v>5807</v>
      </c>
      <c r="B45" s="130"/>
    </row>
    <row r="46">
      <c r="A46" s="84" t="s">
        <v>5808</v>
      </c>
      <c r="B46" s="84" t="s">
        <v>5809</v>
      </c>
    </row>
    <row r="47">
      <c r="A47" s="87" t="s">
        <v>5810</v>
      </c>
      <c r="B47" s="130"/>
    </row>
    <row r="48">
      <c r="A48" s="84" t="s">
        <v>5811</v>
      </c>
      <c r="B48" s="129"/>
    </row>
    <row r="49">
      <c r="A49" s="87" t="s">
        <v>5812</v>
      </c>
      <c r="B49" s="87" t="s">
        <v>5813</v>
      </c>
    </row>
    <row r="50">
      <c r="A50" s="84" t="s">
        <v>5814</v>
      </c>
      <c r="B50" s="84" t="s">
        <v>5813</v>
      </c>
    </row>
    <row r="51">
      <c r="A51" s="87" t="s">
        <v>5815</v>
      </c>
      <c r="B51" s="130"/>
    </row>
    <row r="52">
      <c r="A52" s="84" t="s">
        <v>5816</v>
      </c>
      <c r="B52" s="129"/>
    </row>
    <row r="53">
      <c r="A53" s="87" t="s">
        <v>5817</v>
      </c>
      <c r="B53" s="130"/>
    </row>
    <row r="54">
      <c r="A54" s="84" t="s">
        <v>5818</v>
      </c>
      <c r="B54" s="129"/>
    </row>
    <row r="55">
      <c r="A55" s="87" t="s">
        <v>5819</v>
      </c>
      <c r="B55" s="130"/>
    </row>
    <row r="56">
      <c r="A56" s="84" t="s">
        <v>5820</v>
      </c>
      <c r="B56" s="129"/>
    </row>
    <row r="57">
      <c r="A57" s="87" t="s">
        <v>5821</v>
      </c>
      <c r="B57" s="130"/>
    </row>
    <row r="58">
      <c r="A58" s="84" t="s">
        <v>5822</v>
      </c>
      <c r="B58" s="129"/>
    </row>
    <row r="59">
      <c r="A59" s="87" t="s">
        <v>5823</v>
      </c>
      <c r="B59" s="130"/>
    </row>
    <row r="60">
      <c r="A60" s="84" t="s">
        <v>5824</v>
      </c>
      <c r="B60" s="129"/>
    </row>
    <row r="61">
      <c r="A61" s="87" t="s">
        <v>5825</v>
      </c>
      <c r="B61" s="130"/>
    </row>
    <row r="62">
      <c r="A62" s="84" t="s">
        <v>5826</v>
      </c>
      <c r="B62" s="129"/>
    </row>
    <row r="63">
      <c r="A63" s="87" t="s">
        <v>5827</v>
      </c>
      <c r="B63" s="130"/>
    </row>
    <row r="64">
      <c r="A64" s="84" t="s">
        <v>5828</v>
      </c>
      <c r="B64" s="129"/>
    </row>
    <row r="65">
      <c r="A65" s="87" t="s">
        <v>5829</v>
      </c>
      <c r="B65" s="130"/>
    </row>
    <row r="66">
      <c r="A66" s="84" t="s">
        <v>5830</v>
      </c>
      <c r="B66" s="84" t="s">
        <v>5831</v>
      </c>
    </row>
    <row r="67">
      <c r="A67" s="87" t="s">
        <v>5832</v>
      </c>
      <c r="B67" s="130"/>
    </row>
    <row r="68">
      <c r="A68" s="84" t="s">
        <v>5833</v>
      </c>
      <c r="B68" s="129"/>
    </row>
    <row r="69">
      <c r="A69" s="87" t="s">
        <v>5834</v>
      </c>
      <c r="B69" s="130"/>
    </row>
    <row r="70">
      <c r="A70" s="84" t="s">
        <v>5835</v>
      </c>
      <c r="B70" s="129"/>
    </row>
    <row r="71">
      <c r="A71" s="87" t="s">
        <v>5836</v>
      </c>
      <c r="B71" s="130"/>
    </row>
    <row r="72">
      <c r="A72" s="84" t="s">
        <v>5837</v>
      </c>
      <c r="B72" s="129"/>
    </row>
    <row r="73">
      <c r="A73" s="87" t="s">
        <v>5838</v>
      </c>
      <c r="B73" s="130"/>
    </row>
    <row r="74">
      <c r="A74" s="84" t="s">
        <v>5839</v>
      </c>
      <c r="B74" s="129"/>
    </row>
    <row r="75">
      <c r="A75" s="87" t="s">
        <v>5835</v>
      </c>
      <c r="B75" s="130"/>
    </row>
    <row r="76">
      <c r="A76" s="84" t="s">
        <v>5840</v>
      </c>
      <c r="B76" s="129"/>
    </row>
    <row r="77">
      <c r="A77" s="87" t="s">
        <v>5841</v>
      </c>
      <c r="B77" s="130"/>
    </row>
    <row r="78">
      <c r="A78" s="84" t="s">
        <v>5842</v>
      </c>
      <c r="B78" s="129"/>
    </row>
    <row r="79">
      <c r="A79" s="87" t="s">
        <v>5843</v>
      </c>
      <c r="B79" s="130"/>
    </row>
    <row r="80">
      <c r="A80" s="84" t="s">
        <v>5844</v>
      </c>
      <c r="B80" s="129"/>
    </row>
    <row r="81">
      <c r="A81" s="87" t="s">
        <v>5845</v>
      </c>
      <c r="B81" s="130"/>
    </row>
    <row r="82">
      <c r="A82" s="84" t="s">
        <v>5846</v>
      </c>
      <c r="B82" s="129"/>
    </row>
    <row r="83">
      <c r="A83" s="87" t="s">
        <v>5847</v>
      </c>
      <c r="B83" s="130"/>
    </row>
    <row r="84">
      <c r="A84" s="84" t="s">
        <v>5848</v>
      </c>
      <c r="B84" s="129"/>
    </row>
    <row r="85">
      <c r="A85" s="87" t="s">
        <v>5849</v>
      </c>
      <c r="B85" s="130"/>
    </row>
    <row r="86">
      <c r="A86" s="84" t="s">
        <v>5850</v>
      </c>
      <c r="B86" s="129"/>
    </row>
    <row r="87">
      <c r="A87" s="87" t="s">
        <v>5851</v>
      </c>
      <c r="B87" s="130"/>
    </row>
    <row r="88">
      <c r="A88" s="84" t="s">
        <v>5852</v>
      </c>
      <c r="B88" s="129"/>
    </row>
    <row r="89">
      <c r="A89" s="87" t="s">
        <v>5853</v>
      </c>
      <c r="B89" s="130"/>
    </row>
    <row r="90">
      <c r="A90" s="84" t="s">
        <v>5854</v>
      </c>
      <c r="B90" s="129"/>
    </row>
    <row r="91">
      <c r="A91" s="87" t="s">
        <v>5855</v>
      </c>
      <c r="B91" s="130"/>
    </row>
    <row r="92">
      <c r="A92" s="84" t="s">
        <v>5856</v>
      </c>
      <c r="B92" s="129"/>
    </row>
    <row r="93">
      <c r="A93" s="87" t="s">
        <v>5857</v>
      </c>
      <c r="B93" s="130"/>
    </row>
    <row r="94">
      <c r="A94" s="84" t="s">
        <v>5858</v>
      </c>
      <c r="B94" s="129"/>
    </row>
    <row r="95">
      <c r="A95" s="87" t="s">
        <v>5859</v>
      </c>
      <c r="B95" s="130"/>
    </row>
    <row r="96">
      <c r="A96" s="84" t="s">
        <v>5860</v>
      </c>
      <c r="B96" s="129"/>
    </row>
    <row r="97">
      <c r="A97" s="87" t="s">
        <v>5861</v>
      </c>
      <c r="B97" s="87" t="s">
        <v>5813</v>
      </c>
    </row>
    <row r="98">
      <c r="A98" s="84" t="s">
        <v>5862</v>
      </c>
      <c r="B98" s="84" t="s">
        <v>5863</v>
      </c>
    </row>
    <row r="99">
      <c r="A99" s="87" t="s">
        <v>5864</v>
      </c>
      <c r="B99" s="130"/>
    </row>
    <row r="100">
      <c r="A100" s="84" t="s">
        <v>5865</v>
      </c>
      <c r="B100" s="129"/>
    </row>
    <row r="101">
      <c r="A101" s="87" t="s">
        <v>5866</v>
      </c>
      <c r="B101" s="130"/>
    </row>
    <row r="102">
      <c r="A102" s="84" t="s">
        <v>5867</v>
      </c>
      <c r="B102" s="129"/>
    </row>
    <row r="103">
      <c r="A103" s="87" t="s">
        <v>5868</v>
      </c>
      <c r="B103" s="130"/>
    </row>
    <row r="104">
      <c r="A104" s="84" t="s">
        <v>5869</v>
      </c>
      <c r="B104" s="84" t="s">
        <v>5813</v>
      </c>
    </row>
    <row r="105">
      <c r="A105" s="87" t="s">
        <v>5870</v>
      </c>
      <c r="B105" s="87" t="s">
        <v>5813</v>
      </c>
    </row>
    <row r="106">
      <c r="A106" s="84" t="s">
        <v>5871</v>
      </c>
      <c r="B106" s="129"/>
    </row>
    <row r="107">
      <c r="A107" s="87" t="s">
        <v>5872</v>
      </c>
      <c r="B107" s="130"/>
    </row>
    <row r="108">
      <c r="A108" s="84" t="s">
        <v>5873</v>
      </c>
      <c r="B108" s="84" t="s">
        <v>5813</v>
      </c>
    </row>
    <row r="109">
      <c r="A109" s="87" t="s">
        <v>5874</v>
      </c>
      <c r="B109" s="130"/>
    </row>
    <row r="110">
      <c r="A110" s="84" t="s">
        <v>5875</v>
      </c>
      <c r="B110" s="129"/>
    </row>
    <row r="111">
      <c r="A111" s="87" t="s">
        <v>5876</v>
      </c>
      <c r="B111" s="130"/>
    </row>
    <row r="112">
      <c r="A112" s="84" t="s">
        <v>5877</v>
      </c>
      <c r="B112" s="129"/>
    </row>
    <row r="113">
      <c r="A113" s="87" t="s">
        <v>5878</v>
      </c>
      <c r="B113" s="130"/>
    </row>
    <row r="114">
      <c r="A114" s="84" t="s">
        <v>5879</v>
      </c>
      <c r="B114" s="129"/>
    </row>
    <row r="115">
      <c r="A115" s="87" t="s">
        <v>5880</v>
      </c>
      <c r="B115" s="130"/>
    </row>
    <row r="116">
      <c r="A116" s="84" t="s">
        <v>5881</v>
      </c>
      <c r="B116" s="129"/>
    </row>
    <row r="117">
      <c r="A117" s="87" t="s">
        <v>5882</v>
      </c>
      <c r="B117" s="130"/>
    </row>
    <row r="118">
      <c r="A118" s="84" t="s">
        <v>5883</v>
      </c>
      <c r="B118" s="129"/>
    </row>
    <row r="119">
      <c r="A119" s="87" t="s">
        <v>5884</v>
      </c>
      <c r="B119" s="130"/>
    </row>
    <row r="120">
      <c r="A120" s="84" t="s">
        <v>5885</v>
      </c>
      <c r="B120" s="129"/>
    </row>
    <row r="121">
      <c r="A121" s="87" t="s">
        <v>5886</v>
      </c>
      <c r="B121" s="130"/>
    </row>
    <row r="122">
      <c r="A122" s="84" t="s">
        <v>5887</v>
      </c>
      <c r="B122" s="129"/>
    </row>
    <row r="123">
      <c r="A123" s="87" t="s">
        <v>5888</v>
      </c>
      <c r="B123" s="87" t="s">
        <v>5813</v>
      </c>
    </row>
    <row r="124">
      <c r="A124" s="84" t="s">
        <v>5889</v>
      </c>
      <c r="B124" s="84" t="s">
        <v>5813</v>
      </c>
    </row>
    <row r="125">
      <c r="A125" s="87" t="s">
        <v>5890</v>
      </c>
      <c r="B125" s="87" t="s">
        <v>5813</v>
      </c>
    </row>
    <row r="126">
      <c r="A126" s="84" t="s">
        <v>5891</v>
      </c>
      <c r="B126" s="129"/>
    </row>
    <row r="127">
      <c r="A127" s="87" t="s">
        <v>5892</v>
      </c>
      <c r="B127" s="87" t="s">
        <v>5813</v>
      </c>
    </row>
    <row r="128">
      <c r="A128" s="84" t="s">
        <v>5893</v>
      </c>
      <c r="B128" s="84" t="s">
        <v>5813</v>
      </c>
    </row>
    <row r="129">
      <c r="A129" s="87" t="s">
        <v>5894</v>
      </c>
      <c r="B129" s="87" t="s">
        <v>5813</v>
      </c>
    </row>
    <row r="130">
      <c r="A130" s="84" t="s">
        <v>5895</v>
      </c>
      <c r="B130" s="84" t="s">
        <v>5813</v>
      </c>
    </row>
    <row r="131">
      <c r="A131" s="87" t="s">
        <v>5896</v>
      </c>
      <c r="B131" s="87" t="s">
        <v>5813</v>
      </c>
    </row>
    <row r="132">
      <c r="A132" s="84" t="s">
        <v>5897</v>
      </c>
      <c r="B132" s="129"/>
    </row>
    <row r="133">
      <c r="A133" s="87" t="s">
        <v>5898</v>
      </c>
      <c r="B133" s="130"/>
    </row>
    <row r="134">
      <c r="A134" s="84" t="s">
        <v>5899</v>
      </c>
      <c r="B134" s="129"/>
    </row>
    <row r="135">
      <c r="A135" s="87" t="s">
        <v>5900</v>
      </c>
      <c r="B135" s="130"/>
    </row>
    <row r="136">
      <c r="A136" s="84" t="s">
        <v>5901</v>
      </c>
      <c r="B136" s="129"/>
    </row>
    <row r="137">
      <c r="A137" s="87" t="s">
        <v>5902</v>
      </c>
      <c r="B137" s="130"/>
    </row>
    <row r="138">
      <c r="A138" s="84" t="s">
        <v>5903</v>
      </c>
      <c r="B138" s="84" t="s">
        <v>5813</v>
      </c>
    </row>
    <row r="139">
      <c r="A139" s="87" t="s">
        <v>5904</v>
      </c>
      <c r="B139" s="130"/>
    </row>
    <row r="140">
      <c r="A140" s="84" t="s">
        <v>5905</v>
      </c>
      <c r="B140" s="129"/>
    </row>
    <row r="141">
      <c r="A141" s="87" t="s">
        <v>5906</v>
      </c>
      <c r="B141" s="130"/>
    </row>
    <row r="142">
      <c r="A142" s="84" t="s">
        <v>5907</v>
      </c>
      <c r="B142" s="129"/>
    </row>
    <row r="143">
      <c r="A143" s="87" t="s">
        <v>5908</v>
      </c>
      <c r="B143" s="130"/>
    </row>
    <row r="144">
      <c r="A144" s="84" t="s">
        <v>5909</v>
      </c>
      <c r="B144" s="129"/>
    </row>
    <row r="145">
      <c r="A145" s="87" t="s">
        <v>5910</v>
      </c>
      <c r="B145" s="130"/>
    </row>
    <row r="146">
      <c r="A146" s="84" t="s">
        <v>5911</v>
      </c>
      <c r="B146" s="129"/>
    </row>
    <row r="147">
      <c r="A147" s="87" t="s">
        <v>5912</v>
      </c>
      <c r="B147" s="130"/>
    </row>
    <row r="148">
      <c r="A148" s="84" t="s">
        <v>5913</v>
      </c>
      <c r="B148" s="129"/>
    </row>
    <row r="149">
      <c r="A149" s="87" t="s">
        <v>5914</v>
      </c>
      <c r="B149" s="87" t="s">
        <v>5813</v>
      </c>
    </row>
    <row r="150">
      <c r="A150" s="84" t="s">
        <v>5915</v>
      </c>
      <c r="B150" s="84" t="s">
        <v>5813</v>
      </c>
    </row>
    <row r="151">
      <c r="A151" s="87" t="s">
        <v>5916</v>
      </c>
      <c r="B151" s="130"/>
    </row>
    <row r="152">
      <c r="A152" s="84" t="s">
        <v>5917</v>
      </c>
      <c r="B152" s="129"/>
    </row>
    <row r="153">
      <c r="A153" s="87" t="s">
        <v>5918</v>
      </c>
      <c r="B153" s="130"/>
    </row>
    <row r="154">
      <c r="A154" s="84" t="s">
        <v>5919</v>
      </c>
      <c r="B154" s="129"/>
    </row>
    <row r="155">
      <c r="A155" s="87" t="s">
        <v>5920</v>
      </c>
      <c r="B155" s="87" t="s">
        <v>5813</v>
      </c>
    </row>
    <row r="156">
      <c r="A156" s="84" t="s">
        <v>5921</v>
      </c>
      <c r="B156" s="129"/>
    </row>
    <row r="157">
      <c r="A157" s="87" t="s">
        <v>5922</v>
      </c>
      <c r="B157" s="130"/>
    </row>
    <row r="158">
      <c r="A158" s="84" t="s">
        <v>5923</v>
      </c>
      <c r="B158" s="129"/>
    </row>
    <row r="159">
      <c r="A159" s="87" t="s">
        <v>5924</v>
      </c>
      <c r="B159" s="87" t="s">
        <v>5813</v>
      </c>
    </row>
    <row r="160">
      <c r="A160" s="84" t="s">
        <v>5925</v>
      </c>
      <c r="B160" s="129"/>
    </row>
    <row r="161">
      <c r="A161" s="87" t="s">
        <v>5926</v>
      </c>
      <c r="B161" s="130"/>
    </row>
    <row r="162">
      <c r="A162" s="84" t="s">
        <v>5927</v>
      </c>
      <c r="B162" s="129"/>
    </row>
    <row r="163">
      <c r="A163" s="87" t="s">
        <v>5928</v>
      </c>
      <c r="B163" s="130"/>
    </row>
    <row r="164">
      <c r="A164" s="84" t="s">
        <v>5929</v>
      </c>
      <c r="B164" s="129"/>
    </row>
    <row r="165">
      <c r="A165" s="87" t="s">
        <v>5930</v>
      </c>
      <c r="B165" s="130"/>
    </row>
    <row r="166">
      <c r="A166" s="84" t="s">
        <v>5931</v>
      </c>
      <c r="B166" s="129"/>
    </row>
    <row r="167">
      <c r="A167" s="87" t="s">
        <v>5932</v>
      </c>
      <c r="B167" s="130"/>
    </row>
    <row r="168">
      <c r="A168" s="84" t="s">
        <v>5933</v>
      </c>
      <c r="B168" s="129"/>
    </row>
    <row r="169">
      <c r="A169" s="87" t="s">
        <v>5934</v>
      </c>
      <c r="B169" s="130"/>
    </row>
    <row r="170">
      <c r="A170" s="84" t="s">
        <v>5935</v>
      </c>
      <c r="B170" s="129"/>
    </row>
    <row r="171">
      <c r="A171" s="87" t="s">
        <v>5936</v>
      </c>
      <c r="B171" s="130"/>
    </row>
    <row r="172">
      <c r="A172" s="84" t="s">
        <v>5937</v>
      </c>
      <c r="B172" s="129"/>
    </row>
    <row r="173">
      <c r="A173" s="87" t="s">
        <v>5938</v>
      </c>
      <c r="B173" s="130"/>
    </row>
    <row r="174">
      <c r="A174" s="84" t="s">
        <v>5939</v>
      </c>
      <c r="B174" s="129"/>
    </row>
    <row r="175">
      <c r="A175" s="87" t="s">
        <v>5940</v>
      </c>
      <c r="B175" s="130"/>
    </row>
    <row r="176">
      <c r="A176" s="84" t="s">
        <v>5941</v>
      </c>
      <c r="B176" s="129"/>
    </row>
    <row r="177">
      <c r="A177" s="87" t="s">
        <v>5942</v>
      </c>
      <c r="B177" s="87" t="s">
        <v>5813</v>
      </c>
    </row>
    <row r="178">
      <c r="A178" s="84" t="s">
        <v>5943</v>
      </c>
      <c r="B178" s="84" t="s">
        <v>5813</v>
      </c>
    </row>
    <row r="179">
      <c r="A179" s="87" t="s">
        <v>5944</v>
      </c>
      <c r="B179" s="87" t="s">
        <v>5813</v>
      </c>
    </row>
    <row r="180">
      <c r="A180" s="84" t="s">
        <v>5945</v>
      </c>
      <c r="B180" s="129"/>
    </row>
    <row r="181">
      <c r="A181" s="87" t="s">
        <v>5946</v>
      </c>
      <c r="B181" s="87" t="s">
        <v>5947</v>
      </c>
    </row>
    <row r="182">
      <c r="A182" s="84" t="s">
        <v>5948</v>
      </c>
      <c r="B182" s="84" t="s">
        <v>5947</v>
      </c>
    </row>
    <row r="183">
      <c r="A183" s="87" t="s">
        <v>5949</v>
      </c>
      <c r="B183" s="87" t="s">
        <v>5947</v>
      </c>
    </row>
    <row r="184">
      <c r="A184" s="84" t="s">
        <v>5950</v>
      </c>
      <c r="B184" s="129"/>
    </row>
    <row r="185">
      <c r="A185" s="87" t="s">
        <v>5951</v>
      </c>
      <c r="B185" s="87" t="s">
        <v>5813</v>
      </c>
    </row>
    <row r="186">
      <c r="A186" s="84" t="s">
        <v>5952</v>
      </c>
      <c r="B186" s="129"/>
    </row>
    <row r="187">
      <c r="A187" s="87" t="s">
        <v>5953</v>
      </c>
      <c r="B187" s="130"/>
    </row>
    <row r="188">
      <c r="A188" s="84" t="s">
        <v>5954</v>
      </c>
      <c r="B188" s="84" t="s">
        <v>5813</v>
      </c>
    </row>
    <row r="189">
      <c r="A189" s="87" t="s">
        <v>5955</v>
      </c>
      <c r="B189" s="130"/>
    </row>
    <row r="190">
      <c r="A190" s="84" t="s">
        <v>5956</v>
      </c>
      <c r="B190" s="129"/>
    </row>
    <row r="191">
      <c r="A191" s="87" t="s">
        <v>5957</v>
      </c>
      <c r="B191" s="130"/>
    </row>
    <row r="192">
      <c r="A192" s="84" t="s">
        <v>5958</v>
      </c>
      <c r="B192" s="129"/>
    </row>
    <row r="193">
      <c r="A193" s="87" t="s">
        <v>5959</v>
      </c>
      <c r="B193" s="130"/>
    </row>
    <row r="194">
      <c r="A194" s="84" t="s">
        <v>5960</v>
      </c>
      <c r="B194" s="129"/>
    </row>
    <row r="195">
      <c r="A195" s="87" t="s">
        <v>5961</v>
      </c>
      <c r="B195" s="130"/>
    </row>
    <row r="196">
      <c r="A196" s="84" t="s">
        <v>5962</v>
      </c>
      <c r="B196" s="129"/>
    </row>
    <row r="197">
      <c r="A197" s="87" t="s">
        <v>5963</v>
      </c>
      <c r="B197" s="130"/>
    </row>
    <row r="198">
      <c r="A198" s="84" t="s">
        <v>5964</v>
      </c>
      <c r="B198" s="129"/>
    </row>
    <row r="199">
      <c r="A199" s="87" t="s">
        <v>5965</v>
      </c>
      <c r="B199" s="130"/>
    </row>
    <row r="200">
      <c r="A200" s="84" t="s">
        <v>5966</v>
      </c>
      <c r="B200" s="129"/>
    </row>
    <row r="201">
      <c r="A201" s="87" t="s">
        <v>5967</v>
      </c>
      <c r="B201" s="130"/>
    </row>
    <row r="202">
      <c r="A202" s="84" t="s">
        <v>5968</v>
      </c>
      <c r="B202" s="129"/>
    </row>
    <row r="203">
      <c r="A203" s="87" t="s">
        <v>5869</v>
      </c>
      <c r="B203" s="87" t="s">
        <v>5969</v>
      </c>
    </row>
    <row r="204">
      <c r="A204" s="84" t="s">
        <v>5970</v>
      </c>
      <c r="B204" s="84" t="s">
        <v>5969</v>
      </c>
    </row>
    <row r="205">
      <c r="A205" s="87" t="s">
        <v>5971</v>
      </c>
      <c r="B205" s="130"/>
    </row>
    <row r="206">
      <c r="A206" s="84" t="s">
        <v>5972</v>
      </c>
      <c r="B206" s="129"/>
    </row>
    <row r="207">
      <c r="A207" s="87" t="s">
        <v>5973</v>
      </c>
      <c r="B207" s="130"/>
    </row>
    <row r="208">
      <c r="A208" s="84" t="s">
        <v>5974</v>
      </c>
      <c r="B208" s="129"/>
    </row>
    <row r="209">
      <c r="A209" s="87" t="s">
        <v>5975</v>
      </c>
      <c r="B209" s="130"/>
    </row>
    <row r="210">
      <c r="A210" s="84" t="s">
        <v>5976</v>
      </c>
      <c r="B210" s="129"/>
    </row>
    <row r="211">
      <c r="A211" s="87" t="s">
        <v>5977</v>
      </c>
      <c r="B211" s="130"/>
    </row>
    <row r="212">
      <c r="A212" s="84" t="s">
        <v>5978</v>
      </c>
      <c r="B212" s="129"/>
    </row>
    <row r="213">
      <c r="A213" s="87" t="s">
        <v>5979</v>
      </c>
      <c r="B213" s="130"/>
    </row>
    <row r="214">
      <c r="A214" s="84" t="s">
        <v>5980</v>
      </c>
      <c r="B214" s="129"/>
    </row>
    <row r="215">
      <c r="A215" s="87" t="s">
        <v>5981</v>
      </c>
      <c r="B215" s="130"/>
    </row>
    <row r="216">
      <c r="A216" s="84" t="s">
        <v>5982</v>
      </c>
      <c r="B216" s="129"/>
    </row>
    <row r="217">
      <c r="A217" s="87" t="s">
        <v>5983</v>
      </c>
      <c r="B217" s="130"/>
    </row>
    <row r="218">
      <c r="A218" s="84" t="s">
        <v>5984</v>
      </c>
      <c r="B218" s="129"/>
    </row>
    <row r="219">
      <c r="A219" s="87" t="s">
        <v>5985</v>
      </c>
      <c r="B219" s="130"/>
    </row>
    <row r="220">
      <c r="A220" s="84" t="s">
        <v>5986</v>
      </c>
      <c r="B220" s="129"/>
    </row>
    <row r="221">
      <c r="A221" s="87" t="s">
        <v>5987</v>
      </c>
      <c r="B221" s="130"/>
    </row>
    <row r="222">
      <c r="A222" s="84" t="s">
        <v>5988</v>
      </c>
      <c r="B222" s="129"/>
    </row>
    <row r="223">
      <c r="A223" s="87" t="s">
        <v>5989</v>
      </c>
      <c r="B223" s="130"/>
    </row>
    <row r="224">
      <c r="A224" s="84" t="s">
        <v>5990</v>
      </c>
      <c r="B224" s="129"/>
    </row>
    <row r="225">
      <c r="A225" s="87" t="s">
        <v>5991</v>
      </c>
      <c r="B225" s="130"/>
    </row>
    <row r="226">
      <c r="A226" s="84" t="s">
        <v>5992</v>
      </c>
      <c r="B226" s="129"/>
    </row>
    <row r="227">
      <c r="A227" s="87" t="s">
        <v>5993</v>
      </c>
      <c r="B227" s="130"/>
    </row>
    <row r="228">
      <c r="A228" s="84" t="s">
        <v>5994</v>
      </c>
      <c r="B228" s="84" t="s">
        <v>5813</v>
      </c>
    </row>
    <row r="229">
      <c r="A229" s="87" t="s">
        <v>5995</v>
      </c>
      <c r="B229" s="87" t="s">
        <v>5813</v>
      </c>
    </row>
    <row r="230">
      <c r="A230" s="84" t="s">
        <v>5996</v>
      </c>
      <c r="B230" s="84" t="s">
        <v>5813</v>
      </c>
    </row>
    <row r="231">
      <c r="A231" s="87" t="s">
        <v>5997</v>
      </c>
      <c r="B231" s="87" t="s">
        <v>5998</v>
      </c>
    </row>
    <row r="232">
      <c r="A232" s="84" t="s">
        <v>5999</v>
      </c>
      <c r="B232" s="129"/>
    </row>
    <row r="233">
      <c r="A233" s="87" t="s">
        <v>6000</v>
      </c>
      <c r="B233" s="130"/>
    </row>
    <row r="234">
      <c r="A234" s="84" t="s">
        <v>6001</v>
      </c>
      <c r="B234" s="129"/>
    </row>
    <row r="235">
      <c r="A235" s="87" t="s">
        <v>6002</v>
      </c>
      <c r="B235" s="130"/>
    </row>
    <row r="236">
      <c r="A236" s="84" t="s">
        <v>6003</v>
      </c>
      <c r="B236" s="84" t="s">
        <v>5813</v>
      </c>
    </row>
    <row r="237">
      <c r="A237" s="87" t="s">
        <v>6004</v>
      </c>
      <c r="B237" s="87" t="s">
        <v>5813</v>
      </c>
    </row>
    <row r="238">
      <c r="A238" s="84" t="s">
        <v>6005</v>
      </c>
      <c r="B238" s="129"/>
    </row>
    <row r="239">
      <c r="A239" s="87" t="s">
        <v>6006</v>
      </c>
      <c r="B239" s="87" t="s">
        <v>5813</v>
      </c>
    </row>
    <row r="240">
      <c r="A240" s="84" t="s">
        <v>6007</v>
      </c>
      <c r="B240" s="84" t="s">
        <v>5813</v>
      </c>
    </row>
    <row r="241">
      <c r="A241" s="87" t="s">
        <v>6008</v>
      </c>
      <c r="B241" s="130"/>
    </row>
    <row r="242">
      <c r="A242" s="84" t="s">
        <v>6009</v>
      </c>
      <c r="B242" s="129"/>
    </row>
    <row r="243">
      <c r="A243" s="87" t="s">
        <v>6010</v>
      </c>
      <c r="B243" s="130"/>
    </row>
    <row r="244">
      <c r="A244" s="84" t="s">
        <v>6011</v>
      </c>
      <c r="B244" s="129"/>
    </row>
    <row r="245">
      <c r="A245" s="87" t="s">
        <v>6012</v>
      </c>
      <c r="B245" s="130"/>
    </row>
    <row r="246">
      <c r="A246" s="84" t="s">
        <v>6013</v>
      </c>
      <c r="B246" s="129"/>
    </row>
    <row r="247">
      <c r="A247" s="87" t="s">
        <v>6014</v>
      </c>
      <c r="B247" s="130"/>
    </row>
    <row r="248">
      <c r="A248" s="84" t="s">
        <v>6015</v>
      </c>
      <c r="B248" s="129"/>
    </row>
    <row r="249">
      <c r="A249" s="87" t="s">
        <v>6016</v>
      </c>
      <c r="B249" s="130"/>
    </row>
    <row r="250">
      <c r="A250" s="84" t="s">
        <v>6017</v>
      </c>
      <c r="B250" s="129"/>
    </row>
    <row r="251">
      <c r="A251" s="87" t="s">
        <v>6018</v>
      </c>
      <c r="B251" s="130"/>
    </row>
    <row r="252">
      <c r="A252" s="84" t="s">
        <v>6019</v>
      </c>
      <c r="B252" s="129"/>
    </row>
    <row r="253">
      <c r="A253" s="87" t="s">
        <v>6020</v>
      </c>
      <c r="B253" s="130"/>
    </row>
    <row r="254">
      <c r="A254" s="84" t="s">
        <v>6021</v>
      </c>
      <c r="B254" s="84" t="s">
        <v>5813</v>
      </c>
    </row>
    <row r="255">
      <c r="A255" s="87" t="s">
        <v>6022</v>
      </c>
      <c r="B255" s="87" t="s">
        <v>5813</v>
      </c>
    </row>
    <row r="256">
      <c r="A256" s="84" t="s">
        <v>6023</v>
      </c>
      <c r="B256" s="84" t="s">
        <v>5813</v>
      </c>
    </row>
    <row r="257">
      <c r="A257" s="87" t="s">
        <v>6024</v>
      </c>
      <c r="B257" s="87" t="s">
        <v>5813</v>
      </c>
    </row>
    <row r="258">
      <c r="A258" s="84" t="s">
        <v>6025</v>
      </c>
      <c r="B258" s="129"/>
    </row>
    <row r="259">
      <c r="A259" s="87" t="s">
        <v>6026</v>
      </c>
      <c r="B259" s="130"/>
    </row>
    <row r="260">
      <c r="A260" s="84" t="s">
        <v>6027</v>
      </c>
      <c r="B260" s="84" t="s">
        <v>5813</v>
      </c>
    </row>
    <row r="261">
      <c r="A261" s="87" t="s">
        <v>6028</v>
      </c>
      <c r="B261" s="87" t="s">
        <v>5813</v>
      </c>
    </row>
    <row r="262">
      <c r="A262" s="84" t="s">
        <v>6029</v>
      </c>
      <c r="B262" s="129"/>
    </row>
    <row r="263">
      <c r="A263" s="87" t="s">
        <v>6030</v>
      </c>
      <c r="B263" s="130"/>
    </row>
    <row r="264">
      <c r="A264" s="84" t="s">
        <v>6031</v>
      </c>
      <c r="B264" s="129"/>
    </row>
    <row r="265">
      <c r="A265" s="87" t="s">
        <v>6032</v>
      </c>
      <c r="B265" s="130"/>
    </row>
    <row r="266">
      <c r="A266" s="84" t="s">
        <v>6033</v>
      </c>
      <c r="B266" s="129"/>
    </row>
    <row r="267">
      <c r="A267" s="87" t="s">
        <v>6034</v>
      </c>
      <c r="B267" s="130"/>
    </row>
    <row r="268">
      <c r="A268" s="84" t="s">
        <v>6035</v>
      </c>
      <c r="B268" s="129"/>
    </row>
    <row r="269">
      <c r="A269" s="87" t="s">
        <v>6036</v>
      </c>
      <c r="B269" s="130"/>
    </row>
    <row r="270">
      <c r="A270" s="84" t="s">
        <v>6037</v>
      </c>
      <c r="B270" s="84" t="s">
        <v>6038</v>
      </c>
    </row>
    <row r="271">
      <c r="A271" s="87" t="s">
        <v>6039</v>
      </c>
      <c r="B271" s="130"/>
    </row>
    <row r="272">
      <c r="A272" s="84" t="s">
        <v>6040</v>
      </c>
      <c r="B272" s="129"/>
    </row>
    <row r="273">
      <c r="A273" s="87" t="s">
        <v>5775</v>
      </c>
      <c r="B273" s="130"/>
    </row>
    <row r="274">
      <c r="A274" s="84" t="s">
        <v>6041</v>
      </c>
      <c r="B274" s="129"/>
    </row>
    <row r="275">
      <c r="A275" s="87" t="s">
        <v>5788</v>
      </c>
      <c r="B275" s="130"/>
    </row>
    <row r="276">
      <c r="A276" s="84" t="s">
        <v>6042</v>
      </c>
      <c r="B276" s="129"/>
    </row>
    <row r="277">
      <c r="A277" s="87" t="s">
        <v>6043</v>
      </c>
      <c r="B277" s="130"/>
    </row>
    <row r="278">
      <c r="A278" s="84" t="s">
        <v>6044</v>
      </c>
      <c r="B278" s="129"/>
    </row>
    <row r="279">
      <c r="A279" s="87" t="s">
        <v>6045</v>
      </c>
      <c r="B279" s="130"/>
    </row>
    <row r="280">
      <c r="A280" s="84" t="s">
        <v>6046</v>
      </c>
      <c r="B280" s="129"/>
    </row>
    <row r="281">
      <c r="A281" s="87" t="s">
        <v>6047</v>
      </c>
      <c r="B281" s="130"/>
    </row>
    <row r="282">
      <c r="A282" s="84" t="s">
        <v>6048</v>
      </c>
      <c r="B282" s="129"/>
    </row>
    <row r="283">
      <c r="A283" s="87" t="s">
        <v>6049</v>
      </c>
      <c r="B283" s="130"/>
    </row>
    <row r="284">
      <c r="A284" s="84" t="s">
        <v>6050</v>
      </c>
      <c r="B284" s="84" t="s">
        <v>5813</v>
      </c>
    </row>
    <row r="285">
      <c r="A285" s="87" t="s">
        <v>6051</v>
      </c>
      <c r="B285" s="87" t="s">
        <v>5813</v>
      </c>
    </row>
    <row r="286">
      <c r="A286" s="84" t="s">
        <v>6052</v>
      </c>
      <c r="B286" s="84" t="s">
        <v>5813</v>
      </c>
    </row>
    <row r="287">
      <c r="A287" s="87" t="s">
        <v>6053</v>
      </c>
      <c r="B287" s="130"/>
    </row>
    <row r="288">
      <c r="A288" s="84" t="s">
        <v>6054</v>
      </c>
      <c r="B288" s="129"/>
    </row>
    <row r="289">
      <c r="A289" s="87" t="s">
        <v>6055</v>
      </c>
      <c r="B289" s="130"/>
    </row>
    <row r="290">
      <c r="A290" s="84" t="s">
        <v>6056</v>
      </c>
      <c r="B290" s="129"/>
    </row>
    <row r="291">
      <c r="A291" s="87" t="s">
        <v>6057</v>
      </c>
      <c r="B291" s="130"/>
    </row>
    <row r="292">
      <c r="A292" s="84" t="s">
        <v>6058</v>
      </c>
      <c r="B292" s="129"/>
    </row>
    <row r="293">
      <c r="A293" s="87" t="s">
        <v>6059</v>
      </c>
      <c r="B293" s="130"/>
    </row>
    <row r="294">
      <c r="A294" s="84" t="s">
        <v>6060</v>
      </c>
      <c r="B294" s="129"/>
    </row>
    <row r="295">
      <c r="A295" s="87" t="s">
        <v>6061</v>
      </c>
      <c r="B295" s="130"/>
    </row>
    <row r="296">
      <c r="A296" s="84" t="s">
        <v>6062</v>
      </c>
      <c r="B296" s="129"/>
    </row>
    <row r="297">
      <c r="A297" s="87" t="s">
        <v>6063</v>
      </c>
      <c r="B297" s="130"/>
    </row>
    <row r="298">
      <c r="A298" s="84" t="s">
        <v>6064</v>
      </c>
      <c r="B298" s="129"/>
    </row>
    <row r="299">
      <c r="A299" s="87" t="s">
        <v>6065</v>
      </c>
      <c r="B299" s="130"/>
    </row>
    <row r="300">
      <c r="A300" s="84" t="s">
        <v>6066</v>
      </c>
      <c r="B300" s="129"/>
    </row>
    <row r="301">
      <c r="A301" s="87" t="s">
        <v>6067</v>
      </c>
      <c r="B301" s="87" t="s">
        <v>5813</v>
      </c>
    </row>
    <row r="302">
      <c r="A302" s="84" t="s">
        <v>6068</v>
      </c>
      <c r="B302" s="129"/>
    </row>
    <row r="303">
      <c r="A303" s="87" t="s">
        <v>6069</v>
      </c>
      <c r="B303" s="87" t="s">
        <v>5813</v>
      </c>
    </row>
    <row r="304">
      <c r="A304" s="84" t="s">
        <v>6070</v>
      </c>
      <c r="B304" s="84" t="s">
        <v>5813</v>
      </c>
    </row>
    <row r="305">
      <c r="A305" s="87" t="s">
        <v>6071</v>
      </c>
      <c r="B305" s="87" t="s">
        <v>5813</v>
      </c>
    </row>
    <row r="306">
      <c r="A306" s="84" t="s">
        <v>6072</v>
      </c>
      <c r="B306" s="84" t="s">
        <v>5813</v>
      </c>
    </row>
    <row r="307">
      <c r="A307" s="87" t="s">
        <v>6073</v>
      </c>
      <c r="B307" s="87" t="s">
        <v>5813</v>
      </c>
    </row>
    <row r="308">
      <c r="A308" s="84" t="s">
        <v>6074</v>
      </c>
      <c r="B308" s="129"/>
    </row>
    <row r="309">
      <c r="A309" s="87" t="s">
        <v>6075</v>
      </c>
      <c r="B309" s="130"/>
    </row>
    <row r="310">
      <c r="A310" s="84" t="s">
        <v>6076</v>
      </c>
      <c r="B310" s="129"/>
    </row>
    <row r="311">
      <c r="A311" s="87" t="s">
        <v>6077</v>
      </c>
      <c r="B311" s="130"/>
    </row>
    <row r="312">
      <c r="A312" s="84" t="s">
        <v>6078</v>
      </c>
      <c r="B312" s="84" t="s">
        <v>5813</v>
      </c>
    </row>
    <row r="313">
      <c r="A313" s="87" t="s">
        <v>6079</v>
      </c>
      <c r="B313" s="87" t="s">
        <v>6080</v>
      </c>
    </row>
    <row r="314">
      <c r="A314" s="84" t="s">
        <v>6081</v>
      </c>
      <c r="B314" s="129"/>
    </row>
    <row r="315">
      <c r="A315" s="87" t="s">
        <v>6082</v>
      </c>
      <c r="B315" s="130"/>
    </row>
    <row r="316">
      <c r="A316" s="84" t="s">
        <v>6083</v>
      </c>
      <c r="B316" s="84" t="s">
        <v>6084</v>
      </c>
    </row>
    <row r="317">
      <c r="A317" s="87" t="s">
        <v>6085</v>
      </c>
      <c r="B317" s="87" t="s">
        <v>6084</v>
      </c>
    </row>
    <row r="318">
      <c r="A318" s="84" t="s">
        <v>6086</v>
      </c>
      <c r="B318" s="129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13"/>
    <col customWidth="1" min="2" max="2" width="21.0"/>
    <col customWidth="1" min="3" max="3" width="9.5"/>
    <col customWidth="1" min="4" max="4" width="7.75"/>
    <col customWidth="1" min="5" max="5" width="21.25"/>
    <col customWidth="1" min="6" max="6" width="24.13"/>
    <col customWidth="1" min="7" max="8" width="10.63"/>
    <col customWidth="1" min="9" max="9" width="21.88"/>
  </cols>
  <sheetData>
    <row r="1">
      <c r="A1" s="47" t="s">
        <v>3416</v>
      </c>
      <c r="B1" s="2"/>
      <c r="C1" s="2"/>
      <c r="D1" s="2"/>
      <c r="E1" s="3"/>
      <c r="F1" s="48"/>
      <c r="G1" s="49"/>
      <c r="H1" s="49"/>
      <c r="I1" s="48"/>
      <c r="J1" s="48"/>
    </row>
    <row r="2">
      <c r="A2" s="50" t="s">
        <v>3417</v>
      </c>
      <c r="B2" s="50" t="s">
        <v>3418</v>
      </c>
      <c r="C2" s="50" t="s">
        <v>3419</v>
      </c>
      <c r="D2" s="50" t="s">
        <v>3420</v>
      </c>
      <c r="E2" s="50" t="s">
        <v>3421</v>
      </c>
      <c r="F2" s="50" t="s">
        <v>3422</v>
      </c>
      <c r="G2" s="50" t="s">
        <v>3423</v>
      </c>
      <c r="H2" s="50" t="s">
        <v>3424</v>
      </c>
      <c r="I2" s="50" t="s">
        <v>3425</v>
      </c>
      <c r="J2" s="50" t="s">
        <v>3426</v>
      </c>
    </row>
    <row r="3">
      <c r="A3" s="51">
        <v>1.0</v>
      </c>
      <c r="B3" s="52" t="s">
        <v>3427</v>
      </c>
      <c r="C3" s="53"/>
      <c r="D3" s="53"/>
      <c r="E3" s="52" t="s">
        <v>1742</v>
      </c>
      <c r="F3" s="52" t="s">
        <v>3428</v>
      </c>
      <c r="G3" s="54" t="s">
        <v>3429</v>
      </c>
      <c r="H3" s="55">
        <v>0.875</v>
      </c>
      <c r="I3" s="56"/>
      <c r="J3" s="57"/>
    </row>
    <row r="4">
      <c r="A4" s="51">
        <f t="shared" ref="A4:A458" si="1">A3+1</f>
        <v>2</v>
      </c>
      <c r="B4" s="52" t="s">
        <v>3430</v>
      </c>
      <c r="C4" s="52" t="s">
        <v>3431</v>
      </c>
      <c r="D4" s="56"/>
      <c r="E4" s="52" t="s">
        <v>1742</v>
      </c>
      <c r="F4" s="52" t="s">
        <v>3428</v>
      </c>
      <c r="G4" s="54" t="s">
        <v>3429</v>
      </c>
      <c r="H4" s="55">
        <v>0.875</v>
      </c>
      <c r="I4" s="56"/>
      <c r="J4" s="57"/>
    </row>
    <row r="5">
      <c r="A5" s="51">
        <f t="shared" si="1"/>
        <v>3</v>
      </c>
      <c r="B5" s="52" t="s">
        <v>3432</v>
      </c>
      <c r="C5" s="52" t="s">
        <v>3433</v>
      </c>
      <c r="D5" s="56"/>
      <c r="E5" s="52" t="s">
        <v>1742</v>
      </c>
      <c r="F5" s="52" t="s">
        <v>3428</v>
      </c>
      <c r="G5" s="54" t="s">
        <v>3429</v>
      </c>
      <c r="H5" s="55">
        <v>0.875</v>
      </c>
      <c r="I5" s="56"/>
      <c r="J5" s="57"/>
    </row>
    <row r="6">
      <c r="A6" s="51">
        <f t="shared" si="1"/>
        <v>4</v>
      </c>
      <c r="B6" s="52" t="s">
        <v>3434</v>
      </c>
      <c r="C6" s="52" t="s">
        <v>3435</v>
      </c>
      <c r="D6" s="56"/>
      <c r="E6" s="52" t="s">
        <v>1742</v>
      </c>
      <c r="F6" s="52" t="s">
        <v>3428</v>
      </c>
      <c r="G6" s="54" t="s">
        <v>3429</v>
      </c>
      <c r="H6" s="58"/>
      <c r="I6" s="56"/>
      <c r="J6" s="57"/>
    </row>
    <row r="7">
      <c r="A7" s="51">
        <f t="shared" si="1"/>
        <v>5</v>
      </c>
      <c r="B7" s="52" t="s">
        <v>3436</v>
      </c>
      <c r="C7" s="52" t="s">
        <v>3437</v>
      </c>
      <c r="D7" s="56"/>
      <c r="E7" s="52" t="s">
        <v>1742</v>
      </c>
      <c r="F7" s="52" t="s">
        <v>3428</v>
      </c>
      <c r="G7" s="54" t="s">
        <v>3429</v>
      </c>
      <c r="H7" s="55">
        <v>0.875</v>
      </c>
      <c r="I7" s="56"/>
      <c r="J7" s="57"/>
    </row>
    <row r="8">
      <c r="A8" s="51">
        <f t="shared" si="1"/>
        <v>6</v>
      </c>
      <c r="B8" s="52" t="s">
        <v>3438</v>
      </c>
      <c r="C8" s="52" t="s">
        <v>3439</v>
      </c>
      <c r="D8" s="56"/>
      <c r="E8" s="52" t="s">
        <v>1742</v>
      </c>
      <c r="F8" s="52" t="s">
        <v>3428</v>
      </c>
      <c r="G8" s="54" t="s">
        <v>3429</v>
      </c>
      <c r="H8" s="55">
        <v>0.875</v>
      </c>
      <c r="I8" s="56"/>
      <c r="J8" s="57"/>
    </row>
    <row r="9">
      <c r="A9" s="51">
        <f t="shared" si="1"/>
        <v>7</v>
      </c>
      <c r="B9" s="52" t="s">
        <v>3440</v>
      </c>
      <c r="C9" s="52" t="s">
        <v>3441</v>
      </c>
      <c r="D9" s="56"/>
      <c r="E9" s="52" t="s">
        <v>1742</v>
      </c>
      <c r="F9" s="52" t="s">
        <v>3428</v>
      </c>
      <c r="G9" s="54" t="s">
        <v>3429</v>
      </c>
      <c r="H9" s="55">
        <v>0.875</v>
      </c>
      <c r="I9" s="56"/>
      <c r="J9" s="57"/>
    </row>
    <row r="10">
      <c r="A10" s="51">
        <f t="shared" si="1"/>
        <v>8</v>
      </c>
      <c r="B10" s="52" t="s">
        <v>3442</v>
      </c>
      <c r="C10" s="52" t="s">
        <v>3443</v>
      </c>
      <c r="D10" s="56"/>
      <c r="E10" s="52" t="s">
        <v>1742</v>
      </c>
      <c r="F10" s="52" t="s">
        <v>3428</v>
      </c>
      <c r="G10" s="54" t="s">
        <v>3429</v>
      </c>
      <c r="H10" s="55">
        <v>0.875</v>
      </c>
      <c r="I10" s="56"/>
      <c r="J10" s="57"/>
    </row>
    <row r="11">
      <c r="A11" s="51">
        <f t="shared" si="1"/>
        <v>9</v>
      </c>
      <c r="B11" s="52" t="s">
        <v>3444</v>
      </c>
      <c r="C11" s="53"/>
      <c r="D11" s="56"/>
      <c r="E11" s="52" t="s">
        <v>1742</v>
      </c>
      <c r="F11" s="52" t="s">
        <v>3428</v>
      </c>
      <c r="G11" s="54" t="s">
        <v>3429</v>
      </c>
      <c r="H11" s="55">
        <v>0.875</v>
      </c>
      <c r="I11" s="56"/>
      <c r="J11" s="57"/>
    </row>
    <row r="12">
      <c r="A12" s="51">
        <f t="shared" si="1"/>
        <v>10</v>
      </c>
      <c r="B12" s="52" t="s">
        <v>3445</v>
      </c>
      <c r="C12" s="52" t="s">
        <v>3439</v>
      </c>
      <c r="D12" s="56"/>
      <c r="E12" s="52" t="s">
        <v>1742</v>
      </c>
      <c r="F12" s="52" t="s">
        <v>3428</v>
      </c>
      <c r="G12" s="54" t="s">
        <v>3429</v>
      </c>
      <c r="H12" s="55">
        <v>0.875</v>
      </c>
      <c r="I12" s="56"/>
      <c r="J12" s="57"/>
    </row>
    <row r="13">
      <c r="A13" s="51">
        <f t="shared" si="1"/>
        <v>11</v>
      </c>
      <c r="B13" s="52" t="s">
        <v>3446</v>
      </c>
      <c r="C13" s="52" t="s">
        <v>3447</v>
      </c>
      <c r="D13" s="56"/>
      <c r="E13" s="52" t="s">
        <v>1742</v>
      </c>
      <c r="F13" s="52" t="s">
        <v>3428</v>
      </c>
      <c r="G13" s="54" t="s">
        <v>3429</v>
      </c>
      <c r="H13" s="55">
        <v>0.875</v>
      </c>
      <c r="I13" s="56"/>
      <c r="J13" s="57"/>
    </row>
    <row r="14">
      <c r="A14" s="51">
        <f t="shared" si="1"/>
        <v>12</v>
      </c>
      <c r="B14" s="52" t="s">
        <v>3448</v>
      </c>
      <c r="C14" s="52" t="s">
        <v>3449</v>
      </c>
      <c r="D14" s="56"/>
      <c r="E14" s="52" t="s">
        <v>1742</v>
      </c>
      <c r="F14" s="52" t="s">
        <v>3428</v>
      </c>
      <c r="G14" s="54" t="s">
        <v>3429</v>
      </c>
      <c r="H14" s="55">
        <v>0.875</v>
      </c>
      <c r="I14" s="56"/>
      <c r="J14" s="57"/>
    </row>
    <row r="15">
      <c r="A15" s="51">
        <f t="shared" si="1"/>
        <v>13</v>
      </c>
      <c r="B15" s="52" t="s">
        <v>3450</v>
      </c>
      <c r="C15" s="52" t="s">
        <v>3451</v>
      </c>
      <c r="D15" s="56"/>
      <c r="E15" s="52" t="s">
        <v>1742</v>
      </c>
      <c r="F15" s="52" t="s">
        <v>3428</v>
      </c>
      <c r="G15" s="54" t="s">
        <v>3429</v>
      </c>
      <c r="H15" s="55">
        <v>0.875</v>
      </c>
      <c r="I15" s="56"/>
      <c r="J15" s="57"/>
    </row>
    <row r="16">
      <c r="A16" s="51">
        <f t="shared" si="1"/>
        <v>14</v>
      </c>
      <c r="B16" s="52" t="s">
        <v>3452</v>
      </c>
      <c r="C16" s="52" t="s">
        <v>3453</v>
      </c>
      <c r="D16" s="56"/>
      <c r="E16" s="52" t="s">
        <v>1742</v>
      </c>
      <c r="F16" s="52" t="s">
        <v>3428</v>
      </c>
      <c r="G16" s="54" t="s">
        <v>3429</v>
      </c>
      <c r="H16" s="55">
        <v>0.875</v>
      </c>
      <c r="I16" s="56"/>
      <c r="J16" s="57"/>
    </row>
    <row r="17">
      <c r="A17" s="51">
        <f t="shared" si="1"/>
        <v>15</v>
      </c>
      <c r="B17" s="52" t="s">
        <v>3454</v>
      </c>
      <c r="C17" s="59" t="s">
        <v>3455</v>
      </c>
      <c r="D17" s="56"/>
      <c r="E17" s="52" t="s">
        <v>1742</v>
      </c>
      <c r="F17" s="52" t="s">
        <v>3428</v>
      </c>
      <c r="G17" s="54" t="s">
        <v>3429</v>
      </c>
      <c r="H17" s="55">
        <v>0.875</v>
      </c>
      <c r="I17" s="56"/>
      <c r="J17" s="57"/>
    </row>
    <row r="18">
      <c r="A18" s="51">
        <f t="shared" si="1"/>
        <v>16</v>
      </c>
      <c r="B18" s="52" t="s">
        <v>3456</v>
      </c>
      <c r="C18" s="52" t="s">
        <v>3431</v>
      </c>
      <c r="D18" s="56"/>
      <c r="E18" s="52" t="s">
        <v>1742</v>
      </c>
      <c r="F18" s="52" t="s">
        <v>3428</v>
      </c>
      <c r="G18" s="54" t="s">
        <v>3429</v>
      </c>
      <c r="H18" s="55">
        <v>0.875</v>
      </c>
      <c r="I18" s="56"/>
      <c r="J18" s="57"/>
    </row>
    <row r="19">
      <c r="A19" s="51">
        <f t="shared" si="1"/>
        <v>17</v>
      </c>
      <c r="B19" s="52" t="s">
        <v>3457</v>
      </c>
      <c r="C19" s="53"/>
      <c r="D19" s="56"/>
      <c r="E19" s="52" t="s">
        <v>1742</v>
      </c>
      <c r="F19" s="52" t="s">
        <v>3428</v>
      </c>
      <c r="G19" s="54" t="s">
        <v>3429</v>
      </c>
      <c r="H19" s="55">
        <v>0.875</v>
      </c>
      <c r="I19" s="52" t="s">
        <v>3458</v>
      </c>
      <c r="J19" s="57"/>
    </row>
    <row r="20">
      <c r="A20" s="51">
        <f t="shared" si="1"/>
        <v>18</v>
      </c>
      <c r="B20" s="52" t="s">
        <v>3459</v>
      </c>
      <c r="C20" s="53"/>
      <c r="D20" s="52" t="s">
        <v>3460</v>
      </c>
      <c r="E20" s="52" t="s">
        <v>1742</v>
      </c>
      <c r="F20" s="52" t="s">
        <v>3428</v>
      </c>
      <c r="G20" s="54" t="s">
        <v>3429</v>
      </c>
      <c r="H20" s="55">
        <v>0.875</v>
      </c>
      <c r="I20" s="52" t="s">
        <v>3461</v>
      </c>
      <c r="J20" s="57"/>
    </row>
    <row r="21">
      <c r="A21" s="51">
        <f t="shared" si="1"/>
        <v>19</v>
      </c>
      <c r="B21" s="52" t="s">
        <v>3462</v>
      </c>
      <c r="C21" s="53"/>
      <c r="D21" s="56"/>
      <c r="E21" s="52" t="s">
        <v>1742</v>
      </c>
      <c r="F21" s="52" t="s">
        <v>3428</v>
      </c>
      <c r="G21" s="54" t="s">
        <v>3429</v>
      </c>
      <c r="H21" s="55">
        <v>0.875</v>
      </c>
      <c r="I21" s="59" t="s">
        <v>3463</v>
      </c>
      <c r="J21" s="57"/>
    </row>
    <row r="22">
      <c r="A22" s="51">
        <f t="shared" si="1"/>
        <v>20</v>
      </c>
      <c r="B22" s="52" t="s">
        <v>3464</v>
      </c>
      <c r="C22" s="56"/>
      <c r="D22" s="53"/>
      <c r="E22" s="52" t="s">
        <v>1742</v>
      </c>
      <c r="F22" s="52" t="s">
        <v>3428</v>
      </c>
      <c r="G22" s="54" t="s">
        <v>3429</v>
      </c>
      <c r="H22" s="55">
        <v>0.875</v>
      </c>
      <c r="I22" s="59" t="s">
        <v>3465</v>
      </c>
      <c r="J22" s="57"/>
    </row>
    <row r="23">
      <c r="A23" s="51">
        <f t="shared" si="1"/>
        <v>21</v>
      </c>
      <c r="B23" s="52" t="s">
        <v>3466</v>
      </c>
      <c r="C23" s="56"/>
      <c r="D23" s="53"/>
      <c r="E23" s="52" t="s">
        <v>1742</v>
      </c>
      <c r="F23" s="52" t="s">
        <v>3428</v>
      </c>
      <c r="G23" s="54" t="s">
        <v>3429</v>
      </c>
      <c r="H23" s="55">
        <v>0.875</v>
      </c>
      <c r="I23" s="59" t="s">
        <v>3465</v>
      </c>
      <c r="J23" s="57"/>
    </row>
    <row r="24">
      <c r="A24" s="51">
        <f t="shared" si="1"/>
        <v>22</v>
      </c>
      <c r="B24" s="52" t="s">
        <v>3467</v>
      </c>
      <c r="C24" s="53"/>
      <c r="D24" s="53"/>
      <c r="E24" s="52" t="s">
        <v>1742</v>
      </c>
      <c r="F24" s="52" t="s">
        <v>3428</v>
      </c>
      <c r="G24" s="54" t="s">
        <v>3429</v>
      </c>
      <c r="H24" s="55">
        <v>0.875</v>
      </c>
      <c r="I24" s="52" t="s">
        <v>3468</v>
      </c>
      <c r="J24" s="57"/>
    </row>
    <row r="25">
      <c r="A25" s="51">
        <f t="shared" si="1"/>
        <v>23</v>
      </c>
      <c r="B25" s="52" t="s">
        <v>3469</v>
      </c>
      <c r="C25" s="56"/>
      <c r="D25" s="53"/>
      <c r="E25" s="52" t="s">
        <v>1742</v>
      </c>
      <c r="F25" s="52" t="s">
        <v>3428</v>
      </c>
      <c r="G25" s="54" t="s">
        <v>3429</v>
      </c>
      <c r="H25" s="55">
        <v>0.875</v>
      </c>
      <c r="I25" s="59" t="s">
        <v>3465</v>
      </c>
      <c r="J25" s="57"/>
    </row>
    <row r="26">
      <c r="A26" s="51">
        <f t="shared" si="1"/>
        <v>24</v>
      </c>
      <c r="B26" s="52" t="s">
        <v>3470</v>
      </c>
      <c r="C26" s="56"/>
      <c r="D26" s="53"/>
      <c r="E26" s="52" t="s">
        <v>1742</v>
      </c>
      <c r="F26" s="52" t="s">
        <v>3428</v>
      </c>
      <c r="G26" s="54" t="s">
        <v>3429</v>
      </c>
      <c r="H26" s="55">
        <v>0.875</v>
      </c>
      <c r="I26" s="52" t="s">
        <v>3471</v>
      </c>
      <c r="J26" s="57"/>
    </row>
    <row r="27">
      <c r="A27" s="51">
        <f t="shared" si="1"/>
        <v>25</v>
      </c>
      <c r="B27" s="52" t="s">
        <v>3472</v>
      </c>
      <c r="C27" s="56"/>
      <c r="D27" s="53"/>
      <c r="E27" s="52" t="s">
        <v>1742</v>
      </c>
      <c r="F27" s="52" t="s">
        <v>3428</v>
      </c>
      <c r="G27" s="54" t="s">
        <v>3429</v>
      </c>
      <c r="H27" s="55">
        <v>0.875</v>
      </c>
      <c r="I27" s="52" t="s">
        <v>3473</v>
      </c>
      <c r="J27" s="57"/>
    </row>
    <row r="28">
      <c r="A28" s="51">
        <f t="shared" si="1"/>
        <v>26</v>
      </c>
      <c r="B28" s="52" t="s">
        <v>3474</v>
      </c>
      <c r="C28" s="56"/>
      <c r="D28" s="53"/>
      <c r="E28" s="52" t="s">
        <v>1742</v>
      </c>
      <c r="F28" s="52" t="s">
        <v>3428</v>
      </c>
      <c r="G28" s="54" t="s">
        <v>3429</v>
      </c>
      <c r="H28" s="55">
        <v>0.875</v>
      </c>
      <c r="I28" s="52" t="s">
        <v>3475</v>
      </c>
      <c r="J28" s="57"/>
    </row>
    <row r="29">
      <c r="A29" s="51">
        <f t="shared" si="1"/>
        <v>27</v>
      </c>
      <c r="B29" s="52" t="s">
        <v>3476</v>
      </c>
      <c r="C29" s="56"/>
      <c r="D29" s="53"/>
      <c r="E29" s="52" t="s">
        <v>1742</v>
      </c>
      <c r="F29" s="52" t="s">
        <v>3428</v>
      </c>
      <c r="G29" s="54" t="s">
        <v>3429</v>
      </c>
      <c r="H29" s="55">
        <v>0.875</v>
      </c>
      <c r="I29" s="52" t="s">
        <v>3473</v>
      </c>
      <c r="J29" s="57"/>
    </row>
    <row r="30">
      <c r="A30" s="51">
        <f t="shared" si="1"/>
        <v>28</v>
      </c>
      <c r="B30" s="52" t="s">
        <v>3477</v>
      </c>
      <c r="C30" s="56"/>
      <c r="D30" s="53"/>
      <c r="E30" s="52" t="s">
        <v>1742</v>
      </c>
      <c r="F30" s="52" t="s">
        <v>3428</v>
      </c>
      <c r="G30" s="54" t="s">
        <v>3429</v>
      </c>
      <c r="H30" s="55">
        <v>0.875</v>
      </c>
      <c r="I30" s="59" t="s">
        <v>3478</v>
      </c>
      <c r="J30" s="57"/>
    </row>
    <row r="31">
      <c r="A31" s="51">
        <f t="shared" si="1"/>
        <v>29</v>
      </c>
      <c r="B31" s="52" t="s">
        <v>3479</v>
      </c>
      <c r="C31" s="56"/>
      <c r="D31" s="53"/>
      <c r="E31" s="52" t="s">
        <v>1742</v>
      </c>
      <c r="F31" s="52" t="s">
        <v>3428</v>
      </c>
      <c r="G31" s="54" t="s">
        <v>3429</v>
      </c>
      <c r="H31" s="55">
        <v>0.875</v>
      </c>
      <c r="I31" s="52" t="s">
        <v>3480</v>
      </c>
      <c r="J31" s="57"/>
    </row>
    <row r="32">
      <c r="A32" s="51">
        <f t="shared" si="1"/>
        <v>30</v>
      </c>
      <c r="B32" s="52" t="s">
        <v>3481</v>
      </c>
      <c r="C32" s="56"/>
      <c r="D32" s="53"/>
      <c r="E32" s="52" t="s">
        <v>1742</v>
      </c>
      <c r="F32" s="52" t="s">
        <v>3428</v>
      </c>
      <c r="G32" s="54" t="s">
        <v>3429</v>
      </c>
      <c r="H32" s="55">
        <v>0.875</v>
      </c>
      <c r="I32" s="52" t="s">
        <v>3475</v>
      </c>
      <c r="J32" s="57"/>
    </row>
    <row r="33">
      <c r="A33" s="51">
        <f t="shared" si="1"/>
        <v>31</v>
      </c>
      <c r="B33" s="52" t="s">
        <v>3482</v>
      </c>
      <c r="C33" s="56"/>
      <c r="D33" s="53"/>
      <c r="E33" s="52" t="s">
        <v>1742</v>
      </c>
      <c r="F33" s="52" t="s">
        <v>3428</v>
      </c>
      <c r="G33" s="54" t="s">
        <v>3429</v>
      </c>
      <c r="H33" s="55">
        <v>0.875</v>
      </c>
      <c r="I33" s="52" t="s">
        <v>3475</v>
      </c>
      <c r="J33" s="57"/>
    </row>
    <row r="34">
      <c r="A34" s="51">
        <f t="shared" si="1"/>
        <v>32</v>
      </c>
      <c r="B34" s="52" t="s">
        <v>3483</v>
      </c>
      <c r="C34" s="56"/>
      <c r="D34" s="53"/>
      <c r="E34" s="52" t="s">
        <v>1742</v>
      </c>
      <c r="F34" s="52" t="s">
        <v>3428</v>
      </c>
      <c r="G34" s="54" t="s">
        <v>3429</v>
      </c>
      <c r="H34" s="55">
        <v>0.875</v>
      </c>
      <c r="I34" s="52" t="s">
        <v>3484</v>
      </c>
      <c r="J34" s="57"/>
    </row>
    <row r="35">
      <c r="A35" s="51">
        <f t="shared" si="1"/>
        <v>33</v>
      </c>
      <c r="B35" s="52" t="s">
        <v>3485</v>
      </c>
      <c r="C35" s="56"/>
      <c r="D35" s="53"/>
      <c r="E35" s="52" t="s">
        <v>1742</v>
      </c>
      <c r="F35" s="52" t="s">
        <v>3428</v>
      </c>
      <c r="G35" s="54" t="s">
        <v>3429</v>
      </c>
      <c r="H35" s="55">
        <v>0.875</v>
      </c>
      <c r="I35" s="52" t="s">
        <v>3486</v>
      </c>
      <c r="J35" s="57"/>
    </row>
    <row r="36">
      <c r="A36" s="51">
        <f t="shared" si="1"/>
        <v>34</v>
      </c>
      <c r="B36" s="52" t="s">
        <v>3487</v>
      </c>
      <c r="C36" s="56"/>
      <c r="D36" s="53"/>
      <c r="E36" s="52" t="s">
        <v>1742</v>
      </c>
      <c r="F36" s="52" t="s">
        <v>3428</v>
      </c>
      <c r="G36" s="54" t="s">
        <v>3429</v>
      </c>
      <c r="H36" s="55">
        <v>0.875</v>
      </c>
      <c r="I36" s="59" t="s">
        <v>3488</v>
      </c>
      <c r="J36" s="57"/>
    </row>
    <row r="37">
      <c r="A37" s="51">
        <f t="shared" si="1"/>
        <v>35</v>
      </c>
      <c r="B37" s="52" t="s">
        <v>3489</v>
      </c>
      <c r="C37" s="56"/>
      <c r="D37" s="53"/>
      <c r="E37" s="52" t="s">
        <v>1742</v>
      </c>
      <c r="F37" s="52" t="s">
        <v>3428</v>
      </c>
      <c r="G37" s="54" t="s">
        <v>3429</v>
      </c>
      <c r="H37" s="55">
        <v>0.875</v>
      </c>
      <c r="I37" s="52" t="s">
        <v>3490</v>
      </c>
      <c r="J37" s="57"/>
    </row>
    <row r="38">
      <c r="A38" s="51">
        <f t="shared" si="1"/>
        <v>36</v>
      </c>
      <c r="B38" s="52" t="s">
        <v>3491</v>
      </c>
      <c r="C38" s="53"/>
      <c r="D38" s="53"/>
      <c r="E38" s="52" t="s">
        <v>1742</v>
      </c>
      <c r="F38" s="52" t="s">
        <v>3428</v>
      </c>
      <c r="G38" s="54" t="s">
        <v>3429</v>
      </c>
      <c r="H38" s="55">
        <v>0.875</v>
      </c>
      <c r="I38" s="59" t="s">
        <v>3492</v>
      </c>
      <c r="J38" s="57"/>
    </row>
    <row r="39">
      <c r="A39" s="51">
        <f t="shared" si="1"/>
        <v>37</v>
      </c>
      <c r="B39" s="52" t="s">
        <v>3493</v>
      </c>
      <c r="C39" s="56"/>
      <c r="D39" s="53"/>
      <c r="E39" s="52" t="s">
        <v>1742</v>
      </c>
      <c r="F39" s="52" t="s">
        <v>3428</v>
      </c>
      <c r="G39" s="54" t="s">
        <v>3429</v>
      </c>
      <c r="H39" s="55">
        <v>0.875</v>
      </c>
      <c r="I39" s="52" t="s">
        <v>3490</v>
      </c>
      <c r="J39" s="57"/>
    </row>
    <row r="40">
      <c r="A40" s="51">
        <f t="shared" si="1"/>
        <v>38</v>
      </c>
      <c r="B40" s="52" t="s">
        <v>3494</v>
      </c>
      <c r="C40" s="56"/>
      <c r="D40" s="53"/>
      <c r="E40" s="52" t="s">
        <v>1742</v>
      </c>
      <c r="F40" s="52" t="s">
        <v>3428</v>
      </c>
      <c r="G40" s="54" t="s">
        <v>3429</v>
      </c>
      <c r="H40" s="55">
        <v>0.875</v>
      </c>
      <c r="I40" s="52" t="s">
        <v>3495</v>
      </c>
      <c r="J40" s="57"/>
    </row>
    <row r="41">
      <c r="A41" s="51">
        <f t="shared" si="1"/>
        <v>39</v>
      </c>
      <c r="B41" s="52" t="s">
        <v>3496</v>
      </c>
      <c r="C41" s="56"/>
      <c r="D41" s="53"/>
      <c r="E41" s="52" t="s">
        <v>1742</v>
      </c>
      <c r="F41" s="52" t="s">
        <v>3428</v>
      </c>
      <c r="G41" s="54" t="s">
        <v>3429</v>
      </c>
      <c r="H41" s="55">
        <v>0.875</v>
      </c>
      <c r="I41" s="52" t="s">
        <v>2681</v>
      </c>
      <c r="J41" s="57"/>
    </row>
    <row r="42">
      <c r="A42" s="51">
        <f t="shared" si="1"/>
        <v>40</v>
      </c>
      <c r="B42" s="52" t="s">
        <v>3497</v>
      </c>
      <c r="C42" s="56"/>
      <c r="D42" s="53"/>
      <c r="E42" s="52" t="s">
        <v>1742</v>
      </c>
      <c r="F42" s="52" t="s">
        <v>3428</v>
      </c>
      <c r="G42" s="54" t="s">
        <v>3429</v>
      </c>
      <c r="H42" s="55">
        <v>0.875</v>
      </c>
      <c r="I42" s="52" t="s">
        <v>3475</v>
      </c>
      <c r="J42" s="57"/>
    </row>
    <row r="43">
      <c r="A43" s="51">
        <f t="shared" si="1"/>
        <v>41</v>
      </c>
      <c r="B43" s="52" t="s">
        <v>3498</v>
      </c>
      <c r="C43" s="56"/>
      <c r="D43" s="53"/>
      <c r="E43" s="52" t="s">
        <v>1742</v>
      </c>
      <c r="F43" s="52" t="s">
        <v>3428</v>
      </c>
      <c r="G43" s="54" t="s">
        <v>3429</v>
      </c>
      <c r="H43" s="55">
        <v>0.875</v>
      </c>
      <c r="I43" s="52" t="s">
        <v>3499</v>
      </c>
      <c r="J43" s="57"/>
    </row>
    <row r="44">
      <c r="A44" s="51">
        <f t="shared" si="1"/>
        <v>42</v>
      </c>
      <c r="B44" s="52" t="s">
        <v>3500</v>
      </c>
      <c r="C44" s="56"/>
      <c r="D44" s="53"/>
      <c r="E44" s="52" t="s">
        <v>1742</v>
      </c>
      <c r="F44" s="52" t="s">
        <v>3428</v>
      </c>
      <c r="G44" s="54" t="s">
        <v>3429</v>
      </c>
      <c r="H44" s="55">
        <v>0.875</v>
      </c>
      <c r="I44" s="52" t="s">
        <v>3501</v>
      </c>
      <c r="J44" s="57"/>
    </row>
    <row r="45">
      <c r="A45" s="51">
        <f t="shared" si="1"/>
        <v>43</v>
      </c>
      <c r="B45" s="52" t="s">
        <v>3502</v>
      </c>
      <c r="C45" s="56"/>
      <c r="D45" s="53"/>
      <c r="E45" s="52" t="s">
        <v>1742</v>
      </c>
      <c r="F45" s="52" t="s">
        <v>3428</v>
      </c>
      <c r="G45" s="54" t="s">
        <v>3429</v>
      </c>
      <c r="H45" s="55">
        <v>0.875</v>
      </c>
      <c r="I45" s="52" t="s">
        <v>3501</v>
      </c>
      <c r="J45" s="57"/>
    </row>
    <row r="46">
      <c r="A46" s="51">
        <f t="shared" si="1"/>
        <v>44</v>
      </c>
      <c r="B46" s="52" t="s">
        <v>3503</v>
      </c>
      <c r="C46" s="56"/>
      <c r="D46" s="53"/>
      <c r="E46" s="52" t="s">
        <v>1742</v>
      </c>
      <c r="F46" s="52" t="s">
        <v>3428</v>
      </c>
      <c r="G46" s="54" t="s">
        <v>3429</v>
      </c>
      <c r="H46" s="55">
        <v>0.875</v>
      </c>
      <c r="I46" s="52" t="s">
        <v>2681</v>
      </c>
      <c r="J46" s="57"/>
    </row>
    <row r="47">
      <c r="A47" s="51">
        <f t="shared" si="1"/>
        <v>45</v>
      </c>
      <c r="B47" s="52" t="s">
        <v>3504</v>
      </c>
      <c r="C47" s="56"/>
      <c r="D47" s="53"/>
      <c r="E47" s="52" t="s">
        <v>1742</v>
      </c>
      <c r="F47" s="52" t="s">
        <v>3428</v>
      </c>
      <c r="G47" s="54" t="s">
        <v>3429</v>
      </c>
      <c r="H47" s="55">
        <v>0.875</v>
      </c>
      <c r="I47" s="52" t="s">
        <v>3505</v>
      </c>
      <c r="J47" s="57"/>
    </row>
    <row r="48">
      <c r="A48" s="51">
        <f t="shared" si="1"/>
        <v>46</v>
      </c>
      <c r="B48" s="52" t="s">
        <v>3506</v>
      </c>
      <c r="C48" s="56"/>
      <c r="D48" s="53"/>
      <c r="E48" s="52" t="s">
        <v>1742</v>
      </c>
      <c r="F48" s="52" t="s">
        <v>3428</v>
      </c>
      <c r="G48" s="54" t="s">
        <v>3429</v>
      </c>
      <c r="H48" s="55">
        <v>0.875</v>
      </c>
      <c r="I48" s="52" t="s">
        <v>2681</v>
      </c>
      <c r="J48" s="57"/>
    </row>
    <row r="49">
      <c r="A49" s="51">
        <f t="shared" si="1"/>
        <v>47</v>
      </c>
      <c r="B49" s="52" t="s">
        <v>3507</v>
      </c>
      <c r="C49" s="56"/>
      <c r="D49" s="53"/>
      <c r="E49" s="52" t="s">
        <v>1742</v>
      </c>
      <c r="F49" s="52" t="s">
        <v>3428</v>
      </c>
      <c r="G49" s="54" t="s">
        <v>3429</v>
      </c>
      <c r="H49" s="55">
        <v>0.875</v>
      </c>
      <c r="I49" s="52" t="s">
        <v>3475</v>
      </c>
      <c r="J49" s="57"/>
    </row>
    <row r="50">
      <c r="A50" s="51">
        <f t="shared" si="1"/>
        <v>48</v>
      </c>
      <c r="B50" s="52" t="s">
        <v>3508</v>
      </c>
      <c r="C50" s="56"/>
      <c r="D50" s="53"/>
      <c r="E50" s="52" t="s">
        <v>1742</v>
      </c>
      <c r="F50" s="52" t="s">
        <v>3428</v>
      </c>
      <c r="G50" s="54" t="s">
        <v>3429</v>
      </c>
      <c r="H50" s="55">
        <v>0.875</v>
      </c>
      <c r="I50" s="52" t="s">
        <v>3509</v>
      </c>
      <c r="J50" s="57"/>
    </row>
    <row r="51">
      <c r="A51" s="51">
        <f t="shared" si="1"/>
        <v>49</v>
      </c>
      <c r="B51" s="52" t="s">
        <v>3510</v>
      </c>
      <c r="C51" s="56"/>
      <c r="D51" s="53"/>
      <c r="E51" s="52" t="s">
        <v>1742</v>
      </c>
      <c r="F51" s="52" t="s">
        <v>3428</v>
      </c>
      <c r="G51" s="54" t="s">
        <v>3429</v>
      </c>
      <c r="H51" s="55">
        <v>0.875</v>
      </c>
      <c r="I51" s="52" t="s">
        <v>3509</v>
      </c>
      <c r="J51" s="57"/>
    </row>
    <row r="52">
      <c r="A52" s="51">
        <f t="shared" si="1"/>
        <v>50</v>
      </c>
      <c r="B52" s="52" t="s">
        <v>3511</v>
      </c>
      <c r="C52" s="56"/>
      <c r="D52" s="53"/>
      <c r="E52" s="52" t="s">
        <v>1742</v>
      </c>
      <c r="F52" s="52" t="s">
        <v>3428</v>
      </c>
      <c r="G52" s="54" t="s">
        <v>3429</v>
      </c>
      <c r="H52" s="55">
        <v>0.875</v>
      </c>
      <c r="I52" s="52" t="s">
        <v>3512</v>
      </c>
      <c r="J52" s="57"/>
    </row>
    <row r="53">
      <c r="A53" s="51">
        <f t="shared" si="1"/>
        <v>51</v>
      </c>
      <c r="B53" s="52" t="s">
        <v>3513</v>
      </c>
      <c r="C53" s="53"/>
      <c r="D53" s="53"/>
      <c r="E53" s="52" t="s">
        <v>1742</v>
      </c>
      <c r="F53" s="52" t="s">
        <v>3428</v>
      </c>
      <c r="G53" s="54" t="s">
        <v>3429</v>
      </c>
      <c r="H53" s="55">
        <v>0.875</v>
      </c>
      <c r="I53" s="52" t="s">
        <v>3514</v>
      </c>
      <c r="J53" s="57"/>
    </row>
    <row r="54">
      <c r="A54" s="51">
        <f t="shared" si="1"/>
        <v>52</v>
      </c>
      <c r="B54" s="52" t="s">
        <v>3515</v>
      </c>
      <c r="C54" s="56"/>
      <c r="D54" s="53"/>
      <c r="E54" s="52" t="s">
        <v>1742</v>
      </c>
      <c r="F54" s="52" t="s">
        <v>3428</v>
      </c>
      <c r="G54" s="54" t="s">
        <v>3429</v>
      </c>
      <c r="H54" s="55">
        <v>0.875</v>
      </c>
      <c r="I54" s="52" t="s">
        <v>3468</v>
      </c>
      <c r="J54" s="57"/>
    </row>
    <row r="55">
      <c r="A55" s="51">
        <f t="shared" si="1"/>
        <v>53</v>
      </c>
      <c r="B55" s="52" t="s">
        <v>3516</v>
      </c>
      <c r="C55" s="56"/>
      <c r="D55" s="53"/>
      <c r="E55" s="52" t="s">
        <v>1742</v>
      </c>
      <c r="F55" s="52" t="s">
        <v>3428</v>
      </c>
      <c r="G55" s="54" t="s">
        <v>3429</v>
      </c>
      <c r="H55" s="55">
        <v>0.875</v>
      </c>
      <c r="I55" s="52" t="s">
        <v>3458</v>
      </c>
      <c r="J55" s="57"/>
    </row>
    <row r="56">
      <c r="A56" s="51">
        <f t="shared" si="1"/>
        <v>54</v>
      </c>
      <c r="B56" s="52" t="s">
        <v>3517</v>
      </c>
      <c r="C56" s="56"/>
      <c r="D56" s="53"/>
      <c r="E56" s="52" t="s">
        <v>1742</v>
      </c>
      <c r="F56" s="52" t="s">
        <v>3428</v>
      </c>
      <c r="G56" s="54" t="s">
        <v>3429</v>
      </c>
      <c r="H56" s="55">
        <v>0.875</v>
      </c>
      <c r="I56" s="52" t="s">
        <v>3518</v>
      </c>
      <c r="J56" s="57"/>
    </row>
    <row r="57">
      <c r="A57" s="51">
        <f t="shared" si="1"/>
        <v>55</v>
      </c>
      <c r="B57" s="52" t="s">
        <v>3519</v>
      </c>
      <c r="C57" s="56"/>
      <c r="D57" s="53"/>
      <c r="E57" s="52" t="s">
        <v>1742</v>
      </c>
      <c r="F57" s="52" t="s">
        <v>3428</v>
      </c>
      <c r="G57" s="54" t="s">
        <v>3429</v>
      </c>
      <c r="H57" s="55">
        <v>0.875</v>
      </c>
      <c r="I57" s="52" t="s">
        <v>3520</v>
      </c>
      <c r="J57" s="57"/>
    </row>
    <row r="58">
      <c r="A58" s="51">
        <f t="shared" si="1"/>
        <v>56</v>
      </c>
      <c r="B58" s="52" t="s">
        <v>3521</v>
      </c>
      <c r="C58" s="56"/>
      <c r="D58" s="53"/>
      <c r="E58" s="52" t="s">
        <v>1742</v>
      </c>
      <c r="F58" s="52" t="s">
        <v>3428</v>
      </c>
      <c r="G58" s="54" t="s">
        <v>3429</v>
      </c>
      <c r="H58" s="55">
        <v>0.875</v>
      </c>
      <c r="I58" s="52" t="s">
        <v>1748</v>
      </c>
      <c r="J58" s="57"/>
    </row>
    <row r="59">
      <c r="A59" s="51">
        <f t="shared" si="1"/>
        <v>57</v>
      </c>
      <c r="B59" s="52" t="s">
        <v>3522</v>
      </c>
      <c r="C59" s="56"/>
      <c r="D59" s="53"/>
      <c r="E59" s="52" t="s">
        <v>1742</v>
      </c>
      <c r="F59" s="52" t="s">
        <v>3428</v>
      </c>
      <c r="G59" s="54" t="s">
        <v>3429</v>
      </c>
      <c r="H59" s="55">
        <v>0.875</v>
      </c>
      <c r="I59" s="52" t="s">
        <v>1748</v>
      </c>
      <c r="J59" s="57"/>
    </row>
    <row r="60">
      <c r="A60" s="51">
        <f t="shared" si="1"/>
        <v>58</v>
      </c>
      <c r="B60" s="52" t="s">
        <v>3523</v>
      </c>
      <c r="C60" s="52" t="s">
        <v>3524</v>
      </c>
      <c r="D60" s="53"/>
      <c r="E60" s="52" t="s">
        <v>1742</v>
      </c>
      <c r="F60" s="52" t="s">
        <v>3428</v>
      </c>
      <c r="G60" s="54" t="s">
        <v>3429</v>
      </c>
      <c r="H60" s="55">
        <v>0.875</v>
      </c>
      <c r="I60" s="52" t="s">
        <v>1748</v>
      </c>
      <c r="J60" s="57"/>
    </row>
    <row r="61">
      <c r="A61" s="51">
        <f t="shared" si="1"/>
        <v>59</v>
      </c>
      <c r="B61" s="52" t="s">
        <v>3525</v>
      </c>
      <c r="C61" s="56"/>
      <c r="D61" s="53"/>
      <c r="E61" s="52" t="s">
        <v>1742</v>
      </c>
      <c r="F61" s="52" t="s">
        <v>3428</v>
      </c>
      <c r="G61" s="54" t="s">
        <v>3429</v>
      </c>
      <c r="H61" s="55">
        <v>0.875</v>
      </c>
      <c r="I61" s="52" t="s">
        <v>1748</v>
      </c>
      <c r="J61" s="60" t="s">
        <v>2681</v>
      </c>
    </row>
    <row r="62">
      <c r="A62" s="51">
        <f t="shared" si="1"/>
        <v>60</v>
      </c>
      <c r="B62" s="52" t="s">
        <v>3526</v>
      </c>
      <c r="C62" s="56"/>
      <c r="D62" s="53"/>
      <c r="E62" s="52" t="s">
        <v>1742</v>
      </c>
      <c r="F62" s="52" t="s">
        <v>3428</v>
      </c>
      <c r="G62" s="54" t="s">
        <v>3429</v>
      </c>
      <c r="H62" s="55">
        <v>0.875</v>
      </c>
      <c r="I62" s="52" t="s">
        <v>3527</v>
      </c>
      <c r="J62" s="60" t="s">
        <v>2681</v>
      </c>
    </row>
    <row r="63">
      <c r="A63" s="51">
        <f t="shared" si="1"/>
        <v>61</v>
      </c>
      <c r="B63" s="52" t="s">
        <v>3528</v>
      </c>
      <c r="C63" s="56"/>
      <c r="D63" s="53"/>
      <c r="E63" s="52" t="s">
        <v>1742</v>
      </c>
      <c r="F63" s="52" t="s">
        <v>3428</v>
      </c>
      <c r="G63" s="54" t="s">
        <v>3429</v>
      </c>
      <c r="H63" s="55">
        <v>0.875</v>
      </c>
      <c r="I63" s="52" t="s">
        <v>3529</v>
      </c>
      <c r="J63" s="60" t="s">
        <v>2681</v>
      </c>
    </row>
    <row r="64">
      <c r="A64" s="51">
        <f t="shared" si="1"/>
        <v>62</v>
      </c>
      <c r="B64" s="52" t="s">
        <v>3530</v>
      </c>
      <c r="C64" s="56"/>
      <c r="D64" s="53"/>
      <c r="E64" s="52" t="s">
        <v>1742</v>
      </c>
      <c r="F64" s="52" t="s">
        <v>3428</v>
      </c>
      <c r="G64" s="54" t="s">
        <v>3429</v>
      </c>
      <c r="H64" s="55">
        <v>0.875</v>
      </c>
      <c r="I64" s="53"/>
      <c r="J64" s="60" t="s">
        <v>2681</v>
      </c>
    </row>
    <row r="65">
      <c r="A65" s="51">
        <f t="shared" si="1"/>
        <v>63</v>
      </c>
      <c r="B65" s="52" t="s">
        <v>3531</v>
      </c>
      <c r="C65" s="56"/>
      <c r="D65" s="53"/>
      <c r="E65" s="52" t="s">
        <v>1742</v>
      </c>
      <c r="F65" s="52" t="s">
        <v>3428</v>
      </c>
      <c r="G65" s="54" t="s">
        <v>3429</v>
      </c>
      <c r="H65" s="55">
        <v>0.875</v>
      </c>
      <c r="I65" s="53"/>
      <c r="J65" s="60" t="s">
        <v>2681</v>
      </c>
    </row>
    <row r="66">
      <c r="A66" s="51">
        <f t="shared" si="1"/>
        <v>64</v>
      </c>
      <c r="B66" s="52" t="s">
        <v>3532</v>
      </c>
      <c r="C66" s="56"/>
      <c r="D66" s="53"/>
      <c r="E66" s="52" t="s">
        <v>1742</v>
      </c>
      <c r="F66" s="52" t="s">
        <v>3428</v>
      </c>
      <c r="G66" s="54" t="s">
        <v>3429</v>
      </c>
      <c r="H66" s="55">
        <v>0.875</v>
      </c>
      <c r="I66" s="53"/>
      <c r="J66" s="60" t="s">
        <v>2681</v>
      </c>
    </row>
    <row r="67">
      <c r="A67" s="51">
        <f t="shared" si="1"/>
        <v>65</v>
      </c>
      <c r="B67" s="52" t="s">
        <v>3533</v>
      </c>
      <c r="C67" s="56"/>
      <c r="D67" s="53"/>
      <c r="E67" s="52" t="s">
        <v>1742</v>
      </c>
      <c r="F67" s="52" t="s">
        <v>3428</v>
      </c>
      <c r="G67" s="54" t="s">
        <v>3429</v>
      </c>
      <c r="H67" s="55">
        <v>0.875</v>
      </c>
      <c r="I67" s="53"/>
      <c r="J67" s="60" t="s">
        <v>2681</v>
      </c>
    </row>
    <row r="68">
      <c r="A68" s="51">
        <f t="shared" si="1"/>
        <v>66</v>
      </c>
      <c r="B68" s="52" t="s">
        <v>3534</v>
      </c>
      <c r="C68" s="56"/>
      <c r="D68" s="53"/>
      <c r="E68" s="52" t="s">
        <v>1742</v>
      </c>
      <c r="F68" s="52" t="s">
        <v>3428</v>
      </c>
      <c r="G68" s="54" t="s">
        <v>3429</v>
      </c>
      <c r="H68" s="55">
        <v>0.875</v>
      </c>
      <c r="I68" s="53"/>
      <c r="J68" s="57"/>
    </row>
    <row r="69">
      <c r="A69" s="51">
        <f t="shared" si="1"/>
        <v>67</v>
      </c>
      <c r="B69" s="52" t="s">
        <v>3535</v>
      </c>
      <c r="C69" s="56"/>
      <c r="D69" s="53"/>
      <c r="E69" s="52" t="s">
        <v>1742</v>
      </c>
      <c r="F69" s="52" t="s">
        <v>3428</v>
      </c>
      <c r="G69" s="54" t="s">
        <v>3429</v>
      </c>
      <c r="H69" s="55">
        <v>0.875</v>
      </c>
      <c r="I69" s="53"/>
      <c r="J69" s="57"/>
    </row>
    <row r="70">
      <c r="A70" s="51">
        <f t="shared" si="1"/>
        <v>68</v>
      </c>
      <c r="B70" s="52" t="s">
        <v>3536</v>
      </c>
      <c r="C70" s="56"/>
      <c r="D70" s="54">
        <v>1.0514238E7</v>
      </c>
      <c r="E70" s="52" t="s">
        <v>1742</v>
      </c>
      <c r="F70" s="52" t="s">
        <v>3428</v>
      </c>
      <c r="G70" s="54" t="s">
        <v>3429</v>
      </c>
      <c r="H70" s="55">
        <v>0.875</v>
      </c>
      <c r="I70" s="52" t="s">
        <v>3537</v>
      </c>
      <c r="J70" s="57"/>
    </row>
    <row r="71">
      <c r="A71" s="51">
        <f t="shared" si="1"/>
        <v>69</v>
      </c>
      <c r="B71" s="52" t="s">
        <v>3538</v>
      </c>
      <c r="C71" s="53"/>
      <c r="D71" s="54">
        <v>3.6929034E7</v>
      </c>
      <c r="E71" s="52" t="s">
        <v>1742</v>
      </c>
      <c r="F71" s="52" t="s">
        <v>3428</v>
      </c>
      <c r="G71" s="54" t="s">
        <v>3429</v>
      </c>
      <c r="H71" s="55">
        <v>0.875</v>
      </c>
      <c r="I71" s="52" t="s">
        <v>3539</v>
      </c>
      <c r="J71" s="57"/>
    </row>
    <row r="72">
      <c r="A72" s="51">
        <f t="shared" si="1"/>
        <v>70</v>
      </c>
      <c r="B72" s="52" t="s">
        <v>3540</v>
      </c>
      <c r="C72" s="52" t="s">
        <v>3541</v>
      </c>
      <c r="D72" s="53"/>
      <c r="E72" s="52" t="s">
        <v>1742</v>
      </c>
      <c r="F72" s="52" t="s">
        <v>3428</v>
      </c>
      <c r="G72" s="54" t="s">
        <v>3429</v>
      </c>
      <c r="H72" s="55">
        <v>0.5416666666666666</v>
      </c>
      <c r="I72" s="52" t="s">
        <v>3542</v>
      </c>
      <c r="J72" s="57"/>
    </row>
    <row r="73">
      <c r="A73" s="51">
        <f t="shared" si="1"/>
        <v>71</v>
      </c>
      <c r="B73" s="52" t="s">
        <v>3543</v>
      </c>
      <c r="C73" s="52" t="s">
        <v>3453</v>
      </c>
      <c r="D73" s="53"/>
      <c r="E73" s="52" t="s">
        <v>1742</v>
      </c>
      <c r="F73" s="52" t="s">
        <v>3428</v>
      </c>
      <c r="G73" s="54" t="s">
        <v>3429</v>
      </c>
      <c r="H73" s="55">
        <v>0.5416666666666666</v>
      </c>
      <c r="I73" s="52" t="s">
        <v>3544</v>
      </c>
      <c r="J73" s="57"/>
    </row>
    <row r="74">
      <c r="A74" s="51">
        <f t="shared" si="1"/>
        <v>72</v>
      </c>
      <c r="B74" s="52" t="s">
        <v>3545</v>
      </c>
      <c r="C74" s="56"/>
      <c r="D74" s="53"/>
      <c r="E74" s="52" t="s">
        <v>1742</v>
      </c>
      <c r="F74" s="52" t="s">
        <v>3428</v>
      </c>
      <c r="G74" s="54" t="s">
        <v>3429</v>
      </c>
      <c r="H74" s="55">
        <v>0.5416666666666666</v>
      </c>
      <c r="I74" s="52" t="s">
        <v>3468</v>
      </c>
      <c r="J74" s="57"/>
    </row>
    <row r="75">
      <c r="A75" s="51">
        <f t="shared" si="1"/>
        <v>73</v>
      </c>
      <c r="B75" s="52" t="s">
        <v>3546</v>
      </c>
      <c r="C75" s="52" t="s">
        <v>3547</v>
      </c>
      <c r="D75" s="53"/>
      <c r="E75" s="52" t="s">
        <v>1742</v>
      </c>
      <c r="F75" s="52" t="s">
        <v>3428</v>
      </c>
      <c r="G75" s="54" t="s">
        <v>3429</v>
      </c>
      <c r="H75" s="55">
        <v>0.5416666666666666</v>
      </c>
      <c r="I75" s="56"/>
      <c r="J75" s="57"/>
    </row>
    <row r="76">
      <c r="A76" s="51">
        <f t="shared" si="1"/>
        <v>74</v>
      </c>
      <c r="B76" s="52" t="s">
        <v>3548</v>
      </c>
      <c r="C76" s="52" t="s">
        <v>3549</v>
      </c>
      <c r="D76" s="53"/>
      <c r="E76" s="52" t="s">
        <v>1742</v>
      </c>
      <c r="F76" s="52" t="s">
        <v>3428</v>
      </c>
      <c r="G76" s="54" t="s">
        <v>3429</v>
      </c>
      <c r="H76" s="55">
        <v>0.5416666666666666</v>
      </c>
      <c r="I76" s="52" t="s">
        <v>3550</v>
      </c>
      <c r="J76" s="57"/>
    </row>
    <row r="77">
      <c r="A77" s="51">
        <f t="shared" si="1"/>
        <v>75</v>
      </c>
      <c r="B77" s="52" t="s">
        <v>3551</v>
      </c>
      <c r="C77" s="52" t="s">
        <v>3552</v>
      </c>
      <c r="D77" s="53"/>
      <c r="E77" s="52" t="s">
        <v>1742</v>
      </c>
      <c r="F77" s="52" t="s">
        <v>3428</v>
      </c>
      <c r="G77" s="54" t="s">
        <v>3429</v>
      </c>
      <c r="H77" s="55">
        <v>0.5416666666666666</v>
      </c>
      <c r="I77" s="56"/>
      <c r="J77" s="57"/>
    </row>
    <row r="78">
      <c r="A78" s="51">
        <f t="shared" si="1"/>
        <v>76</v>
      </c>
      <c r="B78" s="52" t="s">
        <v>3553</v>
      </c>
      <c r="C78" s="52" t="s">
        <v>2321</v>
      </c>
      <c r="D78" s="53"/>
      <c r="E78" s="52" t="s">
        <v>1742</v>
      </c>
      <c r="F78" s="52" t="s">
        <v>3428</v>
      </c>
      <c r="G78" s="54" t="s">
        <v>3429</v>
      </c>
      <c r="H78" s="55">
        <v>0.5416666666666666</v>
      </c>
      <c r="I78" s="52" t="s">
        <v>3554</v>
      </c>
      <c r="J78" s="57"/>
    </row>
    <row r="79">
      <c r="A79" s="51">
        <f t="shared" si="1"/>
        <v>77</v>
      </c>
      <c r="B79" s="52" t="s">
        <v>3555</v>
      </c>
      <c r="C79" s="52" t="s">
        <v>3556</v>
      </c>
      <c r="D79" s="56"/>
      <c r="E79" s="52" t="s">
        <v>1742</v>
      </c>
      <c r="F79" s="52" t="s">
        <v>3428</v>
      </c>
      <c r="G79" s="54" t="s">
        <v>3429</v>
      </c>
      <c r="H79" s="55">
        <v>0.5416666666666666</v>
      </c>
      <c r="I79" s="56"/>
      <c r="J79" s="57"/>
    </row>
    <row r="80">
      <c r="A80" s="51">
        <f t="shared" si="1"/>
        <v>78</v>
      </c>
      <c r="B80" s="52" t="s">
        <v>3557</v>
      </c>
      <c r="C80" s="56"/>
      <c r="D80" s="56"/>
      <c r="E80" s="52" t="s">
        <v>1742</v>
      </c>
      <c r="F80" s="52" t="s">
        <v>3428</v>
      </c>
      <c r="G80" s="54" t="s">
        <v>3429</v>
      </c>
      <c r="H80" s="55">
        <v>0.5416666666666666</v>
      </c>
      <c r="I80" s="56"/>
      <c r="J80" s="57"/>
    </row>
    <row r="81">
      <c r="A81" s="51">
        <f t="shared" si="1"/>
        <v>79</v>
      </c>
      <c r="B81" s="52" t="s">
        <v>3558</v>
      </c>
      <c r="C81" s="52" t="s">
        <v>3559</v>
      </c>
      <c r="D81" s="53"/>
      <c r="E81" s="52" t="s">
        <v>1742</v>
      </c>
      <c r="F81" s="52" t="s">
        <v>3428</v>
      </c>
      <c r="G81" s="54" t="s">
        <v>3429</v>
      </c>
      <c r="H81" s="55">
        <v>0.5416666666666666</v>
      </c>
      <c r="I81" s="52" t="s">
        <v>3560</v>
      </c>
      <c r="J81" s="57"/>
    </row>
    <row r="82">
      <c r="A82" s="51">
        <f t="shared" si="1"/>
        <v>80</v>
      </c>
      <c r="B82" s="52" t="s">
        <v>3561</v>
      </c>
      <c r="C82" s="52" t="s">
        <v>3562</v>
      </c>
      <c r="D82" s="53"/>
      <c r="E82" s="52" t="s">
        <v>1742</v>
      </c>
      <c r="F82" s="52" t="s">
        <v>3428</v>
      </c>
      <c r="G82" s="54" t="s">
        <v>3429</v>
      </c>
      <c r="H82" s="55">
        <v>0.5416666666666666</v>
      </c>
      <c r="I82" s="53"/>
      <c r="J82" s="57"/>
    </row>
    <row r="83">
      <c r="A83" s="51">
        <f t="shared" si="1"/>
        <v>81</v>
      </c>
      <c r="B83" s="52" t="s">
        <v>3563</v>
      </c>
      <c r="C83" s="52" t="s">
        <v>3564</v>
      </c>
      <c r="D83" s="53"/>
      <c r="E83" s="52" t="s">
        <v>1742</v>
      </c>
      <c r="F83" s="52" t="s">
        <v>3428</v>
      </c>
      <c r="G83" s="54" t="s">
        <v>3429</v>
      </c>
      <c r="H83" s="55">
        <v>0.5416666666666666</v>
      </c>
      <c r="I83" s="53"/>
      <c r="J83" s="60" t="s">
        <v>2681</v>
      </c>
    </row>
    <row r="84">
      <c r="A84" s="51">
        <f t="shared" si="1"/>
        <v>82</v>
      </c>
      <c r="B84" s="52" t="s">
        <v>3565</v>
      </c>
      <c r="C84" s="52" t="s">
        <v>3566</v>
      </c>
      <c r="D84" s="53"/>
      <c r="E84" s="52" t="s">
        <v>1742</v>
      </c>
      <c r="F84" s="52" t="s">
        <v>3428</v>
      </c>
      <c r="G84" s="54" t="s">
        <v>3429</v>
      </c>
      <c r="H84" s="55">
        <v>0.5416666666666666</v>
      </c>
      <c r="I84" s="53"/>
      <c r="J84" s="60" t="s">
        <v>2681</v>
      </c>
    </row>
    <row r="85">
      <c r="A85" s="51">
        <f t="shared" si="1"/>
        <v>83</v>
      </c>
      <c r="B85" s="52" t="s">
        <v>3567</v>
      </c>
      <c r="C85" s="56"/>
      <c r="D85" s="52" t="s">
        <v>3568</v>
      </c>
      <c r="E85" s="52" t="s">
        <v>3569</v>
      </c>
      <c r="F85" s="52" t="s">
        <v>3428</v>
      </c>
      <c r="G85" s="54" t="s">
        <v>3429</v>
      </c>
      <c r="H85" s="55">
        <v>0.5416666666666666</v>
      </c>
      <c r="I85" s="53"/>
      <c r="J85" s="60" t="s">
        <v>2681</v>
      </c>
    </row>
    <row r="86">
      <c r="A86" s="51">
        <f t="shared" si="1"/>
        <v>84</v>
      </c>
      <c r="B86" s="52" t="s">
        <v>3570</v>
      </c>
      <c r="C86" s="53"/>
      <c r="D86" s="54">
        <v>3.4518879E7</v>
      </c>
      <c r="E86" s="52" t="s">
        <v>3569</v>
      </c>
      <c r="F86" s="52" t="s">
        <v>3428</v>
      </c>
      <c r="G86" s="54" t="s">
        <v>3429</v>
      </c>
      <c r="H86" s="55">
        <v>0.5416666666666666</v>
      </c>
      <c r="I86" s="53"/>
      <c r="J86" s="60" t="s">
        <v>2681</v>
      </c>
    </row>
    <row r="87">
      <c r="A87" s="51">
        <f t="shared" si="1"/>
        <v>85</v>
      </c>
      <c r="B87" s="52" t="s">
        <v>3571</v>
      </c>
      <c r="C87" s="53"/>
      <c r="D87" s="54">
        <v>3.4054588E7</v>
      </c>
      <c r="E87" s="52" t="s">
        <v>3569</v>
      </c>
      <c r="F87" s="52" t="s">
        <v>3428</v>
      </c>
      <c r="G87" s="54" t="s">
        <v>3429</v>
      </c>
      <c r="H87" s="55">
        <v>0.5416666666666666</v>
      </c>
      <c r="I87" s="53"/>
      <c r="J87" s="60" t="s">
        <v>2681</v>
      </c>
    </row>
    <row r="88">
      <c r="A88" s="51">
        <f t="shared" si="1"/>
        <v>86</v>
      </c>
      <c r="B88" s="52" t="s">
        <v>3572</v>
      </c>
      <c r="C88" s="53"/>
      <c r="D88" s="54">
        <v>2.8747519E7</v>
      </c>
      <c r="E88" s="52" t="s">
        <v>3569</v>
      </c>
      <c r="F88" s="52" t="s">
        <v>3428</v>
      </c>
      <c r="G88" s="54" t="s">
        <v>3429</v>
      </c>
      <c r="H88" s="55">
        <v>0.5416666666666666</v>
      </c>
      <c r="I88" s="53"/>
      <c r="J88" s="60" t="s">
        <v>2681</v>
      </c>
    </row>
    <row r="89">
      <c r="A89" s="51">
        <f t="shared" si="1"/>
        <v>87</v>
      </c>
      <c r="B89" s="52" t="s">
        <v>3573</v>
      </c>
      <c r="C89" s="53"/>
      <c r="D89" s="52" t="s">
        <v>3574</v>
      </c>
      <c r="E89" s="52" t="s">
        <v>3569</v>
      </c>
      <c r="F89" s="52" t="s">
        <v>3428</v>
      </c>
      <c r="G89" s="54" t="s">
        <v>3429</v>
      </c>
      <c r="H89" s="55">
        <v>0.5416666666666666</v>
      </c>
      <c r="I89" s="53"/>
      <c r="J89" s="60" t="s">
        <v>3575</v>
      </c>
    </row>
    <row r="90">
      <c r="A90" s="51">
        <f t="shared" si="1"/>
        <v>88</v>
      </c>
      <c r="B90" s="52" t="s">
        <v>3576</v>
      </c>
      <c r="C90" s="53"/>
      <c r="D90" s="54">
        <v>2.646824E7</v>
      </c>
      <c r="E90" s="52" t="s">
        <v>3569</v>
      </c>
      <c r="F90" s="52" t="s">
        <v>3428</v>
      </c>
      <c r="G90" s="54" t="s">
        <v>3429</v>
      </c>
      <c r="H90" s="55">
        <v>0.5416666666666666</v>
      </c>
      <c r="I90" s="53"/>
      <c r="J90" s="60" t="s">
        <v>2681</v>
      </c>
    </row>
    <row r="91">
      <c r="A91" s="51">
        <f t="shared" si="1"/>
        <v>89</v>
      </c>
      <c r="B91" s="52" t="s">
        <v>3577</v>
      </c>
      <c r="C91" s="56"/>
      <c r="D91" s="54">
        <v>2.6019884E7</v>
      </c>
      <c r="E91" s="52" t="s">
        <v>3569</v>
      </c>
      <c r="F91" s="52" t="s">
        <v>3428</v>
      </c>
      <c r="G91" s="54" t="s">
        <v>3429</v>
      </c>
      <c r="H91" s="55">
        <v>0.5416666666666666</v>
      </c>
      <c r="I91" s="53"/>
      <c r="J91" s="60" t="s">
        <v>2681</v>
      </c>
    </row>
    <row r="92">
      <c r="A92" s="51">
        <f t="shared" si="1"/>
        <v>90</v>
      </c>
      <c r="B92" s="52" t="s">
        <v>3578</v>
      </c>
      <c r="C92" s="53"/>
      <c r="D92" s="54">
        <v>3.254342E7</v>
      </c>
      <c r="E92" s="52" t="s">
        <v>3569</v>
      </c>
      <c r="F92" s="52" t="s">
        <v>3428</v>
      </c>
      <c r="G92" s="54" t="s">
        <v>3429</v>
      </c>
      <c r="H92" s="55">
        <v>0.5416666666666666</v>
      </c>
      <c r="I92" s="53"/>
      <c r="J92" s="60" t="s">
        <v>2681</v>
      </c>
    </row>
    <row r="93">
      <c r="A93" s="51">
        <f t="shared" si="1"/>
        <v>91</v>
      </c>
      <c r="B93" s="52" t="s">
        <v>3579</v>
      </c>
      <c r="C93" s="53"/>
      <c r="D93" s="54">
        <v>3.2781459E7</v>
      </c>
      <c r="E93" s="52" t="s">
        <v>3569</v>
      </c>
      <c r="F93" s="52" t="s">
        <v>3428</v>
      </c>
      <c r="G93" s="54" t="s">
        <v>3429</v>
      </c>
      <c r="H93" s="55">
        <v>0.5416666666666666</v>
      </c>
      <c r="I93" s="53"/>
      <c r="J93" s="60" t="s">
        <v>2681</v>
      </c>
    </row>
    <row r="94">
      <c r="A94" s="51">
        <f t="shared" si="1"/>
        <v>92</v>
      </c>
      <c r="B94" s="52" t="s">
        <v>3580</v>
      </c>
      <c r="C94" s="53"/>
      <c r="D94" s="54">
        <v>3.3232603E7</v>
      </c>
      <c r="E94" s="52" t="s">
        <v>3569</v>
      </c>
      <c r="F94" s="52" t="s">
        <v>3428</v>
      </c>
      <c r="G94" s="54" t="s">
        <v>3429</v>
      </c>
      <c r="H94" s="55">
        <v>0.5416666666666666</v>
      </c>
      <c r="I94" s="53"/>
      <c r="J94" s="60" t="s">
        <v>2681</v>
      </c>
    </row>
    <row r="95">
      <c r="A95" s="51">
        <f t="shared" si="1"/>
        <v>93</v>
      </c>
      <c r="B95" s="52" t="s">
        <v>3581</v>
      </c>
      <c r="C95" s="53"/>
      <c r="D95" s="54">
        <v>3.3423811E7</v>
      </c>
      <c r="E95" s="52" t="s">
        <v>3569</v>
      </c>
      <c r="F95" s="52" t="s">
        <v>3428</v>
      </c>
      <c r="G95" s="54" t="s">
        <v>3429</v>
      </c>
      <c r="H95" s="55">
        <v>0.5416666666666666</v>
      </c>
      <c r="I95" s="53"/>
      <c r="J95" s="60" t="s">
        <v>2681</v>
      </c>
    </row>
    <row r="96">
      <c r="A96" s="51">
        <f t="shared" si="1"/>
        <v>94</v>
      </c>
      <c r="B96" s="52" t="s">
        <v>3582</v>
      </c>
      <c r="C96" s="53"/>
      <c r="D96" s="54">
        <v>296723.0</v>
      </c>
      <c r="E96" s="52" t="s">
        <v>3569</v>
      </c>
      <c r="F96" s="52" t="s">
        <v>3428</v>
      </c>
      <c r="G96" s="54" t="s">
        <v>3429</v>
      </c>
      <c r="H96" s="55">
        <v>0.5416666666666666</v>
      </c>
      <c r="I96" s="53"/>
      <c r="J96" s="60" t="s">
        <v>2681</v>
      </c>
    </row>
    <row r="97">
      <c r="A97" s="51">
        <f t="shared" si="1"/>
        <v>95</v>
      </c>
      <c r="B97" s="52" t="s">
        <v>3583</v>
      </c>
      <c r="C97" s="53"/>
      <c r="D97" s="54">
        <v>2.2916224E7</v>
      </c>
      <c r="E97" s="52" t="s">
        <v>3569</v>
      </c>
      <c r="F97" s="52" t="s">
        <v>3428</v>
      </c>
      <c r="G97" s="54" t="s">
        <v>3429</v>
      </c>
      <c r="H97" s="55">
        <v>0.5416666666666666</v>
      </c>
      <c r="I97" s="56"/>
      <c r="J97" s="61"/>
    </row>
    <row r="98">
      <c r="A98" s="51">
        <f t="shared" si="1"/>
        <v>96</v>
      </c>
      <c r="B98" s="52" t="s">
        <v>3584</v>
      </c>
      <c r="C98" s="53"/>
      <c r="D98" s="54">
        <v>1.9734177E7</v>
      </c>
      <c r="E98" s="52" t="s">
        <v>3569</v>
      </c>
      <c r="F98" s="52" t="s">
        <v>3428</v>
      </c>
      <c r="G98" s="54" t="s">
        <v>3429</v>
      </c>
      <c r="H98" s="55">
        <v>0.5416666666666666</v>
      </c>
      <c r="I98" s="56"/>
      <c r="J98" s="61"/>
    </row>
    <row r="99">
      <c r="A99" s="51">
        <f t="shared" si="1"/>
        <v>97</v>
      </c>
      <c r="B99" s="52" t="s">
        <v>3585</v>
      </c>
      <c r="C99" s="53"/>
      <c r="D99" s="54">
        <v>1.8814839E7</v>
      </c>
      <c r="E99" s="52" t="s">
        <v>3569</v>
      </c>
      <c r="F99" s="52" t="s">
        <v>3428</v>
      </c>
      <c r="G99" s="54" t="s">
        <v>3429</v>
      </c>
      <c r="H99" s="55">
        <v>0.5416666666666666</v>
      </c>
      <c r="I99" s="56"/>
      <c r="J99" s="61"/>
    </row>
    <row r="100">
      <c r="A100" s="51">
        <f t="shared" si="1"/>
        <v>98</v>
      </c>
      <c r="B100" s="52" t="s">
        <v>3586</v>
      </c>
      <c r="C100" s="53"/>
      <c r="D100" s="54">
        <v>2.6327913E7</v>
      </c>
      <c r="E100" s="52" t="s">
        <v>3569</v>
      </c>
      <c r="F100" s="52" t="s">
        <v>3428</v>
      </c>
      <c r="G100" s="54" t="s">
        <v>3429</v>
      </c>
      <c r="H100" s="55">
        <v>0.5416666666666666</v>
      </c>
      <c r="I100" s="56"/>
      <c r="J100" s="61"/>
    </row>
    <row r="101">
      <c r="A101" s="51">
        <f t="shared" si="1"/>
        <v>99</v>
      </c>
      <c r="B101" s="52" t="s">
        <v>3587</v>
      </c>
      <c r="C101" s="53"/>
      <c r="D101" s="54">
        <v>2.9565365E7</v>
      </c>
      <c r="E101" s="52" t="s">
        <v>3569</v>
      </c>
      <c r="F101" s="52" t="s">
        <v>3428</v>
      </c>
      <c r="G101" s="54" t="s">
        <v>3429</v>
      </c>
      <c r="H101" s="55">
        <v>0.5416666666666666</v>
      </c>
      <c r="I101" s="56"/>
      <c r="J101" s="61"/>
    </row>
    <row r="102">
      <c r="A102" s="51">
        <f t="shared" si="1"/>
        <v>100</v>
      </c>
      <c r="B102" s="52" t="s">
        <v>3588</v>
      </c>
      <c r="C102" s="53"/>
      <c r="D102" s="54">
        <v>3.2359883E7</v>
      </c>
      <c r="E102" s="52" t="s">
        <v>3569</v>
      </c>
      <c r="F102" s="52" t="s">
        <v>3428</v>
      </c>
      <c r="G102" s="54" t="s">
        <v>3429</v>
      </c>
      <c r="H102" s="55">
        <v>0.5416666666666666</v>
      </c>
      <c r="I102" s="56"/>
      <c r="J102" s="61"/>
    </row>
    <row r="103">
      <c r="A103" s="51">
        <f t="shared" si="1"/>
        <v>101</v>
      </c>
      <c r="B103" s="52" t="s">
        <v>3589</v>
      </c>
      <c r="C103" s="53"/>
      <c r="D103" s="54">
        <v>1.3374764E7</v>
      </c>
      <c r="E103" s="52" t="s">
        <v>3569</v>
      </c>
      <c r="F103" s="52" t="s">
        <v>3428</v>
      </c>
      <c r="G103" s="54" t="s">
        <v>3429</v>
      </c>
      <c r="H103" s="55">
        <v>0.5416666666666666</v>
      </c>
      <c r="I103" s="56"/>
      <c r="J103" s="61"/>
    </row>
    <row r="104">
      <c r="A104" s="51">
        <f t="shared" si="1"/>
        <v>102</v>
      </c>
      <c r="B104" s="52" t="s">
        <v>3590</v>
      </c>
      <c r="C104" s="53"/>
      <c r="D104" s="54">
        <v>6059288.0</v>
      </c>
      <c r="E104" s="52" t="s">
        <v>3569</v>
      </c>
      <c r="F104" s="52" t="s">
        <v>3428</v>
      </c>
      <c r="G104" s="54" t="s">
        <v>3429</v>
      </c>
      <c r="H104" s="55">
        <v>0.5416666666666666</v>
      </c>
      <c r="I104" s="56"/>
      <c r="J104" s="61"/>
    </row>
    <row r="105">
      <c r="A105" s="51">
        <f t="shared" si="1"/>
        <v>103</v>
      </c>
      <c r="B105" s="52" t="s">
        <v>3591</v>
      </c>
      <c r="C105" s="53"/>
      <c r="D105" s="54">
        <v>2.7377514E7</v>
      </c>
      <c r="E105" s="52" t="s">
        <v>3569</v>
      </c>
      <c r="F105" s="52" t="s">
        <v>3428</v>
      </c>
      <c r="G105" s="54" t="s">
        <v>3429</v>
      </c>
      <c r="H105" s="55">
        <v>0.5416666666666666</v>
      </c>
      <c r="I105" s="56"/>
      <c r="J105" s="61"/>
    </row>
    <row r="106">
      <c r="A106" s="51">
        <f t="shared" si="1"/>
        <v>104</v>
      </c>
      <c r="B106" s="52" t="s">
        <v>3592</v>
      </c>
      <c r="C106" s="53"/>
      <c r="D106" s="54">
        <v>2.3926261E7</v>
      </c>
      <c r="E106" s="52" t="s">
        <v>3569</v>
      </c>
      <c r="F106" s="52" t="s">
        <v>3428</v>
      </c>
      <c r="G106" s="54" t="s">
        <v>3429</v>
      </c>
      <c r="H106" s="55">
        <v>0.5416666666666666</v>
      </c>
      <c r="I106" s="56"/>
      <c r="J106" s="61"/>
    </row>
    <row r="107">
      <c r="A107" s="51">
        <f t="shared" si="1"/>
        <v>105</v>
      </c>
      <c r="B107" s="52" t="s">
        <v>3593</v>
      </c>
      <c r="C107" s="53"/>
      <c r="D107" s="54">
        <v>1.9367804E7</v>
      </c>
      <c r="E107" s="52" t="s">
        <v>3569</v>
      </c>
      <c r="F107" s="52" t="s">
        <v>3428</v>
      </c>
      <c r="G107" s="54" t="s">
        <v>3429</v>
      </c>
      <c r="H107" s="55">
        <v>0.5416666666666666</v>
      </c>
      <c r="I107" s="56"/>
      <c r="J107" s="61"/>
    </row>
    <row r="108">
      <c r="A108" s="51">
        <f t="shared" si="1"/>
        <v>106</v>
      </c>
      <c r="B108" s="52" t="s">
        <v>3594</v>
      </c>
      <c r="C108" s="53"/>
      <c r="D108" s="54">
        <v>1.5541666E7</v>
      </c>
      <c r="E108" s="52" t="s">
        <v>3569</v>
      </c>
      <c r="F108" s="52" t="s">
        <v>3428</v>
      </c>
      <c r="G108" s="54" t="s">
        <v>3429</v>
      </c>
      <c r="H108" s="55">
        <v>0.5416666666666666</v>
      </c>
      <c r="I108" s="56"/>
      <c r="J108" s="61"/>
    </row>
    <row r="109">
      <c r="A109" s="51">
        <f t="shared" si="1"/>
        <v>107</v>
      </c>
      <c r="B109" s="52" t="s">
        <v>3595</v>
      </c>
      <c r="C109" s="53"/>
      <c r="D109" s="54">
        <v>1.364187E7</v>
      </c>
      <c r="E109" s="52" t="s">
        <v>3569</v>
      </c>
      <c r="F109" s="52" t="s">
        <v>3428</v>
      </c>
      <c r="G109" s="54" t="s">
        <v>3429</v>
      </c>
      <c r="H109" s="55">
        <v>0.5416666666666666</v>
      </c>
      <c r="I109" s="56"/>
      <c r="J109" s="61"/>
    </row>
    <row r="110">
      <c r="A110" s="51">
        <f t="shared" si="1"/>
        <v>108</v>
      </c>
      <c r="B110" s="52" t="s">
        <v>3596</v>
      </c>
      <c r="C110" s="53"/>
      <c r="D110" s="54">
        <v>1.6310014E7</v>
      </c>
      <c r="E110" s="52" t="s">
        <v>3569</v>
      </c>
      <c r="F110" s="52" t="s">
        <v>3428</v>
      </c>
      <c r="G110" s="54" t="s">
        <v>3429</v>
      </c>
      <c r="H110" s="55">
        <v>0.5416666666666666</v>
      </c>
      <c r="I110" s="56"/>
      <c r="J110" s="61"/>
    </row>
    <row r="111">
      <c r="A111" s="51">
        <f t="shared" si="1"/>
        <v>109</v>
      </c>
      <c r="B111" s="52" t="s">
        <v>3597</v>
      </c>
      <c r="C111" s="53"/>
      <c r="D111" s="54">
        <v>3.1428533E7</v>
      </c>
      <c r="E111" s="52" t="s">
        <v>3569</v>
      </c>
      <c r="F111" s="52" t="s">
        <v>3428</v>
      </c>
      <c r="G111" s="54" t="s">
        <v>3429</v>
      </c>
      <c r="H111" s="55">
        <v>0.5416666666666666</v>
      </c>
      <c r="I111" s="56"/>
      <c r="J111" s="61"/>
    </row>
    <row r="112">
      <c r="A112" s="51">
        <f t="shared" si="1"/>
        <v>110</v>
      </c>
      <c r="B112" s="52" t="s">
        <v>3598</v>
      </c>
      <c r="C112" s="53"/>
      <c r="D112" s="54">
        <v>3.3020891E7</v>
      </c>
      <c r="E112" s="52" t="s">
        <v>3569</v>
      </c>
      <c r="F112" s="52" t="s">
        <v>3428</v>
      </c>
      <c r="G112" s="54" t="s">
        <v>3429</v>
      </c>
      <c r="H112" s="55">
        <v>0.5416666666666666</v>
      </c>
      <c r="I112" s="56"/>
      <c r="J112" s="61"/>
    </row>
    <row r="113">
      <c r="A113" s="51">
        <f t="shared" si="1"/>
        <v>111</v>
      </c>
      <c r="B113" s="52" t="s">
        <v>3599</v>
      </c>
      <c r="C113" s="53"/>
      <c r="D113" s="54">
        <v>1.3717087E7</v>
      </c>
      <c r="E113" s="52" t="s">
        <v>3569</v>
      </c>
      <c r="F113" s="52" t="s">
        <v>3428</v>
      </c>
      <c r="G113" s="54" t="s">
        <v>3429</v>
      </c>
      <c r="H113" s="55">
        <v>0.5416666666666666</v>
      </c>
      <c r="I113" s="56"/>
      <c r="J113" s="61"/>
    </row>
    <row r="114">
      <c r="A114" s="51">
        <f t="shared" si="1"/>
        <v>112</v>
      </c>
      <c r="B114" s="52" t="s">
        <v>3600</v>
      </c>
      <c r="C114" s="53"/>
      <c r="D114" s="54">
        <v>9416493.0</v>
      </c>
      <c r="E114" s="52" t="s">
        <v>3569</v>
      </c>
      <c r="F114" s="52" t="s">
        <v>3428</v>
      </c>
      <c r="G114" s="54" t="s">
        <v>3429</v>
      </c>
      <c r="H114" s="55">
        <v>0.5416666666666666</v>
      </c>
      <c r="I114" s="56"/>
      <c r="J114" s="61"/>
    </row>
    <row r="115">
      <c r="A115" s="51">
        <f t="shared" si="1"/>
        <v>113</v>
      </c>
      <c r="B115" s="52" t="s">
        <v>3601</v>
      </c>
      <c r="C115" s="53"/>
      <c r="D115" s="54">
        <v>1.4312752E7</v>
      </c>
      <c r="E115" s="52" t="s">
        <v>3569</v>
      </c>
      <c r="F115" s="52" t="s">
        <v>3428</v>
      </c>
      <c r="G115" s="54" t="s">
        <v>3429</v>
      </c>
      <c r="H115" s="55">
        <v>0.5416666666666666</v>
      </c>
      <c r="I115" s="56"/>
      <c r="J115" s="61"/>
    </row>
    <row r="116">
      <c r="A116" s="51">
        <f t="shared" si="1"/>
        <v>114</v>
      </c>
      <c r="B116" s="52" t="s">
        <v>3602</v>
      </c>
      <c r="C116" s="53"/>
      <c r="D116" s="52" t="s">
        <v>3574</v>
      </c>
      <c r="E116" s="52" t="s">
        <v>3569</v>
      </c>
      <c r="F116" s="52" t="s">
        <v>3428</v>
      </c>
      <c r="G116" s="54" t="s">
        <v>3429</v>
      </c>
      <c r="H116" s="55">
        <v>0.5416666666666666</v>
      </c>
      <c r="I116" s="56"/>
      <c r="J116" s="61"/>
    </row>
    <row r="117">
      <c r="A117" s="51">
        <f t="shared" si="1"/>
        <v>115</v>
      </c>
      <c r="B117" s="52" t="s">
        <v>3603</v>
      </c>
      <c r="C117" s="53"/>
      <c r="D117" s="52" t="s">
        <v>3574</v>
      </c>
      <c r="E117" s="52" t="s">
        <v>3569</v>
      </c>
      <c r="F117" s="52" t="s">
        <v>3428</v>
      </c>
      <c r="G117" s="54" t="s">
        <v>3429</v>
      </c>
      <c r="H117" s="55">
        <v>0.5416666666666666</v>
      </c>
      <c r="I117" s="56"/>
      <c r="J117" s="61"/>
    </row>
    <row r="118">
      <c r="A118" s="51">
        <f t="shared" si="1"/>
        <v>116</v>
      </c>
      <c r="B118" s="52" t="s">
        <v>3604</v>
      </c>
      <c r="C118" s="53"/>
      <c r="D118" s="54">
        <v>4163469.0</v>
      </c>
      <c r="E118" s="52" t="s">
        <v>3569</v>
      </c>
      <c r="F118" s="52" t="s">
        <v>3428</v>
      </c>
      <c r="G118" s="54" t="s">
        <v>3429</v>
      </c>
      <c r="H118" s="55">
        <v>0.5416666666666666</v>
      </c>
      <c r="I118" s="56"/>
      <c r="J118" s="61"/>
    </row>
    <row r="119">
      <c r="A119" s="51">
        <f t="shared" si="1"/>
        <v>117</v>
      </c>
      <c r="B119" s="52" t="s">
        <v>3605</v>
      </c>
      <c r="C119" s="53"/>
      <c r="D119" s="54">
        <v>1.342289E7</v>
      </c>
      <c r="E119" s="52" t="s">
        <v>3569</v>
      </c>
      <c r="F119" s="52" t="s">
        <v>3428</v>
      </c>
      <c r="G119" s="54" t="s">
        <v>3429</v>
      </c>
      <c r="H119" s="55">
        <v>0.5416666666666666</v>
      </c>
      <c r="I119" s="56"/>
      <c r="J119" s="61"/>
    </row>
    <row r="120">
      <c r="A120" s="51">
        <f t="shared" si="1"/>
        <v>118</v>
      </c>
      <c r="B120" s="52" t="s">
        <v>3606</v>
      </c>
      <c r="C120" s="53"/>
      <c r="D120" s="54">
        <v>1.8384289E7</v>
      </c>
      <c r="E120" s="52" t="s">
        <v>1748</v>
      </c>
      <c r="F120" s="52" t="s">
        <v>3428</v>
      </c>
      <c r="G120" s="54" t="s">
        <v>3429</v>
      </c>
      <c r="H120" s="55">
        <v>0.5416666666666666</v>
      </c>
      <c r="I120" s="56"/>
      <c r="J120" s="61"/>
    </row>
    <row r="121">
      <c r="A121" s="51">
        <f t="shared" si="1"/>
        <v>119</v>
      </c>
      <c r="B121" s="52" t="s">
        <v>3607</v>
      </c>
      <c r="C121" s="53"/>
      <c r="D121" s="54">
        <v>296723.0</v>
      </c>
      <c r="E121" s="52" t="s">
        <v>1748</v>
      </c>
      <c r="F121" s="52" t="s">
        <v>3428</v>
      </c>
      <c r="G121" s="54" t="s">
        <v>3429</v>
      </c>
      <c r="H121" s="55">
        <v>0.5416666666666666</v>
      </c>
      <c r="I121" s="56"/>
      <c r="J121" s="61"/>
    </row>
    <row r="122">
      <c r="A122" s="51">
        <f t="shared" si="1"/>
        <v>120</v>
      </c>
      <c r="B122" s="52" t="s">
        <v>3608</v>
      </c>
      <c r="C122" s="53"/>
      <c r="D122" s="54">
        <v>5199652.0</v>
      </c>
      <c r="E122" s="52" t="s">
        <v>1748</v>
      </c>
      <c r="F122" s="52" t="s">
        <v>3428</v>
      </c>
      <c r="G122" s="54" t="s">
        <v>3429</v>
      </c>
      <c r="H122" s="55">
        <v>0.5416666666666666</v>
      </c>
      <c r="I122" s="56"/>
      <c r="J122" s="61"/>
    </row>
    <row r="123">
      <c r="A123" s="51">
        <f t="shared" si="1"/>
        <v>121</v>
      </c>
      <c r="B123" s="52" t="s">
        <v>3609</v>
      </c>
      <c r="C123" s="53"/>
      <c r="D123" s="54">
        <v>2.5699054E7</v>
      </c>
      <c r="E123" s="52" t="s">
        <v>1748</v>
      </c>
      <c r="F123" s="52" t="s">
        <v>3428</v>
      </c>
      <c r="G123" s="54" t="s">
        <v>3429</v>
      </c>
      <c r="H123" s="55">
        <v>0.5416666666666666</v>
      </c>
      <c r="I123" s="56"/>
      <c r="J123" s="61"/>
    </row>
    <row r="124">
      <c r="A124" s="51">
        <f t="shared" si="1"/>
        <v>122</v>
      </c>
      <c r="B124" s="52" t="s">
        <v>3610</v>
      </c>
      <c r="C124" s="53"/>
      <c r="D124" s="54">
        <v>6904629.0</v>
      </c>
      <c r="E124" s="52" t="s">
        <v>1748</v>
      </c>
      <c r="F124" s="52" t="s">
        <v>3428</v>
      </c>
      <c r="G124" s="54" t="s">
        <v>3429</v>
      </c>
      <c r="H124" s="55">
        <v>0.5416666666666666</v>
      </c>
      <c r="I124" s="56"/>
      <c r="J124" s="61"/>
    </row>
    <row r="125">
      <c r="A125" s="51">
        <f t="shared" si="1"/>
        <v>123</v>
      </c>
      <c r="B125" s="52" t="s">
        <v>3611</v>
      </c>
      <c r="C125" s="53"/>
      <c r="D125" s="54">
        <v>2.405878E7</v>
      </c>
      <c r="E125" s="52" t="s">
        <v>1748</v>
      </c>
      <c r="F125" s="52" t="s">
        <v>3428</v>
      </c>
      <c r="G125" s="54" t="s">
        <v>3429</v>
      </c>
      <c r="H125" s="55">
        <v>0.5416666666666666</v>
      </c>
      <c r="I125" s="56"/>
      <c r="J125" s="61"/>
    </row>
    <row r="126">
      <c r="A126" s="51">
        <f t="shared" si="1"/>
        <v>124</v>
      </c>
      <c r="B126" s="52" t="s">
        <v>3612</v>
      </c>
      <c r="C126" s="53"/>
      <c r="D126" s="54">
        <v>6049995.0</v>
      </c>
      <c r="E126" s="52" t="s">
        <v>1748</v>
      </c>
      <c r="F126" s="52" t="s">
        <v>3428</v>
      </c>
      <c r="G126" s="54" t="s">
        <v>3429</v>
      </c>
      <c r="H126" s="55">
        <v>0.5416666666666666</v>
      </c>
      <c r="I126" s="56"/>
      <c r="J126" s="61"/>
    </row>
    <row r="127">
      <c r="A127" s="51">
        <f t="shared" si="1"/>
        <v>125</v>
      </c>
      <c r="B127" s="52" t="s">
        <v>3613</v>
      </c>
      <c r="C127" s="53"/>
      <c r="D127" s="54">
        <v>2.8544619E7</v>
      </c>
      <c r="E127" s="52" t="s">
        <v>1748</v>
      </c>
      <c r="F127" s="52" t="s">
        <v>3428</v>
      </c>
      <c r="G127" s="54" t="s">
        <v>3429</v>
      </c>
      <c r="H127" s="55">
        <v>0.5416666666666666</v>
      </c>
      <c r="I127" s="56"/>
      <c r="J127" s="61"/>
    </row>
    <row r="128">
      <c r="A128" s="51">
        <f t="shared" si="1"/>
        <v>126</v>
      </c>
      <c r="B128" s="52" t="s">
        <v>3614</v>
      </c>
      <c r="C128" s="53"/>
      <c r="D128" s="54">
        <v>3.4588981E7</v>
      </c>
      <c r="E128" s="52" t="s">
        <v>1748</v>
      </c>
      <c r="F128" s="52" t="s">
        <v>3428</v>
      </c>
      <c r="G128" s="54" t="s">
        <v>3429</v>
      </c>
      <c r="H128" s="55">
        <v>0.5416666666666666</v>
      </c>
      <c r="I128" s="56"/>
      <c r="J128" s="61"/>
    </row>
    <row r="129">
      <c r="A129" s="51">
        <f t="shared" si="1"/>
        <v>127</v>
      </c>
      <c r="B129" s="52" t="s">
        <v>3615</v>
      </c>
      <c r="C129" s="53"/>
      <c r="D129" s="54">
        <v>5965096.0</v>
      </c>
      <c r="E129" s="52" t="s">
        <v>1748</v>
      </c>
      <c r="F129" s="52" t="s">
        <v>3428</v>
      </c>
      <c r="G129" s="54" t="s">
        <v>3429</v>
      </c>
      <c r="H129" s="55">
        <v>0.5416666666666666</v>
      </c>
      <c r="I129" s="56"/>
      <c r="J129" s="61"/>
    </row>
    <row r="130">
      <c r="A130" s="51">
        <f t="shared" si="1"/>
        <v>128</v>
      </c>
      <c r="B130" s="52" t="s">
        <v>3616</v>
      </c>
      <c r="C130" s="53"/>
      <c r="D130" s="54">
        <v>1.7158021E7</v>
      </c>
      <c r="E130" s="52" t="s">
        <v>1748</v>
      </c>
      <c r="F130" s="52" t="s">
        <v>3428</v>
      </c>
      <c r="G130" s="54" t="s">
        <v>3429</v>
      </c>
      <c r="H130" s="55">
        <v>0.5416666666666666</v>
      </c>
      <c r="I130" s="56"/>
      <c r="J130" s="61"/>
    </row>
    <row r="131">
      <c r="A131" s="51">
        <f t="shared" si="1"/>
        <v>129</v>
      </c>
      <c r="B131" s="52" t="s">
        <v>3617</v>
      </c>
      <c r="C131" s="53"/>
      <c r="D131" s="54">
        <v>2.5025734E7</v>
      </c>
      <c r="E131" s="52" t="s">
        <v>1748</v>
      </c>
      <c r="F131" s="52" t="s">
        <v>3428</v>
      </c>
      <c r="G131" s="54" t="s">
        <v>3429</v>
      </c>
      <c r="H131" s="55">
        <v>0.5416666666666666</v>
      </c>
      <c r="I131" s="56"/>
      <c r="J131" s="61"/>
    </row>
    <row r="132">
      <c r="A132" s="51">
        <f t="shared" si="1"/>
        <v>130</v>
      </c>
      <c r="B132" s="52" t="s">
        <v>3618</v>
      </c>
      <c r="C132" s="53"/>
      <c r="D132" s="54">
        <v>3.6091784E7</v>
      </c>
      <c r="E132" s="52" t="s">
        <v>1748</v>
      </c>
      <c r="F132" s="52" t="s">
        <v>3428</v>
      </c>
      <c r="G132" s="54" t="s">
        <v>3429</v>
      </c>
      <c r="H132" s="55">
        <v>0.5416666666666666</v>
      </c>
      <c r="I132" s="56"/>
      <c r="J132" s="61"/>
    </row>
    <row r="133">
      <c r="A133" s="51">
        <f t="shared" si="1"/>
        <v>131</v>
      </c>
      <c r="B133" s="52" t="s">
        <v>3619</v>
      </c>
      <c r="C133" s="53"/>
      <c r="D133" s="54">
        <v>4718019.0</v>
      </c>
      <c r="E133" s="52" t="s">
        <v>1748</v>
      </c>
      <c r="F133" s="52" t="s">
        <v>3428</v>
      </c>
      <c r="G133" s="54" t="s">
        <v>3429</v>
      </c>
      <c r="H133" s="55">
        <v>0.5416666666666666</v>
      </c>
      <c r="I133" s="56"/>
      <c r="J133" s="61"/>
    </row>
    <row r="134">
      <c r="A134" s="51">
        <f t="shared" si="1"/>
        <v>132</v>
      </c>
      <c r="B134" s="52" t="s">
        <v>3620</v>
      </c>
      <c r="C134" s="53"/>
      <c r="D134" s="54">
        <v>1.2115323E7</v>
      </c>
      <c r="E134" s="52" t="s">
        <v>1748</v>
      </c>
      <c r="F134" s="52" t="s">
        <v>3428</v>
      </c>
      <c r="G134" s="54" t="s">
        <v>3429</v>
      </c>
      <c r="H134" s="55">
        <v>0.5416666666666666</v>
      </c>
      <c r="I134" s="56"/>
      <c r="J134" s="61"/>
    </row>
    <row r="135">
      <c r="A135" s="51">
        <f t="shared" si="1"/>
        <v>133</v>
      </c>
      <c r="B135" s="52" t="s">
        <v>3621</v>
      </c>
      <c r="C135" s="53"/>
      <c r="D135" s="54">
        <v>3.1760907E7</v>
      </c>
      <c r="E135" s="52" t="s">
        <v>1748</v>
      </c>
      <c r="F135" s="52" t="s">
        <v>3428</v>
      </c>
      <c r="G135" s="54" t="s">
        <v>3429</v>
      </c>
      <c r="H135" s="55">
        <v>0.5416666666666666</v>
      </c>
      <c r="I135" s="56"/>
      <c r="J135" s="61"/>
    </row>
    <row r="136">
      <c r="A136" s="51">
        <f t="shared" si="1"/>
        <v>134</v>
      </c>
      <c r="B136" s="52" t="s">
        <v>3622</v>
      </c>
      <c r="C136" s="53"/>
      <c r="D136" s="54">
        <v>8.146247E7</v>
      </c>
      <c r="E136" s="52" t="s">
        <v>1748</v>
      </c>
      <c r="F136" s="52" t="s">
        <v>3428</v>
      </c>
      <c r="G136" s="54" t="s">
        <v>3429</v>
      </c>
      <c r="H136" s="55">
        <v>0.5416666666666666</v>
      </c>
      <c r="I136" s="56"/>
      <c r="J136" s="61"/>
    </row>
    <row r="137">
      <c r="A137" s="51">
        <f t="shared" si="1"/>
        <v>135</v>
      </c>
      <c r="B137" s="52" t="s">
        <v>3623</v>
      </c>
      <c r="C137" s="53"/>
      <c r="D137" s="54">
        <v>2.7374286E7</v>
      </c>
      <c r="E137" s="52" t="s">
        <v>1748</v>
      </c>
      <c r="F137" s="52" t="s">
        <v>3428</v>
      </c>
      <c r="G137" s="54" t="s">
        <v>3429</v>
      </c>
      <c r="H137" s="55">
        <v>0.5416666666666666</v>
      </c>
      <c r="I137" s="56"/>
      <c r="J137" s="61"/>
    </row>
    <row r="138">
      <c r="A138" s="51">
        <f t="shared" si="1"/>
        <v>136</v>
      </c>
      <c r="B138" s="52" t="s">
        <v>3624</v>
      </c>
      <c r="C138" s="53"/>
      <c r="D138" s="54">
        <v>1.7709218E7</v>
      </c>
      <c r="E138" s="52" t="s">
        <v>1748</v>
      </c>
      <c r="F138" s="52" t="s">
        <v>3428</v>
      </c>
      <c r="G138" s="54" t="s">
        <v>3429</v>
      </c>
      <c r="H138" s="55">
        <v>0.5416666666666666</v>
      </c>
      <c r="I138" s="56"/>
      <c r="J138" s="61"/>
    </row>
    <row r="139">
      <c r="A139" s="51">
        <f t="shared" si="1"/>
        <v>137</v>
      </c>
      <c r="B139" s="52" t="s">
        <v>3625</v>
      </c>
      <c r="C139" s="53"/>
      <c r="D139" s="54">
        <v>2.814377E7</v>
      </c>
      <c r="E139" s="52" t="s">
        <v>3569</v>
      </c>
      <c r="F139" s="52" t="s">
        <v>3428</v>
      </c>
      <c r="G139" s="54" t="s">
        <v>3429</v>
      </c>
      <c r="H139" s="55">
        <v>0.5416666666666666</v>
      </c>
      <c r="I139" s="56"/>
      <c r="J139" s="61"/>
    </row>
    <row r="140">
      <c r="A140" s="51">
        <f t="shared" si="1"/>
        <v>138</v>
      </c>
      <c r="B140" s="52" t="s">
        <v>3626</v>
      </c>
      <c r="C140" s="53"/>
      <c r="D140" s="54">
        <v>1.9659867E7</v>
      </c>
      <c r="E140" s="52" t="s">
        <v>3569</v>
      </c>
      <c r="F140" s="52" t="s">
        <v>3428</v>
      </c>
      <c r="G140" s="54" t="s">
        <v>3429</v>
      </c>
      <c r="H140" s="55">
        <v>0.5416666666666666</v>
      </c>
      <c r="I140" s="56"/>
      <c r="J140" s="61"/>
    </row>
    <row r="141">
      <c r="A141" s="51">
        <f t="shared" si="1"/>
        <v>139</v>
      </c>
      <c r="B141" s="52" t="s">
        <v>3627</v>
      </c>
      <c r="C141" s="53"/>
      <c r="D141" s="54">
        <v>6405488.0</v>
      </c>
      <c r="E141" s="52" t="s">
        <v>3569</v>
      </c>
      <c r="F141" s="52" t="s">
        <v>3428</v>
      </c>
      <c r="G141" s="54" t="s">
        <v>3429</v>
      </c>
      <c r="H141" s="55">
        <v>0.5416666666666666</v>
      </c>
      <c r="I141" s="56"/>
      <c r="J141" s="61"/>
    </row>
    <row r="142">
      <c r="A142" s="51">
        <f t="shared" si="1"/>
        <v>140</v>
      </c>
      <c r="B142" s="52" t="s">
        <v>3628</v>
      </c>
      <c r="C142" s="53"/>
      <c r="D142" s="54">
        <v>2.814377E7</v>
      </c>
      <c r="E142" s="52" t="s">
        <v>3569</v>
      </c>
      <c r="F142" s="52" t="s">
        <v>3428</v>
      </c>
      <c r="G142" s="54" t="s">
        <v>3429</v>
      </c>
      <c r="H142" s="55">
        <v>0.5416666666666666</v>
      </c>
      <c r="I142" s="52" t="s">
        <v>3629</v>
      </c>
      <c r="J142" s="61"/>
    </row>
    <row r="143">
      <c r="A143" s="51">
        <f t="shared" si="1"/>
        <v>141</v>
      </c>
      <c r="B143" s="52" t="s">
        <v>3630</v>
      </c>
      <c r="C143" s="53"/>
      <c r="D143" s="54">
        <v>3883421.0</v>
      </c>
      <c r="E143" s="52" t="s">
        <v>3569</v>
      </c>
      <c r="F143" s="52" t="s">
        <v>3428</v>
      </c>
      <c r="G143" s="54" t="s">
        <v>3429</v>
      </c>
      <c r="H143" s="55">
        <v>0.5416666666666666</v>
      </c>
      <c r="I143" s="56"/>
      <c r="J143" s="61"/>
    </row>
    <row r="144">
      <c r="A144" s="51">
        <f t="shared" si="1"/>
        <v>142</v>
      </c>
      <c r="B144" s="52" t="s">
        <v>3631</v>
      </c>
      <c r="C144" s="53"/>
      <c r="D144" s="54">
        <v>1.7856045E7</v>
      </c>
      <c r="E144" s="52" t="s">
        <v>3569</v>
      </c>
      <c r="F144" s="52" t="s">
        <v>3428</v>
      </c>
      <c r="G144" s="54" t="s">
        <v>3429</v>
      </c>
      <c r="H144" s="55">
        <v>0.5416666666666666</v>
      </c>
      <c r="I144" s="56"/>
      <c r="J144" s="61"/>
    </row>
    <row r="145">
      <c r="A145" s="51">
        <f t="shared" si="1"/>
        <v>143</v>
      </c>
      <c r="B145" s="52" t="s">
        <v>3632</v>
      </c>
      <c r="C145" s="53"/>
      <c r="D145" s="54">
        <v>2.0003134E7</v>
      </c>
      <c r="E145" s="52" t="s">
        <v>3569</v>
      </c>
      <c r="F145" s="52" t="s">
        <v>3428</v>
      </c>
      <c r="G145" s="54" t="s">
        <v>3429</v>
      </c>
      <c r="H145" s="55">
        <v>0.5416666666666666</v>
      </c>
      <c r="I145" s="56"/>
      <c r="J145" s="61"/>
    </row>
    <row r="146">
      <c r="A146" s="51">
        <f t="shared" si="1"/>
        <v>144</v>
      </c>
      <c r="B146" s="52" t="s">
        <v>3633</v>
      </c>
      <c r="C146" s="53"/>
      <c r="D146" s="54">
        <v>2.7044236E7</v>
      </c>
      <c r="E146" s="52" t="s">
        <v>3569</v>
      </c>
      <c r="F146" s="52" t="s">
        <v>3428</v>
      </c>
      <c r="G146" s="54" t="s">
        <v>3429</v>
      </c>
      <c r="H146" s="55">
        <v>0.5416666666666666</v>
      </c>
      <c r="I146" s="56"/>
      <c r="J146" s="61"/>
    </row>
    <row r="147">
      <c r="A147" s="51">
        <f t="shared" si="1"/>
        <v>145</v>
      </c>
      <c r="B147" s="52" t="s">
        <v>3634</v>
      </c>
      <c r="C147" s="53"/>
      <c r="D147" s="54">
        <v>3.0170626E7</v>
      </c>
      <c r="E147" s="52" t="s">
        <v>3569</v>
      </c>
      <c r="F147" s="52" t="s">
        <v>3428</v>
      </c>
      <c r="G147" s="54" t="s">
        <v>3429</v>
      </c>
      <c r="H147" s="55">
        <v>0.5416666666666666</v>
      </c>
      <c r="I147" s="56"/>
      <c r="J147" s="61"/>
    </row>
    <row r="148">
      <c r="A148" s="51">
        <f t="shared" si="1"/>
        <v>146</v>
      </c>
      <c r="B148" s="52" t="s">
        <v>3635</v>
      </c>
      <c r="C148" s="53"/>
      <c r="D148" s="54">
        <v>2.9701695E7</v>
      </c>
      <c r="E148" s="52" t="s">
        <v>3569</v>
      </c>
      <c r="F148" s="52" t="s">
        <v>3428</v>
      </c>
      <c r="G148" s="54" t="s">
        <v>3429</v>
      </c>
      <c r="H148" s="55">
        <v>0.5416666666666666</v>
      </c>
      <c r="I148" s="56"/>
      <c r="J148" s="61"/>
    </row>
    <row r="149">
      <c r="A149" s="51">
        <f t="shared" si="1"/>
        <v>147</v>
      </c>
      <c r="B149" s="52" t="s">
        <v>3636</v>
      </c>
      <c r="C149" s="53"/>
      <c r="D149" s="54">
        <v>3.2976229E7</v>
      </c>
      <c r="E149" s="52" t="s">
        <v>3569</v>
      </c>
      <c r="F149" s="52" t="s">
        <v>3428</v>
      </c>
      <c r="G149" s="54" t="s">
        <v>3429</v>
      </c>
      <c r="H149" s="55">
        <v>0.5416666666666666</v>
      </c>
      <c r="I149" s="56"/>
      <c r="J149" s="61"/>
    </row>
    <row r="150">
      <c r="A150" s="51">
        <f t="shared" si="1"/>
        <v>148</v>
      </c>
      <c r="B150" s="52" t="s">
        <v>3637</v>
      </c>
      <c r="C150" s="53"/>
      <c r="D150" s="52" t="s">
        <v>3574</v>
      </c>
      <c r="E150" s="52" t="s">
        <v>3569</v>
      </c>
      <c r="F150" s="52" t="s">
        <v>3428</v>
      </c>
      <c r="G150" s="54" t="s">
        <v>3429</v>
      </c>
      <c r="H150" s="55">
        <v>0.5416666666666666</v>
      </c>
      <c r="I150" s="56"/>
      <c r="J150" s="61"/>
    </row>
    <row r="151">
      <c r="A151" s="51">
        <f t="shared" si="1"/>
        <v>149</v>
      </c>
      <c r="B151" s="52" t="s">
        <v>3638</v>
      </c>
      <c r="C151" s="53"/>
      <c r="D151" s="54">
        <v>2.3241059E7</v>
      </c>
      <c r="E151" s="52" t="s">
        <v>3569</v>
      </c>
      <c r="F151" s="52" t="s">
        <v>3428</v>
      </c>
      <c r="G151" s="54" t="s">
        <v>3429</v>
      </c>
      <c r="H151" s="55">
        <v>0.5416666666666666</v>
      </c>
      <c r="I151" s="56"/>
      <c r="J151" s="61"/>
    </row>
    <row r="152">
      <c r="A152" s="51">
        <f t="shared" si="1"/>
        <v>150</v>
      </c>
      <c r="B152" s="52" t="s">
        <v>3639</v>
      </c>
      <c r="C152" s="53"/>
      <c r="D152" s="54">
        <v>3.0072743E7</v>
      </c>
      <c r="E152" s="52" t="s">
        <v>3569</v>
      </c>
      <c r="F152" s="52" t="s">
        <v>3428</v>
      </c>
      <c r="G152" s="54" t="s">
        <v>3429</v>
      </c>
      <c r="H152" s="55">
        <v>0.5416666666666666</v>
      </c>
      <c r="I152" s="56"/>
      <c r="J152" s="61"/>
    </row>
    <row r="153">
      <c r="A153" s="51">
        <f t="shared" si="1"/>
        <v>151</v>
      </c>
      <c r="B153" s="52" t="s">
        <v>3640</v>
      </c>
      <c r="C153" s="53"/>
      <c r="D153" s="54">
        <v>8.2230906E7</v>
      </c>
      <c r="E153" s="52" t="s">
        <v>3569</v>
      </c>
      <c r="F153" s="52" t="s">
        <v>3428</v>
      </c>
      <c r="G153" s="54" t="s">
        <v>3429</v>
      </c>
      <c r="H153" s="55">
        <v>0.5416666666666666</v>
      </c>
      <c r="I153" s="56"/>
      <c r="J153" s="61"/>
    </row>
    <row r="154">
      <c r="A154" s="51">
        <f t="shared" si="1"/>
        <v>152</v>
      </c>
      <c r="B154" s="52" t="s">
        <v>3641</v>
      </c>
      <c r="C154" s="53"/>
      <c r="D154" s="54">
        <v>6092167.0</v>
      </c>
      <c r="E154" s="52" t="s">
        <v>3569</v>
      </c>
      <c r="F154" s="52" t="s">
        <v>3428</v>
      </c>
      <c r="G154" s="54" t="s">
        <v>3429</v>
      </c>
      <c r="H154" s="55">
        <v>0.5416666666666666</v>
      </c>
      <c r="I154" s="56"/>
      <c r="J154" s="61"/>
    </row>
    <row r="155">
      <c r="A155" s="51">
        <f t="shared" si="1"/>
        <v>153</v>
      </c>
      <c r="B155" s="52" t="s">
        <v>3642</v>
      </c>
      <c r="C155" s="53"/>
      <c r="D155" s="54">
        <v>2.6327366E7</v>
      </c>
      <c r="E155" s="52" t="s">
        <v>3569</v>
      </c>
      <c r="F155" s="52" t="s">
        <v>3428</v>
      </c>
      <c r="G155" s="54" t="s">
        <v>3429</v>
      </c>
      <c r="H155" s="55">
        <v>0.5416666666666666</v>
      </c>
      <c r="I155" s="56"/>
      <c r="J155" s="61"/>
    </row>
    <row r="156">
      <c r="A156" s="51">
        <f t="shared" si="1"/>
        <v>154</v>
      </c>
      <c r="B156" s="52" t="s">
        <v>3643</v>
      </c>
      <c r="C156" s="53"/>
      <c r="D156" s="54">
        <v>1.0576803E7</v>
      </c>
      <c r="E156" s="52" t="s">
        <v>3569</v>
      </c>
      <c r="F156" s="52" t="s">
        <v>3428</v>
      </c>
      <c r="G156" s="54" t="s">
        <v>3429</v>
      </c>
      <c r="H156" s="55">
        <v>0.5416666666666666</v>
      </c>
      <c r="I156" s="56"/>
      <c r="J156" s="61"/>
    </row>
    <row r="157">
      <c r="A157" s="51">
        <f t="shared" si="1"/>
        <v>155</v>
      </c>
      <c r="B157" s="52" t="s">
        <v>3644</v>
      </c>
      <c r="C157" s="53"/>
      <c r="D157" s="54">
        <v>1.7856045E7</v>
      </c>
      <c r="E157" s="52" t="s">
        <v>3569</v>
      </c>
      <c r="F157" s="52" t="s">
        <v>3428</v>
      </c>
      <c r="G157" s="54" t="s">
        <v>3429</v>
      </c>
      <c r="H157" s="55">
        <v>0.5416666666666666</v>
      </c>
      <c r="I157" s="56"/>
      <c r="J157" s="61"/>
    </row>
    <row r="158">
      <c r="A158" s="51">
        <f t="shared" si="1"/>
        <v>156</v>
      </c>
      <c r="B158" s="52" t="s">
        <v>3645</v>
      </c>
      <c r="C158" s="53"/>
      <c r="D158" s="54">
        <v>2945823.0</v>
      </c>
      <c r="E158" s="52" t="s">
        <v>3569</v>
      </c>
      <c r="F158" s="52" t="s">
        <v>3428</v>
      </c>
      <c r="G158" s="54" t="s">
        <v>3429</v>
      </c>
      <c r="H158" s="55">
        <v>0.5416666666666666</v>
      </c>
      <c r="I158" s="56"/>
      <c r="J158" s="61"/>
    </row>
    <row r="159">
      <c r="A159" s="51">
        <f t="shared" si="1"/>
        <v>157</v>
      </c>
      <c r="B159" s="52" t="s">
        <v>3646</v>
      </c>
      <c r="C159" s="53"/>
      <c r="D159" s="54">
        <v>1.6125101E7</v>
      </c>
      <c r="E159" s="52" t="s">
        <v>3569</v>
      </c>
      <c r="F159" s="52" t="s">
        <v>3428</v>
      </c>
      <c r="G159" s="54" t="s">
        <v>3429</v>
      </c>
      <c r="H159" s="55">
        <v>0.5416666666666666</v>
      </c>
      <c r="I159" s="56"/>
      <c r="J159" s="61"/>
    </row>
    <row r="160">
      <c r="A160" s="51">
        <f t="shared" si="1"/>
        <v>158</v>
      </c>
      <c r="B160" s="52" t="s">
        <v>3647</v>
      </c>
      <c r="C160" s="53"/>
      <c r="D160" s="54">
        <v>285659.0</v>
      </c>
      <c r="E160" s="52" t="s">
        <v>3569</v>
      </c>
      <c r="F160" s="52" t="s">
        <v>3428</v>
      </c>
      <c r="G160" s="54" t="s">
        <v>3429</v>
      </c>
      <c r="H160" s="55">
        <v>0.5416666666666666</v>
      </c>
      <c r="I160" s="56"/>
      <c r="J160" s="61"/>
    </row>
    <row r="161">
      <c r="A161" s="51">
        <f t="shared" si="1"/>
        <v>159</v>
      </c>
      <c r="B161" s="52" t="s">
        <v>3508</v>
      </c>
      <c r="C161" s="53"/>
      <c r="D161" s="54">
        <v>4636722.0</v>
      </c>
      <c r="E161" s="52" t="s">
        <v>3569</v>
      </c>
      <c r="F161" s="52" t="s">
        <v>3428</v>
      </c>
      <c r="G161" s="54" t="s">
        <v>3429</v>
      </c>
      <c r="H161" s="55">
        <v>0.5416666666666666</v>
      </c>
      <c r="I161" s="56"/>
      <c r="J161" s="61"/>
    </row>
    <row r="162">
      <c r="A162" s="51">
        <f t="shared" si="1"/>
        <v>160</v>
      </c>
      <c r="B162" s="52" t="s">
        <v>3648</v>
      </c>
      <c r="C162" s="53"/>
      <c r="D162" s="54">
        <v>3.4800366E7</v>
      </c>
      <c r="E162" s="52" t="s">
        <v>3569</v>
      </c>
      <c r="F162" s="52" t="s">
        <v>3428</v>
      </c>
      <c r="G162" s="54" t="s">
        <v>3429</v>
      </c>
      <c r="H162" s="55">
        <v>0.5416666666666666</v>
      </c>
      <c r="I162" s="56"/>
      <c r="J162" s="61"/>
    </row>
    <row r="163">
      <c r="A163" s="51">
        <f t="shared" si="1"/>
        <v>161</v>
      </c>
      <c r="B163" s="52" t="s">
        <v>3649</v>
      </c>
      <c r="C163" s="53"/>
      <c r="D163" s="54">
        <v>2.7006264E7</v>
      </c>
      <c r="E163" s="52" t="s">
        <v>3569</v>
      </c>
      <c r="F163" s="52" t="s">
        <v>3428</v>
      </c>
      <c r="G163" s="54" t="s">
        <v>3429</v>
      </c>
      <c r="H163" s="55">
        <v>0.5416666666666666</v>
      </c>
      <c r="I163" s="56"/>
      <c r="J163" s="61"/>
    </row>
    <row r="164">
      <c r="A164" s="51">
        <f t="shared" si="1"/>
        <v>162</v>
      </c>
      <c r="B164" s="52" t="s">
        <v>3625</v>
      </c>
      <c r="C164" s="53"/>
      <c r="D164" s="54">
        <v>2.814377E7</v>
      </c>
      <c r="E164" s="52" t="s">
        <v>3569</v>
      </c>
      <c r="F164" s="52" t="s">
        <v>3428</v>
      </c>
      <c r="G164" s="54" t="s">
        <v>3429</v>
      </c>
      <c r="H164" s="55">
        <v>0.5416666666666666</v>
      </c>
      <c r="I164" s="52" t="s">
        <v>3629</v>
      </c>
      <c r="J164" s="61"/>
    </row>
    <row r="165">
      <c r="A165" s="51">
        <f t="shared" si="1"/>
        <v>163</v>
      </c>
      <c r="B165" s="52" t="s">
        <v>3650</v>
      </c>
      <c r="C165" s="53"/>
      <c r="D165" s="54">
        <v>3883421.0</v>
      </c>
      <c r="E165" s="52" t="s">
        <v>3569</v>
      </c>
      <c r="F165" s="52" t="s">
        <v>3428</v>
      </c>
      <c r="G165" s="54" t="s">
        <v>3429</v>
      </c>
      <c r="H165" s="55">
        <v>0.5416666666666666</v>
      </c>
      <c r="I165" s="56"/>
      <c r="J165" s="61"/>
    </row>
    <row r="166">
      <c r="A166" s="51">
        <f t="shared" si="1"/>
        <v>164</v>
      </c>
      <c r="B166" s="52" t="s">
        <v>3651</v>
      </c>
      <c r="C166" s="53"/>
      <c r="D166" s="54">
        <v>1.2763837E7</v>
      </c>
      <c r="E166" s="52" t="s">
        <v>3569</v>
      </c>
      <c r="F166" s="52" t="s">
        <v>3428</v>
      </c>
      <c r="G166" s="54" t="s">
        <v>3429</v>
      </c>
      <c r="H166" s="55">
        <v>0.5416666666666666</v>
      </c>
      <c r="I166" s="56"/>
      <c r="J166" s="61"/>
    </row>
    <row r="167">
      <c r="A167" s="51">
        <f t="shared" si="1"/>
        <v>165</v>
      </c>
      <c r="B167" s="52" t="s">
        <v>3652</v>
      </c>
      <c r="C167" s="59" t="s">
        <v>3653</v>
      </c>
      <c r="D167" s="53"/>
      <c r="E167" s="52" t="s">
        <v>3569</v>
      </c>
      <c r="F167" s="52" t="s">
        <v>3428</v>
      </c>
      <c r="G167" s="54" t="s">
        <v>3429</v>
      </c>
      <c r="H167" s="55">
        <v>0.5416666666666666</v>
      </c>
      <c r="I167" s="56"/>
      <c r="J167" s="61"/>
    </row>
    <row r="168">
      <c r="A168" s="51">
        <f t="shared" si="1"/>
        <v>166</v>
      </c>
      <c r="B168" s="52" t="s">
        <v>3654</v>
      </c>
      <c r="C168" s="53"/>
      <c r="D168" s="54">
        <v>3.2865296E7</v>
      </c>
      <c r="E168" s="52" t="s">
        <v>3569</v>
      </c>
      <c r="F168" s="52" t="s">
        <v>3428</v>
      </c>
      <c r="G168" s="54" t="s">
        <v>3429</v>
      </c>
      <c r="H168" s="55">
        <v>0.5416666666666666</v>
      </c>
      <c r="I168" s="56"/>
      <c r="J168" s="61"/>
    </row>
    <row r="169">
      <c r="A169" s="51">
        <f t="shared" si="1"/>
        <v>167</v>
      </c>
      <c r="B169" s="52" t="s">
        <v>3655</v>
      </c>
      <c r="C169" s="53"/>
      <c r="D169" s="54">
        <v>1.8749225E7</v>
      </c>
      <c r="E169" s="52" t="s">
        <v>3569</v>
      </c>
      <c r="F169" s="52" t="s">
        <v>3428</v>
      </c>
      <c r="G169" s="54" t="s">
        <v>3429</v>
      </c>
      <c r="H169" s="55">
        <v>0.5416666666666666</v>
      </c>
      <c r="I169" s="56"/>
      <c r="J169" s="61"/>
    </row>
    <row r="170">
      <c r="A170" s="51">
        <f t="shared" si="1"/>
        <v>168</v>
      </c>
      <c r="B170" s="52" t="s">
        <v>3656</v>
      </c>
      <c r="C170" s="53"/>
      <c r="D170" s="54">
        <v>2.976836E7</v>
      </c>
      <c r="E170" s="52" t="s">
        <v>3569</v>
      </c>
      <c r="F170" s="52" t="s">
        <v>3428</v>
      </c>
      <c r="G170" s="54" t="s">
        <v>3429</v>
      </c>
      <c r="H170" s="55">
        <v>0.5416666666666666</v>
      </c>
      <c r="I170" s="56"/>
      <c r="J170" s="61"/>
    </row>
    <row r="171">
      <c r="A171" s="51">
        <f t="shared" si="1"/>
        <v>169</v>
      </c>
      <c r="B171" s="52" t="s">
        <v>3657</v>
      </c>
      <c r="C171" s="53"/>
      <c r="D171" s="54">
        <v>2.7044236E7</v>
      </c>
      <c r="E171" s="52" t="s">
        <v>3569</v>
      </c>
      <c r="F171" s="52" t="s">
        <v>3428</v>
      </c>
      <c r="G171" s="54" t="s">
        <v>3429</v>
      </c>
      <c r="H171" s="55">
        <v>0.5416666666666666</v>
      </c>
      <c r="I171" s="56"/>
      <c r="J171" s="61"/>
    </row>
    <row r="172">
      <c r="A172" s="51">
        <f t="shared" si="1"/>
        <v>170</v>
      </c>
      <c r="B172" s="52" t="s">
        <v>3658</v>
      </c>
      <c r="C172" s="53"/>
      <c r="D172" s="54">
        <v>2.6372024E7</v>
      </c>
      <c r="E172" s="52" t="s">
        <v>3569</v>
      </c>
      <c r="F172" s="52" t="s">
        <v>3428</v>
      </c>
      <c r="G172" s="54" t="s">
        <v>3429</v>
      </c>
      <c r="H172" s="55">
        <v>0.5416666666666666</v>
      </c>
      <c r="I172" s="56"/>
      <c r="J172" s="61"/>
    </row>
    <row r="173">
      <c r="A173" s="51">
        <f t="shared" si="1"/>
        <v>171</v>
      </c>
      <c r="B173" s="52" t="s">
        <v>3659</v>
      </c>
      <c r="C173" s="53"/>
      <c r="D173" s="54">
        <v>2.8285779E7</v>
      </c>
      <c r="E173" s="52" t="s">
        <v>3569</v>
      </c>
      <c r="F173" s="52" t="s">
        <v>3428</v>
      </c>
      <c r="G173" s="54" t="s">
        <v>3429</v>
      </c>
      <c r="H173" s="55">
        <v>0.5416666666666666</v>
      </c>
      <c r="I173" s="56"/>
      <c r="J173" s="61"/>
    </row>
    <row r="174">
      <c r="A174" s="51">
        <f t="shared" si="1"/>
        <v>172</v>
      </c>
      <c r="B174" s="52" t="s">
        <v>3660</v>
      </c>
      <c r="C174" s="53"/>
      <c r="D174" s="54">
        <v>1.1517536E7</v>
      </c>
      <c r="E174" s="52" t="s">
        <v>3569</v>
      </c>
      <c r="F174" s="52" t="s">
        <v>3428</v>
      </c>
      <c r="G174" s="54" t="s">
        <v>3429</v>
      </c>
      <c r="H174" s="55">
        <v>0.5416666666666666</v>
      </c>
      <c r="I174" s="56"/>
      <c r="J174" s="61"/>
    </row>
    <row r="175">
      <c r="A175" s="51">
        <f t="shared" si="1"/>
        <v>173</v>
      </c>
      <c r="B175" s="52" t="s">
        <v>3661</v>
      </c>
      <c r="C175" s="53"/>
      <c r="D175" s="54">
        <v>2.8100561E7</v>
      </c>
      <c r="E175" s="52" t="s">
        <v>3569</v>
      </c>
      <c r="F175" s="52" t="s">
        <v>3428</v>
      </c>
      <c r="G175" s="54" t="s">
        <v>3429</v>
      </c>
      <c r="H175" s="55">
        <v>0.5416666666666666</v>
      </c>
      <c r="I175" s="56"/>
      <c r="J175" s="61"/>
    </row>
    <row r="176">
      <c r="A176" s="51">
        <f t="shared" si="1"/>
        <v>174</v>
      </c>
      <c r="B176" s="52" t="s">
        <v>3662</v>
      </c>
      <c r="C176" s="53"/>
      <c r="D176" s="54">
        <v>1.4194021E7</v>
      </c>
      <c r="E176" s="52" t="s">
        <v>3569</v>
      </c>
      <c r="F176" s="52" t="s">
        <v>3428</v>
      </c>
      <c r="G176" s="54" t="s">
        <v>3429</v>
      </c>
      <c r="H176" s="55">
        <v>0.5416666666666666</v>
      </c>
      <c r="I176" s="56"/>
      <c r="J176" s="61"/>
    </row>
    <row r="177">
      <c r="A177" s="51">
        <f t="shared" si="1"/>
        <v>175</v>
      </c>
      <c r="B177" s="52" t="s">
        <v>3663</v>
      </c>
      <c r="C177" s="53"/>
      <c r="D177" s="54">
        <v>1.8461886E7</v>
      </c>
      <c r="E177" s="52" t="s">
        <v>3569</v>
      </c>
      <c r="F177" s="52" t="s">
        <v>3428</v>
      </c>
      <c r="G177" s="54" t="s">
        <v>3429</v>
      </c>
      <c r="H177" s="55">
        <v>0.5416666666666666</v>
      </c>
      <c r="I177" s="56"/>
      <c r="J177" s="61"/>
    </row>
    <row r="178">
      <c r="A178" s="51">
        <f t="shared" si="1"/>
        <v>176</v>
      </c>
      <c r="B178" s="52" t="s">
        <v>3664</v>
      </c>
      <c r="C178" s="53"/>
      <c r="D178" s="54">
        <v>3.0678485E7</v>
      </c>
      <c r="E178" s="52" t="s">
        <v>3569</v>
      </c>
      <c r="F178" s="52" t="s">
        <v>3428</v>
      </c>
      <c r="G178" s="54" t="s">
        <v>3429</v>
      </c>
      <c r="H178" s="55">
        <v>0.5416666666666666</v>
      </c>
      <c r="I178" s="56"/>
      <c r="J178" s="61"/>
    </row>
    <row r="179">
      <c r="A179" s="51">
        <f t="shared" si="1"/>
        <v>177</v>
      </c>
      <c r="B179" s="52" t="s">
        <v>3665</v>
      </c>
      <c r="C179" s="53"/>
      <c r="D179" s="54">
        <v>1.9102824E7</v>
      </c>
      <c r="E179" s="52" t="s">
        <v>3569</v>
      </c>
      <c r="F179" s="52" t="s">
        <v>3428</v>
      </c>
      <c r="G179" s="54" t="s">
        <v>3429</v>
      </c>
      <c r="H179" s="55">
        <v>0.5416666666666666</v>
      </c>
      <c r="I179" s="56"/>
      <c r="J179" s="61"/>
    </row>
    <row r="180">
      <c r="A180" s="51">
        <f t="shared" si="1"/>
        <v>178</v>
      </c>
      <c r="B180" s="52" t="s">
        <v>3666</v>
      </c>
      <c r="C180" s="53"/>
      <c r="D180" s="54">
        <v>5613119.0</v>
      </c>
      <c r="E180" s="52" t="s">
        <v>3569</v>
      </c>
      <c r="F180" s="52" t="s">
        <v>3428</v>
      </c>
      <c r="G180" s="54" t="s">
        <v>3429</v>
      </c>
      <c r="H180" s="55">
        <v>0.5416666666666666</v>
      </c>
      <c r="I180" s="56"/>
      <c r="J180" s="61"/>
    </row>
    <row r="181">
      <c r="A181" s="51">
        <f t="shared" si="1"/>
        <v>179</v>
      </c>
      <c r="B181" s="52" t="s">
        <v>3667</v>
      </c>
      <c r="C181" s="53"/>
      <c r="D181" s="54">
        <v>1.4424783E7</v>
      </c>
      <c r="E181" s="52" t="s">
        <v>3569</v>
      </c>
      <c r="F181" s="52" t="s">
        <v>3428</v>
      </c>
      <c r="G181" s="54" t="s">
        <v>3429</v>
      </c>
      <c r="H181" s="55">
        <v>0.5416666666666666</v>
      </c>
      <c r="I181" s="56"/>
      <c r="J181" s="61"/>
    </row>
    <row r="182">
      <c r="A182" s="51">
        <f t="shared" si="1"/>
        <v>180</v>
      </c>
      <c r="B182" s="52" t="s">
        <v>3668</v>
      </c>
      <c r="C182" s="53"/>
      <c r="D182" s="54">
        <v>8.1659048E7</v>
      </c>
      <c r="E182" s="52" t="s">
        <v>3569</v>
      </c>
      <c r="F182" s="52" t="s">
        <v>3428</v>
      </c>
      <c r="G182" s="54" t="s">
        <v>3429</v>
      </c>
      <c r="H182" s="55">
        <v>0.5416666666666666</v>
      </c>
      <c r="I182" s="56"/>
      <c r="J182" s="61"/>
    </row>
    <row r="183">
      <c r="A183" s="51">
        <f t="shared" si="1"/>
        <v>181</v>
      </c>
      <c r="B183" s="52" t="s">
        <v>3669</v>
      </c>
      <c r="C183" s="53"/>
      <c r="D183" s="54">
        <v>6448839.0</v>
      </c>
      <c r="E183" s="52" t="s">
        <v>3569</v>
      </c>
      <c r="F183" s="52" t="s">
        <v>3428</v>
      </c>
      <c r="G183" s="54" t="s">
        <v>3429</v>
      </c>
      <c r="H183" s="55">
        <v>0.5416666666666666</v>
      </c>
      <c r="I183" s="56"/>
      <c r="J183" s="61"/>
    </row>
    <row r="184">
      <c r="A184" s="51">
        <f t="shared" si="1"/>
        <v>182</v>
      </c>
      <c r="B184" s="52" t="s">
        <v>3670</v>
      </c>
      <c r="C184" s="53"/>
      <c r="D184" s="54">
        <v>1.206008E7</v>
      </c>
      <c r="E184" s="52" t="s">
        <v>3569</v>
      </c>
      <c r="F184" s="52" t="s">
        <v>3428</v>
      </c>
      <c r="G184" s="54" t="s">
        <v>3429</v>
      </c>
      <c r="H184" s="55">
        <v>0.5416666666666666</v>
      </c>
      <c r="I184" s="56"/>
      <c r="J184" s="61"/>
    </row>
    <row r="185">
      <c r="A185" s="51">
        <f t="shared" si="1"/>
        <v>183</v>
      </c>
      <c r="B185" s="52" t="s">
        <v>3671</v>
      </c>
      <c r="C185" s="53"/>
      <c r="D185" s="54">
        <v>2.5872328E7</v>
      </c>
      <c r="E185" s="52" t="s">
        <v>3569</v>
      </c>
      <c r="F185" s="52" t="s">
        <v>3428</v>
      </c>
      <c r="G185" s="54" t="s">
        <v>3429</v>
      </c>
      <c r="H185" s="55">
        <v>0.5416666666666666</v>
      </c>
      <c r="I185" s="56"/>
      <c r="J185" s="61"/>
    </row>
    <row r="186">
      <c r="A186" s="51">
        <f t="shared" si="1"/>
        <v>184</v>
      </c>
      <c r="B186" s="52" t="s">
        <v>3672</v>
      </c>
      <c r="C186" s="53"/>
      <c r="D186" s="54">
        <v>3.1948173E7</v>
      </c>
      <c r="E186" s="52" t="s">
        <v>3569</v>
      </c>
      <c r="F186" s="52" t="s">
        <v>3428</v>
      </c>
      <c r="G186" s="54" t="s">
        <v>3429</v>
      </c>
      <c r="H186" s="55">
        <v>0.5416666666666666</v>
      </c>
      <c r="I186" s="56"/>
      <c r="J186" s="61"/>
    </row>
    <row r="187">
      <c r="A187" s="51">
        <f t="shared" si="1"/>
        <v>185</v>
      </c>
      <c r="B187" s="52" t="s">
        <v>3673</v>
      </c>
      <c r="C187" s="53"/>
      <c r="D187" s="54">
        <v>1.1638321E7</v>
      </c>
      <c r="E187" s="52" t="s">
        <v>3569</v>
      </c>
      <c r="F187" s="52" t="s">
        <v>3428</v>
      </c>
      <c r="G187" s="54" t="s">
        <v>3429</v>
      </c>
      <c r="H187" s="55">
        <v>0.5416666666666666</v>
      </c>
      <c r="I187" s="56"/>
      <c r="J187" s="61"/>
    </row>
    <row r="188">
      <c r="A188" s="51">
        <f t="shared" si="1"/>
        <v>186</v>
      </c>
      <c r="B188" s="52" t="s">
        <v>3674</v>
      </c>
      <c r="C188" s="53"/>
      <c r="D188" s="54">
        <v>1.1688834E7</v>
      </c>
      <c r="E188" s="52" t="s">
        <v>3569</v>
      </c>
      <c r="F188" s="52" t="s">
        <v>3428</v>
      </c>
      <c r="G188" s="54" t="s">
        <v>3429</v>
      </c>
      <c r="H188" s="55">
        <v>0.5416666666666666</v>
      </c>
      <c r="I188" s="56"/>
      <c r="J188" s="61"/>
    </row>
    <row r="189">
      <c r="A189" s="51">
        <f t="shared" si="1"/>
        <v>187</v>
      </c>
      <c r="B189" s="52" t="s">
        <v>3675</v>
      </c>
      <c r="C189" s="53"/>
      <c r="D189" s="54">
        <v>5199693.0</v>
      </c>
      <c r="E189" s="52" t="s">
        <v>3569</v>
      </c>
      <c r="F189" s="52" t="s">
        <v>3428</v>
      </c>
      <c r="G189" s="54" t="s">
        <v>3429</v>
      </c>
      <c r="H189" s="55">
        <v>0.5416666666666666</v>
      </c>
      <c r="I189" s="56"/>
      <c r="J189" s="61"/>
    </row>
    <row r="190">
      <c r="A190" s="51">
        <f t="shared" si="1"/>
        <v>188</v>
      </c>
      <c r="B190" s="52" t="s">
        <v>3676</v>
      </c>
      <c r="C190" s="53"/>
      <c r="D190" s="54">
        <v>4281217.0</v>
      </c>
      <c r="E190" s="52" t="s">
        <v>3569</v>
      </c>
      <c r="F190" s="52" t="s">
        <v>3428</v>
      </c>
      <c r="G190" s="54" t="s">
        <v>3429</v>
      </c>
      <c r="H190" s="55">
        <v>0.5416666666666666</v>
      </c>
      <c r="I190" s="53"/>
      <c r="J190" s="61"/>
    </row>
    <row r="191">
      <c r="A191" s="51">
        <f t="shared" si="1"/>
        <v>189</v>
      </c>
      <c r="B191" s="52" t="s">
        <v>3677</v>
      </c>
      <c r="C191" s="53"/>
      <c r="D191" s="54">
        <v>1.0576899E7</v>
      </c>
      <c r="E191" s="52" t="s">
        <v>3569</v>
      </c>
      <c r="F191" s="52" t="s">
        <v>3428</v>
      </c>
      <c r="G191" s="54" t="s">
        <v>3429</v>
      </c>
      <c r="H191" s="55">
        <v>0.5416666666666666</v>
      </c>
      <c r="I191" s="56"/>
      <c r="J191" s="61"/>
    </row>
    <row r="192">
      <c r="A192" s="51">
        <f t="shared" si="1"/>
        <v>190</v>
      </c>
      <c r="B192" s="52" t="s">
        <v>3678</v>
      </c>
      <c r="C192" s="53"/>
      <c r="D192" s="54">
        <v>1.7755829E7</v>
      </c>
      <c r="E192" s="52" t="s">
        <v>3569</v>
      </c>
      <c r="F192" s="52" t="s">
        <v>3428</v>
      </c>
      <c r="G192" s="54" t="s">
        <v>3429</v>
      </c>
      <c r="H192" s="55">
        <v>0.5416666666666666</v>
      </c>
      <c r="I192" s="56"/>
      <c r="J192" s="61"/>
    </row>
    <row r="193">
      <c r="A193" s="51">
        <f t="shared" si="1"/>
        <v>191</v>
      </c>
      <c r="B193" s="52" t="s">
        <v>3679</v>
      </c>
      <c r="C193" s="53"/>
      <c r="D193" s="54">
        <v>3.2654924E7</v>
      </c>
      <c r="E193" s="52" t="s">
        <v>3680</v>
      </c>
      <c r="F193" s="52" t="s">
        <v>3428</v>
      </c>
      <c r="G193" s="54" t="s">
        <v>3429</v>
      </c>
      <c r="H193" s="55">
        <v>0.5416666666666666</v>
      </c>
      <c r="I193" s="56"/>
      <c r="J193" s="61"/>
    </row>
    <row r="194">
      <c r="A194" s="51">
        <f t="shared" si="1"/>
        <v>192</v>
      </c>
      <c r="B194" s="52" t="s">
        <v>3681</v>
      </c>
      <c r="C194" s="53"/>
      <c r="D194" s="54">
        <v>5913883.0</v>
      </c>
      <c r="E194" s="52" t="s">
        <v>3680</v>
      </c>
      <c r="F194" s="52" t="s">
        <v>3428</v>
      </c>
      <c r="G194" s="54" t="s">
        <v>3429</v>
      </c>
      <c r="H194" s="55">
        <v>0.5416666666666666</v>
      </c>
      <c r="I194" s="56"/>
      <c r="J194" s="61"/>
    </row>
    <row r="195">
      <c r="A195" s="51">
        <f t="shared" si="1"/>
        <v>193</v>
      </c>
      <c r="B195" s="52" t="s">
        <v>3682</v>
      </c>
      <c r="C195" s="53"/>
      <c r="D195" s="54">
        <v>2.0291328E7</v>
      </c>
      <c r="E195" s="52" t="s">
        <v>3680</v>
      </c>
      <c r="F195" s="52" t="s">
        <v>3428</v>
      </c>
      <c r="G195" s="54" t="s">
        <v>3429</v>
      </c>
      <c r="H195" s="55">
        <v>0.5416666666666666</v>
      </c>
      <c r="I195" s="56"/>
      <c r="J195" s="61"/>
    </row>
    <row r="196">
      <c r="A196" s="51">
        <f t="shared" si="1"/>
        <v>194</v>
      </c>
      <c r="B196" s="52" t="s">
        <v>3683</v>
      </c>
      <c r="C196" s="53"/>
      <c r="D196" s="54">
        <v>6121988.0</v>
      </c>
      <c r="E196" s="52" t="s">
        <v>3680</v>
      </c>
      <c r="F196" s="52" t="s">
        <v>3428</v>
      </c>
      <c r="G196" s="54" t="s">
        <v>3429</v>
      </c>
      <c r="H196" s="55">
        <v>0.5416666666666666</v>
      </c>
      <c r="I196" s="56"/>
      <c r="J196" s="61"/>
    </row>
    <row r="197">
      <c r="A197" s="51">
        <f t="shared" si="1"/>
        <v>195</v>
      </c>
      <c r="B197" s="52" t="s">
        <v>3684</v>
      </c>
      <c r="C197" s="53"/>
      <c r="D197" s="54">
        <v>1.2113971E7</v>
      </c>
      <c r="E197" s="52" t="s">
        <v>3680</v>
      </c>
      <c r="F197" s="52" t="s">
        <v>3428</v>
      </c>
      <c r="G197" s="54" t="s">
        <v>3429</v>
      </c>
      <c r="H197" s="55">
        <v>0.5416666666666666</v>
      </c>
      <c r="I197" s="56"/>
      <c r="J197" s="61"/>
    </row>
    <row r="198">
      <c r="A198" s="51">
        <f t="shared" si="1"/>
        <v>196</v>
      </c>
      <c r="B198" s="52" t="s">
        <v>3685</v>
      </c>
      <c r="C198" s="52" t="s">
        <v>3443</v>
      </c>
      <c r="D198" s="53"/>
      <c r="E198" s="52" t="s">
        <v>3680</v>
      </c>
      <c r="F198" s="52" t="s">
        <v>3428</v>
      </c>
      <c r="G198" s="54" t="s">
        <v>3429</v>
      </c>
      <c r="H198" s="55">
        <v>0.5416666666666666</v>
      </c>
      <c r="I198" s="56"/>
      <c r="J198" s="61"/>
    </row>
    <row r="199">
      <c r="A199" s="51">
        <f t="shared" si="1"/>
        <v>197</v>
      </c>
      <c r="B199" s="52" t="s">
        <v>3686</v>
      </c>
      <c r="C199" s="53"/>
      <c r="D199" s="54">
        <v>1.5544792E7</v>
      </c>
      <c r="E199" s="52" t="s">
        <v>3680</v>
      </c>
      <c r="F199" s="52" t="s">
        <v>3428</v>
      </c>
      <c r="G199" s="54" t="s">
        <v>3429</v>
      </c>
      <c r="H199" s="55">
        <v>0.5416666666666666</v>
      </c>
      <c r="I199" s="56"/>
      <c r="J199" s="61"/>
    </row>
    <row r="200">
      <c r="A200" s="51">
        <f t="shared" si="1"/>
        <v>198</v>
      </c>
      <c r="B200" s="52" t="s">
        <v>3687</v>
      </c>
      <c r="C200" s="53"/>
      <c r="D200" s="54">
        <v>2.6647295E7</v>
      </c>
      <c r="E200" s="52" t="s">
        <v>3680</v>
      </c>
      <c r="F200" s="52" t="s">
        <v>3428</v>
      </c>
      <c r="G200" s="54" t="s">
        <v>3429</v>
      </c>
      <c r="H200" s="55">
        <v>0.5416666666666666</v>
      </c>
      <c r="I200" s="56"/>
      <c r="J200" s="61"/>
    </row>
    <row r="201">
      <c r="A201" s="51">
        <f t="shared" si="1"/>
        <v>199</v>
      </c>
      <c r="B201" s="52" t="s">
        <v>3688</v>
      </c>
      <c r="C201" s="53"/>
      <c r="D201" s="54">
        <v>1.5249932E7</v>
      </c>
      <c r="E201" s="52" t="s">
        <v>3680</v>
      </c>
      <c r="F201" s="52" t="s">
        <v>3428</v>
      </c>
      <c r="G201" s="54" t="s">
        <v>3429</v>
      </c>
      <c r="H201" s="55">
        <v>0.5416666666666666</v>
      </c>
      <c r="I201" s="56"/>
      <c r="J201" s="61"/>
    </row>
    <row r="202">
      <c r="A202" s="51">
        <f t="shared" si="1"/>
        <v>200</v>
      </c>
      <c r="B202" s="52" t="s">
        <v>3689</v>
      </c>
      <c r="C202" s="53"/>
      <c r="D202" s="54">
        <v>3.1290288E7</v>
      </c>
      <c r="E202" s="52" t="s">
        <v>3680</v>
      </c>
      <c r="F202" s="52" t="s">
        <v>3428</v>
      </c>
      <c r="G202" s="54" t="s">
        <v>3429</v>
      </c>
      <c r="H202" s="55">
        <v>0.5416666666666666</v>
      </c>
      <c r="I202" s="56"/>
      <c r="J202" s="61"/>
    </row>
    <row r="203">
      <c r="A203" s="51">
        <f t="shared" si="1"/>
        <v>201</v>
      </c>
      <c r="B203" s="52" t="s">
        <v>3690</v>
      </c>
      <c r="C203" s="53"/>
      <c r="D203" s="54">
        <v>6225765.0</v>
      </c>
      <c r="E203" s="52" t="s">
        <v>3680</v>
      </c>
      <c r="F203" s="52" t="s">
        <v>3428</v>
      </c>
      <c r="G203" s="54" t="s">
        <v>3429</v>
      </c>
      <c r="H203" s="55">
        <v>0.5416666666666666</v>
      </c>
      <c r="I203" s="56"/>
      <c r="J203" s="61"/>
    </row>
    <row r="204">
      <c r="A204" s="51">
        <f t="shared" si="1"/>
        <v>202</v>
      </c>
      <c r="B204" s="52" t="s">
        <v>3691</v>
      </c>
      <c r="C204" s="53"/>
      <c r="D204" s="54">
        <v>1.9796311E7</v>
      </c>
      <c r="E204" s="52" t="s">
        <v>3680</v>
      </c>
      <c r="F204" s="52" t="s">
        <v>3428</v>
      </c>
      <c r="G204" s="54" t="s">
        <v>3429</v>
      </c>
      <c r="H204" s="55">
        <v>0.5416666666666666</v>
      </c>
      <c r="I204" s="56"/>
      <c r="J204" s="61"/>
    </row>
    <row r="205">
      <c r="A205" s="51">
        <f t="shared" si="1"/>
        <v>203</v>
      </c>
      <c r="B205" s="52" t="s">
        <v>3692</v>
      </c>
      <c r="C205" s="53"/>
      <c r="D205" s="54">
        <v>2.7399207E7</v>
      </c>
      <c r="E205" s="52" t="s">
        <v>3680</v>
      </c>
      <c r="F205" s="52" t="s">
        <v>3428</v>
      </c>
      <c r="G205" s="54" t="s">
        <v>3429</v>
      </c>
      <c r="H205" s="55">
        <v>0.5416666666666666</v>
      </c>
      <c r="I205" s="56"/>
      <c r="J205" s="61"/>
    </row>
    <row r="206">
      <c r="A206" s="51">
        <f t="shared" si="1"/>
        <v>204</v>
      </c>
      <c r="B206" s="52" t="s">
        <v>3693</v>
      </c>
      <c r="C206" s="53"/>
      <c r="D206" s="52" t="s">
        <v>3694</v>
      </c>
      <c r="E206" s="52" t="s">
        <v>3680</v>
      </c>
      <c r="F206" s="52" t="s">
        <v>3428</v>
      </c>
      <c r="G206" s="54" t="s">
        <v>3429</v>
      </c>
      <c r="H206" s="55">
        <v>0.5416666666666666</v>
      </c>
      <c r="I206" s="56"/>
      <c r="J206" s="61"/>
    </row>
    <row r="207">
      <c r="A207" s="51">
        <f t="shared" si="1"/>
        <v>205</v>
      </c>
      <c r="B207" s="52" t="s">
        <v>3678</v>
      </c>
      <c r="C207" s="53"/>
      <c r="D207" s="54">
        <v>2.2761609E7</v>
      </c>
      <c r="E207" s="52" t="s">
        <v>3680</v>
      </c>
      <c r="F207" s="52" t="s">
        <v>3428</v>
      </c>
      <c r="G207" s="54" t="s">
        <v>3429</v>
      </c>
      <c r="H207" s="55">
        <v>0.5416666666666666</v>
      </c>
      <c r="I207" s="56"/>
      <c r="J207" s="61"/>
    </row>
    <row r="208">
      <c r="A208" s="51">
        <f t="shared" si="1"/>
        <v>206</v>
      </c>
      <c r="B208" s="52" t="s">
        <v>3695</v>
      </c>
      <c r="C208" s="53"/>
      <c r="D208" s="54">
        <v>1.0583198E7</v>
      </c>
      <c r="E208" s="52" t="s">
        <v>3680</v>
      </c>
      <c r="F208" s="52" t="s">
        <v>3428</v>
      </c>
      <c r="G208" s="54" t="s">
        <v>3429</v>
      </c>
      <c r="H208" s="55">
        <v>0.5416666666666666</v>
      </c>
      <c r="I208" s="56"/>
      <c r="J208" s="61"/>
    </row>
    <row r="209">
      <c r="A209" s="51">
        <f t="shared" si="1"/>
        <v>207</v>
      </c>
      <c r="B209" s="52" t="s">
        <v>3696</v>
      </c>
      <c r="C209" s="52" t="s">
        <v>3697</v>
      </c>
      <c r="D209" s="54">
        <v>1.5615565E7</v>
      </c>
      <c r="E209" s="52" t="s">
        <v>3680</v>
      </c>
      <c r="F209" s="52" t="s">
        <v>3428</v>
      </c>
      <c r="G209" s="54" t="s">
        <v>3429</v>
      </c>
      <c r="H209" s="55">
        <v>0.5416666666666666</v>
      </c>
      <c r="I209" s="52" t="s">
        <v>3698</v>
      </c>
      <c r="J209" s="61"/>
    </row>
    <row r="210">
      <c r="A210" s="51">
        <f t="shared" si="1"/>
        <v>208</v>
      </c>
      <c r="B210" s="52" t="s">
        <v>3699</v>
      </c>
      <c r="C210" s="53"/>
      <c r="D210" s="54">
        <v>3.3645919E7</v>
      </c>
      <c r="E210" s="52" t="s">
        <v>3680</v>
      </c>
      <c r="F210" s="52" t="s">
        <v>3428</v>
      </c>
      <c r="G210" s="54" t="s">
        <v>3429</v>
      </c>
      <c r="H210" s="55">
        <v>0.5416666666666666</v>
      </c>
      <c r="I210" s="52" t="s">
        <v>3700</v>
      </c>
      <c r="J210" s="61"/>
    </row>
    <row r="211">
      <c r="A211" s="51">
        <f t="shared" si="1"/>
        <v>209</v>
      </c>
      <c r="B211" s="52" t="s">
        <v>3701</v>
      </c>
      <c r="C211" s="53"/>
      <c r="D211" s="54">
        <v>3.4055886E7</v>
      </c>
      <c r="E211" s="52" t="s">
        <v>3680</v>
      </c>
      <c r="F211" s="52" t="s">
        <v>3428</v>
      </c>
      <c r="G211" s="54" t="s">
        <v>3429</v>
      </c>
      <c r="H211" s="55">
        <v>0.5416666666666666</v>
      </c>
      <c r="I211" s="56"/>
      <c r="J211" s="61"/>
    </row>
    <row r="212">
      <c r="A212" s="51">
        <f t="shared" si="1"/>
        <v>210</v>
      </c>
      <c r="B212" s="52" t="s">
        <v>3702</v>
      </c>
      <c r="C212" s="53"/>
      <c r="D212" s="54">
        <v>2.956705E7</v>
      </c>
      <c r="E212" s="52" t="s">
        <v>3680</v>
      </c>
      <c r="F212" s="52" t="s">
        <v>3428</v>
      </c>
      <c r="G212" s="54" t="s">
        <v>3429</v>
      </c>
      <c r="H212" s="55">
        <v>0.5416666666666666</v>
      </c>
      <c r="I212" s="56"/>
      <c r="J212" s="61"/>
    </row>
    <row r="213">
      <c r="A213" s="51">
        <f t="shared" si="1"/>
        <v>211</v>
      </c>
      <c r="B213" s="52" t="s">
        <v>3703</v>
      </c>
      <c r="C213" s="52" t="s">
        <v>3704</v>
      </c>
      <c r="D213" s="54">
        <v>2.6968781E7</v>
      </c>
      <c r="E213" s="52" t="s">
        <v>3680</v>
      </c>
      <c r="F213" s="52" t="s">
        <v>3428</v>
      </c>
      <c r="G213" s="54" t="s">
        <v>3429</v>
      </c>
      <c r="H213" s="55">
        <v>0.5416666666666666</v>
      </c>
      <c r="I213" s="56"/>
      <c r="J213" s="61"/>
    </row>
    <row r="214">
      <c r="A214" s="51">
        <f t="shared" si="1"/>
        <v>212</v>
      </c>
      <c r="B214" s="52" t="s">
        <v>3705</v>
      </c>
      <c r="C214" s="52" t="s">
        <v>3706</v>
      </c>
      <c r="D214" s="52" t="s">
        <v>3707</v>
      </c>
      <c r="E214" s="52" t="s">
        <v>3680</v>
      </c>
      <c r="F214" s="52" t="s">
        <v>3428</v>
      </c>
      <c r="G214" s="54" t="s">
        <v>3429</v>
      </c>
      <c r="H214" s="55">
        <v>0.5416666666666666</v>
      </c>
      <c r="I214" s="56"/>
      <c r="J214" s="61"/>
    </row>
    <row r="215">
      <c r="A215" s="51">
        <f t="shared" si="1"/>
        <v>213</v>
      </c>
      <c r="B215" s="52" t="s">
        <v>3708</v>
      </c>
      <c r="C215" s="52" t="s">
        <v>3439</v>
      </c>
      <c r="D215" s="54">
        <v>1.7475718E7</v>
      </c>
      <c r="E215" s="52" t="s">
        <v>3680</v>
      </c>
      <c r="F215" s="52" t="s">
        <v>3428</v>
      </c>
      <c r="G215" s="54" t="s">
        <v>3429</v>
      </c>
      <c r="H215" s="55">
        <v>0.5416666666666666</v>
      </c>
      <c r="I215" s="56"/>
      <c r="J215" s="61"/>
    </row>
    <row r="216">
      <c r="A216" s="51">
        <f t="shared" si="1"/>
        <v>214</v>
      </c>
      <c r="B216" s="52" t="s">
        <v>3709</v>
      </c>
      <c r="C216" s="53"/>
      <c r="D216" s="52" t="s">
        <v>3710</v>
      </c>
      <c r="E216" s="52" t="s">
        <v>3680</v>
      </c>
      <c r="F216" s="52" t="s">
        <v>3428</v>
      </c>
      <c r="G216" s="54" t="s">
        <v>3429</v>
      </c>
      <c r="H216" s="55">
        <v>0.5416666666666666</v>
      </c>
      <c r="I216" s="56"/>
      <c r="J216" s="61"/>
    </row>
    <row r="217">
      <c r="A217" s="51">
        <f t="shared" si="1"/>
        <v>215</v>
      </c>
      <c r="B217" s="52" t="s">
        <v>3711</v>
      </c>
      <c r="C217" s="52" t="s">
        <v>3712</v>
      </c>
      <c r="D217" s="52" t="s">
        <v>3713</v>
      </c>
      <c r="E217" s="52" t="s">
        <v>3680</v>
      </c>
      <c r="F217" s="52" t="s">
        <v>3428</v>
      </c>
      <c r="G217" s="54" t="s">
        <v>3429</v>
      </c>
      <c r="H217" s="55">
        <v>0.5416666666666666</v>
      </c>
      <c r="I217" s="56"/>
      <c r="J217" s="61"/>
    </row>
    <row r="218">
      <c r="A218" s="51">
        <f t="shared" si="1"/>
        <v>216</v>
      </c>
      <c r="B218" s="52" t="s">
        <v>3714</v>
      </c>
      <c r="C218" s="52" t="s">
        <v>3559</v>
      </c>
      <c r="D218" s="53"/>
      <c r="E218" s="52" t="s">
        <v>3680</v>
      </c>
      <c r="F218" s="52" t="s">
        <v>3428</v>
      </c>
      <c r="G218" s="54" t="s">
        <v>3429</v>
      </c>
      <c r="H218" s="55">
        <v>0.5416666666666666</v>
      </c>
      <c r="I218" s="56"/>
      <c r="J218" s="61"/>
    </row>
    <row r="219">
      <c r="A219" s="51">
        <f t="shared" si="1"/>
        <v>217</v>
      </c>
      <c r="B219" s="52" t="s">
        <v>3715</v>
      </c>
      <c r="C219" s="52" t="s">
        <v>3716</v>
      </c>
      <c r="D219" s="53"/>
      <c r="E219" s="52" t="s">
        <v>3717</v>
      </c>
      <c r="F219" s="52" t="s">
        <v>3428</v>
      </c>
      <c r="G219" s="54" t="s">
        <v>3429</v>
      </c>
      <c r="H219" s="55">
        <v>0.5416666666666666</v>
      </c>
      <c r="I219" s="56"/>
      <c r="J219" s="61"/>
    </row>
    <row r="220">
      <c r="A220" s="51">
        <f t="shared" si="1"/>
        <v>218</v>
      </c>
      <c r="B220" s="52" t="s">
        <v>3718</v>
      </c>
      <c r="C220" s="52" t="s">
        <v>3719</v>
      </c>
      <c r="D220" s="53"/>
      <c r="E220" s="52" t="s">
        <v>3717</v>
      </c>
      <c r="F220" s="52" t="s">
        <v>3428</v>
      </c>
      <c r="G220" s="54" t="s">
        <v>3429</v>
      </c>
      <c r="H220" s="55">
        <v>0.5416666666666666</v>
      </c>
      <c r="I220" s="56"/>
      <c r="J220" s="61"/>
    </row>
    <row r="221">
      <c r="A221" s="51">
        <f t="shared" si="1"/>
        <v>219</v>
      </c>
      <c r="B221" s="52" t="s">
        <v>3720</v>
      </c>
      <c r="C221" s="52" t="s">
        <v>3721</v>
      </c>
      <c r="D221" s="53"/>
      <c r="E221" s="52" t="s">
        <v>3717</v>
      </c>
      <c r="F221" s="52" t="s">
        <v>3428</v>
      </c>
      <c r="G221" s="54" t="s">
        <v>3429</v>
      </c>
      <c r="H221" s="55">
        <v>0.5416666666666666</v>
      </c>
      <c r="I221" s="52" t="s">
        <v>3722</v>
      </c>
      <c r="J221" s="61"/>
    </row>
    <row r="222">
      <c r="A222" s="51">
        <f t="shared" si="1"/>
        <v>220</v>
      </c>
      <c r="B222" s="52" t="s">
        <v>3723</v>
      </c>
      <c r="C222" s="52" t="s">
        <v>3721</v>
      </c>
      <c r="D222" s="53"/>
      <c r="E222" s="52" t="s">
        <v>3717</v>
      </c>
      <c r="F222" s="52" t="s">
        <v>3428</v>
      </c>
      <c r="G222" s="54" t="s">
        <v>3429</v>
      </c>
      <c r="H222" s="55">
        <v>0.5416666666666666</v>
      </c>
      <c r="I222" s="56"/>
      <c r="J222" s="61"/>
    </row>
    <row r="223">
      <c r="A223" s="51">
        <f t="shared" si="1"/>
        <v>221</v>
      </c>
      <c r="B223" s="52" t="s">
        <v>3724</v>
      </c>
      <c r="C223" s="52" t="s">
        <v>3719</v>
      </c>
      <c r="D223" s="53"/>
      <c r="E223" s="52" t="s">
        <v>3717</v>
      </c>
      <c r="F223" s="52" t="s">
        <v>3428</v>
      </c>
      <c r="G223" s="54" t="s">
        <v>3429</v>
      </c>
      <c r="H223" s="55">
        <v>0.5416666666666666</v>
      </c>
      <c r="I223" s="52" t="s">
        <v>3722</v>
      </c>
      <c r="J223" s="61"/>
    </row>
    <row r="224">
      <c r="A224" s="51">
        <f t="shared" si="1"/>
        <v>222</v>
      </c>
      <c r="B224" s="52" t="s">
        <v>3725</v>
      </c>
      <c r="C224" s="52" t="s">
        <v>3721</v>
      </c>
      <c r="D224" s="56"/>
      <c r="E224" s="52" t="s">
        <v>3717</v>
      </c>
      <c r="F224" s="52" t="s">
        <v>3428</v>
      </c>
      <c r="G224" s="54" t="s">
        <v>3429</v>
      </c>
      <c r="H224" s="55">
        <v>0.5416666666666666</v>
      </c>
      <c r="I224" s="56"/>
      <c r="J224" s="61"/>
    </row>
    <row r="225">
      <c r="A225" s="51">
        <f t="shared" si="1"/>
        <v>223</v>
      </c>
      <c r="B225" s="52" t="s">
        <v>3726</v>
      </c>
      <c r="C225" s="52" t="s">
        <v>3716</v>
      </c>
      <c r="D225" s="53"/>
      <c r="E225" s="52" t="s">
        <v>3717</v>
      </c>
      <c r="F225" s="52" t="s">
        <v>3428</v>
      </c>
      <c r="G225" s="54" t="s">
        <v>3429</v>
      </c>
      <c r="H225" s="55">
        <v>0.5416666666666666</v>
      </c>
      <c r="I225" s="56"/>
      <c r="J225" s="61"/>
    </row>
    <row r="226">
      <c r="A226" s="51">
        <f t="shared" si="1"/>
        <v>224</v>
      </c>
      <c r="B226" s="52" t="s">
        <v>3727</v>
      </c>
      <c r="C226" s="52" t="s">
        <v>3728</v>
      </c>
      <c r="D226" s="53"/>
      <c r="E226" s="52" t="s">
        <v>3717</v>
      </c>
      <c r="F226" s="52" t="s">
        <v>3428</v>
      </c>
      <c r="G226" s="54" t="s">
        <v>3429</v>
      </c>
      <c r="H226" s="55">
        <v>0.5416666666666666</v>
      </c>
      <c r="I226" s="56"/>
      <c r="J226" s="61"/>
    </row>
    <row r="227">
      <c r="A227" s="51">
        <f t="shared" si="1"/>
        <v>225</v>
      </c>
      <c r="B227" s="52" t="s">
        <v>3729</v>
      </c>
      <c r="C227" s="52" t="s">
        <v>3431</v>
      </c>
      <c r="D227" s="53"/>
      <c r="E227" s="52" t="s">
        <v>3717</v>
      </c>
      <c r="F227" s="52" t="s">
        <v>3428</v>
      </c>
      <c r="G227" s="54" t="s">
        <v>3429</v>
      </c>
      <c r="H227" s="55">
        <v>0.5416666666666666</v>
      </c>
      <c r="I227" s="56"/>
      <c r="J227" s="61"/>
    </row>
    <row r="228">
      <c r="A228" s="51">
        <f t="shared" si="1"/>
        <v>226</v>
      </c>
      <c r="B228" s="52" t="s">
        <v>3730</v>
      </c>
      <c r="C228" s="53"/>
      <c r="D228" s="53"/>
      <c r="E228" s="52" t="s">
        <v>3717</v>
      </c>
      <c r="F228" s="52" t="s">
        <v>3428</v>
      </c>
      <c r="G228" s="54" t="s">
        <v>3429</v>
      </c>
      <c r="H228" s="55">
        <v>0.5416666666666666</v>
      </c>
      <c r="I228" s="52" t="s">
        <v>3722</v>
      </c>
      <c r="J228" s="61"/>
    </row>
    <row r="229">
      <c r="A229" s="51">
        <f t="shared" si="1"/>
        <v>227</v>
      </c>
      <c r="B229" s="52" t="s">
        <v>3731</v>
      </c>
      <c r="C229" s="52" t="s">
        <v>3719</v>
      </c>
      <c r="D229" s="53"/>
      <c r="E229" s="52" t="s">
        <v>3717</v>
      </c>
      <c r="F229" s="52" t="s">
        <v>3428</v>
      </c>
      <c r="G229" s="54" t="s">
        <v>3429</v>
      </c>
      <c r="H229" s="55">
        <v>0.5416666666666666</v>
      </c>
      <c r="I229" s="56"/>
      <c r="J229" s="61"/>
    </row>
    <row r="230">
      <c r="A230" s="51">
        <f t="shared" si="1"/>
        <v>228</v>
      </c>
      <c r="B230" s="52" t="s">
        <v>3732</v>
      </c>
      <c r="C230" s="52" t="s">
        <v>3719</v>
      </c>
      <c r="D230" s="53"/>
      <c r="E230" s="52" t="s">
        <v>3717</v>
      </c>
      <c r="F230" s="52" t="s">
        <v>3428</v>
      </c>
      <c r="G230" s="54" t="s">
        <v>3429</v>
      </c>
      <c r="H230" s="55">
        <v>0.5416666666666666</v>
      </c>
      <c r="I230" s="56"/>
      <c r="J230" s="61"/>
    </row>
    <row r="231">
      <c r="A231" s="51">
        <f t="shared" si="1"/>
        <v>229</v>
      </c>
      <c r="B231" s="52" t="s">
        <v>3733</v>
      </c>
      <c r="C231" s="52" t="s">
        <v>3719</v>
      </c>
      <c r="D231" s="53"/>
      <c r="E231" s="52" t="s">
        <v>3717</v>
      </c>
      <c r="F231" s="52" t="s">
        <v>3428</v>
      </c>
      <c r="G231" s="54" t="s">
        <v>3429</v>
      </c>
      <c r="H231" s="55">
        <v>0.5416666666666666</v>
      </c>
      <c r="I231" s="56"/>
      <c r="J231" s="61"/>
    </row>
    <row r="232">
      <c r="A232" s="51">
        <f t="shared" si="1"/>
        <v>230</v>
      </c>
      <c r="B232" s="52" t="s">
        <v>3734</v>
      </c>
      <c r="C232" s="52" t="s">
        <v>3721</v>
      </c>
      <c r="D232" s="53"/>
      <c r="E232" s="52" t="s">
        <v>3717</v>
      </c>
      <c r="F232" s="52" t="s">
        <v>3428</v>
      </c>
      <c r="G232" s="54" t="s">
        <v>3429</v>
      </c>
      <c r="H232" s="55">
        <v>0.5416666666666666</v>
      </c>
      <c r="I232" s="56"/>
      <c r="J232" s="61"/>
    </row>
    <row r="233">
      <c r="A233" s="51">
        <f t="shared" si="1"/>
        <v>231</v>
      </c>
      <c r="B233" s="52" t="s">
        <v>3735</v>
      </c>
      <c r="C233" s="52" t="s">
        <v>3719</v>
      </c>
      <c r="D233" s="53"/>
      <c r="E233" s="52" t="s">
        <v>3717</v>
      </c>
      <c r="F233" s="52" t="s">
        <v>3428</v>
      </c>
      <c r="G233" s="54" t="s">
        <v>3429</v>
      </c>
      <c r="H233" s="55">
        <v>0.5416666666666666</v>
      </c>
      <c r="I233" s="56"/>
      <c r="J233" s="61"/>
    </row>
    <row r="234">
      <c r="A234" s="51">
        <f t="shared" si="1"/>
        <v>232</v>
      </c>
      <c r="B234" s="52" t="s">
        <v>3736</v>
      </c>
      <c r="C234" s="52" t="s">
        <v>3737</v>
      </c>
      <c r="D234" s="53"/>
      <c r="E234" s="52" t="s">
        <v>3717</v>
      </c>
      <c r="F234" s="52" t="s">
        <v>3428</v>
      </c>
      <c r="G234" s="54" t="s">
        <v>3429</v>
      </c>
      <c r="H234" s="55">
        <v>0.5416666666666666</v>
      </c>
      <c r="I234" s="56"/>
      <c r="J234" s="61"/>
    </row>
    <row r="235">
      <c r="A235" s="51">
        <f t="shared" si="1"/>
        <v>233</v>
      </c>
      <c r="B235" s="52" t="s">
        <v>3738</v>
      </c>
      <c r="C235" s="52" t="s">
        <v>3739</v>
      </c>
      <c r="D235" s="53"/>
      <c r="E235" s="52" t="s">
        <v>3717</v>
      </c>
      <c r="F235" s="52" t="s">
        <v>3428</v>
      </c>
      <c r="G235" s="54" t="s">
        <v>3429</v>
      </c>
      <c r="H235" s="55">
        <v>0.5416666666666666</v>
      </c>
      <c r="I235" s="53"/>
      <c r="J235" s="61"/>
    </row>
    <row r="236">
      <c r="A236" s="51">
        <f t="shared" si="1"/>
        <v>234</v>
      </c>
      <c r="B236" s="52" t="s">
        <v>3740</v>
      </c>
      <c r="C236" s="52" t="s">
        <v>3721</v>
      </c>
      <c r="D236" s="53"/>
      <c r="E236" s="52" t="s">
        <v>3717</v>
      </c>
      <c r="F236" s="52" t="s">
        <v>3428</v>
      </c>
      <c r="G236" s="54" t="s">
        <v>3429</v>
      </c>
      <c r="H236" s="55">
        <v>0.5416666666666666</v>
      </c>
      <c r="I236" s="53"/>
      <c r="J236" s="61"/>
    </row>
    <row r="237">
      <c r="A237" s="51">
        <f t="shared" si="1"/>
        <v>235</v>
      </c>
      <c r="B237" s="52" t="s">
        <v>3741</v>
      </c>
      <c r="C237" s="52" t="s">
        <v>3721</v>
      </c>
      <c r="D237" s="53"/>
      <c r="E237" s="52" t="s">
        <v>3717</v>
      </c>
      <c r="F237" s="52" t="s">
        <v>3428</v>
      </c>
      <c r="G237" s="54" t="s">
        <v>3429</v>
      </c>
      <c r="H237" s="55">
        <v>0.5416666666666666</v>
      </c>
      <c r="I237" s="56"/>
      <c r="J237" s="61"/>
    </row>
    <row r="238">
      <c r="A238" s="51">
        <f t="shared" si="1"/>
        <v>236</v>
      </c>
      <c r="B238" s="52" t="s">
        <v>3742</v>
      </c>
      <c r="C238" s="52" t="s">
        <v>3721</v>
      </c>
      <c r="D238" s="53"/>
      <c r="E238" s="52" t="s">
        <v>3717</v>
      </c>
      <c r="F238" s="52" t="s">
        <v>3428</v>
      </c>
      <c r="G238" s="54" t="s">
        <v>3429</v>
      </c>
      <c r="H238" s="55">
        <v>0.5416666666666666</v>
      </c>
      <c r="I238" s="56"/>
      <c r="J238" s="61"/>
    </row>
    <row r="239">
      <c r="A239" s="51">
        <f t="shared" si="1"/>
        <v>237</v>
      </c>
      <c r="B239" s="52" t="s">
        <v>3743</v>
      </c>
      <c r="C239" s="52" t="s">
        <v>3739</v>
      </c>
      <c r="D239" s="53"/>
      <c r="E239" s="52" t="s">
        <v>3717</v>
      </c>
      <c r="F239" s="52" t="s">
        <v>3428</v>
      </c>
      <c r="G239" s="54" t="s">
        <v>3429</v>
      </c>
      <c r="H239" s="55">
        <v>0.5416666666666666</v>
      </c>
      <c r="I239" s="56"/>
      <c r="J239" s="61"/>
    </row>
    <row r="240">
      <c r="A240" s="51">
        <f t="shared" si="1"/>
        <v>238</v>
      </c>
      <c r="B240" s="52" t="s">
        <v>3744</v>
      </c>
      <c r="C240" s="52" t="s">
        <v>3739</v>
      </c>
      <c r="D240" s="53"/>
      <c r="E240" s="52" t="s">
        <v>3717</v>
      </c>
      <c r="F240" s="52" t="s">
        <v>3428</v>
      </c>
      <c r="G240" s="54" t="s">
        <v>3429</v>
      </c>
      <c r="H240" s="55">
        <v>0.5416666666666666</v>
      </c>
      <c r="I240" s="56"/>
      <c r="J240" s="61"/>
    </row>
    <row r="241">
      <c r="A241" s="51">
        <f t="shared" si="1"/>
        <v>239</v>
      </c>
      <c r="B241" s="52" t="s">
        <v>3745</v>
      </c>
      <c r="C241" s="52" t="s">
        <v>3721</v>
      </c>
      <c r="D241" s="53"/>
      <c r="E241" s="52" t="s">
        <v>3717</v>
      </c>
      <c r="F241" s="52" t="s">
        <v>3428</v>
      </c>
      <c r="G241" s="54" t="s">
        <v>3429</v>
      </c>
      <c r="H241" s="55">
        <v>0.5416666666666666</v>
      </c>
      <c r="I241" s="56"/>
      <c r="J241" s="61"/>
    </row>
    <row r="242">
      <c r="A242" s="51">
        <f t="shared" si="1"/>
        <v>240</v>
      </c>
      <c r="B242" s="52" t="s">
        <v>3746</v>
      </c>
      <c r="C242" s="52" t="s">
        <v>3721</v>
      </c>
      <c r="D242" s="53"/>
      <c r="E242" s="52" t="s">
        <v>3717</v>
      </c>
      <c r="F242" s="52" t="s">
        <v>3428</v>
      </c>
      <c r="G242" s="54" t="s">
        <v>3429</v>
      </c>
      <c r="H242" s="55">
        <v>0.5416666666666666</v>
      </c>
      <c r="I242" s="56"/>
      <c r="J242" s="61"/>
    </row>
    <row r="243">
      <c r="A243" s="51">
        <f t="shared" si="1"/>
        <v>241</v>
      </c>
      <c r="B243" s="52" t="s">
        <v>3747</v>
      </c>
      <c r="C243" s="52" t="s">
        <v>3443</v>
      </c>
      <c r="D243" s="53"/>
      <c r="E243" s="52" t="s">
        <v>3717</v>
      </c>
      <c r="F243" s="52" t="s">
        <v>3428</v>
      </c>
      <c r="G243" s="54" t="s">
        <v>3429</v>
      </c>
      <c r="H243" s="55">
        <v>0.5416666666666666</v>
      </c>
      <c r="I243" s="56"/>
      <c r="J243" s="61"/>
    </row>
    <row r="244">
      <c r="A244" s="51">
        <f t="shared" si="1"/>
        <v>242</v>
      </c>
      <c r="B244" s="52" t="s">
        <v>3748</v>
      </c>
      <c r="C244" s="52" t="s">
        <v>3721</v>
      </c>
      <c r="D244" s="56"/>
      <c r="E244" s="52" t="s">
        <v>3717</v>
      </c>
      <c r="F244" s="52" t="s">
        <v>3428</v>
      </c>
      <c r="G244" s="54" t="s">
        <v>3429</v>
      </c>
      <c r="H244" s="55">
        <v>0.5416666666666666</v>
      </c>
      <c r="I244" s="56"/>
      <c r="J244" s="61"/>
    </row>
    <row r="245">
      <c r="A245" s="51">
        <f t="shared" si="1"/>
        <v>243</v>
      </c>
      <c r="B245" s="52" t="s">
        <v>3749</v>
      </c>
      <c r="C245" s="52" t="s">
        <v>3750</v>
      </c>
      <c r="D245" s="56"/>
      <c r="E245" s="52" t="s">
        <v>3717</v>
      </c>
      <c r="F245" s="52" t="s">
        <v>3428</v>
      </c>
      <c r="G245" s="54" t="s">
        <v>3429</v>
      </c>
      <c r="H245" s="55">
        <v>0.5416666666666666</v>
      </c>
      <c r="I245" s="56"/>
      <c r="J245" s="61"/>
    </row>
    <row r="246">
      <c r="A246" s="51">
        <f t="shared" si="1"/>
        <v>244</v>
      </c>
      <c r="B246" s="52" t="s">
        <v>3751</v>
      </c>
      <c r="C246" s="52" t="s">
        <v>3716</v>
      </c>
      <c r="D246" s="56"/>
      <c r="E246" s="52" t="s">
        <v>3717</v>
      </c>
      <c r="F246" s="52" t="s">
        <v>3428</v>
      </c>
      <c r="G246" s="54" t="s">
        <v>3429</v>
      </c>
      <c r="H246" s="55">
        <v>0.5416666666666666</v>
      </c>
      <c r="I246" s="56"/>
      <c r="J246" s="61"/>
    </row>
    <row r="247">
      <c r="A247" s="51">
        <f t="shared" si="1"/>
        <v>245</v>
      </c>
      <c r="B247" s="52" t="s">
        <v>3752</v>
      </c>
      <c r="C247" s="52" t="s">
        <v>3753</v>
      </c>
      <c r="D247" s="56"/>
      <c r="E247" s="52" t="s">
        <v>3717</v>
      </c>
      <c r="F247" s="52" t="s">
        <v>3428</v>
      </c>
      <c r="G247" s="54" t="s">
        <v>3429</v>
      </c>
      <c r="H247" s="55">
        <v>0.5416666666666666</v>
      </c>
      <c r="I247" s="53"/>
      <c r="J247" s="61"/>
    </row>
    <row r="248">
      <c r="A248" s="51">
        <f t="shared" si="1"/>
        <v>246</v>
      </c>
      <c r="B248" s="52" t="s">
        <v>3754</v>
      </c>
      <c r="C248" s="52" t="s">
        <v>3728</v>
      </c>
      <c r="D248" s="56"/>
      <c r="E248" s="52" t="s">
        <v>3717</v>
      </c>
      <c r="F248" s="52" t="s">
        <v>3428</v>
      </c>
      <c r="G248" s="54" t="s">
        <v>3429</v>
      </c>
      <c r="H248" s="55">
        <v>0.5416666666666666</v>
      </c>
      <c r="I248" s="56"/>
      <c r="J248" s="61"/>
    </row>
    <row r="249">
      <c r="A249" s="51">
        <f t="shared" si="1"/>
        <v>247</v>
      </c>
      <c r="B249" s="52" t="s">
        <v>3755</v>
      </c>
      <c r="C249" s="53"/>
      <c r="D249" s="56"/>
      <c r="E249" s="52" t="s">
        <v>3756</v>
      </c>
      <c r="F249" s="52" t="s">
        <v>3428</v>
      </c>
      <c r="G249" s="54" t="s">
        <v>3429</v>
      </c>
      <c r="H249" s="55">
        <v>0.5416666666666666</v>
      </c>
      <c r="I249" s="53"/>
      <c r="J249" s="61"/>
    </row>
    <row r="250">
      <c r="A250" s="51">
        <f t="shared" si="1"/>
        <v>248</v>
      </c>
      <c r="B250" s="52" t="s">
        <v>3757</v>
      </c>
      <c r="C250" s="53"/>
      <c r="D250" s="56"/>
      <c r="E250" s="52" t="s">
        <v>3756</v>
      </c>
      <c r="F250" s="52" t="s">
        <v>3428</v>
      </c>
      <c r="G250" s="54" t="s">
        <v>3429</v>
      </c>
      <c r="H250" s="55">
        <v>0.5416666666666666</v>
      </c>
      <c r="I250" s="56"/>
      <c r="J250" s="61"/>
    </row>
    <row r="251">
      <c r="A251" s="51">
        <f t="shared" si="1"/>
        <v>249</v>
      </c>
      <c r="B251" s="52" t="s">
        <v>3758</v>
      </c>
      <c r="C251" s="53"/>
      <c r="D251" s="56"/>
      <c r="E251" s="52" t="s">
        <v>3756</v>
      </c>
      <c r="F251" s="52" t="s">
        <v>3428</v>
      </c>
      <c r="G251" s="54" t="s">
        <v>3429</v>
      </c>
      <c r="H251" s="55">
        <v>0.5416666666666666</v>
      </c>
      <c r="I251" s="56"/>
      <c r="J251" s="61"/>
    </row>
    <row r="252">
      <c r="A252" s="51">
        <f t="shared" si="1"/>
        <v>250</v>
      </c>
      <c r="B252" s="52" t="s">
        <v>3759</v>
      </c>
      <c r="C252" s="53"/>
      <c r="D252" s="56"/>
      <c r="E252" s="52" t="s">
        <v>3756</v>
      </c>
      <c r="F252" s="52" t="s">
        <v>3428</v>
      </c>
      <c r="G252" s="54" t="s">
        <v>3429</v>
      </c>
      <c r="H252" s="55">
        <v>0.5416666666666666</v>
      </c>
      <c r="I252" s="56"/>
      <c r="J252" s="61"/>
    </row>
    <row r="253">
      <c r="A253" s="51">
        <f t="shared" si="1"/>
        <v>251</v>
      </c>
      <c r="B253" s="52" t="s">
        <v>3760</v>
      </c>
      <c r="C253" s="53"/>
      <c r="D253" s="56"/>
      <c r="E253" s="52" t="s">
        <v>3756</v>
      </c>
      <c r="F253" s="52" t="s">
        <v>3428</v>
      </c>
      <c r="G253" s="54" t="s">
        <v>3429</v>
      </c>
      <c r="H253" s="55">
        <v>0.5416666666666666</v>
      </c>
      <c r="I253" s="56"/>
      <c r="J253" s="61"/>
    </row>
    <row r="254">
      <c r="A254" s="51">
        <f t="shared" si="1"/>
        <v>252</v>
      </c>
      <c r="B254" s="59" t="s">
        <v>3761</v>
      </c>
      <c r="C254" s="56"/>
      <c r="D254" s="56"/>
      <c r="E254" s="52" t="s">
        <v>3756</v>
      </c>
      <c r="F254" s="52" t="s">
        <v>3428</v>
      </c>
      <c r="G254" s="54" t="s">
        <v>3429</v>
      </c>
      <c r="H254" s="55">
        <v>0.5416666666666666</v>
      </c>
      <c r="I254" s="53"/>
      <c r="J254" s="61"/>
    </row>
    <row r="255">
      <c r="A255" s="51">
        <f t="shared" si="1"/>
        <v>253</v>
      </c>
      <c r="B255" s="52" t="s">
        <v>3762</v>
      </c>
      <c r="C255" s="53"/>
      <c r="D255" s="56"/>
      <c r="E255" s="52" t="s">
        <v>3756</v>
      </c>
      <c r="F255" s="52" t="s">
        <v>3428</v>
      </c>
      <c r="G255" s="54" t="s">
        <v>3429</v>
      </c>
      <c r="H255" s="55">
        <v>0.5416666666666666</v>
      </c>
      <c r="I255" s="53"/>
      <c r="J255" s="60" t="s">
        <v>330</v>
      </c>
    </row>
    <row r="256">
      <c r="A256" s="51">
        <f t="shared" si="1"/>
        <v>254</v>
      </c>
      <c r="B256" s="59" t="s">
        <v>3763</v>
      </c>
      <c r="C256" s="53"/>
      <c r="D256" s="56"/>
      <c r="E256" s="52" t="s">
        <v>3756</v>
      </c>
      <c r="F256" s="52" t="s">
        <v>3428</v>
      </c>
      <c r="G256" s="54" t="s">
        <v>3429</v>
      </c>
      <c r="H256" s="55">
        <v>0.5416666666666666</v>
      </c>
      <c r="I256" s="53"/>
      <c r="J256" s="60" t="s">
        <v>330</v>
      </c>
    </row>
    <row r="257">
      <c r="A257" s="51">
        <f t="shared" si="1"/>
        <v>255</v>
      </c>
      <c r="B257" s="59" t="s">
        <v>3764</v>
      </c>
      <c r="C257" s="53"/>
      <c r="D257" s="56"/>
      <c r="E257" s="52" t="s">
        <v>3756</v>
      </c>
      <c r="F257" s="52" t="s">
        <v>3428</v>
      </c>
      <c r="G257" s="54" t="s">
        <v>3429</v>
      </c>
      <c r="H257" s="55">
        <v>0.5416666666666666</v>
      </c>
      <c r="I257" s="53"/>
      <c r="J257" s="60" t="s">
        <v>330</v>
      </c>
    </row>
    <row r="258">
      <c r="A258" s="51">
        <f t="shared" si="1"/>
        <v>256</v>
      </c>
      <c r="B258" s="59" t="s">
        <v>3765</v>
      </c>
      <c r="C258" s="53"/>
      <c r="D258" s="56"/>
      <c r="E258" s="52" t="s">
        <v>3756</v>
      </c>
      <c r="F258" s="52" t="s">
        <v>3428</v>
      </c>
      <c r="G258" s="54" t="s">
        <v>3429</v>
      </c>
      <c r="H258" s="55">
        <v>0.5416666666666666</v>
      </c>
      <c r="I258" s="53"/>
      <c r="J258" s="60" t="s">
        <v>330</v>
      </c>
    </row>
    <row r="259">
      <c r="A259" s="51">
        <f t="shared" si="1"/>
        <v>257</v>
      </c>
      <c r="B259" s="59" t="s">
        <v>3766</v>
      </c>
      <c r="C259" s="53"/>
      <c r="D259" s="56"/>
      <c r="E259" s="52" t="s">
        <v>3756</v>
      </c>
      <c r="F259" s="52" t="s">
        <v>3428</v>
      </c>
      <c r="G259" s="54" t="s">
        <v>3429</v>
      </c>
      <c r="H259" s="55">
        <v>0.5416666666666666</v>
      </c>
      <c r="I259" s="53"/>
      <c r="J259" s="60" t="s">
        <v>330</v>
      </c>
    </row>
    <row r="260">
      <c r="A260" s="51">
        <f t="shared" si="1"/>
        <v>258</v>
      </c>
      <c r="B260" s="59" t="s">
        <v>3767</v>
      </c>
      <c r="C260" s="53"/>
      <c r="D260" s="56"/>
      <c r="E260" s="52" t="s">
        <v>3756</v>
      </c>
      <c r="F260" s="52" t="s">
        <v>3428</v>
      </c>
      <c r="G260" s="54" t="s">
        <v>3429</v>
      </c>
      <c r="H260" s="55">
        <v>0.5416666666666666</v>
      </c>
      <c r="I260" s="53"/>
      <c r="J260" s="60" t="s">
        <v>330</v>
      </c>
    </row>
    <row r="261">
      <c r="A261" s="51">
        <f t="shared" si="1"/>
        <v>259</v>
      </c>
      <c r="B261" s="59" t="s">
        <v>3768</v>
      </c>
      <c r="C261" s="53"/>
      <c r="D261" s="56"/>
      <c r="E261" s="52" t="s">
        <v>3756</v>
      </c>
      <c r="F261" s="52" t="s">
        <v>3428</v>
      </c>
      <c r="G261" s="54" t="s">
        <v>3429</v>
      </c>
      <c r="H261" s="55">
        <v>0.5416666666666666</v>
      </c>
      <c r="I261" s="53"/>
      <c r="J261" s="60" t="s">
        <v>330</v>
      </c>
    </row>
    <row r="262">
      <c r="A262" s="51">
        <f t="shared" si="1"/>
        <v>260</v>
      </c>
      <c r="B262" s="52" t="s">
        <v>3769</v>
      </c>
      <c r="C262" s="53"/>
      <c r="D262" s="56"/>
      <c r="E262" s="52" t="s">
        <v>3756</v>
      </c>
      <c r="F262" s="52" t="s">
        <v>3428</v>
      </c>
      <c r="G262" s="54" t="s">
        <v>3429</v>
      </c>
      <c r="H262" s="55">
        <v>0.5416666666666666</v>
      </c>
      <c r="I262" s="53"/>
      <c r="J262" s="60" t="s">
        <v>330</v>
      </c>
    </row>
    <row r="263">
      <c r="A263" s="51">
        <f t="shared" si="1"/>
        <v>261</v>
      </c>
      <c r="B263" s="59" t="s">
        <v>3770</v>
      </c>
      <c r="C263" s="53"/>
      <c r="D263" s="56"/>
      <c r="E263" s="52" t="s">
        <v>3756</v>
      </c>
      <c r="F263" s="52" t="s">
        <v>3428</v>
      </c>
      <c r="G263" s="54" t="s">
        <v>3429</v>
      </c>
      <c r="H263" s="55">
        <v>0.5416666666666666</v>
      </c>
      <c r="I263" s="53"/>
      <c r="J263" s="60" t="s">
        <v>330</v>
      </c>
    </row>
    <row r="264">
      <c r="A264" s="51">
        <f t="shared" si="1"/>
        <v>262</v>
      </c>
      <c r="B264" s="52" t="s">
        <v>3771</v>
      </c>
      <c r="C264" s="53"/>
      <c r="D264" s="56"/>
      <c r="E264" s="52" t="s">
        <v>3756</v>
      </c>
      <c r="F264" s="52" t="s">
        <v>3428</v>
      </c>
      <c r="G264" s="54" t="s">
        <v>3429</v>
      </c>
      <c r="H264" s="55">
        <v>0.5416666666666666</v>
      </c>
      <c r="I264" s="53"/>
      <c r="J264" s="60" t="s">
        <v>330</v>
      </c>
    </row>
    <row r="265">
      <c r="A265" s="51">
        <f t="shared" si="1"/>
        <v>263</v>
      </c>
      <c r="B265" s="52" t="s">
        <v>3772</v>
      </c>
      <c r="C265" s="53"/>
      <c r="D265" s="56"/>
      <c r="E265" s="52" t="s">
        <v>3756</v>
      </c>
      <c r="F265" s="52" t="s">
        <v>3428</v>
      </c>
      <c r="G265" s="54" t="s">
        <v>3429</v>
      </c>
      <c r="H265" s="55">
        <v>0.5416666666666666</v>
      </c>
      <c r="I265" s="53"/>
      <c r="J265" s="60" t="s">
        <v>330</v>
      </c>
    </row>
    <row r="266">
      <c r="A266" s="51">
        <f t="shared" si="1"/>
        <v>264</v>
      </c>
      <c r="B266" s="59" t="s">
        <v>3773</v>
      </c>
      <c r="C266" s="53"/>
      <c r="D266" s="56"/>
      <c r="E266" s="52" t="s">
        <v>3756</v>
      </c>
      <c r="F266" s="52" t="s">
        <v>3428</v>
      </c>
      <c r="G266" s="54" t="s">
        <v>3429</v>
      </c>
      <c r="H266" s="55">
        <v>0.5416666666666666</v>
      </c>
      <c r="I266" s="53"/>
      <c r="J266" s="60" t="s">
        <v>330</v>
      </c>
    </row>
    <row r="267">
      <c r="A267" s="51">
        <f t="shared" si="1"/>
        <v>265</v>
      </c>
      <c r="B267" s="59" t="s">
        <v>3774</v>
      </c>
      <c r="C267" s="53"/>
      <c r="D267" s="56"/>
      <c r="E267" s="52" t="s">
        <v>3756</v>
      </c>
      <c r="F267" s="52" t="s">
        <v>3428</v>
      </c>
      <c r="G267" s="54" t="s">
        <v>3429</v>
      </c>
      <c r="H267" s="55">
        <v>0.5416666666666666</v>
      </c>
      <c r="I267" s="53"/>
      <c r="J267" s="60" t="s">
        <v>330</v>
      </c>
    </row>
    <row r="268">
      <c r="A268" s="51">
        <f t="shared" si="1"/>
        <v>266</v>
      </c>
      <c r="B268" s="59" t="s">
        <v>3775</v>
      </c>
      <c r="C268" s="53"/>
      <c r="D268" s="56"/>
      <c r="E268" s="52" t="s">
        <v>3756</v>
      </c>
      <c r="F268" s="52" t="s">
        <v>3428</v>
      </c>
      <c r="G268" s="54" t="s">
        <v>3429</v>
      </c>
      <c r="H268" s="55">
        <v>0.5416666666666666</v>
      </c>
      <c r="I268" s="53"/>
      <c r="J268" s="60" t="s">
        <v>330</v>
      </c>
    </row>
    <row r="269">
      <c r="A269" s="51">
        <f t="shared" si="1"/>
        <v>267</v>
      </c>
      <c r="B269" s="52" t="s">
        <v>3776</v>
      </c>
      <c r="C269" s="53"/>
      <c r="D269" s="56"/>
      <c r="E269" s="52" t="s">
        <v>3756</v>
      </c>
      <c r="F269" s="52" t="s">
        <v>3428</v>
      </c>
      <c r="G269" s="54" t="s">
        <v>3429</v>
      </c>
      <c r="H269" s="55">
        <v>0.5416666666666666</v>
      </c>
      <c r="I269" s="53"/>
      <c r="J269" s="60" t="s">
        <v>330</v>
      </c>
    </row>
    <row r="270">
      <c r="A270" s="51">
        <f t="shared" si="1"/>
        <v>268</v>
      </c>
      <c r="B270" s="52" t="s">
        <v>3777</v>
      </c>
      <c r="C270" s="53"/>
      <c r="D270" s="56"/>
      <c r="E270" s="52" t="s">
        <v>3756</v>
      </c>
      <c r="F270" s="52" t="s">
        <v>3428</v>
      </c>
      <c r="G270" s="54" t="s">
        <v>3429</v>
      </c>
      <c r="H270" s="55">
        <v>0.5416666666666666</v>
      </c>
      <c r="I270" s="53"/>
      <c r="J270" s="60" t="s">
        <v>330</v>
      </c>
    </row>
    <row r="271">
      <c r="A271" s="51">
        <f t="shared" si="1"/>
        <v>269</v>
      </c>
      <c r="B271" s="52" t="s">
        <v>3778</v>
      </c>
      <c r="C271" s="53"/>
      <c r="D271" s="56"/>
      <c r="E271" s="52" t="s">
        <v>3756</v>
      </c>
      <c r="F271" s="52" t="s">
        <v>3428</v>
      </c>
      <c r="G271" s="54" t="s">
        <v>3429</v>
      </c>
      <c r="H271" s="55">
        <v>0.5416666666666666</v>
      </c>
      <c r="I271" s="53"/>
      <c r="J271" s="60" t="s">
        <v>330</v>
      </c>
    </row>
    <row r="272">
      <c r="A272" s="51">
        <f t="shared" si="1"/>
        <v>270</v>
      </c>
      <c r="B272" s="52" t="s">
        <v>3779</v>
      </c>
      <c r="C272" s="53"/>
      <c r="D272" s="56"/>
      <c r="E272" s="52" t="s">
        <v>3756</v>
      </c>
      <c r="F272" s="52" t="s">
        <v>3428</v>
      </c>
      <c r="G272" s="54" t="s">
        <v>3429</v>
      </c>
      <c r="H272" s="55">
        <v>0.5416666666666666</v>
      </c>
      <c r="I272" s="53"/>
      <c r="J272" s="60" t="s">
        <v>330</v>
      </c>
    </row>
    <row r="273">
      <c r="A273" s="51">
        <f t="shared" si="1"/>
        <v>271</v>
      </c>
      <c r="B273" s="52" t="s">
        <v>3780</v>
      </c>
      <c r="C273" s="53"/>
      <c r="D273" s="56"/>
      <c r="E273" s="52" t="s">
        <v>3756</v>
      </c>
      <c r="F273" s="52" t="s">
        <v>3428</v>
      </c>
      <c r="G273" s="54" t="s">
        <v>3429</v>
      </c>
      <c r="H273" s="55">
        <v>0.5416666666666666</v>
      </c>
      <c r="I273" s="53"/>
      <c r="J273" s="60" t="s">
        <v>330</v>
      </c>
    </row>
    <row r="274">
      <c r="A274" s="51">
        <f t="shared" si="1"/>
        <v>272</v>
      </c>
      <c r="B274" s="52" t="s">
        <v>3781</v>
      </c>
      <c r="C274" s="53"/>
      <c r="D274" s="56"/>
      <c r="E274" s="52" t="s">
        <v>3756</v>
      </c>
      <c r="F274" s="52" t="s">
        <v>3428</v>
      </c>
      <c r="G274" s="54" t="s">
        <v>3429</v>
      </c>
      <c r="H274" s="55">
        <v>0.5416666666666666</v>
      </c>
      <c r="I274" s="53"/>
      <c r="J274" s="60" t="s">
        <v>330</v>
      </c>
    </row>
    <row r="275">
      <c r="A275" s="51">
        <f t="shared" si="1"/>
        <v>273</v>
      </c>
      <c r="B275" s="59" t="s">
        <v>3782</v>
      </c>
      <c r="C275" s="56"/>
      <c r="D275" s="56"/>
      <c r="E275" s="52" t="s">
        <v>3756</v>
      </c>
      <c r="F275" s="52" t="s">
        <v>3428</v>
      </c>
      <c r="G275" s="54" t="s">
        <v>3429</v>
      </c>
      <c r="H275" s="55">
        <v>0.5416666666666666</v>
      </c>
      <c r="I275" s="53"/>
      <c r="J275" s="60" t="s">
        <v>3783</v>
      </c>
    </row>
    <row r="276">
      <c r="A276" s="51">
        <f t="shared" si="1"/>
        <v>274</v>
      </c>
      <c r="B276" s="59" t="s">
        <v>3784</v>
      </c>
      <c r="C276" s="56"/>
      <c r="D276" s="56"/>
      <c r="E276" s="52" t="s">
        <v>3756</v>
      </c>
      <c r="F276" s="52" t="s">
        <v>3428</v>
      </c>
      <c r="G276" s="54" t="s">
        <v>3429</v>
      </c>
      <c r="H276" s="55">
        <v>0.5416666666666666</v>
      </c>
      <c r="I276" s="53"/>
      <c r="J276" s="60" t="s">
        <v>3785</v>
      </c>
    </row>
    <row r="277">
      <c r="A277" s="51">
        <f t="shared" si="1"/>
        <v>275</v>
      </c>
      <c r="B277" s="59" t="s">
        <v>3786</v>
      </c>
      <c r="C277" s="56"/>
      <c r="D277" s="56"/>
      <c r="E277" s="52" t="s">
        <v>3756</v>
      </c>
      <c r="F277" s="52" t="s">
        <v>3428</v>
      </c>
      <c r="G277" s="54" t="s">
        <v>3429</v>
      </c>
      <c r="H277" s="55">
        <v>0.5416666666666666</v>
      </c>
      <c r="I277" s="53"/>
      <c r="J277" s="60" t="s">
        <v>3787</v>
      </c>
    </row>
    <row r="278">
      <c r="A278" s="51">
        <f t="shared" si="1"/>
        <v>276</v>
      </c>
      <c r="B278" s="59" t="s">
        <v>3788</v>
      </c>
      <c r="C278" s="56"/>
      <c r="D278" s="56"/>
      <c r="E278" s="52" t="s">
        <v>3756</v>
      </c>
      <c r="F278" s="52" t="s">
        <v>3428</v>
      </c>
      <c r="G278" s="54" t="s">
        <v>3429</v>
      </c>
      <c r="H278" s="55">
        <v>0.5416666666666666</v>
      </c>
      <c r="I278" s="53"/>
      <c r="J278" s="60" t="s">
        <v>3789</v>
      </c>
    </row>
    <row r="279">
      <c r="A279" s="51">
        <f t="shared" si="1"/>
        <v>277</v>
      </c>
      <c r="B279" s="59" t="s">
        <v>3790</v>
      </c>
      <c r="C279" s="56"/>
      <c r="D279" s="56"/>
      <c r="E279" s="52" t="s">
        <v>3756</v>
      </c>
      <c r="F279" s="52" t="s">
        <v>3428</v>
      </c>
      <c r="G279" s="54" t="s">
        <v>3429</v>
      </c>
      <c r="H279" s="55">
        <v>0.5416666666666666</v>
      </c>
      <c r="I279" s="53"/>
      <c r="J279" s="60" t="s">
        <v>3791</v>
      </c>
    </row>
    <row r="280">
      <c r="A280" s="51">
        <f t="shared" si="1"/>
        <v>278</v>
      </c>
      <c r="B280" s="59" t="s">
        <v>3792</v>
      </c>
      <c r="C280" s="56"/>
      <c r="D280" s="56"/>
      <c r="E280" s="52" t="s">
        <v>3756</v>
      </c>
      <c r="F280" s="52" t="s">
        <v>3428</v>
      </c>
      <c r="G280" s="54" t="s">
        <v>3429</v>
      </c>
      <c r="H280" s="55">
        <v>0.5416666666666666</v>
      </c>
      <c r="I280" s="53"/>
      <c r="J280" s="60" t="s">
        <v>972</v>
      </c>
    </row>
    <row r="281">
      <c r="A281" s="51">
        <f t="shared" si="1"/>
        <v>279</v>
      </c>
      <c r="B281" s="52" t="s">
        <v>3793</v>
      </c>
      <c r="C281" s="56"/>
      <c r="D281" s="56"/>
      <c r="E281" s="52" t="s">
        <v>3756</v>
      </c>
      <c r="F281" s="52" t="s">
        <v>3428</v>
      </c>
      <c r="G281" s="54" t="s">
        <v>3429</v>
      </c>
      <c r="H281" s="55">
        <v>0.5416666666666666</v>
      </c>
      <c r="I281" s="53"/>
      <c r="J281" s="60" t="s">
        <v>972</v>
      </c>
    </row>
    <row r="282">
      <c r="A282" s="51">
        <f t="shared" si="1"/>
        <v>280</v>
      </c>
      <c r="B282" s="52" t="s">
        <v>3794</v>
      </c>
      <c r="C282" s="56"/>
      <c r="D282" s="56"/>
      <c r="E282" s="52" t="s">
        <v>3756</v>
      </c>
      <c r="F282" s="52" t="s">
        <v>3428</v>
      </c>
      <c r="G282" s="54" t="s">
        <v>3429</v>
      </c>
      <c r="H282" s="55">
        <v>0.5416666666666666</v>
      </c>
      <c r="I282" s="53"/>
      <c r="J282" s="60" t="s">
        <v>3795</v>
      </c>
    </row>
    <row r="283">
      <c r="A283" s="51">
        <f t="shared" si="1"/>
        <v>281</v>
      </c>
      <c r="B283" s="59" t="s">
        <v>3796</v>
      </c>
      <c r="C283" s="56"/>
      <c r="D283" s="56"/>
      <c r="E283" s="52" t="s">
        <v>3756</v>
      </c>
      <c r="F283" s="52" t="s">
        <v>3428</v>
      </c>
      <c r="G283" s="54" t="s">
        <v>3429</v>
      </c>
      <c r="H283" s="55">
        <v>0.5416666666666666</v>
      </c>
      <c r="I283" s="53"/>
      <c r="J283" s="60" t="s">
        <v>1441</v>
      </c>
    </row>
    <row r="284">
      <c r="A284" s="51">
        <f t="shared" si="1"/>
        <v>282</v>
      </c>
      <c r="B284" s="52" t="s">
        <v>3797</v>
      </c>
      <c r="C284" s="56"/>
      <c r="D284" s="56"/>
      <c r="E284" s="52" t="s">
        <v>3756</v>
      </c>
      <c r="F284" s="52" t="s">
        <v>3428</v>
      </c>
      <c r="G284" s="54" t="s">
        <v>3429</v>
      </c>
      <c r="H284" s="55">
        <v>0.5416666666666666</v>
      </c>
      <c r="I284" s="53"/>
      <c r="J284" s="60" t="s">
        <v>330</v>
      </c>
    </row>
    <row r="285">
      <c r="A285" s="51">
        <f t="shared" si="1"/>
        <v>283</v>
      </c>
      <c r="B285" s="59" t="s">
        <v>3798</v>
      </c>
      <c r="C285" s="56"/>
      <c r="D285" s="56"/>
      <c r="E285" s="52" t="s">
        <v>3756</v>
      </c>
      <c r="F285" s="52" t="s">
        <v>3428</v>
      </c>
      <c r="G285" s="54" t="s">
        <v>3429</v>
      </c>
      <c r="H285" s="55">
        <v>0.5416666666666666</v>
      </c>
      <c r="I285" s="53"/>
      <c r="J285" s="60" t="s">
        <v>3799</v>
      </c>
    </row>
    <row r="286">
      <c r="A286" s="51">
        <f t="shared" si="1"/>
        <v>284</v>
      </c>
      <c r="B286" s="52" t="s">
        <v>3800</v>
      </c>
      <c r="C286" s="56"/>
      <c r="D286" s="56"/>
      <c r="E286" s="52" t="s">
        <v>3756</v>
      </c>
      <c r="F286" s="52" t="s">
        <v>3428</v>
      </c>
      <c r="G286" s="54" t="s">
        <v>3429</v>
      </c>
      <c r="H286" s="55">
        <v>0.5416666666666666</v>
      </c>
      <c r="I286" s="53"/>
      <c r="J286" s="60" t="s">
        <v>330</v>
      </c>
    </row>
    <row r="287">
      <c r="A287" s="51">
        <f t="shared" si="1"/>
        <v>285</v>
      </c>
      <c r="B287" s="52" t="s">
        <v>3801</v>
      </c>
      <c r="C287" s="56"/>
      <c r="D287" s="56"/>
      <c r="E287" s="52" t="s">
        <v>3756</v>
      </c>
      <c r="F287" s="52" t="s">
        <v>3428</v>
      </c>
      <c r="G287" s="54" t="s">
        <v>3429</v>
      </c>
      <c r="H287" s="55">
        <v>0.5416666666666666</v>
      </c>
      <c r="I287" s="53"/>
      <c r="J287" s="60" t="s">
        <v>330</v>
      </c>
    </row>
    <row r="288">
      <c r="A288" s="51">
        <f t="shared" si="1"/>
        <v>286</v>
      </c>
      <c r="B288" s="59" t="s">
        <v>3802</v>
      </c>
      <c r="C288" s="56"/>
      <c r="D288" s="56"/>
      <c r="E288" s="52" t="s">
        <v>3756</v>
      </c>
      <c r="F288" s="52" t="s">
        <v>3428</v>
      </c>
      <c r="G288" s="54" t="s">
        <v>3429</v>
      </c>
      <c r="H288" s="55">
        <v>0.5416666666666666</v>
      </c>
      <c r="I288" s="53"/>
      <c r="J288" s="60" t="s">
        <v>330</v>
      </c>
    </row>
    <row r="289">
      <c r="A289" s="51">
        <f t="shared" si="1"/>
        <v>287</v>
      </c>
      <c r="B289" s="52" t="s">
        <v>3803</v>
      </c>
      <c r="C289" s="56"/>
      <c r="D289" s="56"/>
      <c r="E289" s="52" t="s">
        <v>3756</v>
      </c>
      <c r="F289" s="52" t="s">
        <v>3428</v>
      </c>
      <c r="G289" s="54" t="s">
        <v>3429</v>
      </c>
      <c r="H289" s="55">
        <v>0.5416666666666666</v>
      </c>
      <c r="I289" s="53"/>
      <c r="J289" s="60" t="s">
        <v>3804</v>
      </c>
    </row>
    <row r="290">
      <c r="A290" s="51">
        <f t="shared" si="1"/>
        <v>288</v>
      </c>
      <c r="B290" s="52" t="s">
        <v>3805</v>
      </c>
      <c r="C290" s="56"/>
      <c r="D290" s="56"/>
      <c r="E290" s="52" t="s">
        <v>3756</v>
      </c>
      <c r="F290" s="52" t="s">
        <v>3428</v>
      </c>
      <c r="G290" s="54" t="s">
        <v>3429</v>
      </c>
      <c r="H290" s="55">
        <v>0.5416666666666666</v>
      </c>
      <c r="I290" s="53"/>
      <c r="J290" s="60" t="s">
        <v>330</v>
      </c>
    </row>
    <row r="291">
      <c r="A291" s="51">
        <f t="shared" si="1"/>
        <v>289</v>
      </c>
      <c r="B291" s="52" t="s">
        <v>3806</v>
      </c>
      <c r="C291" s="56"/>
      <c r="D291" s="56"/>
      <c r="E291" s="52" t="s">
        <v>3756</v>
      </c>
      <c r="F291" s="52" t="s">
        <v>3428</v>
      </c>
      <c r="G291" s="54" t="s">
        <v>3429</v>
      </c>
      <c r="H291" s="55">
        <v>0.5416666666666666</v>
      </c>
      <c r="I291" s="53"/>
      <c r="J291" s="60" t="s">
        <v>330</v>
      </c>
    </row>
    <row r="292">
      <c r="A292" s="51">
        <f t="shared" si="1"/>
        <v>290</v>
      </c>
      <c r="B292" s="59" t="s">
        <v>3807</v>
      </c>
      <c r="C292" s="56"/>
      <c r="D292" s="56"/>
      <c r="E292" s="52" t="s">
        <v>3756</v>
      </c>
      <c r="F292" s="52" t="s">
        <v>3428</v>
      </c>
      <c r="G292" s="54" t="s">
        <v>3429</v>
      </c>
      <c r="H292" s="55">
        <v>0.5416666666666666</v>
      </c>
      <c r="I292" s="53"/>
      <c r="J292" s="60" t="s">
        <v>330</v>
      </c>
    </row>
    <row r="293">
      <c r="A293" s="51">
        <f t="shared" si="1"/>
        <v>291</v>
      </c>
      <c r="B293" s="59" t="s">
        <v>3808</v>
      </c>
      <c r="C293" s="56"/>
      <c r="D293" s="56"/>
      <c r="E293" s="52" t="s">
        <v>3756</v>
      </c>
      <c r="F293" s="52" t="s">
        <v>3428</v>
      </c>
      <c r="G293" s="54" t="s">
        <v>3429</v>
      </c>
      <c r="H293" s="55">
        <v>0.5416666666666666</v>
      </c>
      <c r="I293" s="53"/>
      <c r="J293" s="60" t="s">
        <v>330</v>
      </c>
    </row>
    <row r="294">
      <c r="A294" s="51">
        <f t="shared" si="1"/>
        <v>292</v>
      </c>
      <c r="B294" s="59" t="s">
        <v>3809</v>
      </c>
      <c r="C294" s="56"/>
      <c r="D294" s="56"/>
      <c r="E294" s="52" t="s">
        <v>3756</v>
      </c>
      <c r="F294" s="52" t="s">
        <v>3428</v>
      </c>
      <c r="G294" s="54" t="s">
        <v>3429</v>
      </c>
      <c r="H294" s="55">
        <v>0.5416666666666666</v>
      </c>
      <c r="I294" s="53"/>
      <c r="J294" s="60" t="s">
        <v>2860</v>
      </c>
    </row>
    <row r="295">
      <c r="A295" s="51">
        <f t="shared" si="1"/>
        <v>293</v>
      </c>
      <c r="B295" s="59" t="s">
        <v>3810</v>
      </c>
      <c r="C295" s="56"/>
      <c r="D295" s="56"/>
      <c r="E295" s="52" t="s">
        <v>3756</v>
      </c>
      <c r="F295" s="52" t="s">
        <v>3428</v>
      </c>
      <c r="G295" s="54" t="s">
        <v>3429</v>
      </c>
      <c r="H295" s="55">
        <v>0.5416666666666666</v>
      </c>
      <c r="I295" s="53"/>
      <c r="J295" s="60" t="s">
        <v>330</v>
      </c>
    </row>
    <row r="296">
      <c r="A296" s="51">
        <f t="shared" si="1"/>
        <v>294</v>
      </c>
      <c r="B296" s="52" t="s">
        <v>3811</v>
      </c>
      <c r="C296" s="56"/>
      <c r="D296" s="56"/>
      <c r="E296" s="52" t="s">
        <v>3756</v>
      </c>
      <c r="F296" s="52" t="s">
        <v>3428</v>
      </c>
      <c r="G296" s="54" t="s">
        <v>3429</v>
      </c>
      <c r="H296" s="55">
        <v>0.5416666666666666</v>
      </c>
      <c r="I296" s="53"/>
      <c r="J296" s="60" t="s">
        <v>3812</v>
      </c>
    </row>
    <row r="297">
      <c r="A297" s="51">
        <f t="shared" si="1"/>
        <v>295</v>
      </c>
      <c r="B297" s="59" t="s">
        <v>3813</v>
      </c>
      <c r="C297" s="56"/>
      <c r="D297" s="56"/>
      <c r="E297" s="52" t="s">
        <v>3756</v>
      </c>
      <c r="F297" s="52" t="s">
        <v>3428</v>
      </c>
      <c r="G297" s="54" t="s">
        <v>3429</v>
      </c>
      <c r="H297" s="55">
        <v>0.5416666666666666</v>
      </c>
      <c r="I297" s="53"/>
      <c r="J297" s="60" t="s">
        <v>330</v>
      </c>
    </row>
    <row r="298">
      <c r="A298" s="51">
        <f t="shared" si="1"/>
        <v>296</v>
      </c>
      <c r="B298" s="59" t="s">
        <v>3814</v>
      </c>
      <c r="C298" s="56"/>
      <c r="D298" s="56"/>
      <c r="E298" s="52" t="s">
        <v>3756</v>
      </c>
      <c r="F298" s="52" t="s">
        <v>3428</v>
      </c>
      <c r="G298" s="54" t="s">
        <v>3429</v>
      </c>
      <c r="H298" s="55">
        <v>0.5416666666666666</v>
      </c>
      <c r="I298" s="53"/>
      <c r="J298" s="60" t="s">
        <v>314</v>
      </c>
    </row>
    <row r="299">
      <c r="A299" s="51">
        <f t="shared" si="1"/>
        <v>297</v>
      </c>
      <c r="B299" s="59" t="s">
        <v>3815</v>
      </c>
      <c r="C299" s="56"/>
      <c r="D299" s="56"/>
      <c r="E299" s="52" t="s">
        <v>3756</v>
      </c>
      <c r="F299" s="52" t="s">
        <v>3428</v>
      </c>
      <c r="G299" s="54" t="s">
        <v>3429</v>
      </c>
      <c r="H299" s="55">
        <v>0.5416666666666666</v>
      </c>
      <c r="I299" s="53"/>
      <c r="J299" s="60" t="s">
        <v>1468</v>
      </c>
    </row>
    <row r="300">
      <c r="A300" s="51">
        <f t="shared" si="1"/>
        <v>298</v>
      </c>
      <c r="B300" s="59" t="s">
        <v>3816</v>
      </c>
      <c r="C300" s="56"/>
      <c r="D300" s="56"/>
      <c r="E300" s="52" t="s">
        <v>3756</v>
      </c>
      <c r="F300" s="52" t="s">
        <v>3428</v>
      </c>
      <c r="G300" s="54" t="s">
        <v>3429</v>
      </c>
      <c r="H300" s="55">
        <v>0.5416666666666666</v>
      </c>
      <c r="I300" s="53"/>
      <c r="J300" s="60" t="s">
        <v>330</v>
      </c>
    </row>
    <row r="301">
      <c r="A301" s="51">
        <f t="shared" si="1"/>
        <v>299</v>
      </c>
      <c r="B301" s="52" t="s">
        <v>3817</v>
      </c>
      <c r="C301" s="56"/>
      <c r="D301" s="56"/>
      <c r="E301" s="52" t="s">
        <v>3756</v>
      </c>
      <c r="F301" s="52" t="s">
        <v>3428</v>
      </c>
      <c r="G301" s="54" t="s">
        <v>3429</v>
      </c>
      <c r="H301" s="55">
        <v>0.5416666666666666</v>
      </c>
      <c r="I301" s="53"/>
      <c r="J301" s="60"/>
    </row>
    <row r="302">
      <c r="A302" s="51">
        <f t="shared" si="1"/>
        <v>300</v>
      </c>
      <c r="B302" s="52" t="s">
        <v>3818</v>
      </c>
      <c r="C302" s="56"/>
      <c r="D302" s="56"/>
      <c r="E302" s="52" t="s">
        <v>3756</v>
      </c>
      <c r="F302" s="52" t="s">
        <v>3428</v>
      </c>
      <c r="G302" s="54" t="s">
        <v>3429</v>
      </c>
      <c r="H302" s="55">
        <v>0.5416666666666666</v>
      </c>
      <c r="I302" s="53"/>
      <c r="J302" s="60"/>
    </row>
    <row r="303">
      <c r="A303" s="51">
        <f t="shared" si="1"/>
        <v>301</v>
      </c>
      <c r="B303" s="52" t="s">
        <v>3819</v>
      </c>
      <c r="C303" s="56"/>
      <c r="D303" s="56"/>
      <c r="E303" s="52" t="s">
        <v>3756</v>
      </c>
      <c r="F303" s="52" t="s">
        <v>3428</v>
      </c>
      <c r="G303" s="54" t="s">
        <v>3429</v>
      </c>
      <c r="H303" s="55">
        <v>0.5416666666666666</v>
      </c>
      <c r="I303" s="53"/>
      <c r="J303" s="60"/>
    </row>
    <row r="304">
      <c r="A304" s="51">
        <f t="shared" si="1"/>
        <v>302</v>
      </c>
      <c r="B304" s="52" t="s">
        <v>3820</v>
      </c>
      <c r="C304" s="56"/>
      <c r="D304" s="56"/>
      <c r="E304" s="52" t="s">
        <v>3756</v>
      </c>
      <c r="F304" s="52" t="s">
        <v>3428</v>
      </c>
      <c r="G304" s="54" t="s">
        <v>3429</v>
      </c>
      <c r="H304" s="55">
        <v>0.5416666666666666</v>
      </c>
      <c r="I304" s="53"/>
      <c r="J304" s="60"/>
    </row>
    <row r="305">
      <c r="A305" s="51">
        <f t="shared" si="1"/>
        <v>303</v>
      </c>
      <c r="B305" s="59" t="s">
        <v>3821</v>
      </c>
      <c r="C305" s="56"/>
      <c r="D305" s="56"/>
      <c r="E305" s="52" t="s">
        <v>3756</v>
      </c>
      <c r="F305" s="52" t="s">
        <v>3428</v>
      </c>
      <c r="G305" s="54" t="s">
        <v>3429</v>
      </c>
      <c r="H305" s="55">
        <v>0.5416666666666666</v>
      </c>
      <c r="I305" s="53"/>
      <c r="J305" s="60"/>
    </row>
    <row r="306">
      <c r="A306" s="51">
        <f t="shared" si="1"/>
        <v>304</v>
      </c>
      <c r="B306" s="59" t="s">
        <v>3822</v>
      </c>
      <c r="C306" s="56"/>
      <c r="D306" s="56"/>
      <c r="E306" s="52" t="s">
        <v>3756</v>
      </c>
      <c r="F306" s="52" t="s">
        <v>3428</v>
      </c>
      <c r="G306" s="54" t="s">
        <v>3429</v>
      </c>
      <c r="H306" s="55">
        <v>0.5416666666666666</v>
      </c>
      <c r="I306" s="53"/>
      <c r="J306" s="60"/>
    </row>
    <row r="307">
      <c r="A307" s="51">
        <f t="shared" si="1"/>
        <v>305</v>
      </c>
      <c r="B307" s="52" t="s">
        <v>3823</v>
      </c>
      <c r="C307" s="56"/>
      <c r="D307" s="56"/>
      <c r="E307" s="52" t="s">
        <v>3756</v>
      </c>
      <c r="F307" s="52" t="s">
        <v>3428</v>
      </c>
      <c r="G307" s="54" t="s">
        <v>3429</v>
      </c>
      <c r="H307" s="55">
        <v>0.5416666666666666</v>
      </c>
      <c r="I307" s="53"/>
      <c r="J307" s="60"/>
    </row>
    <row r="308">
      <c r="A308" s="51">
        <f t="shared" si="1"/>
        <v>306</v>
      </c>
      <c r="B308" s="52" t="s">
        <v>3824</v>
      </c>
      <c r="C308" s="56"/>
      <c r="D308" s="56"/>
      <c r="E308" s="52" t="s">
        <v>3756</v>
      </c>
      <c r="F308" s="52" t="s">
        <v>3428</v>
      </c>
      <c r="G308" s="54" t="s">
        <v>3429</v>
      </c>
      <c r="H308" s="55">
        <v>0.5416666666666666</v>
      </c>
      <c r="I308" s="53"/>
      <c r="J308" s="60"/>
    </row>
    <row r="309">
      <c r="A309" s="51">
        <f t="shared" si="1"/>
        <v>307</v>
      </c>
      <c r="B309" s="52" t="s">
        <v>3825</v>
      </c>
      <c r="C309" s="56"/>
      <c r="D309" s="56"/>
      <c r="E309" s="52" t="s">
        <v>3756</v>
      </c>
      <c r="F309" s="52" t="s">
        <v>3428</v>
      </c>
      <c r="G309" s="54" t="s">
        <v>3429</v>
      </c>
      <c r="H309" s="55">
        <v>0.5416666666666666</v>
      </c>
      <c r="I309" s="53"/>
      <c r="J309" s="60"/>
    </row>
    <row r="310">
      <c r="A310" s="51">
        <f t="shared" si="1"/>
        <v>308</v>
      </c>
      <c r="B310" s="59" t="s">
        <v>3826</v>
      </c>
      <c r="C310" s="56"/>
      <c r="D310" s="56"/>
      <c r="E310" s="52" t="s">
        <v>3756</v>
      </c>
      <c r="F310" s="52" t="s">
        <v>3428</v>
      </c>
      <c r="G310" s="54" t="s">
        <v>3429</v>
      </c>
      <c r="H310" s="55">
        <v>0.5416666666666666</v>
      </c>
      <c r="I310" s="53"/>
      <c r="J310" s="60"/>
    </row>
    <row r="311">
      <c r="A311" s="51">
        <f t="shared" si="1"/>
        <v>309</v>
      </c>
      <c r="B311" s="59" t="s">
        <v>3827</v>
      </c>
      <c r="C311" s="56"/>
      <c r="D311" s="56"/>
      <c r="E311" s="52" t="s">
        <v>3756</v>
      </c>
      <c r="F311" s="52" t="s">
        <v>3428</v>
      </c>
      <c r="G311" s="54" t="s">
        <v>3429</v>
      </c>
      <c r="H311" s="55">
        <v>0.5416666666666666</v>
      </c>
      <c r="I311" s="53"/>
      <c r="J311" s="60"/>
    </row>
    <row r="312">
      <c r="A312" s="51">
        <f t="shared" si="1"/>
        <v>310</v>
      </c>
      <c r="B312" s="52" t="s">
        <v>3828</v>
      </c>
      <c r="C312" s="56"/>
      <c r="D312" s="56"/>
      <c r="E312" s="52" t="s">
        <v>3756</v>
      </c>
      <c r="F312" s="52" t="s">
        <v>3428</v>
      </c>
      <c r="G312" s="54" t="s">
        <v>3429</v>
      </c>
      <c r="H312" s="55">
        <v>0.5416666666666666</v>
      </c>
      <c r="I312" s="53"/>
      <c r="J312" s="60"/>
    </row>
    <row r="313">
      <c r="A313" s="51">
        <f t="shared" si="1"/>
        <v>311</v>
      </c>
      <c r="B313" s="52" t="s">
        <v>3829</v>
      </c>
      <c r="C313" s="56"/>
      <c r="D313" s="56"/>
      <c r="E313" s="52" t="s">
        <v>3756</v>
      </c>
      <c r="F313" s="52" t="s">
        <v>3428</v>
      </c>
      <c r="G313" s="54" t="s">
        <v>3429</v>
      </c>
      <c r="H313" s="55">
        <v>0.5416666666666666</v>
      </c>
      <c r="I313" s="53"/>
      <c r="J313" s="60"/>
    </row>
    <row r="314">
      <c r="A314" s="51">
        <f t="shared" si="1"/>
        <v>312</v>
      </c>
      <c r="B314" s="52" t="s">
        <v>3830</v>
      </c>
      <c r="C314" s="56"/>
      <c r="D314" s="56"/>
      <c r="E314" s="52" t="s">
        <v>3756</v>
      </c>
      <c r="F314" s="52" t="s">
        <v>3428</v>
      </c>
      <c r="G314" s="54" t="s">
        <v>3429</v>
      </c>
      <c r="H314" s="55">
        <v>0.5416666666666666</v>
      </c>
      <c r="I314" s="53"/>
      <c r="J314" s="60"/>
    </row>
    <row r="315">
      <c r="A315" s="51">
        <f t="shared" si="1"/>
        <v>313</v>
      </c>
      <c r="B315" s="59" t="s">
        <v>3831</v>
      </c>
      <c r="C315" s="56"/>
      <c r="D315" s="56"/>
      <c r="E315" s="52" t="s">
        <v>3756</v>
      </c>
      <c r="F315" s="52" t="s">
        <v>3428</v>
      </c>
      <c r="G315" s="54" t="s">
        <v>3429</v>
      </c>
      <c r="H315" s="55">
        <v>0.5416666666666666</v>
      </c>
      <c r="I315" s="53"/>
      <c r="J315" s="60"/>
    </row>
    <row r="316">
      <c r="A316" s="51">
        <f t="shared" si="1"/>
        <v>314</v>
      </c>
      <c r="B316" s="59" t="s">
        <v>3832</v>
      </c>
      <c r="C316" s="56"/>
      <c r="D316" s="56"/>
      <c r="E316" s="52" t="s">
        <v>3756</v>
      </c>
      <c r="F316" s="52" t="s">
        <v>3428</v>
      </c>
      <c r="G316" s="54" t="s">
        <v>3429</v>
      </c>
      <c r="H316" s="55">
        <v>0.5416666666666666</v>
      </c>
      <c r="I316" s="53"/>
      <c r="J316" s="60"/>
    </row>
    <row r="317">
      <c r="A317" s="51">
        <f t="shared" si="1"/>
        <v>315</v>
      </c>
      <c r="B317" s="59" t="s">
        <v>3833</v>
      </c>
      <c r="C317" s="56"/>
      <c r="D317" s="56"/>
      <c r="E317" s="52" t="s">
        <v>3756</v>
      </c>
      <c r="F317" s="52" t="s">
        <v>3428</v>
      </c>
      <c r="G317" s="54" t="s">
        <v>3429</v>
      </c>
      <c r="H317" s="55">
        <v>0.5416666666666666</v>
      </c>
      <c r="I317" s="53"/>
      <c r="J317" s="60"/>
    </row>
    <row r="318">
      <c r="A318" s="51">
        <f t="shared" si="1"/>
        <v>316</v>
      </c>
      <c r="B318" s="59" t="s">
        <v>3834</v>
      </c>
      <c r="C318" s="56"/>
      <c r="D318" s="56"/>
      <c r="E318" s="52" t="s">
        <v>3756</v>
      </c>
      <c r="F318" s="52" t="s">
        <v>3428</v>
      </c>
      <c r="G318" s="54" t="s">
        <v>3429</v>
      </c>
      <c r="H318" s="55">
        <v>0.5416666666666666</v>
      </c>
      <c r="I318" s="53"/>
      <c r="J318" s="60"/>
    </row>
    <row r="319">
      <c r="A319" s="51">
        <f t="shared" si="1"/>
        <v>317</v>
      </c>
      <c r="B319" s="52" t="s">
        <v>3835</v>
      </c>
      <c r="C319" s="56"/>
      <c r="D319" s="56"/>
      <c r="E319" s="52" t="s">
        <v>3756</v>
      </c>
      <c r="F319" s="52" t="s">
        <v>3428</v>
      </c>
      <c r="G319" s="54" t="s">
        <v>3429</v>
      </c>
      <c r="H319" s="55">
        <v>0.5416666666666666</v>
      </c>
      <c r="I319" s="53"/>
      <c r="J319" s="60"/>
    </row>
    <row r="320">
      <c r="A320" s="51">
        <f t="shared" si="1"/>
        <v>318</v>
      </c>
      <c r="B320" s="52" t="s">
        <v>3836</v>
      </c>
      <c r="C320" s="56"/>
      <c r="D320" s="56"/>
      <c r="E320" s="52" t="s">
        <v>3756</v>
      </c>
      <c r="F320" s="52" t="s">
        <v>3428</v>
      </c>
      <c r="G320" s="54" t="s">
        <v>3429</v>
      </c>
      <c r="H320" s="55">
        <v>0.5416666666666666</v>
      </c>
      <c r="I320" s="53"/>
      <c r="J320" s="60"/>
    </row>
    <row r="321">
      <c r="A321" s="51">
        <f t="shared" si="1"/>
        <v>319</v>
      </c>
      <c r="B321" s="59" t="s">
        <v>3837</v>
      </c>
      <c r="C321" s="56"/>
      <c r="D321" s="56"/>
      <c r="E321" s="52" t="s">
        <v>3756</v>
      </c>
      <c r="F321" s="52" t="s">
        <v>3428</v>
      </c>
      <c r="G321" s="54" t="s">
        <v>3429</v>
      </c>
      <c r="H321" s="55">
        <v>0.5416666666666666</v>
      </c>
      <c r="I321" s="53"/>
      <c r="J321" s="60"/>
    </row>
    <row r="322">
      <c r="A322" s="51">
        <f t="shared" si="1"/>
        <v>320</v>
      </c>
      <c r="B322" s="52" t="s">
        <v>3838</v>
      </c>
      <c r="C322" s="56"/>
      <c r="D322" s="56"/>
      <c r="E322" s="52" t="s">
        <v>3756</v>
      </c>
      <c r="F322" s="52" t="s">
        <v>3428</v>
      </c>
      <c r="G322" s="54" t="s">
        <v>3429</v>
      </c>
      <c r="H322" s="55">
        <v>0.5416666666666666</v>
      </c>
      <c r="I322" s="53"/>
      <c r="J322" s="60"/>
    </row>
    <row r="323">
      <c r="A323" s="51">
        <f t="shared" si="1"/>
        <v>321</v>
      </c>
      <c r="B323" s="59" t="s">
        <v>3839</v>
      </c>
      <c r="C323" s="56"/>
      <c r="D323" s="56"/>
      <c r="E323" s="52" t="s">
        <v>3756</v>
      </c>
      <c r="F323" s="52" t="s">
        <v>3428</v>
      </c>
      <c r="G323" s="54" t="s">
        <v>3429</v>
      </c>
      <c r="H323" s="55">
        <v>0.5416666666666666</v>
      </c>
      <c r="I323" s="53"/>
      <c r="J323" s="60"/>
    </row>
    <row r="324">
      <c r="A324" s="51">
        <f t="shared" si="1"/>
        <v>322</v>
      </c>
      <c r="B324" s="52" t="s">
        <v>3840</v>
      </c>
      <c r="C324" s="56"/>
      <c r="D324" s="56"/>
      <c r="E324" s="52" t="s">
        <v>3756</v>
      </c>
      <c r="F324" s="52" t="s">
        <v>3428</v>
      </c>
      <c r="G324" s="54" t="s">
        <v>3429</v>
      </c>
      <c r="H324" s="55">
        <v>0.5416666666666666</v>
      </c>
      <c r="I324" s="53"/>
      <c r="J324" s="60"/>
    </row>
    <row r="325">
      <c r="A325" s="51">
        <f t="shared" si="1"/>
        <v>323</v>
      </c>
      <c r="B325" s="59" t="s">
        <v>3841</v>
      </c>
      <c r="C325" s="56"/>
      <c r="D325" s="56"/>
      <c r="E325" s="52" t="s">
        <v>3756</v>
      </c>
      <c r="F325" s="52" t="s">
        <v>3428</v>
      </c>
      <c r="G325" s="54" t="s">
        <v>3429</v>
      </c>
      <c r="H325" s="55">
        <v>0.5416666666666666</v>
      </c>
      <c r="I325" s="53"/>
      <c r="J325" s="60"/>
    </row>
    <row r="326">
      <c r="A326" s="51">
        <f t="shared" si="1"/>
        <v>324</v>
      </c>
      <c r="B326" s="52" t="s">
        <v>3842</v>
      </c>
      <c r="C326" s="56"/>
      <c r="D326" s="56"/>
      <c r="E326" s="52" t="s">
        <v>3756</v>
      </c>
      <c r="F326" s="52" t="s">
        <v>3428</v>
      </c>
      <c r="G326" s="54" t="s">
        <v>3429</v>
      </c>
      <c r="H326" s="55">
        <v>0.5416666666666666</v>
      </c>
      <c r="I326" s="53"/>
      <c r="J326" s="60"/>
    </row>
    <row r="327">
      <c r="A327" s="51">
        <f t="shared" si="1"/>
        <v>325</v>
      </c>
      <c r="B327" s="59" t="s">
        <v>3843</v>
      </c>
      <c r="C327" s="56"/>
      <c r="D327" s="56"/>
      <c r="E327" s="52" t="s">
        <v>3756</v>
      </c>
      <c r="F327" s="52" t="s">
        <v>3428</v>
      </c>
      <c r="G327" s="54" t="s">
        <v>3429</v>
      </c>
      <c r="H327" s="55">
        <v>0.5416666666666666</v>
      </c>
      <c r="I327" s="53"/>
      <c r="J327" s="60"/>
    </row>
    <row r="328">
      <c r="A328" s="51">
        <f t="shared" si="1"/>
        <v>326</v>
      </c>
      <c r="B328" s="59" t="s">
        <v>3844</v>
      </c>
      <c r="C328" s="56"/>
      <c r="D328" s="56"/>
      <c r="E328" s="52" t="s">
        <v>3756</v>
      </c>
      <c r="F328" s="52" t="s">
        <v>3428</v>
      </c>
      <c r="G328" s="54" t="s">
        <v>3429</v>
      </c>
      <c r="H328" s="55">
        <v>0.5416666666666666</v>
      </c>
      <c r="I328" s="53"/>
      <c r="J328" s="60"/>
    </row>
    <row r="329">
      <c r="A329" s="51">
        <f t="shared" si="1"/>
        <v>327</v>
      </c>
      <c r="B329" s="59" t="s">
        <v>3845</v>
      </c>
      <c r="C329" s="56"/>
      <c r="D329" s="56"/>
      <c r="E329" s="52" t="s">
        <v>3756</v>
      </c>
      <c r="F329" s="52" t="s">
        <v>3428</v>
      </c>
      <c r="G329" s="54" t="s">
        <v>3429</v>
      </c>
      <c r="H329" s="55">
        <v>0.5416666666666666</v>
      </c>
      <c r="I329" s="53"/>
      <c r="J329" s="60"/>
    </row>
    <row r="330">
      <c r="A330" s="51">
        <f t="shared" si="1"/>
        <v>328</v>
      </c>
      <c r="B330" s="52" t="s">
        <v>3846</v>
      </c>
      <c r="C330" s="56"/>
      <c r="D330" s="56"/>
      <c r="E330" s="52" t="s">
        <v>3847</v>
      </c>
      <c r="F330" s="52" t="s">
        <v>3428</v>
      </c>
      <c r="G330" s="54" t="s">
        <v>3429</v>
      </c>
      <c r="H330" s="55">
        <v>0.5416666666666666</v>
      </c>
      <c r="I330" s="53"/>
      <c r="J330" s="60"/>
    </row>
    <row r="331">
      <c r="A331" s="51">
        <f t="shared" si="1"/>
        <v>329</v>
      </c>
      <c r="B331" s="59" t="s">
        <v>3848</v>
      </c>
      <c r="C331" s="56"/>
      <c r="D331" s="56"/>
      <c r="E331" s="52" t="s">
        <v>3847</v>
      </c>
      <c r="F331" s="52" t="s">
        <v>3428</v>
      </c>
      <c r="G331" s="54" t="s">
        <v>3429</v>
      </c>
      <c r="H331" s="55">
        <v>0.5416666666666666</v>
      </c>
      <c r="I331" s="53"/>
      <c r="J331" s="60"/>
    </row>
    <row r="332">
      <c r="A332" s="51">
        <f t="shared" si="1"/>
        <v>330</v>
      </c>
      <c r="B332" s="52" t="s">
        <v>3849</v>
      </c>
      <c r="C332" s="56"/>
      <c r="D332" s="56"/>
      <c r="E332" s="52" t="s">
        <v>3847</v>
      </c>
      <c r="F332" s="52" t="s">
        <v>3428</v>
      </c>
      <c r="G332" s="54" t="s">
        <v>3429</v>
      </c>
      <c r="H332" s="55">
        <v>0.5416666666666666</v>
      </c>
      <c r="I332" s="53"/>
      <c r="J332" s="60"/>
    </row>
    <row r="333">
      <c r="A333" s="51">
        <f t="shared" si="1"/>
        <v>331</v>
      </c>
      <c r="B333" s="52" t="s">
        <v>3850</v>
      </c>
      <c r="C333" s="56"/>
      <c r="D333" s="56"/>
      <c r="E333" s="52" t="s">
        <v>3847</v>
      </c>
      <c r="F333" s="52" t="s">
        <v>3428</v>
      </c>
      <c r="G333" s="54" t="s">
        <v>3429</v>
      </c>
      <c r="H333" s="55">
        <v>0.5416666666666666</v>
      </c>
      <c r="I333" s="53"/>
      <c r="J333" s="60"/>
    </row>
    <row r="334">
      <c r="A334" s="51">
        <f t="shared" si="1"/>
        <v>332</v>
      </c>
      <c r="B334" s="59" t="s">
        <v>3851</v>
      </c>
      <c r="C334" s="56"/>
      <c r="D334" s="56"/>
      <c r="E334" s="52" t="s">
        <v>3847</v>
      </c>
      <c r="F334" s="52" t="s">
        <v>3428</v>
      </c>
      <c r="G334" s="54" t="s">
        <v>3429</v>
      </c>
      <c r="H334" s="55">
        <v>0.5416666666666666</v>
      </c>
      <c r="I334" s="53"/>
      <c r="J334" s="60"/>
    </row>
    <row r="335">
      <c r="A335" s="51">
        <f t="shared" si="1"/>
        <v>333</v>
      </c>
      <c r="B335" s="59" t="s">
        <v>3852</v>
      </c>
      <c r="C335" s="56"/>
      <c r="D335" s="56"/>
      <c r="E335" s="52" t="s">
        <v>3847</v>
      </c>
      <c r="F335" s="52" t="s">
        <v>3428</v>
      </c>
      <c r="G335" s="54" t="s">
        <v>3429</v>
      </c>
      <c r="H335" s="55">
        <v>0.5416666666666666</v>
      </c>
      <c r="I335" s="53"/>
      <c r="J335" s="60"/>
    </row>
    <row r="336">
      <c r="A336" s="51">
        <f t="shared" si="1"/>
        <v>334</v>
      </c>
      <c r="B336" s="59" t="s">
        <v>3853</v>
      </c>
      <c r="C336" s="56"/>
      <c r="D336" s="56"/>
      <c r="E336" s="52" t="s">
        <v>3847</v>
      </c>
      <c r="F336" s="52" t="s">
        <v>3428</v>
      </c>
      <c r="G336" s="54" t="s">
        <v>3429</v>
      </c>
      <c r="H336" s="55">
        <v>0.5416666666666666</v>
      </c>
      <c r="I336" s="53"/>
      <c r="J336" s="60"/>
    </row>
    <row r="337">
      <c r="A337" s="51">
        <f t="shared" si="1"/>
        <v>335</v>
      </c>
      <c r="B337" s="52" t="s">
        <v>3854</v>
      </c>
      <c r="C337" s="56"/>
      <c r="D337" s="56"/>
      <c r="E337" s="52" t="s">
        <v>3847</v>
      </c>
      <c r="F337" s="52" t="s">
        <v>3428</v>
      </c>
      <c r="G337" s="54" t="s">
        <v>3429</v>
      </c>
      <c r="H337" s="55">
        <v>0.5416666666666666</v>
      </c>
      <c r="I337" s="53"/>
      <c r="J337" s="60"/>
    </row>
    <row r="338">
      <c r="A338" s="51">
        <f t="shared" si="1"/>
        <v>336</v>
      </c>
      <c r="B338" s="59" t="s">
        <v>3855</v>
      </c>
      <c r="C338" s="56"/>
      <c r="D338" s="56"/>
      <c r="E338" s="52" t="s">
        <v>3847</v>
      </c>
      <c r="F338" s="52" t="s">
        <v>3428</v>
      </c>
      <c r="G338" s="54" t="s">
        <v>3429</v>
      </c>
      <c r="H338" s="55">
        <v>0.5416666666666666</v>
      </c>
      <c r="I338" s="53"/>
      <c r="J338" s="60"/>
    </row>
    <row r="339">
      <c r="A339" s="51">
        <f t="shared" si="1"/>
        <v>337</v>
      </c>
      <c r="B339" s="52" t="s">
        <v>3856</v>
      </c>
      <c r="C339" s="56"/>
      <c r="D339" s="56"/>
      <c r="E339" s="52" t="s">
        <v>3847</v>
      </c>
      <c r="F339" s="52" t="s">
        <v>3428</v>
      </c>
      <c r="G339" s="54" t="s">
        <v>3429</v>
      </c>
      <c r="H339" s="55">
        <v>0.5416666666666666</v>
      </c>
      <c r="I339" s="53"/>
      <c r="J339" s="60"/>
    </row>
    <row r="340">
      <c r="A340" s="51">
        <f t="shared" si="1"/>
        <v>338</v>
      </c>
      <c r="B340" s="52" t="s">
        <v>3857</v>
      </c>
      <c r="C340" s="56"/>
      <c r="D340" s="56"/>
      <c r="E340" s="52" t="s">
        <v>3847</v>
      </c>
      <c r="F340" s="52" t="s">
        <v>3428</v>
      </c>
      <c r="G340" s="54" t="s">
        <v>3429</v>
      </c>
      <c r="H340" s="55">
        <v>0.5416666666666666</v>
      </c>
      <c r="I340" s="53"/>
      <c r="J340" s="60"/>
    </row>
    <row r="341">
      <c r="A341" s="51">
        <f t="shared" si="1"/>
        <v>339</v>
      </c>
      <c r="B341" s="52" t="s">
        <v>3858</v>
      </c>
      <c r="C341" s="56"/>
      <c r="D341" s="56"/>
      <c r="E341" s="52" t="s">
        <v>3847</v>
      </c>
      <c r="F341" s="52" t="s">
        <v>3428</v>
      </c>
      <c r="G341" s="54" t="s">
        <v>3429</v>
      </c>
      <c r="H341" s="55">
        <v>0.5416666666666666</v>
      </c>
      <c r="I341" s="53"/>
      <c r="J341" s="60"/>
    </row>
    <row r="342">
      <c r="A342" s="51">
        <f t="shared" si="1"/>
        <v>340</v>
      </c>
      <c r="B342" s="52" t="s">
        <v>3859</v>
      </c>
      <c r="C342" s="56"/>
      <c r="D342" s="56"/>
      <c r="E342" s="52" t="s">
        <v>3847</v>
      </c>
      <c r="F342" s="52" t="s">
        <v>3428</v>
      </c>
      <c r="G342" s="54" t="s">
        <v>3429</v>
      </c>
      <c r="H342" s="55">
        <v>0.5416666666666666</v>
      </c>
      <c r="I342" s="53"/>
      <c r="J342" s="60"/>
    </row>
    <row r="343">
      <c r="A343" s="51">
        <f t="shared" si="1"/>
        <v>341</v>
      </c>
      <c r="B343" s="52" t="s">
        <v>3860</v>
      </c>
      <c r="C343" s="56"/>
      <c r="D343" s="56"/>
      <c r="E343" s="52" t="s">
        <v>3847</v>
      </c>
      <c r="F343" s="52" t="s">
        <v>3428</v>
      </c>
      <c r="G343" s="54" t="s">
        <v>3429</v>
      </c>
      <c r="H343" s="55">
        <v>0.5416666666666666</v>
      </c>
      <c r="I343" s="53"/>
      <c r="J343" s="60"/>
    </row>
    <row r="344">
      <c r="A344" s="51">
        <f t="shared" si="1"/>
        <v>342</v>
      </c>
      <c r="B344" s="52" t="s">
        <v>3861</v>
      </c>
      <c r="C344" s="56"/>
      <c r="D344" s="56"/>
      <c r="E344" s="52" t="s">
        <v>3847</v>
      </c>
      <c r="F344" s="52" t="s">
        <v>3428</v>
      </c>
      <c r="G344" s="54" t="s">
        <v>3429</v>
      </c>
      <c r="H344" s="55">
        <v>0.5416666666666666</v>
      </c>
      <c r="I344" s="53"/>
      <c r="J344" s="60"/>
    </row>
    <row r="345">
      <c r="A345" s="51">
        <f t="shared" si="1"/>
        <v>343</v>
      </c>
      <c r="B345" s="52" t="s">
        <v>3862</v>
      </c>
      <c r="C345" s="56"/>
      <c r="D345" s="56"/>
      <c r="E345" s="52" t="s">
        <v>3847</v>
      </c>
      <c r="F345" s="52" t="s">
        <v>3428</v>
      </c>
      <c r="G345" s="54" t="s">
        <v>3429</v>
      </c>
      <c r="H345" s="55">
        <v>0.5416666666666666</v>
      </c>
      <c r="I345" s="53"/>
      <c r="J345" s="60"/>
    </row>
    <row r="346">
      <c r="A346" s="51">
        <f t="shared" si="1"/>
        <v>344</v>
      </c>
      <c r="B346" s="52" t="s">
        <v>3863</v>
      </c>
      <c r="C346" s="56"/>
      <c r="D346" s="56"/>
      <c r="E346" s="52" t="s">
        <v>3847</v>
      </c>
      <c r="F346" s="52" t="s">
        <v>3428</v>
      </c>
      <c r="G346" s="54" t="s">
        <v>3429</v>
      </c>
      <c r="H346" s="55">
        <v>0.5416666666666666</v>
      </c>
      <c r="I346" s="53"/>
      <c r="J346" s="60"/>
    </row>
    <row r="347">
      <c r="A347" s="51">
        <f t="shared" si="1"/>
        <v>345</v>
      </c>
      <c r="B347" s="52" t="s">
        <v>3864</v>
      </c>
      <c r="C347" s="56"/>
      <c r="D347" s="56"/>
      <c r="E347" s="52" t="s">
        <v>3847</v>
      </c>
      <c r="F347" s="52" t="s">
        <v>3428</v>
      </c>
      <c r="G347" s="54" t="s">
        <v>3429</v>
      </c>
      <c r="H347" s="55">
        <v>0.5416666666666666</v>
      </c>
      <c r="I347" s="53"/>
      <c r="J347" s="60"/>
    </row>
    <row r="348">
      <c r="A348" s="51">
        <f t="shared" si="1"/>
        <v>346</v>
      </c>
      <c r="B348" s="52" t="s">
        <v>3865</v>
      </c>
      <c r="C348" s="56"/>
      <c r="D348" s="56"/>
      <c r="E348" s="52" t="s">
        <v>3847</v>
      </c>
      <c r="F348" s="52" t="s">
        <v>3428</v>
      </c>
      <c r="G348" s="54" t="s">
        <v>3429</v>
      </c>
      <c r="H348" s="55">
        <v>0.5416666666666666</v>
      </c>
      <c r="I348" s="53"/>
      <c r="J348" s="60"/>
    </row>
    <row r="349">
      <c r="A349" s="51">
        <f t="shared" si="1"/>
        <v>347</v>
      </c>
      <c r="B349" s="59" t="s">
        <v>3866</v>
      </c>
      <c r="C349" s="56"/>
      <c r="D349" s="56"/>
      <c r="E349" s="52" t="s">
        <v>3847</v>
      </c>
      <c r="F349" s="52" t="s">
        <v>3428</v>
      </c>
      <c r="G349" s="54" t="s">
        <v>3429</v>
      </c>
      <c r="H349" s="55">
        <v>0.5416666666666666</v>
      </c>
      <c r="I349" s="53"/>
      <c r="J349" s="60"/>
    </row>
    <row r="350">
      <c r="A350" s="51">
        <f t="shared" si="1"/>
        <v>348</v>
      </c>
      <c r="B350" s="52" t="s">
        <v>3867</v>
      </c>
      <c r="C350" s="56"/>
      <c r="D350" s="56"/>
      <c r="E350" s="52" t="s">
        <v>3847</v>
      </c>
      <c r="F350" s="52" t="s">
        <v>3428</v>
      </c>
      <c r="G350" s="54" t="s">
        <v>3429</v>
      </c>
      <c r="H350" s="55">
        <v>0.5416666666666666</v>
      </c>
      <c r="I350" s="53"/>
      <c r="J350" s="60"/>
    </row>
    <row r="351">
      <c r="A351" s="51">
        <f t="shared" si="1"/>
        <v>349</v>
      </c>
      <c r="B351" s="52" t="s">
        <v>3868</v>
      </c>
      <c r="C351" s="56"/>
      <c r="D351" s="56"/>
      <c r="E351" s="52" t="s">
        <v>3847</v>
      </c>
      <c r="F351" s="52" t="s">
        <v>3428</v>
      </c>
      <c r="G351" s="54" t="s">
        <v>3429</v>
      </c>
      <c r="H351" s="55">
        <v>0.5416666666666666</v>
      </c>
      <c r="I351" s="53"/>
      <c r="J351" s="60"/>
    </row>
    <row r="352">
      <c r="A352" s="51">
        <f t="shared" si="1"/>
        <v>350</v>
      </c>
      <c r="B352" s="52" t="s">
        <v>3869</v>
      </c>
      <c r="C352" s="56"/>
      <c r="D352" s="56"/>
      <c r="E352" s="52" t="s">
        <v>3847</v>
      </c>
      <c r="F352" s="52" t="s">
        <v>3428</v>
      </c>
      <c r="G352" s="54" t="s">
        <v>3429</v>
      </c>
      <c r="H352" s="55">
        <v>0.5416666666666666</v>
      </c>
      <c r="I352" s="53"/>
      <c r="J352" s="60"/>
    </row>
    <row r="353">
      <c r="A353" s="51">
        <f t="shared" si="1"/>
        <v>351</v>
      </c>
      <c r="B353" s="59" t="s">
        <v>3870</v>
      </c>
      <c r="C353" s="56"/>
      <c r="D353" s="56"/>
      <c r="E353" s="52" t="s">
        <v>3847</v>
      </c>
      <c r="F353" s="52" t="s">
        <v>3428</v>
      </c>
      <c r="G353" s="54" t="s">
        <v>3429</v>
      </c>
      <c r="H353" s="55">
        <v>0.5416666666666666</v>
      </c>
      <c r="I353" s="53"/>
      <c r="J353" s="60"/>
    </row>
    <row r="354">
      <c r="A354" s="51">
        <f t="shared" si="1"/>
        <v>352</v>
      </c>
      <c r="B354" s="52" t="s">
        <v>3871</v>
      </c>
      <c r="C354" s="56"/>
      <c r="D354" s="56"/>
      <c r="E354" s="52" t="s">
        <v>3847</v>
      </c>
      <c r="F354" s="52" t="s">
        <v>3428</v>
      </c>
      <c r="G354" s="54" t="s">
        <v>3429</v>
      </c>
      <c r="H354" s="55">
        <v>0.5416666666666666</v>
      </c>
      <c r="I354" s="53"/>
      <c r="J354" s="60"/>
    </row>
    <row r="355">
      <c r="A355" s="51">
        <f t="shared" si="1"/>
        <v>353</v>
      </c>
      <c r="B355" s="52" t="s">
        <v>3872</v>
      </c>
      <c r="C355" s="56"/>
      <c r="D355" s="56"/>
      <c r="E355" s="52" t="s">
        <v>3847</v>
      </c>
      <c r="F355" s="52" t="s">
        <v>3428</v>
      </c>
      <c r="G355" s="54" t="s">
        <v>3429</v>
      </c>
      <c r="H355" s="55">
        <v>0.5416666666666666</v>
      </c>
      <c r="I355" s="53"/>
      <c r="J355" s="60"/>
    </row>
    <row r="356">
      <c r="A356" s="51">
        <f t="shared" si="1"/>
        <v>354</v>
      </c>
      <c r="B356" s="52" t="s">
        <v>3873</v>
      </c>
      <c r="C356" s="56"/>
      <c r="D356" s="56"/>
      <c r="E356" s="52" t="s">
        <v>3847</v>
      </c>
      <c r="F356" s="52" t="s">
        <v>3428</v>
      </c>
      <c r="G356" s="54" t="s">
        <v>3429</v>
      </c>
      <c r="H356" s="55">
        <v>0.5416666666666666</v>
      </c>
      <c r="I356" s="53"/>
      <c r="J356" s="60"/>
    </row>
    <row r="357">
      <c r="A357" s="51">
        <f t="shared" si="1"/>
        <v>355</v>
      </c>
      <c r="B357" s="59" t="s">
        <v>3874</v>
      </c>
      <c r="C357" s="56"/>
      <c r="D357" s="56"/>
      <c r="E357" s="52" t="s">
        <v>3847</v>
      </c>
      <c r="F357" s="52" t="s">
        <v>3428</v>
      </c>
      <c r="G357" s="54" t="s">
        <v>3429</v>
      </c>
      <c r="H357" s="55">
        <v>0.5416666666666666</v>
      </c>
      <c r="I357" s="53"/>
      <c r="J357" s="60" t="s">
        <v>330</v>
      </c>
    </row>
    <row r="358">
      <c r="A358" s="51">
        <f t="shared" si="1"/>
        <v>356</v>
      </c>
      <c r="B358" s="52" t="s">
        <v>3875</v>
      </c>
      <c r="C358" s="56"/>
      <c r="D358" s="56"/>
      <c r="E358" s="52" t="s">
        <v>3847</v>
      </c>
      <c r="F358" s="52" t="s">
        <v>3428</v>
      </c>
      <c r="G358" s="54" t="s">
        <v>3429</v>
      </c>
      <c r="H358" s="55">
        <v>0.5416666666666666</v>
      </c>
      <c r="I358" s="53"/>
      <c r="J358" s="60" t="s">
        <v>330</v>
      </c>
    </row>
    <row r="359">
      <c r="A359" s="51">
        <f t="shared" si="1"/>
        <v>357</v>
      </c>
      <c r="B359" s="52" t="s">
        <v>3876</v>
      </c>
      <c r="C359" s="56"/>
      <c r="D359" s="56"/>
      <c r="E359" s="52" t="s">
        <v>3847</v>
      </c>
      <c r="F359" s="52" t="s">
        <v>3428</v>
      </c>
      <c r="G359" s="54" t="s">
        <v>3429</v>
      </c>
      <c r="H359" s="55">
        <v>0.5416666666666666</v>
      </c>
      <c r="I359" s="53"/>
      <c r="J359" s="60" t="s">
        <v>330</v>
      </c>
    </row>
    <row r="360">
      <c r="A360" s="51">
        <f t="shared" si="1"/>
        <v>358</v>
      </c>
      <c r="B360" s="52" t="s">
        <v>3877</v>
      </c>
      <c r="C360" s="56"/>
      <c r="D360" s="56"/>
      <c r="E360" s="52" t="s">
        <v>3847</v>
      </c>
      <c r="F360" s="52" t="s">
        <v>3428</v>
      </c>
      <c r="G360" s="54" t="s">
        <v>3429</v>
      </c>
      <c r="H360" s="55">
        <v>0.5416666666666666</v>
      </c>
      <c r="I360" s="53"/>
      <c r="J360" s="60" t="s">
        <v>3878</v>
      </c>
    </row>
    <row r="361">
      <c r="A361" s="51">
        <f t="shared" si="1"/>
        <v>359</v>
      </c>
      <c r="B361" s="59" t="s">
        <v>3879</v>
      </c>
      <c r="C361" s="56"/>
      <c r="D361" s="56"/>
      <c r="E361" s="52" t="s">
        <v>3847</v>
      </c>
      <c r="F361" s="52" t="s">
        <v>3428</v>
      </c>
      <c r="G361" s="54" t="s">
        <v>3429</v>
      </c>
      <c r="H361" s="55">
        <v>0.5416666666666666</v>
      </c>
      <c r="I361" s="53"/>
      <c r="J361" s="60" t="s">
        <v>1126</v>
      </c>
    </row>
    <row r="362">
      <c r="A362" s="51">
        <f t="shared" si="1"/>
        <v>360</v>
      </c>
      <c r="B362" s="59" t="s">
        <v>3880</v>
      </c>
      <c r="C362" s="56"/>
      <c r="D362" s="56"/>
      <c r="E362" s="52" t="s">
        <v>3847</v>
      </c>
      <c r="F362" s="52" t="s">
        <v>3428</v>
      </c>
      <c r="G362" s="54" t="s">
        <v>3429</v>
      </c>
      <c r="H362" s="55">
        <v>0.5416666666666666</v>
      </c>
      <c r="I362" s="53"/>
      <c r="J362" s="60" t="s">
        <v>1088</v>
      </c>
    </row>
    <row r="363">
      <c r="A363" s="51">
        <f t="shared" si="1"/>
        <v>361</v>
      </c>
      <c r="B363" s="52" t="s">
        <v>3881</v>
      </c>
      <c r="C363" s="56"/>
      <c r="D363" s="56"/>
      <c r="E363" s="52" t="s">
        <v>3847</v>
      </c>
      <c r="F363" s="52" t="s">
        <v>3428</v>
      </c>
      <c r="G363" s="54" t="s">
        <v>3429</v>
      </c>
      <c r="H363" s="55">
        <v>0.5416666666666666</v>
      </c>
      <c r="I363" s="53"/>
      <c r="J363" s="60" t="s">
        <v>986</v>
      </c>
    </row>
    <row r="364">
      <c r="A364" s="51">
        <f t="shared" si="1"/>
        <v>362</v>
      </c>
      <c r="B364" s="52" t="s">
        <v>3882</v>
      </c>
      <c r="C364" s="56"/>
      <c r="D364" s="56"/>
      <c r="E364" s="52" t="s">
        <v>3847</v>
      </c>
      <c r="F364" s="52" t="s">
        <v>3428</v>
      </c>
      <c r="G364" s="54" t="s">
        <v>3429</v>
      </c>
      <c r="H364" s="55">
        <v>0.5416666666666666</v>
      </c>
      <c r="I364" s="53"/>
      <c r="J364" s="60" t="s">
        <v>330</v>
      </c>
    </row>
    <row r="365">
      <c r="A365" s="51">
        <f t="shared" si="1"/>
        <v>363</v>
      </c>
      <c r="B365" s="52" t="s">
        <v>3883</v>
      </c>
      <c r="C365" s="56"/>
      <c r="D365" s="56"/>
      <c r="E365" s="52" t="s">
        <v>3847</v>
      </c>
      <c r="F365" s="52" t="s">
        <v>3428</v>
      </c>
      <c r="G365" s="54" t="s">
        <v>3429</v>
      </c>
      <c r="H365" s="55">
        <v>0.5416666666666666</v>
      </c>
      <c r="I365" s="53"/>
      <c r="J365" s="60" t="s">
        <v>330</v>
      </c>
    </row>
    <row r="366">
      <c r="A366" s="51">
        <f t="shared" si="1"/>
        <v>364</v>
      </c>
      <c r="B366" s="52" t="s">
        <v>3884</v>
      </c>
      <c r="C366" s="56"/>
      <c r="D366" s="56"/>
      <c r="E366" s="52" t="s">
        <v>3847</v>
      </c>
      <c r="F366" s="52" t="s">
        <v>3428</v>
      </c>
      <c r="G366" s="54" t="s">
        <v>3429</v>
      </c>
      <c r="H366" s="55">
        <v>0.5416666666666666</v>
      </c>
      <c r="I366" s="53"/>
      <c r="J366" s="60" t="s">
        <v>3885</v>
      </c>
    </row>
    <row r="367">
      <c r="A367" s="51">
        <f t="shared" si="1"/>
        <v>365</v>
      </c>
      <c r="B367" s="52" t="s">
        <v>3886</v>
      </c>
      <c r="C367" s="56"/>
      <c r="D367" s="56"/>
      <c r="E367" s="52" t="s">
        <v>3847</v>
      </c>
      <c r="F367" s="52" t="s">
        <v>3428</v>
      </c>
      <c r="G367" s="54" t="s">
        <v>3429</v>
      </c>
      <c r="H367" s="55">
        <v>0.5416666666666666</v>
      </c>
      <c r="I367" s="53"/>
      <c r="J367" s="60" t="s">
        <v>1126</v>
      </c>
    </row>
    <row r="368">
      <c r="A368" s="51">
        <f t="shared" si="1"/>
        <v>366</v>
      </c>
      <c r="B368" s="52" t="s">
        <v>3887</v>
      </c>
      <c r="C368" s="56"/>
      <c r="D368" s="56"/>
      <c r="E368" s="52" t="s">
        <v>3847</v>
      </c>
      <c r="F368" s="52" t="s">
        <v>3428</v>
      </c>
      <c r="G368" s="54" t="s">
        <v>3429</v>
      </c>
      <c r="H368" s="55">
        <v>0.5416666666666666</v>
      </c>
      <c r="I368" s="53"/>
      <c r="J368" s="60" t="s">
        <v>330</v>
      </c>
    </row>
    <row r="369">
      <c r="A369" s="51">
        <f t="shared" si="1"/>
        <v>367</v>
      </c>
      <c r="B369" s="52" t="s">
        <v>3888</v>
      </c>
      <c r="C369" s="56"/>
      <c r="D369" s="56"/>
      <c r="E369" s="52" t="s">
        <v>3847</v>
      </c>
      <c r="F369" s="52" t="s">
        <v>3428</v>
      </c>
      <c r="G369" s="54" t="s">
        <v>3429</v>
      </c>
      <c r="H369" s="55">
        <v>0.5416666666666666</v>
      </c>
      <c r="I369" s="53"/>
      <c r="J369" s="60" t="s">
        <v>3889</v>
      </c>
    </row>
    <row r="370">
      <c r="A370" s="51">
        <f t="shared" si="1"/>
        <v>368</v>
      </c>
      <c r="B370" s="52" t="s">
        <v>3890</v>
      </c>
      <c r="C370" s="56"/>
      <c r="D370" s="56"/>
      <c r="E370" s="52" t="s">
        <v>3847</v>
      </c>
      <c r="F370" s="52" t="s">
        <v>3428</v>
      </c>
      <c r="G370" s="54" t="s">
        <v>3429</v>
      </c>
      <c r="H370" s="55">
        <v>0.5416666666666666</v>
      </c>
      <c r="I370" s="53"/>
      <c r="J370" s="60" t="s">
        <v>330</v>
      </c>
    </row>
    <row r="371">
      <c r="A371" s="51">
        <f t="shared" si="1"/>
        <v>369</v>
      </c>
      <c r="B371" s="52" t="s">
        <v>3891</v>
      </c>
      <c r="C371" s="56"/>
      <c r="D371" s="56"/>
      <c r="E371" s="52" t="s">
        <v>3847</v>
      </c>
      <c r="F371" s="52" t="s">
        <v>3428</v>
      </c>
      <c r="G371" s="54" t="s">
        <v>3429</v>
      </c>
      <c r="H371" s="55">
        <v>0.5416666666666666</v>
      </c>
      <c r="I371" s="53"/>
      <c r="J371" s="60" t="s">
        <v>2860</v>
      </c>
    </row>
    <row r="372">
      <c r="A372" s="51">
        <f t="shared" si="1"/>
        <v>370</v>
      </c>
      <c r="B372" s="52" t="s">
        <v>3892</v>
      </c>
      <c r="C372" s="56"/>
      <c r="D372" s="56"/>
      <c r="E372" s="52" t="s">
        <v>3847</v>
      </c>
      <c r="F372" s="52" t="s">
        <v>3428</v>
      </c>
      <c r="G372" s="54" t="s">
        <v>3429</v>
      </c>
      <c r="H372" s="55">
        <v>0.5416666666666666</v>
      </c>
      <c r="I372" s="53"/>
      <c r="J372" s="60" t="s">
        <v>3893</v>
      </c>
    </row>
    <row r="373">
      <c r="A373" s="51">
        <f t="shared" si="1"/>
        <v>371</v>
      </c>
      <c r="B373" s="52" t="s">
        <v>3894</v>
      </c>
      <c r="C373" s="56"/>
      <c r="D373" s="56"/>
      <c r="E373" s="52" t="s">
        <v>3847</v>
      </c>
      <c r="F373" s="52" t="s">
        <v>3428</v>
      </c>
      <c r="G373" s="54" t="s">
        <v>3429</v>
      </c>
      <c r="H373" s="55">
        <v>0.5416666666666666</v>
      </c>
      <c r="I373" s="53"/>
      <c r="J373" s="60" t="s">
        <v>330</v>
      </c>
    </row>
    <row r="374">
      <c r="A374" s="51">
        <f t="shared" si="1"/>
        <v>372</v>
      </c>
      <c r="B374" s="52" t="s">
        <v>3895</v>
      </c>
      <c r="C374" s="56"/>
      <c r="D374" s="56"/>
      <c r="E374" s="52" t="s">
        <v>3847</v>
      </c>
      <c r="F374" s="52" t="s">
        <v>3428</v>
      </c>
      <c r="G374" s="54" t="s">
        <v>3429</v>
      </c>
      <c r="H374" s="55">
        <v>0.5416666666666666</v>
      </c>
      <c r="I374" s="53"/>
      <c r="J374" s="60" t="s">
        <v>3079</v>
      </c>
    </row>
    <row r="375">
      <c r="A375" s="51">
        <f t="shared" si="1"/>
        <v>373</v>
      </c>
      <c r="B375" s="52" t="s">
        <v>3896</v>
      </c>
      <c r="C375" s="56"/>
      <c r="D375" s="56"/>
      <c r="E375" s="52" t="s">
        <v>3847</v>
      </c>
      <c r="F375" s="52" t="s">
        <v>3428</v>
      </c>
      <c r="G375" s="54" t="s">
        <v>3429</v>
      </c>
      <c r="H375" s="55">
        <v>0.5416666666666666</v>
      </c>
      <c r="I375" s="53"/>
      <c r="J375" s="60" t="s">
        <v>330</v>
      </c>
    </row>
    <row r="376">
      <c r="A376" s="51">
        <f t="shared" si="1"/>
        <v>374</v>
      </c>
      <c r="B376" s="52" t="s">
        <v>3897</v>
      </c>
      <c r="C376" s="56"/>
      <c r="D376" s="56"/>
      <c r="E376" s="52" t="s">
        <v>3847</v>
      </c>
      <c r="F376" s="52" t="s">
        <v>3428</v>
      </c>
      <c r="G376" s="54" t="s">
        <v>3429</v>
      </c>
      <c r="H376" s="55">
        <v>0.5416666666666666</v>
      </c>
      <c r="I376" s="53"/>
      <c r="J376" s="60" t="s">
        <v>3898</v>
      </c>
    </row>
    <row r="377">
      <c r="A377" s="51">
        <f t="shared" si="1"/>
        <v>375</v>
      </c>
      <c r="B377" s="52" t="s">
        <v>3899</v>
      </c>
      <c r="C377" s="56"/>
      <c r="D377" s="56"/>
      <c r="E377" s="52" t="s">
        <v>3847</v>
      </c>
      <c r="F377" s="52" t="s">
        <v>3428</v>
      </c>
      <c r="G377" s="54" t="s">
        <v>3429</v>
      </c>
      <c r="H377" s="55">
        <v>0.5416666666666666</v>
      </c>
      <c r="I377" s="53"/>
      <c r="J377" s="60" t="s">
        <v>3795</v>
      </c>
    </row>
    <row r="378">
      <c r="A378" s="51">
        <f t="shared" si="1"/>
        <v>376</v>
      </c>
      <c r="B378" s="52" t="s">
        <v>3900</v>
      </c>
      <c r="C378" s="56"/>
      <c r="D378" s="56"/>
      <c r="E378" s="52" t="s">
        <v>3847</v>
      </c>
      <c r="F378" s="52" t="s">
        <v>3428</v>
      </c>
      <c r="G378" s="54" t="s">
        <v>3429</v>
      </c>
      <c r="H378" s="55">
        <v>0.5416666666666666</v>
      </c>
      <c r="I378" s="53"/>
      <c r="J378" s="60" t="s">
        <v>3901</v>
      </c>
    </row>
    <row r="379">
      <c r="A379" s="51">
        <f t="shared" si="1"/>
        <v>377</v>
      </c>
      <c r="B379" s="52" t="s">
        <v>3902</v>
      </c>
      <c r="C379" s="56"/>
      <c r="D379" s="56"/>
      <c r="E379" s="52" t="s">
        <v>3847</v>
      </c>
      <c r="F379" s="52" t="s">
        <v>3428</v>
      </c>
      <c r="G379" s="54" t="s">
        <v>3429</v>
      </c>
      <c r="H379" s="55">
        <v>0.5416666666666666</v>
      </c>
      <c r="I379" s="53"/>
      <c r="J379" s="60" t="s">
        <v>330</v>
      </c>
    </row>
    <row r="380">
      <c r="A380" s="51">
        <f t="shared" si="1"/>
        <v>378</v>
      </c>
      <c r="B380" s="52" t="s">
        <v>3903</v>
      </c>
      <c r="C380" s="56"/>
      <c r="D380" s="56"/>
      <c r="E380" s="52" t="s">
        <v>3847</v>
      </c>
      <c r="F380" s="52" t="s">
        <v>3428</v>
      </c>
      <c r="G380" s="54" t="s">
        <v>3429</v>
      </c>
      <c r="H380" s="55">
        <v>0.5416666666666666</v>
      </c>
      <c r="I380" s="53"/>
      <c r="J380" s="60" t="s">
        <v>3904</v>
      </c>
    </row>
    <row r="381">
      <c r="A381" s="51">
        <f t="shared" si="1"/>
        <v>379</v>
      </c>
      <c r="B381" s="52" t="s">
        <v>3905</v>
      </c>
      <c r="C381" s="56"/>
      <c r="D381" s="56"/>
      <c r="E381" s="52" t="s">
        <v>3847</v>
      </c>
      <c r="F381" s="52" t="s">
        <v>3428</v>
      </c>
      <c r="G381" s="54" t="s">
        <v>3429</v>
      </c>
      <c r="H381" s="55">
        <v>0.5416666666666666</v>
      </c>
      <c r="I381" s="53"/>
      <c r="J381" s="60" t="s">
        <v>3906</v>
      </c>
    </row>
    <row r="382">
      <c r="A382" s="51">
        <f t="shared" si="1"/>
        <v>380</v>
      </c>
      <c r="B382" s="52" t="s">
        <v>3907</v>
      </c>
      <c r="C382" s="56"/>
      <c r="D382" s="56"/>
      <c r="E382" s="52" t="s">
        <v>3847</v>
      </c>
      <c r="F382" s="52" t="s">
        <v>3428</v>
      </c>
      <c r="G382" s="54" t="s">
        <v>3429</v>
      </c>
      <c r="H382" s="55">
        <v>0.5416666666666666</v>
      </c>
      <c r="I382" s="53"/>
      <c r="J382" s="60" t="s">
        <v>3908</v>
      </c>
    </row>
    <row r="383">
      <c r="A383" s="51">
        <f t="shared" si="1"/>
        <v>381</v>
      </c>
      <c r="B383" s="52" t="s">
        <v>3909</v>
      </c>
      <c r="C383" s="56"/>
      <c r="D383" s="56"/>
      <c r="E383" s="52" t="s">
        <v>3847</v>
      </c>
      <c r="F383" s="52" t="s">
        <v>3428</v>
      </c>
      <c r="G383" s="54" t="s">
        <v>3429</v>
      </c>
      <c r="H383" s="55">
        <v>0.5416666666666666</v>
      </c>
      <c r="I383" s="53"/>
      <c r="J383" s="60" t="s">
        <v>3910</v>
      </c>
    </row>
    <row r="384">
      <c r="A384" s="51">
        <f t="shared" si="1"/>
        <v>382</v>
      </c>
      <c r="B384" s="52" t="s">
        <v>3911</v>
      </c>
      <c r="C384" s="56"/>
      <c r="D384" s="56"/>
      <c r="E384" s="52" t="s">
        <v>3847</v>
      </c>
      <c r="F384" s="52" t="s">
        <v>3428</v>
      </c>
      <c r="G384" s="54" t="s">
        <v>3429</v>
      </c>
      <c r="H384" s="55">
        <v>0.5416666666666666</v>
      </c>
      <c r="I384" s="53"/>
      <c r="J384" s="60" t="s">
        <v>3912</v>
      </c>
    </row>
    <row r="385">
      <c r="A385" s="51">
        <f t="shared" si="1"/>
        <v>383</v>
      </c>
      <c r="B385" s="52" t="s">
        <v>3913</v>
      </c>
      <c r="C385" s="56"/>
      <c r="D385" s="56"/>
      <c r="E385" s="52" t="s">
        <v>3847</v>
      </c>
      <c r="F385" s="52" t="s">
        <v>3428</v>
      </c>
      <c r="G385" s="54" t="s">
        <v>3429</v>
      </c>
      <c r="H385" s="55">
        <v>0.5416666666666666</v>
      </c>
      <c r="I385" s="53"/>
      <c r="J385" s="60" t="s">
        <v>3910</v>
      </c>
    </row>
    <row r="386">
      <c r="A386" s="51">
        <f t="shared" si="1"/>
        <v>384</v>
      </c>
      <c r="B386" s="52" t="s">
        <v>3914</v>
      </c>
      <c r="C386" s="56"/>
      <c r="D386" s="56"/>
      <c r="E386" s="52" t="s">
        <v>3847</v>
      </c>
      <c r="F386" s="52" t="s">
        <v>3428</v>
      </c>
      <c r="G386" s="54" t="s">
        <v>3429</v>
      </c>
      <c r="H386" s="55">
        <v>0.5416666666666666</v>
      </c>
      <c r="I386" s="53"/>
      <c r="J386" s="60" t="s">
        <v>1088</v>
      </c>
    </row>
    <row r="387">
      <c r="A387" s="51">
        <f t="shared" si="1"/>
        <v>385</v>
      </c>
      <c r="B387" s="52" t="s">
        <v>3915</v>
      </c>
      <c r="C387" s="56"/>
      <c r="D387" s="56"/>
      <c r="E387" s="52" t="s">
        <v>3847</v>
      </c>
      <c r="F387" s="52" t="s">
        <v>3428</v>
      </c>
      <c r="G387" s="54" t="s">
        <v>3429</v>
      </c>
      <c r="H387" s="55">
        <v>0.5416666666666666</v>
      </c>
      <c r="I387" s="53"/>
      <c r="J387" s="60" t="s">
        <v>330</v>
      </c>
    </row>
    <row r="388">
      <c r="A388" s="51">
        <f t="shared" si="1"/>
        <v>386</v>
      </c>
      <c r="B388" s="52" t="s">
        <v>3916</v>
      </c>
      <c r="C388" s="56"/>
      <c r="D388" s="56"/>
      <c r="E388" s="52" t="s">
        <v>3847</v>
      </c>
      <c r="F388" s="52" t="s">
        <v>3428</v>
      </c>
      <c r="G388" s="54" t="s">
        <v>3429</v>
      </c>
      <c r="H388" s="55">
        <v>0.5416666666666666</v>
      </c>
      <c r="I388" s="53"/>
      <c r="J388" s="60" t="s">
        <v>330</v>
      </c>
    </row>
    <row r="389">
      <c r="A389" s="51">
        <f t="shared" si="1"/>
        <v>387</v>
      </c>
      <c r="B389" s="52" t="s">
        <v>3917</v>
      </c>
      <c r="C389" s="56"/>
      <c r="D389" s="56"/>
      <c r="E389" s="52" t="s">
        <v>3847</v>
      </c>
      <c r="F389" s="52" t="s">
        <v>3428</v>
      </c>
      <c r="G389" s="54" t="s">
        <v>3429</v>
      </c>
      <c r="H389" s="55">
        <v>0.5416666666666666</v>
      </c>
      <c r="I389" s="53"/>
      <c r="J389" s="60" t="s">
        <v>330</v>
      </c>
    </row>
    <row r="390">
      <c r="A390" s="51">
        <f t="shared" si="1"/>
        <v>388</v>
      </c>
      <c r="B390" s="52" t="s">
        <v>3918</v>
      </c>
      <c r="C390" s="56"/>
      <c r="D390" s="56"/>
      <c r="E390" s="52" t="s">
        <v>3847</v>
      </c>
      <c r="F390" s="52" t="s">
        <v>3428</v>
      </c>
      <c r="G390" s="54" t="s">
        <v>3429</v>
      </c>
      <c r="H390" s="55">
        <v>0.5416666666666666</v>
      </c>
      <c r="I390" s="53"/>
      <c r="J390" s="60" t="s">
        <v>330</v>
      </c>
    </row>
    <row r="391">
      <c r="A391" s="51">
        <f t="shared" si="1"/>
        <v>389</v>
      </c>
      <c r="B391" s="52" t="s">
        <v>3919</v>
      </c>
      <c r="C391" s="56"/>
      <c r="D391" s="56"/>
      <c r="E391" s="52" t="s">
        <v>3847</v>
      </c>
      <c r="F391" s="52" t="s">
        <v>3428</v>
      </c>
      <c r="G391" s="54" t="s">
        <v>3429</v>
      </c>
      <c r="H391" s="55">
        <v>0.5416666666666666</v>
      </c>
      <c r="I391" s="53"/>
      <c r="J391" s="60" t="s">
        <v>3920</v>
      </c>
    </row>
    <row r="392">
      <c r="A392" s="51">
        <f t="shared" si="1"/>
        <v>390</v>
      </c>
      <c r="B392" s="52" t="s">
        <v>3921</v>
      </c>
      <c r="C392" s="56"/>
      <c r="D392" s="56"/>
      <c r="E392" s="52" t="s">
        <v>3847</v>
      </c>
      <c r="F392" s="52" t="s">
        <v>3428</v>
      </c>
      <c r="G392" s="54" t="s">
        <v>3429</v>
      </c>
      <c r="H392" s="55">
        <v>0.5416666666666666</v>
      </c>
      <c r="I392" s="53"/>
      <c r="J392" s="60" t="s">
        <v>3922</v>
      </c>
    </row>
    <row r="393">
      <c r="A393" s="51">
        <f t="shared" si="1"/>
        <v>391</v>
      </c>
      <c r="B393" s="59" t="s">
        <v>3923</v>
      </c>
      <c r="C393" s="56"/>
      <c r="D393" s="56"/>
      <c r="E393" s="52" t="s">
        <v>3847</v>
      </c>
      <c r="F393" s="52" t="s">
        <v>3428</v>
      </c>
      <c r="G393" s="54" t="s">
        <v>3429</v>
      </c>
      <c r="H393" s="55">
        <v>0.5416666666666666</v>
      </c>
      <c r="I393" s="53"/>
      <c r="J393" s="60" t="s">
        <v>3924</v>
      </c>
    </row>
    <row r="394">
      <c r="A394" s="51">
        <f t="shared" si="1"/>
        <v>392</v>
      </c>
      <c r="B394" s="59" t="s">
        <v>3925</v>
      </c>
      <c r="C394" s="56"/>
      <c r="D394" s="56"/>
      <c r="E394" s="52" t="s">
        <v>3847</v>
      </c>
      <c r="F394" s="52" t="s">
        <v>3428</v>
      </c>
      <c r="G394" s="54" t="s">
        <v>3429</v>
      </c>
      <c r="H394" s="55">
        <v>0.5416666666666666</v>
      </c>
      <c r="I394" s="53"/>
      <c r="J394" s="60" t="s">
        <v>3910</v>
      </c>
    </row>
    <row r="395">
      <c r="A395" s="51">
        <f t="shared" si="1"/>
        <v>393</v>
      </c>
      <c r="B395" s="59" t="s">
        <v>3926</v>
      </c>
      <c r="C395" s="56"/>
      <c r="D395" s="56"/>
      <c r="E395" s="52" t="s">
        <v>3847</v>
      </c>
      <c r="F395" s="52" t="s">
        <v>3428</v>
      </c>
      <c r="G395" s="54" t="s">
        <v>3429</v>
      </c>
      <c r="H395" s="55">
        <v>0.5416666666666666</v>
      </c>
      <c r="I395" s="53"/>
      <c r="J395" s="60" t="s">
        <v>3910</v>
      </c>
    </row>
    <row r="396">
      <c r="A396" s="51">
        <f t="shared" si="1"/>
        <v>394</v>
      </c>
      <c r="B396" s="59" t="s">
        <v>3927</v>
      </c>
      <c r="C396" s="56"/>
      <c r="D396" s="56"/>
      <c r="E396" s="52" t="s">
        <v>3847</v>
      </c>
      <c r="F396" s="52" t="s">
        <v>3428</v>
      </c>
      <c r="G396" s="54" t="s">
        <v>3429</v>
      </c>
      <c r="H396" s="55">
        <v>0.5416666666666666</v>
      </c>
      <c r="I396" s="53"/>
      <c r="J396" s="60" t="s">
        <v>3928</v>
      </c>
    </row>
    <row r="397">
      <c r="A397" s="51">
        <f t="shared" si="1"/>
        <v>395</v>
      </c>
      <c r="B397" s="59" t="s">
        <v>3929</v>
      </c>
      <c r="C397" s="56"/>
      <c r="D397" s="56"/>
      <c r="E397" s="52" t="s">
        <v>3847</v>
      </c>
      <c r="F397" s="52" t="s">
        <v>3428</v>
      </c>
      <c r="G397" s="54" t="s">
        <v>3429</v>
      </c>
      <c r="H397" s="55">
        <v>0.5416666666666666</v>
      </c>
      <c r="I397" s="53"/>
      <c r="J397" s="60" t="s">
        <v>3930</v>
      </c>
    </row>
    <row r="398">
      <c r="A398" s="51">
        <f t="shared" si="1"/>
        <v>396</v>
      </c>
      <c r="B398" s="52" t="s">
        <v>3931</v>
      </c>
      <c r="C398" s="56"/>
      <c r="D398" s="56"/>
      <c r="E398" s="52" t="s">
        <v>3847</v>
      </c>
      <c r="F398" s="52" t="s">
        <v>3428</v>
      </c>
      <c r="G398" s="54" t="s">
        <v>3429</v>
      </c>
      <c r="H398" s="55">
        <v>0.5416666666666666</v>
      </c>
      <c r="I398" s="53"/>
      <c r="J398" s="60" t="s">
        <v>330</v>
      </c>
    </row>
    <row r="399">
      <c r="A399" s="51">
        <f t="shared" si="1"/>
        <v>397</v>
      </c>
      <c r="B399" s="52" t="s">
        <v>3932</v>
      </c>
      <c r="C399" s="56"/>
      <c r="D399" s="56"/>
      <c r="E399" s="52" t="s">
        <v>3847</v>
      </c>
      <c r="F399" s="52" t="s">
        <v>3428</v>
      </c>
      <c r="G399" s="54" t="s">
        <v>3429</v>
      </c>
      <c r="H399" s="55">
        <v>0.5416666666666666</v>
      </c>
      <c r="I399" s="53"/>
      <c r="J399" s="60" t="s">
        <v>3933</v>
      </c>
    </row>
    <row r="400">
      <c r="A400" s="51">
        <f t="shared" si="1"/>
        <v>398</v>
      </c>
      <c r="B400" s="52" t="s">
        <v>3934</v>
      </c>
      <c r="C400" s="56"/>
      <c r="D400" s="56"/>
      <c r="E400" s="52" t="s">
        <v>3847</v>
      </c>
      <c r="F400" s="52" t="s">
        <v>3428</v>
      </c>
      <c r="G400" s="54" t="s">
        <v>3429</v>
      </c>
      <c r="H400" s="55">
        <v>0.5416666666666666</v>
      </c>
      <c r="I400" s="53"/>
      <c r="J400" s="60" t="s">
        <v>3908</v>
      </c>
    </row>
    <row r="401">
      <c r="A401" s="51">
        <f t="shared" si="1"/>
        <v>399</v>
      </c>
      <c r="B401" s="52" t="s">
        <v>3935</v>
      </c>
      <c r="C401" s="56"/>
      <c r="D401" s="56"/>
      <c r="E401" s="52" t="s">
        <v>3847</v>
      </c>
      <c r="F401" s="52" t="s">
        <v>3428</v>
      </c>
      <c r="G401" s="54" t="s">
        <v>3429</v>
      </c>
      <c r="H401" s="55">
        <v>0.5416666666666666</v>
      </c>
      <c r="I401" s="53"/>
      <c r="J401" s="60" t="s">
        <v>3933</v>
      </c>
    </row>
    <row r="402">
      <c r="A402" s="51">
        <f t="shared" si="1"/>
        <v>400</v>
      </c>
      <c r="B402" s="52" t="s">
        <v>3936</v>
      </c>
      <c r="C402" s="56"/>
      <c r="D402" s="56"/>
      <c r="E402" s="52" t="s">
        <v>3847</v>
      </c>
      <c r="F402" s="52" t="s">
        <v>3428</v>
      </c>
      <c r="G402" s="54" t="s">
        <v>3429</v>
      </c>
      <c r="H402" s="55">
        <v>0.5416666666666666</v>
      </c>
      <c r="I402" s="53"/>
      <c r="J402" s="60" t="s">
        <v>2861</v>
      </c>
    </row>
    <row r="403">
      <c r="A403" s="51">
        <f t="shared" si="1"/>
        <v>401</v>
      </c>
      <c r="B403" s="52" t="s">
        <v>3937</v>
      </c>
      <c r="C403" s="56"/>
      <c r="D403" s="56"/>
      <c r="E403" s="52" t="s">
        <v>3847</v>
      </c>
      <c r="F403" s="52" t="s">
        <v>3428</v>
      </c>
      <c r="G403" s="54" t="s">
        <v>3429</v>
      </c>
      <c r="H403" s="55">
        <v>0.5416666666666666</v>
      </c>
      <c r="I403" s="53"/>
      <c r="J403" s="60" t="s">
        <v>3928</v>
      </c>
    </row>
    <row r="404">
      <c r="A404" s="51">
        <f t="shared" si="1"/>
        <v>402</v>
      </c>
      <c r="B404" s="52" t="s">
        <v>3938</v>
      </c>
      <c r="C404" s="56"/>
      <c r="D404" s="56"/>
      <c r="E404" s="52" t="s">
        <v>3847</v>
      </c>
      <c r="F404" s="52" t="s">
        <v>3428</v>
      </c>
      <c r="G404" s="54" t="s">
        <v>3429</v>
      </c>
      <c r="H404" s="55">
        <v>0.5416666666666666</v>
      </c>
      <c r="I404" s="53"/>
      <c r="J404" s="60" t="s">
        <v>3910</v>
      </c>
    </row>
    <row r="405">
      <c r="A405" s="51">
        <f t="shared" si="1"/>
        <v>403</v>
      </c>
      <c r="B405" s="52" t="s">
        <v>3939</v>
      </c>
      <c r="C405" s="56"/>
      <c r="D405" s="56"/>
      <c r="E405" s="52" t="s">
        <v>3847</v>
      </c>
      <c r="F405" s="52" t="s">
        <v>3428</v>
      </c>
      <c r="G405" s="54" t="s">
        <v>3429</v>
      </c>
      <c r="H405" s="55">
        <v>0.5416666666666666</v>
      </c>
      <c r="I405" s="53"/>
      <c r="J405" s="60" t="s">
        <v>993</v>
      </c>
    </row>
    <row r="406">
      <c r="A406" s="51">
        <f t="shared" si="1"/>
        <v>404</v>
      </c>
      <c r="B406" s="52" t="s">
        <v>3940</v>
      </c>
      <c r="C406" s="56"/>
      <c r="D406" s="56"/>
      <c r="E406" s="52" t="s">
        <v>3847</v>
      </c>
      <c r="F406" s="52" t="s">
        <v>3428</v>
      </c>
      <c r="G406" s="54" t="s">
        <v>3429</v>
      </c>
      <c r="H406" s="55">
        <v>0.5416666666666666</v>
      </c>
      <c r="I406" s="53"/>
      <c r="J406" s="60" t="s">
        <v>3933</v>
      </c>
    </row>
    <row r="407">
      <c r="A407" s="51">
        <f t="shared" si="1"/>
        <v>405</v>
      </c>
      <c r="B407" s="52" t="s">
        <v>3941</v>
      </c>
      <c r="C407" s="56"/>
      <c r="D407" s="56"/>
      <c r="E407" s="52" t="s">
        <v>3847</v>
      </c>
      <c r="F407" s="52" t="s">
        <v>3428</v>
      </c>
      <c r="G407" s="54" t="s">
        <v>3429</v>
      </c>
      <c r="H407" s="55">
        <v>0.5416666666666666</v>
      </c>
      <c r="I407" s="53"/>
      <c r="J407" s="60" t="s">
        <v>3942</v>
      </c>
    </row>
    <row r="408">
      <c r="A408" s="51">
        <f t="shared" si="1"/>
        <v>406</v>
      </c>
      <c r="B408" s="52" t="s">
        <v>3943</v>
      </c>
      <c r="C408" s="56"/>
      <c r="D408" s="56"/>
      <c r="E408" s="52" t="s">
        <v>3847</v>
      </c>
      <c r="F408" s="52" t="s">
        <v>3428</v>
      </c>
      <c r="G408" s="54" t="s">
        <v>3429</v>
      </c>
      <c r="H408" s="55">
        <v>0.5416666666666666</v>
      </c>
      <c r="I408" s="53"/>
      <c r="J408" s="60" t="s">
        <v>375</v>
      </c>
    </row>
    <row r="409">
      <c r="A409" s="51">
        <f t="shared" si="1"/>
        <v>407</v>
      </c>
      <c r="B409" s="52" t="s">
        <v>3944</v>
      </c>
      <c r="C409" s="56"/>
      <c r="D409" s="56"/>
      <c r="E409" s="52" t="s">
        <v>3847</v>
      </c>
      <c r="F409" s="52" t="s">
        <v>3428</v>
      </c>
      <c r="G409" s="54" t="s">
        <v>3429</v>
      </c>
      <c r="H409" s="55">
        <v>0.5416666666666666</v>
      </c>
      <c r="I409" s="53"/>
      <c r="J409" s="60" t="s">
        <v>3787</v>
      </c>
    </row>
    <row r="410">
      <c r="A410" s="51">
        <f t="shared" si="1"/>
        <v>408</v>
      </c>
      <c r="B410" s="52" t="s">
        <v>3945</v>
      </c>
      <c r="C410" s="56"/>
      <c r="D410" s="56"/>
      <c r="E410" s="52" t="s">
        <v>3847</v>
      </c>
      <c r="F410" s="52" t="s">
        <v>3428</v>
      </c>
      <c r="G410" s="54" t="s">
        <v>3429</v>
      </c>
      <c r="H410" s="55">
        <v>0.5416666666666666</v>
      </c>
      <c r="I410" s="53"/>
      <c r="J410" s="60" t="s">
        <v>3928</v>
      </c>
    </row>
    <row r="411">
      <c r="A411" s="51">
        <f t="shared" si="1"/>
        <v>409</v>
      </c>
      <c r="B411" s="52" t="s">
        <v>3946</v>
      </c>
      <c r="C411" s="56"/>
      <c r="D411" s="56"/>
      <c r="E411" s="52" t="s">
        <v>3847</v>
      </c>
      <c r="F411" s="52" t="s">
        <v>3428</v>
      </c>
      <c r="G411" s="54" t="s">
        <v>3429</v>
      </c>
      <c r="H411" s="55">
        <v>0.5416666666666666</v>
      </c>
      <c r="I411" s="53"/>
      <c r="J411" s="60" t="s">
        <v>375</v>
      </c>
    </row>
    <row r="412">
      <c r="A412" s="51">
        <f t="shared" si="1"/>
        <v>410</v>
      </c>
      <c r="B412" s="52" t="s">
        <v>3947</v>
      </c>
      <c r="C412" s="56"/>
      <c r="D412" s="56"/>
      <c r="E412" s="52" t="s">
        <v>3847</v>
      </c>
      <c r="F412" s="52" t="s">
        <v>3428</v>
      </c>
      <c r="G412" s="54" t="s">
        <v>3429</v>
      </c>
      <c r="H412" s="55">
        <v>0.5416666666666666</v>
      </c>
      <c r="I412" s="53"/>
      <c r="J412" s="60" t="s">
        <v>3948</v>
      </c>
    </row>
    <row r="413">
      <c r="A413" s="51">
        <f t="shared" si="1"/>
        <v>411</v>
      </c>
      <c r="B413" s="52" t="s">
        <v>3949</v>
      </c>
      <c r="C413" s="56"/>
      <c r="D413" s="56"/>
      <c r="E413" s="52" t="s">
        <v>3847</v>
      </c>
      <c r="F413" s="52" t="s">
        <v>3428</v>
      </c>
      <c r="G413" s="54" t="s">
        <v>3429</v>
      </c>
      <c r="H413" s="55">
        <v>0.5416666666666666</v>
      </c>
      <c r="I413" s="53"/>
      <c r="J413" s="60" t="s">
        <v>3908</v>
      </c>
    </row>
    <row r="414">
      <c r="A414" s="51">
        <f t="shared" si="1"/>
        <v>412</v>
      </c>
      <c r="B414" s="52" t="s">
        <v>3950</v>
      </c>
      <c r="C414" s="56"/>
      <c r="D414" s="56"/>
      <c r="E414" s="52" t="s">
        <v>3847</v>
      </c>
      <c r="F414" s="52" t="s">
        <v>3428</v>
      </c>
      <c r="G414" s="54" t="s">
        <v>3429</v>
      </c>
      <c r="H414" s="55">
        <v>0.5416666666666666</v>
      </c>
      <c r="I414" s="53"/>
      <c r="J414" s="60" t="s">
        <v>3951</v>
      </c>
    </row>
    <row r="415">
      <c r="A415" s="51">
        <f t="shared" si="1"/>
        <v>413</v>
      </c>
      <c r="B415" s="52" t="s">
        <v>3952</v>
      </c>
      <c r="C415" s="56"/>
      <c r="D415" s="56"/>
      <c r="E415" s="52" t="s">
        <v>3847</v>
      </c>
      <c r="F415" s="52" t="s">
        <v>3428</v>
      </c>
      <c r="G415" s="54" t="s">
        <v>3429</v>
      </c>
      <c r="H415" s="55">
        <v>0.5416666666666666</v>
      </c>
      <c r="I415" s="53"/>
      <c r="J415" s="60" t="s">
        <v>330</v>
      </c>
    </row>
    <row r="416">
      <c r="A416" s="51">
        <f t="shared" si="1"/>
        <v>414</v>
      </c>
      <c r="B416" s="52" t="s">
        <v>3953</v>
      </c>
      <c r="C416" s="56"/>
      <c r="D416" s="56"/>
      <c r="E416" s="52" t="s">
        <v>3847</v>
      </c>
      <c r="F416" s="52" t="s">
        <v>3428</v>
      </c>
      <c r="G416" s="54" t="s">
        <v>3429</v>
      </c>
      <c r="H416" s="55">
        <v>0.5416666666666666</v>
      </c>
      <c r="I416" s="53"/>
      <c r="J416" s="60" t="s">
        <v>2861</v>
      </c>
    </row>
    <row r="417">
      <c r="A417" s="51">
        <f t="shared" si="1"/>
        <v>415</v>
      </c>
      <c r="B417" s="52" t="s">
        <v>3954</v>
      </c>
      <c r="C417" s="56"/>
      <c r="D417" s="56"/>
      <c r="E417" s="52" t="s">
        <v>3847</v>
      </c>
      <c r="F417" s="52" t="s">
        <v>3428</v>
      </c>
      <c r="G417" s="54" t="s">
        <v>3429</v>
      </c>
      <c r="H417" s="55">
        <v>0.5416666666666666</v>
      </c>
      <c r="I417" s="53"/>
      <c r="J417" s="60" t="s">
        <v>3955</v>
      </c>
    </row>
    <row r="418">
      <c r="A418" s="51">
        <f t="shared" si="1"/>
        <v>416</v>
      </c>
      <c r="B418" s="52" t="s">
        <v>3956</v>
      </c>
      <c r="C418" s="56"/>
      <c r="D418" s="56"/>
      <c r="E418" s="52" t="s">
        <v>3847</v>
      </c>
      <c r="F418" s="52" t="s">
        <v>3428</v>
      </c>
      <c r="G418" s="54" t="s">
        <v>3429</v>
      </c>
      <c r="H418" s="55">
        <v>0.5416666666666666</v>
      </c>
      <c r="I418" s="53"/>
      <c r="J418" s="60" t="s">
        <v>330</v>
      </c>
    </row>
    <row r="419">
      <c r="A419" s="51">
        <f t="shared" si="1"/>
        <v>417</v>
      </c>
      <c r="B419" s="52" t="s">
        <v>3957</v>
      </c>
      <c r="C419" s="56"/>
      <c r="D419" s="56"/>
      <c r="E419" s="52" t="s">
        <v>3847</v>
      </c>
      <c r="F419" s="52" t="s">
        <v>3428</v>
      </c>
      <c r="G419" s="54" t="s">
        <v>3429</v>
      </c>
      <c r="H419" s="55">
        <v>0.5416666666666666</v>
      </c>
      <c r="I419" s="53"/>
      <c r="J419" s="60" t="s">
        <v>3958</v>
      </c>
    </row>
    <row r="420">
      <c r="A420" s="51">
        <f t="shared" si="1"/>
        <v>418</v>
      </c>
      <c r="B420" s="52" t="s">
        <v>3959</v>
      </c>
      <c r="C420" s="56"/>
      <c r="D420" s="56"/>
      <c r="E420" s="52" t="s">
        <v>3847</v>
      </c>
      <c r="F420" s="52" t="s">
        <v>3428</v>
      </c>
      <c r="G420" s="54" t="s">
        <v>3429</v>
      </c>
      <c r="H420" s="55">
        <v>0.5416666666666666</v>
      </c>
      <c r="I420" s="53"/>
      <c r="J420" s="60" t="s">
        <v>3908</v>
      </c>
    </row>
    <row r="421">
      <c r="A421" s="51">
        <f t="shared" si="1"/>
        <v>419</v>
      </c>
      <c r="B421" s="52" t="s">
        <v>3960</v>
      </c>
      <c r="C421" s="56"/>
      <c r="D421" s="56"/>
      <c r="E421" s="52" t="s">
        <v>3847</v>
      </c>
      <c r="F421" s="52" t="s">
        <v>3428</v>
      </c>
      <c r="G421" s="54" t="s">
        <v>3429</v>
      </c>
      <c r="H421" s="55">
        <v>0.5416666666666666</v>
      </c>
      <c r="I421" s="53"/>
      <c r="J421" s="60" t="s">
        <v>330</v>
      </c>
    </row>
    <row r="422">
      <c r="A422" s="51">
        <f t="shared" si="1"/>
        <v>420</v>
      </c>
      <c r="B422" s="52" t="s">
        <v>3961</v>
      </c>
      <c r="C422" s="56"/>
      <c r="D422" s="56"/>
      <c r="E422" s="52" t="s">
        <v>3847</v>
      </c>
      <c r="F422" s="52" t="s">
        <v>3428</v>
      </c>
      <c r="G422" s="54" t="s">
        <v>3429</v>
      </c>
      <c r="H422" s="55">
        <v>0.5416666666666666</v>
      </c>
      <c r="I422" s="53"/>
      <c r="J422" s="60" t="s">
        <v>330</v>
      </c>
    </row>
    <row r="423">
      <c r="A423" s="51">
        <f t="shared" si="1"/>
        <v>421</v>
      </c>
      <c r="B423" s="52" t="s">
        <v>3962</v>
      </c>
      <c r="C423" s="56"/>
      <c r="D423" s="56"/>
      <c r="E423" s="52" t="s">
        <v>3847</v>
      </c>
      <c r="F423" s="52" t="s">
        <v>3428</v>
      </c>
      <c r="G423" s="54" t="s">
        <v>3429</v>
      </c>
      <c r="H423" s="55">
        <v>0.5416666666666666</v>
      </c>
      <c r="I423" s="53"/>
      <c r="J423" s="60" t="s">
        <v>330</v>
      </c>
    </row>
    <row r="424">
      <c r="A424" s="51">
        <f t="shared" si="1"/>
        <v>422</v>
      </c>
      <c r="B424" s="52" t="s">
        <v>3963</v>
      </c>
      <c r="C424" s="56"/>
      <c r="D424" s="56"/>
      <c r="E424" s="52" t="s">
        <v>3847</v>
      </c>
      <c r="F424" s="52" t="s">
        <v>3428</v>
      </c>
      <c r="G424" s="54" t="s">
        <v>3429</v>
      </c>
      <c r="H424" s="55">
        <v>0.5416666666666666</v>
      </c>
      <c r="I424" s="53"/>
      <c r="J424" s="60" t="s">
        <v>330</v>
      </c>
    </row>
    <row r="425">
      <c r="A425" s="51">
        <f t="shared" si="1"/>
        <v>423</v>
      </c>
      <c r="B425" s="52" t="s">
        <v>3964</v>
      </c>
      <c r="C425" s="56"/>
      <c r="D425" s="56"/>
      <c r="E425" s="52" t="s">
        <v>3847</v>
      </c>
      <c r="F425" s="52" t="s">
        <v>3428</v>
      </c>
      <c r="G425" s="54" t="s">
        <v>3429</v>
      </c>
      <c r="H425" s="55">
        <v>0.5416666666666666</v>
      </c>
      <c r="I425" s="53"/>
      <c r="J425" s="60" t="s">
        <v>330</v>
      </c>
    </row>
    <row r="426">
      <c r="A426" s="51">
        <f t="shared" si="1"/>
        <v>424</v>
      </c>
      <c r="B426" s="52" t="s">
        <v>3965</v>
      </c>
      <c r="C426" s="56"/>
      <c r="D426" s="56"/>
      <c r="E426" s="52" t="s">
        <v>3847</v>
      </c>
      <c r="F426" s="52" t="s">
        <v>3428</v>
      </c>
      <c r="G426" s="54" t="s">
        <v>3429</v>
      </c>
      <c r="H426" s="55">
        <v>0.5416666666666666</v>
      </c>
      <c r="I426" s="53"/>
      <c r="J426" s="60" t="s">
        <v>330</v>
      </c>
    </row>
    <row r="427">
      <c r="A427" s="51">
        <f t="shared" si="1"/>
        <v>425</v>
      </c>
      <c r="B427" s="52" t="s">
        <v>3966</v>
      </c>
      <c r="C427" s="56"/>
      <c r="D427" s="56"/>
      <c r="E427" s="52" t="s">
        <v>3847</v>
      </c>
      <c r="F427" s="52" t="s">
        <v>3428</v>
      </c>
      <c r="G427" s="54" t="s">
        <v>3429</v>
      </c>
      <c r="H427" s="55">
        <v>0.5416666666666666</v>
      </c>
      <c r="I427" s="53"/>
      <c r="J427" s="60" t="s">
        <v>330</v>
      </c>
    </row>
    <row r="428">
      <c r="A428" s="51">
        <f t="shared" si="1"/>
        <v>426</v>
      </c>
      <c r="B428" s="52" t="s">
        <v>3967</v>
      </c>
      <c r="C428" s="56"/>
      <c r="D428" s="56"/>
      <c r="E428" s="52" t="s">
        <v>3847</v>
      </c>
      <c r="F428" s="52" t="s">
        <v>3428</v>
      </c>
      <c r="G428" s="54" t="s">
        <v>3429</v>
      </c>
      <c r="H428" s="55">
        <v>0.5416666666666666</v>
      </c>
      <c r="I428" s="53"/>
      <c r="J428" s="60" t="s">
        <v>330</v>
      </c>
    </row>
    <row r="429">
      <c r="A429" s="51">
        <f t="shared" si="1"/>
        <v>427</v>
      </c>
      <c r="B429" s="52" t="s">
        <v>3968</v>
      </c>
      <c r="C429" s="56"/>
      <c r="D429" s="56"/>
      <c r="E429" s="52" t="s">
        <v>3847</v>
      </c>
      <c r="F429" s="52" t="s">
        <v>3428</v>
      </c>
      <c r="G429" s="54" t="s">
        <v>3429</v>
      </c>
      <c r="H429" s="55">
        <v>0.5416666666666666</v>
      </c>
      <c r="I429" s="53"/>
      <c r="J429" s="60" t="s">
        <v>3969</v>
      </c>
    </row>
    <row r="430">
      <c r="A430" s="51">
        <f t="shared" si="1"/>
        <v>428</v>
      </c>
      <c r="B430" s="59" t="s">
        <v>3970</v>
      </c>
      <c r="C430" s="56"/>
      <c r="D430" s="56"/>
      <c r="E430" s="52" t="s">
        <v>3847</v>
      </c>
      <c r="F430" s="52" t="s">
        <v>3428</v>
      </c>
      <c r="G430" s="54" t="s">
        <v>3429</v>
      </c>
      <c r="H430" s="55">
        <v>0.5416666666666666</v>
      </c>
      <c r="I430" s="53"/>
      <c r="J430" s="60" t="s">
        <v>3971</v>
      </c>
    </row>
    <row r="431">
      <c r="A431" s="51">
        <f t="shared" si="1"/>
        <v>429</v>
      </c>
      <c r="B431" s="52" t="s">
        <v>3972</v>
      </c>
      <c r="C431" s="56"/>
      <c r="D431" s="56"/>
      <c r="E431" s="52" t="s">
        <v>3847</v>
      </c>
      <c r="F431" s="52" t="s">
        <v>3428</v>
      </c>
      <c r="G431" s="54" t="s">
        <v>3429</v>
      </c>
      <c r="H431" s="55">
        <v>0.5416666666666666</v>
      </c>
      <c r="I431" s="53"/>
      <c r="J431" s="60" t="s">
        <v>3898</v>
      </c>
    </row>
    <row r="432">
      <c r="A432" s="51">
        <f t="shared" si="1"/>
        <v>430</v>
      </c>
      <c r="B432" s="52" t="s">
        <v>3973</v>
      </c>
      <c r="C432" s="56"/>
      <c r="D432" s="56"/>
      <c r="E432" s="52" t="s">
        <v>3847</v>
      </c>
      <c r="F432" s="52" t="s">
        <v>3428</v>
      </c>
      <c r="G432" s="54" t="s">
        <v>3429</v>
      </c>
      <c r="H432" s="55">
        <v>0.5416666666666666</v>
      </c>
      <c r="I432" s="53"/>
      <c r="J432" s="60" t="s">
        <v>330</v>
      </c>
    </row>
    <row r="433">
      <c r="A433" s="51">
        <f t="shared" si="1"/>
        <v>431</v>
      </c>
      <c r="B433" s="52" t="s">
        <v>3974</v>
      </c>
      <c r="C433" s="56"/>
      <c r="D433" s="56"/>
      <c r="E433" s="52" t="s">
        <v>3847</v>
      </c>
      <c r="F433" s="52" t="s">
        <v>3428</v>
      </c>
      <c r="G433" s="54" t="s">
        <v>3429</v>
      </c>
      <c r="H433" s="55">
        <v>0.5416666666666666</v>
      </c>
      <c r="I433" s="53"/>
      <c r="J433" s="60" t="s">
        <v>330</v>
      </c>
    </row>
    <row r="434">
      <c r="A434" s="51">
        <f t="shared" si="1"/>
        <v>432</v>
      </c>
      <c r="B434" s="52" t="s">
        <v>3975</v>
      </c>
      <c r="C434" s="56"/>
      <c r="D434" s="56"/>
      <c r="E434" s="52" t="s">
        <v>3847</v>
      </c>
      <c r="F434" s="52" t="s">
        <v>3428</v>
      </c>
      <c r="G434" s="54" t="s">
        <v>3429</v>
      </c>
      <c r="H434" s="55">
        <v>0.5416666666666666</v>
      </c>
      <c r="I434" s="53"/>
      <c r="J434" s="60" t="s">
        <v>330</v>
      </c>
    </row>
    <row r="435">
      <c r="A435" s="51">
        <f t="shared" si="1"/>
        <v>433</v>
      </c>
      <c r="B435" s="52" t="s">
        <v>3976</v>
      </c>
      <c r="C435" s="56"/>
      <c r="D435" s="56"/>
      <c r="E435" s="52" t="s">
        <v>3847</v>
      </c>
      <c r="F435" s="52" t="s">
        <v>3428</v>
      </c>
      <c r="G435" s="54" t="s">
        <v>3429</v>
      </c>
      <c r="H435" s="55">
        <v>0.5416666666666666</v>
      </c>
      <c r="I435" s="53"/>
      <c r="J435" s="60" t="s">
        <v>330</v>
      </c>
    </row>
    <row r="436">
      <c r="A436" s="51">
        <f t="shared" si="1"/>
        <v>434</v>
      </c>
      <c r="B436" s="52" t="s">
        <v>3977</v>
      </c>
      <c r="C436" s="56"/>
      <c r="D436" s="56"/>
      <c r="E436" s="52" t="s">
        <v>3847</v>
      </c>
      <c r="F436" s="52" t="s">
        <v>3428</v>
      </c>
      <c r="G436" s="54" t="s">
        <v>3429</v>
      </c>
      <c r="H436" s="55">
        <v>0.5416666666666666</v>
      </c>
      <c r="I436" s="53"/>
      <c r="J436" s="60" t="s">
        <v>3978</v>
      </c>
    </row>
    <row r="437">
      <c r="A437" s="51">
        <f t="shared" si="1"/>
        <v>435</v>
      </c>
      <c r="B437" s="52" t="s">
        <v>3979</v>
      </c>
      <c r="C437" s="56"/>
      <c r="D437" s="56"/>
      <c r="E437" s="52" t="s">
        <v>3847</v>
      </c>
      <c r="F437" s="52" t="s">
        <v>3428</v>
      </c>
      <c r="G437" s="54" t="s">
        <v>3429</v>
      </c>
      <c r="H437" s="55">
        <v>0.5416666666666666</v>
      </c>
      <c r="I437" s="53"/>
      <c r="J437" s="60" t="s">
        <v>3898</v>
      </c>
    </row>
    <row r="438">
      <c r="A438" s="51">
        <f t="shared" si="1"/>
        <v>436</v>
      </c>
      <c r="B438" s="52" t="s">
        <v>3980</v>
      </c>
      <c r="C438" s="56"/>
      <c r="D438" s="56"/>
      <c r="E438" s="52" t="s">
        <v>3847</v>
      </c>
      <c r="F438" s="52" t="s">
        <v>3428</v>
      </c>
      <c r="G438" s="54" t="s">
        <v>3429</v>
      </c>
      <c r="H438" s="55">
        <v>0.5416666666666666</v>
      </c>
      <c r="I438" s="53"/>
      <c r="J438" s="60" t="s">
        <v>3951</v>
      </c>
    </row>
    <row r="439">
      <c r="A439" s="51">
        <f t="shared" si="1"/>
        <v>437</v>
      </c>
      <c r="B439" s="52" t="s">
        <v>3981</v>
      </c>
      <c r="C439" s="56"/>
      <c r="D439" s="56"/>
      <c r="E439" s="52" t="s">
        <v>3847</v>
      </c>
      <c r="F439" s="52" t="s">
        <v>3428</v>
      </c>
      <c r="G439" s="54" t="s">
        <v>3429</v>
      </c>
      <c r="H439" s="55">
        <v>0.5416666666666666</v>
      </c>
      <c r="I439" s="53"/>
      <c r="J439" s="60" t="s">
        <v>3982</v>
      </c>
    </row>
    <row r="440">
      <c r="A440" s="51">
        <f t="shared" si="1"/>
        <v>438</v>
      </c>
      <c r="B440" s="52" t="s">
        <v>3983</v>
      </c>
      <c r="C440" s="56"/>
      <c r="D440" s="56"/>
      <c r="E440" s="52" t="s">
        <v>3847</v>
      </c>
      <c r="F440" s="52" t="s">
        <v>3428</v>
      </c>
      <c r="G440" s="54" t="s">
        <v>3429</v>
      </c>
      <c r="H440" s="55">
        <v>0.5416666666666666</v>
      </c>
      <c r="I440" s="53"/>
      <c r="J440" s="60" t="s">
        <v>330</v>
      </c>
    </row>
    <row r="441">
      <c r="A441" s="51">
        <f t="shared" si="1"/>
        <v>439</v>
      </c>
      <c r="B441" s="52" t="s">
        <v>3984</v>
      </c>
      <c r="C441" s="56"/>
      <c r="D441" s="56"/>
      <c r="E441" s="52" t="s">
        <v>3847</v>
      </c>
      <c r="F441" s="52" t="s">
        <v>3428</v>
      </c>
      <c r="G441" s="54" t="s">
        <v>3429</v>
      </c>
      <c r="H441" s="55">
        <v>0.5416666666666666</v>
      </c>
      <c r="I441" s="53"/>
      <c r="J441" s="60" t="s">
        <v>3985</v>
      </c>
    </row>
    <row r="442">
      <c r="A442" s="51">
        <f t="shared" si="1"/>
        <v>440</v>
      </c>
      <c r="B442" s="52" t="s">
        <v>3986</v>
      </c>
      <c r="C442" s="56"/>
      <c r="D442" s="56"/>
      <c r="E442" s="52" t="s">
        <v>3847</v>
      </c>
      <c r="F442" s="52" t="s">
        <v>3428</v>
      </c>
      <c r="G442" s="54" t="s">
        <v>3429</v>
      </c>
      <c r="H442" s="55">
        <v>0.5416666666666666</v>
      </c>
      <c r="I442" s="53"/>
      <c r="J442" s="60" t="s">
        <v>3987</v>
      </c>
    </row>
    <row r="443">
      <c r="A443" s="51">
        <f t="shared" si="1"/>
        <v>441</v>
      </c>
      <c r="B443" s="52" t="s">
        <v>3988</v>
      </c>
      <c r="C443" s="56"/>
      <c r="D443" s="56"/>
      <c r="E443" s="52" t="s">
        <v>3847</v>
      </c>
      <c r="F443" s="52" t="s">
        <v>3428</v>
      </c>
      <c r="G443" s="54" t="s">
        <v>3429</v>
      </c>
      <c r="H443" s="55">
        <v>0.5416666666666666</v>
      </c>
      <c r="I443" s="53"/>
      <c r="J443" s="60" t="s">
        <v>3987</v>
      </c>
    </row>
    <row r="444">
      <c r="A444" s="51">
        <f t="shared" si="1"/>
        <v>442</v>
      </c>
      <c r="B444" s="52" t="s">
        <v>3989</v>
      </c>
      <c r="C444" s="56"/>
      <c r="D444" s="56"/>
      <c r="E444" s="52" t="s">
        <v>3847</v>
      </c>
      <c r="F444" s="52" t="s">
        <v>3428</v>
      </c>
      <c r="G444" s="54" t="s">
        <v>3429</v>
      </c>
      <c r="H444" s="55">
        <v>0.5416666666666666</v>
      </c>
      <c r="I444" s="53"/>
      <c r="J444" s="60" t="s">
        <v>1126</v>
      </c>
    </row>
    <row r="445">
      <c r="A445" s="51">
        <f t="shared" si="1"/>
        <v>443</v>
      </c>
      <c r="B445" s="52" t="s">
        <v>3990</v>
      </c>
      <c r="C445" s="56"/>
      <c r="D445" s="56"/>
      <c r="E445" s="52" t="s">
        <v>3847</v>
      </c>
      <c r="F445" s="52" t="s">
        <v>3428</v>
      </c>
      <c r="G445" s="54" t="s">
        <v>3429</v>
      </c>
      <c r="H445" s="55">
        <v>0.5416666666666666</v>
      </c>
      <c r="I445" s="53"/>
      <c r="J445" s="60" t="s">
        <v>3991</v>
      </c>
    </row>
    <row r="446">
      <c r="A446" s="51">
        <f t="shared" si="1"/>
        <v>444</v>
      </c>
      <c r="B446" s="52" t="s">
        <v>3992</v>
      </c>
      <c r="C446" s="56"/>
      <c r="D446" s="56"/>
      <c r="E446" s="52" t="s">
        <v>3847</v>
      </c>
      <c r="F446" s="52" t="s">
        <v>3428</v>
      </c>
      <c r="G446" s="54" t="s">
        <v>3429</v>
      </c>
      <c r="H446" s="55">
        <v>0.5416666666666666</v>
      </c>
      <c r="I446" s="53"/>
      <c r="J446" s="60" t="s">
        <v>3993</v>
      </c>
    </row>
    <row r="447">
      <c r="A447" s="51">
        <f t="shared" si="1"/>
        <v>445</v>
      </c>
      <c r="B447" s="52" t="s">
        <v>3994</v>
      </c>
      <c r="C447" s="56"/>
      <c r="D447" s="56"/>
      <c r="E447" s="52" t="s">
        <v>3847</v>
      </c>
      <c r="F447" s="52" t="s">
        <v>3428</v>
      </c>
      <c r="G447" s="54" t="s">
        <v>3429</v>
      </c>
      <c r="H447" s="55">
        <v>0.5416666666666666</v>
      </c>
      <c r="I447" s="53"/>
      <c r="J447" s="60" t="s">
        <v>3995</v>
      </c>
    </row>
    <row r="448">
      <c r="A448" s="51">
        <f t="shared" si="1"/>
        <v>446</v>
      </c>
      <c r="B448" s="52" t="s">
        <v>3996</v>
      </c>
      <c r="C448" s="56"/>
      <c r="D448" s="56"/>
      <c r="E448" s="52" t="s">
        <v>3847</v>
      </c>
      <c r="F448" s="52" t="s">
        <v>3428</v>
      </c>
      <c r="G448" s="54" t="s">
        <v>3429</v>
      </c>
      <c r="H448" s="55">
        <v>0.5416666666666666</v>
      </c>
      <c r="I448" s="53"/>
      <c r="J448" s="60" t="s">
        <v>3997</v>
      </c>
    </row>
    <row r="449">
      <c r="A449" s="51">
        <f t="shared" si="1"/>
        <v>447</v>
      </c>
      <c r="B449" s="52" t="s">
        <v>3998</v>
      </c>
      <c r="C449" s="56"/>
      <c r="D449" s="56"/>
      <c r="E449" s="52" t="s">
        <v>3847</v>
      </c>
      <c r="F449" s="52" t="s">
        <v>3428</v>
      </c>
      <c r="G449" s="54" t="s">
        <v>3429</v>
      </c>
      <c r="H449" s="55">
        <v>0.5416666666666666</v>
      </c>
      <c r="I449" s="53"/>
      <c r="J449" s="60" t="s">
        <v>3999</v>
      </c>
    </row>
    <row r="450">
      <c r="A450" s="51">
        <f t="shared" si="1"/>
        <v>448</v>
      </c>
      <c r="B450" s="52" t="s">
        <v>4000</v>
      </c>
      <c r="C450" s="56"/>
      <c r="D450" s="56"/>
      <c r="E450" s="52" t="s">
        <v>3847</v>
      </c>
      <c r="F450" s="52" t="s">
        <v>3428</v>
      </c>
      <c r="G450" s="54" t="s">
        <v>3429</v>
      </c>
      <c r="H450" s="55">
        <v>0.5416666666666666</v>
      </c>
      <c r="I450" s="53"/>
      <c r="J450" s="60" t="s">
        <v>4001</v>
      </c>
    </row>
    <row r="451">
      <c r="A451" s="51">
        <f t="shared" si="1"/>
        <v>449</v>
      </c>
      <c r="B451" s="52" t="s">
        <v>4002</v>
      </c>
      <c r="C451" s="56"/>
      <c r="D451" s="56"/>
      <c r="E451" s="52" t="s">
        <v>3847</v>
      </c>
      <c r="F451" s="52" t="s">
        <v>3428</v>
      </c>
      <c r="G451" s="54" t="s">
        <v>3429</v>
      </c>
      <c r="H451" s="55">
        <v>0.5416666666666666</v>
      </c>
      <c r="I451" s="53"/>
      <c r="J451" s="60" t="s">
        <v>3933</v>
      </c>
    </row>
    <row r="452">
      <c r="A452" s="51">
        <f t="shared" si="1"/>
        <v>450</v>
      </c>
      <c r="B452" s="52" t="s">
        <v>4003</v>
      </c>
      <c r="C452" s="56"/>
      <c r="D452" s="56"/>
      <c r="E452" s="52" t="s">
        <v>3847</v>
      </c>
      <c r="F452" s="52" t="s">
        <v>3428</v>
      </c>
      <c r="G452" s="54" t="s">
        <v>3429</v>
      </c>
      <c r="H452" s="55">
        <v>0.5416666666666666</v>
      </c>
      <c r="I452" s="53"/>
      <c r="J452" s="60" t="s">
        <v>4004</v>
      </c>
    </row>
    <row r="453">
      <c r="A453" s="51">
        <f t="shared" si="1"/>
        <v>451</v>
      </c>
      <c r="B453" s="52" t="s">
        <v>4005</v>
      </c>
      <c r="C453" s="56"/>
      <c r="D453" s="56"/>
      <c r="E453" s="52" t="s">
        <v>3847</v>
      </c>
      <c r="F453" s="52" t="s">
        <v>3428</v>
      </c>
      <c r="G453" s="54" t="s">
        <v>3429</v>
      </c>
      <c r="H453" s="55">
        <v>0.5416666666666666</v>
      </c>
      <c r="I453" s="53"/>
      <c r="J453" s="60" t="s">
        <v>3787</v>
      </c>
    </row>
    <row r="454">
      <c r="A454" s="51">
        <f t="shared" si="1"/>
        <v>452</v>
      </c>
      <c r="B454" s="52" t="s">
        <v>4006</v>
      </c>
      <c r="C454" s="56"/>
      <c r="D454" s="56"/>
      <c r="E454" s="52" t="s">
        <v>3847</v>
      </c>
      <c r="F454" s="52" t="s">
        <v>3428</v>
      </c>
      <c r="G454" s="54" t="s">
        <v>3429</v>
      </c>
      <c r="H454" s="55">
        <v>0.5416666666666666</v>
      </c>
      <c r="I454" s="53"/>
      <c r="J454" s="60" t="s">
        <v>3787</v>
      </c>
    </row>
    <row r="455">
      <c r="A455" s="51">
        <f t="shared" si="1"/>
        <v>453</v>
      </c>
      <c r="B455" s="52" t="s">
        <v>4007</v>
      </c>
      <c r="C455" s="56"/>
      <c r="D455" s="56"/>
      <c r="E455" s="52" t="s">
        <v>3847</v>
      </c>
      <c r="F455" s="52" t="s">
        <v>3428</v>
      </c>
      <c r="G455" s="54" t="s">
        <v>3429</v>
      </c>
      <c r="H455" s="55">
        <v>0.5416666666666666</v>
      </c>
      <c r="I455" s="53"/>
      <c r="J455" s="60" t="s">
        <v>330</v>
      </c>
    </row>
    <row r="456">
      <c r="A456" s="51">
        <f t="shared" si="1"/>
        <v>454</v>
      </c>
      <c r="B456" s="52" t="s">
        <v>4008</v>
      </c>
      <c r="C456" s="56"/>
      <c r="D456" s="56"/>
      <c r="E456" s="52" t="s">
        <v>3847</v>
      </c>
      <c r="F456" s="52" t="s">
        <v>3428</v>
      </c>
      <c r="G456" s="54" t="s">
        <v>3429</v>
      </c>
      <c r="H456" s="55">
        <v>0.5416666666666666</v>
      </c>
      <c r="I456" s="53"/>
      <c r="J456" s="60" t="s">
        <v>4009</v>
      </c>
    </row>
    <row r="457">
      <c r="A457" s="51">
        <f t="shared" si="1"/>
        <v>455</v>
      </c>
      <c r="B457" s="59" t="s">
        <v>4010</v>
      </c>
      <c r="C457" s="56"/>
      <c r="D457" s="56"/>
      <c r="E457" s="52" t="s">
        <v>3847</v>
      </c>
      <c r="F457" s="52" t="s">
        <v>3428</v>
      </c>
      <c r="G457" s="54" t="s">
        <v>3429</v>
      </c>
      <c r="H457" s="55">
        <v>0.5416666666666666</v>
      </c>
      <c r="I457" s="53"/>
      <c r="J457" s="60" t="s">
        <v>330</v>
      </c>
    </row>
    <row r="458">
      <c r="A458" s="51">
        <f t="shared" si="1"/>
        <v>456</v>
      </c>
      <c r="B458" s="52" t="s">
        <v>4011</v>
      </c>
      <c r="C458" s="56"/>
      <c r="D458" s="56"/>
      <c r="E458" s="52" t="s">
        <v>3847</v>
      </c>
      <c r="F458" s="52" t="s">
        <v>3428</v>
      </c>
      <c r="G458" s="54" t="s">
        <v>3429</v>
      </c>
      <c r="H458" s="55">
        <v>0.5416666666666666</v>
      </c>
      <c r="I458" s="53"/>
      <c r="J458" s="60" t="s">
        <v>4012</v>
      </c>
    </row>
    <row r="459">
      <c r="B459" s="60"/>
      <c r="C459" s="61"/>
      <c r="D459" s="61"/>
      <c r="E459" s="62"/>
      <c r="F459" s="60"/>
      <c r="G459" s="60"/>
      <c r="H459" s="63"/>
      <c r="I459" s="64"/>
      <c r="J459" s="60"/>
    </row>
    <row r="460">
      <c r="B460" s="60"/>
      <c r="C460" s="61"/>
      <c r="D460" s="61"/>
      <c r="E460" s="62"/>
      <c r="F460" s="60"/>
      <c r="G460" s="60"/>
      <c r="H460" s="63"/>
      <c r="I460" s="64"/>
      <c r="J460" s="60"/>
    </row>
    <row r="461">
      <c r="B461" s="60"/>
      <c r="C461" s="61"/>
      <c r="D461" s="61"/>
      <c r="E461" s="62"/>
      <c r="F461" s="60"/>
      <c r="G461" s="60"/>
      <c r="H461" s="63"/>
      <c r="I461" s="64"/>
      <c r="J461" s="60"/>
    </row>
    <row r="462">
      <c r="B462" s="60"/>
      <c r="C462" s="61"/>
      <c r="D462" s="61"/>
      <c r="E462" s="62"/>
      <c r="F462" s="60"/>
      <c r="G462" s="60"/>
      <c r="H462" s="63"/>
      <c r="I462" s="64"/>
      <c r="J462" s="60"/>
    </row>
    <row r="463">
      <c r="B463" s="60"/>
      <c r="C463" s="61"/>
      <c r="D463" s="61"/>
      <c r="E463" s="62"/>
      <c r="F463" s="60"/>
      <c r="G463" s="60"/>
      <c r="H463" s="63"/>
      <c r="I463" s="64"/>
      <c r="J463" s="60"/>
    </row>
    <row r="464">
      <c r="B464" s="60"/>
      <c r="C464" s="61"/>
      <c r="D464" s="61"/>
      <c r="E464" s="62"/>
      <c r="F464" s="60"/>
      <c r="G464" s="60"/>
      <c r="H464" s="63"/>
      <c r="I464" s="64"/>
      <c r="J464" s="60"/>
    </row>
    <row r="465">
      <c r="B465" s="60"/>
      <c r="C465" s="61"/>
      <c r="D465" s="61"/>
      <c r="E465" s="62"/>
      <c r="F465" s="60"/>
      <c r="G465" s="60"/>
      <c r="H465" s="63"/>
      <c r="I465" s="64"/>
      <c r="J465" s="60"/>
    </row>
    <row r="466">
      <c r="B466" s="60"/>
      <c r="C466" s="61"/>
      <c r="D466" s="61"/>
      <c r="E466" s="62"/>
      <c r="F466" s="60"/>
      <c r="G466" s="60"/>
      <c r="H466" s="63"/>
      <c r="I466" s="64"/>
      <c r="J466" s="60"/>
    </row>
    <row r="467">
      <c r="B467" s="60"/>
      <c r="C467" s="61"/>
      <c r="D467" s="61"/>
      <c r="E467" s="62"/>
      <c r="F467" s="60"/>
      <c r="G467" s="60"/>
      <c r="H467" s="63"/>
      <c r="I467" s="64"/>
      <c r="J467" s="60"/>
    </row>
    <row r="468">
      <c r="B468" s="60"/>
      <c r="C468" s="61"/>
      <c r="D468" s="61"/>
      <c r="E468" s="62"/>
      <c r="F468" s="60"/>
      <c r="G468" s="60"/>
      <c r="H468" s="63"/>
      <c r="I468" s="64"/>
      <c r="J468" s="60"/>
    </row>
    <row r="469">
      <c r="B469" s="60"/>
      <c r="C469" s="61"/>
      <c r="D469" s="61"/>
      <c r="E469" s="62"/>
      <c r="F469" s="60"/>
      <c r="G469" s="60"/>
      <c r="H469" s="63"/>
      <c r="I469" s="64"/>
      <c r="J469" s="60"/>
    </row>
    <row r="470">
      <c r="B470" s="60"/>
      <c r="C470" s="61"/>
      <c r="D470" s="61"/>
      <c r="E470" s="62"/>
      <c r="F470" s="60"/>
      <c r="G470" s="60"/>
      <c r="H470" s="63"/>
      <c r="I470" s="64"/>
      <c r="J470" s="60"/>
    </row>
    <row r="471">
      <c r="B471" s="60"/>
      <c r="C471" s="61"/>
      <c r="D471" s="61"/>
      <c r="E471" s="62"/>
      <c r="F471" s="60"/>
      <c r="G471" s="60"/>
      <c r="H471" s="63"/>
      <c r="I471" s="64"/>
      <c r="J471" s="60"/>
    </row>
    <row r="472">
      <c r="B472" s="60"/>
      <c r="C472" s="61"/>
      <c r="D472" s="61"/>
      <c r="E472" s="62"/>
      <c r="F472" s="60"/>
      <c r="G472" s="60"/>
      <c r="H472" s="63"/>
      <c r="I472" s="64"/>
      <c r="J472" s="60"/>
    </row>
    <row r="473">
      <c r="B473" s="60"/>
      <c r="C473" s="61"/>
      <c r="D473" s="61"/>
      <c r="E473" s="62"/>
      <c r="F473" s="60"/>
      <c r="G473" s="60"/>
      <c r="H473" s="63"/>
      <c r="I473" s="64"/>
      <c r="J473" s="60"/>
    </row>
    <row r="474">
      <c r="B474" s="60"/>
      <c r="C474" s="61"/>
      <c r="D474" s="61"/>
      <c r="E474" s="62"/>
      <c r="F474" s="60"/>
      <c r="G474" s="60"/>
      <c r="H474" s="63"/>
      <c r="I474" s="64"/>
      <c r="J474" s="60"/>
    </row>
    <row r="475">
      <c r="B475" s="60"/>
      <c r="C475" s="61"/>
      <c r="D475" s="61"/>
      <c r="E475" s="62"/>
      <c r="F475" s="60"/>
      <c r="G475" s="60"/>
      <c r="H475" s="63"/>
      <c r="I475" s="64"/>
      <c r="J475" s="60"/>
    </row>
    <row r="476">
      <c r="B476" s="60"/>
      <c r="C476" s="61"/>
      <c r="D476" s="61"/>
      <c r="E476" s="62"/>
      <c r="F476" s="60"/>
      <c r="G476" s="60"/>
      <c r="H476" s="63"/>
      <c r="I476" s="64"/>
      <c r="J476" s="60"/>
    </row>
    <row r="477">
      <c r="B477" s="60"/>
      <c r="C477" s="61"/>
      <c r="D477" s="61"/>
      <c r="E477" s="62"/>
      <c r="F477" s="60"/>
      <c r="G477" s="60"/>
      <c r="H477" s="63"/>
      <c r="I477" s="64"/>
      <c r="J477" s="60"/>
    </row>
    <row r="478">
      <c r="B478" s="60"/>
      <c r="C478" s="61"/>
      <c r="D478" s="61"/>
      <c r="E478" s="62"/>
      <c r="F478" s="60"/>
      <c r="G478" s="60"/>
      <c r="H478" s="63"/>
      <c r="I478" s="64"/>
      <c r="J478" s="60"/>
    </row>
    <row r="479">
      <c r="B479" s="60"/>
      <c r="C479" s="61"/>
      <c r="D479" s="61"/>
      <c r="E479" s="62"/>
      <c r="F479" s="60"/>
      <c r="G479" s="60"/>
      <c r="H479" s="63"/>
      <c r="I479" s="64"/>
      <c r="J479" s="60"/>
    </row>
    <row r="480">
      <c r="B480" s="60"/>
      <c r="C480" s="61"/>
      <c r="D480" s="61"/>
      <c r="E480" s="62"/>
      <c r="F480" s="60"/>
      <c r="G480" s="60"/>
      <c r="H480" s="63"/>
      <c r="I480" s="64"/>
      <c r="J480" s="60"/>
    </row>
    <row r="481">
      <c r="B481" s="60"/>
      <c r="C481" s="61"/>
      <c r="D481" s="61"/>
      <c r="E481" s="62"/>
      <c r="F481" s="60"/>
      <c r="G481" s="60"/>
      <c r="H481" s="63"/>
      <c r="I481" s="64"/>
      <c r="J481" s="60"/>
    </row>
    <row r="482">
      <c r="B482" s="60"/>
      <c r="C482" s="61"/>
      <c r="D482" s="61"/>
      <c r="E482" s="62"/>
      <c r="F482" s="60"/>
      <c r="G482" s="60"/>
      <c r="H482" s="63"/>
      <c r="I482" s="64"/>
      <c r="J482" s="60"/>
    </row>
    <row r="483">
      <c r="B483" s="60"/>
      <c r="C483" s="61"/>
      <c r="D483" s="61"/>
      <c r="E483" s="62"/>
      <c r="F483" s="60"/>
      <c r="G483" s="60"/>
      <c r="H483" s="63"/>
      <c r="I483" s="64"/>
      <c r="J483" s="60"/>
    </row>
    <row r="484">
      <c r="B484" s="60"/>
      <c r="C484" s="61"/>
      <c r="D484" s="61"/>
      <c r="E484" s="62"/>
      <c r="F484" s="60"/>
      <c r="G484" s="60"/>
      <c r="H484" s="63"/>
      <c r="I484" s="64"/>
      <c r="J484" s="60"/>
    </row>
    <row r="485">
      <c r="B485" s="60"/>
      <c r="C485" s="61"/>
      <c r="D485" s="61"/>
      <c r="E485" s="62"/>
      <c r="F485" s="60"/>
      <c r="G485" s="60"/>
      <c r="H485" s="63"/>
      <c r="I485" s="64"/>
      <c r="J485" s="60"/>
    </row>
    <row r="486">
      <c r="B486" s="60"/>
      <c r="C486" s="61"/>
      <c r="D486" s="61"/>
      <c r="E486" s="62"/>
      <c r="F486" s="60"/>
      <c r="G486" s="60"/>
      <c r="H486" s="63"/>
      <c r="I486" s="64"/>
      <c r="J486" s="60"/>
    </row>
  </sheetData>
  <mergeCells count="1">
    <mergeCell ref="A1:E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7" max="7" width="28.38"/>
  </cols>
  <sheetData>
    <row r="1">
      <c r="A1" s="65" t="s">
        <v>4013</v>
      </c>
      <c r="H1" s="66"/>
      <c r="I1" s="66"/>
    </row>
    <row r="2">
      <c r="A2" s="50" t="s">
        <v>3417</v>
      </c>
      <c r="B2" s="50" t="s">
        <v>4014</v>
      </c>
      <c r="C2" s="50" t="s">
        <v>4015</v>
      </c>
      <c r="D2" s="50" t="s">
        <v>3419</v>
      </c>
      <c r="E2" s="50" t="s">
        <v>4016</v>
      </c>
      <c r="F2" s="50" t="s">
        <v>4017</v>
      </c>
      <c r="G2" s="50" t="s">
        <v>4018</v>
      </c>
      <c r="H2" s="50" t="s">
        <v>4019</v>
      </c>
      <c r="I2" s="50" t="s">
        <v>4020</v>
      </c>
    </row>
    <row r="3">
      <c r="A3" s="67">
        <v>1.0</v>
      </c>
      <c r="B3" s="60" t="s">
        <v>4021</v>
      </c>
      <c r="C3" s="60">
        <v>2.6254624E7</v>
      </c>
      <c r="D3" s="60">
        <v>28.0</v>
      </c>
      <c r="E3" s="61"/>
      <c r="F3" s="61"/>
      <c r="G3" s="60" t="s">
        <v>4022</v>
      </c>
      <c r="H3" s="60" t="s">
        <v>4023</v>
      </c>
      <c r="I3" s="60" t="s">
        <v>4024</v>
      </c>
    </row>
    <row r="4">
      <c r="A4" s="67">
        <v>2.0</v>
      </c>
      <c r="B4" s="60" t="s">
        <v>4025</v>
      </c>
      <c r="C4" s="61"/>
      <c r="D4" s="60">
        <v>36.0</v>
      </c>
      <c r="E4" s="61"/>
      <c r="F4" s="61"/>
      <c r="G4" s="60" t="s">
        <v>4026</v>
      </c>
      <c r="H4" s="60" t="s">
        <v>4027</v>
      </c>
      <c r="I4" s="61"/>
    </row>
    <row r="5">
      <c r="A5" s="67">
        <v>3.0</v>
      </c>
      <c r="B5" s="60" t="s">
        <v>4028</v>
      </c>
      <c r="C5" s="61"/>
      <c r="D5" s="60">
        <v>36.0</v>
      </c>
      <c r="E5" s="60" t="s">
        <v>4029</v>
      </c>
      <c r="F5" s="60" t="s">
        <v>4030</v>
      </c>
      <c r="G5" s="60" t="s">
        <v>4026</v>
      </c>
      <c r="H5" s="60" t="s">
        <v>4031</v>
      </c>
      <c r="I5" s="61"/>
    </row>
    <row r="6">
      <c r="A6" s="67">
        <v>4.0</v>
      </c>
      <c r="B6" s="60" t="s">
        <v>4032</v>
      </c>
      <c r="C6" s="60">
        <v>2.2036301E7</v>
      </c>
      <c r="D6" s="60">
        <v>36.0</v>
      </c>
      <c r="E6" s="61"/>
      <c r="F6" s="61"/>
      <c r="G6" s="60" t="s">
        <v>4022</v>
      </c>
      <c r="H6" s="60" t="s">
        <v>4023</v>
      </c>
      <c r="I6" s="60" t="s">
        <v>4024</v>
      </c>
    </row>
    <row r="7">
      <c r="A7" s="67">
        <v>5.0</v>
      </c>
      <c r="B7" s="60" t="s">
        <v>4033</v>
      </c>
      <c r="C7" s="61"/>
      <c r="D7" s="60">
        <v>8.0</v>
      </c>
      <c r="E7" s="60" t="s">
        <v>4029</v>
      </c>
      <c r="F7" s="60" t="s">
        <v>4034</v>
      </c>
      <c r="G7" s="60" t="s">
        <v>4026</v>
      </c>
      <c r="H7" s="60" t="s">
        <v>4031</v>
      </c>
      <c r="I7" s="61"/>
    </row>
    <row r="8">
      <c r="A8" s="67">
        <v>6.0</v>
      </c>
      <c r="B8" s="60" t="s">
        <v>4035</v>
      </c>
      <c r="C8" s="60">
        <v>1.5810058E7</v>
      </c>
      <c r="D8" s="60">
        <v>52.0</v>
      </c>
      <c r="E8" s="60" t="s">
        <v>4036</v>
      </c>
      <c r="F8" s="61"/>
      <c r="G8" s="60" t="s">
        <v>2445</v>
      </c>
      <c r="H8" s="60" t="s">
        <v>4027</v>
      </c>
      <c r="I8" s="61"/>
    </row>
    <row r="9">
      <c r="A9" s="67">
        <v>7.0</v>
      </c>
      <c r="B9" s="60" t="s">
        <v>4037</v>
      </c>
      <c r="C9" s="61"/>
      <c r="D9" s="60">
        <v>8.0</v>
      </c>
      <c r="E9" s="61"/>
      <c r="F9" s="61"/>
      <c r="G9" s="60" t="s">
        <v>4026</v>
      </c>
      <c r="H9" s="60" t="s">
        <v>4027</v>
      </c>
      <c r="I9" s="61"/>
    </row>
    <row r="10">
      <c r="A10" s="67">
        <v>8.0</v>
      </c>
      <c r="B10" s="60" t="s">
        <v>4038</v>
      </c>
      <c r="C10" s="61"/>
      <c r="D10" s="60">
        <v>47.0</v>
      </c>
      <c r="E10" s="61"/>
      <c r="F10" s="61"/>
      <c r="G10" s="60" t="s">
        <v>4026</v>
      </c>
      <c r="H10" s="60" t="s">
        <v>4027</v>
      </c>
      <c r="I10" s="61"/>
    </row>
    <row r="11">
      <c r="A11" s="67">
        <v>9.0</v>
      </c>
      <c r="B11" s="60" t="s">
        <v>4039</v>
      </c>
      <c r="C11" s="61"/>
      <c r="D11" s="60">
        <v>47.0</v>
      </c>
      <c r="E11" s="60" t="s">
        <v>4036</v>
      </c>
      <c r="F11" s="60" t="s">
        <v>466</v>
      </c>
      <c r="G11" s="60" t="s">
        <v>4026</v>
      </c>
      <c r="H11" s="60" t="s">
        <v>4031</v>
      </c>
      <c r="I11" s="61"/>
    </row>
    <row r="12">
      <c r="A12" s="67">
        <v>10.0</v>
      </c>
      <c r="B12" s="60" t="s">
        <v>4040</v>
      </c>
      <c r="C12" s="61"/>
      <c r="D12" s="60">
        <v>13.0</v>
      </c>
      <c r="E12" s="60" t="s">
        <v>4036</v>
      </c>
      <c r="F12" s="60" t="s">
        <v>466</v>
      </c>
      <c r="G12" s="60" t="s">
        <v>4026</v>
      </c>
      <c r="H12" s="60" t="s">
        <v>4031</v>
      </c>
      <c r="I12" s="61"/>
    </row>
    <row r="13">
      <c r="A13" s="67">
        <v>11.0</v>
      </c>
      <c r="B13" s="60" t="s">
        <v>4041</v>
      </c>
      <c r="C13" s="61"/>
      <c r="D13" s="60">
        <v>10.0</v>
      </c>
      <c r="E13" s="60" t="s">
        <v>4036</v>
      </c>
      <c r="F13" s="60" t="s">
        <v>466</v>
      </c>
      <c r="G13" s="60" t="s">
        <v>4026</v>
      </c>
      <c r="H13" s="60" t="s">
        <v>4031</v>
      </c>
      <c r="I13" s="61"/>
    </row>
    <row r="14">
      <c r="A14" s="67">
        <v>12.0</v>
      </c>
      <c r="B14" s="60" t="s">
        <v>4042</v>
      </c>
      <c r="C14" s="61"/>
      <c r="D14" s="60">
        <v>10.0</v>
      </c>
      <c r="E14" s="61"/>
      <c r="F14" s="61"/>
      <c r="G14" s="60" t="s">
        <v>4026</v>
      </c>
      <c r="H14" s="60" t="s">
        <v>4027</v>
      </c>
      <c r="I14" s="61"/>
    </row>
    <row r="15">
      <c r="A15" s="67">
        <v>13.0</v>
      </c>
      <c r="B15" s="60" t="s">
        <v>4043</v>
      </c>
      <c r="C15" s="60">
        <v>3.1760907E7</v>
      </c>
      <c r="D15" s="61"/>
      <c r="E15" s="61"/>
      <c r="F15" s="61"/>
      <c r="G15" s="60" t="s">
        <v>4044</v>
      </c>
      <c r="H15" s="60" t="s">
        <v>4045</v>
      </c>
      <c r="I15" s="60" t="s">
        <v>1847</v>
      </c>
    </row>
    <row r="16">
      <c r="A16" s="67">
        <v>14.0</v>
      </c>
      <c r="B16" s="60" t="s">
        <v>4046</v>
      </c>
      <c r="C16" s="60">
        <v>2.8136168E7</v>
      </c>
      <c r="D16" s="60">
        <v>26.0</v>
      </c>
      <c r="E16" s="60" t="s">
        <v>4036</v>
      </c>
      <c r="F16" s="61"/>
      <c r="G16" s="60" t="s">
        <v>2445</v>
      </c>
      <c r="H16" s="60" t="s">
        <v>4027</v>
      </c>
      <c r="I16" s="61"/>
    </row>
    <row r="17">
      <c r="A17" s="67">
        <v>15.0</v>
      </c>
      <c r="B17" s="60" t="s">
        <v>4047</v>
      </c>
      <c r="C17" s="60">
        <v>2.0003134E7</v>
      </c>
      <c r="D17" s="61"/>
      <c r="E17" s="61"/>
      <c r="F17" s="61"/>
      <c r="G17" s="60" t="s">
        <v>4044</v>
      </c>
      <c r="H17" s="60" t="s">
        <v>4045</v>
      </c>
      <c r="I17" s="60" t="s">
        <v>1817</v>
      </c>
    </row>
    <row r="18">
      <c r="A18" s="67">
        <v>16.0</v>
      </c>
      <c r="B18" s="60" t="s">
        <v>4048</v>
      </c>
      <c r="C18" s="61"/>
      <c r="D18" s="60">
        <v>25.0</v>
      </c>
      <c r="E18" s="61"/>
      <c r="F18" s="61"/>
      <c r="G18" s="60" t="s">
        <v>4026</v>
      </c>
      <c r="H18" s="60" t="s">
        <v>4027</v>
      </c>
      <c r="I18" s="61"/>
    </row>
    <row r="19">
      <c r="A19" s="67">
        <v>17.0</v>
      </c>
      <c r="B19" s="60" t="s">
        <v>4049</v>
      </c>
      <c r="C19" s="61"/>
      <c r="D19" s="60">
        <v>77.0</v>
      </c>
      <c r="E19" s="60" t="s">
        <v>4036</v>
      </c>
      <c r="F19" s="60" t="s">
        <v>4050</v>
      </c>
      <c r="G19" s="60" t="s">
        <v>4026</v>
      </c>
      <c r="H19" s="60" t="s">
        <v>4031</v>
      </c>
      <c r="I19" s="61"/>
    </row>
    <row r="20">
      <c r="A20" s="67">
        <v>18.0</v>
      </c>
      <c r="B20" s="60" t="s">
        <v>4051</v>
      </c>
      <c r="C20" s="60">
        <v>1.7443332E7</v>
      </c>
      <c r="D20" s="60">
        <v>39.0</v>
      </c>
      <c r="E20" s="61"/>
      <c r="F20" s="61"/>
      <c r="G20" s="60" t="s">
        <v>4022</v>
      </c>
      <c r="H20" s="60" t="s">
        <v>4023</v>
      </c>
      <c r="I20" s="60" t="s">
        <v>4024</v>
      </c>
    </row>
    <row r="21">
      <c r="A21" s="67">
        <v>19.0</v>
      </c>
      <c r="B21" s="60" t="s">
        <v>4052</v>
      </c>
      <c r="C21" s="60">
        <v>1.6125101E7</v>
      </c>
      <c r="D21" s="61"/>
      <c r="E21" s="61"/>
      <c r="F21" s="61"/>
      <c r="G21" s="60" t="s">
        <v>4044</v>
      </c>
      <c r="H21" s="60" t="s">
        <v>4045</v>
      </c>
      <c r="I21" s="60" t="s">
        <v>1817</v>
      </c>
    </row>
    <row r="22">
      <c r="A22" s="67">
        <v>20.0</v>
      </c>
      <c r="B22" s="60" t="s">
        <v>4053</v>
      </c>
      <c r="C22" s="60">
        <v>1.2882457E7</v>
      </c>
      <c r="D22" s="60">
        <v>50.0</v>
      </c>
      <c r="E22" s="60" t="s">
        <v>4029</v>
      </c>
      <c r="F22" s="61"/>
      <c r="G22" s="60" t="s">
        <v>2445</v>
      </c>
      <c r="H22" s="60" t="s">
        <v>4027</v>
      </c>
      <c r="I22" s="61"/>
    </row>
    <row r="23">
      <c r="A23" s="67">
        <v>21.0</v>
      </c>
      <c r="B23" s="60" t="s">
        <v>4054</v>
      </c>
      <c r="C23" s="61"/>
      <c r="D23" s="61"/>
      <c r="E23" s="61"/>
      <c r="F23" s="61"/>
      <c r="G23" s="60" t="s">
        <v>4044</v>
      </c>
      <c r="H23" s="60" t="s">
        <v>4023</v>
      </c>
      <c r="I23" s="61"/>
    </row>
    <row r="24">
      <c r="A24" s="67">
        <v>22.0</v>
      </c>
      <c r="B24" s="60" t="s">
        <v>4055</v>
      </c>
      <c r="C24" s="61"/>
      <c r="D24" s="60">
        <v>65.0</v>
      </c>
      <c r="E24" s="61"/>
      <c r="F24" s="61"/>
      <c r="G24" s="60" t="s">
        <v>4026</v>
      </c>
      <c r="H24" s="60" t="s">
        <v>4027</v>
      </c>
      <c r="I24" s="61"/>
    </row>
    <row r="25">
      <c r="A25" s="67">
        <v>23.0</v>
      </c>
      <c r="B25" s="60" t="s">
        <v>4056</v>
      </c>
      <c r="C25" s="61"/>
      <c r="D25" s="60">
        <v>65.0</v>
      </c>
      <c r="E25" s="60" t="s">
        <v>4029</v>
      </c>
      <c r="F25" s="60" t="s">
        <v>466</v>
      </c>
      <c r="G25" s="60" t="s">
        <v>4026</v>
      </c>
      <c r="H25" s="60" t="s">
        <v>4031</v>
      </c>
      <c r="I25" s="61"/>
    </row>
    <row r="26">
      <c r="A26" s="67">
        <v>24.0</v>
      </c>
      <c r="B26" s="60" t="s">
        <v>4057</v>
      </c>
      <c r="C26" s="61"/>
      <c r="D26" s="61"/>
      <c r="E26" s="61"/>
      <c r="F26" s="61"/>
      <c r="G26" s="60" t="s">
        <v>4026</v>
      </c>
      <c r="H26" s="60" t="s">
        <v>4027</v>
      </c>
      <c r="I26" s="61"/>
    </row>
    <row r="27">
      <c r="A27" s="67">
        <v>25.0</v>
      </c>
      <c r="B27" s="60" t="s">
        <v>4058</v>
      </c>
      <c r="C27" s="61"/>
      <c r="D27" s="61"/>
      <c r="E27" s="61"/>
      <c r="F27" s="61"/>
      <c r="G27" s="60" t="s">
        <v>4026</v>
      </c>
      <c r="H27" s="60" t="s">
        <v>4027</v>
      </c>
      <c r="I27" s="61"/>
    </row>
    <row r="28">
      <c r="A28" s="67">
        <v>26.0</v>
      </c>
      <c r="B28" s="60" t="s">
        <v>4059</v>
      </c>
      <c r="C28" s="61"/>
      <c r="D28" s="60">
        <v>72.0</v>
      </c>
      <c r="E28" s="61"/>
      <c r="F28" s="61"/>
      <c r="G28" s="60" t="s">
        <v>4026</v>
      </c>
      <c r="H28" s="60" t="s">
        <v>4027</v>
      </c>
      <c r="I28" s="61"/>
    </row>
    <row r="29">
      <c r="A29" s="67">
        <v>27.0</v>
      </c>
      <c r="B29" s="60" t="s">
        <v>4060</v>
      </c>
      <c r="C29" s="60">
        <v>2.8544619E7</v>
      </c>
      <c r="D29" s="61"/>
      <c r="E29" s="61"/>
      <c r="F29" s="61"/>
      <c r="G29" s="60" t="s">
        <v>4044</v>
      </c>
      <c r="H29" s="60" t="s">
        <v>4045</v>
      </c>
      <c r="I29" s="60" t="s">
        <v>1847</v>
      </c>
    </row>
    <row r="30">
      <c r="A30" s="67">
        <v>28.0</v>
      </c>
      <c r="B30" s="60" t="s">
        <v>4061</v>
      </c>
      <c r="C30" s="61"/>
      <c r="D30" s="60">
        <v>37.0</v>
      </c>
      <c r="E30" s="60" t="s">
        <v>4036</v>
      </c>
      <c r="F30" s="60" t="s">
        <v>4030</v>
      </c>
      <c r="G30" s="60" t="s">
        <v>4026</v>
      </c>
      <c r="H30" s="60" t="s">
        <v>4031</v>
      </c>
      <c r="I30" s="61"/>
    </row>
    <row r="31">
      <c r="A31" s="67">
        <v>29.0</v>
      </c>
      <c r="B31" s="60" t="s">
        <v>4062</v>
      </c>
      <c r="C31" s="61"/>
      <c r="D31" s="60">
        <v>37.0</v>
      </c>
      <c r="E31" s="61"/>
      <c r="F31" s="61"/>
      <c r="G31" s="60" t="s">
        <v>4026</v>
      </c>
      <c r="H31" s="60" t="s">
        <v>4027</v>
      </c>
      <c r="I31" s="61"/>
    </row>
    <row r="32">
      <c r="A32" s="67">
        <v>30.0</v>
      </c>
      <c r="B32" s="60" t="s">
        <v>4063</v>
      </c>
      <c r="C32" s="60">
        <v>1.7491087E7</v>
      </c>
      <c r="D32" s="60">
        <v>41.0</v>
      </c>
      <c r="E32" s="60" t="s">
        <v>4036</v>
      </c>
      <c r="F32" s="61"/>
      <c r="G32" s="60" t="s">
        <v>2445</v>
      </c>
      <c r="H32" s="60" t="s">
        <v>4027</v>
      </c>
      <c r="I32" s="61"/>
    </row>
    <row r="33">
      <c r="A33" s="67">
        <v>31.0</v>
      </c>
      <c r="B33" s="60" t="s">
        <v>4064</v>
      </c>
      <c r="C33" s="61"/>
      <c r="D33" s="60">
        <v>42.0</v>
      </c>
      <c r="E33" s="61"/>
      <c r="F33" s="61"/>
      <c r="G33" s="60" t="s">
        <v>4026</v>
      </c>
      <c r="H33" s="60" t="s">
        <v>4027</v>
      </c>
      <c r="I33" s="61"/>
    </row>
    <row r="34">
      <c r="A34" s="67">
        <v>32.0</v>
      </c>
      <c r="B34" s="60" t="s">
        <v>4065</v>
      </c>
      <c r="C34" s="60">
        <v>3.0170626E7</v>
      </c>
      <c r="D34" s="61"/>
      <c r="E34" s="61"/>
      <c r="F34" s="61"/>
      <c r="G34" s="60" t="s">
        <v>4044</v>
      </c>
      <c r="H34" s="60" t="s">
        <v>4023</v>
      </c>
      <c r="I34" s="60" t="s">
        <v>1817</v>
      </c>
    </row>
    <row r="35">
      <c r="A35" s="67">
        <v>33.0</v>
      </c>
      <c r="B35" s="60" t="s">
        <v>4066</v>
      </c>
      <c r="C35" s="60">
        <v>1.7856045E7</v>
      </c>
      <c r="D35" s="61"/>
      <c r="E35" s="61"/>
      <c r="F35" s="61"/>
      <c r="G35" s="60" t="s">
        <v>4044</v>
      </c>
      <c r="H35" s="60" t="s">
        <v>4045</v>
      </c>
      <c r="I35" s="60" t="s">
        <v>1817</v>
      </c>
    </row>
    <row r="36">
      <c r="A36" s="67">
        <v>34.0</v>
      </c>
      <c r="B36" s="60" t="s">
        <v>4067</v>
      </c>
      <c r="C36" s="60">
        <v>3.4800366E7</v>
      </c>
      <c r="D36" s="61"/>
      <c r="E36" s="61"/>
      <c r="F36" s="61"/>
      <c r="G36" s="60" t="s">
        <v>4044</v>
      </c>
      <c r="H36" s="60" t="s">
        <v>4045</v>
      </c>
      <c r="I36" s="61"/>
    </row>
    <row r="37">
      <c r="A37" s="67">
        <v>35.0</v>
      </c>
      <c r="B37" s="60" t="s">
        <v>4068</v>
      </c>
      <c r="C37" s="60">
        <v>2.5846221E7</v>
      </c>
      <c r="D37" s="60">
        <v>29.0</v>
      </c>
      <c r="E37" s="60" t="s">
        <v>4029</v>
      </c>
      <c r="F37" s="61"/>
      <c r="G37" s="60" t="s">
        <v>2445</v>
      </c>
      <c r="H37" s="60" t="s">
        <v>4027</v>
      </c>
      <c r="I37" s="61"/>
    </row>
    <row r="38">
      <c r="A38" s="67">
        <v>36.0</v>
      </c>
      <c r="B38" s="60" t="s">
        <v>4069</v>
      </c>
      <c r="C38" s="60">
        <v>6049995.0</v>
      </c>
      <c r="D38" s="61"/>
      <c r="E38" s="61"/>
      <c r="F38" s="61"/>
      <c r="G38" s="60" t="s">
        <v>4044</v>
      </c>
      <c r="H38" s="60" t="s">
        <v>4045</v>
      </c>
      <c r="I38" s="60" t="s">
        <v>1847</v>
      </c>
    </row>
    <row r="39">
      <c r="A39" s="67">
        <v>37.0</v>
      </c>
      <c r="B39" s="60" t="s">
        <v>4070</v>
      </c>
      <c r="C39" s="61"/>
      <c r="D39" s="60">
        <v>74.0</v>
      </c>
      <c r="E39" s="60" t="s">
        <v>4029</v>
      </c>
      <c r="F39" s="60" t="s">
        <v>4030</v>
      </c>
      <c r="G39" s="60" t="s">
        <v>4026</v>
      </c>
      <c r="H39" s="60" t="s">
        <v>4031</v>
      </c>
      <c r="I39" s="61"/>
    </row>
    <row r="40">
      <c r="A40" s="67">
        <v>38.0</v>
      </c>
      <c r="B40" s="60" t="s">
        <v>4071</v>
      </c>
      <c r="C40" s="61"/>
      <c r="D40" s="60">
        <v>62.0</v>
      </c>
      <c r="E40" s="61"/>
      <c r="F40" s="61"/>
      <c r="G40" s="60" t="s">
        <v>4026</v>
      </c>
      <c r="H40" s="60" t="s">
        <v>4027</v>
      </c>
      <c r="I40" s="61"/>
    </row>
    <row r="41">
      <c r="A41" s="67">
        <v>39.0</v>
      </c>
      <c r="B41" s="60" t="s">
        <v>4072</v>
      </c>
      <c r="C41" s="61"/>
      <c r="D41" s="60">
        <v>55.0</v>
      </c>
      <c r="E41" s="61"/>
      <c r="F41" s="61"/>
      <c r="G41" s="60" t="s">
        <v>4026</v>
      </c>
      <c r="H41" s="60" t="s">
        <v>4027</v>
      </c>
      <c r="I41" s="61"/>
    </row>
    <row r="42">
      <c r="A42" s="67">
        <v>40.0</v>
      </c>
      <c r="B42" s="60" t="s">
        <v>4073</v>
      </c>
      <c r="C42" s="61"/>
      <c r="D42" s="60">
        <v>6.0</v>
      </c>
      <c r="E42" s="60" t="s">
        <v>4036</v>
      </c>
      <c r="F42" s="60" t="s">
        <v>509</v>
      </c>
      <c r="G42" s="60" t="s">
        <v>4026</v>
      </c>
      <c r="H42" s="60" t="s">
        <v>4031</v>
      </c>
      <c r="I42" s="61"/>
    </row>
    <row r="43">
      <c r="A43" s="67">
        <v>41.0</v>
      </c>
      <c r="B43" s="60" t="s">
        <v>4074</v>
      </c>
      <c r="C43" s="61"/>
      <c r="D43" s="60">
        <v>53.0</v>
      </c>
      <c r="E43" s="61"/>
      <c r="F43" s="61"/>
      <c r="G43" s="60" t="s">
        <v>4026</v>
      </c>
      <c r="H43" s="60" t="s">
        <v>4027</v>
      </c>
      <c r="I43" s="60" t="s">
        <v>4075</v>
      </c>
    </row>
    <row r="44">
      <c r="A44" s="67">
        <v>42.0</v>
      </c>
      <c r="B44" s="60" t="s">
        <v>4076</v>
      </c>
      <c r="C44" s="61"/>
      <c r="D44" s="61"/>
      <c r="E44" s="61"/>
      <c r="F44" s="61"/>
      <c r="G44" s="60" t="s">
        <v>4026</v>
      </c>
      <c r="H44" s="60" t="s">
        <v>4027</v>
      </c>
      <c r="I44" s="61"/>
    </row>
    <row r="45">
      <c r="A45" s="67">
        <v>43.0</v>
      </c>
      <c r="B45" s="60" t="s">
        <v>4077</v>
      </c>
      <c r="C45" s="61"/>
      <c r="D45" s="60">
        <v>33.0</v>
      </c>
      <c r="E45" s="61"/>
      <c r="F45" s="61"/>
      <c r="G45" s="60" t="s">
        <v>4026</v>
      </c>
      <c r="H45" s="60" t="s">
        <v>4027</v>
      </c>
      <c r="I45" s="61"/>
    </row>
    <row r="46">
      <c r="A46" s="67">
        <v>44.0</v>
      </c>
      <c r="B46" s="60" t="s">
        <v>4078</v>
      </c>
      <c r="C46" s="60">
        <v>2.632736E7</v>
      </c>
      <c r="D46" s="61"/>
      <c r="E46" s="60" t="s">
        <v>4036</v>
      </c>
      <c r="F46" s="60" t="s">
        <v>330</v>
      </c>
      <c r="G46" s="60" t="s">
        <v>2667</v>
      </c>
      <c r="H46" s="60" t="s">
        <v>4027</v>
      </c>
      <c r="I46" s="61"/>
    </row>
    <row r="47">
      <c r="A47" s="67">
        <v>45.0</v>
      </c>
      <c r="B47" s="60" t="s">
        <v>4079</v>
      </c>
      <c r="C47" s="60">
        <v>3.1428533E7</v>
      </c>
      <c r="D47" s="61"/>
      <c r="E47" s="61"/>
      <c r="F47" s="61"/>
      <c r="G47" s="60" t="s">
        <v>4044</v>
      </c>
      <c r="H47" s="60" t="s">
        <v>4023</v>
      </c>
      <c r="I47" s="61"/>
    </row>
    <row r="48">
      <c r="A48" s="67">
        <v>46.0</v>
      </c>
      <c r="B48" s="60" t="s">
        <v>4080</v>
      </c>
      <c r="C48" s="60">
        <v>3.2781459E7</v>
      </c>
      <c r="D48" s="61"/>
      <c r="E48" s="61"/>
      <c r="F48" s="61"/>
      <c r="G48" s="60" t="s">
        <v>4044</v>
      </c>
      <c r="H48" s="60" t="s">
        <v>4045</v>
      </c>
      <c r="I48" s="61"/>
    </row>
    <row r="49">
      <c r="A49" s="67">
        <v>47.0</v>
      </c>
      <c r="B49" s="60" t="s">
        <v>4081</v>
      </c>
      <c r="C49" s="60">
        <v>1.7158021E7</v>
      </c>
      <c r="D49" s="61"/>
      <c r="E49" s="61"/>
      <c r="F49" s="61"/>
      <c r="G49" s="60" t="s">
        <v>4044</v>
      </c>
      <c r="H49" s="60" t="s">
        <v>4045</v>
      </c>
      <c r="I49" s="60" t="s">
        <v>1847</v>
      </c>
    </row>
    <row r="50">
      <c r="A50" s="67">
        <v>48.0</v>
      </c>
      <c r="B50" s="60" t="s">
        <v>4082</v>
      </c>
      <c r="C50" s="61"/>
      <c r="D50" s="60">
        <v>13.0</v>
      </c>
      <c r="E50" s="61"/>
      <c r="F50" s="61"/>
      <c r="G50" s="60" t="s">
        <v>4026</v>
      </c>
      <c r="H50" s="60" t="s">
        <v>4027</v>
      </c>
      <c r="I50" s="61"/>
    </row>
    <row r="51">
      <c r="A51" s="67">
        <v>49.0</v>
      </c>
      <c r="B51" s="60" t="s">
        <v>4083</v>
      </c>
      <c r="C51" s="61"/>
      <c r="D51" s="60">
        <v>30.0</v>
      </c>
      <c r="E51" s="61"/>
      <c r="F51" s="61"/>
      <c r="G51" s="60" t="s">
        <v>4026</v>
      </c>
      <c r="H51" s="60" t="s">
        <v>4027</v>
      </c>
      <c r="I51" s="60" t="s">
        <v>4084</v>
      </c>
    </row>
    <row r="52">
      <c r="A52" s="67">
        <v>50.0</v>
      </c>
      <c r="B52" s="60" t="s">
        <v>4083</v>
      </c>
      <c r="C52" s="61"/>
      <c r="D52" s="61"/>
      <c r="E52" s="61"/>
      <c r="F52" s="61"/>
      <c r="G52" s="60" t="s">
        <v>4026</v>
      </c>
      <c r="H52" s="60" t="s">
        <v>4027</v>
      </c>
      <c r="I52" s="61"/>
    </row>
    <row r="53">
      <c r="A53" s="67">
        <v>51.0</v>
      </c>
      <c r="B53" s="60" t="s">
        <v>4085</v>
      </c>
      <c r="C53" s="60">
        <v>1.1061197E7</v>
      </c>
      <c r="D53" s="60">
        <v>55.0</v>
      </c>
      <c r="E53" s="60" t="s">
        <v>4036</v>
      </c>
      <c r="F53" s="61"/>
      <c r="G53" s="60" t="s">
        <v>2445</v>
      </c>
      <c r="H53" s="60" t="s">
        <v>4027</v>
      </c>
      <c r="I53" s="61"/>
    </row>
    <row r="54">
      <c r="A54" s="67">
        <v>52.0</v>
      </c>
      <c r="B54" s="60" t="s">
        <v>4086</v>
      </c>
      <c r="C54" s="60">
        <v>3.6192938E7</v>
      </c>
      <c r="D54" s="60">
        <v>13.0</v>
      </c>
      <c r="E54" s="60" t="s">
        <v>4029</v>
      </c>
      <c r="F54" s="61"/>
      <c r="G54" s="60" t="s">
        <v>2445</v>
      </c>
      <c r="H54" s="60" t="s">
        <v>4027</v>
      </c>
      <c r="I54" s="61"/>
    </row>
    <row r="55">
      <c r="A55" s="67">
        <v>53.0</v>
      </c>
      <c r="B55" s="60" t="s">
        <v>4087</v>
      </c>
      <c r="C55" s="60">
        <v>3.2790475E7</v>
      </c>
      <c r="D55" s="60">
        <v>18.0</v>
      </c>
      <c r="E55" s="60" t="s">
        <v>4029</v>
      </c>
      <c r="F55" s="61"/>
      <c r="G55" s="60" t="s">
        <v>2445</v>
      </c>
      <c r="H55" s="60" t="s">
        <v>4027</v>
      </c>
      <c r="I55" s="61"/>
    </row>
    <row r="56">
      <c r="A56" s="67">
        <v>54.0</v>
      </c>
      <c r="B56" s="60" t="s">
        <v>4088</v>
      </c>
      <c r="C56" s="61"/>
      <c r="D56" s="60">
        <v>10.0</v>
      </c>
      <c r="E56" s="61"/>
      <c r="F56" s="61"/>
      <c r="G56" s="60" t="s">
        <v>4026</v>
      </c>
      <c r="H56" s="60" t="s">
        <v>4027</v>
      </c>
      <c r="I56" s="61"/>
    </row>
    <row r="57">
      <c r="A57" s="67">
        <v>55.0</v>
      </c>
      <c r="B57" s="60" t="s">
        <v>4089</v>
      </c>
      <c r="C57" s="60">
        <v>2.814377E7</v>
      </c>
      <c r="D57" s="61"/>
      <c r="E57" s="61"/>
      <c r="F57" s="61"/>
      <c r="G57" s="60" t="s">
        <v>4044</v>
      </c>
      <c r="H57" s="60" t="s">
        <v>4045</v>
      </c>
      <c r="I57" s="60" t="s">
        <v>1817</v>
      </c>
    </row>
    <row r="58">
      <c r="A58" s="67">
        <v>56.0</v>
      </c>
      <c r="B58" s="60" t="s">
        <v>4090</v>
      </c>
      <c r="C58" s="61"/>
      <c r="D58" s="60">
        <v>25.0</v>
      </c>
      <c r="E58" s="61"/>
      <c r="F58" s="61"/>
      <c r="G58" s="60" t="s">
        <v>4026</v>
      </c>
      <c r="H58" s="60" t="s">
        <v>4027</v>
      </c>
      <c r="I58" s="61"/>
    </row>
    <row r="59">
      <c r="A59" s="67">
        <v>57.0</v>
      </c>
      <c r="B59" s="60" t="s">
        <v>4091</v>
      </c>
      <c r="C59" s="60">
        <v>5424760.0</v>
      </c>
      <c r="D59" s="60">
        <v>67.0</v>
      </c>
      <c r="E59" s="60" t="s">
        <v>4029</v>
      </c>
      <c r="F59" s="61"/>
      <c r="G59" s="60" t="s">
        <v>2445</v>
      </c>
      <c r="H59" s="60" t="s">
        <v>4027</v>
      </c>
      <c r="I59" s="61"/>
    </row>
    <row r="60">
      <c r="A60" s="67">
        <v>58.0</v>
      </c>
      <c r="B60" s="60" t="s">
        <v>4092</v>
      </c>
      <c r="C60" s="60">
        <v>3.3232603E7</v>
      </c>
      <c r="D60" s="61"/>
      <c r="E60" s="61"/>
      <c r="F60" s="61"/>
      <c r="G60" s="60" t="s">
        <v>4044</v>
      </c>
      <c r="H60" s="60" t="s">
        <v>4045</v>
      </c>
      <c r="I60" s="61"/>
    </row>
    <row r="61">
      <c r="A61" s="67">
        <v>59.0</v>
      </c>
      <c r="B61" s="60" t="s">
        <v>4093</v>
      </c>
      <c r="C61" s="61"/>
      <c r="D61" s="60">
        <v>73.0</v>
      </c>
      <c r="E61" s="61"/>
      <c r="F61" s="61"/>
      <c r="G61" s="60" t="s">
        <v>4026</v>
      </c>
      <c r="H61" s="60" t="s">
        <v>4027</v>
      </c>
      <c r="I61" s="61"/>
    </row>
    <row r="62">
      <c r="A62" s="67">
        <v>60.0</v>
      </c>
      <c r="B62" s="60" t="s">
        <v>4094</v>
      </c>
      <c r="C62" s="61"/>
      <c r="D62" s="61"/>
      <c r="E62" s="61"/>
      <c r="F62" s="61"/>
      <c r="G62" s="60" t="s">
        <v>4026</v>
      </c>
      <c r="H62" s="60" t="s">
        <v>4027</v>
      </c>
      <c r="I62" s="61"/>
    </row>
    <row r="63">
      <c r="A63" s="67">
        <v>61.0</v>
      </c>
      <c r="B63" s="60" t="s">
        <v>4095</v>
      </c>
      <c r="C63" s="61"/>
      <c r="D63" s="60">
        <v>12.0</v>
      </c>
      <c r="E63" s="60" t="s">
        <v>4029</v>
      </c>
      <c r="F63" s="60" t="s">
        <v>330</v>
      </c>
      <c r="G63" s="60" t="s">
        <v>4026</v>
      </c>
      <c r="H63" s="60" t="s">
        <v>4023</v>
      </c>
      <c r="I63" s="61"/>
    </row>
    <row r="64">
      <c r="A64" s="67">
        <v>62.0</v>
      </c>
      <c r="B64" s="60" t="s">
        <v>4095</v>
      </c>
      <c r="C64" s="61"/>
      <c r="D64" s="60">
        <v>12.0</v>
      </c>
      <c r="E64" s="60" t="s">
        <v>4029</v>
      </c>
      <c r="F64" s="60" t="s">
        <v>330</v>
      </c>
      <c r="G64" s="60" t="s">
        <v>4026</v>
      </c>
      <c r="H64" s="60" t="s">
        <v>4023</v>
      </c>
      <c r="I64" s="60" t="s">
        <v>3629</v>
      </c>
    </row>
    <row r="65">
      <c r="A65" s="67">
        <v>63.0</v>
      </c>
      <c r="B65" s="60" t="s">
        <v>4096</v>
      </c>
      <c r="C65" s="60">
        <v>2.1364204E7</v>
      </c>
      <c r="D65" s="60">
        <v>35.0</v>
      </c>
      <c r="E65" s="60" t="s">
        <v>4036</v>
      </c>
      <c r="F65" s="61"/>
      <c r="G65" s="60" t="s">
        <v>2445</v>
      </c>
      <c r="H65" s="60" t="s">
        <v>4027</v>
      </c>
      <c r="I65" s="61"/>
    </row>
    <row r="66">
      <c r="A66" s="67">
        <v>64.0</v>
      </c>
      <c r="B66" s="60" t="s">
        <v>4097</v>
      </c>
      <c r="C66" s="60">
        <v>2.6327913E7</v>
      </c>
      <c r="D66" s="61"/>
      <c r="E66" s="61"/>
      <c r="F66" s="61"/>
      <c r="G66" s="60" t="s">
        <v>4044</v>
      </c>
      <c r="H66" s="60" t="s">
        <v>4023</v>
      </c>
      <c r="I66" s="61"/>
    </row>
    <row r="67">
      <c r="A67" s="67">
        <v>65.0</v>
      </c>
      <c r="B67" s="60" t="s">
        <v>4098</v>
      </c>
      <c r="C67" s="61"/>
      <c r="D67" s="60">
        <v>10.0</v>
      </c>
      <c r="E67" s="60" t="s">
        <v>4029</v>
      </c>
      <c r="F67" s="60" t="s">
        <v>330</v>
      </c>
      <c r="G67" s="60" t="s">
        <v>4026</v>
      </c>
      <c r="H67" s="60" t="s">
        <v>4023</v>
      </c>
      <c r="I67" s="61"/>
    </row>
    <row r="68">
      <c r="A68" s="67">
        <v>66.0</v>
      </c>
      <c r="B68" s="60" t="s">
        <v>4098</v>
      </c>
      <c r="C68" s="61"/>
      <c r="D68" s="60">
        <v>10.0</v>
      </c>
      <c r="E68" s="60" t="s">
        <v>4029</v>
      </c>
      <c r="F68" s="60" t="s">
        <v>330</v>
      </c>
      <c r="G68" s="60" t="s">
        <v>4026</v>
      </c>
      <c r="H68" s="60" t="s">
        <v>4023</v>
      </c>
      <c r="I68" s="60" t="s">
        <v>3629</v>
      </c>
    </row>
    <row r="69">
      <c r="A69" s="67">
        <v>67.0</v>
      </c>
      <c r="B69" s="60" t="s">
        <v>4099</v>
      </c>
      <c r="C69" s="61"/>
      <c r="D69" s="60">
        <v>26.0</v>
      </c>
      <c r="E69" s="61"/>
      <c r="F69" s="61"/>
      <c r="G69" s="60" t="s">
        <v>4026</v>
      </c>
      <c r="H69" s="60" t="s">
        <v>4027</v>
      </c>
      <c r="I69" s="61"/>
    </row>
    <row r="70">
      <c r="A70" s="67">
        <v>68.0</v>
      </c>
      <c r="B70" s="60" t="s">
        <v>4100</v>
      </c>
      <c r="C70" s="61"/>
      <c r="D70" s="60">
        <v>13.0</v>
      </c>
      <c r="E70" s="61"/>
      <c r="F70" s="61"/>
      <c r="G70" s="60" t="s">
        <v>4026</v>
      </c>
      <c r="H70" s="60" t="s">
        <v>4027</v>
      </c>
      <c r="I70" s="61"/>
    </row>
    <row r="71">
      <c r="A71" s="67">
        <v>69.0</v>
      </c>
      <c r="B71" s="60" t="s">
        <v>4101</v>
      </c>
      <c r="C71" s="60">
        <v>2.7374286E7</v>
      </c>
      <c r="D71" s="61"/>
      <c r="E71" s="61"/>
      <c r="F71" s="61"/>
      <c r="G71" s="60" t="s">
        <v>4044</v>
      </c>
      <c r="H71" s="60" t="s">
        <v>4045</v>
      </c>
      <c r="I71" s="60" t="s">
        <v>1847</v>
      </c>
    </row>
    <row r="72">
      <c r="A72" s="67">
        <v>70.0</v>
      </c>
      <c r="B72" s="60" t="s">
        <v>4102</v>
      </c>
      <c r="C72" s="60">
        <v>8.146247E7</v>
      </c>
      <c r="D72" s="61"/>
      <c r="E72" s="61"/>
      <c r="F72" s="61"/>
      <c r="G72" s="60" t="s">
        <v>4044</v>
      </c>
      <c r="H72" s="60" t="s">
        <v>4045</v>
      </c>
      <c r="I72" s="60" t="s">
        <v>1847</v>
      </c>
    </row>
    <row r="73">
      <c r="A73" s="67">
        <v>71.0</v>
      </c>
      <c r="B73" s="60" t="s">
        <v>4103</v>
      </c>
      <c r="C73" s="60">
        <v>3.1995517E7</v>
      </c>
      <c r="D73" s="60">
        <v>21.0</v>
      </c>
      <c r="E73" s="61"/>
      <c r="F73" s="61"/>
      <c r="G73" s="60" t="s">
        <v>4022</v>
      </c>
      <c r="H73" s="60" t="s">
        <v>4023</v>
      </c>
      <c r="I73" s="60" t="s">
        <v>4024</v>
      </c>
    </row>
    <row r="74">
      <c r="A74" s="67">
        <v>72.0</v>
      </c>
      <c r="B74" s="60" t="s">
        <v>4104</v>
      </c>
      <c r="C74" s="61"/>
      <c r="D74" s="60">
        <v>57.0</v>
      </c>
      <c r="E74" s="61"/>
      <c r="F74" s="61"/>
      <c r="G74" s="60" t="s">
        <v>4026</v>
      </c>
      <c r="H74" s="60" t="s">
        <v>4027</v>
      </c>
      <c r="I74" s="61"/>
    </row>
    <row r="75">
      <c r="A75" s="67">
        <v>73.0</v>
      </c>
      <c r="B75" s="60" t="s">
        <v>4105</v>
      </c>
      <c r="C75" s="60">
        <v>1.8780841E7</v>
      </c>
      <c r="D75" s="60">
        <v>36.0</v>
      </c>
      <c r="E75" s="60" t="s">
        <v>4036</v>
      </c>
      <c r="F75" s="61"/>
      <c r="G75" s="60" t="s">
        <v>2445</v>
      </c>
      <c r="H75" s="60" t="s">
        <v>4027</v>
      </c>
      <c r="I75" s="61"/>
    </row>
    <row r="76">
      <c r="A76" s="67">
        <v>74.0</v>
      </c>
      <c r="B76" s="60" t="s">
        <v>4106</v>
      </c>
      <c r="C76" s="60">
        <v>2.5867267E7</v>
      </c>
      <c r="D76" s="61"/>
      <c r="E76" s="60" t="s">
        <v>4036</v>
      </c>
      <c r="F76" s="60" t="s">
        <v>330</v>
      </c>
      <c r="G76" s="60" t="s">
        <v>2667</v>
      </c>
      <c r="H76" s="60" t="s">
        <v>4027</v>
      </c>
      <c r="I76" s="61"/>
    </row>
    <row r="77">
      <c r="A77" s="67">
        <v>75.0</v>
      </c>
      <c r="B77" s="60" t="s">
        <v>4107</v>
      </c>
      <c r="C77" s="60">
        <v>1.2763837E7</v>
      </c>
      <c r="D77" s="61"/>
      <c r="E77" s="61"/>
      <c r="F77" s="61"/>
      <c r="G77" s="60" t="s">
        <v>4044</v>
      </c>
      <c r="H77" s="60" t="s">
        <v>4023</v>
      </c>
      <c r="I77" s="61"/>
    </row>
    <row r="78">
      <c r="A78" s="67">
        <v>76.0</v>
      </c>
      <c r="B78" s="60" t="s">
        <v>4108</v>
      </c>
      <c r="C78" s="61"/>
      <c r="D78" s="60">
        <v>6.0</v>
      </c>
      <c r="E78" s="61"/>
      <c r="F78" s="61"/>
      <c r="G78" s="60" t="s">
        <v>4022</v>
      </c>
      <c r="H78" s="60" t="s">
        <v>4023</v>
      </c>
      <c r="I78" s="60" t="s">
        <v>4024</v>
      </c>
    </row>
    <row r="79">
      <c r="A79" s="67">
        <v>77.0</v>
      </c>
      <c r="B79" s="60" t="s">
        <v>4109</v>
      </c>
      <c r="C79" s="61"/>
      <c r="D79" s="60">
        <v>19.0</v>
      </c>
      <c r="E79" s="60" t="s">
        <v>4036</v>
      </c>
      <c r="F79" s="60" t="s">
        <v>993</v>
      </c>
      <c r="G79" s="60" t="s">
        <v>4026</v>
      </c>
      <c r="H79" s="60" t="s">
        <v>4031</v>
      </c>
      <c r="I79" s="61"/>
    </row>
    <row r="80">
      <c r="A80" s="67">
        <v>78.0</v>
      </c>
      <c r="B80" s="60" t="s">
        <v>4110</v>
      </c>
      <c r="C80" s="61"/>
      <c r="D80" s="61"/>
      <c r="E80" s="60" t="s">
        <v>4036</v>
      </c>
      <c r="F80" s="60" t="s">
        <v>330</v>
      </c>
      <c r="G80" s="60" t="s">
        <v>2667</v>
      </c>
      <c r="H80" s="60" t="s">
        <v>4027</v>
      </c>
      <c r="I80" s="61"/>
    </row>
    <row r="81">
      <c r="A81" s="67">
        <v>79.0</v>
      </c>
      <c r="B81" s="60" t="s">
        <v>4111</v>
      </c>
      <c r="C81" s="60">
        <v>2.2538576E7</v>
      </c>
      <c r="D81" s="60">
        <v>30.0</v>
      </c>
      <c r="E81" s="60" t="s">
        <v>4029</v>
      </c>
      <c r="F81" s="61"/>
      <c r="G81" s="60" t="s">
        <v>2445</v>
      </c>
      <c r="H81" s="60" t="s">
        <v>4027</v>
      </c>
      <c r="I81" s="61"/>
    </row>
    <row r="82">
      <c r="A82" s="67">
        <v>80.0</v>
      </c>
      <c r="B82" s="60" t="s">
        <v>4112</v>
      </c>
      <c r="C82" s="60">
        <v>6340991.0</v>
      </c>
      <c r="D82" s="60">
        <v>58.0</v>
      </c>
      <c r="E82" s="61"/>
      <c r="F82" s="61"/>
      <c r="G82" s="60" t="s">
        <v>4022</v>
      </c>
      <c r="H82" s="60" t="s">
        <v>4023</v>
      </c>
      <c r="I82" s="60" t="s">
        <v>4024</v>
      </c>
    </row>
    <row r="83">
      <c r="A83" s="67">
        <v>81.0</v>
      </c>
      <c r="B83" s="60" t="s">
        <v>4113</v>
      </c>
      <c r="C83" s="60">
        <v>1.023529E7</v>
      </c>
      <c r="D83" s="60">
        <v>60.0</v>
      </c>
      <c r="E83" s="60" t="s">
        <v>4036</v>
      </c>
      <c r="F83" s="61"/>
      <c r="G83" s="60" t="s">
        <v>2445</v>
      </c>
      <c r="H83" s="60" t="s">
        <v>4027</v>
      </c>
      <c r="I83" s="61"/>
    </row>
    <row r="84">
      <c r="A84" s="67">
        <v>82.0</v>
      </c>
      <c r="B84" s="60" t="s">
        <v>4114</v>
      </c>
      <c r="C84" s="60">
        <v>1.8709145E7</v>
      </c>
      <c r="D84" s="61"/>
      <c r="E84" s="60" t="s">
        <v>4029</v>
      </c>
      <c r="F84" s="60" t="s">
        <v>330</v>
      </c>
      <c r="G84" s="60" t="s">
        <v>2667</v>
      </c>
      <c r="H84" s="60" t="s">
        <v>4027</v>
      </c>
      <c r="I84" s="61"/>
    </row>
    <row r="85">
      <c r="A85" s="67">
        <v>83.0</v>
      </c>
      <c r="B85" s="60" t="s">
        <v>4115</v>
      </c>
      <c r="C85" s="60">
        <v>296723.0</v>
      </c>
      <c r="D85" s="61"/>
      <c r="E85" s="61"/>
      <c r="F85" s="61"/>
      <c r="G85" s="60" t="s">
        <v>4044</v>
      </c>
      <c r="H85" s="60" t="s">
        <v>4045</v>
      </c>
      <c r="I85" s="60" t="s">
        <v>1847</v>
      </c>
    </row>
    <row r="86">
      <c r="A86" s="67">
        <v>84.0</v>
      </c>
      <c r="B86" s="60" t="s">
        <v>4116</v>
      </c>
      <c r="C86" s="60">
        <v>1.3373135E7</v>
      </c>
      <c r="D86" s="60">
        <v>48.0</v>
      </c>
      <c r="E86" s="61"/>
      <c r="F86" s="61"/>
      <c r="G86" s="60" t="s">
        <v>4022</v>
      </c>
      <c r="H86" s="60" t="s">
        <v>4023</v>
      </c>
      <c r="I86" s="60" t="s">
        <v>4024</v>
      </c>
    </row>
    <row r="87">
      <c r="A87" s="67">
        <v>85.0</v>
      </c>
      <c r="B87" s="60" t="s">
        <v>4117</v>
      </c>
      <c r="C87" s="61"/>
      <c r="D87" s="60">
        <v>23.0</v>
      </c>
      <c r="E87" s="60" t="s">
        <v>4029</v>
      </c>
      <c r="F87" s="60" t="s">
        <v>4118</v>
      </c>
      <c r="G87" s="60" t="s">
        <v>4026</v>
      </c>
      <c r="H87" s="60" t="s">
        <v>4031</v>
      </c>
      <c r="I87" s="61"/>
    </row>
    <row r="88">
      <c r="A88" s="67">
        <v>86.0</v>
      </c>
      <c r="B88" s="60" t="s">
        <v>4119</v>
      </c>
      <c r="C88" s="60">
        <v>1.0576803E7</v>
      </c>
      <c r="D88" s="61"/>
      <c r="E88" s="61"/>
      <c r="F88" s="61"/>
      <c r="G88" s="60" t="s">
        <v>4044</v>
      </c>
      <c r="H88" s="60" t="s">
        <v>4023</v>
      </c>
      <c r="I88" s="61"/>
    </row>
    <row r="89">
      <c r="A89" s="67">
        <v>87.0</v>
      </c>
      <c r="B89" s="60" t="s">
        <v>4120</v>
      </c>
      <c r="C89" s="61"/>
      <c r="D89" s="60">
        <v>64.0</v>
      </c>
      <c r="E89" s="60" t="s">
        <v>4029</v>
      </c>
      <c r="F89" s="60" t="s">
        <v>925</v>
      </c>
      <c r="G89" s="60" t="s">
        <v>4026</v>
      </c>
      <c r="H89" s="60" t="s">
        <v>4031</v>
      </c>
      <c r="I89" s="61"/>
    </row>
    <row r="90">
      <c r="A90" s="67">
        <v>88.0</v>
      </c>
      <c r="B90" s="60" t="s">
        <v>4121</v>
      </c>
      <c r="C90" s="61"/>
      <c r="D90" s="61"/>
      <c r="E90" s="61"/>
      <c r="F90" s="61"/>
      <c r="G90" s="60" t="s">
        <v>4044</v>
      </c>
      <c r="H90" s="60" t="s">
        <v>4045</v>
      </c>
      <c r="I90" s="61"/>
    </row>
    <row r="91">
      <c r="A91" s="67">
        <v>89.0</v>
      </c>
      <c r="B91" s="60" t="s">
        <v>4122</v>
      </c>
      <c r="C91" s="61"/>
      <c r="D91" s="60">
        <v>55.0</v>
      </c>
      <c r="E91" s="61"/>
      <c r="F91" s="61"/>
      <c r="G91" s="60" t="s">
        <v>4026</v>
      </c>
      <c r="H91" s="60" t="s">
        <v>4027</v>
      </c>
      <c r="I91" s="61"/>
    </row>
    <row r="92">
      <c r="A92" s="67">
        <v>90.0</v>
      </c>
      <c r="B92" s="60" t="s">
        <v>4123</v>
      </c>
      <c r="C92" s="60">
        <v>6482918.0</v>
      </c>
      <c r="D92" s="60">
        <v>65.0</v>
      </c>
      <c r="E92" s="60" t="s">
        <v>4036</v>
      </c>
      <c r="F92" s="61"/>
      <c r="G92" s="60" t="s">
        <v>2445</v>
      </c>
      <c r="H92" s="60" t="s">
        <v>4027</v>
      </c>
      <c r="I92" s="61"/>
    </row>
    <row r="93">
      <c r="A93" s="67">
        <v>91.0</v>
      </c>
      <c r="B93" s="60" t="s">
        <v>4124</v>
      </c>
      <c r="C93" s="60">
        <v>2.9571733E7</v>
      </c>
      <c r="D93" s="60">
        <v>24.0</v>
      </c>
      <c r="E93" s="61"/>
      <c r="F93" s="61"/>
      <c r="G93" s="60" t="s">
        <v>4022</v>
      </c>
      <c r="H93" s="60" t="s">
        <v>4023</v>
      </c>
      <c r="I93" s="60" t="s">
        <v>4024</v>
      </c>
    </row>
    <row r="94">
      <c r="A94" s="67">
        <v>92.0</v>
      </c>
      <c r="B94" s="60" t="s">
        <v>4125</v>
      </c>
      <c r="C94" s="60">
        <v>2.5699054E7</v>
      </c>
      <c r="D94" s="61"/>
      <c r="E94" s="61"/>
      <c r="F94" s="61"/>
      <c r="G94" s="60" t="s">
        <v>4044</v>
      </c>
      <c r="H94" s="60" t="s">
        <v>4045</v>
      </c>
      <c r="I94" s="60" t="s">
        <v>1847</v>
      </c>
    </row>
    <row r="95">
      <c r="A95" s="67">
        <v>93.0</v>
      </c>
      <c r="B95" s="60" t="s">
        <v>4126</v>
      </c>
      <c r="C95" s="60">
        <v>1.6310014E7</v>
      </c>
      <c r="D95" s="61"/>
      <c r="E95" s="61"/>
      <c r="F95" s="61"/>
      <c r="G95" s="60" t="s">
        <v>4044</v>
      </c>
      <c r="H95" s="60" t="s">
        <v>4023</v>
      </c>
      <c r="I95" s="61"/>
    </row>
    <row r="96">
      <c r="A96" s="67">
        <v>94.0</v>
      </c>
      <c r="B96" s="60" t="s">
        <v>4127</v>
      </c>
      <c r="C96" s="61"/>
      <c r="D96" s="60">
        <v>31.0</v>
      </c>
      <c r="E96" s="60" t="s">
        <v>4036</v>
      </c>
      <c r="F96" s="60" t="s">
        <v>972</v>
      </c>
      <c r="G96" s="60" t="s">
        <v>4026</v>
      </c>
      <c r="H96" s="60" t="s">
        <v>4031</v>
      </c>
      <c r="I96" s="61"/>
    </row>
    <row r="97">
      <c r="A97" s="67">
        <v>95.0</v>
      </c>
      <c r="B97" s="60" t="s">
        <v>4128</v>
      </c>
      <c r="C97" s="61"/>
      <c r="D97" s="60">
        <v>37.0</v>
      </c>
      <c r="E97" s="60" t="s">
        <v>4029</v>
      </c>
      <c r="F97" s="60" t="s">
        <v>993</v>
      </c>
      <c r="G97" s="60" t="s">
        <v>4026</v>
      </c>
      <c r="H97" s="60" t="s">
        <v>4031</v>
      </c>
      <c r="I97" s="61"/>
    </row>
    <row r="98">
      <c r="A98" s="67">
        <v>96.0</v>
      </c>
      <c r="B98" s="60" t="s">
        <v>4129</v>
      </c>
      <c r="C98" s="61"/>
      <c r="D98" s="61"/>
      <c r="E98" s="61"/>
      <c r="F98" s="61"/>
      <c r="G98" s="60" t="s">
        <v>4044</v>
      </c>
      <c r="H98" s="60" t="s">
        <v>4023</v>
      </c>
      <c r="I98" s="61"/>
    </row>
    <row r="99">
      <c r="A99" s="67">
        <v>97.0</v>
      </c>
      <c r="B99" s="60" t="s">
        <v>4130</v>
      </c>
      <c r="C99" s="61"/>
      <c r="D99" s="60">
        <v>7.0</v>
      </c>
      <c r="E99" s="61"/>
      <c r="F99" s="61"/>
      <c r="G99" s="60" t="s">
        <v>4026</v>
      </c>
      <c r="H99" s="60" t="s">
        <v>4027</v>
      </c>
      <c r="I99" s="60" t="s">
        <v>4131</v>
      </c>
    </row>
    <row r="100">
      <c r="A100" s="67">
        <v>98.0</v>
      </c>
      <c r="B100" s="60" t="s">
        <v>4132</v>
      </c>
      <c r="C100" s="61"/>
      <c r="D100" s="60">
        <v>52.0</v>
      </c>
      <c r="E100" s="60" t="s">
        <v>4036</v>
      </c>
      <c r="F100" s="60" t="s">
        <v>4030</v>
      </c>
      <c r="G100" s="60" t="s">
        <v>4026</v>
      </c>
      <c r="H100" s="60" t="s">
        <v>4031</v>
      </c>
      <c r="I100" s="61"/>
    </row>
    <row r="101">
      <c r="A101" s="67">
        <v>99.0</v>
      </c>
      <c r="B101" s="60" t="s">
        <v>4133</v>
      </c>
      <c r="C101" s="61"/>
      <c r="D101" s="61"/>
      <c r="E101" s="61"/>
      <c r="F101" s="61"/>
      <c r="G101" s="60" t="s">
        <v>4026</v>
      </c>
      <c r="H101" s="60" t="s">
        <v>4027</v>
      </c>
      <c r="I101" s="61"/>
    </row>
    <row r="102">
      <c r="A102" s="67">
        <v>100.0</v>
      </c>
      <c r="B102" s="60" t="s">
        <v>4134</v>
      </c>
      <c r="C102" s="61"/>
      <c r="D102" s="61"/>
      <c r="E102" s="61"/>
      <c r="F102" s="61"/>
      <c r="G102" s="60" t="s">
        <v>4026</v>
      </c>
      <c r="H102" s="60" t="s">
        <v>4027</v>
      </c>
      <c r="I102" s="61"/>
    </row>
    <row r="103">
      <c r="A103" s="67">
        <v>101.0</v>
      </c>
      <c r="B103" s="60" t="s">
        <v>4135</v>
      </c>
      <c r="C103" s="61"/>
      <c r="D103" s="61"/>
      <c r="E103" s="60" t="s">
        <v>4029</v>
      </c>
      <c r="F103" s="60" t="s">
        <v>330</v>
      </c>
      <c r="G103" s="60" t="s">
        <v>2667</v>
      </c>
      <c r="H103" s="60" t="s">
        <v>4027</v>
      </c>
      <c r="I103" s="61"/>
    </row>
    <row r="104">
      <c r="A104" s="67">
        <v>102.0</v>
      </c>
      <c r="B104" s="60" t="s">
        <v>4136</v>
      </c>
      <c r="C104" s="61"/>
      <c r="D104" s="60">
        <v>34.0</v>
      </c>
      <c r="E104" s="60" t="s">
        <v>4029</v>
      </c>
      <c r="F104" s="60" t="s">
        <v>4030</v>
      </c>
      <c r="G104" s="60" t="s">
        <v>4026</v>
      </c>
      <c r="H104" s="60" t="s">
        <v>4031</v>
      </c>
      <c r="I104" s="61"/>
    </row>
    <row r="105">
      <c r="A105" s="67">
        <v>103.0</v>
      </c>
      <c r="B105" s="60" t="s">
        <v>4137</v>
      </c>
      <c r="C105" s="60">
        <v>3.3423811E7</v>
      </c>
      <c r="D105" s="61"/>
      <c r="E105" s="61"/>
      <c r="F105" s="61"/>
      <c r="G105" s="60" t="s">
        <v>4044</v>
      </c>
      <c r="H105" s="60" t="s">
        <v>4045</v>
      </c>
      <c r="I105" s="61"/>
    </row>
    <row r="106">
      <c r="A106" s="67">
        <v>104.0</v>
      </c>
      <c r="B106" s="60" t="s">
        <v>4138</v>
      </c>
      <c r="C106" s="60">
        <v>3.254342E7</v>
      </c>
      <c r="D106" s="61"/>
      <c r="E106" s="61"/>
      <c r="F106" s="61"/>
      <c r="G106" s="60" t="s">
        <v>4044</v>
      </c>
      <c r="H106" s="60" t="s">
        <v>4023</v>
      </c>
      <c r="I106" s="61"/>
    </row>
    <row r="107">
      <c r="A107" s="67">
        <v>105.0</v>
      </c>
      <c r="B107" s="60" t="s">
        <v>4139</v>
      </c>
      <c r="C107" s="61"/>
      <c r="D107" s="61"/>
      <c r="E107" s="60" t="s">
        <v>4029</v>
      </c>
      <c r="F107" s="60" t="s">
        <v>330</v>
      </c>
      <c r="G107" s="60" t="s">
        <v>2667</v>
      </c>
      <c r="H107" s="60" t="s">
        <v>4027</v>
      </c>
      <c r="I107" s="61"/>
    </row>
    <row r="108">
      <c r="A108" s="67">
        <v>106.0</v>
      </c>
      <c r="B108" s="60" t="s">
        <v>4140</v>
      </c>
      <c r="C108" s="60">
        <v>2.7377514E7</v>
      </c>
      <c r="D108" s="61"/>
      <c r="E108" s="61"/>
      <c r="F108" s="61"/>
      <c r="G108" s="60" t="s">
        <v>4044</v>
      </c>
      <c r="H108" s="60" t="s">
        <v>4023</v>
      </c>
      <c r="I108" s="61"/>
    </row>
    <row r="109">
      <c r="A109" s="67">
        <v>107.0</v>
      </c>
      <c r="B109" s="60" t="s">
        <v>4141</v>
      </c>
      <c r="C109" s="60">
        <v>3.254342E7</v>
      </c>
      <c r="D109" s="61"/>
      <c r="E109" s="61"/>
      <c r="F109" s="61"/>
      <c r="G109" s="60" t="s">
        <v>4044</v>
      </c>
      <c r="H109" s="60" t="s">
        <v>4045</v>
      </c>
      <c r="I109" s="60" t="s">
        <v>3629</v>
      </c>
    </row>
    <row r="110">
      <c r="A110" s="67">
        <v>108.0</v>
      </c>
      <c r="B110" s="60" t="s">
        <v>4142</v>
      </c>
      <c r="C110" s="60">
        <v>3.0114918E7</v>
      </c>
      <c r="D110" s="60">
        <v>22.0</v>
      </c>
      <c r="E110" s="61"/>
      <c r="F110" s="61"/>
      <c r="G110" s="60" t="s">
        <v>4022</v>
      </c>
      <c r="H110" s="60" t="s">
        <v>4023</v>
      </c>
      <c r="I110" s="60" t="s">
        <v>4024</v>
      </c>
    </row>
    <row r="111">
      <c r="A111" s="67">
        <v>109.0</v>
      </c>
      <c r="B111" s="60" t="s">
        <v>4143</v>
      </c>
      <c r="C111" s="60">
        <v>3.29197E7</v>
      </c>
      <c r="D111" s="61"/>
      <c r="E111" s="60" t="s">
        <v>4036</v>
      </c>
      <c r="F111" s="60" t="s">
        <v>330</v>
      </c>
      <c r="G111" s="60" t="s">
        <v>2667</v>
      </c>
      <c r="H111" s="60" t="s">
        <v>4027</v>
      </c>
      <c r="I111" s="61"/>
    </row>
    <row r="112">
      <c r="A112" s="67">
        <v>110.0</v>
      </c>
      <c r="B112" s="60" t="s">
        <v>4144</v>
      </c>
      <c r="C112" s="60">
        <v>1.8749225E7</v>
      </c>
      <c r="D112" s="61"/>
      <c r="E112" s="61"/>
      <c r="F112" s="61"/>
      <c r="G112" s="60" t="s">
        <v>4044</v>
      </c>
      <c r="H112" s="60" t="s">
        <v>4023</v>
      </c>
      <c r="I112" s="61"/>
    </row>
    <row r="113">
      <c r="A113" s="67">
        <v>111.0</v>
      </c>
      <c r="B113" s="60" t="s">
        <v>4145</v>
      </c>
      <c r="C113" s="60">
        <v>1.8814839E7</v>
      </c>
      <c r="D113" s="61"/>
      <c r="E113" s="61"/>
      <c r="F113" s="61"/>
      <c r="G113" s="60" t="s">
        <v>4044</v>
      </c>
      <c r="H113" s="60" t="s">
        <v>4023</v>
      </c>
      <c r="I113" s="61"/>
    </row>
    <row r="114">
      <c r="A114" s="67">
        <v>112.0</v>
      </c>
      <c r="B114" s="60" t="s">
        <v>4146</v>
      </c>
      <c r="C114" s="60">
        <v>8.2230906E7</v>
      </c>
      <c r="D114" s="61"/>
      <c r="E114" s="61"/>
      <c r="F114" s="61"/>
      <c r="G114" s="60" t="s">
        <v>4044</v>
      </c>
      <c r="H114" s="60" t="s">
        <v>4023</v>
      </c>
      <c r="I114" s="60" t="s">
        <v>1817</v>
      </c>
    </row>
    <row r="115">
      <c r="A115" s="67">
        <v>113.0</v>
      </c>
      <c r="B115" s="60" t="s">
        <v>4147</v>
      </c>
      <c r="C115" s="61"/>
      <c r="D115" s="60">
        <v>59.0</v>
      </c>
      <c r="E115" s="60" t="s">
        <v>4029</v>
      </c>
      <c r="F115" s="60" t="s">
        <v>651</v>
      </c>
      <c r="G115" s="60" t="s">
        <v>4026</v>
      </c>
      <c r="H115" s="60" t="s">
        <v>4031</v>
      </c>
      <c r="I115" s="61"/>
    </row>
    <row r="116">
      <c r="A116" s="67">
        <v>114.0</v>
      </c>
      <c r="B116" s="60" t="s">
        <v>4148</v>
      </c>
      <c r="C116" s="61"/>
      <c r="D116" s="61"/>
      <c r="E116" s="61"/>
      <c r="F116" s="61"/>
      <c r="G116" s="60" t="s">
        <v>4026</v>
      </c>
      <c r="H116" s="60" t="s">
        <v>4027</v>
      </c>
      <c r="I116" s="61"/>
    </row>
    <row r="117">
      <c r="A117" s="67">
        <v>115.0</v>
      </c>
      <c r="B117" s="60" t="s">
        <v>4149</v>
      </c>
      <c r="C117" s="61"/>
      <c r="D117" s="60">
        <v>42.0</v>
      </c>
      <c r="E117" s="61"/>
      <c r="F117" s="61"/>
      <c r="G117" s="60" t="s">
        <v>4026</v>
      </c>
      <c r="H117" s="60" t="s">
        <v>4027</v>
      </c>
      <c r="I117" s="61"/>
    </row>
    <row r="118">
      <c r="A118" s="67">
        <v>116.0</v>
      </c>
      <c r="B118" s="60" t="s">
        <v>4150</v>
      </c>
      <c r="C118" s="60">
        <v>3.0527436E7</v>
      </c>
      <c r="D118" s="61"/>
      <c r="E118" s="60" t="s">
        <v>4029</v>
      </c>
      <c r="F118" s="60" t="s">
        <v>330</v>
      </c>
      <c r="G118" s="60" t="s">
        <v>2667</v>
      </c>
      <c r="H118" s="60" t="s">
        <v>4027</v>
      </c>
      <c r="I118" s="61"/>
    </row>
    <row r="119">
      <c r="A119" s="67">
        <v>117.0</v>
      </c>
      <c r="B119" s="60" t="s">
        <v>4151</v>
      </c>
      <c r="C119" s="60">
        <v>1.7709218E7</v>
      </c>
      <c r="D119" s="61"/>
      <c r="E119" s="61"/>
      <c r="F119" s="61"/>
      <c r="G119" s="60" t="s">
        <v>4044</v>
      </c>
      <c r="H119" s="60" t="s">
        <v>4045</v>
      </c>
      <c r="I119" s="61"/>
    </row>
    <row r="120">
      <c r="A120" s="67">
        <v>118.0</v>
      </c>
      <c r="B120" s="60" t="s">
        <v>4152</v>
      </c>
      <c r="C120" s="60">
        <v>2.9701695E7</v>
      </c>
      <c r="D120" s="61"/>
      <c r="E120" s="61"/>
      <c r="F120" s="61"/>
      <c r="G120" s="60" t="s">
        <v>4044</v>
      </c>
      <c r="H120" s="60" t="s">
        <v>4023</v>
      </c>
      <c r="I120" s="60" t="s">
        <v>1817</v>
      </c>
    </row>
    <row r="121">
      <c r="A121" s="67">
        <v>119.0</v>
      </c>
      <c r="B121" s="60" t="s">
        <v>4153</v>
      </c>
      <c r="C121" s="60">
        <v>2.646824E7</v>
      </c>
      <c r="D121" s="61"/>
      <c r="E121" s="61"/>
      <c r="F121" s="61"/>
      <c r="G121" s="60" t="s">
        <v>4044</v>
      </c>
      <c r="H121" s="60" t="s">
        <v>4045</v>
      </c>
      <c r="I121" s="61"/>
    </row>
    <row r="122">
      <c r="A122" s="67">
        <v>120.0</v>
      </c>
      <c r="B122" s="60" t="s">
        <v>4154</v>
      </c>
      <c r="C122" s="61"/>
      <c r="D122" s="60">
        <v>63.0</v>
      </c>
      <c r="E122" s="61"/>
      <c r="F122" s="61"/>
      <c r="G122" s="60" t="s">
        <v>4026</v>
      </c>
      <c r="H122" s="60" t="s">
        <v>4027</v>
      </c>
      <c r="I122" s="61"/>
    </row>
    <row r="123">
      <c r="A123" s="67">
        <v>121.0</v>
      </c>
      <c r="B123" s="60" t="s">
        <v>4155</v>
      </c>
      <c r="C123" s="61"/>
      <c r="D123" s="60">
        <v>39.0</v>
      </c>
      <c r="E123" s="61"/>
      <c r="F123" s="61"/>
      <c r="G123" s="60" t="s">
        <v>4026</v>
      </c>
      <c r="H123" s="60" t="s">
        <v>4027</v>
      </c>
      <c r="I123" s="61"/>
    </row>
    <row r="124">
      <c r="A124" s="67">
        <v>122.0</v>
      </c>
      <c r="B124" s="60" t="s">
        <v>4156</v>
      </c>
      <c r="C124" s="61"/>
      <c r="D124" s="60">
        <v>22.0</v>
      </c>
      <c r="E124" s="61"/>
      <c r="F124" s="61"/>
      <c r="G124" s="60" t="s">
        <v>4026</v>
      </c>
      <c r="H124" s="60" t="s">
        <v>4027</v>
      </c>
      <c r="I124" s="61"/>
    </row>
    <row r="125">
      <c r="A125" s="67">
        <v>123.0</v>
      </c>
      <c r="B125" s="60" t="s">
        <v>4157</v>
      </c>
      <c r="C125" s="61"/>
      <c r="D125" s="60">
        <v>10.0</v>
      </c>
      <c r="E125" s="61"/>
      <c r="F125" s="61"/>
      <c r="G125" s="60" t="s">
        <v>4026</v>
      </c>
      <c r="H125" s="60" t="s">
        <v>4027</v>
      </c>
      <c r="I125" s="61"/>
    </row>
    <row r="126">
      <c r="A126" s="67">
        <v>124.0</v>
      </c>
      <c r="B126" s="60" t="s">
        <v>4158</v>
      </c>
      <c r="C126" s="60">
        <v>3.1383685E7</v>
      </c>
      <c r="D126" s="61"/>
      <c r="E126" s="60" t="s">
        <v>4029</v>
      </c>
      <c r="F126" s="60" t="s">
        <v>330</v>
      </c>
      <c r="G126" s="60" t="s">
        <v>2667</v>
      </c>
      <c r="H126" s="60" t="s">
        <v>4027</v>
      </c>
      <c r="I126" s="61"/>
    </row>
    <row r="127">
      <c r="A127" s="67">
        <v>125.0</v>
      </c>
      <c r="B127" s="60" t="s">
        <v>4159</v>
      </c>
      <c r="C127" s="61"/>
      <c r="D127" s="61"/>
      <c r="E127" s="61"/>
      <c r="F127" s="61"/>
      <c r="G127" s="60" t="s">
        <v>4022</v>
      </c>
      <c r="H127" s="60" t="s">
        <v>4023</v>
      </c>
      <c r="I127" s="60" t="s">
        <v>4024</v>
      </c>
    </row>
    <row r="128">
      <c r="A128" s="67">
        <v>126.0</v>
      </c>
      <c r="B128" s="60" t="s">
        <v>4160</v>
      </c>
      <c r="C128" s="60">
        <v>1.3828545E7</v>
      </c>
      <c r="D128" s="60">
        <v>47.0</v>
      </c>
      <c r="E128" s="61"/>
      <c r="F128" s="61"/>
      <c r="G128" s="60" t="s">
        <v>4022</v>
      </c>
      <c r="H128" s="60" t="s">
        <v>4023</v>
      </c>
      <c r="I128" s="60" t="s">
        <v>4024</v>
      </c>
    </row>
    <row r="129">
      <c r="A129" s="67">
        <v>127.0</v>
      </c>
      <c r="B129" s="60" t="s">
        <v>4161</v>
      </c>
      <c r="C129" s="60">
        <v>2.9900166E7</v>
      </c>
      <c r="D129" s="60">
        <v>49.0</v>
      </c>
      <c r="E129" s="60" t="s">
        <v>4036</v>
      </c>
      <c r="F129" s="61"/>
      <c r="G129" s="60" t="s">
        <v>2445</v>
      </c>
      <c r="H129" s="60" t="s">
        <v>4027</v>
      </c>
      <c r="I129" s="61"/>
    </row>
    <row r="130">
      <c r="A130" s="67">
        <v>128.0</v>
      </c>
      <c r="B130" s="60" t="s">
        <v>4162</v>
      </c>
      <c r="C130" s="61"/>
      <c r="D130" s="60">
        <v>32.0</v>
      </c>
      <c r="E130" s="61"/>
      <c r="F130" s="61"/>
      <c r="G130" s="60" t="s">
        <v>4026</v>
      </c>
      <c r="H130" s="60" t="s">
        <v>4027</v>
      </c>
      <c r="I130" s="61"/>
    </row>
    <row r="131">
      <c r="A131" s="67">
        <v>129.0</v>
      </c>
      <c r="B131" s="60" t="s">
        <v>4163</v>
      </c>
      <c r="C131" s="60">
        <v>2.3936261E7</v>
      </c>
      <c r="D131" s="61"/>
      <c r="E131" s="61"/>
      <c r="F131" s="61"/>
      <c r="G131" s="60" t="s">
        <v>4044</v>
      </c>
      <c r="H131" s="60" t="s">
        <v>4023</v>
      </c>
      <c r="I131" s="61"/>
    </row>
    <row r="132">
      <c r="A132" s="67">
        <v>130.0</v>
      </c>
      <c r="B132" s="60" t="s">
        <v>4164</v>
      </c>
      <c r="C132" s="61"/>
      <c r="D132" s="61"/>
      <c r="E132" s="61"/>
      <c r="F132" s="61"/>
      <c r="G132" s="60" t="s">
        <v>4026</v>
      </c>
      <c r="H132" s="60" t="s">
        <v>4027</v>
      </c>
      <c r="I132" s="61"/>
    </row>
    <row r="133">
      <c r="A133" s="67">
        <v>131.0</v>
      </c>
      <c r="B133" s="60" t="s">
        <v>4165</v>
      </c>
      <c r="C133" s="61"/>
      <c r="D133" s="60">
        <v>30.0</v>
      </c>
      <c r="E133" s="61"/>
      <c r="F133" s="61"/>
      <c r="G133" s="60" t="s">
        <v>4026</v>
      </c>
      <c r="H133" s="60" t="s">
        <v>4027</v>
      </c>
      <c r="I133" s="60" t="s">
        <v>4166</v>
      </c>
    </row>
    <row r="134">
      <c r="A134" s="67">
        <v>132.0</v>
      </c>
      <c r="B134" s="60" t="s">
        <v>4167</v>
      </c>
      <c r="C134" s="60">
        <v>2.6019884E7</v>
      </c>
      <c r="D134" s="61"/>
      <c r="E134" s="61"/>
      <c r="F134" s="61"/>
      <c r="G134" s="60" t="s">
        <v>4044</v>
      </c>
      <c r="H134" s="60" t="s">
        <v>4045</v>
      </c>
      <c r="I134" s="61"/>
    </row>
    <row r="135">
      <c r="A135" s="67">
        <v>133.0</v>
      </c>
      <c r="B135" s="60" t="s">
        <v>4168</v>
      </c>
      <c r="C135" s="60">
        <v>1.7710344E7</v>
      </c>
      <c r="D135" s="61"/>
      <c r="E135" s="60" t="s">
        <v>4029</v>
      </c>
      <c r="F135" s="60" t="s">
        <v>330</v>
      </c>
      <c r="G135" s="60" t="s">
        <v>2667</v>
      </c>
      <c r="H135" s="60" t="s">
        <v>4027</v>
      </c>
      <c r="I135" s="61"/>
    </row>
    <row r="136">
      <c r="A136" s="67">
        <v>134.0</v>
      </c>
      <c r="B136" s="60" t="s">
        <v>4169</v>
      </c>
      <c r="C136" s="61"/>
      <c r="D136" s="60">
        <v>20.0</v>
      </c>
      <c r="E136" s="61"/>
      <c r="F136" s="61"/>
      <c r="G136" s="60" t="s">
        <v>4026</v>
      </c>
      <c r="H136" s="60" t="s">
        <v>4027</v>
      </c>
      <c r="I136" s="61"/>
    </row>
    <row r="137">
      <c r="A137" s="67">
        <v>135.0</v>
      </c>
      <c r="B137" s="60" t="s">
        <v>4170</v>
      </c>
      <c r="C137" s="60">
        <v>3.1428812E7</v>
      </c>
      <c r="D137" s="61"/>
      <c r="E137" s="60" t="s">
        <v>4029</v>
      </c>
      <c r="F137" s="60" t="s">
        <v>330</v>
      </c>
      <c r="G137" s="60" t="s">
        <v>2667</v>
      </c>
      <c r="H137" s="60" t="s">
        <v>4027</v>
      </c>
      <c r="I137" s="61"/>
    </row>
    <row r="138">
      <c r="A138" s="67">
        <v>136.0</v>
      </c>
      <c r="B138" s="60" t="s">
        <v>4171</v>
      </c>
      <c r="C138" s="60">
        <v>6059288.0</v>
      </c>
      <c r="D138" s="61"/>
      <c r="E138" s="61"/>
      <c r="F138" s="61"/>
      <c r="G138" s="60" t="s">
        <v>4044</v>
      </c>
      <c r="H138" s="60" t="s">
        <v>4023</v>
      </c>
      <c r="I138" s="61"/>
    </row>
    <row r="139">
      <c r="A139" s="67">
        <v>137.0</v>
      </c>
      <c r="B139" s="60" t="s">
        <v>4172</v>
      </c>
      <c r="C139" s="60">
        <v>2.8747519E7</v>
      </c>
      <c r="D139" s="61"/>
      <c r="E139" s="61"/>
      <c r="F139" s="61"/>
      <c r="G139" s="60" t="s">
        <v>4044</v>
      </c>
      <c r="H139" s="60" t="s">
        <v>4045</v>
      </c>
      <c r="I139" s="61"/>
    </row>
    <row r="140">
      <c r="A140" s="67">
        <v>138.0</v>
      </c>
      <c r="B140" s="60" t="s">
        <v>4173</v>
      </c>
      <c r="C140" s="60">
        <v>1.3717596E7</v>
      </c>
      <c r="D140" s="61"/>
      <c r="E140" s="60" t="s">
        <v>4029</v>
      </c>
      <c r="F140" s="61"/>
      <c r="G140" s="60" t="s">
        <v>2445</v>
      </c>
      <c r="H140" s="60" t="s">
        <v>4027</v>
      </c>
      <c r="I140" s="61"/>
    </row>
    <row r="141">
      <c r="A141" s="67">
        <v>139.0</v>
      </c>
      <c r="B141" s="60" t="s">
        <v>4174</v>
      </c>
      <c r="C141" s="60">
        <v>5072832.0</v>
      </c>
      <c r="D141" s="60">
        <v>66.0</v>
      </c>
      <c r="E141" s="60" t="s">
        <v>4036</v>
      </c>
      <c r="F141" s="61"/>
      <c r="G141" s="60" t="s">
        <v>2445</v>
      </c>
      <c r="H141" s="60" t="s">
        <v>4027</v>
      </c>
      <c r="I141" s="61"/>
    </row>
    <row r="142">
      <c r="A142" s="67">
        <v>140.0</v>
      </c>
      <c r="B142" s="60" t="s">
        <v>4175</v>
      </c>
      <c r="C142" s="60">
        <v>4636722.0</v>
      </c>
      <c r="D142" s="61"/>
      <c r="E142" s="61"/>
      <c r="F142" s="61"/>
      <c r="G142" s="60" t="s">
        <v>4044</v>
      </c>
      <c r="H142" s="60" t="s">
        <v>4045</v>
      </c>
      <c r="I142" s="60" t="s">
        <v>1817</v>
      </c>
    </row>
    <row r="143">
      <c r="A143" s="67">
        <v>141.0</v>
      </c>
      <c r="B143" s="60" t="s">
        <v>4176</v>
      </c>
      <c r="C143" s="61"/>
      <c r="D143" s="61"/>
      <c r="E143" s="61"/>
      <c r="F143" s="61"/>
      <c r="G143" s="60" t="s">
        <v>4026</v>
      </c>
      <c r="H143" s="60" t="s">
        <v>4027</v>
      </c>
      <c r="I143" s="61"/>
    </row>
    <row r="144">
      <c r="A144" s="67">
        <v>142.0</v>
      </c>
      <c r="B144" s="60" t="s">
        <v>4177</v>
      </c>
      <c r="C144" s="60">
        <v>3.2976229E7</v>
      </c>
      <c r="D144" s="61"/>
      <c r="E144" s="61"/>
      <c r="F144" s="61"/>
      <c r="G144" s="60" t="s">
        <v>4044</v>
      </c>
      <c r="H144" s="60" t="s">
        <v>4023</v>
      </c>
      <c r="I144" s="60" t="s">
        <v>1817</v>
      </c>
    </row>
    <row r="145">
      <c r="A145" s="67">
        <v>143.0</v>
      </c>
      <c r="B145" s="60" t="s">
        <v>4178</v>
      </c>
      <c r="C145" s="61"/>
      <c r="D145" s="60">
        <v>74.0</v>
      </c>
      <c r="E145" s="61"/>
      <c r="F145" s="61"/>
      <c r="G145" s="60" t="s">
        <v>4026</v>
      </c>
      <c r="H145" s="60" t="s">
        <v>4027</v>
      </c>
      <c r="I145" s="61"/>
    </row>
    <row r="146">
      <c r="A146" s="67">
        <v>144.0</v>
      </c>
      <c r="B146" s="60" t="s">
        <v>4179</v>
      </c>
      <c r="C146" s="60">
        <v>1.5332705E7</v>
      </c>
      <c r="D146" s="60">
        <v>45.0</v>
      </c>
      <c r="E146" s="60" t="s">
        <v>4036</v>
      </c>
      <c r="F146" s="61"/>
      <c r="G146" s="60" t="s">
        <v>2445</v>
      </c>
      <c r="H146" s="60" t="s">
        <v>4027</v>
      </c>
      <c r="I146" s="61"/>
    </row>
    <row r="147">
      <c r="A147" s="67">
        <v>145.0</v>
      </c>
      <c r="B147" s="60" t="s">
        <v>4180</v>
      </c>
      <c r="C147" s="60">
        <v>3.2976229E7</v>
      </c>
      <c r="D147" s="61"/>
      <c r="E147" s="61"/>
      <c r="F147" s="61"/>
      <c r="G147" s="60" t="s">
        <v>4044</v>
      </c>
      <c r="H147" s="60" t="s">
        <v>4023</v>
      </c>
      <c r="I147" s="60" t="s">
        <v>3629</v>
      </c>
    </row>
    <row r="148">
      <c r="A148" s="67">
        <v>146.0</v>
      </c>
      <c r="B148" s="60" t="s">
        <v>4181</v>
      </c>
      <c r="C148" s="60">
        <v>3.2359883E7</v>
      </c>
      <c r="D148" s="61"/>
      <c r="E148" s="61"/>
      <c r="F148" s="61"/>
      <c r="G148" s="60" t="s">
        <v>4044</v>
      </c>
      <c r="H148" s="60" t="s">
        <v>4023</v>
      </c>
      <c r="I148" s="61"/>
    </row>
    <row r="149">
      <c r="A149" s="67">
        <v>147.0</v>
      </c>
      <c r="B149" s="60" t="s">
        <v>4182</v>
      </c>
      <c r="C149" s="61"/>
      <c r="D149" s="60">
        <v>42.0</v>
      </c>
      <c r="E149" s="60" t="s">
        <v>4029</v>
      </c>
      <c r="F149" s="60" t="s">
        <v>466</v>
      </c>
      <c r="G149" s="60" t="s">
        <v>4026</v>
      </c>
      <c r="H149" s="60" t="s">
        <v>4031</v>
      </c>
      <c r="I149" s="61"/>
    </row>
    <row r="150">
      <c r="A150" s="67">
        <v>148.0</v>
      </c>
      <c r="B150" s="60" t="s">
        <v>4183</v>
      </c>
      <c r="C150" s="61"/>
      <c r="D150" s="60">
        <v>83.0</v>
      </c>
      <c r="E150" s="60" t="s">
        <v>4036</v>
      </c>
      <c r="F150" s="60" t="s">
        <v>1550</v>
      </c>
      <c r="G150" s="60" t="s">
        <v>4026</v>
      </c>
      <c r="H150" s="60" t="s">
        <v>4031</v>
      </c>
      <c r="I150" s="61"/>
    </row>
    <row r="151">
      <c r="A151" s="67">
        <v>149.0</v>
      </c>
      <c r="B151" s="60" t="s">
        <v>4184</v>
      </c>
      <c r="C151" s="60">
        <v>6433372.0</v>
      </c>
      <c r="D151" s="60">
        <v>74.0</v>
      </c>
      <c r="E151" s="61"/>
      <c r="F151" s="61"/>
      <c r="G151" s="60" t="s">
        <v>4022</v>
      </c>
      <c r="H151" s="60" t="s">
        <v>4023</v>
      </c>
      <c r="I151" s="60" t="s">
        <v>4024</v>
      </c>
    </row>
    <row r="152">
      <c r="A152" s="67">
        <v>150.0</v>
      </c>
      <c r="B152" s="60" t="s">
        <v>4185</v>
      </c>
      <c r="C152" s="61"/>
      <c r="D152" s="60">
        <v>4.0</v>
      </c>
      <c r="E152" s="61"/>
      <c r="F152" s="61"/>
      <c r="G152" s="60" t="s">
        <v>4026</v>
      </c>
      <c r="H152" s="60" t="s">
        <v>4027</v>
      </c>
      <c r="I152" s="60" t="s">
        <v>4131</v>
      </c>
    </row>
    <row r="153">
      <c r="A153" s="67">
        <v>151.0</v>
      </c>
      <c r="B153" s="60" t="s">
        <v>4186</v>
      </c>
      <c r="C153" s="60">
        <v>3.0334452E7</v>
      </c>
      <c r="D153" s="60">
        <v>18.0</v>
      </c>
      <c r="E153" s="60" t="s">
        <v>4036</v>
      </c>
      <c r="F153" s="61"/>
      <c r="G153" s="60" t="s">
        <v>2445</v>
      </c>
      <c r="H153" s="60" t="s">
        <v>4027</v>
      </c>
      <c r="I153" s="61"/>
    </row>
    <row r="154">
      <c r="A154" s="67">
        <v>152.0</v>
      </c>
      <c r="B154" s="60" t="s">
        <v>4187</v>
      </c>
      <c r="C154" s="61"/>
      <c r="D154" s="61"/>
      <c r="E154" s="60" t="s">
        <v>4036</v>
      </c>
      <c r="F154" s="60" t="s">
        <v>330</v>
      </c>
      <c r="G154" s="60" t="s">
        <v>4026</v>
      </c>
      <c r="H154" s="60" t="s">
        <v>4023</v>
      </c>
      <c r="I154" s="61"/>
    </row>
    <row r="155">
      <c r="A155" s="67">
        <v>153.0</v>
      </c>
      <c r="B155" s="60" t="s">
        <v>4187</v>
      </c>
      <c r="C155" s="61"/>
      <c r="D155" s="61"/>
      <c r="E155" s="60" t="s">
        <v>4036</v>
      </c>
      <c r="F155" s="60" t="s">
        <v>330</v>
      </c>
      <c r="G155" s="60" t="s">
        <v>4026</v>
      </c>
      <c r="H155" s="60" t="s">
        <v>4023</v>
      </c>
      <c r="I155" s="60" t="s">
        <v>3629</v>
      </c>
    </row>
    <row r="156">
      <c r="A156" s="67">
        <v>154.0</v>
      </c>
      <c r="B156" s="60" t="s">
        <v>4188</v>
      </c>
      <c r="C156" s="60">
        <v>1.3531664E7</v>
      </c>
      <c r="D156" s="60">
        <v>54.0</v>
      </c>
      <c r="E156" s="61"/>
      <c r="F156" s="61"/>
      <c r="G156" s="60" t="s">
        <v>4022</v>
      </c>
      <c r="H156" s="60" t="s">
        <v>4023</v>
      </c>
      <c r="I156" s="60" t="s">
        <v>4024</v>
      </c>
    </row>
    <row r="157">
      <c r="A157" s="67">
        <v>155.0</v>
      </c>
      <c r="B157" s="60" t="s">
        <v>4189</v>
      </c>
      <c r="C157" s="60">
        <v>2.2916224E7</v>
      </c>
      <c r="D157" s="61"/>
      <c r="E157" s="61"/>
      <c r="F157" s="61"/>
      <c r="G157" s="60" t="s">
        <v>4044</v>
      </c>
      <c r="H157" s="60" t="s">
        <v>4045</v>
      </c>
      <c r="I157" s="60" t="s">
        <v>1847</v>
      </c>
    </row>
    <row r="158">
      <c r="A158" s="67">
        <v>156.0</v>
      </c>
      <c r="B158" s="60" t="s">
        <v>4190</v>
      </c>
      <c r="C158" s="61"/>
      <c r="D158" s="60">
        <v>40.0</v>
      </c>
      <c r="E158" s="60" t="s">
        <v>4036</v>
      </c>
      <c r="F158" s="60" t="s">
        <v>4191</v>
      </c>
      <c r="G158" s="60" t="s">
        <v>4026</v>
      </c>
      <c r="H158" s="60" t="s">
        <v>4031</v>
      </c>
      <c r="I158" s="61"/>
    </row>
    <row r="159">
      <c r="A159" s="67">
        <v>157.0</v>
      </c>
      <c r="B159" s="60" t="s">
        <v>4192</v>
      </c>
      <c r="C159" s="60">
        <v>1.2115323E7</v>
      </c>
      <c r="D159" s="61"/>
      <c r="E159" s="61"/>
      <c r="F159" s="61"/>
      <c r="G159" s="60" t="s">
        <v>4044</v>
      </c>
      <c r="H159" s="60" t="s">
        <v>4045</v>
      </c>
      <c r="I159" s="60" t="s">
        <v>1847</v>
      </c>
    </row>
    <row r="160">
      <c r="A160" s="67">
        <v>158.0</v>
      </c>
      <c r="B160" s="60" t="s">
        <v>4193</v>
      </c>
      <c r="C160" s="60">
        <v>6045544.0</v>
      </c>
      <c r="D160" s="60">
        <v>70.0</v>
      </c>
      <c r="E160" s="60" t="s">
        <v>4029</v>
      </c>
      <c r="F160" s="61"/>
      <c r="G160" s="60" t="s">
        <v>2445</v>
      </c>
      <c r="H160" s="60" t="s">
        <v>4027</v>
      </c>
      <c r="I160" s="61"/>
    </row>
    <row r="161">
      <c r="A161" s="67">
        <v>159.0</v>
      </c>
      <c r="B161" s="60" t="s">
        <v>4194</v>
      </c>
      <c r="C161" s="60">
        <v>3.3230043E7</v>
      </c>
      <c r="D161" s="60">
        <v>16.0</v>
      </c>
      <c r="E161" s="60" t="s">
        <v>4029</v>
      </c>
      <c r="F161" s="61"/>
      <c r="G161" s="60" t="s">
        <v>2445</v>
      </c>
      <c r="H161" s="60" t="s">
        <v>4027</v>
      </c>
      <c r="I161" s="61"/>
    </row>
    <row r="162">
      <c r="A162" s="67">
        <v>160.0</v>
      </c>
      <c r="B162" s="60" t="s">
        <v>4195</v>
      </c>
      <c r="C162" s="61"/>
      <c r="D162" s="61"/>
      <c r="E162" s="61"/>
      <c r="F162" s="61"/>
      <c r="G162" s="60" t="s">
        <v>4044</v>
      </c>
      <c r="H162" s="60" t="s">
        <v>4023</v>
      </c>
      <c r="I162" s="60" t="s">
        <v>1817</v>
      </c>
    </row>
    <row r="163">
      <c r="A163" s="67">
        <v>161.0</v>
      </c>
      <c r="B163" s="60" t="s">
        <v>4196</v>
      </c>
      <c r="C163" s="61"/>
      <c r="D163" s="60">
        <v>12.0</v>
      </c>
      <c r="E163" s="61"/>
      <c r="F163" s="61"/>
      <c r="G163" s="60" t="s">
        <v>4026</v>
      </c>
      <c r="H163" s="60" t="s">
        <v>4027</v>
      </c>
      <c r="I163" s="61"/>
    </row>
    <row r="164">
      <c r="A164" s="67">
        <v>162.0</v>
      </c>
      <c r="B164" s="60" t="s">
        <v>4197</v>
      </c>
      <c r="C164" s="60">
        <v>1.0528878E7</v>
      </c>
      <c r="D164" s="60">
        <v>58.0</v>
      </c>
      <c r="E164" s="61"/>
      <c r="F164" s="61"/>
      <c r="G164" s="60" t="s">
        <v>4022</v>
      </c>
      <c r="H164" s="60" t="s">
        <v>4023</v>
      </c>
      <c r="I164" s="60" t="s">
        <v>4024</v>
      </c>
    </row>
    <row r="165">
      <c r="A165" s="67">
        <v>163.0</v>
      </c>
      <c r="B165" s="60" t="s">
        <v>4198</v>
      </c>
      <c r="C165" s="60">
        <v>1.5541666E7</v>
      </c>
      <c r="D165" s="61"/>
      <c r="E165" s="61"/>
      <c r="F165" s="61"/>
      <c r="G165" s="60" t="s">
        <v>4044</v>
      </c>
      <c r="H165" s="60" t="s">
        <v>4023</v>
      </c>
      <c r="I165" s="61"/>
    </row>
    <row r="166">
      <c r="A166" s="67">
        <v>164.0</v>
      </c>
      <c r="B166" s="60" t="s">
        <v>4199</v>
      </c>
      <c r="C166" s="61"/>
      <c r="D166" s="61"/>
      <c r="E166" s="60" t="s">
        <v>4029</v>
      </c>
      <c r="F166" s="60" t="s">
        <v>330</v>
      </c>
      <c r="G166" s="60" t="s">
        <v>2667</v>
      </c>
      <c r="H166" s="60" t="s">
        <v>4027</v>
      </c>
      <c r="I166" s="61"/>
    </row>
    <row r="167">
      <c r="A167" s="67">
        <v>165.0</v>
      </c>
      <c r="B167" s="60" t="s">
        <v>4200</v>
      </c>
      <c r="C167" s="60">
        <v>1.364187E7</v>
      </c>
      <c r="D167" s="61"/>
      <c r="E167" s="61"/>
      <c r="F167" s="61"/>
      <c r="G167" s="60" t="s">
        <v>4044</v>
      </c>
      <c r="H167" s="60" t="s">
        <v>4023</v>
      </c>
      <c r="I167" s="61"/>
    </row>
    <row r="168">
      <c r="A168" s="67">
        <v>166.0</v>
      </c>
      <c r="B168" s="60" t="s">
        <v>4201</v>
      </c>
      <c r="C168" s="60">
        <v>3.134156E7</v>
      </c>
      <c r="D168" s="60">
        <v>20.0</v>
      </c>
      <c r="E168" s="61"/>
      <c r="F168" s="61"/>
      <c r="G168" s="60" t="s">
        <v>4022</v>
      </c>
      <c r="H168" s="60" t="s">
        <v>4023</v>
      </c>
      <c r="I168" s="60" t="s">
        <v>4024</v>
      </c>
    </row>
    <row r="169">
      <c r="A169" s="67">
        <v>167.0</v>
      </c>
      <c r="B169" s="60" t="s">
        <v>4202</v>
      </c>
      <c r="C169" s="61"/>
      <c r="D169" s="61"/>
      <c r="E169" s="61"/>
      <c r="F169" s="61"/>
      <c r="G169" s="60" t="s">
        <v>4026</v>
      </c>
      <c r="H169" s="60" t="s">
        <v>4027</v>
      </c>
      <c r="I169" s="61"/>
    </row>
    <row r="170">
      <c r="A170" s="67">
        <v>168.0</v>
      </c>
      <c r="B170" s="60" t="s">
        <v>4203</v>
      </c>
      <c r="C170" s="60">
        <v>8358411.0</v>
      </c>
      <c r="D170" s="60">
        <v>49.0</v>
      </c>
      <c r="E170" s="60" t="s">
        <v>4036</v>
      </c>
      <c r="F170" s="61"/>
      <c r="G170" s="60" t="s">
        <v>2445</v>
      </c>
      <c r="H170" s="60" t="s">
        <v>4027</v>
      </c>
      <c r="I170" s="61"/>
    </row>
    <row r="171">
      <c r="A171" s="67">
        <v>169.0</v>
      </c>
      <c r="B171" s="60" t="s">
        <v>4204</v>
      </c>
      <c r="C171" s="61"/>
      <c r="D171" s="60">
        <v>9.0</v>
      </c>
      <c r="E171" s="61"/>
      <c r="F171" s="61"/>
      <c r="G171" s="60" t="s">
        <v>4026</v>
      </c>
      <c r="H171" s="60" t="s">
        <v>4027</v>
      </c>
      <c r="I171" s="61"/>
    </row>
    <row r="172">
      <c r="A172" s="67">
        <v>170.0</v>
      </c>
      <c r="B172" s="60" t="s">
        <v>4205</v>
      </c>
      <c r="C172" s="61"/>
      <c r="D172" s="60">
        <v>32.0</v>
      </c>
      <c r="E172" s="60" t="s">
        <v>4029</v>
      </c>
      <c r="F172" s="60" t="s">
        <v>4030</v>
      </c>
      <c r="G172" s="60" t="s">
        <v>4026</v>
      </c>
      <c r="H172" s="60" t="s">
        <v>4031</v>
      </c>
      <c r="I172" s="61"/>
    </row>
    <row r="173">
      <c r="A173" s="67">
        <v>171.0</v>
      </c>
      <c r="B173" s="60" t="s">
        <v>4206</v>
      </c>
      <c r="C173" s="61"/>
      <c r="D173" s="60">
        <v>56.0</v>
      </c>
      <c r="E173" s="60" t="s">
        <v>4029</v>
      </c>
      <c r="F173" s="60" t="s">
        <v>330</v>
      </c>
      <c r="G173" s="60" t="s">
        <v>4026</v>
      </c>
      <c r="H173" s="60" t="s">
        <v>4031</v>
      </c>
      <c r="I173" s="61"/>
    </row>
    <row r="174">
      <c r="A174" s="67">
        <v>172.0</v>
      </c>
      <c r="B174" s="60" t="s">
        <v>4207</v>
      </c>
      <c r="C174" s="60">
        <v>4493435.0</v>
      </c>
      <c r="D174" s="61"/>
      <c r="E174" s="61"/>
      <c r="F174" s="61"/>
      <c r="G174" s="60" t="s">
        <v>4044</v>
      </c>
      <c r="H174" s="60" t="s">
        <v>4045</v>
      </c>
      <c r="I174" s="61"/>
    </row>
    <row r="175">
      <c r="A175" s="67">
        <v>173.0</v>
      </c>
      <c r="B175" s="60" t="s">
        <v>4208</v>
      </c>
      <c r="C175" s="60">
        <v>1.8384289E7</v>
      </c>
      <c r="D175" s="61"/>
      <c r="E175" s="61"/>
      <c r="F175" s="61"/>
      <c r="G175" s="60" t="s">
        <v>4044</v>
      </c>
      <c r="H175" s="60" t="s">
        <v>4045</v>
      </c>
      <c r="I175" s="60" t="s">
        <v>1847</v>
      </c>
    </row>
    <row r="176">
      <c r="A176" s="67">
        <v>174.0</v>
      </c>
      <c r="B176" s="60" t="s">
        <v>4209</v>
      </c>
      <c r="C176" s="60">
        <v>1.6312925E7</v>
      </c>
      <c r="D176" s="61"/>
      <c r="E176" s="60" t="s">
        <v>4036</v>
      </c>
      <c r="F176" s="60" t="s">
        <v>330</v>
      </c>
      <c r="G176" s="60" t="s">
        <v>2667</v>
      </c>
      <c r="H176" s="60" t="s">
        <v>4027</v>
      </c>
      <c r="I176" s="61"/>
    </row>
    <row r="177">
      <c r="A177" s="67">
        <v>175.0</v>
      </c>
      <c r="B177" s="60" t="s">
        <v>4210</v>
      </c>
      <c r="C177" s="60">
        <v>1.5164293E7</v>
      </c>
      <c r="D177" s="61"/>
      <c r="E177" s="60" t="s">
        <v>4029</v>
      </c>
      <c r="F177" s="60" t="s">
        <v>330</v>
      </c>
      <c r="G177" s="60" t="s">
        <v>2667</v>
      </c>
      <c r="H177" s="60" t="s">
        <v>4027</v>
      </c>
      <c r="I177" s="61"/>
    </row>
    <row r="178">
      <c r="A178" s="67">
        <v>176.0</v>
      </c>
      <c r="B178" s="60" t="s">
        <v>4211</v>
      </c>
      <c r="C178" s="60">
        <v>3.1331652E7</v>
      </c>
      <c r="D178" s="60">
        <v>20.0</v>
      </c>
      <c r="E178" s="60" t="s">
        <v>4029</v>
      </c>
      <c r="F178" s="61"/>
      <c r="G178" s="60" t="s">
        <v>2445</v>
      </c>
      <c r="H178" s="60" t="s">
        <v>4027</v>
      </c>
      <c r="I178" s="61"/>
    </row>
    <row r="179">
      <c r="A179" s="67">
        <v>177.0</v>
      </c>
      <c r="B179" s="60" t="s">
        <v>4212</v>
      </c>
      <c r="C179" s="61"/>
      <c r="D179" s="60">
        <v>7.0</v>
      </c>
      <c r="E179" s="61"/>
      <c r="F179" s="61"/>
      <c r="G179" s="60" t="s">
        <v>4026</v>
      </c>
      <c r="H179" s="60" t="s">
        <v>4027</v>
      </c>
      <c r="I179" s="61"/>
    </row>
    <row r="180">
      <c r="A180" s="67">
        <v>178.0</v>
      </c>
      <c r="B180" s="60" t="s">
        <v>4213</v>
      </c>
      <c r="C180" s="61"/>
      <c r="D180" s="60">
        <v>10.0</v>
      </c>
      <c r="E180" s="61"/>
      <c r="F180" s="61"/>
      <c r="G180" s="60" t="s">
        <v>4026</v>
      </c>
      <c r="H180" s="60" t="s">
        <v>4027</v>
      </c>
      <c r="I180" s="61"/>
    </row>
    <row r="181">
      <c r="A181" s="67">
        <v>179.0</v>
      </c>
      <c r="B181" s="60" t="s">
        <v>4214</v>
      </c>
      <c r="C181" s="60">
        <v>1.9367804E7</v>
      </c>
      <c r="D181" s="61"/>
      <c r="E181" s="61"/>
      <c r="F181" s="61"/>
      <c r="G181" s="60" t="s">
        <v>4044</v>
      </c>
      <c r="H181" s="60" t="s">
        <v>4023</v>
      </c>
      <c r="I181" s="61"/>
    </row>
    <row r="182">
      <c r="A182" s="67">
        <v>180.0</v>
      </c>
      <c r="B182" s="60" t="s">
        <v>4215</v>
      </c>
      <c r="C182" s="60">
        <v>6692167.0</v>
      </c>
      <c r="D182" s="61"/>
      <c r="E182" s="61"/>
      <c r="F182" s="61"/>
      <c r="G182" s="60" t="s">
        <v>4044</v>
      </c>
      <c r="H182" s="60" t="s">
        <v>4023</v>
      </c>
      <c r="I182" s="60" t="s">
        <v>1817</v>
      </c>
    </row>
    <row r="183">
      <c r="A183" s="67">
        <v>181.0</v>
      </c>
      <c r="B183" s="60" t="s">
        <v>4216</v>
      </c>
      <c r="C183" s="60">
        <v>1.1643841E7</v>
      </c>
      <c r="D183" s="60">
        <v>52.0</v>
      </c>
      <c r="E183" s="61"/>
      <c r="F183" s="61"/>
      <c r="G183" s="60" t="s">
        <v>4022</v>
      </c>
      <c r="H183" s="60" t="s">
        <v>4023</v>
      </c>
      <c r="I183" s="60" t="s">
        <v>4024</v>
      </c>
    </row>
    <row r="184">
      <c r="A184" s="67">
        <v>182.0</v>
      </c>
      <c r="B184" s="60" t="s">
        <v>4217</v>
      </c>
      <c r="C184" s="60">
        <v>1.3069223E7</v>
      </c>
      <c r="D184" s="61"/>
      <c r="E184" s="61"/>
      <c r="F184" s="60" t="s">
        <v>2861</v>
      </c>
      <c r="G184" s="60" t="s">
        <v>2667</v>
      </c>
      <c r="H184" s="60" t="s">
        <v>4027</v>
      </c>
      <c r="I184" s="61"/>
    </row>
    <row r="185">
      <c r="A185" s="67">
        <v>183.0</v>
      </c>
      <c r="B185" s="60" t="s">
        <v>4218</v>
      </c>
      <c r="C185" s="60">
        <v>285659.0</v>
      </c>
      <c r="D185" s="61"/>
      <c r="E185" s="61"/>
      <c r="F185" s="61"/>
      <c r="G185" s="60" t="s">
        <v>4044</v>
      </c>
      <c r="H185" s="60" t="s">
        <v>4045</v>
      </c>
      <c r="I185" s="60" t="s">
        <v>1817</v>
      </c>
    </row>
    <row r="186">
      <c r="A186" s="67">
        <v>184.0</v>
      </c>
      <c r="B186" s="60" t="s">
        <v>4219</v>
      </c>
      <c r="C186" s="60">
        <v>2.9565365E7</v>
      </c>
      <c r="D186" s="61"/>
      <c r="E186" s="61"/>
      <c r="F186" s="61"/>
      <c r="G186" s="60" t="s">
        <v>4044</v>
      </c>
      <c r="H186" s="60" t="s">
        <v>4023</v>
      </c>
      <c r="I186" s="61"/>
    </row>
    <row r="187">
      <c r="A187" s="67">
        <v>185.0</v>
      </c>
      <c r="B187" s="60" t="s">
        <v>4220</v>
      </c>
      <c r="C187" s="61"/>
      <c r="D187" s="60">
        <v>24.0</v>
      </c>
      <c r="E187" s="60" t="s">
        <v>4029</v>
      </c>
      <c r="F187" s="60" t="s">
        <v>993</v>
      </c>
      <c r="G187" s="60" t="s">
        <v>4026</v>
      </c>
      <c r="H187" s="60" t="s">
        <v>4031</v>
      </c>
      <c r="I187" s="61"/>
    </row>
    <row r="188">
      <c r="A188" s="67">
        <v>186.0</v>
      </c>
      <c r="B188" s="60" t="s">
        <v>4221</v>
      </c>
      <c r="C188" s="60">
        <v>5343446.0</v>
      </c>
      <c r="D188" s="60">
        <v>72.0</v>
      </c>
      <c r="E188" s="60" t="s">
        <v>4029</v>
      </c>
      <c r="F188" s="61"/>
      <c r="G188" s="60" t="s">
        <v>2445</v>
      </c>
      <c r="H188" s="60" t="s">
        <v>4027</v>
      </c>
      <c r="I188" s="61"/>
    </row>
    <row r="189">
      <c r="A189" s="67">
        <v>187.0</v>
      </c>
      <c r="B189" s="60" t="s">
        <v>4222</v>
      </c>
      <c r="C189" s="60">
        <v>6274191.0</v>
      </c>
      <c r="D189" s="61"/>
      <c r="E189" s="60" t="s">
        <v>4036</v>
      </c>
      <c r="F189" s="61"/>
      <c r="G189" s="60" t="s">
        <v>2445</v>
      </c>
      <c r="H189" s="60" t="s">
        <v>4027</v>
      </c>
      <c r="I189" s="61"/>
    </row>
    <row r="190">
      <c r="A190" s="67">
        <v>188.0</v>
      </c>
      <c r="B190" s="60" t="s">
        <v>4223</v>
      </c>
      <c r="C190" s="60">
        <v>6887465.0</v>
      </c>
      <c r="D190" s="60">
        <v>62.0</v>
      </c>
      <c r="E190" s="61"/>
      <c r="F190" s="61"/>
      <c r="G190" s="60" t="s">
        <v>4022</v>
      </c>
      <c r="H190" s="60" t="s">
        <v>4023</v>
      </c>
      <c r="I190" s="60" t="s">
        <v>4024</v>
      </c>
    </row>
    <row r="191">
      <c r="A191" s="67">
        <v>189.0</v>
      </c>
      <c r="B191" s="60" t="s">
        <v>4224</v>
      </c>
      <c r="C191" s="60">
        <v>1.9734177E7</v>
      </c>
      <c r="D191" s="61"/>
      <c r="E191" s="61"/>
      <c r="F191" s="61"/>
      <c r="G191" s="60" t="s">
        <v>4044</v>
      </c>
      <c r="H191" s="60" t="s">
        <v>4045</v>
      </c>
      <c r="I191" s="60" t="s">
        <v>1847</v>
      </c>
    </row>
    <row r="192">
      <c r="A192" s="67">
        <v>190.0</v>
      </c>
      <c r="B192" s="60" t="s">
        <v>4225</v>
      </c>
      <c r="C192" s="61"/>
      <c r="D192" s="60">
        <v>25.0</v>
      </c>
      <c r="E192" s="61"/>
      <c r="F192" s="61"/>
      <c r="G192" s="60" t="s">
        <v>4026</v>
      </c>
      <c r="H192" s="60" t="s">
        <v>4027</v>
      </c>
      <c r="I192" s="61"/>
    </row>
    <row r="193">
      <c r="A193" s="67">
        <v>191.0</v>
      </c>
      <c r="B193" s="60" t="s">
        <v>4226</v>
      </c>
      <c r="C193" s="60">
        <v>1.8142695E7</v>
      </c>
      <c r="D193" s="60">
        <v>39.0</v>
      </c>
      <c r="E193" s="61"/>
      <c r="F193" s="61"/>
      <c r="G193" s="60" t="s">
        <v>4022</v>
      </c>
      <c r="H193" s="60" t="s">
        <v>4023</v>
      </c>
      <c r="I193" s="60" t="s">
        <v>4024</v>
      </c>
    </row>
    <row r="194">
      <c r="A194" s="67">
        <v>192.0</v>
      </c>
      <c r="B194" s="60" t="s">
        <v>4227</v>
      </c>
      <c r="C194" s="60">
        <v>3.4054588E7</v>
      </c>
      <c r="D194" s="61"/>
      <c r="E194" s="61"/>
      <c r="F194" s="61"/>
      <c r="G194" s="60" t="s">
        <v>4044</v>
      </c>
      <c r="H194" s="60" t="s">
        <v>4045</v>
      </c>
      <c r="I194" s="61"/>
    </row>
    <row r="195">
      <c r="A195" s="67">
        <v>193.0</v>
      </c>
      <c r="B195" s="60" t="s">
        <v>4228</v>
      </c>
      <c r="C195" s="60">
        <v>2.976836E7</v>
      </c>
      <c r="D195" s="61"/>
      <c r="E195" s="61"/>
      <c r="F195" s="61"/>
      <c r="G195" s="60" t="s">
        <v>4044</v>
      </c>
      <c r="H195" s="60" t="s">
        <v>4023</v>
      </c>
      <c r="I195" s="61"/>
    </row>
    <row r="196">
      <c r="A196" s="67">
        <v>194.0</v>
      </c>
      <c r="B196" s="60" t="s">
        <v>4229</v>
      </c>
      <c r="C196" s="60">
        <v>1.0813576E7</v>
      </c>
      <c r="D196" s="60">
        <v>57.0</v>
      </c>
      <c r="E196" s="60" t="s">
        <v>4029</v>
      </c>
      <c r="F196" s="61"/>
      <c r="G196" s="60" t="s">
        <v>2445</v>
      </c>
      <c r="H196" s="60" t="s">
        <v>4027</v>
      </c>
      <c r="I196" s="61"/>
    </row>
    <row r="197">
      <c r="A197" s="67">
        <v>195.0</v>
      </c>
      <c r="B197" s="60" t="s">
        <v>4230</v>
      </c>
      <c r="C197" s="60">
        <v>2.5025734E7</v>
      </c>
      <c r="D197" s="61"/>
      <c r="E197" s="61"/>
      <c r="F197" s="61"/>
      <c r="G197" s="60" t="s">
        <v>4044</v>
      </c>
      <c r="H197" s="60" t="s">
        <v>4045</v>
      </c>
      <c r="I197" s="60" t="s">
        <v>1847</v>
      </c>
    </row>
    <row r="198">
      <c r="A198" s="67">
        <v>196.0</v>
      </c>
      <c r="B198" s="60" t="s">
        <v>4231</v>
      </c>
      <c r="C198" s="60">
        <v>2.4331288E7</v>
      </c>
      <c r="D198" s="60">
        <v>34.0</v>
      </c>
      <c r="E198" s="61"/>
      <c r="F198" s="61"/>
      <c r="G198" s="60" t="s">
        <v>4022</v>
      </c>
      <c r="H198" s="60" t="s">
        <v>4023</v>
      </c>
      <c r="I198" s="60" t="s">
        <v>4024</v>
      </c>
    </row>
    <row r="199">
      <c r="A199" s="67">
        <v>197.0</v>
      </c>
      <c r="B199" s="60" t="s">
        <v>4232</v>
      </c>
      <c r="C199" s="60">
        <v>5965096.0</v>
      </c>
      <c r="D199" s="61"/>
      <c r="E199" s="61"/>
      <c r="F199" s="61"/>
      <c r="G199" s="60" t="s">
        <v>4044</v>
      </c>
      <c r="H199" s="60" t="s">
        <v>4045</v>
      </c>
      <c r="I199" s="60" t="s">
        <v>1847</v>
      </c>
    </row>
    <row r="200">
      <c r="A200" s="67">
        <v>198.0</v>
      </c>
      <c r="B200" s="60" t="s">
        <v>4233</v>
      </c>
      <c r="C200" s="60">
        <v>3.2807709E7</v>
      </c>
      <c r="D200" s="60">
        <v>18.0</v>
      </c>
      <c r="E200" s="60" t="s">
        <v>4029</v>
      </c>
      <c r="F200" s="61"/>
      <c r="G200" s="60" t="s">
        <v>2445</v>
      </c>
      <c r="H200" s="60" t="s">
        <v>4027</v>
      </c>
      <c r="I200" s="61"/>
    </row>
    <row r="201">
      <c r="A201" s="67">
        <v>199.0</v>
      </c>
      <c r="B201" s="60" t="s">
        <v>4234</v>
      </c>
      <c r="C201" s="60">
        <v>3.4588981E7</v>
      </c>
      <c r="D201" s="61"/>
      <c r="E201" s="61"/>
      <c r="F201" s="61"/>
      <c r="G201" s="60" t="s">
        <v>4044</v>
      </c>
      <c r="H201" s="60" t="s">
        <v>4045</v>
      </c>
      <c r="I201" s="60" t="s">
        <v>1847</v>
      </c>
    </row>
    <row r="202">
      <c r="A202" s="67">
        <v>200.0</v>
      </c>
      <c r="B202" s="60" t="s">
        <v>4235</v>
      </c>
      <c r="C202" s="60">
        <v>2.6346743E7</v>
      </c>
      <c r="D202" s="60">
        <v>28.0</v>
      </c>
      <c r="E202" s="60" t="s">
        <v>4036</v>
      </c>
      <c r="F202" s="61"/>
      <c r="G202" s="60" t="s">
        <v>2445</v>
      </c>
      <c r="H202" s="60" t="s">
        <v>4027</v>
      </c>
      <c r="I202" s="61"/>
    </row>
    <row r="203">
      <c r="A203" s="67">
        <v>201.0</v>
      </c>
      <c r="B203" s="60" t="s">
        <v>4236</v>
      </c>
      <c r="C203" s="61"/>
      <c r="D203" s="60">
        <v>59.0</v>
      </c>
      <c r="E203" s="61"/>
      <c r="F203" s="61"/>
      <c r="G203" s="60" t="s">
        <v>4026</v>
      </c>
      <c r="H203" s="60" t="s">
        <v>4027</v>
      </c>
      <c r="I203" s="61"/>
    </row>
    <row r="204">
      <c r="A204" s="67">
        <v>202.0</v>
      </c>
      <c r="B204" s="60" t="s">
        <v>4237</v>
      </c>
      <c r="C204" s="60">
        <v>2.7797121E7</v>
      </c>
      <c r="D204" s="60">
        <v>24.0</v>
      </c>
      <c r="E204" s="60" t="s">
        <v>4036</v>
      </c>
      <c r="F204" s="61"/>
      <c r="G204" s="60" t="s">
        <v>2445</v>
      </c>
      <c r="H204" s="60" t="s">
        <v>4027</v>
      </c>
      <c r="I204" s="61"/>
    </row>
    <row r="205">
      <c r="A205" s="67">
        <v>203.0</v>
      </c>
      <c r="B205" s="60" t="s">
        <v>4238</v>
      </c>
      <c r="C205" s="61"/>
      <c r="D205" s="60">
        <v>72.0</v>
      </c>
      <c r="E205" s="61"/>
      <c r="F205" s="61"/>
      <c r="G205" s="60" t="s">
        <v>4026</v>
      </c>
      <c r="H205" s="60" t="s">
        <v>4027</v>
      </c>
      <c r="I205" s="61"/>
    </row>
    <row r="206">
      <c r="A206" s="67">
        <v>204.0</v>
      </c>
      <c r="B206" s="60" t="s">
        <v>4239</v>
      </c>
      <c r="C206" s="60">
        <v>3.0072743E7</v>
      </c>
      <c r="D206" s="61"/>
      <c r="E206" s="61"/>
      <c r="F206" s="61"/>
      <c r="G206" s="60" t="s">
        <v>4044</v>
      </c>
      <c r="H206" s="60" t="s">
        <v>4023</v>
      </c>
      <c r="I206" s="60" t="s">
        <v>1817</v>
      </c>
    </row>
    <row r="207">
      <c r="A207" s="67">
        <v>205.0</v>
      </c>
      <c r="B207" s="60" t="s">
        <v>4240</v>
      </c>
      <c r="C207" s="60">
        <v>3.0334636E7</v>
      </c>
      <c r="D207" s="60">
        <v>22.0</v>
      </c>
      <c r="E207" s="60" t="s">
        <v>4036</v>
      </c>
      <c r="F207" s="61"/>
      <c r="G207" s="60" t="s">
        <v>2445</v>
      </c>
      <c r="H207" s="60" t="s">
        <v>4027</v>
      </c>
      <c r="I207" s="61"/>
    </row>
    <row r="208">
      <c r="A208" s="67">
        <v>206.0</v>
      </c>
      <c r="B208" s="60" t="s">
        <v>4241</v>
      </c>
      <c r="C208" s="60">
        <v>9416493.0</v>
      </c>
      <c r="D208" s="61"/>
      <c r="E208" s="61"/>
      <c r="F208" s="61"/>
      <c r="G208" s="60" t="s">
        <v>4044</v>
      </c>
      <c r="H208" s="60" t="s">
        <v>4023</v>
      </c>
      <c r="I208" s="61"/>
    </row>
    <row r="209">
      <c r="A209" s="67">
        <v>207.0</v>
      </c>
      <c r="B209" s="60" t="s">
        <v>4242</v>
      </c>
      <c r="C209" s="61"/>
      <c r="D209" s="60">
        <v>14.0</v>
      </c>
      <c r="E209" s="61"/>
      <c r="F209" s="61"/>
      <c r="G209" s="60" t="s">
        <v>4026</v>
      </c>
      <c r="H209" s="60" t="s">
        <v>4027</v>
      </c>
      <c r="I209" s="61"/>
    </row>
    <row r="210">
      <c r="A210" s="67">
        <v>208.0</v>
      </c>
      <c r="B210" s="60" t="s">
        <v>4243</v>
      </c>
      <c r="C210" s="60">
        <v>1.2066889E7</v>
      </c>
      <c r="D210" s="60">
        <v>51.0</v>
      </c>
      <c r="E210" s="60" t="s">
        <v>4036</v>
      </c>
      <c r="F210" s="61"/>
      <c r="G210" s="60" t="s">
        <v>2445</v>
      </c>
      <c r="H210" s="60" t="s">
        <v>4027</v>
      </c>
      <c r="I210" s="61"/>
    </row>
    <row r="211">
      <c r="A211" s="67">
        <v>209.0</v>
      </c>
      <c r="B211" s="60" t="s">
        <v>4244</v>
      </c>
      <c r="C211" s="60">
        <v>1.3470155E7</v>
      </c>
      <c r="D211" s="60">
        <v>62.0</v>
      </c>
      <c r="E211" s="60" t="s">
        <v>4029</v>
      </c>
      <c r="F211" s="61"/>
      <c r="G211" s="60" t="s">
        <v>2445</v>
      </c>
      <c r="H211" s="60" t="s">
        <v>4027</v>
      </c>
      <c r="I211" s="61"/>
    </row>
    <row r="212">
      <c r="A212" s="67">
        <v>210.0</v>
      </c>
      <c r="B212" s="60" t="s">
        <v>4245</v>
      </c>
      <c r="C212" s="61"/>
      <c r="D212" s="60">
        <v>16.0</v>
      </c>
      <c r="E212" s="61"/>
      <c r="F212" s="61"/>
      <c r="G212" s="60" t="s">
        <v>4026</v>
      </c>
      <c r="H212" s="60" t="s">
        <v>4027</v>
      </c>
      <c r="I212" s="61"/>
    </row>
    <row r="213">
      <c r="A213" s="67">
        <v>211.0</v>
      </c>
      <c r="B213" s="60" t="s">
        <v>4246</v>
      </c>
      <c r="C213" s="61"/>
      <c r="D213" s="60">
        <v>58.0</v>
      </c>
      <c r="E213" s="61"/>
      <c r="F213" s="61"/>
      <c r="G213" s="60" t="s">
        <v>4026</v>
      </c>
      <c r="H213" s="60" t="s">
        <v>4027</v>
      </c>
      <c r="I213" s="61"/>
    </row>
    <row r="214">
      <c r="A214" s="67">
        <v>212.0</v>
      </c>
      <c r="B214" s="60" t="s">
        <v>4247</v>
      </c>
      <c r="C214" s="60">
        <v>1.1639511E7</v>
      </c>
      <c r="D214" s="60">
        <v>52.0</v>
      </c>
      <c r="E214" s="60" t="s">
        <v>4029</v>
      </c>
      <c r="F214" s="61"/>
      <c r="G214" s="60" t="s">
        <v>2445</v>
      </c>
      <c r="H214" s="60" t="s">
        <v>4027</v>
      </c>
      <c r="I214" s="61"/>
    </row>
    <row r="215">
      <c r="A215" s="67">
        <v>213.0</v>
      </c>
      <c r="B215" s="60" t="s">
        <v>4248</v>
      </c>
      <c r="C215" s="60">
        <v>1.4312852E7</v>
      </c>
      <c r="D215" s="61"/>
      <c r="E215" s="61"/>
      <c r="F215" s="61"/>
      <c r="G215" s="60" t="s">
        <v>4044</v>
      </c>
      <c r="H215" s="60" t="s">
        <v>4023</v>
      </c>
      <c r="I215" s="61"/>
    </row>
    <row r="216">
      <c r="A216" s="67">
        <v>214.0</v>
      </c>
      <c r="B216" s="60" t="s">
        <v>4249</v>
      </c>
      <c r="C216" s="60">
        <v>1.1639518E7</v>
      </c>
      <c r="D216" s="60">
        <v>53.0</v>
      </c>
      <c r="E216" s="60" t="s">
        <v>4029</v>
      </c>
      <c r="F216" s="61"/>
      <c r="G216" s="60" t="s">
        <v>2445</v>
      </c>
      <c r="H216" s="60" t="s">
        <v>4027</v>
      </c>
      <c r="I216" s="61"/>
    </row>
    <row r="217">
      <c r="A217" s="67">
        <v>215.0</v>
      </c>
      <c r="B217" s="60" t="s">
        <v>4250</v>
      </c>
      <c r="C217" s="60">
        <v>2.4140952E7</v>
      </c>
      <c r="D217" s="60">
        <v>35.0</v>
      </c>
      <c r="E217" s="60" t="s">
        <v>4029</v>
      </c>
      <c r="F217" s="61"/>
      <c r="G217" s="60" t="s">
        <v>2445</v>
      </c>
      <c r="H217" s="60" t="s">
        <v>4027</v>
      </c>
      <c r="I217" s="61"/>
    </row>
    <row r="218">
      <c r="A218" s="67">
        <v>216.0</v>
      </c>
      <c r="B218" s="60" t="s">
        <v>4251</v>
      </c>
      <c r="C218" s="60">
        <v>4163469.0</v>
      </c>
      <c r="D218" s="61"/>
      <c r="E218" s="61"/>
      <c r="F218" s="61"/>
      <c r="G218" s="60" t="s">
        <v>4044</v>
      </c>
      <c r="H218" s="60" t="s">
        <v>4023</v>
      </c>
      <c r="I218" s="61"/>
    </row>
    <row r="219">
      <c r="A219" s="67">
        <v>217.0</v>
      </c>
      <c r="B219" s="60" t="s">
        <v>4252</v>
      </c>
      <c r="C219" s="60">
        <v>5199652.0</v>
      </c>
      <c r="D219" s="61"/>
      <c r="E219" s="61"/>
      <c r="F219" s="61"/>
      <c r="G219" s="60" t="s">
        <v>4044</v>
      </c>
      <c r="H219" s="60" t="s">
        <v>4045</v>
      </c>
      <c r="I219" s="60" t="s">
        <v>1847</v>
      </c>
    </row>
    <row r="220">
      <c r="A220" s="67">
        <v>218.0</v>
      </c>
      <c r="B220" s="60" t="s">
        <v>4253</v>
      </c>
      <c r="C220" s="60">
        <v>2.6327366E7</v>
      </c>
      <c r="D220" s="61"/>
      <c r="E220" s="61"/>
      <c r="F220" s="61"/>
      <c r="G220" s="60" t="s">
        <v>4044</v>
      </c>
      <c r="H220" s="60" t="s">
        <v>4023</v>
      </c>
      <c r="I220" s="61"/>
    </row>
    <row r="221">
      <c r="A221" s="67">
        <v>219.0</v>
      </c>
      <c r="B221" s="60" t="s">
        <v>4254</v>
      </c>
      <c r="C221" s="61"/>
      <c r="D221" s="60">
        <v>4.0</v>
      </c>
      <c r="E221" s="61"/>
      <c r="F221" s="60" t="s">
        <v>330</v>
      </c>
      <c r="G221" s="60" t="s">
        <v>4026</v>
      </c>
      <c r="H221" s="60" t="s">
        <v>4023</v>
      </c>
      <c r="I221" s="61"/>
    </row>
    <row r="222">
      <c r="A222" s="67">
        <v>220.0</v>
      </c>
      <c r="B222" s="60" t="s">
        <v>4254</v>
      </c>
      <c r="C222" s="61"/>
      <c r="D222" s="60">
        <v>4.0</v>
      </c>
      <c r="E222" s="61"/>
      <c r="F222" s="60" t="s">
        <v>330</v>
      </c>
      <c r="G222" s="60" t="s">
        <v>4026</v>
      </c>
      <c r="H222" s="60" t="s">
        <v>4023</v>
      </c>
      <c r="I222" s="60" t="s">
        <v>3629</v>
      </c>
    </row>
    <row r="223">
      <c r="A223" s="67">
        <v>221.0</v>
      </c>
      <c r="B223" s="60" t="s">
        <v>4255</v>
      </c>
      <c r="C223" s="61"/>
      <c r="D223" s="61"/>
      <c r="E223" s="61"/>
      <c r="F223" s="61"/>
      <c r="G223" s="60" t="s">
        <v>4026</v>
      </c>
      <c r="H223" s="60" t="s">
        <v>4027</v>
      </c>
      <c r="I223" s="61"/>
    </row>
    <row r="224">
      <c r="A224" s="67">
        <v>222.0</v>
      </c>
      <c r="B224" s="60" t="s">
        <v>4256</v>
      </c>
      <c r="C224" s="60">
        <v>2.5304211E7</v>
      </c>
      <c r="D224" s="60">
        <v>31.0</v>
      </c>
      <c r="E224" s="60" t="s">
        <v>4036</v>
      </c>
      <c r="F224" s="61"/>
      <c r="G224" s="60" t="s">
        <v>2445</v>
      </c>
      <c r="H224" s="60" t="s">
        <v>4027</v>
      </c>
      <c r="I224" s="61"/>
    </row>
    <row r="225">
      <c r="A225" s="67">
        <v>223.0</v>
      </c>
      <c r="B225" s="60" t="s">
        <v>4257</v>
      </c>
      <c r="C225" s="61"/>
      <c r="D225" s="61"/>
      <c r="E225" s="61"/>
      <c r="F225" s="61"/>
      <c r="G225" s="60" t="s">
        <v>4044</v>
      </c>
      <c r="H225" s="60" t="s">
        <v>4023</v>
      </c>
      <c r="I225" s="61"/>
    </row>
    <row r="226">
      <c r="A226" s="67">
        <v>224.0</v>
      </c>
      <c r="B226" s="60" t="s">
        <v>4258</v>
      </c>
      <c r="C226" s="60">
        <v>3.6085467E7</v>
      </c>
      <c r="D226" s="60">
        <v>17.0</v>
      </c>
      <c r="E226" s="60" t="s">
        <v>4029</v>
      </c>
      <c r="F226" s="61"/>
      <c r="G226" s="60" t="s">
        <v>2445</v>
      </c>
      <c r="H226" s="60" t="s">
        <v>4027</v>
      </c>
      <c r="I226" s="61"/>
    </row>
    <row r="227">
      <c r="A227" s="67">
        <v>225.0</v>
      </c>
      <c r="B227" s="60" t="s">
        <v>4259</v>
      </c>
      <c r="C227" s="60">
        <v>1.3409559E7</v>
      </c>
      <c r="D227" s="60">
        <v>47.0</v>
      </c>
      <c r="E227" s="60" t="s">
        <v>4036</v>
      </c>
      <c r="F227" s="61"/>
      <c r="G227" s="60" t="s">
        <v>2445</v>
      </c>
      <c r="H227" s="60" t="s">
        <v>4027</v>
      </c>
      <c r="I227" s="61"/>
    </row>
    <row r="228">
      <c r="A228" s="67">
        <v>226.0</v>
      </c>
      <c r="B228" s="60" t="s">
        <v>4260</v>
      </c>
      <c r="C228" s="60">
        <v>3883421.0</v>
      </c>
      <c r="D228" s="61"/>
      <c r="E228" s="61"/>
      <c r="F228" s="61"/>
      <c r="G228" s="60" t="s">
        <v>4044</v>
      </c>
      <c r="H228" s="60" t="s">
        <v>4045</v>
      </c>
      <c r="I228" s="60" t="s">
        <v>1817</v>
      </c>
    </row>
    <row r="229">
      <c r="A229" s="67">
        <v>227.0</v>
      </c>
      <c r="B229" s="60" t="s">
        <v>4261</v>
      </c>
      <c r="C229" s="60">
        <v>6405488.0</v>
      </c>
      <c r="D229" s="61"/>
      <c r="E229" s="61"/>
      <c r="F229" s="61"/>
      <c r="G229" s="60" t="s">
        <v>4044</v>
      </c>
      <c r="H229" s="60" t="s">
        <v>4045</v>
      </c>
      <c r="I229" s="60" t="s">
        <v>1817</v>
      </c>
    </row>
    <row r="230">
      <c r="A230" s="67">
        <v>228.0</v>
      </c>
      <c r="B230" s="60" t="s">
        <v>4262</v>
      </c>
      <c r="C230" s="61"/>
      <c r="D230" s="60">
        <v>15.0</v>
      </c>
      <c r="E230" s="60" t="s">
        <v>4029</v>
      </c>
      <c r="F230" s="60" t="s">
        <v>466</v>
      </c>
      <c r="G230" s="60" t="s">
        <v>4026</v>
      </c>
      <c r="H230" s="60" t="s">
        <v>4031</v>
      </c>
      <c r="I230" s="61"/>
    </row>
    <row r="231">
      <c r="A231" s="67">
        <v>229.0</v>
      </c>
      <c r="B231" s="60" t="s">
        <v>4263</v>
      </c>
      <c r="C231" s="61"/>
      <c r="D231" s="60">
        <v>15.0</v>
      </c>
      <c r="E231" s="61"/>
      <c r="F231" s="61"/>
      <c r="G231" s="60" t="s">
        <v>4026</v>
      </c>
      <c r="H231" s="60" t="s">
        <v>4027</v>
      </c>
      <c r="I231" s="61"/>
    </row>
    <row r="232">
      <c r="A232" s="67">
        <v>230.0</v>
      </c>
      <c r="B232" s="60" t="s">
        <v>4264</v>
      </c>
      <c r="C232" s="61"/>
      <c r="D232" s="61"/>
      <c r="E232" s="61"/>
      <c r="F232" s="61"/>
      <c r="G232" s="60" t="s">
        <v>4026</v>
      </c>
      <c r="H232" s="60" t="s">
        <v>4027</v>
      </c>
      <c r="I232" s="61"/>
    </row>
    <row r="233">
      <c r="A233" s="67">
        <v>231.0</v>
      </c>
      <c r="B233" s="60" t="s">
        <v>4265</v>
      </c>
      <c r="C233" s="61"/>
      <c r="D233" s="60">
        <v>68.0</v>
      </c>
      <c r="E233" s="61"/>
      <c r="F233" s="61"/>
      <c r="G233" s="60" t="s">
        <v>4026</v>
      </c>
      <c r="H233" s="60" t="s">
        <v>4027</v>
      </c>
      <c r="I233" s="61"/>
    </row>
    <row r="234">
      <c r="A234" s="67">
        <v>232.0</v>
      </c>
      <c r="B234" s="60" t="s">
        <v>4266</v>
      </c>
      <c r="C234" s="61"/>
      <c r="D234" s="61"/>
      <c r="E234" s="60" t="s">
        <v>4029</v>
      </c>
      <c r="F234" s="60" t="s">
        <v>330</v>
      </c>
      <c r="G234" s="60" t="s">
        <v>2667</v>
      </c>
      <c r="H234" s="60" t="s">
        <v>4027</v>
      </c>
      <c r="I234" s="61"/>
    </row>
    <row r="235">
      <c r="A235" s="67">
        <v>233.0</v>
      </c>
      <c r="B235" s="60" t="s">
        <v>4267</v>
      </c>
      <c r="C235" s="61"/>
      <c r="D235" s="60">
        <v>8.0</v>
      </c>
      <c r="E235" s="60" t="s">
        <v>4029</v>
      </c>
      <c r="F235" s="61"/>
      <c r="G235" s="60" t="s">
        <v>4022</v>
      </c>
      <c r="H235" s="60" t="s">
        <v>4023</v>
      </c>
      <c r="I235" s="60" t="s">
        <v>4024</v>
      </c>
    </row>
    <row r="236">
      <c r="A236" s="67">
        <v>234.0</v>
      </c>
      <c r="B236" s="60" t="s">
        <v>4268</v>
      </c>
      <c r="C236" s="60">
        <v>2.4175821E7</v>
      </c>
      <c r="D236" s="60">
        <v>20.0</v>
      </c>
      <c r="E236" s="60" t="s">
        <v>4029</v>
      </c>
      <c r="F236" s="61"/>
      <c r="G236" s="60" t="s">
        <v>2445</v>
      </c>
      <c r="H236" s="60" t="s">
        <v>4027</v>
      </c>
      <c r="I236" s="61"/>
    </row>
    <row r="237">
      <c r="A237" s="67">
        <v>235.0</v>
      </c>
      <c r="B237" s="60" t="s">
        <v>4269</v>
      </c>
      <c r="C237" s="60">
        <v>6842773.0</v>
      </c>
      <c r="D237" s="60">
        <v>61.0</v>
      </c>
      <c r="E237" s="61"/>
      <c r="F237" s="61"/>
      <c r="G237" s="60" t="s">
        <v>4022</v>
      </c>
      <c r="H237" s="60" t="s">
        <v>4023</v>
      </c>
      <c r="I237" s="60" t="s">
        <v>4024</v>
      </c>
    </row>
    <row r="238">
      <c r="A238" s="67">
        <v>236.0</v>
      </c>
      <c r="B238" s="60" t="s">
        <v>4270</v>
      </c>
      <c r="C238" s="61"/>
      <c r="D238" s="61"/>
      <c r="E238" s="60" t="s">
        <v>4036</v>
      </c>
      <c r="F238" s="60" t="s">
        <v>330</v>
      </c>
      <c r="G238" s="60" t="s">
        <v>2667</v>
      </c>
      <c r="H238" s="60" t="s">
        <v>4027</v>
      </c>
      <c r="I238" s="61"/>
    </row>
    <row r="239">
      <c r="A239" s="67">
        <v>237.0</v>
      </c>
      <c r="B239" s="60" t="s">
        <v>4271</v>
      </c>
      <c r="C239" s="61"/>
      <c r="D239" s="60">
        <v>63.0</v>
      </c>
      <c r="E239" s="61"/>
      <c r="F239" s="61"/>
      <c r="G239" s="60" t="s">
        <v>4026</v>
      </c>
      <c r="H239" s="60" t="s">
        <v>4027</v>
      </c>
      <c r="I239" s="61"/>
    </row>
    <row r="240">
      <c r="A240" s="67">
        <v>238.0</v>
      </c>
      <c r="B240" s="60" t="s">
        <v>4272</v>
      </c>
      <c r="C240" s="61"/>
      <c r="D240" s="60">
        <v>63.0</v>
      </c>
      <c r="E240" s="60" t="s">
        <v>4036</v>
      </c>
      <c r="F240" s="60" t="s">
        <v>4030</v>
      </c>
      <c r="G240" s="60" t="s">
        <v>4026</v>
      </c>
      <c r="H240" s="60" t="s">
        <v>4031</v>
      </c>
      <c r="I240" s="61"/>
    </row>
    <row r="241">
      <c r="A241" s="67">
        <v>239.0</v>
      </c>
      <c r="B241" s="60" t="s">
        <v>4273</v>
      </c>
      <c r="C241" s="60">
        <v>1.8817136E7</v>
      </c>
      <c r="D241" s="61"/>
      <c r="E241" s="60" t="s">
        <v>4036</v>
      </c>
      <c r="F241" s="60" t="s">
        <v>330</v>
      </c>
      <c r="G241" s="60" t="s">
        <v>2667</v>
      </c>
      <c r="H241" s="60" t="s">
        <v>4027</v>
      </c>
      <c r="I241" s="61"/>
    </row>
    <row r="242">
      <c r="A242" s="67">
        <v>240.0</v>
      </c>
      <c r="B242" s="60" t="s">
        <v>4274</v>
      </c>
      <c r="C242" s="60">
        <v>1.5550954E7</v>
      </c>
      <c r="D242" s="61"/>
      <c r="E242" s="61"/>
      <c r="F242" s="60" t="s">
        <v>330</v>
      </c>
      <c r="G242" s="60" t="s">
        <v>2667</v>
      </c>
      <c r="H242" s="60" t="s">
        <v>4027</v>
      </c>
      <c r="I242" s="61"/>
    </row>
    <row r="243">
      <c r="A243" s="67">
        <v>241.0</v>
      </c>
      <c r="B243" s="60" t="s">
        <v>4275</v>
      </c>
      <c r="C243" s="60">
        <v>2.9536127E7</v>
      </c>
      <c r="D243" s="61"/>
      <c r="E243" s="60" t="s">
        <v>4029</v>
      </c>
      <c r="F243" s="60" t="s">
        <v>330</v>
      </c>
      <c r="G243" s="60" t="s">
        <v>2667</v>
      </c>
      <c r="H243" s="60" t="s">
        <v>4027</v>
      </c>
      <c r="I243" s="61"/>
    </row>
    <row r="244">
      <c r="A244" s="67">
        <v>242.0</v>
      </c>
      <c r="B244" s="60" t="s">
        <v>4276</v>
      </c>
      <c r="C244" s="60">
        <v>3.3020891E7</v>
      </c>
      <c r="D244" s="61"/>
      <c r="E244" s="61"/>
      <c r="F244" s="61"/>
      <c r="G244" s="60" t="s">
        <v>4044</v>
      </c>
      <c r="H244" s="60" t="s">
        <v>4023</v>
      </c>
      <c r="I244" s="61"/>
    </row>
    <row r="245">
      <c r="A245" s="67">
        <v>243.0</v>
      </c>
      <c r="B245" s="60" t="s">
        <v>4277</v>
      </c>
      <c r="C245" s="60">
        <v>1.9915985E7</v>
      </c>
      <c r="D245" s="60">
        <v>45.0</v>
      </c>
      <c r="E245" s="61"/>
      <c r="F245" s="61"/>
      <c r="G245" s="60" t="s">
        <v>4022</v>
      </c>
      <c r="H245" s="60" t="s">
        <v>4023</v>
      </c>
      <c r="I245" s="60" t="s">
        <v>4024</v>
      </c>
    </row>
    <row r="246">
      <c r="A246" s="67">
        <v>244.0</v>
      </c>
      <c r="B246" s="60" t="s">
        <v>4278</v>
      </c>
      <c r="C246" s="61"/>
      <c r="D246" s="60">
        <v>16.0</v>
      </c>
      <c r="E246" s="61"/>
      <c r="F246" s="61"/>
      <c r="G246" s="60" t="s">
        <v>4026</v>
      </c>
      <c r="H246" s="60" t="s">
        <v>4027</v>
      </c>
      <c r="I246" s="61"/>
    </row>
    <row r="247">
      <c r="A247" s="67">
        <v>245.0</v>
      </c>
      <c r="B247" s="60" t="s">
        <v>4279</v>
      </c>
      <c r="C247" s="60">
        <v>1.216347E7</v>
      </c>
      <c r="D247" s="60">
        <v>52.0</v>
      </c>
      <c r="E247" s="61"/>
      <c r="F247" s="61"/>
      <c r="G247" s="60" t="s">
        <v>4022</v>
      </c>
      <c r="H247" s="60" t="s">
        <v>4023</v>
      </c>
      <c r="I247" s="60" t="s">
        <v>4024</v>
      </c>
    </row>
    <row r="248">
      <c r="A248" s="67">
        <v>246.0</v>
      </c>
      <c r="B248" s="60" t="s">
        <v>4280</v>
      </c>
      <c r="C248" s="61"/>
      <c r="D248" s="60">
        <v>40.0</v>
      </c>
      <c r="E248" s="61"/>
      <c r="F248" s="61"/>
      <c r="G248" s="60" t="s">
        <v>4026</v>
      </c>
      <c r="H248" s="60" t="s">
        <v>4027</v>
      </c>
      <c r="I248" s="61"/>
    </row>
    <row r="249">
      <c r="A249" s="67">
        <v>247.0</v>
      </c>
      <c r="B249" s="60" t="s">
        <v>4281</v>
      </c>
      <c r="C249" s="60">
        <v>1.342289E7</v>
      </c>
      <c r="D249" s="61"/>
      <c r="E249" s="61"/>
      <c r="F249" s="61"/>
      <c r="G249" s="60" t="s">
        <v>4044</v>
      </c>
      <c r="H249" s="60" t="s">
        <v>4023</v>
      </c>
      <c r="I249" s="61"/>
    </row>
    <row r="250">
      <c r="A250" s="67">
        <v>248.0</v>
      </c>
      <c r="B250" s="60" t="s">
        <v>4282</v>
      </c>
      <c r="C250" s="60">
        <v>3.2865296E7</v>
      </c>
      <c r="D250" s="61"/>
      <c r="E250" s="61"/>
      <c r="F250" s="61"/>
      <c r="G250" s="60" t="s">
        <v>4044</v>
      </c>
      <c r="H250" s="60" t="s">
        <v>4023</v>
      </c>
      <c r="I250" s="61"/>
    </row>
    <row r="251">
      <c r="A251" s="67">
        <v>249.0</v>
      </c>
      <c r="B251" s="60" t="s">
        <v>4283</v>
      </c>
      <c r="C251" s="61"/>
      <c r="D251" s="61"/>
      <c r="E251" s="61"/>
      <c r="F251" s="61"/>
      <c r="G251" s="60" t="s">
        <v>4026</v>
      </c>
      <c r="H251" s="60" t="s">
        <v>4027</v>
      </c>
      <c r="I251" s="61"/>
    </row>
    <row r="252">
      <c r="A252" s="67">
        <v>250.0</v>
      </c>
      <c r="B252" s="60" t="s">
        <v>4284</v>
      </c>
      <c r="C252" s="61"/>
      <c r="D252" s="60">
        <v>37.0</v>
      </c>
      <c r="E252" s="61"/>
      <c r="F252" s="61"/>
      <c r="G252" s="60" t="s">
        <v>4026</v>
      </c>
      <c r="H252" s="60" t="s">
        <v>4027</v>
      </c>
      <c r="I252" s="61"/>
    </row>
    <row r="253">
      <c r="A253" s="67">
        <v>251.0</v>
      </c>
      <c r="B253" s="60" t="s">
        <v>4285</v>
      </c>
      <c r="C253" s="60">
        <v>2.7006264E7</v>
      </c>
      <c r="D253" s="61"/>
      <c r="E253" s="61"/>
      <c r="F253" s="61"/>
      <c r="G253" s="60" t="s">
        <v>4044</v>
      </c>
      <c r="H253" s="60" t="s">
        <v>4045</v>
      </c>
      <c r="I253" s="60" t="s">
        <v>1817</v>
      </c>
    </row>
    <row r="254">
      <c r="A254" s="67">
        <v>252.0</v>
      </c>
      <c r="B254" s="60" t="s">
        <v>4286</v>
      </c>
      <c r="C254" s="60">
        <v>2.2316562E7</v>
      </c>
      <c r="D254" s="60">
        <v>32.0</v>
      </c>
      <c r="E254" s="60" t="s">
        <v>4029</v>
      </c>
      <c r="F254" s="61"/>
      <c r="G254" s="60" t="s">
        <v>2445</v>
      </c>
      <c r="H254" s="60" t="s">
        <v>4027</v>
      </c>
      <c r="I254" s="61"/>
    </row>
    <row r="255">
      <c r="A255" s="67">
        <v>253.0</v>
      </c>
      <c r="B255" s="60" t="s">
        <v>4287</v>
      </c>
      <c r="C255" s="60">
        <v>3.2111741E7</v>
      </c>
      <c r="D255" s="61"/>
      <c r="E255" s="60" t="s">
        <v>4029</v>
      </c>
      <c r="F255" s="61"/>
      <c r="G255" s="60" t="s">
        <v>2445</v>
      </c>
      <c r="H255" s="60" t="s">
        <v>4027</v>
      </c>
      <c r="I255" s="61"/>
    </row>
    <row r="256">
      <c r="A256" s="67">
        <v>254.0</v>
      </c>
      <c r="B256" s="60" t="s">
        <v>4288</v>
      </c>
      <c r="C256" s="61"/>
      <c r="D256" s="60">
        <v>46.0</v>
      </c>
      <c r="E256" s="60" t="s">
        <v>4029</v>
      </c>
      <c r="F256" s="60" t="s">
        <v>4030</v>
      </c>
      <c r="G256" s="60" t="s">
        <v>4026</v>
      </c>
      <c r="H256" s="60" t="s">
        <v>4031</v>
      </c>
      <c r="I256" s="61"/>
    </row>
    <row r="257">
      <c r="A257" s="67">
        <v>255.0</v>
      </c>
      <c r="B257" s="60" t="s">
        <v>4289</v>
      </c>
      <c r="C257" s="61"/>
      <c r="D257" s="60">
        <v>46.0</v>
      </c>
      <c r="E257" s="61"/>
      <c r="F257" s="61"/>
      <c r="G257" s="60" t="s">
        <v>4026</v>
      </c>
      <c r="H257" s="60" t="s">
        <v>4027</v>
      </c>
      <c r="I257" s="61"/>
    </row>
    <row r="258">
      <c r="A258" s="67">
        <v>256.0</v>
      </c>
      <c r="B258" s="60" t="s">
        <v>4290</v>
      </c>
      <c r="C258" s="61"/>
      <c r="D258" s="60">
        <v>29.0</v>
      </c>
      <c r="E258" s="60" t="s">
        <v>4036</v>
      </c>
      <c r="F258" s="60" t="s">
        <v>925</v>
      </c>
      <c r="G258" s="60" t="s">
        <v>4026</v>
      </c>
      <c r="H258" s="60" t="s">
        <v>4031</v>
      </c>
      <c r="I258" s="61"/>
    </row>
    <row r="259">
      <c r="A259" s="67">
        <v>257.0</v>
      </c>
      <c r="B259" s="60" t="s">
        <v>4291</v>
      </c>
      <c r="C259" s="61"/>
      <c r="D259" s="60">
        <v>29.0</v>
      </c>
      <c r="E259" s="61"/>
      <c r="F259" s="61"/>
      <c r="G259" s="60" t="s">
        <v>4026</v>
      </c>
      <c r="H259" s="60" t="s">
        <v>4027</v>
      </c>
      <c r="I259" s="61"/>
    </row>
    <row r="260">
      <c r="A260" s="67">
        <v>258.0</v>
      </c>
      <c r="B260" s="60" t="s">
        <v>4292</v>
      </c>
      <c r="C260" s="61"/>
      <c r="D260" s="60">
        <v>23.0</v>
      </c>
      <c r="E260" s="61"/>
      <c r="F260" s="61"/>
      <c r="G260" s="60" t="s">
        <v>4026</v>
      </c>
      <c r="H260" s="60" t="s">
        <v>4027</v>
      </c>
      <c r="I260" s="61"/>
    </row>
    <row r="261">
      <c r="A261" s="67">
        <v>259.0</v>
      </c>
      <c r="B261" s="60" t="s">
        <v>4293</v>
      </c>
      <c r="C261" s="61"/>
      <c r="D261" s="60">
        <v>53.0</v>
      </c>
      <c r="E261" s="61"/>
      <c r="F261" s="61"/>
      <c r="G261" s="60" t="s">
        <v>4026</v>
      </c>
      <c r="H261" s="60" t="s">
        <v>4027</v>
      </c>
      <c r="I261" s="61"/>
    </row>
    <row r="262">
      <c r="A262" s="67">
        <v>260.0</v>
      </c>
      <c r="B262" s="60" t="s">
        <v>4294</v>
      </c>
      <c r="C262" s="61"/>
      <c r="D262" s="61"/>
      <c r="E262" s="61"/>
      <c r="F262" s="61"/>
      <c r="G262" s="60" t="s">
        <v>4026</v>
      </c>
      <c r="H262" s="60" t="s">
        <v>4027</v>
      </c>
      <c r="I262" s="61"/>
    </row>
    <row r="263">
      <c r="A263" s="67">
        <v>261.0</v>
      </c>
      <c r="B263" s="60" t="s">
        <v>4295</v>
      </c>
      <c r="C263" s="61"/>
      <c r="D263" s="60">
        <v>60.0</v>
      </c>
      <c r="E263" s="60" t="s">
        <v>4036</v>
      </c>
      <c r="F263" s="60" t="s">
        <v>4296</v>
      </c>
      <c r="G263" s="60" t="s">
        <v>4026</v>
      </c>
      <c r="H263" s="60" t="s">
        <v>4031</v>
      </c>
      <c r="I263" s="61"/>
    </row>
    <row r="264">
      <c r="A264" s="67">
        <v>262.0</v>
      </c>
      <c r="B264" s="60" t="s">
        <v>4297</v>
      </c>
      <c r="C264" s="60">
        <v>3.6091784E7</v>
      </c>
      <c r="D264" s="61"/>
      <c r="E264" s="61"/>
      <c r="F264" s="61"/>
      <c r="G264" s="60" t="s">
        <v>4044</v>
      </c>
      <c r="H264" s="60" t="s">
        <v>4045</v>
      </c>
      <c r="I264" s="60" t="s">
        <v>1847</v>
      </c>
    </row>
    <row r="265">
      <c r="A265" s="67">
        <v>263.0</v>
      </c>
      <c r="B265" s="60" t="s">
        <v>4298</v>
      </c>
      <c r="C265" s="61"/>
      <c r="D265" s="60">
        <v>52.0</v>
      </c>
      <c r="E265" s="61"/>
      <c r="F265" s="61"/>
      <c r="G265" s="60" t="s">
        <v>4026</v>
      </c>
      <c r="H265" s="60" t="s">
        <v>4027</v>
      </c>
      <c r="I265" s="61"/>
    </row>
    <row r="266">
      <c r="A266" s="67">
        <v>264.0</v>
      </c>
      <c r="B266" s="60" t="s">
        <v>4299</v>
      </c>
      <c r="C266" s="61"/>
      <c r="D266" s="60">
        <v>65.0</v>
      </c>
      <c r="E266" s="60" t="s">
        <v>4036</v>
      </c>
      <c r="F266" s="60" t="s">
        <v>4030</v>
      </c>
      <c r="G266" s="60" t="s">
        <v>4026</v>
      </c>
      <c r="H266" s="60" t="s">
        <v>4031</v>
      </c>
      <c r="I266" s="61"/>
    </row>
    <row r="267">
      <c r="A267" s="67">
        <v>265.0</v>
      </c>
      <c r="B267" s="60" t="s">
        <v>4299</v>
      </c>
      <c r="C267" s="61"/>
      <c r="D267" s="60">
        <v>65.0</v>
      </c>
      <c r="E267" s="61"/>
      <c r="F267" s="61"/>
      <c r="G267" s="60" t="s">
        <v>4026</v>
      </c>
      <c r="H267" s="60" t="s">
        <v>4027</v>
      </c>
      <c r="I267" s="60" t="s">
        <v>3629</v>
      </c>
    </row>
    <row r="268">
      <c r="A268" s="67">
        <v>266.0</v>
      </c>
      <c r="B268" s="60" t="s">
        <v>4300</v>
      </c>
      <c r="C268" s="61"/>
      <c r="D268" s="61"/>
      <c r="E268" s="60" t="s">
        <v>4029</v>
      </c>
      <c r="F268" s="60" t="s">
        <v>330</v>
      </c>
      <c r="G268" s="60" t="s">
        <v>2667</v>
      </c>
      <c r="H268" s="60" t="s">
        <v>4027</v>
      </c>
      <c r="I268" s="61"/>
    </row>
    <row r="269">
      <c r="A269" s="67">
        <v>267.0</v>
      </c>
      <c r="B269" s="60" t="s">
        <v>4301</v>
      </c>
      <c r="C269" s="60">
        <v>1.6208203E7</v>
      </c>
      <c r="D269" s="60">
        <v>42.0</v>
      </c>
      <c r="E269" s="60" t="s">
        <v>4036</v>
      </c>
      <c r="F269" s="61"/>
      <c r="G269" s="60" t="s">
        <v>2445</v>
      </c>
      <c r="H269" s="60" t="s">
        <v>4027</v>
      </c>
      <c r="I269" s="61"/>
    </row>
    <row r="270">
      <c r="A270" s="67">
        <v>268.0</v>
      </c>
      <c r="B270" s="60" t="s">
        <v>4302</v>
      </c>
      <c r="C270" s="61"/>
      <c r="D270" s="60">
        <v>50.0</v>
      </c>
      <c r="E270" s="61"/>
      <c r="F270" s="61"/>
      <c r="G270" s="60" t="s">
        <v>4026</v>
      </c>
      <c r="H270" s="60" t="s">
        <v>4027</v>
      </c>
      <c r="I270" s="61"/>
    </row>
    <row r="271">
      <c r="A271" s="67">
        <v>269.0</v>
      </c>
      <c r="B271" s="60" t="s">
        <v>4303</v>
      </c>
      <c r="C271" s="61"/>
      <c r="D271" s="60">
        <v>60.0</v>
      </c>
      <c r="E271" s="61"/>
      <c r="F271" s="61"/>
      <c r="G271" s="60" t="s">
        <v>4026</v>
      </c>
      <c r="H271" s="60" t="s">
        <v>4027</v>
      </c>
      <c r="I271" s="61"/>
    </row>
    <row r="272">
      <c r="A272" s="67">
        <v>270.0</v>
      </c>
      <c r="B272" s="60" t="s">
        <v>4304</v>
      </c>
      <c r="C272" s="61"/>
      <c r="D272" s="60">
        <v>12.0</v>
      </c>
      <c r="E272" s="60" t="s">
        <v>4036</v>
      </c>
      <c r="F272" s="60" t="s">
        <v>466</v>
      </c>
      <c r="G272" s="60" t="s">
        <v>4026</v>
      </c>
      <c r="H272" s="60" t="s">
        <v>4031</v>
      </c>
      <c r="I272" s="61"/>
    </row>
    <row r="273">
      <c r="A273" s="67">
        <v>271.0</v>
      </c>
      <c r="B273" s="60" t="s">
        <v>4305</v>
      </c>
      <c r="C273" s="61"/>
      <c r="D273" s="60">
        <v>18.0</v>
      </c>
      <c r="E273" s="61"/>
      <c r="F273" s="61"/>
      <c r="G273" s="60" t="s">
        <v>4044</v>
      </c>
      <c r="H273" s="60" t="s">
        <v>4023</v>
      </c>
      <c r="I273" s="61"/>
    </row>
    <row r="274">
      <c r="A274" s="67">
        <v>272.0</v>
      </c>
      <c r="B274" s="60" t="s">
        <v>4306</v>
      </c>
      <c r="C274" s="60">
        <v>1.9659867E7</v>
      </c>
      <c r="D274" s="61"/>
      <c r="E274" s="61"/>
      <c r="F274" s="61"/>
      <c r="G274" s="60" t="s">
        <v>4044</v>
      </c>
      <c r="H274" s="60" t="s">
        <v>4045</v>
      </c>
      <c r="I274" s="60" t="s">
        <v>1817</v>
      </c>
    </row>
    <row r="275">
      <c r="A275" s="67">
        <v>273.0</v>
      </c>
      <c r="B275" s="60" t="s">
        <v>4307</v>
      </c>
      <c r="C275" s="60">
        <v>2.6068002E7</v>
      </c>
      <c r="D275" s="60">
        <v>28.0</v>
      </c>
      <c r="E275" s="60" t="s">
        <v>4029</v>
      </c>
      <c r="F275" s="61"/>
      <c r="G275" s="60" t="s">
        <v>2445</v>
      </c>
      <c r="H275" s="60" t="s">
        <v>4027</v>
      </c>
      <c r="I275" s="61"/>
    </row>
    <row r="276">
      <c r="A276" s="67">
        <v>274.0</v>
      </c>
      <c r="B276" s="60" t="s">
        <v>4308</v>
      </c>
      <c r="C276" s="60">
        <v>1.5430608E7</v>
      </c>
      <c r="D276" s="60">
        <v>45.0</v>
      </c>
      <c r="E276" s="60" t="s">
        <v>4036</v>
      </c>
      <c r="F276" s="61"/>
      <c r="G276" s="60" t="s">
        <v>2445</v>
      </c>
      <c r="H276" s="60" t="s">
        <v>4027</v>
      </c>
      <c r="I276" s="61"/>
    </row>
    <row r="277">
      <c r="A277" s="67">
        <v>275.0</v>
      </c>
      <c r="B277" s="60" t="s">
        <v>4309</v>
      </c>
      <c r="C277" s="61"/>
      <c r="D277" s="60">
        <v>13.0</v>
      </c>
      <c r="E277" s="60" t="s">
        <v>4036</v>
      </c>
      <c r="F277" s="60" t="s">
        <v>330</v>
      </c>
      <c r="G277" s="60" t="s">
        <v>4026</v>
      </c>
      <c r="H277" s="60" t="s">
        <v>4023</v>
      </c>
      <c r="I277" s="61"/>
    </row>
    <row r="278">
      <c r="A278" s="67">
        <v>276.0</v>
      </c>
      <c r="B278" s="60" t="s">
        <v>4309</v>
      </c>
      <c r="C278" s="61"/>
      <c r="D278" s="60">
        <v>13.0</v>
      </c>
      <c r="E278" s="60" t="s">
        <v>4036</v>
      </c>
      <c r="F278" s="60" t="s">
        <v>330</v>
      </c>
      <c r="G278" s="60" t="s">
        <v>4026</v>
      </c>
      <c r="H278" s="60" t="s">
        <v>4023</v>
      </c>
      <c r="I278" s="60" t="s">
        <v>3629</v>
      </c>
    </row>
    <row r="279">
      <c r="A279" s="67">
        <v>277.0</v>
      </c>
      <c r="B279" s="60" t="s">
        <v>4310</v>
      </c>
      <c r="C279" s="60">
        <v>2.7044236E7</v>
      </c>
      <c r="D279" s="61"/>
      <c r="E279" s="61"/>
      <c r="F279" s="61"/>
      <c r="G279" s="60" t="s">
        <v>4044</v>
      </c>
      <c r="H279" s="60" t="s">
        <v>4023</v>
      </c>
      <c r="I279" s="60" t="s">
        <v>1817</v>
      </c>
    </row>
    <row r="280">
      <c r="A280" s="67">
        <v>278.0</v>
      </c>
      <c r="B280" s="60" t="s">
        <v>4311</v>
      </c>
      <c r="C280" s="60">
        <v>3.2320521E7</v>
      </c>
      <c r="D280" s="60">
        <v>19.0</v>
      </c>
      <c r="E280" s="60" t="s">
        <v>4036</v>
      </c>
      <c r="F280" s="61"/>
      <c r="G280" s="60" t="s">
        <v>2445</v>
      </c>
      <c r="H280" s="60" t="s">
        <v>4027</v>
      </c>
      <c r="I280" s="61"/>
    </row>
    <row r="281">
      <c r="A281" s="67">
        <v>279.0</v>
      </c>
      <c r="B281" s="60" t="s">
        <v>3846</v>
      </c>
      <c r="C281" s="60">
        <v>3.4518879E7</v>
      </c>
      <c r="D281" s="61"/>
      <c r="E281" s="61"/>
      <c r="F281" s="61"/>
      <c r="G281" s="60" t="s">
        <v>4044</v>
      </c>
      <c r="H281" s="60" t="s">
        <v>4045</v>
      </c>
      <c r="I281" s="61"/>
    </row>
    <row r="282">
      <c r="A282" s="67">
        <v>280.0</v>
      </c>
      <c r="B282" s="60" t="s">
        <v>4312</v>
      </c>
      <c r="C282" s="60">
        <v>4029093.0</v>
      </c>
      <c r="D282" s="60">
        <v>80.0</v>
      </c>
      <c r="E282" s="60" t="s">
        <v>4029</v>
      </c>
      <c r="F282" s="61"/>
      <c r="G282" s="60" t="s">
        <v>2445</v>
      </c>
      <c r="H282" s="60" t="s">
        <v>4027</v>
      </c>
      <c r="I282" s="61"/>
    </row>
    <row r="283">
      <c r="A283" s="67">
        <v>281.0</v>
      </c>
      <c r="B283" s="60" t="s">
        <v>4313</v>
      </c>
      <c r="C283" s="61"/>
      <c r="D283" s="60">
        <v>49.0</v>
      </c>
      <c r="E283" s="61"/>
      <c r="F283" s="61"/>
      <c r="G283" s="60" t="s">
        <v>4022</v>
      </c>
      <c r="H283" s="60" t="s">
        <v>4023</v>
      </c>
      <c r="I283" s="60" t="s">
        <v>4024</v>
      </c>
    </row>
    <row r="284">
      <c r="A284" s="67">
        <v>282.0</v>
      </c>
      <c r="B284" s="60" t="s">
        <v>4314</v>
      </c>
      <c r="C284" s="61"/>
      <c r="D284" s="61"/>
      <c r="E284" s="61"/>
      <c r="F284" s="61"/>
      <c r="G284" s="60" t="s">
        <v>4026</v>
      </c>
      <c r="H284" s="60" t="s">
        <v>4027</v>
      </c>
      <c r="I284" s="61"/>
    </row>
    <row r="285">
      <c r="A285" s="67">
        <v>283.0</v>
      </c>
      <c r="B285" s="60" t="s">
        <v>4315</v>
      </c>
      <c r="C285" s="61"/>
      <c r="D285" s="60">
        <v>15.0</v>
      </c>
      <c r="E285" s="61"/>
      <c r="F285" s="61"/>
      <c r="G285" s="60" t="s">
        <v>4026</v>
      </c>
      <c r="H285" s="60" t="s">
        <v>4027</v>
      </c>
      <c r="I285" s="61"/>
    </row>
    <row r="286">
      <c r="A286" s="67">
        <v>284.0</v>
      </c>
      <c r="B286" s="60" t="s">
        <v>4316</v>
      </c>
      <c r="C286" s="61"/>
      <c r="D286" s="61"/>
      <c r="E286" s="61"/>
      <c r="F286" s="61"/>
      <c r="G286" s="60" t="s">
        <v>4026</v>
      </c>
      <c r="H286" s="60" t="s">
        <v>4027</v>
      </c>
      <c r="I286" s="61"/>
    </row>
    <row r="287">
      <c r="A287" s="67">
        <v>285.0</v>
      </c>
      <c r="B287" s="60" t="s">
        <v>4317</v>
      </c>
      <c r="C287" s="61"/>
      <c r="D287" s="60">
        <v>67.0</v>
      </c>
      <c r="E287" s="61"/>
      <c r="F287" s="61"/>
      <c r="G287" s="60" t="s">
        <v>4026</v>
      </c>
      <c r="H287" s="60" t="s">
        <v>4027</v>
      </c>
      <c r="I287" s="61"/>
    </row>
    <row r="288">
      <c r="A288" s="67">
        <v>286.0</v>
      </c>
      <c r="B288" s="60" t="s">
        <v>4318</v>
      </c>
      <c r="C288" s="60">
        <v>2.0562844E7</v>
      </c>
      <c r="D288" s="60">
        <v>35.0</v>
      </c>
      <c r="E288" s="60" t="s">
        <v>4036</v>
      </c>
      <c r="F288" s="61"/>
      <c r="G288" s="60" t="s">
        <v>2445</v>
      </c>
      <c r="H288" s="60" t="s">
        <v>4027</v>
      </c>
      <c r="I288" s="61"/>
    </row>
    <row r="289">
      <c r="A289" s="67">
        <v>287.0</v>
      </c>
      <c r="B289" s="60" t="s">
        <v>4319</v>
      </c>
      <c r="C289" s="60">
        <v>1.492976E7</v>
      </c>
      <c r="D289" s="61"/>
      <c r="E289" s="60" t="s">
        <v>4029</v>
      </c>
      <c r="F289" s="61"/>
      <c r="G289" s="60" t="s">
        <v>2445</v>
      </c>
      <c r="H289" s="60" t="s">
        <v>4027</v>
      </c>
      <c r="I289" s="61"/>
    </row>
    <row r="290">
      <c r="A290" s="67">
        <v>288.0</v>
      </c>
      <c r="B290" s="60" t="s">
        <v>4320</v>
      </c>
      <c r="C290" s="60">
        <v>2.5175345E7</v>
      </c>
      <c r="D290" s="60">
        <v>30.0</v>
      </c>
      <c r="E290" s="61"/>
      <c r="F290" s="61"/>
      <c r="G290" s="60" t="s">
        <v>4022</v>
      </c>
      <c r="H290" s="60" t="s">
        <v>4023</v>
      </c>
      <c r="I290" s="60" t="s">
        <v>4024</v>
      </c>
    </row>
    <row r="291">
      <c r="A291" s="67">
        <v>289.0</v>
      </c>
      <c r="B291" s="60" t="s">
        <v>4321</v>
      </c>
      <c r="C291" s="60">
        <v>3.144507E7</v>
      </c>
      <c r="D291" s="60">
        <v>18.0</v>
      </c>
      <c r="E291" s="60" t="s">
        <v>4029</v>
      </c>
      <c r="F291" s="61"/>
      <c r="G291" s="60" t="s">
        <v>2445</v>
      </c>
      <c r="H291" s="60" t="s">
        <v>4027</v>
      </c>
      <c r="I291" s="61"/>
    </row>
    <row r="292">
      <c r="A292" s="67">
        <v>290.0</v>
      </c>
      <c r="B292" s="60" t="s">
        <v>4322</v>
      </c>
      <c r="C292" s="60">
        <v>1.5267293E7</v>
      </c>
      <c r="D292" s="60">
        <v>19.0</v>
      </c>
      <c r="E292" s="61"/>
      <c r="F292" s="61"/>
      <c r="G292" s="60" t="s">
        <v>2445</v>
      </c>
      <c r="H292" s="60" t="s">
        <v>4027</v>
      </c>
      <c r="I292" s="61"/>
    </row>
    <row r="293">
      <c r="A293" s="67">
        <v>291.0</v>
      </c>
      <c r="B293" s="60" t="s">
        <v>4323</v>
      </c>
      <c r="C293" s="60">
        <v>3409148.0</v>
      </c>
      <c r="D293" s="60">
        <v>78.0</v>
      </c>
      <c r="E293" s="60" t="s">
        <v>4029</v>
      </c>
      <c r="F293" s="61"/>
      <c r="G293" s="60" t="s">
        <v>2445</v>
      </c>
      <c r="H293" s="60" t="s">
        <v>4027</v>
      </c>
      <c r="I293" s="61"/>
    </row>
    <row r="294">
      <c r="A294" s="67">
        <v>292.0</v>
      </c>
      <c r="B294" s="60" t="s">
        <v>4324</v>
      </c>
      <c r="C294" s="60">
        <v>6904629.0</v>
      </c>
      <c r="D294" s="61"/>
      <c r="E294" s="61"/>
      <c r="F294" s="61"/>
      <c r="G294" s="60" t="s">
        <v>4044</v>
      </c>
      <c r="H294" s="60" t="s">
        <v>4045</v>
      </c>
      <c r="I294" s="60" t="s">
        <v>1847</v>
      </c>
    </row>
    <row r="295">
      <c r="A295" s="67">
        <v>293.0</v>
      </c>
      <c r="B295" s="60" t="s">
        <v>4325</v>
      </c>
      <c r="C295" s="60">
        <v>1.748209E7</v>
      </c>
      <c r="D295" s="60">
        <v>38.0</v>
      </c>
      <c r="E295" s="61"/>
      <c r="F295" s="61"/>
      <c r="G295" s="60" t="s">
        <v>4022</v>
      </c>
      <c r="H295" s="60" t="s">
        <v>4023</v>
      </c>
      <c r="I295" s="60" t="s">
        <v>4024</v>
      </c>
    </row>
    <row r="296">
      <c r="A296" s="67">
        <v>294.0</v>
      </c>
      <c r="B296" s="60" t="s">
        <v>4326</v>
      </c>
      <c r="C296" s="60">
        <v>2.3241059E7</v>
      </c>
      <c r="D296" s="61"/>
      <c r="E296" s="61"/>
      <c r="F296" s="61"/>
      <c r="G296" s="60" t="s">
        <v>4044</v>
      </c>
      <c r="H296" s="60" t="s">
        <v>4023</v>
      </c>
      <c r="I296" s="60" t="s">
        <v>1817</v>
      </c>
    </row>
    <row r="297">
      <c r="A297" s="67">
        <v>295.0</v>
      </c>
      <c r="B297" s="60" t="s">
        <v>4327</v>
      </c>
      <c r="C297" s="61"/>
      <c r="D297" s="61"/>
      <c r="E297" s="61"/>
      <c r="F297" s="61"/>
      <c r="G297" s="60" t="s">
        <v>4026</v>
      </c>
      <c r="H297" s="60" t="s">
        <v>4027</v>
      </c>
      <c r="I297" s="61"/>
    </row>
    <row r="298">
      <c r="A298" s="67">
        <v>296.0</v>
      </c>
      <c r="B298" s="60" t="s">
        <v>4328</v>
      </c>
      <c r="C298" s="61"/>
      <c r="D298" s="60">
        <v>62.0</v>
      </c>
      <c r="E298" s="61"/>
      <c r="F298" s="61"/>
      <c r="G298" s="60" t="s">
        <v>4026</v>
      </c>
      <c r="H298" s="60" t="s">
        <v>4027</v>
      </c>
      <c r="I298" s="61"/>
    </row>
    <row r="299">
      <c r="A299" s="67">
        <v>297.0</v>
      </c>
      <c r="B299" s="60" t="s">
        <v>4329</v>
      </c>
      <c r="C299" s="60">
        <v>2945823.0</v>
      </c>
      <c r="D299" s="61"/>
      <c r="E299" s="61"/>
      <c r="F299" s="61"/>
      <c r="G299" s="60" t="s">
        <v>4044</v>
      </c>
      <c r="H299" s="60" t="s">
        <v>4045</v>
      </c>
      <c r="I299" s="60" t="s">
        <v>1817</v>
      </c>
    </row>
    <row r="300">
      <c r="A300" s="67">
        <v>298.0</v>
      </c>
      <c r="B300" s="60" t="s">
        <v>4330</v>
      </c>
      <c r="C300" s="60">
        <v>1.1055173E7</v>
      </c>
      <c r="D300" s="60">
        <v>54.0</v>
      </c>
      <c r="E300" s="61"/>
      <c r="F300" s="61"/>
      <c r="G300" s="60" t="s">
        <v>4022</v>
      </c>
      <c r="H300" s="60" t="s">
        <v>4023</v>
      </c>
      <c r="I300" s="60" t="s">
        <v>4024</v>
      </c>
    </row>
    <row r="301">
      <c r="A301" s="67">
        <v>299.0</v>
      </c>
      <c r="B301" s="60" t="s">
        <v>4330</v>
      </c>
      <c r="C301" s="60">
        <v>1.1055173E7</v>
      </c>
      <c r="D301" s="61"/>
      <c r="E301" s="60" t="s">
        <v>4029</v>
      </c>
      <c r="F301" s="60" t="s">
        <v>330</v>
      </c>
      <c r="G301" s="60" t="s">
        <v>2667</v>
      </c>
      <c r="H301" s="60" t="s">
        <v>4027</v>
      </c>
      <c r="I301" s="60" t="s">
        <v>3629</v>
      </c>
    </row>
    <row r="302">
      <c r="A302" s="67">
        <v>300.0</v>
      </c>
      <c r="B302" s="60" t="s">
        <v>4331</v>
      </c>
      <c r="C302" s="60">
        <v>1.1409997E7</v>
      </c>
      <c r="D302" s="60">
        <v>55.0</v>
      </c>
      <c r="E302" s="61"/>
      <c r="F302" s="61"/>
      <c r="G302" s="60" t="s">
        <v>4022</v>
      </c>
      <c r="H302" s="60" t="s">
        <v>4023</v>
      </c>
      <c r="I302" s="60" t="s">
        <v>4024</v>
      </c>
    </row>
    <row r="303">
      <c r="A303" s="67">
        <v>301.0</v>
      </c>
      <c r="B303" s="60" t="s">
        <v>4332</v>
      </c>
      <c r="C303" s="61"/>
      <c r="D303" s="60">
        <v>68.0</v>
      </c>
      <c r="E303" s="60" t="s">
        <v>4029</v>
      </c>
      <c r="F303" s="60" t="s">
        <v>925</v>
      </c>
      <c r="G303" s="60" t="s">
        <v>4026</v>
      </c>
      <c r="H303" s="60" t="s">
        <v>4031</v>
      </c>
      <c r="I303" s="61"/>
    </row>
    <row r="304">
      <c r="A304" s="67">
        <v>302.0</v>
      </c>
      <c r="B304" s="60" t="s">
        <v>4333</v>
      </c>
      <c r="C304" s="61"/>
      <c r="D304" s="61"/>
      <c r="E304" s="61"/>
      <c r="F304" s="60" t="s">
        <v>4334</v>
      </c>
      <c r="G304" s="60" t="s">
        <v>4335</v>
      </c>
      <c r="H304" s="60" t="s">
        <v>4023</v>
      </c>
      <c r="I304" s="61"/>
    </row>
    <row r="305">
      <c r="A305" s="67">
        <v>303.0</v>
      </c>
      <c r="B305" s="60" t="s">
        <v>4336</v>
      </c>
      <c r="C305" s="60">
        <v>4718019.0</v>
      </c>
      <c r="D305" s="61"/>
      <c r="E305" s="61"/>
      <c r="F305" s="61"/>
      <c r="G305" s="60" t="s">
        <v>4044</v>
      </c>
      <c r="H305" s="60" t="s">
        <v>4045</v>
      </c>
      <c r="I305" s="60" t="s">
        <v>1847</v>
      </c>
    </row>
    <row r="306">
      <c r="A306" s="67">
        <v>304.0</v>
      </c>
      <c r="B306" s="60" t="s">
        <v>4337</v>
      </c>
      <c r="C306" s="61"/>
      <c r="D306" s="60">
        <v>46.0</v>
      </c>
      <c r="E306" s="61"/>
      <c r="F306" s="61"/>
      <c r="G306" s="60" t="s">
        <v>4026</v>
      </c>
      <c r="H306" s="60" t="s">
        <v>4027</v>
      </c>
      <c r="I306" s="61"/>
    </row>
    <row r="307">
      <c r="A307" s="67">
        <v>305.0</v>
      </c>
      <c r="B307" s="60" t="s">
        <v>4338</v>
      </c>
      <c r="C307" s="60">
        <v>2.0558047E7</v>
      </c>
      <c r="D307" s="60">
        <v>37.0</v>
      </c>
      <c r="E307" s="61"/>
      <c r="F307" s="61"/>
      <c r="G307" s="60" t="s">
        <v>4022</v>
      </c>
      <c r="H307" s="60" t="s">
        <v>4023</v>
      </c>
      <c r="I307" s="60" t="s">
        <v>4024</v>
      </c>
    </row>
    <row r="308">
      <c r="A308" s="67">
        <v>306.0</v>
      </c>
      <c r="B308" s="60" t="s">
        <v>4339</v>
      </c>
      <c r="C308" s="60">
        <v>1.744398E7</v>
      </c>
      <c r="D308" s="60">
        <v>17.0</v>
      </c>
      <c r="E308" s="60" t="s">
        <v>4029</v>
      </c>
      <c r="F308" s="61"/>
      <c r="G308" s="60" t="s">
        <v>2445</v>
      </c>
      <c r="H308" s="60" t="s">
        <v>4027</v>
      </c>
      <c r="I308" s="61"/>
    </row>
    <row r="309">
      <c r="A309" s="67">
        <v>307.0</v>
      </c>
      <c r="B309" s="60" t="s">
        <v>4340</v>
      </c>
      <c r="C309" s="61"/>
      <c r="D309" s="60">
        <v>17.0</v>
      </c>
      <c r="E309" s="61"/>
      <c r="F309" s="61"/>
      <c r="G309" s="60" t="s">
        <v>4022</v>
      </c>
      <c r="H309" s="60" t="s">
        <v>4023</v>
      </c>
      <c r="I309" s="60" t="s">
        <v>4024</v>
      </c>
    </row>
    <row r="310">
      <c r="A310" s="67">
        <v>308.0</v>
      </c>
      <c r="B310" s="60" t="s">
        <v>4341</v>
      </c>
      <c r="C310" s="60">
        <v>8418724.0</v>
      </c>
      <c r="D310" s="60">
        <v>59.0</v>
      </c>
      <c r="E310" s="60" t="s">
        <v>4036</v>
      </c>
      <c r="F310" s="61"/>
      <c r="G310" s="60" t="s">
        <v>2445</v>
      </c>
      <c r="H310" s="60" t="s">
        <v>4027</v>
      </c>
      <c r="I310" s="61"/>
    </row>
    <row r="311">
      <c r="A311" s="67">
        <v>309.0</v>
      </c>
      <c r="B311" s="60" t="s">
        <v>4342</v>
      </c>
      <c r="C311" s="61"/>
      <c r="D311" s="60">
        <v>19.0</v>
      </c>
      <c r="E311" s="60" t="s">
        <v>4036</v>
      </c>
      <c r="F311" s="60" t="s">
        <v>330</v>
      </c>
      <c r="G311" s="60" t="s">
        <v>4026</v>
      </c>
      <c r="H311" s="60" t="s">
        <v>4031</v>
      </c>
      <c r="I311" s="61"/>
    </row>
    <row r="312">
      <c r="A312" s="67">
        <v>310.0</v>
      </c>
      <c r="B312" s="60" t="s">
        <v>4343</v>
      </c>
      <c r="C312" s="60">
        <v>2.2513789E7</v>
      </c>
      <c r="D312" s="60">
        <v>30.0</v>
      </c>
      <c r="E312" s="60" t="s">
        <v>4036</v>
      </c>
      <c r="F312" s="61"/>
      <c r="G312" s="60" t="s">
        <v>2445</v>
      </c>
      <c r="H312" s="60" t="s">
        <v>4027</v>
      </c>
      <c r="I312" s="61"/>
    </row>
    <row r="313">
      <c r="A313" s="67">
        <v>311.0</v>
      </c>
      <c r="B313" s="60" t="s">
        <v>4344</v>
      </c>
      <c r="C313" s="60">
        <v>2.2026527E7</v>
      </c>
      <c r="D313" s="61"/>
      <c r="E313" s="60" t="s">
        <v>4029</v>
      </c>
      <c r="F313" s="60" t="s">
        <v>330</v>
      </c>
      <c r="G313" s="60" t="s">
        <v>2667</v>
      </c>
      <c r="H313" s="60" t="s">
        <v>4027</v>
      </c>
      <c r="I313" s="61"/>
    </row>
    <row r="314">
      <c r="A314" s="67">
        <v>312.0</v>
      </c>
      <c r="B314" s="60" t="s">
        <v>4345</v>
      </c>
      <c r="C314" s="60">
        <v>1.3374754E7</v>
      </c>
      <c r="D314" s="61"/>
      <c r="E314" s="61"/>
      <c r="F314" s="61"/>
      <c r="G314" s="60" t="s">
        <v>4044</v>
      </c>
      <c r="H314" s="60" t="s">
        <v>4023</v>
      </c>
      <c r="I314" s="61"/>
    </row>
    <row r="315">
      <c r="A315" s="67">
        <v>313.0</v>
      </c>
      <c r="B315" s="60" t="s">
        <v>4346</v>
      </c>
      <c r="C315" s="60">
        <v>2.2550086E7</v>
      </c>
      <c r="D315" s="61"/>
      <c r="E315" s="60" t="s">
        <v>4029</v>
      </c>
      <c r="F315" s="60" t="s">
        <v>330</v>
      </c>
      <c r="G315" s="60" t="s">
        <v>2667</v>
      </c>
      <c r="H315" s="60" t="s">
        <v>4027</v>
      </c>
      <c r="I315" s="61"/>
    </row>
    <row r="316">
      <c r="A316" s="67">
        <v>314.0</v>
      </c>
      <c r="B316" s="60" t="s">
        <v>4347</v>
      </c>
      <c r="C316" s="61"/>
      <c r="D316" s="60">
        <v>43.0</v>
      </c>
      <c r="E316" s="61"/>
      <c r="F316" s="61"/>
      <c r="G316" s="60" t="s">
        <v>4026</v>
      </c>
      <c r="H316" s="60" t="s">
        <v>4027</v>
      </c>
      <c r="I316" s="61"/>
    </row>
    <row r="317">
      <c r="A317" s="67">
        <v>315.0</v>
      </c>
      <c r="B317" s="60" t="s">
        <v>4348</v>
      </c>
      <c r="C317" s="61"/>
      <c r="D317" s="61"/>
      <c r="E317" s="61"/>
      <c r="F317" s="61"/>
      <c r="G317" s="60" t="s">
        <v>4026</v>
      </c>
      <c r="H317" s="60" t="s">
        <v>4027</v>
      </c>
      <c r="I317" s="60" t="s">
        <v>3629</v>
      </c>
    </row>
    <row r="318">
      <c r="A318" s="67">
        <v>316.0</v>
      </c>
      <c r="B318" s="60" t="s">
        <v>4349</v>
      </c>
      <c r="C318" s="61"/>
      <c r="D318" s="60">
        <v>77.0</v>
      </c>
      <c r="E318" s="60" t="s">
        <v>4036</v>
      </c>
      <c r="F318" s="60" t="s">
        <v>4350</v>
      </c>
      <c r="G318" s="60" t="s">
        <v>4026</v>
      </c>
      <c r="H318" s="60" t="s">
        <v>4031</v>
      </c>
      <c r="I318" s="61"/>
    </row>
    <row r="319">
      <c r="A319" s="67">
        <v>317.0</v>
      </c>
      <c r="B319" s="60" t="s">
        <v>4351</v>
      </c>
      <c r="C319" s="61"/>
      <c r="D319" s="60">
        <v>11.0</v>
      </c>
      <c r="E319" s="60" t="s">
        <v>4036</v>
      </c>
      <c r="F319" s="60" t="s">
        <v>4030</v>
      </c>
      <c r="G319" s="60" t="s">
        <v>4026</v>
      </c>
      <c r="H319" s="60" t="s">
        <v>4031</v>
      </c>
      <c r="I319" s="61"/>
    </row>
    <row r="320">
      <c r="A320" s="67">
        <v>318.0</v>
      </c>
      <c r="B320" s="60" t="s">
        <v>4352</v>
      </c>
      <c r="C320" s="60">
        <v>1.6705956E7</v>
      </c>
      <c r="D320" s="61"/>
      <c r="E320" s="60" t="s">
        <v>4029</v>
      </c>
      <c r="F320" s="60" t="s">
        <v>330</v>
      </c>
      <c r="G320" s="60" t="s">
        <v>2667</v>
      </c>
      <c r="H320" s="60" t="s">
        <v>4027</v>
      </c>
      <c r="I320" s="61"/>
    </row>
    <row r="321">
      <c r="A321" s="67">
        <v>319.0</v>
      </c>
      <c r="B321" s="60" t="s">
        <v>4353</v>
      </c>
      <c r="C321" s="60">
        <v>1.2717087E7</v>
      </c>
      <c r="D321" s="61"/>
      <c r="E321" s="61"/>
      <c r="F321" s="61"/>
      <c r="G321" s="60" t="s">
        <v>4044</v>
      </c>
      <c r="H321" s="60" t="s">
        <v>4023</v>
      </c>
      <c r="I321" s="61"/>
    </row>
    <row r="322">
      <c r="A322" s="67">
        <v>320.0</v>
      </c>
      <c r="B322" s="60" t="s">
        <v>4354</v>
      </c>
      <c r="C322" s="61"/>
      <c r="D322" s="60">
        <v>23.0</v>
      </c>
      <c r="E322" s="60" t="s">
        <v>4036</v>
      </c>
      <c r="F322" s="60" t="s">
        <v>4030</v>
      </c>
      <c r="G322" s="60" t="s">
        <v>4026</v>
      </c>
      <c r="H322" s="60" t="s">
        <v>4031</v>
      </c>
      <c r="I322" s="61"/>
    </row>
    <row r="323">
      <c r="A323" s="67">
        <v>321.0</v>
      </c>
      <c r="B323" s="60" t="s">
        <v>4355</v>
      </c>
      <c r="C323" s="60">
        <v>9416493.0</v>
      </c>
      <c r="D323" s="61"/>
      <c r="E323" s="61"/>
      <c r="F323" s="61"/>
      <c r="G323" s="60" t="s">
        <v>4044</v>
      </c>
      <c r="H323" s="60" t="s">
        <v>4023</v>
      </c>
      <c r="I323" s="61"/>
    </row>
    <row r="324">
      <c r="A324" s="67">
        <v>322.0</v>
      </c>
      <c r="B324" s="60" t="s">
        <v>4356</v>
      </c>
      <c r="C324" s="61"/>
      <c r="D324" s="60">
        <v>28.0</v>
      </c>
      <c r="E324" s="60" t="s">
        <v>4029</v>
      </c>
      <c r="F324" s="60" t="s">
        <v>4030</v>
      </c>
      <c r="G324" s="60" t="s">
        <v>4026</v>
      </c>
      <c r="H324" s="60" t="s">
        <v>4031</v>
      </c>
      <c r="I324" s="61"/>
    </row>
    <row r="325">
      <c r="A325" s="67">
        <v>323.0</v>
      </c>
      <c r="B325" s="60" t="s">
        <v>4357</v>
      </c>
      <c r="C325" s="60">
        <v>8229616.0</v>
      </c>
      <c r="D325" s="60">
        <v>47.0</v>
      </c>
      <c r="E325" s="60" t="s">
        <v>4036</v>
      </c>
      <c r="F325" s="61"/>
      <c r="G325" s="60" t="s">
        <v>2445</v>
      </c>
      <c r="H325" s="60" t="s">
        <v>4027</v>
      </c>
      <c r="I325" s="61"/>
    </row>
    <row r="326">
      <c r="A326" s="67">
        <v>324.0</v>
      </c>
      <c r="B326" s="60" t="s">
        <v>4358</v>
      </c>
      <c r="C326" s="60">
        <v>3.4553337E7</v>
      </c>
      <c r="D326" s="60">
        <v>14.0</v>
      </c>
      <c r="E326" s="60" t="s">
        <v>4029</v>
      </c>
      <c r="F326" s="61"/>
      <c r="G326" s="60" t="s">
        <v>2445</v>
      </c>
      <c r="H326" s="60" t="s">
        <v>4027</v>
      </c>
      <c r="I326" s="61"/>
    </row>
    <row r="327">
      <c r="A327" s="67">
        <v>325.0</v>
      </c>
      <c r="B327" s="60" t="s">
        <v>4359</v>
      </c>
      <c r="C327" s="60">
        <v>3557870.0</v>
      </c>
      <c r="D327" s="60">
        <v>77.0</v>
      </c>
      <c r="E327" s="61"/>
      <c r="F327" s="61"/>
      <c r="G327" s="60" t="s">
        <v>4022</v>
      </c>
      <c r="H327" s="60" t="s">
        <v>4023</v>
      </c>
      <c r="I327" s="60" t="s">
        <v>4024</v>
      </c>
    </row>
    <row r="328">
      <c r="A328" s="67">
        <v>326.0</v>
      </c>
      <c r="B328" s="60" t="s">
        <v>4360</v>
      </c>
      <c r="C328" s="60">
        <v>2.405878E7</v>
      </c>
      <c r="D328" s="61"/>
      <c r="E328" s="61"/>
      <c r="F328" s="61"/>
      <c r="G328" s="60" t="s">
        <v>4044</v>
      </c>
      <c r="H328" s="60" t="s">
        <v>4045</v>
      </c>
      <c r="I328" s="60" t="s">
        <v>1847</v>
      </c>
    </row>
    <row r="329">
      <c r="A329" s="67">
        <v>327.0</v>
      </c>
      <c r="B329" s="60" t="s">
        <v>4361</v>
      </c>
      <c r="C329" s="60">
        <v>1.8274233E7</v>
      </c>
      <c r="D329" s="60">
        <v>39.0</v>
      </c>
      <c r="E329" s="60" t="s">
        <v>4029</v>
      </c>
      <c r="F329" s="61"/>
      <c r="G329" s="60" t="s">
        <v>2445</v>
      </c>
      <c r="H329" s="60" t="s">
        <v>4027</v>
      </c>
      <c r="I329" s="61"/>
    </row>
  </sheetData>
  <mergeCells count="1">
    <mergeCell ref="A1:G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2.5"/>
    <col customWidth="1" min="2" max="2" width="4.38"/>
    <col customWidth="1" min="3" max="3" width="26.25"/>
    <col customWidth="1" min="4" max="4" width="7.0"/>
    <col customWidth="1" min="5" max="6" width="15.75"/>
    <col customWidth="1" min="7" max="7" width="26.25"/>
    <col customWidth="1" min="8" max="8" width="21.88"/>
    <col customWidth="1" min="9" max="27" width="7.63"/>
  </cols>
  <sheetData>
    <row r="1" ht="27.75" customHeight="1">
      <c r="A1" s="68"/>
      <c r="B1" s="69" t="s">
        <v>4362</v>
      </c>
      <c r="C1" s="2"/>
      <c r="D1" s="2"/>
      <c r="E1" s="2"/>
      <c r="F1" s="2"/>
      <c r="G1" s="2"/>
      <c r="H1" s="3"/>
    </row>
    <row r="2" ht="19.5" customHeight="1">
      <c r="A2" s="70"/>
      <c r="B2" s="7" t="s">
        <v>3</v>
      </c>
      <c r="C2" s="8" t="s">
        <v>5</v>
      </c>
      <c r="D2" s="8" t="s">
        <v>6</v>
      </c>
      <c r="E2" s="8" t="s">
        <v>7</v>
      </c>
      <c r="F2" s="8" t="s">
        <v>8</v>
      </c>
      <c r="G2" s="8" t="s">
        <v>9</v>
      </c>
      <c r="H2" s="8" t="s">
        <v>10</v>
      </c>
    </row>
    <row r="3" ht="15.75" customHeight="1">
      <c r="A3" s="71" t="str">
        <f>IF(TRIM([@Cedula])&lt;&gt;"", TRIM([@Cedula]), LOWER(TRIM(SUBSTITUTE(SUBSTITUTE(SUBSTITUTE(SUBSTITUTE(SUBSTITUTE([@Nombre],"á","a"),"é","e"),"í","i"),"ó","o"),"ú","u"))))</f>
        <v>#ERROR!</v>
      </c>
      <c r="B3" s="16">
        <v>1.0</v>
      </c>
      <c r="C3" s="72" t="s">
        <v>4363</v>
      </c>
      <c r="D3" s="72">
        <v>8.0</v>
      </c>
      <c r="E3" s="73"/>
      <c r="F3" s="73"/>
      <c r="G3" s="73"/>
      <c r="H3" s="73"/>
    </row>
    <row r="4" ht="15.75" customHeight="1">
      <c r="A4" s="71"/>
      <c r="B4" s="16">
        <f t="shared" ref="B4:B571" si="1">B3+1</f>
        <v>2</v>
      </c>
      <c r="C4" s="74" t="s">
        <v>4364</v>
      </c>
      <c r="D4" s="74">
        <v>36.0</v>
      </c>
      <c r="E4" s="17"/>
      <c r="F4" s="17"/>
      <c r="G4" s="17"/>
      <c r="H4" s="17"/>
    </row>
    <row r="5" ht="15.75" customHeight="1">
      <c r="A5" s="71"/>
      <c r="B5" s="16">
        <f t="shared" si="1"/>
        <v>3</v>
      </c>
      <c r="C5" s="74" t="s">
        <v>424</v>
      </c>
      <c r="D5" s="74">
        <v>36.0</v>
      </c>
      <c r="E5" s="17"/>
      <c r="F5" s="17"/>
      <c r="G5" s="17"/>
      <c r="H5" s="74" t="s">
        <v>425</v>
      </c>
    </row>
    <row r="6" ht="15.75" customHeight="1">
      <c r="A6" s="71"/>
      <c r="B6" s="16">
        <f t="shared" si="1"/>
        <v>4</v>
      </c>
      <c r="C6" s="74" t="s">
        <v>426</v>
      </c>
      <c r="D6" s="74">
        <v>36.0</v>
      </c>
      <c r="E6" s="17"/>
      <c r="F6" s="17"/>
      <c r="G6" s="17"/>
      <c r="H6" s="74" t="s">
        <v>427</v>
      </c>
    </row>
    <row r="7" ht="15.75" customHeight="1">
      <c r="A7" s="71"/>
      <c r="B7" s="16">
        <f t="shared" si="1"/>
        <v>5</v>
      </c>
      <c r="C7" s="74" t="s">
        <v>428</v>
      </c>
      <c r="D7" s="74">
        <v>8.0</v>
      </c>
      <c r="E7" s="17"/>
      <c r="F7" s="17"/>
      <c r="G7" s="17"/>
      <c r="H7" s="17"/>
    </row>
    <row r="8" ht="15.75" customHeight="1">
      <c r="A8" s="71"/>
      <c r="B8" s="16">
        <f t="shared" si="1"/>
        <v>6</v>
      </c>
      <c r="C8" s="74" t="s">
        <v>429</v>
      </c>
      <c r="D8" s="74">
        <v>8.0</v>
      </c>
      <c r="E8" s="17"/>
      <c r="F8" s="17"/>
      <c r="G8" s="17"/>
      <c r="H8" s="17"/>
    </row>
    <row r="9" ht="15.75" customHeight="1">
      <c r="A9" s="71"/>
      <c r="B9" s="16">
        <f t="shared" si="1"/>
        <v>7</v>
      </c>
      <c r="C9" s="74" t="s">
        <v>430</v>
      </c>
      <c r="D9" s="74">
        <v>37.0</v>
      </c>
      <c r="E9" s="74" t="s">
        <v>14</v>
      </c>
      <c r="F9" s="17"/>
      <c r="G9" s="17"/>
      <c r="H9" s="74" t="s">
        <v>431</v>
      </c>
    </row>
    <row r="10" ht="15.75" customHeight="1">
      <c r="A10" s="71"/>
      <c r="B10" s="16">
        <f t="shared" si="1"/>
        <v>8</v>
      </c>
      <c r="C10" s="74" t="s">
        <v>432</v>
      </c>
      <c r="D10" s="74">
        <v>47.0</v>
      </c>
      <c r="E10" s="17"/>
      <c r="F10" s="17"/>
      <c r="G10" s="17"/>
      <c r="H10" s="17"/>
    </row>
    <row r="11" ht="15.75" customHeight="1">
      <c r="A11" s="71"/>
      <c r="B11" s="16">
        <f t="shared" si="1"/>
        <v>9</v>
      </c>
      <c r="C11" s="74" t="s">
        <v>433</v>
      </c>
      <c r="D11" s="74">
        <v>47.0</v>
      </c>
      <c r="E11" s="17"/>
      <c r="F11" s="17"/>
      <c r="G11" s="17"/>
      <c r="H11" s="17"/>
    </row>
    <row r="12" ht="15.75" customHeight="1">
      <c r="A12" s="71"/>
      <c r="B12" s="16">
        <f t="shared" si="1"/>
        <v>10</v>
      </c>
      <c r="C12" s="74" t="s">
        <v>434</v>
      </c>
      <c r="D12" s="74">
        <v>13.0</v>
      </c>
      <c r="E12" s="17"/>
      <c r="F12" s="17"/>
      <c r="G12" s="17"/>
      <c r="H12" s="17"/>
    </row>
    <row r="13" ht="15.75" customHeight="1">
      <c r="A13" s="71"/>
      <c r="B13" s="16">
        <f t="shared" si="1"/>
        <v>11</v>
      </c>
      <c r="C13" s="74" t="s">
        <v>435</v>
      </c>
      <c r="D13" s="74">
        <v>10.0</v>
      </c>
      <c r="E13" s="17"/>
      <c r="F13" s="17"/>
      <c r="G13" s="17"/>
      <c r="H13" s="17"/>
    </row>
    <row r="14" ht="15.75" customHeight="1">
      <c r="A14" s="71"/>
      <c r="B14" s="16">
        <f t="shared" si="1"/>
        <v>12</v>
      </c>
      <c r="C14" s="74" t="s">
        <v>436</v>
      </c>
      <c r="D14" s="74">
        <v>17.0</v>
      </c>
      <c r="E14" s="17"/>
      <c r="F14" s="17"/>
      <c r="G14" s="17"/>
      <c r="H14" s="74" t="s">
        <v>437</v>
      </c>
    </row>
    <row r="15" ht="15.75" customHeight="1">
      <c r="A15" s="71"/>
      <c r="B15" s="16">
        <f t="shared" si="1"/>
        <v>13</v>
      </c>
      <c r="C15" s="74" t="s">
        <v>438</v>
      </c>
      <c r="D15" s="17"/>
      <c r="E15" s="17"/>
      <c r="F15" s="17"/>
      <c r="G15" s="17"/>
      <c r="H15" s="74" t="s">
        <v>439</v>
      </c>
    </row>
    <row r="16" ht="15.75" customHeight="1">
      <c r="A16" s="71"/>
      <c r="B16" s="16">
        <f t="shared" si="1"/>
        <v>14</v>
      </c>
      <c r="C16" s="74" t="s">
        <v>440</v>
      </c>
      <c r="D16" s="74">
        <v>39.0</v>
      </c>
      <c r="E16" s="17"/>
      <c r="F16" s="17"/>
      <c r="G16" s="74" t="s">
        <v>330</v>
      </c>
      <c r="H16" s="74" t="s">
        <v>441</v>
      </c>
    </row>
    <row r="17" ht="15.75" customHeight="1">
      <c r="A17" s="71"/>
      <c r="B17" s="16">
        <f t="shared" si="1"/>
        <v>15</v>
      </c>
      <c r="C17" s="74" t="s">
        <v>4365</v>
      </c>
      <c r="D17" s="74">
        <v>0.0</v>
      </c>
      <c r="E17" s="17"/>
      <c r="F17" s="17"/>
      <c r="G17" s="17"/>
      <c r="H17" s="17"/>
    </row>
    <row r="18" ht="15.75" customHeight="1">
      <c r="A18" s="71"/>
      <c r="B18" s="16">
        <f t="shared" si="1"/>
        <v>16</v>
      </c>
      <c r="C18" s="74" t="s">
        <v>442</v>
      </c>
      <c r="D18" s="74">
        <v>73.0</v>
      </c>
      <c r="E18" s="74" t="s">
        <v>14</v>
      </c>
      <c r="F18" s="17"/>
      <c r="G18" s="17"/>
      <c r="H18" s="74" t="s">
        <v>15</v>
      </c>
    </row>
    <row r="19" ht="15.75" customHeight="1">
      <c r="A19" s="71"/>
      <c r="B19" s="16">
        <f t="shared" si="1"/>
        <v>17</v>
      </c>
      <c r="C19" s="74" t="s">
        <v>443</v>
      </c>
      <c r="D19" s="74">
        <v>25.0</v>
      </c>
      <c r="E19" s="17"/>
      <c r="F19" s="17"/>
      <c r="G19" s="17"/>
      <c r="H19" s="17"/>
    </row>
    <row r="20" ht="15.75" customHeight="1">
      <c r="A20" s="71"/>
      <c r="B20" s="16">
        <f t="shared" si="1"/>
        <v>18</v>
      </c>
      <c r="C20" s="74" t="s">
        <v>444</v>
      </c>
      <c r="D20" s="74">
        <v>77.0</v>
      </c>
      <c r="E20" s="17"/>
      <c r="F20" s="17"/>
      <c r="G20" s="17"/>
      <c r="H20" s="17"/>
    </row>
    <row r="21" ht="15.75" customHeight="1">
      <c r="A21" s="71"/>
      <c r="B21" s="16">
        <f t="shared" si="1"/>
        <v>19</v>
      </c>
      <c r="C21" s="74" t="s">
        <v>4366</v>
      </c>
      <c r="D21" s="74">
        <v>0.0</v>
      </c>
      <c r="E21" s="17"/>
      <c r="F21" s="17"/>
      <c r="G21" s="17"/>
      <c r="H21" s="17"/>
    </row>
    <row r="22" ht="15.75" customHeight="1">
      <c r="A22" s="71"/>
      <c r="B22" s="16">
        <f t="shared" si="1"/>
        <v>20</v>
      </c>
      <c r="C22" s="74" t="s">
        <v>445</v>
      </c>
      <c r="D22" s="74">
        <v>54.0</v>
      </c>
      <c r="E22" s="17"/>
      <c r="F22" s="17"/>
      <c r="G22" s="17"/>
      <c r="H22" s="74" t="s">
        <v>446</v>
      </c>
    </row>
    <row r="23" ht="15.75" customHeight="1">
      <c r="A23" s="71"/>
      <c r="B23" s="16">
        <f t="shared" si="1"/>
        <v>21</v>
      </c>
      <c r="C23" s="74" t="s">
        <v>4367</v>
      </c>
      <c r="D23" s="74">
        <v>49.0</v>
      </c>
      <c r="E23" s="17"/>
      <c r="F23" s="17"/>
      <c r="G23" s="17"/>
      <c r="H23" s="17"/>
    </row>
    <row r="24" ht="15.75" customHeight="1">
      <c r="A24" s="71"/>
      <c r="B24" s="16">
        <f t="shared" si="1"/>
        <v>22</v>
      </c>
      <c r="C24" s="74" t="s">
        <v>4368</v>
      </c>
      <c r="D24" s="74">
        <v>42.0</v>
      </c>
      <c r="E24" s="17"/>
      <c r="F24" s="17"/>
      <c r="G24" s="17"/>
      <c r="H24" s="17"/>
    </row>
    <row r="25" ht="15.75" customHeight="1">
      <c r="A25" s="71"/>
      <c r="B25" s="16">
        <f t="shared" si="1"/>
        <v>23</v>
      </c>
      <c r="C25" s="74" t="s">
        <v>4369</v>
      </c>
      <c r="D25" s="74">
        <v>0.0</v>
      </c>
      <c r="E25" s="17"/>
      <c r="F25" s="17"/>
      <c r="G25" s="17"/>
      <c r="H25" s="17"/>
    </row>
    <row r="26" ht="15.75" customHeight="1">
      <c r="A26" s="71"/>
      <c r="B26" s="16">
        <f t="shared" si="1"/>
        <v>24</v>
      </c>
      <c r="C26" s="74" t="s">
        <v>4370</v>
      </c>
      <c r="D26" s="74">
        <v>1.0</v>
      </c>
      <c r="E26" s="17"/>
      <c r="F26" s="17"/>
      <c r="G26" s="17"/>
      <c r="H26" s="17"/>
    </row>
    <row r="27" ht="15.75" customHeight="1">
      <c r="A27" s="71"/>
      <c r="B27" s="16">
        <f t="shared" si="1"/>
        <v>25</v>
      </c>
      <c r="C27" s="74" t="s">
        <v>4371</v>
      </c>
      <c r="D27" s="74">
        <v>19.0</v>
      </c>
      <c r="E27" s="17"/>
      <c r="F27" s="17"/>
      <c r="G27" s="17"/>
      <c r="H27" s="17"/>
    </row>
    <row r="28" ht="15.75" customHeight="1">
      <c r="A28" s="71"/>
      <c r="B28" s="16">
        <f t="shared" si="1"/>
        <v>26</v>
      </c>
      <c r="C28" s="74" t="s">
        <v>4372</v>
      </c>
      <c r="D28" s="74">
        <v>4.0</v>
      </c>
      <c r="E28" s="17"/>
      <c r="F28" s="17"/>
      <c r="G28" s="17"/>
      <c r="H28" s="17"/>
    </row>
    <row r="29" ht="15.75" customHeight="1">
      <c r="A29" s="71"/>
      <c r="B29" s="16">
        <f t="shared" si="1"/>
        <v>27</v>
      </c>
      <c r="C29" s="74" t="s">
        <v>4373</v>
      </c>
      <c r="D29" s="74">
        <v>74.0</v>
      </c>
      <c r="E29" s="17"/>
      <c r="F29" s="17"/>
      <c r="G29" s="17"/>
      <c r="H29" s="17"/>
    </row>
    <row r="30" ht="15.75" customHeight="1">
      <c r="A30" s="71"/>
      <c r="B30" s="16">
        <f t="shared" si="1"/>
        <v>28</v>
      </c>
      <c r="C30" s="74" t="s">
        <v>4374</v>
      </c>
      <c r="D30" s="74">
        <v>9.0</v>
      </c>
      <c r="E30" s="17"/>
      <c r="F30" s="17"/>
      <c r="G30" s="17"/>
      <c r="H30" s="17"/>
    </row>
    <row r="31" ht="15.75" customHeight="1">
      <c r="A31" s="71"/>
      <c r="B31" s="16">
        <f t="shared" si="1"/>
        <v>29</v>
      </c>
      <c r="C31" s="74" t="s">
        <v>447</v>
      </c>
      <c r="D31" s="74">
        <v>9.0</v>
      </c>
      <c r="E31" s="74" t="s">
        <v>14</v>
      </c>
      <c r="F31" s="17"/>
      <c r="G31" s="17"/>
      <c r="H31" s="74" t="s">
        <v>448</v>
      </c>
    </row>
    <row r="32" ht="15.75" customHeight="1">
      <c r="A32" s="71"/>
      <c r="B32" s="16">
        <f t="shared" si="1"/>
        <v>30</v>
      </c>
      <c r="C32" s="74" t="s">
        <v>4375</v>
      </c>
      <c r="D32" s="74">
        <v>9.0</v>
      </c>
      <c r="E32" s="17"/>
      <c r="F32" s="17"/>
      <c r="G32" s="17"/>
      <c r="H32" s="17"/>
    </row>
    <row r="33" ht="15.75" customHeight="1">
      <c r="A33" s="71"/>
      <c r="B33" s="16">
        <f t="shared" si="1"/>
        <v>31</v>
      </c>
      <c r="C33" s="74" t="s">
        <v>4376</v>
      </c>
      <c r="D33" s="74">
        <v>43.0</v>
      </c>
      <c r="E33" s="17"/>
      <c r="F33" s="17"/>
      <c r="G33" s="17"/>
      <c r="H33" s="17"/>
    </row>
    <row r="34" ht="15.75" customHeight="1">
      <c r="A34" s="71"/>
      <c r="B34" s="16">
        <f t="shared" si="1"/>
        <v>32</v>
      </c>
      <c r="C34" s="74" t="s">
        <v>449</v>
      </c>
      <c r="D34" s="17"/>
      <c r="E34" s="17"/>
      <c r="F34" s="17"/>
      <c r="G34" s="17"/>
      <c r="H34" s="74" t="s">
        <v>450</v>
      </c>
    </row>
    <row r="35" ht="15.75" customHeight="1">
      <c r="A35" s="71"/>
      <c r="B35" s="16">
        <f t="shared" si="1"/>
        <v>33</v>
      </c>
      <c r="C35" s="74" t="s">
        <v>451</v>
      </c>
      <c r="D35" s="74">
        <v>9.0</v>
      </c>
      <c r="E35" s="17"/>
      <c r="F35" s="17"/>
      <c r="G35" s="17"/>
      <c r="H35" s="74" t="s">
        <v>452</v>
      </c>
    </row>
    <row r="36" ht="15.75" customHeight="1">
      <c r="A36" s="71"/>
      <c r="B36" s="16">
        <f t="shared" si="1"/>
        <v>34</v>
      </c>
      <c r="C36" s="74" t="s">
        <v>4377</v>
      </c>
      <c r="D36" s="74">
        <v>0.0</v>
      </c>
      <c r="E36" s="17"/>
      <c r="F36" s="17"/>
      <c r="G36" s="17"/>
      <c r="H36" s="17"/>
    </row>
    <row r="37" ht="15.75" customHeight="1">
      <c r="A37" s="71"/>
      <c r="B37" s="16">
        <f t="shared" si="1"/>
        <v>35</v>
      </c>
      <c r="C37" s="74" t="s">
        <v>453</v>
      </c>
      <c r="D37" s="74">
        <v>37.0</v>
      </c>
      <c r="E37" s="17"/>
      <c r="F37" s="17"/>
      <c r="G37" s="17"/>
      <c r="H37" s="74" t="s">
        <v>439</v>
      </c>
    </row>
    <row r="38" ht="15.75" customHeight="1">
      <c r="A38" s="71"/>
      <c r="B38" s="16">
        <f t="shared" si="1"/>
        <v>36</v>
      </c>
      <c r="C38" s="74" t="s">
        <v>454</v>
      </c>
      <c r="D38" s="74">
        <v>34.0</v>
      </c>
      <c r="E38" s="17"/>
      <c r="F38" s="17"/>
      <c r="G38" s="17"/>
      <c r="H38" s="74" t="s">
        <v>439</v>
      </c>
    </row>
    <row r="39" ht="15.75" customHeight="1">
      <c r="A39" s="71"/>
      <c r="B39" s="16">
        <f t="shared" si="1"/>
        <v>37</v>
      </c>
      <c r="C39" s="74" t="s">
        <v>455</v>
      </c>
      <c r="D39" s="74">
        <v>52.0</v>
      </c>
      <c r="E39" s="17"/>
      <c r="F39" s="17"/>
      <c r="G39" s="17"/>
      <c r="H39" s="74" t="s">
        <v>439</v>
      </c>
    </row>
    <row r="40" ht="15.75" customHeight="1">
      <c r="A40" s="71"/>
      <c r="B40" s="16">
        <f t="shared" si="1"/>
        <v>38</v>
      </c>
      <c r="C40" s="74" t="s">
        <v>456</v>
      </c>
      <c r="D40" s="74">
        <v>17.0</v>
      </c>
      <c r="E40" s="17"/>
      <c r="F40" s="17"/>
      <c r="G40" s="17"/>
      <c r="H40" s="74" t="s">
        <v>437</v>
      </c>
    </row>
    <row r="41" ht="15.75" customHeight="1">
      <c r="A41" s="71"/>
      <c r="B41" s="16">
        <f t="shared" si="1"/>
        <v>39</v>
      </c>
      <c r="C41" s="74" t="s">
        <v>457</v>
      </c>
      <c r="D41" s="17"/>
      <c r="E41" s="74" t="s">
        <v>14</v>
      </c>
      <c r="F41" s="17"/>
      <c r="G41" s="17"/>
      <c r="H41" s="74" t="s">
        <v>15</v>
      </c>
    </row>
    <row r="42" ht="15.75" customHeight="1">
      <c r="A42" s="71"/>
      <c r="B42" s="16">
        <f t="shared" si="1"/>
        <v>40</v>
      </c>
      <c r="C42" s="74" t="s">
        <v>4378</v>
      </c>
      <c r="D42" s="74">
        <v>52.0</v>
      </c>
      <c r="E42" s="17"/>
      <c r="F42" s="17"/>
      <c r="G42" s="17"/>
      <c r="H42" s="17"/>
    </row>
    <row r="43" ht="15.75" customHeight="1">
      <c r="A43" s="71"/>
      <c r="B43" s="16">
        <f t="shared" si="1"/>
        <v>41</v>
      </c>
      <c r="C43" s="74" t="s">
        <v>458</v>
      </c>
      <c r="D43" s="74">
        <v>17.0</v>
      </c>
      <c r="E43" s="74" t="s">
        <v>459</v>
      </c>
      <c r="F43" s="17"/>
      <c r="G43" s="17"/>
      <c r="H43" s="74" t="s">
        <v>15</v>
      </c>
    </row>
    <row r="44" ht="15.75" customHeight="1">
      <c r="A44" s="71"/>
      <c r="B44" s="16">
        <f t="shared" si="1"/>
        <v>42</v>
      </c>
      <c r="C44" s="74" t="s">
        <v>460</v>
      </c>
      <c r="D44" s="74">
        <v>18.0</v>
      </c>
      <c r="E44" s="17"/>
      <c r="F44" s="17"/>
      <c r="G44" s="17"/>
      <c r="H44" s="74" t="s">
        <v>437</v>
      </c>
    </row>
    <row r="45" ht="15.75" customHeight="1">
      <c r="A45" s="71"/>
      <c r="B45" s="16">
        <f t="shared" si="1"/>
        <v>43</v>
      </c>
      <c r="C45" s="74" t="s">
        <v>461</v>
      </c>
      <c r="D45" s="74">
        <v>54.0</v>
      </c>
      <c r="E45" s="17"/>
      <c r="F45" s="17"/>
      <c r="G45" s="17"/>
      <c r="H45" s="74" t="s">
        <v>439</v>
      </c>
    </row>
    <row r="46" ht="15.75" customHeight="1">
      <c r="A46" s="71"/>
      <c r="B46" s="16">
        <f t="shared" si="1"/>
        <v>44</v>
      </c>
      <c r="C46" s="74" t="s">
        <v>462</v>
      </c>
      <c r="D46" s="74">
        <v>65.0</v>
      </c>
      <c r="E46" s="17"/>
      <c r="F46" s="17"/>
      <c r="G46" s="17"/>
      <c r="H46" s="17"/>
    </row>
    <row r="47" ht="15.75" customHeight="1">
      <c r="A47" s="71"/>
      <c r="B47" s="16">
        <f t="shared" si="1"/>
        <v>45</v>
      </c>
      <c r="C47" s="74" t="s">
        <v>463</v>
      </c>
      <c r="D47" s="17"/>
      <c r="E47" s="17"/>
      <c r="F47" s="17"/>
      <c r="G47" s="17"/>
      <c r="H47" s="74" t="s">
        <v>464</v>
      </c>
    </row>
    <row r="48" ht="15.75" customHeight="1">
      <c r="A48" s="71"/>
      <c r="B48" s="16">
        <f t="shared" si="1"/>
        <v>46</v>
      </c>
      <c r="C48" s="74" t="s">
        <v>465</v>
      </c>
      <c r="D48" s="74">
        <v>65.0</v>
      </c>
      <c r="E48" s="17"/>
      <c r="F48" s="17"/>
      <c r="G48" s="74" t="s">
        <v>466</v>
      </c>
      <c r="H48" s="17"/>
    </row>
    <row r="49" ht="15.75" customHeight="1">
      <c r="A49" s="71"/>
      <c r="B49" s="16">
        <f t="shared" si="1"/>
        <v>47</v>
      </c>
      <c r="C49" s="74" t="s">
        <v>467</v>
      </c>
      <c r="D49" s="17"/>
      <c r="E49" s="17"/>
      <c r="F49" s="17"/>
      <c r="G49" s="17"/>
      <c r="H49" s="74" t="s">
        <v>468</v>
      </c>
    </row>
    <row r="50" ht="15.75" customHeight="1">
      <c r="A50" s="71"/>
      <c r="B50" s="16">
        <f t="shared" si="1"/>
        <v>48</v>
      </c>
      <c r="C50" s="74" t="s">
        <v>470</v>
      </c>
      <c r="D50" s="74">
        <v>72.0</v>
      </c>
      <c r="E50" s="17"/>
      <c r="F50" s="17"/>
      <c r="G50" s="17"/>
      <c r="H50" s="17"/>
    </row>
    <row r="51" ht="15.75" customHeight="1">
      <c r="A51" s="75"/>
      <c r="B51" s="16">
        <f t="shared" si="1"/>
        <v>49</v>
      </c>
      <c r="C51" s="76" t="s">
        <v>4379</v>
      </c>
      <c r="D51" s="76">
        <v>13.0</v>
      </c>
      <c r="E51" s="77"/>
      <c r="F51" s="77"/>
      <c r="G51" s="77"/>
      <c r="H51" s="77"/>
    </row>
    <row r="52" ht="15.75" customHeight="1">
      <c r="A52" s="71"/>
      <c r="B52" s="16">
        <f t="shared" si="1"/>
        <v>50</v>
      </c>
      <c r="C52" s="74" t="s">
        <v>4380</v>
      </c>
      <c r="D52" s="74">
        <v>13.0</v>
      </c>
      <c r="E52" s="17"/>
      <c r="F52" s="17"/>
      <c r="G52" s="17"/>
      <c r="H52" s="17"/>
    </row>
    <row r="53" ht="15.75" customHeight="1">
      <c r="A53" s="71"/>
      <c r="B53" s="16">
        <f t="shared" si="1"/>
        <v>51</v>
      </c>
      <c r="C53" s="74" t="s">
        <v>471</v>
      </c>
      <c r="D53" s="74">
        <v>6.0</v>
      </c>
      <c r="E53" s="74" t="s">
        <v>14</v>
      </c>
      <c r="F53" s="17"/>
      <c r="G53" s="17"/>
      <c r="H53" s="74" t="s">
        <v>472</v>
      </c>
    </row>
    <row r="54" ht="15.75" customHeight="1">
      <c r="A54" s="71"/>
      <c r="B54" s="16">
        <f t="shared" si="1"/>
        <v>52</v>
      </c>
      <c r="C54" s="74" t="s">
        <v>473</v>
      </c>
      <c r="D54" s="74">
        <v>15.0</v>
      </c>
      <c r="E54" s="17"/>
      <c r="F54" s="17"/>
      <c r="G54" s="17"/>
      <c r="H54" s="74" t="s">
        <v>474</v>
      </c>
    </row>
    <row r="55" ht="15.75" customHeight="1">
      <c r="A55" s="71"/>
      <c r="B55" s="16">
        <f t="shared" si="1"/>
        <v>53</v>
      </c>
      <c r="C55" s="74" t="s">
        <v>4381</v>
      </c>
      <c r="D55" s="74">
        <v>38.0</v>
      </c>
      <c r="E55" s="17"/>
      <c r="F55" s="17"/>
      <c r="G55" s="17"/>
      <c r="H55" s="17"/>
    </row>
    <row r="56" ht="15.75" customHeight="1">
      <c r="A56" s="71"/>
      <c r="B56" s="16">
        <f t="shared" si="1"/>
        <v>54</v>
      </c>
      <c r="C56" s="74" t="s">
        <v>475</v>
      </c>
      <c r="D56" s="17"/>
      <c r="E56" s="17"/>
      <c r="F56" s="17"/>
      <c r="G56" s="17"/>
      <c r="H56" s="74" t="s">
        <v>450</v>
      </c>
    </row>
    <row r="57" ht="15.75" customHeight="1">
      <c r="A57" s="71"/>
      <c r="B57" s="16">
        <f t="shared" si="1"/>
        <v>55</v>
      </c>
      <c r="C57" s="74" t="s">
        <v>4382</v>
      </c>
      <c r="D57" s="74">
        <v>4.0</v>
      </c>
      <c r="E57" s="17"/>
      <c r="F57" s="17"/>
      <c r="G57" s="17"/>
      <c r="H57" s="17"/>
    </row>
    <row r="58" ht="15.75" customHeight="1">
      <c r="A58" s="71"/>
      <c r="B58" s="16">
        <f t="shared" si="1"/>
        <v>56</v>
      </c>
      <c r="C58" s="74" t="s">
        <v>4383</v>
      </c>
      <c r="D58" s="74">
        <v>4.0</v>
      </c>
      <c r="E58" s="17"/>
      <c r="F58" s="17"/>
      <c r="G58" s="17"/>
      <c r="H58" s="17"/>
    </row>
    <row r="59" ht="15.75" customHeight="1">
      <c r="A59" s="71"/>
      <c r="B59" s="16">
        <f t="shared" si="1"/>
        <v>57</v>
      </c>
      <c r="C59" s="74" t="s">
        <v>476</v>
      </c>
      <c r="D59" s="74">
        <v>54.0</v>
      </c>
      <c r="E59" s="17"/>
      <c r="F59" s="17"/>
      <c r="G59" s="17"/>
      <c r="H59" s="74" t="s">
        <v>477</v>
      </c>
    </row>
    <row r="60" ht="15.75" customHeight="1">
      <c r="A60" s="71"/>
      <c r="B60" s="16">
        <f t="shared" si="1"/>
        <v>58</v>
      </c>
      <c r="C60" s="74" t="s">
        <v>478</v>
      </c>
      <c r="D60" s="74">
        <v>37.0</v>
      </c>
      <c r="E60" s="17"/>
      <c r="F60" s="17"/>
      <c r="G60" s="17"/>
      <c r="H60" s="17"/>
    </row>
    <row r="61" ht="15.75" customHeight="1">
      <c r="A61" s="71"/>
      <c r="B61" s="16">
        <f t="shared" si="1"/>
        <v>59</v>
      </c>
      <c r="C61" s="74" t="s">
        <v>479</v>
      </c>
      <c r="D61" s="74">
        <v>37.0</v>
      </c>
      <c r="E61" s="17"/>
      <c r="F61" s="17"/>
      <c r="G61" s="17"/>
      <c r="H61" s="17"/>
    </row>
    <row r="62" ht="15.75" customHeight="1">
      <c r="A62" s="71"/>
      <c r="B62" s="16">
        <f t="shared" si="1"/>
        <v>60</v>
      </c>
      <c r="C62" s="74" t="s">
        <v>4384</v>
      </c>
      <c r="D62" s="74">
        <v>38.0</v>
      </c>
      <c r="E62" s="17"/>
      <c r="F62" s="17"/>
      <c r="G62" s="17"/>
      <c r="H62" s="17"/>
    </row>
    <row r="63" ht="15.75" customHeight="1">
      <c r="A63" s="71"/>
      <c r="B63" s="16">
        <f t="shared" si="1"/>
        <v>61</v>
      </c>
      <c r="C63" s="74" t="s">
        <v>480</v>
      </c>
      <c r="D63" s="74">
        <v>42.0</v>
      </c>
      <c r="E63" s="17"/>
      <c r="F63" s="17"/>
      <c r="G63" s="17"/>
      <c r="H63" s="17"/>
    </row>
    <row r="64" ht="15.75" customHeight="1">
      <c r="A64" s="71"/>
      <c r="B64" s="16">
        <f t="shared" si="1"/>
        <v>62</v>
      </c>
      <c r="C64" s="74" t="s">
        <v>481</v>
      </c>
      <c r="D64" s="74">
        <v>30.0</v>
      </c>
      <c r="E64" s="17"/>
      <c r="F64" s="17"/>
      <c r="G64" s="17"/>
      <c r="H64" s="74" t="s">
        <v>482</v>
      </c>
    </row>
    <row r="65" ht="15.75" customHeight="1">
      <c r="A65" s="71"/>
      <c r="B65" s="16">
        <f t="shared" si="1"/>
        <v>63</v>
      </c>
      <c r="C65" s="74" t="s">
        <v>483</v>
      </c>
      <c r="D65" s="74">
        <v>65.0</v>
      </c>
      <c r="E65" s="17"/>
      <c r="F65" s="17"/>
      <c r="G65" s="17"/>
      <c r="H65" s="74" t="s">
        <v>484</v>
      </c>
    </row>
    <row r="66" ht="15.75" customHeight="1">
      <c r="A66" s="71"/>
      <c r="B66" s="16">
        <f t="shared" si="1"/>
        <v>64</v>
      </c>
      <c r="C66" s="74" t="s">
        <v>485</v>
      </c>
      <c r="D66" s="74">
        <v>37.0</v>
      </c>
      <c r="E66" s="74" t="s">
        <v>14</v>
      </c>
      <c r="F66" s="17"/>
      <c r="G66" s="17"/>
      <c r="H66" s="74" t="s">
        <v>486</v>
      </c>
    </row>
    <row r="67" ht="15.75" customHeight="1">
      <c r="A67" s="71"/>
      <c r="B67" s="16">
        <f t="shared" si="1"/>
        <v>65</v>
      </c>
      <c r="C67" s="74" t="s">
        <v>487</v>
      </c>
      <c r="D67" s="74">
        <v>37.0</v>
      </c>
      <c r="E67" s="74" t="s">
        <v>14</v>
      </c>
      <c r="F67" s="17"/>
      <c r="G67" s="17"/>
      <c r="H67" s="74" t="s">
        <v>488</v>
      </c>
    </row>
    <row r="68" ht="15.75" customHeight="1">
      <c r="A68" s="71"/>
      <c r="B68" s="16">
        <f t="shared" si="1"/>
        <v>66</v>
      </c>
      <c r="C68" s="74" t="s">
        <v>489</v>
      </c>
      <c r="D68" s="74">
        <v>37.0</v>
      </c>
      <c r="E68" s="17"/>
      <c r="F68" s="17"/>
      <c r="G68" s="74" t="s">
        <v>330</v>
      </c>
      <c r="H68" s="74" t="s">
        <v>441</v>
      </c>
    </row>
    <row r="69" ht="15.75" customHeight="1">
      <c r="A69" s="71"/>
      <c r="B69" s="16">
        <f t="shared" si="1"/>
        <v>67</v>
      </c>
      <c r="C69" s="74" t="s">
        <v>490</v>
      </c>
      <c r="D69" s="74">
        <v>74.0</v>
      </c>
      <c r="E69" s="17"/>
      <c r="F69" s="17"/>
      <c r="G69" s="17"/>
      <c r="H69" s="74" t="s">
        <v>425</v>
      </c>
    </row>
    <row r="70" ht="15.75" customHeight="1">
      <c r="A70" s="71"/>
      <c r="B70" s="16">
        <f t="shared" si="1"/>
        <v>68</v>
      </c>
      <c r="C70" s="74" t="s">
        <v>492</v>
      </c>
      <c r="D70" s="74">
        <v>62.0</v>
      </c>
      <c r="E70" s="17"/>
      <c r="F70" s="17"/>
      <c r="G70" s="17"/>
      <c r="H70" s="17"/>
    </row>
    <row r="71" ht="15.75" customHeight="1">
      <c r="A71" s="71"/>
      <c r="B71" s="16">
        <f t="shared" si="1"/>
        <v>69</v>
      </c>
      <c r="C71" s="74" t="s">
        <v>493</v>
      </c>
      <c r="D71" s="74">
        <v>55.0</v>
      </c>
      <c r="E71" s="17"/>
      <c r="F71" s="17"/>
      <c r="G71" s="17"/>
      <c r="H71" s="17"/>
    </row>
    <row r="72" ht="15.75" customHeight="1">
      <c r="A72" s="71"/>
      <c r="B72" s="16">
        <f t="shared" si="1"/>
        <v>70</v>
      </c>
      <c r="C72" s="74" t="s">
        <v>494</v>
      </c>
      <c r="D72" s="74">
        <v>6.0</v>
      </c>
      <c r="E72" s="17"/>
      <c r="F72" s="17"/>
      <c r="G72" s="17"/>
      <c r="H72" s="17"/>
    </row>
    <row r="73" ht="15.75" customHeight="1">
      <c r="A73" s="75"/>
      <c r="B73" s="16">
        <f t="shared" si="1"/>
        <v>71</v>
      </c>
      <c r="C73" s="76" t="s">
        <v>495</v>
      </c>
      <c r="D73" s="77"/>
      <c r="E73" s="77"/>
      <c r="F73" s="77"/>
      <c r="G73" s="77"/>
      <c r="H73" s="76" t="s">
        <v>450</v>
      </c>
    </row>
    <row r="74" ht="15.75" customHeight="1">
      <c r="A74" s="75"/>
      <c r="B74" s="16">
        <f t="shared" si="1"/>
        <v>72</v>
      </c>
      <c r="C74" s="76" t="s">
        <v>496</v>
      </c>
      <c r="D74" s="76">
        <v>53.0</v>
      </c>
      <c r="E74" s="77"/>
      <c r="F74" s="77"/>
      <c r="G74" s="77"/>
      <c r="H74" s="76" t="s">
        <v>497</v>
      </c>
    </row>
    <row r="75" ht="15.75" customHeight="1">
      <c r="A75" s="75"/>
      <c r="B75" s="16">
        <f t="shared" si="1"/>
        <v>73</v>
      </c>
      <c r="C75" s="76" t="s">
        <v>498</v>
      </c>
      <c r="D75" s="77"/>
      <c r="E75" s="77"/>
      <c r="F75" s="77"/>
      <c r="G75" s="77"/>
      <c r="H75" s="76" t="s">
        <v>499</v>
      </c>
    </row>
    <row r="76" ht="15.75" customHeight="1">
      <c r="A76" s="71"/>
      <c r="B76" s="16">
        <f t="shared" si="1"/>
        <v>74</v>
      </c>
      <c r="C76" s="74" t="s">
        <v>500</v>
      </c>
      <c r="D76" s="74">
        <v>53.0</v>
      </c>
      <c r="E76" s="17"/>
      <c r="F76" s="17"/>
      <c r="G76" s="17"/>
      <c r="H76" s="17"/>
    </row>
    <row r="77" ht="15.75" customHeight="1">
      <c r="A77" s="71"/>
      <c r="B77" s="16">
        <f t="shared" si="1"/>
        <v>75</v>
      </c>
      <c r="C77" s="74" t="s">
        <v>501</v>
      </c>
      <c r="D77" s="74">
        <v>7.0</v>
      </c>
      <c r="E77" s="17"/>
      <c r="F77" s="17"/>
      <c r="G77" s="74" t="s">
        <v>330</v>
      </c>
      <c r="H77" s="74" t="s">
        <v>452</v>
      </c>
    </row>
    <row r="78" ht="15.75" customHeight="1">
      <c r="A78" s="71"/>
      <c r="B78" s="16">
        <f t="shared" si="1"/>
        <v>76</v>
      </c>
      <c r="C78" s="74" t="s">
        <v>502</v>
      </c>
      <c r="D78" s="74">
        <v>5.0</v>
      </c>
      <c r="E78" s="17"/>
      <c r="F78" s="17"/>
      <c r="G78" s="17"/>
      <c r="H78" s="74" t="s">
        <v>474</v>
      </c>
    </row>
    <row r="79" ht="15.75" customHeight="1">
      <c r="A79" s="71"/>
      <c r="B79" s="16">
        <f t="shared" si="1"/>
        <v>77</v>
      </c>
      <c r="C79" s="74" t="s">
        <v>503</v>
      </c>
      <c r="D79" s="74">
        <v>54.0</v>
      </c>
      <c r="E79" s="74" t="s">
        <v>504</v>
      </c>
      <c r="F79" s="17"/>
      <c r="G79" s="17"/>
      <c r="H79" s="74" t="s">
        <v>15</v>
      </c>
    </row>
    <row r="80" ht="15.75" customHeight="1">
      <c r="A80" s="71"/>
      <c r="B80" s="16">
        <f t="shared" si="1"/>
        <v>78</v>
      </c>
      <c r="C80" s="74" t="s">
        <v>505</v>
      </c>
      <c r="D80" s="17"/>
      <c r="E80" s="17"/>
      <c r="F80" s="17"/>
      <c r="G80" s="17"/>
      <c r="H80" s="74" t="s">
        <v>477</v>
      </c>
    </row>
    <row r="81" ht="15.75" customHeight="1">
      <c r="A81" s="71"/>
      <c r="B81" s="16">
        <f t="shared" si="1"/>
        <v>79</v>
      </c>
      <c r="C81" s="74" t="s">
        <v>506</v>
      </c>
      <c r="D81" s="17"/>
      <c r="E81" s="17"/>
      <c r="F81" s="17"/>
      <c r="G81" s="17"/>
      <c r="H81" s="74" t="s">
        <v>450</v>
      </c>
    </row>
    <row r="82" ht="15.75" customHeight="1">
      <c r="A82" s="71"/>
      <c r="B82" s="16">
        <f t="shared" si="1"/>
        <v>80</v>
      </c>
      <c r="C82" s="74" t="s">
        <v>507</v>
      </c>
      <c r="D82" s="17"/>
      <c r="E82" s="17"/>
      <c r="F82" s="17"/>
      <c r="G82" s="17"/>
      <c r="H82" s="17"/>
    </row>
    <row r="83" ht="15.75" customHeight="1">
      <c r="A83" s="71"/>
      <c r="B83" s="16">
        <f t="shared" si="1"/>
        <v>81</v>
      </c>
      <c r="C83" s="74" t="s">
        <v>508</v>
      </c>
      <c r="D83" s="74">
        <v>68.0</v>
      </c>
      <c r="E83" s="17"/>
      <c r="F83" s="17"/>
      <c r="G83" s="74" t="s">
        <v>509</v>
      </c>
      <c r="H83" s="17"/>
    </row>
    <row r="84" ht="15.75" customHeight="1">
      <c r="A84" s="71"/>
      <c r="B84" s="16">
        <f t="shared" si="1"/>
        <v>82</v>
      </c>
      <c r="C84" s="74" t="s">
        <v>510</v>
      </c>
      <c r="D84" s="74">
        <v>21.0</v>
      </c>
      <c r="E84" s="17"/>
      <c r="F84" s="17"/>
      <c r="G84" s="74" t="s">
        <v>330</v>
      </c>
      <c r="H84" s="17"/>
    </row>
    <row r="85" ht="15.75" customHeight="1">
      <c r="A85" s="71"/>
      <c r="B85" s="16">
        <f t="shared" si="1"/>
        <v>83</v>
      </c>
      <c r="C85" s="74" t="s">
        <v>511</v>
      </c>
      <c r="D85" s="74">
        <v>33.0</v>
      </c>
      <c r="E85" s="17"/>
      <c r="F85" s="17"/>
      <c r="G85" s="17"/>
      <c r="H85" s="17"/>
    </row>
    <row r="86" ht="15.75" customHeight="1">
      <c r="A86" s="71"/>
      <c r="B86" s="16">
        <f t="shared" si="1"/>
        <v>84</v>
      </c>
      <c r="C86" s="74" t="s">
        <v>512</v>
      </c>
      <c r="D86" s="17"/>
      <c r="E86" s="74" t="s">
        <v>14</v>
      </c>
      <c r="F86" s="17"/>
      <c r="G86" s="17"/>
      <c r="H86" s="74" t="s">
        <v>513</v>
      </c>
    </row>
    <row r="87" ht="15.75" customHeight="1">
      <c r="A87" s="71"/>
      <c r="B87" s="16">
        <f t="shared" si="1"/>
        <v>85</v>
      </c>
      <c r="C87" s="74" t="s">
        <v>514</v>
      </c>
      <c r="D87" s="17"/>
      <c r="E87" s="17"/>
      <c r="F87" s="17"/>
      <c r="G87" s="17"/>
      <c r="H87" s="74" t="s">
        <v>450</v>
      </c>
    </row>
    <row r="88" ht="15.75" customHeight="1">
      <c r="A88" s="71"/>
      <c r="B88" s="16">
        <f t="shared" si="1"/>
        <v>86</v>
      </c>
      <c r="C88" s="74" t="s">
        <v>515</v>
      </c>
      <c r="D88" s="74">
        <v>49.0</v>
      </c>
      <c r="E88" s="17"/>
      <c r="F88" s="17"/>
      <c r="G88" s="17"/>
      <c r="H88" s="74" t="s">
        <v>516</v>
      </c>
    </row>
    <row r="89" ht="15.75" customHeight="1">
      <c r="A89" s="71"/>
      <c r="B89" s="16">
        <f t="shared" si="1"/>
        <v>87</v>
      </c>
      <c r="C89" s="74" t="s">
        <v>517</v>
      </c>
      <c r="D89" s="74">
        <v>62.0</v>
      </c>
      <c r="E89" s="17"/>
      <c r="F89" s="17"/>
      <c r="G89" s="17"/>
      <c r="H89" s="17"/>
    </row>
    <row r="90" ht="15.75" customHeight="1">
      <c r="A90" s="71"/>
      <c r="B90" s="16">
        <f t="shared" si="1"/>
        <v>88</v>
      </c>
      <c r="C90" s="74" t="s">
        <v>518</v>
      </c>
      <c r="D90" s="74">
        <v>26.0</v>
      </c>
      <c r="E90" s="17"/>
      <c r="F90" s="17"/>
      <c r="G90" s="17"/>
      <c r="H90" s="74" t="s">
        <v>474</v>
      </c>
    </row>
    <row r="91" ht="15.75" customHeight="1">
      <c r="A91" s="71"/>
      <c r="B91" s="16">
        <f t="shared" si="1"/>
        <v>89</v>
      </c>
      <c r="C91" s="74" t="s">
        <v>519</v>
      </c>
      <c r="D91" s="74">
        <v>41.0</v>
      </c>
      <c r="E91" s="17"/>
      <c r="F91" s="17"/>
      <c r="G91" s="17"/>
      <c r="H91" s="74" t="s">
        <v>520</v>
      </c>
    </row>
    <row r="92" ht="15.75" customHeight="1">
      <c r="A92" s="71"/>
      <c r="B92" s="16">
        <f t="shared" si="1"/>
        <v>90</v>
      </c>
      <c r="C92" s="74" t="s">
        <v>521</v>
      </c>
      <c r="D92" s="74">
        <v>13.0</v>
      </c>
      <c r="E92" s="17"/>
      <c r="F92" s="17"/>
      <c r="G92" s="17"/>
      <c r="H92" s="17"/>
    </row>
    <row r="93" ht="15.75" customHeight="1">
      <c r="A93" s="71"/>
      <c r="B93" s="16">
        <f t="shared" si="1"/>
        <v>91</v>
      </c>
      <c r="C93" s="74" t="s">
        <v>522</v>
      </c>
      <c r="D93" s="74">
        <v>12.0</v>
      </c>
      <c r="E93" s="17"/>
      <c r="F93" s="17"/>
      <c r="G93" s="74" t="s">
        <v>346</v>
      </c>
      <c r="H93" s="74" t="s">
        <v>452</v>
      </c>
    </row>
    <row r="94" ht="15.75" customHeight="1">
      <c r="A94" s="71"/>
      <c r="B94" s="16">
        <f t="shared" si="1"/>
        <v>92</v>
      </c>
      <c r="C94" s="74" t="s">
        <v>523</v>
      </c>
      <c r="D94" s="74">
        <v>13.0</v>
      </c>
      <c r="E94" s="17"/>
      <c r="F94" s="17"/>
      <c r="G94" s="17"/>
      <c r="H94" s="17"/>
    </row>
    <row r="95" ht="15.75" customHeight="1">
      <c r="A95" s="71"/>
      <c r="B95" s="16">
        <f t="shared" si="1"/>
        <v>93</v>
      </c>
      <c r="C95" s="74" t="s">
        <v>524</v>
      </c>
      <c r="D95" s="17"/>
      <c r="E95" s="17"/>
      <c r="F95" s="17"/>
      <c r="G95" s="17"/>
      <c r="H95" s="74" t="s">
        <v>525</v>
      </c>
    </row>
    <row r="96" ht="15.75" customHeight="1">
      <c r="A96" s="71"/>
      <c r="B96" s="16">
        <f t="shared" si="1"/>
        <v>94</v>
      </c>
      <c r="C96" s="74" t="s">
        <v>526</v>
      </c>
      <c r="D96" s="74">
        <v>30.0</v>
      </c>
      <c r="E96" s="17"/>
      <c r="F96" s="17"/>
      <c r="G96" s="17"/>
      <c r="H96" s="17"/>
    </row>
    <row r="97" ht="15.75" customHeight="1">
      <c r="A97" s="71"/>
      <c r="B97" s="16">
        <f t="shared" si="1"/>
        <v>95</v>
      </c>
      <c r="C97" s="74" t="s">
        <v>527</v>
      </c>
      <c r="D97" s="17"/>
      <c r="E97" s="17"/>
      <c r="F97" s="17"/>
      <c r="G97" s="17"/>
      <c r="H97" s="74" t="s">
        <v>452</v>
      </c>
    </row>
    <row r="98" ht="15.75" customHeight="1">
      <c r="A98" s="71"/>
      <c r="B98" s="16">
        <f t="shared" si="1"/>
        <v>96</v>
      </c>
      <c r="C98" s="74" t="s">
        <v>528</v>
      </c>
      <c r="D98" s="74">
        <v>40.0</v>
      </c>
      <c r="E98" s="17"/>
      <c r="F98" s="17"/>
      <c r="G98" s="17"/>
      <c r="H98" s="17"/>
    </row>
    <row r="99" ht="15.75" customHeight="1">
      <c r="A99" s="71"/>
      <c r="B99" s="16">
        <f t="shared" si="1"/>
        <v>97</v>
      </c>
      <c r="C99" s="74" t="s">
        <v>529</v>
      </c>
      <c r="D99" s="17"/>
      <c r="E99" s="17"/>
      <c r="F99" s="17"/>
      <c r="G99" s="17"/>
      <c r="H99" s="74" t="s">
        <v>477</v>
      </c>
    </row>
    <row r="100" ht="15.75" customHeight="1">
      <c r="A100" s="71"/>
      <c r="B100" s="16">
        <f t="shared" si="1"/>
        <v>98</v>
      </c>
      <c r="C100" s="74" t="s">
        <v>530</v>
      </c>
      <c r="D100" s="74">
        <v>29.0</v>
      </c>
      <c r="E100" s="17"/>
      <c r="F100" s="17"/>
      <c r="G100" s="17"/>
      <c r="H100" s="74" t="s">
        <v>474</v>
      </c>
    </row>
    <row r="101" ht="15.75" customHeight="1">
      <c r="A101" s="71"/>
      <c r="B101" s="16">
        <f t="shared" si="1"/>
        <v>99</v>
      </c>
      <c r="C101" s="74" t="s">
        <v>531</v>
      </c>
      <c r="D101" s="74">
        <v>29.0</v>
      </c>
      <c r="E101" s="17"/>
      <c r="F101" s="17"/>
      <c r="G101" s="17"/>
      <c r="H101" s="74" t="s">
        <v>516</v>
      </c>
    </row>
    <row r="102" ht="15.75" customHeight="1">
      <c r="A102" s="71"/>
      <c r="B102" s="16">
        <f t="shared" si="1"/>
        <v>100</v>
      </c>
      <c r="C102" s="74" t="s">
        <v>532</v>
      </c>
      <c r="D102" s="74">
        <v>25.0</v>
      </c>
      <c r="E102" s="17"/>
      <c r="F102" s="17"/>
      <c r="G102" s="17"/>
      <c r="H102" s="17"/>
    </row>
    <row r="103" ht="15.75" customHeight="1">
      <c r="A103" s="71"/>
      <c r="B103" s="16">
        <f t="shared" si="1"/>
        <v>101</v>
      </c>
      <c r="C103" s="74" t="s">
        <v>533</v>
      </c>
      <c r="D103" s="74">
        <v>26.0</v>
      </c>
      <c r="E103" s="17"/>
      <c r="F103" s="17"/>
      <c r="G103" s="17"/>
      <c r="H103" s="74" t="s">
        <v>534</v>
      </c>
    </row>
    <row r="104" ht="15.75" customHeight="1">
      <c r="A104" s="71"/>
      <c r="B104" s="16">
        <f t="shared" si="1"/>
        <v>102</v>
      </c>
      <c r="C104" s="74" t="s">
        <v>4385</v>
      </c>
      <c r="D104" s="74">
        <v>0.0</v>
      </c>
      <c r="E104" s="17"/>
      <c r="F104" s="17"/>
      <c r="G104" s="17"/>
      <c r="H104" s="17"/>
    </row>
    <row r="105" ht="15.75" customHeight="1">
      <c r="A105" s="71"/>
      <c r="B105" s="16">
        <f t="shared" si="1"/>
        <v>103</v>
      </c>
      <c r="C105" s="74" t="s">
        <v>4386</v>
      </c>
      <c r="D105" s="74">
        <v>25.0</v>
      </c>
      <c r="E105" s="17"/>
      <c r="F105" s="17"/>
      <c r="G105" s="17"/>
      <c r="H105" s="17"/>
    </row>
    <row r="106" ht="15.75" customHeight="1">
      <c r="A106" s="71"/>
      <c r="B106" s="16">
        <f t="shared" si="1"/>
        <v>104</v>
      </c>
      <c r="C106" s="74" t="s">
        <v>4387</v>
      </c>
      <c r="D106" s="74">
        <v>0.0</v>
      </c>
      <c r="E106" s="17"/>
      <c r="F106" s="17"/>
      <c r="G106" s="17"/>
      <c r="H106" s="17"/>
    </row>
    <row r="107" ht="15.75" customHeight="1">
      <c r="A107" s="71"/>
      <c r="B107" s="16">
        <f t="shared" si="1"/>
        <v>105</v>
      </c>
      <c r="C107" s="74" t="s">
        <v>536</v>
      </c>
      <c r="D107" s="17"/>
      <c r="E107" s="17"/>
      <c r="F107" s="17"/>
      <c r="G107" s="17"/>
      <c r="H107" s="74" t="s">
        <v>468</v>
      </c>
    </row>
    <row r="108" ht="15.75" customHeight="1">
      <c r="A108" s="71"/>
      <c r="B108" s="16">
        <f t="shared" si="1"/>
        <v>106</v>
      </c>
      <c r="C108" s="74" t="s">
        <v>4388</v>
      </c>
      <c r="D108" s="74">
        <v>13.0</v>
      </c>
      <c r="E108" s="17"/>
      <c r="F108" s="17"/>
      <c r="G108" s="17"/>
      <c r="H108" s="17"/>
    </row>
    <row r="109" ht="15.75" customHeight="1">
      <c r="A109" s="71"/>
      <c r="B109" s="16">
        <f t="shared" si="1"/>
        <v>107</v>
      </c>
      <c r="C109" s="74" t="s">
        <v>4389</v>
      </c>
      <c r="D109" s="74">
        <v>41.0</v>
      </c>
      <c r="E109" s="17"/>
      <c r="F109" s="17"/>
      <c r="G109" s="17"/>
      <c r="H109" s="17"/>
    </row>
    <row r="110" ht="15.75" customHeight="1">
      <c r="A110" s="71"/>
      <c r="B110" s="16">
        <f t="shared" si="1"/>
        <v>108</v>
      </c>
      <c r="C110" s="74" t="s">
        <v>4390</v>
      </c>
      <c r="D110" s="74">
        <v>55.0</v>
      </c>
      <c r="E110" s="17"/>
      <c r="F110" s="17"/>
      <c r="G110" s="17"/>
      <c r="H110" s="17"/>
    </row>
    <row r="111" ht="15.75" customHeight="1">
      <c r="A111" s="71"/>
      <c r="B111" s="16">
        <f t="shared" si="1"/>
        <v>109</v>
      </c>
      <c r="C111" s="74" t="s">
        <v>4391</v>
      </c>
      <c r="D111" s="74">
        <v>0.0</v>
      </c>
      <c r="E111" s="17"/>
      <c r="F111" s="17"/>
      <c r="G111" s="17"/>
      <c r="H111" s="17"/>
    </row>
    <row r="112" ht="15.75" customHeight="1">
      <c r="A112" s="71"/>
      <c r="B112" s="16">
        <f t="shared" si="1"/>
        <v>110</v>
      </c>
      <c r="C112" s="74" t="s">
        <v>537</v>
      </c>
      <c r="D112" s="74">
        <v>14.0</v>
      </c>
      <c r="E112" s="17"/>
      <c r="F112" s="17"/>
      <c r="G112" s="74" t="s">
        <v>330</v>
      </c>
      <c r="H112" s="74" t="s">
        <v>441</v>
      </c>
    </row>
    <row r="113" ht="15.75" customHeight="1">
      <c r="A113" s="71"/>
      <c r="B113" s="16">
        <f t="shared" si="1"/>
        <v>111</v>
      </c>
      <c r="C113" s="74" t="s">
        <v>538</v>
      </c>
      <c r="D113" s="74">
        <v>94.0</v>
      </c>
      <c r="E113" s="17"/>
      <c r="F113" s="17"/>
      <c r="G113" s="17"/>
      <c r="H113" s="74" t="s">
        <v>439</v>
      </c>
    </row>
    <row r="114" ht="15.75" customHeight="1">
      <c r="A114" s="71"/>
      <c r="B114" s="16">
        <f t="shared" si="1"/>
        <v>112</v>
      </c>
      <c r="C114" s="74" t="s">
        <v>539</v>
      </c>
      <c r="D114" s="74">
        <v>73.0</v>
      </c>
      <c r="E114" s="74" t="s">
        <v>14</v>
      </c>
      <c r="F114" s="17"/>
      <c r="G114" s="17"/>
      <c r="H114" s="74" t="s">
        <v>540</v>
      </c>
    </row>
    <row r="115" ht="15.75" customHeight="1">
      <c r="A115" s="71"/>
      <c r="B115" s="16">
        <f t="shared" si="1"/>
        <v>113</v>
      </c>
      <c r="C115" s="74" t="s">
        <v>546</v>
      </c>
      <c r="D115" s="17"/>
      <c r="E115" s="17"/>
      <c r="F115" s="17"/>
      <c r="G115" s="17"/>
      <c r="H115" s="74" t="s">
        <v>547</v>
      </c>
    </row>
    <row r="116" ht="15.75" customHeight="1">
      <c r="A116" s="71"/>
      <c r="B116" s="16">
        <f t="shared" si="1"/>
        <v>114</v>
      </c>
      <c r="C116" s="74" t="s">
        <v>548</v>
      </c>
      <c r="D116" s="74">
        <v>65.0</v>
      </c>
      <c r="E116" s="74" t="s">
        <v>14</v>
      </c>
      <c r="F116" s="17"/>
      <c r="G116" s="17"/>
      <c r="H116" s="74" t="s">
        <v>549</v>
      </c>
    </row>
    <row r="117" ht="15.75" customHeight="1">
      <c r="A117" s="71"/>
      <c r="B117" s="16">
        <f t="shared" si="1"/>
        <v>115</v>
      </c>
      <c r="C117" s="74" t="s">
        <v>541</v>
      </c>
      <c r="D117" s="17"/>
      <c r="E117" s="17"/>
      <c r="F117" s="17"/>
      <c r="G117" s="17"/>
      <c r="H117" s="74" t="s">
        <v>469</v>
      </c>
    </row>
    <row r="118" ht="15.75" customHeight="1">
      <c r="A118" s="71"/>
      <c r="B118" s="16">
        <f t="shared" si="1"/>
        <v>116</v>
      </c>
      <c r="C118" s="74" t="s">
        <v>550</v>
      </c>
      <c r="D118" s="74">
        <v>47.0</v>
      </c>
      <c r="E118" s="17"/>
      <c r="F118" s="17"/>
      <c r="G118" s="17"/>
      <c r="H118" s="17"/>
    </row>
    <row r="119" ht="15.75" customHeight="1">
      <c r="A119" s="71"/>
      <c r="B119" s="16">
        <f t="shared" si="1"/>
        <v>117</v>
      </c>
      <c r="C119" s="74" t="s">
        <v>542</v>
      </c>
      <c r="D119" s="74">
        <v>17.0</v>
      </c>
      <c r="E119" s="17"/>
      <c r="F119" s="17"/>
      <c r="G119" s="17"/>
      <c r="H119" s="17"/>
    </row>
    <row r="120" ht="15.75" customHeight="1">
      <c r="A120" s="71"/>
      <c r="B120" s="16">
        <f t="shared" si="1"/>
        <v>118</v>
      </c>
      <c r="C120" s="74" t="s">
        <v>551</v>
      </c>
      <c r="D120" s="74">
        <v>12.0</v>
      </c>
      <c r="E120" s="17"/>
      <c r="F120" s="17"/>
      <c r="G120" s="17"/>
      <c r="H120" s="17"/>
    </row>
    <row r="121" ht="15.75" customHeight="1">
      <c r="A121" s="71"/>
      <c r="B121" s="16">
        <f t="shared" si="1"/>
        <v>119</v>
      </c>
      <c r="C121" s="74" t="s">
        <v>543</v>
      </c>
      <c r="D121" s="74">
        <v>12.0</v>
      </c>
      <c r="E121" s="17"/>
      <c r="F121" s="17"/>
      <c r="G121" s="17"/>
      <c r="H121" s="74" t="s">
        <v>452</v>
      </c>
    </row>
    <row r="122" ht="15.75" customHeight="1">
      <c r="A122" s="71"/>
      <c r="B122" s="16">
        <f t="shared" si="1"/>
        <v>120</v>
      </c>
      <c r="C122" s="74" t="s">
        <v>544</v>
      </c>
      <c r="D122" s="74">
        <v>12.0</v>
      </c>
      <c r="E122" s="17"/>
      <c r="F122" s="17"/>
      <c r="G122" s="74" t="s">
        <v>545</v>
      </c>
      <c r="H122" s="74" t="s">
        <v>452</v>
      </c>
    </row>
    <row r="123" ht="15.75" customHeight="1">
      <c r="A123" s="71"/>
      <c r="B123" s="16">
        <f t="shared" si="1"/>
        <v>121</v>
      </c>
      <c r="C123" s="74" t="s">
        <v>552</v>
      </c>
      <c r="D123" s="74">
        <v>65.0</v>
      </c>
      <c r="E123" s="17"/>
      <c r="F123" s="17"/>
      <c r="G123" s="17"/>
      <c r="H123" s="74" t="s">
        <v>553</v>
      </c>
    </row>
    <row r="124" ht="15.75" customHeight="1">
      <c r="A124" s="71"/>
      <c r="B124" s="16">
        <f t="shared" si="1"/>
        <v>122</v>
      </c>
      <c r="C124" s="74" t="s">
        <v>554</v>
      </c>
      <c r="D124" s="74">
        <v>42.0</v>
      </c>
      <c r="E124" s="17"/>
      <c r="F124" s="17"/>
      <c r="G124" s="17"/>
      <c r="H124" s="74" t="s">
        <v>482</v>
      </c>
    </row>
    <row r="125" ht="15.75" customHeight="1">
      <c r="A125" s="71"/>
      <c r="B125" s="16">
        <f t="shared" si="1"/>
        <v>123</v>
      </c>
      <c r="C125" s="74" t="s">
        <v>555</v>
      </c>
      <c r="D125" s="74">
        <v>42.0</v>
      </c>
      <c r="E125" s="17"/>
      <c r="F125" s="17"/>
      <c r="G125" s="17"/>
      <c r="H125" s="74" t="s">
        <v>464</v>
      </c>
    </row>
    <row r="126" ht="15.75" customHeight="1">
      <c r="A126" s="71"/>
      <c r="B126" s="16">
        <f t="shared" si="1"/>
        <v>124</v>
      </c>
      <c r="C126" s="74" t="s">
        <v>556</v>
      </c>
      <c r="D126" s="74">
        <v>40.0</v>
      </c>
      <c r="E126" s="17"/>
      <c r="F126" s="17"/>
      <c r="G126" s="17"/>
      <c r="H126" s="17"/>
    </row>
    <row r="127" ht="15.75" customHeight="1">
      <c r="A127" s="71"/>
      <c r="B127" s="16">
        <f t="shared" si="1"/>
        <v>125</v>
      </c>
      <c r="C127" s="74" t="s">
        <v>556</v>
      </c>
      <c r="D127" s="74">
        <v>10.0</v>
      </c>
      <c r="E127" s="17"/>
      <c r="F127" s="17"/>
      <c r="G127" s="17"/>
      <c r="H127" s="74" t="s">
        <v>557</v>
      </c>
    </row>
    <row r="128" ht="15.75" customHeight="1">
      <c r="A128" s="71"/>
      <c r="B128" s="16">
        <f t="shared" si="1"/>
        <v>126</v>
      </c>
      <c r="C128" s="74" t="s">
        <v>558</v>
      </c>
      <c r="D128" s="74">
        <v>28.0</v>
      </c>
      <c r="E128" s="17"/>
      <c r="F128" s="17"/>
      <c r="G128" s="17"/>
      <c r="H128" s="74" t="s">
        <v>437</v>
      </c>
    </row>
    <row r="129" ht="15.75" customHeight="1">
      <c r="A129" s="71"/>
      <c r="B129" s="16">
        <f t="shared" si="1"/>
        <v>127</v>
      </c>
      <c r="C129" s="74" t="s">
        <v>559</v>
      </c>
      <c r="D129" s="74">
        <v>51.0</v>
      </c>
      <c r="E129" s="74" t="s">
        <v>560</v>
      </c>
      <c r="F129" s="17"/>
      <c r="G129" s="17"/>
      <c r="H129" s="74" t="s">
        <v>488</v>
      </c>
    </row>
    <row r="130" ht="15.75" customHeight="1">
      <c r="A130" s="71"/>
      <c r="B130" s="16">
        <f t="shared" si="1"/>
        <v>128</v>
      </c>
      <c r="C130" s="74" t="s">
        <v>561</v>
      </c>
      <c r="D130" s="74">
        <v>26.0</v>
      </c>
      <c r="E130" s="17"/>
      <c r="F130" s="17"/>
      <c r="G130" s="17"/>
      <c r="H130" s="17"/>
    </row>
    <row r="131" ht="15.75" customHeight="1">
      <c r="A131" s="71"/>
      <c r="B131" s="16">
        <f t="shared" si="1"/>
        <v>129</v>
      </c>
      <c r="C131" s="74" t="s">
        <v>562</v>
      </c>
      <c r="D131" s="74">
        <v>34.0</v>
      </c>
      <c r="E131" s="17"/>
      <c r="F131" s="17"/>
      <c r="G131" s="17"/>
      <c r="H131" s="17"/>
    </row>
    <row r="132" ht="15.75" customHeight="1">
      <c r="A132" s="71"/>
      <c r="B132" s="16">
        <f t="shared" si="1"/>
        <v>130</v>
      </c>
      <c r="C132" s="74" t="s">
        <v>563</v>
      </c>
      <c r="D132" s="74">
        <v>62.0</v>
      </c>
      <c r="E132" s="17"/>
      <c r="F132" s="17"/>
      <c r="G132" s="17"/>
      <c r="H132" s="74" t="s">
        <v>477</v>
      </c>
    </row>
    <row r="133" ht="15.75" customHeight="1">
      <c r="A133" s="71"/>
      <c r="B133" s="16">
        <f t="shared" si="1"/>
        <v>131</v>
      </c>
      <c r="C133" s="74" t="s">
        <v>564</v>
      </c>
      <c r="D133" s="74">
        <v>13.0</v>
      </c>
      <c r="E133" s="74" t="s">
        <v>565</v>
      </c>
      <c r="F133" s="17"/>
      <c r="G133" s="74" t="s">
        <v>346</v>
      </c>
      <c r="H133" s="74" t="s">
        <v>566</v>
      </c>
    </row>
    <row r="134" ht="15.75" customHeight="1">
      <c r="A134" s="71"/>
      <c r="B134" s="16">
        <f t="shared" si="1"/>
        <v>132</v>
      </c>
      <c r="C134" s="74" t="s">
        <v>567</v>
      </c>
      <c r="D134" s="74">
        <v>43.0</v>
      </c>
      <c r="E134" s="17"/>
      <c r="F134" s="17"/>
      <c r="G134" s="17"/>
      <c r="H134" s="17"/>
    </row>
    <row r="135" ht="15.75" customHeight="1">
      <c r="A135" s="71"/>
      <c r="B135" s="16">
        <f t="shared" si="1"/>
        <v>133</v>
      </c>
      <c r="C135" s="74" t="s">
        <v>568</v>
      </c>
      <c r="D135" s="17"/>
      <c r="E135" s="17"/>
      <c r="F135" s="17"/>
      <c r="G135" s="17"/>
      <c r="H135" s="74" t="s">
        <v>452</v>
      </c>
    </row>
    <row r="136" ht="15.75" customHeight="1">
      <c r="A136" s="71"/>
      <c r="B136" s="16">
        <f t="shared" si="1"/>
        <v>134</v>
      </c>
      <c r="C136" s="74" t="s">
        <v>569</v>
      </c>
      <c r="D136" s="74">
        <v>57.0</v>
      </c>
      <c r="E136" s="17"/>
      <c r="F136" s="17"/>
      <c r="G136" s="17"/>
      <c r="H136" s="17"/>
    </row>
    <row r="137" ht="15.75" customHeight="1">
      <c r="A137" s="71"/>
      <c r="B137" s="16">
        <f t="shared" si="1"/>
        <v>135</v>
      </c>
      <c r="C137" s="74" t="s">
        <v>4392</v>
      </c>
      <c r="D137" s="74">
        <v>25.0</v>
      </c>
      <c r="E137" s="17"/>
      <c r="F137" s="17"/>
      <c r="G137" s="17"/>
      <c r="H137" s="17"/>
    </row>
    <row r="138" ht="15.75" customHeight="1">
      <c r="A138" s="71"/>
      <c r="B138" s="16">
        <f t="shared" si="1"/>
        <v>136</v>
      </c>
      <c r="C138" s="74" t="s">
        <v>4393</v>
      </c>
      <c r="D138" s="74">
        <v>25.0</v>
      </c>
      <c r="E138" s="17"/>
      <c r="F138" s="17"/>
      <c r="G138" s="17"/>
      <c r="H138" s="17"/>
    </row>
    <row r="139" ht="15.75" customHeight="1">
      <c r="A139" s="71"/>
      <c r="B139" s="16">
        <f t="shared" si="1"/>
        <v>137</v>
      </c>
      <c r="C139" s="74" t="s">
        <v>4394</v>
      </c>
      <c r="D139" s="74">
        <v>62.0</v>
      </c>
      <c r="E139" s="17"/>
      <c r="F139" s="17"/>
      <c r="G139" s="17"/>
      <c r="H139" s="17"/>
    </row>
    <row r="140" ht="15.75" customHeight="1">
      <c r="A140" s="71"/>
      <c r="B140" s="16">
        <f t="shared" si="1"/>
        <v>138</v>
      </c>
      <c r="C140" s="74" t="s">
        <v>4395</v>
      </c>
      <c r="D140" s="74">
        <v>0.0</v>
      </c>
      <c r="E140" s="17"/>
      <c r="F140" s="17"/>
      <c r="G140" s="17"/>
      <c r="H140" s="17"/>
    </row>
    <row r="141" ht="15.75" customHeight="1">
      <c r="A141" s="71"/>
      <c r="B141" s="16">
        <f t="shared" si="1"/>
        <v>139</v>
      </c>
      <c r="C141" s="74" t="s">
        <v>4396</v>
      </c>
      <c r="D141" s="74">
        <v>13.0</v>
      </c>
      <c r="E141" s="17"/>
      <c r="F141" s="17"/>
      <c r="G141" s="17"/>
      <c r="H141" s="17"/>
    </row>
    <row r="142" ht="15.75" customHeight="1">
      <c r="A142" s="71"/>
      <c r="B142" s="16">
        <f t="shared" si="1"/>
        <v>140</v>
      </c>
      <c r="C142" s="74" t="s">
        <v>570</v>
      </c>
      <c r="D142" s="74">
        <v>19.0</v>
      </c>
      <c r="E142" s="17"/>
      <c r="F142" s="17"/>
      <c r="G142" s="17"/>
      <c r="H142" s="17"/>
    </row>
    <row r="143" ht="15.75" customHeight="1">
      <c r="A143" s="71"/>
      <c r="B143" s="16">
        <f t="shared" si="1"/>
        <v>141</v>
      </c>
      <c r="C143" s="74" t="s">
        <v>571</v>
      </c>
      <c r="D143" s="74">
        <v>32.0</v>
      </c>
      <c r="E143" s="17"/>
      <c r="F143" s="17"/>
      <c r="G143" s="17"/>
      <c r="H143" s="17"/>
    </row>
    <row r="144" ht="15.75" customHeight="1">
      <c r="A144" s="71"/>
      <c r="B144" s="16">
        <f t="shared" si="1"/>
        <v>142</v>
      </c>
      <c r="C144" s="74" t="s">
        <v>572</v>
      </c>
      <c r="D144" s="74">
        <v>19.0</v>
      </c>
      <c r="E144" s="17"/>
      <c r="F144" s="17"/>
      <c r="G144" s="17"/>
      <c r="H144" s="74" t="s">
        <v>437</v>
      </c>
    </row>
    <row r="145" ht="15.75" customHeight="1">
      <c r="A145" s="71"/>
      <c r="B145" s="16">
        <f t="shared" si="1"/>
        <v>143</v>
      </c>
      <c r="C145" s="74" t="s">
        <v>572</v>
      </c>
      <c r="D145" s="74">
        <v>21.0</v>
      </c>
      <c r="E145" s="17"/>
      <c r="F145" s="17"/>
      <c r="G145" s="17"/>
      <c r="H145" s="74" t="s">
        <v>437</v>
      </c>
    </row>
    <row r="146" ht="15.75" customHeight="1">
      <c r="A146" s="71"/>
      <c r="B146" s="16">
        <f t="shared" si="1"/>
        <v>144</v>
      </c>
      <c r="C146" s="74" t="s">
        <v>573</v>
      </c>
      <c r="D146" s="74">
        <v>21.0</v>
      </c>
      <c r="E146" s="17"/>
      <c r="F146" s="17"/>
      <c r="G146" s="17"/>
      <c r="H146" s="74" t="s">
        <v>437</v>
      </c>
    </row>
    <row r="147" ht="15.75" customHeight="1">
      <c r="A147" s="71"/>
      <c r="B147" s="16">
        <f t="shared" si="1"/>
        <v>145</v>
      </c>
      <c r="C147" s="74" t="s">
        <v>574</v>
      </c>
      <c r="D147" s="74">
        <v>14.0</v>
      </c>
      <c r="E147" s="17"/>
      <c r="F147" s="17"/>
      <c r="G147" s="17"/>
      <c r="H147" s="74" t="s">
        <v>437</v>
      </c>
    </row>
    <row r="148" ht="15.75" customHeight="1">
      <c r="A148" s="71"/>
      <c r="B148" s="16">
        <f t="shared" si="1"/>
        <v>146</v>
      </c>
      <c r="C148" s="74" t="s">
        <v>575</v>
      </c>
      <c r="D148" s="74">
        <v>21.0</v>
      </c>
      <c r="E148" s="17"/>
      <c r="F148" s="17"/>
      <c r="G148" s="17"/>
      <c r="H148" s="74" t="s">
        <v>437</v>
      </c>
    </row>
    <row r="149" ht="15.75" customHeight="1">
      <c r="A149" s="71"/>
      <c r="B149" s="16">
        <f t="shared" si="1"/>
        <v>147</v>
      </c>
      <c r="C149" s="74" t="s">
        <v>4397</v>
      </c>
      <c r="D149" s="74">
        <v>65.0</v>
      </c>
      <c r="E149" s="17"/>
      <c r="F149" s="17"/>
      <c r="G149" s="17"/>
      <c r="H149" s="17"/>
    </row>
    <row r="150" ht="15.75" customHeight="1">
      <c r="A150" s="71"/>
      <c r="B150" s="16">
        <f t="shared" si="1"/>
        <v>148</v>
      </c>
      <c r="C150" s="74" t="s">
        <v>576</v>
      </c>
      <c r="D150" s="74">
        <v>48.0</v>
      </c>
      <c r="E150" s="17"/>
      <c r="F150" s="17"/>
      <c r="G150" s="17"/>
      <c r="H150" s="74" t="s">
        <v>477</v>
      </c>
    </row>
    <row r="151" ht="15.75" customHeight="1">
      <c r="A151" s="71"/>
      <c r="B151" s="16">
        <f t="shared" si="1"/>
        <v>149</v>
      </c>
      <c r="C151" s="74" t="s">
        <v>577</v>
      </c>
      <c r="D151" s="17"/>
      <c r="E151" s="17"/>
      <c r="F151" s="17"/>
      <c r="G151" s="17"/>
      <c r="H151" s="74" t="s">
        <v>477</v>
      </c>
    </row>
    <row r="152" ht="15.75" customHeight="1">
      <c r="A152" s="71"/>
      <c r="B152" s="16">
        <f t="shared" si="1"/>
        <v>150</v>
      </c>
      <c r="C152" s="74" t="s">
        <v>578</v>
      </c>
      <c r="D152" s="74">
        <v>50.0</v>
      </c>
      <c r="E152" s="74" t="s">
        <v>579</v>
      </c>
      <c r="F152" s="17"/>
      <c r="G152" s="17"/>
      <c r="H152" s="74" t="s">
        <v>580</v>
      </c>
    </row>
    <row r="153" ht="15.75" customHeight="1">
      <c r="A153" s="71"/>
      <c r="B153" s="16">
        <f t="shared" si="1"/>
        <v>151</v>
      </c>
      <c r="C153" s="74" t="s">
        <v>4398</v>
      </c>
      <c r="D153" s="74">
        <v>40.0</v>
      </c>
      <c r="E153" s="17"/>
      <c r="F153" s="17"/>
      <c r="G153" s="17"/>
      <c r="H153" s="17"/>
    </row>
    <row r="154" ht="15.75" customHeight="1">
      <c r="A154" s="71"/>
      <c r="B154" s="16">
        <f t="shared" si="1"/>
        <v>152</v>
      </c>
      <c r="C154" s="74" t="s">
        <v>581</v>
      </c>
      <c r="D154" s="74">
        <v>23.0</v>
      </c>
      <c r="E154" s="17"/>
      <c r="F154" s="17"/>
      <c r="G154" s="17"/>
      <c r="H154" s="17"/>
    </row>
    <row r="155" ht="15.75" customHeight="1">
      <c r="A155" s="71"/>
      <c r="B155" s="16">
        <f t="shared" si="1"/>
        <v>153</v>
      </c>
      <c r="C155" s="74" t="s">
        <v>4399</v>
      </c>
      <c r="D155" s="74">
        <v>12.0</v>
      </c>
      <c r="E155" s="17"/>
      <c r="F155" s="17"/>
      <c r="G155" s="17"/>
      <c r="H155" s="17"/>
    </row>
    <row r="156" ht="15.75" customHeight="1">
      <c r="A156" s="71"/>
      <c r="B156" s="16">
        <f t="shared" si="1"/>
        <v>154</v>
      </c>
      <c r="C156" s="74" t="s">
        <v>582</v>
      </c>
      <c r="D156" s="74">
        <v>10.0</v>
      </c>
      <c r="E156" s="17"/>
      <c r="F156" s="17"/>
      <c r="G156" s="17"/>
      <c r="H156" s="74" t="s">
        <v>452</v>
      </c>
    </row>
    <row r="157" ht="15.75" customHeight="1">
      <c r="A157" s="71"/>
      <c r="B157" s="16">
        <f t="shared" si="1"/>
        <v>155</v>
      </c>
      <c r="C157" s="74" t="s">
        <v>583</v>
      </c>
      <c r="D157" s="17"/>
      <c r="E157" s="17"/>
      <c r="F157" s="17"/>
      <c r="G157" s="17"/>
      <c r="H157" s="74" t="s">
        <v>477</v>
      </c>
    </row>
    <row r="158" ht="15.75" customHeight="1">
      <c r="A158" s="71"/>
      <c r="B158" s="16">
        <f t="shared" si="1"/>
        <v>156</v>
      </c>
      <c r="C158" s="74" t="s">
        <v>4400</v>
      </c>
      <c r="D158" s="74">
        <v>0.0</v>
      </c>
      <c r="E158" s="17"/>
      <c r="F158" s="17"/>
      <c r="G158" s="17"/>
      <c r="H158" s="17"/>
    </row>
    <row r="159" ht="15.75" customHeight="1">
      <c r="A159" s="71"/>
      <c r="B159" s="16">
        <f t="shared" si="1"/>
        <v>157</v>
      </c>
      <c r="C159" s="74" t="s">
        <v>4401</v>
      </c>
      <c r="D159" s="74">
        <v>0.0</v>
      </c>
      <c r="E159" s="17"/>
      <c r="F159" s="17"/>
      <c r="G159" s="17"/>
      <c r="H159" s="17"/>
    </row>
    <row r="160" ht="15.75" customHeight="1">
      <c r="A160" s="71"/>
      <c r="B160" s="16">
        <f t="shared" si="1"/>
        <v>158</v>
      </c>
      <c r="C160" s="74" t="s">
        <v>584</v>
      </c>
      <c r="D160" s="74">
        <v>64.0</v>
      </c>
      <c r="E160" s="17"/>
      <c r="F160" s="17"/>
      <c r="G160" s="74" t="s">
        <v>585</v>
      </c>
      <c r="H160" s="17"/>
    </row>
    <row r="161" ht="15.75" customHeight="1">
      <c r="A161" s="71"/>
      <c r="B161" s="16">
        <f t="shared" si="1"/>
        <v>159</v>
      </c>
      <c r="C161" s="74" t="s">
        <v>586</v>
      </c>
      <c r="D161" s="74">
        <v>16.0</v>
      </c>
      <c r="E161" s="17"/>
      <c r="F161" s="17"/>
      <c r="G161" s="17"/>
      <c r="H161" s="17"/>
    </row>
    <row r="162" ht="15.75" customHeight="1">
      <c r="A162" s="71"/>
      <c r="B162" s="16">
        <f t="shared" si="1"/>
        <v>160</v>
      </c>
      <c r="C162" s="74" t="s">
        <v>587</v>
      </c>
      <c r="D162" s="74">
        <v>23.0</v>
      </c>
      <c r="E162" s="74" t="s">
        <v>14</v>
      </c>
      <c r="F162" s="17"/>
      <c r="G162" s="17"/>
      <c r="H162" s="74" t="s">
        <v>588</v>
      </c>
    </row>
    <row r="163" ht="15.75" customHeight="1">
      <c r="A163" s="71"/>
      <c r="B163" s="16">
        <f t="shared" si="1"/>
        <v>161</v>
      </c>
      <c r="C163" s="74" t="s">
        <v>589</v>
      </c>
      <c r="D163" s="17"/>
      <c r="E163" s="17"/>
      <c r="F163" s="17"/>
      <c r="G163" s="17"/>
      <c r="H163" s="74" t="s">
        <v>477</v>
      </c>
    </row>
    <row r="164" ht="15.75" customHeight="1">
      <c r="A164" s="71"/>
      <c r="B164" s="16">
        <f t="shared" si="1"/>
        <v>162</v>
      </c>
      <c r="C164" s="74" t="s">
        <v>4402</v>
      </c>
      <c r="D164" s="74">
        <v>65.0</v>
      </c>
      <c r="E164" s="17"/>
      <c r="F164" s="17"/>
      <c r="G164" s="17"/>
      <c r="H164" s="17"/>
    </row>
    <row r="165" ht="15.75" customHeight="1">
      <c r="A165" s="71"/>
      <c r="B165" s="16">
        <f t="shared" si="1"/>
        <v>163</v>
      </c>
      <c r="C165" s="74" t="s">
        <v>590</v>
      </c>
      <c r="D165" s="74">
        <v>25.0</v>
      </c>
      <c r="E165" s="17"/>
      <c r="F165" s="17"/>
      <c r="G165" s="74" t="s">
        <v>330</v>
      </c>
      <c r="H165" s="74" t="s">
        <v>441</v>
      </c>
    </row>
    <row r="166" ht="15.75" customHeight="1">
      <c r="A166" s="71"/>
      <c r="B166" s="16">
        <f t="shared" si="1"/>
        <v>164</v>
      </c>
      <c r="C166" s="74" t="s">
        <v>591</v>
      </c>
      <c r="D166" s="74">
        <v>34.0</v>
      </c>
      <c r="E166" s="74" t="s">
        <v>14</v>
      </c>
      <c r="F166" s="17"/>
      <c r="G166" s="17"/>
      <c r="H166" s="74" t="s">
        <v>15</v>
      </c>
    </row>
    <row r="167" ht="15.75" customHeight="1">
      <c r="A167" s="71"/>
      <c r="B167" s="16">
        <f t="shared" si="1"/>
        <v>165</v>
      </c>
      <c r="C167" s="74" t="s">
        <v>592</v>
      </c>
      <c r="D167" s="74">
        <v>60.0</v>
      </c>
      <c r="E167" s="74" t="s">
        <v>14</v>
      </c>
      <c r="F167" s="17"/>
      <c r="G167" s="17"/>
      <c r="H167" s="74" t="s">
        <v>593</v>
      </c>
    </row>
    <row r="168" ht="15.75" customHeight="1">
      <c r="A168" s="71"/>
      <c r="B168" s="16">
        <f t="shared" si="1"/>
        <v>166</v>
      </c>
      <c r="C168" s="74" t="s">
        <v>4403</v>
      </c>
      <c r="D168" s="74">
        <v>23.0</v>
      </c>
      <c r="E168" s="17"/>
      <c r="F168" s="17"/>
      <c r="G168" s="17"/>
      <c r="H168" s="17"/>
    </row>
    <row r="169" ht="15.75" customHeight="1">
      <c r="A169" s="71"/>
      <c r="B169" s="16">
        <f t="shared" si="1"/>
        <v>167</v>
      </c>
      <c r="C169" s="74" t="s">
        <v>594</v>
      </c>
      <c r="D169" s="74">
        <v>62.0</v>
      </c>
      <c r="E169" s="74" t="s">
        <v>14</v>
      </c>
      <c r="F169" s="17"/>
      <c r="G169" s="17"/>
      <c r="H169" s="74" t="s">
        <v>595</v>
      </c>
    </row>
    <row r="170" ht="15.75" customHeight="1">
      <c r="A170" s="71"/>
      <c r="B170" s="16">
        <f t="shared" si="1"/>
        <v>168</v>
      </c>
      <c r="C170" s="74" t="s">
        <v>4404</v>
      </c>
      <c r="D170" s="74">
        <v>0.0</v>
      </c>
      <c r="E170" s="17"/>
      <c r="F170" s="17"/>
      <c r="G170" s="17"/>
      <c r="H170" s="17"/>
    </row>
    <row r="171" ht="15.75" customHeight="1">
      <c r="A171" s="71"/>
      <c r="B171" s="16">
        <f t="shared" si="1"/>
        <v>169</v>
      </c>
      <c r="C171" s="74" t="s">
        <v>4405</v>
      </c>
      <c r="D171" s="74">
        <v>30.0</v>
      </c>
      <c r="E171" s="17"/>
      <c r="F171" s="17"/>
      <c r="G171" s="17"/>
      <c r="H171" s="17"/>
    </row>
    <row r="172" ht="15.75" customHeight="1">
      <c r="A172" s="71"/>
      <c r="B172" s="16">
        <f t="shared" si="1"/>
        <v>170</v>
      </c>
      <c r="C172" s="74" t="s">
        <v>596</v>
      </c>
      <c r="D172" s="74">
        <v>23.0</v>
      </c>
      <c r="E172" s="17"/>
      <c r="F172" s="17"/>
      <c r="G172" s="17"/>
      <c r="H172" s="74" t="s">
        <v>477</v>
      </c>
    </row>
    <row r="173" ht="15.75" customHeight="1">
      <c r="A173" s="71"/>
      <c r="B173" s="16">
        <f t="shared" si="1"/>
        <v>171</v>
      </c>
      <c r="C173" s="74" t="s">
        <v>597</v>
      </c>
      <c r="D173" s="74">
        <v>23.0</v>
      </c>
      <c r="E173" s="74" t="s">
        <v>14</v>
      </c>
      <c r="F173" s="17"/>
      <c r="G173" s="17"/>
      <c r="H173" s="74" t="s">
        <v>598</v>
      </c>
    </row>
    <row r="174" ht="15.75" customHeight="1">
      <c r="A174" s="71"/>
      <c r="B174" s="16">
        <f t="shared" si="1"/>
        <v>172</v>
      </c>
      <c r="C174" s="74" t="s">
        <v>4406</v>
      </c>
      <c r="D174" s="74">
        <v>19.0</v>
      </c>
      <c r="E174" s="17"/>
      <c r="F174" s="17"/>
      <c r="G174" s="17"/>
      <c r="H174" s="17"/>
    </row>
    <row r="175" ht="15.75" customHeight="1">
      <c r="A175" s="71"/>
      <c r="B175" s="16">
        <f t="shared" si="1"/>
        <v>173</v>
      </c>
      <c r="C175" s="74" t="s">
        <v>4407</v>
      </c>
      <c r="D175" s="74">
        <v>23.0</v>
      </c>
      <c r="E175" s="17"/>
      <c r="F175" s="17"/>
      <c r="G175" s="17"/>
      <c r="H175" s="17"/>
    </row>
    <row r="176" ht="15.75" customHeight="1">
      <c r="A176" s="71"/>
      <c r="B176" s="16">
        <f t="shared" si="1"/>
        <v>174</v>
      </c>
      <c r="C176" s="74" t="s">
        <v>4408</v>
      </c>
      <c r="D176" s="74">
        <v>0.0</v>
      </c>
      <c r="E176" s="17"/>
      <c r="F176" s="17"/>
      <c r="G176" s="17"/>
      <c r="H176" s="17"/>
    </row>
    <row r="177" ht="15.75" customHeight="1">
      <c r="A177" s="71"/>
      <c r="B177" s="16">
        <f t="shared" si="1"/>
        <v>175</v>
      </c>
      <c r="C177" s="74" t="s">
        <v>4409</v>
      </c>
      <c r="D177" s="74">
        <v>26.0</v>
      </c>
      <c r="E177" s="17"/>
      <c r="F177" s="17"/>
      <c r="G177" s="17"/>
      <c r="H177" s="17"/>
    </row>
    <row r="178" ht="15.75" customHeight="1">
      <c r="A178" s="71"/>
      <c r="B178" s="16">
        <f t="shared" si="1"/>
        <v>176</v>
      </c>
      <c r="C178" s="74" t="s">
        <v>4410</v>
      </c>
      <c r="D178" s="74">
        <v>0.0</v>
      </c>
      <c r="E178" s="17"/>
      <c r="F178" s="17"/>
      <c r="G178" s="17"/>
      <c r="H178" s="17"/>
    </row>
    <row r="179" ht="15.75" customHeight="1">
      <c r="A179" s="71"/>
      <c r="B179" s="16">
        <f t="shared" si="1"/>
        <v>177</v>
      </c>
      <c r="C179" s="74" t="s">
        <v>599</v>
      </c>
      <c r="D179" s="74">
        <v>55.0</v>
      </c>
      <c r="E179" s="17"/>
      <c r="F179" s="17"/>
      <c r="G179" s="17"/>
      <c r="H179" s="17"/>
    </row>
    <row r="180" ht="15.75" customHeight="1">
      <c r="A180" s="71"/>
      <c r="B180" s="16">
        <f t="shared" si="1"/>
        <v>178</v>
      </c>
      <c r="C180" s="74" t="s">
        <v>4411</v>
      </c>
      <c r="D180" s="74">
        <v>0.0</v>
      </c>
      <c r="E180" s="17"/>
      <c r="F180" s="17"/>
      <c r="G180" s="17"/>
      <c r="H180" s="17"/>
    </row>
    <row r="181" ht="15.75" customHeight="1">
      <c r="A181" s="71"/>
      <c r="B181" s="16">
        <f t="shared" si="1"/>
        <v>179</v>
      </c>
      <c r="C181" s="74" t="s">
        <v>600</v>
      </c>
      <c r="D181" s="17"/>
      <c r="E181" s="17"/>
      <c r="F181" s="17"/>
      <c r="G181" s="17"/>
      <c r="H181" s="74" t="s">
        <v>450</v>
      </c>
    </row>
    <row r="182" ht="15.75" customHeight="1">
      <c r="A182" s="71"/>
      <c r="B182" s="16">
        <f t="shared" si="1"/>
        <v>180</v>
      </c>
      <c r="C182" s="74" t="s">
        <v>4412</v>
      </c>
      <c r="D182" s="74">
        <v>54.0</v>
      </c>
      <c r="E182" s="17"/>
      <c r="F182" s="17"/>
      <c r="G182" s="17"/>
      <c r="H182" s="17"/>
    </row>
    <row r="183" ht="15.75" customHeight="1">
      <c r="A183" s="71"/>
      <c r="B183" s="16">
        <f t="shared" si="1"/>
        <v>181</v>
      </c>
      <c r="C183" s="74" t="s">
        <v>601</v>
      </c>
      <c r="D183" s="17"/>
      <c r="E183" s="17"/>
      <c r="F183" s="17"/>
      <c r="G183" s="17"/>
      <c r="H183" s="17"/>
    </row>
    <row r="184" ht="15.75" customHeight="1">
      <c r="A184" s="71"/>
      <c r="B184" s="16">
        <f t="shared" si="1"/>
        <v>182</v>
      </c>
      <c r="C184" s="74" t="s">
        <v>4413</v>
      </c>
      <c r="D184" s="74">
        <v>15.0</v>
      </c>
      <c r="E184" s="17"/>
      <c r="F184" s="17"/>
      <c r="G184" s="17"/>
      <c r="H184" s="17"/>
    </row>
    <row r="185" ht="15.75" customHeight="1">
      <c r="A185" s="71"/>
      <c r="B185" s="16">
        <f t="shared" si="1"/>
        <v>183</v>
      </c>
      <c r="C185" s="74" t="s">
        <v>604</v>
      </c>
      <c r="D185" s="74">
        <v>53.0</v>
      </c>
      <c r="E185" s="74" t="s">
        <v>605</v>
      </c>
      <c r="F185" s="17"/>
      <c r="G185" s="17"/>
      <c r="H185" s="74" t="s">
        <v>606</v>
      </c>
    </row>
    <row r="186" ht="15.75" customHeight="1">
      <c r="A186" s="71"/>
      <c r="B186" s="16">
        <f t="shared" si="1"/>
        <v>184</v>
      </c>
      <c r="C186" s="74" t="s">
        <v>602</v>
      </c>
      <c r="D186" s="74">
        <v>53.0</v>
      </c>
      <c r="E186" s="17"/>
      <c r="F186" s="17"/>
      <c r="G186" s="17"/>
      <c r="H186" s="74" t="s">
        <v>603</v>
      </c>
    </row>
    <row r="187" ht="15.75" customHeight="1">
      <c r="A187" s="71"/>
      <c r="B187" s="16">
        <f t="shared" si="1"/>
        <v>185</v>
      </c>
      <c r="C187" s="74" t="s">
        <v>607</v>
      </c>
      <c r="D187" s="74">
        <v>31.0</v>
      </c>
      <c r="E187" s="17"/>
      <c r="F187" s="17"/>
      <c r="G187" s="17"/>
      <c r="H187" s="17"/>
    </row>
    <row r="188" ht="15.75" customHeight="1">
      <c r="A188" s="71"/>
      <c r="B188" s="16">
        <f t="shared" si="1"/>
        <v>186</v>
      </c>
      <c r="C188" s="74" t="s">
        <v>608</v>
      </c>
      <c r="D188" s="74">
        <v>31.0</v>
      </c>
      <c r="E188" s="74" t="s">
        <v>14</v>
      </c>
      <c r="F188" s="17"/>
      <c r="G188" s="17"/>
      <c r="H188" s="74" t="s">
        <v>609</v>
      </c>
    </row>
    <row r="189" ht="15.75" customHeight="1">
      <c r="A189" s="71"/>
      <c r="B189" s="16">
        <f t="shared" si="1"/>
        <v>187</v>
      </c>
      <c r="C189" s="74" t="s">
        <v>610</v>
      </c>
      <c r="D189" s="74">
        <v>57.0</v>
      </c>
      <c r="E189" s="17"/>
      <c r="F189" s="17"/>
      <c r="G189" s="17"/>
      <c r="H189" s="17"/>
    </row>
    <row r="190" ht="15.75" customHeight="1">
      <c r="A190" s="71"/>
      <c r="B190" s="16">
        <f t="shared" si="1"/>
        <v>188</v>
      </c>
      <c r="C190" s="74" t="s">
        <v>611</v>
      </c>
      <c r="D190" s="74">
        <v>31.0</v>
      </c>
      <c r="E190" s="17"/>
      <c r="F190" s="17"/>
      <c r="G190" s="17"/>
      <c r="H190" s="74" t="s">
        <v>612</v>
      </c>
    </row>
    <row r="191" ht="15.75" customHeight="1">
      <c r="A191" s="71"/>
      <c r="B191" s="16">
        <f t="shared" si="1"/>
        <v>189</v>
      </c>
      <c r="C191" s="74" t="s">
        <v>613</v>
      </c>
      <c r="D191" s="74">
        <v>33.0</v>
      </c>
      <c r="E191" s="17"/>
      <c r="F191" s="17"/>
      <c r="G191" s="17"/>
      <c r="H191" s="17"/>
    </row>
    <row r="192" ht="15.75" customHeight="1">
      <c r="A192" s="71"/>
      <c r="B192" s="16">
        <f t="shared" si="1"/>
        <v>190</v>
      </c>
      <c r="C192" s="74" t="s">
        <v>614</v>
      </c>
      <c r="D192" s="74">
        <v>35.0</v>
      </c>
      <c r="E192" s="74" t="s">
        <v>14</v>
      </c>
      <c r="F192" s="17"/>
      <c r="G192" s="17"/>
      <c r="H192" s="74" t="s">
        <v>615</v>
      </c>
    </row>
    <row r="193" ht="15.75" customHeight="1">
      <c r="A193" s="71"/>
      <c r="B193" s="16">
        <f t="shared" si="1"/>
        <v>191</v>
      </c>
      <c r="C193" s="74" t="s">
        <v>616</v>
      </c>
      <c r="D193" s="74">
        <v>37.0</v>
      </c>
      <c r="E193" s="17"/>
      <c r="F193" s="17"/>
      <c r="G193" s="17"/>
      <c r="H193" s="17"/>
    </row>
    <row r="194" ht="15.75" customHeight="1">
      <c r="A194" s="71"/>
      <c r="B194" s="16">
        <f t="shared" si="1"/>
        <v>192</v>
      </c>
      <c r="C194" s="74" t="s">
        <v>617</v>
      </c>
      <c r="D194" s="74">
        <v>37.0</v>
      </c>
      <c r="E194" s="17"/>
      <c r="F194" s="17"/>
      <c r="G194" s="74" t="s">
        <v>618</v>
      </c>
      <c r="H194" s="17"/>
    </row>
    <row r="195" ht="15.75" customHeight="1">
      <c r="A195" s="71"/>
      <c r="B195" s="16">
        <f t="shared" si="1"/>
        <v>193</v>
      </c>
      <c r="C195" s="74" t="s">
        <v>619</v>
      </c>
      <c r="D195" s="74">
        <v>14.0</v>
      </c>
      <c r="E195" s="74" t="s">
        <v>14</v>
      </c>
      <c r="F195" s="17"/>
      <c r="G195" s="17"/>
      <c r="H195" s="74" t="s">
        <v>620</v>
      </c>
    </row>
    <row r="196" ht="15.75" customHeight="1">
      <c r="A196" s="71"/>
      <c r="B196" s="16">
        <f t="shared" si="1"/>
        <v>194</v>
      </c>
      <c r="C196" s="74" t="s">
        <v>4414</v>
      </c>
      <c r="D196" s="74">
        <v>0.0</v>
      </c>
      <c r="E196" s="17"/>
      <c r="F196" s="17"/>
      <c r="G196" s="17"/>
      <c r="H196" s="17"/>
    </row>
    <row r="197" ht="15.75" customHeight="1">
      <c r="A197" s="71"/>
      <c r="B197" s="16">
        <f t="shared" si="1"/>
        <v>195</v>
      </c>
      <c r="C197" s="74" t="s">
        <v>621</v>
      </c>
      <c r="D197" s="74">
        <v>18.0</v>
      </c>
      <c r="E197" s="17"/>
      <c r="F197" s="17"/>
      <c r="G197" s="17"/>
      <c r="H197" s="74" t="s">
        <v>437</v>
      </c>
    </row>
    <row r="198" ht="15.75" customHeight="1">
      <c r="A198" s="71"/>
      <c r="B198" s="16">
        <f t="shared" si="1"/>
        <v>196</v>
      </c>
      <c r="C198" s="74" t="s">
        <v>4415</v>
      </c>
      <c r="D198" s="74">
        <v>53.0</v>
      </c>
      <c r="E198" s="17"/>
      <c r="F198" s="17"/>
      <c r="G198" s="17"/>
      <c r="H198" s="17"/>
    </row>
    <row r="199" ht="15.75" customHeight="1">
      <c r="A199" s="71"/>
      <c r="B199" s="16">
        <f t="shared" si="1"/>
        <v>197</v>
      </c>
      <c r="C199" s="74" t="s">
        <v>622</v>
      </c>
      <c r="D199" s="17"/>
      <c r="E199" s="17"/>
      <c r="F199" s="17"/>
      <c r="G199" s="17"/>
      <c r="H199" s="17"/>
    </row>
    <row r="200" ht="15.75" customHeight="1">
      <c r="A200" s="71"/>
      <c r="B200" s="16">
        <f t="shared" si="1"/>
        <v>198</v>
      </c>
      <c r="C200" s="74" t="s">
        <v>623</v>
      </c>
      <c r="D200" s="74">
        <v>7.0</v>
      </c>
      <c r="E200" s="17"/>
      <c r="F200" s="17"/>
      <c r="G200" s="17"/>
      <c r="H200" s="17"/>
    </row>
    <row r="201" ht="15.75" customHeight="1">
      <c r="A201" s="71"/>
      <c r="B201" s="16">
        <f t="shared" si="1"/>
        <v>199</v>
      </c>
      <c r="C201" s="74" t="s">
        <v>624</v>
      </c>
      <c r="D201" s="17"/>
      <c r="E201" s="17"/>
      <c r="F201" s="17"/>
      <c r="G201" s="17"/>
      <c r="H201" s="74" t="s">
        <v>625</v>
      </c>
    </row>
    <row r="202" ht="15.75" customHeight="1">
      <c r="A202" s="71"/>
      <c r="B202" s="16">
        <f t="shared" si="1"/>
        <v>200</v>
      </c>
      <c r="C202" s="74" t="s">
        <v>626</v>
      </c>
      <c r="D202" s="74">
        <v>52.0</v>
      </c>
      <c r="E202" s="17"/>
      <c r="F202" s="17"/>
      <c r="G202" s="17"/>
      <c r="H202" s="17"/>
    </row>
    <row r="203" ht="15.75" customHeight="1">
      <c r="A203" s="71"/>
      <c r="B203" s="16">
        <f t="shared" si="1"/>
        <v>201</v>
      </c>
      <c r="C203" s="74" t="s">
        <v>627</v>
      </c>
      <c r="D203" s="17"/>
      <c r="E203" s="74" t="s">
        <v>14</v>
      </c>
      <c r="F203" s="17"/>
      <c r="G203" s="17"/>
      <c r="H203" s="74" t="s">
        <v>540</v>
      </c>
    </row>
    <row r="204" ht="15.75" customHeight="1">
      <c r="A204" s="71"/>
      <c r="B204" s="16">
        <f t="shared" si="1"/>
        <v>202</v>
      </c>
      <c r="C204" s="74" t="s">
        <v>628</v>
      </c>
      <c r="D204" s="17"/>
      <c r="E204" s="17"/>
      <c r="F204" s="17"/>
      <c r="G204" s="17"/>
      <c r="H204" s="17"/>
    </row>
    <row r="205" ht="15.75" customHeight="1">
      <c r="A205" s="71"/>
      <c r="B205" s="16">
        <f t="shared" si="1"/>
        <v>203</v>
      </c>
      <c r="C205" s="74" t="s">
        <v>4416</v>
      </c>
      <c r="D205" s="74">
        <v>15.0</v>
      </c>
      <c r="E205" s="17"/>
      <c r="F205" s="17"/>
      <c r="G205" s="17"/>
      <c r="H205" s="17"/>
    </row>
    <row r="206" ht="15.75" customHeight="1">
      <c r="A206" s="71"/>
      <c r="B206" s="16">
        <f t="shared" si="1"/>
        <v>204</v>
      </c>
      <c r="C206" s="74" t="s">
        <v>4417</v>
      </c>
      <c r="D206" s="74">
        <v>0.0</v>
      </c>
      <c r="E206" s="17"/>
      <c r="F206" s="17"/>
      <c r="G206" s="17"/>
      <c r="H206" s="17"/>
    </row>
    <row r="207" ht="15.75" customHeight="1">
      <c r="A207" s="71"/>
      <c r="B207" s="16">
        <f t="shared" si="1"/>
        <v>205</v>
      </c>
      <c r="C207" s="74" t="s">
        <v>4418</v>
      </c>
      <c r="D207" s="74">
        <v>15.0</v>
      </c>
      <c r="E207" s="17"/>
      <c r="F207" s="17"/>
      <c r="G207" s="17"/>
      <c r="H207" s="17"/>
    </row>
    <row r="208" ht="15.75" customHeight="1">
      <c r="A208" s="71"/>
      <c r="B208" s="16">
        <f t="shared" si="1"/>
        <v>206</v>
      </c>
      <c r="C208" s="74" t="s">
        <v>4419</v>
      </c>
      <c r="D208" s="74">
        <v>37.0</v>
      </c>
      <c r="E208" s="17"/>
      <c r="F208" s="17"/>
      <c r="G208" s="17"/>
      <c r="H208" s="17"/>
    </row>
    <row r="209" ht="15.75" customHeight="1">
      <c r="A209" s="71"/>
      <c r="B209" s="16">
        <f t="shared" si="1"/>
        <v>207</v>
      </c>
      <c r="C209" s="74" t="s">
        <v>629</v>
      </c>
      <c r="D209" s="74">
        <v>71.0</v>
      </c>
      <c r="E209" s="17"/>
      <c r="F209" s="17"/>
      <c r="G209" s="17"/>
      <c r="H209" s="74" t="s">
        <v>437</v>
      </c>
    </row>
    <row r="210" ht="15.75" customHeight="1">
      <c r="A210" s="71"/>
      <c r="B210" s="16">
        <f t="shared" si="1"/>
        <v>208</v>
      </c>
      <c r="C210" s="74" t="s">
        <v>630</v>
      </c>
      <c r="D210" s="74">
        <v>23.0</v>
      </c>
      <c r="E210" s="17"/>
      <c r="F210" s="17"/>
      <c r="G210" s="17"/>
      <c r="H210" s="74" t="s">
        <v>477</v>
      </c>
    </row>
    <row r="211" ht="15.75" customHeight="1">
      <c r="A211" s="71"/>
      <c r="B211" s="16">
        <f t="shared" si="1"/>
        <v>209</v>
      </c>
      <c r="C211" s="74" t="s">
        <v>631</v>
      </c>
      <c r="D211" s="17"/>
      <c r="E211" s="17"/>
      <c r="F211" s="17"/>
      <c r="G211" s="17"/>
      <c r="H211" s="74" t="s">
        <v>450</v>
      </c>
    </row>
    <row r="212" ht="15.75" customHeight="1">
      <c r="A212" s="71"/>
      <c r="B212" s="16">
        <f t="shared" si="1"/>
        <v>210</v>
      </c>
      <c r="C212" s="74" t="s">
        <v>632</v>
      </c>
      <c r="D212" s="17"/>
      <c r="E212" s="17"/>
      <c r="F212" s="17"/>
      <c r="G212" s="17"/>
      <c r="H212" s="74" t="s">
        <v>450</v>
      </c>
    </row>
    <row r="213" ht="15.75" customHeight="1">
      <c r="A213" s="71"/>
      <c r="B213" s="16">
        <f t="shared" si="1"/>
        <v>211</v>
      </c>
      <c r="C213" s="74" t="s">
        <v>633</v>
      </c>
      <c r="D213" s="74">
        <v>30.0</v>
      </c>
      <c r="E213" s="17"/>
      <c r="F213" s="17"/>
      <c r="G213" s="17"/>
      <c r="H213" s="74" t="s">
        <v>437</v>
      </c>
    </row>
    <row r="214" ht="15.75" customHeight="1">
      <c r="A214" s="71"/>
      <c r="B214" s="16">
        <f t="shared" si="1"/>
        <v>212</v>
      </c>
      <c r="C214" s="74" t="s">
        <v>634</v>
      </c>
      <c r="D214" s="17"/>
      <c r="E214" s="17"/>
      <c r="F214" s="17"/>
      <c r="G214" s="17"/>
      <c r="H214" s="17"/>
    </row>
    <row r="215" ht="15.75" customHeight="1">
      <c r="A215" s="71"/>
      <c r="B215" s="16">
        <f t="shared" si="1"/>
        <v>213</v>
      </c>
      <c r="C215" s="74" t="s">
        <v>635</v>
      </c>
      <c r="D215" s="74">
        <v>8.0</v>
      </c>
      <c r="E215" s="17"/>
      <c r="F215" s="17"/>
      <c r="G215" s="17"/>
      <c r="H215" s="74" t="s">
        <v>557</v>
      </c>
    </row>
    <row r="216" ht="15.75" customHeight="1">
      <c r="A216" s="71"/>
      <c r="B216" s="16">
        <f t="shared" si="1"/>
        <v>214</v>
      </c>
      <c r="C216" s="74" t="s">
        <v>636</v>
      </c>
      <c r="D216" s="74">
        <v>34.0</v>
      </c>
      <c r="E216" s="17"/>
      <c r="F216" s="17"/>
      <c r="G216" s="17"/>
      <c r="H216" s="17"/>
    </row>
    <row r="217" ht="15.75" customHeight="1">
      <c r="A217" s="71"/>
      <c r="B217" s="16">
        <f t="shared" si="1"/>
        <v>215</v>
      </c>
      <c r="C217" s="74" t="s">
        <v>637</v>
      </c>
      <c r="D217" s="74">
        <v>54.0</v>
      </c>
      <c r="E217" s="17"/>
      <c r="F217" s="17"/>
      <c r="G217" s="17"/>
      <c r="H217" s="74" t="s">
        <v>474</v>
      </c>
    </row>
    <row r="218" ht="15.75" customHeight="1">
      <c r="A218" s="71"/>
      <c r="B218" s="16">
        <f t="shared" si="1"/>
        <v>216</v>
      </c>
      <c r="C218" s="74" t="s">
        <v>638</v>
      </c>
      <c r="D218" s="74">
        <v>1.0</v>
      </c>
      <c r="E218" s="74" t="s">
        <v>14</v>
      </c>
      <c r="F218" s="17"/>
      <c r="G218" s="17"/>
      <c r="H218" s="74" t="s">
        <v>639</v>
      </c>
    </row>
    <row r="219" ht="15.75" customHeight="1">
      <c r="A219" s="71"/>
      <c r="B219" s="16">
        <f t="shared" si="1"/>
        <v>217</v>
      </c>
      <c r="C219" s="74" t="s">
        <v>640</v>
      </c>
      <c r="D219" s="74">
        <v>34.0</v>
      </c>
      <c r="E219" s="17"/>
      <c r="F219" s="17"/>
      <c r="G219" s="17"/>
      <c r="H219" s="17"/>
    </row>
    <row r="220" ht="15.75" customHeight="1">
      <c r="A220" s="71"/>
      <c r="B220" s="16">
        <f t="shared" si="1"/>
        <v>218</v>
      </c>
      <c r="C220" s="74" t="s">
        <v>641</v>
      </c>
      <c r="D220" s="74">
        <v>43.0</v>
      </c>
      <c r="E220" s="17"/>
      <c r="F220" s="17"/>
      <c r="G220" s="17"/>
      <c r="H220" s="74" t="s">
        <v>612</v>
      </c>
    </row>
    <row r="221" ht="15.75" customHeight="1">
      <c r="A221" s="71"/>
      <c r="B221" s="16">
        <f t="shared" si="1"/>
        <v>219</v>
      </c>
      <c r="C221" s="74" t="s">
        <v>642</v>
      </c>
      <c r="D221" s="74">
        <v>41.0</v>
      </c>
      <c r="E221" s="17"/>
      <c r="F221" s="17"/>
      <c r="G221" s="74" t="s">
        <v>330</v>
      </c>
      <c r="H221" s="74" t="s">
        <v>441</v>
      </c>
    </row>
    <row r="222" ht="15.75" customHeight="1">
      <c r="A222" s="71"/>
      <c r="B222" s="16">
        <f t="shared" si="1"/>
        <v>220</v>
      </c>
      <c r="C222" s="74" t="s">
        <v>643</v>
      </c>
      <c r="D222" s="74">
        <v>23.0</v>
      </c>
      <c r="E222" s="74" t="s">
        <v>644</v>
      </c>
      <c r="F222" s="17"/>
      <c r="G222" s="17"/>
      <c r="H222" s="74" t="s">
        <v>15</v>
      </c>
    </row>
    <row r="223" ht="15.75" customHeight="1">
      <c r="A223" s="71"/>
      <c r="B223" s="16">
        <f t="shared" si="1"/>
        <v>221</v>
      </c>
      <c r="C223" s="74" t="s">
        <v>645</v>
      </c>
      <c r="D223" s="74">
        <v>4.0</v>
      </c>
      <c r="E223" s="17"/>
      <c r="F223" s="17"/>
      <c r="G223" s="17"/>
      <c r="H223" s="74" t="s">
        <v>557</v>
      </c>
    </row>
    <row r="224" ht="15.75" customHeight="1">
      <c r="A224" s="71"/>
      <c r="B224" s="16">
        <f t="shared" si="1"/>
        <v>222</v>
      </c>
      <c r="C224" s="74" t="s">
        <v>646</v>
      </c>
      <c r="D224" s="17"/>
      <c r="E224" s="17"/>
      <c r="F224" s="17"/>
      <c r="G224" s="17"/>
      <c r="H224" s="17"/>
    </row>
    <row r="225">
      <c r="A225" s="71"/>
      <c r="B225" s="16">
        <f t="shared" si="1"/>
        <v>223</v>
      </c>
      <c r="C225" s="74" t="s">
        <v>647</v>
      </c>
      <c r="D225" s="74">
        <v>61.0</v>
      </c>
      <c r="E225" s="17"/>
      <c r="F225" s="17"/>
      <c r="G225" s="17"/>
      <c r="H225" s="74" t="s">
        <v>648</v>
      </c>
    </row>
    <row r="226">
      <c r="A226" s="71"/>
      <c r="B226" s="16">
        <f t="shared" si="1"/>
        <v>224</v>
      </c>
      <c r="C226" s="74" t="s">
        <v>649</v>
      </c>
      <c r="D226" s="74">
        <v>61.0</v>
      </c>
      <c r="E226" s="17"/>
      <c r="F226" s="17"/>
      <c r="G226" s="17"/>
      <c r="H226" s="74" t="s">
        <v>474</v>
      </c>
    </row>
    <row r="227">
      <c r="A227" s="71"/>
      <c r="B227" s="16">
        <f t="shared" si="1"/>
        <v>225</v>
      </c>
      <c r="C227" s="74" t="s">
        <v>650</v>
      </c>
      <c r="D227" s="74">
        <v>59.0</v>
      </c>
      <c r="E227" s="17"/>
      <c r="F227" s="17"/>
      <c r="G227" s="74" t="s">
        <v>651</v>
      </c>
      <c r="H227" s="17"/>
    </row>
    <row r="228">
      <c r="A228" s="71"/>
      <c r="B228" s="16">
        <f t="shared" si="1"/>
        <v>226</v>
      </c>
      <c r="C228" s="74" t="s">
        <v>652</v>
      </c>
      <c r="D228" s="74">
        <v>59.0</v>
      </c>
      <c r="E228" s="17"/>
      <c r="F228" s="17"/>
      <c r="G228" s="17"/>
      <c r="H228" s="17"/>
    </row>
    <row r="229">
      <c r="A229" s="71"/>
      <c r="B229" s="16">
        <f t="shared" si="1"/>
        <v>227</v>
      </c>
      <c r="C229" s="74" t="s">
        <v>653</v>
      </c>
      <c r="D229" s="17"/>
      <c r="E229" s="17"/>
      <c r="F229" s="17"/>
      <c r="G229" s="17"/>
      <c r="H229" s="74" t="s">
        <v>654</v>
      </c>
    </row>
    <row r="230">
      <c r="A230" s="71"/>
      <c r="B230" s="16">
        <f t="shared" si="1"/>
        <v>228</v>
      </c>
      <c r="C230" s="74" t="s">
        <v>655</v>
      </c>
      <c r="D230" s="74">
        <v>42.0</v>
      </c>
      <c r="E230" s="17"/>
      <c r="F230" s="17"/>
      <c r="G230" s="17"/>
      <c r="H230" s="17"/>
    </row>
    <row r="231">
      <c r="A231" s="71"/>
      <c r="B231" s="16">
        <f t="shared" si="1"/>
        <v>229</v>
      </c>
      <c r="C231" s="74" t="s">
        <v>656</v>
      </c>
      <c r="D231" s="17"/>
      <c r="E231" s="74" t="s">
        <v>14</v>
      </c>
      <c r="F231" s="17"/>
      <c r="G231" s="17"/>
      <c r="H231" s="74" t="s">
        <v>15</v>
      </c>
    </row>
    <row r="232">
      <c r="A232" s="71"/>
      <c r="B232" s="16">
        <f t="shared" si="1"/>
        <v>230</v>
      </c>
      <c r="C232" s="74" t="s">
        <v>657</v>
      </c>
      <c r="D232" s="74">
        <v>83.0</v>
      </c>
      <c r="E232" s="17"/>
      <c r="F232" s="17"/>
      <c r="G232" s="17"/>
      <c r="H232" s="74" t="s">
        <v>658</v>
      </c>
    </row>
    <row r="233">
      <c r="A233" s="71"/>
      <c r="B233" s="16">
        <f t="shared" si="1"/>
        <v>231</v>
      </c>
      <c r="C233" s="74" t="s">
        <v>659</v>
      </c>
      <c r="D233" s="17"/>
      <c r="E233" s="74" t="s">
        <v>14</v>
      </c>
      <c r="F233" s="17"/>
      <c r="G233" s="17"/>
      <c r="H233" s="74" t="s">
        <v>15</v>
      </c>
    </row>
    <row r="234">
      <c r="A234" s="71"/>
      <c r="B234" s="16">
        <f t="shared" si="1"/>
        <v>232</v>
      </c>
      <c r="C234" s="74" t="s">
        <v>660</v>
      </c>
      <c r="D234" s="74">
        <v>36.0</v>
      </c>
      <c r="E234" s="17"/>
      <c r="F234" s="17"/>
      <c r="G234" s="17"/>
      <c r="H234" s="74" t="s">
        <v>439</v>
      </c>
    </row>
    <row r="235">
      <c r="A235" s="71"/>
      <c r="B235" s="16">
        <f t="shared" si="1"/>
        <v>233</v>
      </c>
      <c r="C235" s="74" t="s">
        <v>661</v>
      </c>
      <c r="D235" s="74">
        <v>61.0</v>
      </c>
      <c r="E235" s="17"/>
      <c r="F235" s="17"/>
      <c r="G235" s="74" t="s">
        <v>330</v>
      </c>
      <c r="H235" s="74" t="s">
        <v>441</v>
      </c>
    </row>
    <row r="236">
      <c r="A236" s="71"/>
      <c r="B236" s="16">
        <f t="shared" si="1"/>
        <v>234</v>
      </c>
      <c r="C236" s="74" t="s">
        <v>662</v>
      </c>
      <c r="D236" s="74">
        <v>63.0</v>
      </c>
      <c r="E236" s="17"/>
      <c r="F236" s="17"/>
      <c r="G236" s="17"/>
      <c r="H236" s="17"/>
    </row>
    <row r="237">
      <c r="A237" s="71"/>
      <c r="B237" s="16">
        <f t="shared" si="1"/>
        <v>235</v>
      </c>
      <c r="C237" s="74" t="s">
        <v>663</v>
      </c>
      <c r="D237" s="74">
        <v>39.0</v>
      </c>
      <c r="E237" s="17"/>
      <c r="F237" s="17"/>
      <c r="G237" s="17"/>
      <c r="H237" s="17"/>
    </row>
    <row r="238">
      <c r="A238" s="71"/>
      <c r="B238" s="16">
        <f t="shared" si="1"/>
        <v>236</v>
      </c>
      <c r="C238" s="74" t="s">
        <v>664</v>
      </c>
      <c r="D238" s="74">
        <v>22.0</v>
      </c>
      <c r="E238" s="17"/>
      <c r="F238" s="17"/>
      <c r="G238" s="74" t="s">
        <v>665</v>
      </c>
      <c r="H238" s="17"/>
    </row>
    <row r="239">
      <c r="A239" s="71"/>
      <c r="B239" s="16">
        <f t="shared" si="1"/>
        <v>237</v>
      </c>
      <c r="C239" s="74" t="s">
        <v>666</v>
      </c>
      <c r="D239" s="74">
        <v>10.0</v>
      </c>
      <c r="E239" s="17"/>
      <c r="F239" s="17"/>
      <c r="G239" s="17"/>
      <c r="H239" s="74" t="s">
        <v>452</v>
      </c>
    </row>
    <row r="240">
      <c r="A240" s="71"/>
      <c r="B240" s="16">
        <f t="shared" si="1"/>
        <v>238</v>
      </c>
      <c r="C240" s="74" t="s">
        <v>667</v>
      </c>
      <c r="D240" s="74">
        <v>26.0</v>
      </c>
      <c r="E240" s="17"/>
      <c r="F240" s="17"/>
      <c r="G240" s="74" t="s">
        <v>330</v>
      </c>
      <c r="H240" s="74" t="s">
        <v>441</v>
      </c>
    </row>
    <row r="241">
      <c r="A241" s="71"/>
      <c r="B241" s="16">
        <f t="shared" si="1"/>
        <v>239</v>
      </c>
      <c r="C241" s="74" t="s">
        <v>668</v>
      </c>
      <c r="D241" s="74">
        <v>26.0</v>
      </c>
      <c r="E241" s="17"/>
      <c r="F241" s="17"/>
      <c r="G241" s="17"/>
      <c r="H241" s="74" t="s">
        <v>477</v>
      </c>
    </row>
    <row r="242">
      <c r="A242" s="71"/>
      <c r="B242" s="16">
        <f t="shared" si="1"/>
        <v>240</v>
      </c>
      <c r="C242" s="74" t="s">
        <v>669</v>
      </c>
      <c r="D242" s="17"/>
      <c r="E242" s="74" t="s">
        <v>14</v>
      </c>
      <c r="F242" s="17"/>
      <c r="G242" s="17"/>
      <c r="H242" s="74" t="s">
        <v>580</v>
      </c>
    </row>
    <row r="243">
      <c r="A243" s="71"/>
      <c r="B243" s="16">
        <f t="shared" si="1"/>
        <v>241</v>
      </c>
      <c r="C243" s="74" t="s">
        <v>670</v>
      </c>
      <c r="D243" s="74">
        <v>34.0</v>
      </c>
      <c r="E243" s="17"/>
      <c r="F243" s="17"/>
      <c r="G243" s="17"/>
      <c r="H243" s="74" t="s">
        <v>439</v>
      </c>
    </row>
    <row r="244">
      <c r="A244" s="71"/>
      <c r="B244" s="16">
        <f t="shared" si="1"/>
        <v>242</v>
      </c>
      <c r="C244" s="74" t="s">
        <v>671</v>
      </c>
      <c r="D244" s="74">
        <v>44.0</v>
      </c>
      <c r="E244" s="17"/>
      <c r="F244" s="17"/>
      <c r="G244" s="17"/>
      <c r="H244" s="74" t="s">
        <v>439</v>
      </c>
    </row>
    <row r="245">
      <c r="A245" s="71"/>
      <c r="B245" s="16">
        <f t="shared" si="1"/>
        <v>243</v>
      </c>
      <c r="C245" s="74" t="s">
        <v>672</v>
      </c>
      <c r="D245" s="74">
        <v>30.0</v>
      </c>
      <c r="E245" s="17"/>
      <c r="F245" s="17"/>
      <c r="G245" s="17"/>
      <c r="H245" s="74" t="s">
        <v>673</v>
      </c>
    </row>
    <row r="246">
      <c r="A246" s="71"/>
      <c r="B246" s="16">
        <f t="shared" si="1"/>
        <v>244</v>
      </c>
      <c r="C246" s="74" t="s">
        <v>674</v>
      </c>
      <c r="D246" s="17"/>
      <c r="E246" s="17"/>
      <c r="F246" s="17"/>
      <c r="G246" s="17"/>
      <c r="H246" s="17"/>
    </row>
    <row r="247">
      <c r="A247" s="71"/>
      <c r="B247" s="16">
        <f t="shared" si="1"/>
        <v>245</v>
      </c>
      <c r="C247" s="74" t="s">
        <v>675</v>
      </c>
      <c r="D247" s="74">
        <v>30.0</v>
      </c>
      <c r="E247" s="17"/>
      <c r="F247" s="17"/>
      <c r="G247" s="17"/>
      <c r="H247" s="17"/>
    </row>
    <row r="248">
      <c r="A248" s="71"/>
      <c r="B248" s="16">
        <f t="shared" si="1"/>
        <v>246</v>
      </c>
      <c r="C248" s="74" t="s">
        <v>676</v>
      </c>
      <c r="D248" s="74">
        <v>30.0</v>
      </c>
      <c r="E248" s="17"/>
      <c r="F248" s="17"/>
      <c r="G248" s="17"/>
      <c r="H248" s="17"/>
    </row>
    <row r="249">
      <c r="A249" s="71"/>
      <c r="B249" s="16">
        <f t="shared" si="1"/>
        <v>247</v>
      </c>
      <c r="C249" s="74" t="s">
        <v>677</v>
      </c>
      <c r="D249" s="17"/>
      <c r="E249" s="74" t="s">
        <v>14</v>
      </c>
      <c r="F249" s="17"/>
      <c r="G249" s="17"/>
      <c r="H249" s="74" t="s">
        <v>615</v>
      </c>
    </row>
    <row r="250">
      <c r="A250" s="71"/>
      <c r="B250" s="16">
        <f t="shared" si="1"/>
        <v>248</v>
      </c>
      <c r="C250" s="74" t="s">
        <v>678</v>
      </c>
      <c r="D250" s="74">
        <v>44.0</v>
      </c>
      <c r="E250" s="17"/>
      <c r="F250" s="17"/>
      <c r="G250" s="17"/>
      <c r="H250" s="74" t="s">
        <v>477</v>
      </c>
    </row>
    <row r="251">
      <c r="A251" s="71"/>
      <c r="B251" s="16">
        <f t="shared" si="1"/>
        <v>249</v>
      </c>
      <c r="C251" s="74" t="s">
        <v>679</v>
      </c>
      <c r="D251" s="74">
        <v>20.0</v>
      </c>
      <c r="E251" s="17"/>
      <c r="F251" s="17"/>
      <c r="G251" s="17"/>
      <c r="H251" s="17"/>
    </row>
    <row r="252">
      <c r="A252" s="71"/>
      <c r="B252" s="16">
        <f t="shared" si="1"/>
        <v>250</v>
      </c>
      <c r="C252" s="74" t="s">
        <v>680</v>
      </c>
      <c r="D252" s="74">
        <v>12.0</v>
      </c>
      <c r="E252" s="17"/>
      <c r="F252" s="17"/>
      <c r="G252" s="17"/>
      <c r="H252" s="17"/>
    </row>
    <row r="253">
      <c r="A253" s="71"/>
      <c r="B253" s="16">
        <f t="shared" si="1"/>
        <v>251</v>
      </c>
      <c r="C253" s="74" t="s">
        <v>4420</v>
      </c>
      <c r="D253" s="74">
        <v>42.0</v>
      </c>
      <c r="E253" s="17"/>
      <c r="F253" s="17"/>
      <c r="G253" s="17"/>
      <c r="H253" s="17"/>
    </row>
    <row r="254">
      <c r="A254" s="71"/>
      <c r="B254" s="16">
        <f t="shared" si="1"/>
        <v>252</v>
      </c>
      <c r="C254" s="74" t="s">
        <v>681</v>
      </c>
      <c r="D254" s="74">
        <v>84.0</v>
      </c>
      <c r="E254" s="17"/>
      <c r="F254" s="17"/>
      <c r="G254" s="17"/>
      <c r="H254" s="74" t="s">
        <v>474</v>
      </c>
    </row>
    <row r="255">
      <c r="A255" s="71"/>
      <c r="B255" s="16">
        <f t="shared" si="1"/>
        <v>253</v>
      </c>
      <c r="C255" s="74" t="s">
        <v>4421</v>
      </c>
      <c r="D255" s="74">
        <v>13.0</v>
      </c>
      <c r="E255" s="17"/>
      <c r="F255" s="17"/>
      <c r="G255" s="17"/>
      <c r="H255" s="17"/>
    </row>
    <row r="256">
      <c r="A256" s="71"/>
      <c r="B256" s="16">
        <f t="shared" si="1"/>
        <v>254</v>
      </c>
      <c r="C256" s="74" t="s">
        <v>4422</v>
      </c>
      <c r="D256" s="74">
        <v>23.0</v>
      </c>
      <c r="E256" s="17"/>
      <c r="F256" s="17"/>
      <c r="G256" s="17"/>
      <c r="H256" s="17"/>
    </row>
    <row r="257">
      <c r="A257" s="71"/>
      <c r="B257" s="16">
        <f t="shared" si="1"/>
        <v>255</v>
      </c>
      <c r="C257" s="74" t="s">
        <v>682</v>
      </c>
      <c r="D257" s="74">
        <v>62.0</v>
      </c>
      <c r="E257" s="74" t="s">
        <v>683</v>
      </c>
      <c r="F257" s="17"/>
      <c r="G257" s="17"/>
      <c r="H257" s="74" t="s">
        <v>684</v>
      </c>
    </row>
    <row r="258">
      <c r="A258" s="71"/>
      <c r="B258" s="16">
        <f t="shared" si="1"/>
        <v>256</v>
      </c>
      <c r="C258" s="74" t="s">
        <v>685</v>
      </c>
      <c r="D258" s="74">
        <v>26.0</v>
      </c>
      <c r="E258" s="17"/>
      <c r="F258" s="17"/>
      <c r="G258" s="17"/>
      <c r="H258" s="74" t="s">
        <v>499</v>
      </c>
    </row>
    <row r="259">
      <c r="A259" s="71"/>
      <c r="B259" s="16">
        <f t="shared" si="1"/>
        <v>257</v>
      </c>
      <c r="C259" s="74" t="s">
        <v>686</v>
      </c>
      <c r="D259" s="17"/>
      <c r="E259" s="17"/>
      <c r="F259" s="17"/>
      <c r="G259" s="17"/>
      <c r="H259" s="17"/>
    </row>
    <row r="260">
      <c r="A260" s="71"/>
      <c r="B260" s="16">
        <f t="shared" si="1"/>
        <v>258</v>
      </c>
      <c r="C260" s="74" t="s">
        <v>687</v>
      </c>
      <c r="D260" s="74">
        <v>4.0</v>
      </c>
      <c r="E260" s="17"/>
      <c r="F260" s="17"/>
      <c r="G260" s="17"/>
      <c r="H260" s="74" t="s">
        <v>452</v>
      </c>
    </row>
    <row r="261">
      <c r="A261" s="71"/>
      <c r="B261" s="16">
        <f t="shared" si="1"/>
        <v>259</v>
      </c>
      <c r="C261" s="74" t="s">
        <v>688</v>
      </c>
      <c r="D261" s="74">
        <v>4.0</v>
      </c>
      <c r="E261" s="17"/>
      <c r="F261" s="17"/>
      <c r="G261" s="74" t="s">
        <v>545</v>
      </c>
      <c r="H261" s="74" t="s">
        <v>452</v>
      </c>
    </row>
    <row r="262">
      <c r="A262" s="71"/>
      <c r="B262" s="16">
        <f t="shared" si="1"/>
        <v>260</v>
      </c>
      <c r="C262" s="74" t="s">
        <v>689</v>
      </c>
      <c r="D262" s="74">
        <v>4.0</v>
      </c>
      <c r="E262" s="17"/>
      <c r="F262" s="17"/>
      <c r="G262" s="17"/>
      <c r="H262" s="74" t="s">
        <v>464</v>
      </c>
    </row>
    <row r="263">
      <c r="A263" s="71"/>
      <c r="B263" s="16">
        <f t="shared" si="1"/>
        <v>261</v>
      </c>
      <c r="C263" s="74" t="s">
        <v>690</v>
      </c>
      <c r="D263" s="17"/>
      <c r="E263" s="17"/>
      <c r="F263" s="17"/>
      <c r="G263" s="17"/>
      <c r="H263" s="74" t="s">
        <v>452</v>
      </c>
    </row>
    <row r="264">
      <c r="A264" s="71"/>
      <c r="B264" s="16">
        <f t="shared" si="1"/>
        <v>262</v>
      </c>
      <c r="C264" s="74" t="s">
        <v>4423</v>
      </c>
      <c r="D264" s="74">
        <v>0.0</v>
      </c>
      <c r="E264" s="17"/>
      <c r="F264" s="17"/>
      <c r="G264" s="17"/>
      <c r="H264" s="17"/>
    </row>
    <row r="265">
      <c r="A265" s="71"/>
      <c r="B265" s="16">
        <f t="shared" si="1"/>
        <v>263</v>
      </c>
      <c r="C265" s="74" t="s">
        <v>691</v>
      </c>
      <c r="D265" s="17"/>
      <c r="E265" s="17"/>
      <c r="F265" s="17"/>
      <c r="G265" s="17"/>
      <c r="H265" s="74" t="s">
        <v>452</v>
      </c>
    </row>
    <row r="266">
      <c r="A266" s="71"/>
      <c r="B266" s="16">
        <f t="shared" si="1"/>
        <v>264</v>
      </c>
      <c r="C266" s="74" t="s">
        <v>692</v>
      </c>
      <c r="D266" s="74">
        <v>9.0</v>
      </c>
      <c r="E266" s="17"/>
      <c r="F266" s="17"/>
      <c r="G266" s="17"/>
      <c r="H266" s="74" t="s">
        <v>452</v>
      </c>
    </row>
    <row r="267">
      <c r="A267" s="71"/>
      <c r="B267" s="16">
        <f t="shared" si="1"/>
        <v>265</v>
      </c>
      <c r="C267" s="74" t="s">
        <v>693</v>
      </c>
      <c r="D267" s="74">
        <v>28.0</v>
      </c>
      <c r="E267" s="17"/>
      <c r="F267" s="17"/>
      <c r="G267" s="17"/>
      <c r="H267" s="17"/>
    </row>
    <row r="268">
      <c r="A268" s="71"/>
      <c r="B268" s="16">
        <f t="shared" si="1"/>
        <v>266</v>
      </c>
      <c r="C268" s="74" t="s">
        <v>694</v>
      </c>
      <c r="D268" s="74">
        <v>74.0</v>
      </c>
      <c r="E268" s="17"/>
      <c r="F268" s="17"/>
      <c r="G268" s="17"/>
      <c r="H268" s="17"/>
    </row>
    <row r="269">
      <c r="A269" s="71"/>
      <c r="B269" s="16">
        <f t="shared" si="1"/>
        <v>267</v>
      </c>
      <c r="C269" s="74" t="s">
        <v>4424</v>
      </c>
      <c r="D269" s="74">
        <v>74.0</v>
      </c>
      <c r="E269" s="17"/>
      <c r="F269" s="17"/>
      <c r="G269" s="17"/>
      <c r="H269" s="17"/>
    </row>
    <row r="270">
      <c r="A270" s="71"/>
      <c r="B270" s="16">
        <f t="shared" si="1"/>
        <v>268</v>
      </c>
      <c r="C270" s="74" t="s">
        <v>4425</v>
      </c>
      <c r="D270" s="74">
        <v>20.0</v>
      </c>
      <c r="E270" s="17"/>
      <c r="F270" s="17"/>
      <c r="G270" s="17"/>
      <c r="H270" s="17"/>
    </row>
    <row r="271">
      <c r="A271" s="71"/>
      <c r="B271" s="16">
        <f t="shared" si="1"/>
        <v>269</v>
      </c>
      <c r="C271" s="74" t="s">
        <v>4426</v>
      </c>
      <c r="D271" s="74">
        <v>0.0</v>
      </c>
      <c r="E271" s="17"/>
      <c r="F271" s="17"/>
      <c r="G271" s="17"/>
      <c r="H271" s="17"/>
    </row>
    <row r="272">
      <c r="A272" s="71"/>
      <c r="B272" s="16">
        <f t="shared" si="1"/>
        <v>270</v>
      </c>
      <c r="C272" s="74" t="s">
        <v>4427</v>
      </c>
      <c r="D272" s="74">
        <v>10.0</v>
      </c>
      <c r="E272" s="17"/>
      <c r="F272" s="17"/>
      <c r="G272" s="17"/>
      <c r="H272" s="17"/>
    </row>
    <row r="273">
      <c r="A273" s="71"/>
      <c r="B273" s="16">
        <f t="shared" si="1"/>
        <v>271</v>
      </c>
      <c r="C273" s="74" t="s">
        <v>4428</v>
      </c>
      <c r="D273" s="74">
        <v>50.0</v>
      </c>
      <c r="E273" s="17"/>
      <c r="F273" s="17"/>
      <c r="G273" s="17"/>
      <c r="H273" s="17"/>
    </row>
    <row r="274">
      <c r="A274" s="71"/>
      <c r="B274" s="16">
        <f t="shared" si="1"/>
        <v>272</v>
      </c>
      <c r="C274" s="74" t="s">
        <v>695</v>
      </c>
      <c r="D274" s="74">
        <v>42.0</v>
      </c>
      <c r="E274" s="17"/>
      <c r="F274" s="17"/>
      <c r="G274" s="17"/>
      <c r="H274" s="74" t="s">
        <v>499</v>
      </c>
    </row>
    <row r="275">
      <c r="A275" s="71"/>
      <c r="B275" s="16">
        <f t="shared" si="1"/>
        <v>273</v>
      </c>
      <c r="C275" s="74" t="s">
        <v>696</v>
      </c>
      <c r="D275" s="74">
        <v>55.0</v>
      </c>
      <c r="E275" s="17"/>
      <c r="F275" s="17"/>
      <c r="G275" s="17"/>
      <c r="H275" s="74" t="s">
        <v>477</v>
      </c>
    </row>
    <row r="276">
      <c r="A276" s="71"/>
      <c r="B276" s="16">
        <f t="shared" si="1"/>
        <v>274</v>
      </c>
      <c r="C276" s="74" t="s">
        <v>697</v>
      </c>
      <c r="D276" s="17"/>
      <c r="E276" s="17"/>
      <c r="F276" s="17"/>
      <c r="G276" s="17"/>
      <c r="H276" s="74" t="s">
        <v>477</v>
      </c>
    </row>
    <row r="277">
      <c r="A277" s="71"/>
      <c r="B277" s="16">
        <f t="shared" si="1"/>
        <v>275</v>
      </c>
      <c r="C277" s="74" t="s">
        <v>4429</v>
      </c>
      <c r="D277" s="74">
        <v>10.0</v>
      </c>
      <c r="E277" s="17"/>
      <c r="F277" s="17"/>
      <c r="G277" s="17"/>
      <c r="H277" s="17"/>
    </row>
    <row r="278">
      <c r="A278" s="71"/>
      <c r="B278" s="16">
        <f t="shared" si="1"/>
        <v>276</v>
      </c>
      <c r="C278" s="74" t="s">
        <v>4430</v>
      </c>
      <c r="D278" s="74">
        <v>0.0</v>
      </c>
      <c r="E278" s="17"/>
      <c r="F278" s="17"/>
      <c r="G278" s="17"/>
      <c r="H278" s="17"/>
    </row>
    <row r="279">
      <c r="A279" s="71"/>
      <c r="B279" s="16">
        <f t="shared" si="1"/>
        <v>277</v>
      </c>
      <c r="C279" s="74" t="s">
        <v>4431</v>
      </c>
      <c r="D279" s="74">
        <v>55.0</v>
      </c>
      <c r="E279" s="17"/>
      <c r="F279" s="17"/>
      <c r="G279" s="17"/>
      <c r="H279" s="17"/>
    </row>
    <row r="280">
      <c r="A280" s="71"/>
      <c r="B280" s="16">
        <f t="shared" si="1"/>
        <v>278</v>
      </c>
      <c r="C280" s="74" t="s">
        <v>699</v>
      </c>
      <c r="D280" s="74">
        <v>63.0</v>
      </c>
      <c r="E280" s="17"/>
      <c r="F280" s="17"/>
      <c r="G280" s="17"/>
      <c r="H280" s="74" t="s">
        <v>700</v>
      </c>
    </row>
    <row r="281">
      <c r="A281" s="71"/>
      <c r="B281" s="16">
        <f t="shared" si="1"/>
        <v>279</v>
      </c>
      <c r="C281" s="74" t="s">
        <v>701</v>
      </c>
      <c r="D281" s="74">
        <v>83.0</v>
      </c>
      <c r="E281" s="17"/>
      <c r="F281" s="17"/>
      <c r="G281" s="17"/>
      <c r="H281" s="74" t="s">
        <v>425</v>
      </c>
    </row>
    <row r="282">
      <c r="A282" s="71"/>
      <c r="B282" s="16">
        <f t="shared" si="1"/>
        <v>280</v>
      </c>
      <c r="C282" s="74" t="s">
        <v>702</v>
      </c>
      <c r="D282" s="74">
        <v>83.0</v>
      </c>
      <c r="E282" s="17"/>
      <c r="F282" s="17"/>
      <c r="G282" s="74" t="s">
        <v>703</v>
      </c>
      <c r="H282" s="17"/>
    </row>
    <row r="283">
      <c r="A283" s="71"/>
      <c r="B283" s="16">
        <f t="shared" si="1"/>
        <v>281</v>
      </c>
      <c r="C283" s="74" t="s">
        <v>704</v>
      </c>
      <c r="D283" s="17"/>
      <c r="E283" s="17"/>
      <c r="F283" s="17"/>
      <c r="G283" s="17"/>
      <c r="H283" s="74" t="s">
        <v>464</v>
      </c>
    </row>
    <row r="284">
      <c r="A284" s="71"/>
      <c r="B284" s="16">
        <f t="shared" si="1"/>
        <v>282</v>
      </c>
      <c r="C284" s="74" t="s">
        <v>705</v>
      </c>
      <c r="D284" s="74">
        <v>26.0</v>
      </c>
      <c r="E284" s="17"/>
      <c r="F284" s="17"/>
      <c r="G284" s="17"/>
      <c r="H284" s="74" t="s">
        <v>706</v>
      </c>
    </row>
    <row r="285">
      <c r="A285" s="71"/>
      <c r="B285" s="16">
        <f t="shared" si="1"/>
        <v>283</v>
      </c>
      <c r="C285" s="74" t="s">
        <v>4432</v>
      </c>
      <c r="D285" s="74">
        <v>0.0</v>
      </c>
      <c r="E285" s="17"/>
      <c r="F285" s="17"/>
      <c r="G285" s="17"/>
      <c r="H285" s="17"/>
    </row>
    <row r="286">
      <c r="A286" s="71"/>
      <c r="B286" s="16">
        <f t="shared" si="1"/>
        <v>284</v>
      </c>
      <c r="C286" s="74" t="s">
        <v>4433</v>
      </c>
      <c r="D286" s="74">
        <v>68.0</v>
      </c>
      <c r="E286" s="17"/>
      <c r="F286" s="17"/>
      <c r="G286" s="17"/>
      <c r="H286" s="17"/>
    </row>
    <row r="287">
      <c r="A287" s="71"/>
      <c r="B287" s="16">
        <f t="shared" si="1"/>
        <v>285</v>
      </c>
      <c r="C287" s="74" t="s">
        <v>707</v>
      </c>
      <c r="D287" s="74">
        <v>32.0</v>
      </c>
      <c r="E287" s="74" t="s">
        <v>14</v>
      </c>
      <c r="F287" s="17"/>
      <c r="G287" s="17"/>
      <c r="H287" s="74" t="s">
        <v>378</v>
      </c>
    </row>
    <row r="288">
      <c r="A288" s="71"/>
      <c r="B288" s="16">
        <f t="shared" si="1"/>
        <v>286</v>
      </c>
      <c r="C288" s="74" t="s">
        <v>708</v>
      </c>
      <c r="D288" s="74">
        <v>8.0</v>
      </c>
      <c r="E288" s="17"/>
      <c r="F288" s="17"/>
      <c r="G288" s="17"/>
      <c r="H288" s="74" t="s">
        <v>464</v>
      </c>
    </row>
    <row r="289">
      <c r="A289" s="71"/>
      <c r="B289" s="16">
        <f t="shared" si="1"/>
        <v>287</v>
      </c>
      <c r="C289" s="74" t="s">
        <v>4434</v>
      </c>
      <c r="D289" s="74">
        <v>23.0</v>
      </c>
      <c r="E289" s="17"/>
      <c r="F289" s="17"/>
      <c r="G289" s="17"/>
      <c r="H289" s="17"/>
    </row>
    <row r="290">
      <c r="A290" s="71"/>
      <c r="B290" s="16">
        <f t="shared" si="1"/>
        <v>288</v>
      </c>
      <c r="C290" s="74" t="s">
        <v>4435</v>
      </c>
      <c r="D290" s="74">
        <v>0.0</v>
      </c>
      <c r="E290" s="17"/>
      <c r="F290" s="17"/>
      <c r="G290" s="17"/>
      <c r="H290" s="17"/>
    </row>
    <row r="291">
      <c r="A291" s="71"/>
      <c r="B291" s="16">
        <f t="shared" si="1"/>
        <v>289</v>
      </c>
      <c r="C291" s="74" t="s">
        <v>4436</v>
      </c>
      <c r="D291" s="74">
        <v>1.0</v>
      </c>
      <c r="E291" s="17"/>
      <c r="F291" s="17"/>
      <c r="G291" s="17"/>
      <c r="H291" s="17"/>
    </row>
    <row r="292">
      <c r="A292" s="71"/>
      <c r="B292" s="16">
        <f t="shared" si="1"/>
        <v>290</v>
      </c>
      <c r="C292" s="74" t="s">
        <v>4437</v>
      </c>
      <c r="D292" s="74">
        <v>1.0</v>
      </c>
      <c r="E292" s="17"/>
      <c r="F292" s="17"/>
      <c r="G292" s="17"/>
      <c r="H292" s="17"/>
    </row>
    <row r="293">
      <c r="A293" s="71"/>
      <c r="B293" s="16">
        <f t="shared" si="1"/>
        <v>291</v>
      </c>
      <c r="C293" s="74" t="s">
        <v>709</v>
      </c>
      <c r="D293" s="74">
        <v>4.0</v>
      </c>
      <c r="E293" s="17"/>
      <c r="F293" s="17"/>
      <c r="G293" s="74" t="s">
        <v>545</v>
      </c>
      <c r="H293" s="74" t="s">
        <v>710</v>
      </c>
    </row>
    <row r="294">
      <c r="A294" s="71"/>
      <c r="B294" s="16">
        <f t="shared" si="1"/>
        <v>292</v>
      </c>
      <c r="C294" s="74" t="s">
        <v>711</v>
      </c>
      <c r="D294" s="74">
        <v>4.0</v>
      </c>
      <c r="E294" s="17"/>
      <c r="F294" s="17"/>
      <c r="G294" s="17"/>
      <c r="H294" s="17"/>
    </row>
    <row r="295">
      <c r="A295" s="71"/>
      <c r="B295" s="16">
        <f t="shared" si="1"/>
        <v>293</v>
      </c>
      <c r="C295" s="74" t="s">
        <v>712</v>
      </c>
      <c r="D295" s="74">
        <v>30.0</v>
      </c>
      <c r="E295" s="17"/>
      <c r="F295" s="17"/>
      <c r="G295" s="17"/>
      <c r="H295" s="74" t="s">
        <v>439</v>
      </c>
    </row>
    <row r="296">
      <c r="A296" s="71"/>
      <c r="B296" s="16">
        <f t="shared" si="1"/>
        <v>294</v>
      </c>
      <c r="C296" s="74" t="s">
        <v>4438</v>
      </c>
      <c r="D296" s="74">
        <v>16.0</v>
      </c>
      <c r="E296" s="17"/>
      <c r="F296" s="17"/>
      <c r="G296" s="17"/>
      <c r="H296" s="17"/>
    </row>
    <row r="297">
      <c r="A297" s="71"/>
      <c r="B297" s="16">
        <f t="shared" si="1"/>
        <v>295</v>
      </c>
      <c r="C297" s="74" t="s">
        <v>713</v>
      </c>
      <c r="D297" s="74">
        <v>7.0</v>
      </c>
      <c r="E297" s="17"/>
      <c r="F297" s="17"/>
      <c r="G297" s="74" t="s">
        <v>330</v>
      </c>
      <c r="H297" s="74" t="s">
        <v>452</v>
      </c>
    </row>
    <row r="298">
      <c r="A298" s="71"/>
      <c r="B298" s="16">
        <f t="shared" si="1"/>
        <v>296</v>
      </c>
      <c r="C298" s="74" t="s">
        <v>4439</v>
      </c>
      <c r="D298" s="74">
        <v>0.0</v>
      </c>
      <c r="E298" s="17"/>
      <c r="F298" s="17"/>
      <c r="G298" s="17"/>
      <c r="H298" s="17"/>
    </row>
    <row r="299">
      <c r="A299" s="71"/>
      <c r="B299" s="16">
        <f t="shared" si="1"/>
        <v>297</v>
      </c>
      <c r="C299" s="74" t="s">
        <v>4440</v>
      </c>
      <c r="D299" s="74">
        <v>37.0</v>
      </c>
      <c r="E299" s="17"/>
      <c r="F299" s="17"/>
      <c r="G299" s="17"/>
      <c r="H299" s="17"/>
    </row>
    <row r="300">
      <c r="A300" s="71"/>
      <c r="B300" s="16">
        <f t="shared" si="1"/>
        <v>298</v>
      </c>
      <c r="C300" s="74" t="s">
        <v>4441</v>
      </c>
      <c r="D300" s="74">
        <v>0.0</v>
      </c>
      <c r="E300" s="17"/>
      <c r="F300" s="17"/>
      <c r="G300" s="17"/>
      <c r="H300" s="17"/>
    </row>
    <row r="301">
      <c r="A301" s="71"/>
      <c r="B301" s="16">
        <f t="shared" si="1"/>
        <v>299</v>
      </c>
      <c r="C301" s="74" t="s">
        <v>4442</v>
      </c>
      <c r="D301" s="74">
        <v>32.0</v>
      </c>
      <c r="E301" s="17"/>
      <c r="F301" s="17"/>
      <c r="G301" s="17"/>
      <c r="H301" s="17"/>
    </row>
    <row r="302">
      <c r="A302" s="71"/>
      <c r="B302" s="16">
        <f t="shared" si="1"/>
        <v>300</v>
      </c>
      <c r="C302" s="74" t="s">
        <v>714</v>
      </c>
      <c r="D302" s="17"/>
      <c r="E302" s="17"/>
      <c r="F302" s="17"/>
      <c r="G302" s="17"/>
      <c r="H302" s="17"/>
    </row>
    <row r="303">
      <c r="A303" s="71"/>
      <c r="B303" s="16">
        <f t="shared" si="1"/>
        <v>301</v>
      </c>
      <c r="C303" s="74" t="s">
        <v>4443</v>
      </c>
      <c r="D303" s="74">
        <v>26.0</v>
      </c>
      <c r="E303" s="17"/>
      <c r="F303" s="17"/>
      <c r="G303" s="17"/>
      <c r="H303" s="17"/>
    </row>
    <row r="304">
      <c r="A304" s="71"/>
      <c r="B304" s="16">
        <f t="shared" si="1"/>
        <v>302</v>
      </c>
      <c r="C304" s="74" t="s">
        <v>716</v>
      </c>
      <c r="D304" s="74">
        <v>25.0</v>
      </c>
      <c r="E304" s="74" t="s">
        <v>14</v>
      </c>
      <c r="F304" s="17"/>
      <c r="G304" s="17"/>
      <c r="H304" s="74" t="s">
        <v>488</v>
      </c>
    </row>
    <row r="305">
      <c r="A305" s="71"/>
      <c r="B305" s="16">
        <f t="shared" si="1"/>
        <v>303</v>
      </c>
      <c r="C305" s="74" t="s">
        <v>717</v>
      </c>
      <c r="D305" s="17"/>
      <c r="E305" s="17"/>
      <c r="F305" s="17"/>
      <c r="G305" s="17"/>
      <c r="H305" s="74" t="s">
        <v>718</v>
      </c>
    </row>
    <row r="306">
      <c r="A306" s="71"/>
      <c r="B306" s="16">
        <f t="shared" si="1"/>
        <v>304</v>
      </c>
      <c r="C306" s="74" t="s">
        <v>719</v>
      </c>
      <c r="D306" s="74">
        <v>71.0</v>
      </c>
      <c r="E306" s="17"/>
      <c r="F306" s="17"/>
      <c r="G306" s="17"/>
      <c r="H306" s="74" t="s">
        <v>720</v>
      </c>
    </row>
    <row r="307">
      <c r="A307" s="71"/>
      <c r="B307" s="16">
        <f t="shared" si="1"/>
        <v>305</v>
      </c>
      <c r="C307" s="74" t="s">
        <v>721</v>
      </c>
      <c r="D307" s="74">
        <v>7.0</v>
      </c>
      <c r="E307" s="17"/>
      <c r="F307" s="17"/>
      <c r="G307" s="17"/>
      <c r="H307" s="74" t="s">
        <v>722</v>
      </c>
    </row>
    <row r="308">
      <c r="A308" s="71"/>
      <c r="B308" s="16">
        <f t="shared" si="1"/>
        <v>306</v>
      </c>
      <c r="C308" s="74" t="s">
        <v>723</v>
      </c>
      <c r="D308" s="17"/>
      <c r="E308" s="17"/>
      <c r="F308" s="17"/>
      <c r="G308" s="17"/>
      <c r="H308" s="17"/>
    </row>
    <row r="309">
      <c r="A309" s="71"/>
      <c r="B309" s="16">
        <f t="shared" si="1"/>
        <v>307</v>
      </c>
      <c r="C309" s="74" t="s">
        <v>724</v>
      </c>
      <c r="D309" s="74">
        <v>33.0</v>
      </c>
      <c r="E309" s="17"/>
      <c r="F309" s="17"/>
      <c r="G309" s="17"/>
      <c r="H309" s="74" t="s">
        <v>477</v>
      </c>
    </row>
    <row r="310">
      <c r="A310" s="71"/>
      <c r="B310" s="16">
        <f t="shared" si="1"/>
        <v>308</v>
      </c>
      <c r="C310" s="74" t="s">
        <v>725</v>
      </c>
      <c r="D310" s="17"/>
      <c r="E310" s="17"/>
      <c r="F310" s="17"/>
      <c r="G310" s="17"/>
      <c r="H310" s="74" t="s">
        <v>452</v>
      </c>
    </row>
    <row r="311">
      <c r="A311" s="71"/>
      <c r="B311" s="16">
        <f t="shared" si="1"/>
        <v>309</v>
      </c>
      <c r="C311" s="74" t="s">
        <v>4444</v>
      </c>
      <c r="D311" s="74">
        <v>10.0</v>
      </c>
      <c r="E311" s="17"/>
      <c r="F311" s="17"/>
      <c r="G311" s="17"/>
      <c r="H311" s="17"/>
    </row>
    <row r="312">
      <c r="A312" s="71"/>
      <c r="B312" s="16">
        <f t="shared" si="1"/>
        <v>310</v>
      </c>
      <c r="C312" s="74" t="s">
        <v>726</v>
      </c>
      <c r="D312" s="17"/>
      <c r="E312" s="17"/>
      <c r="F312" s="17"/>
      <c r="G312" s="17"/>
      <c r="H312" s="17"/>
    </row>
    <row r="313">
      <c r="A313" s="71"/>
      <c r="B313" s="16">
        <f t="shared" si="1"/>
        <v>311</v>
      </c>
      <c r="C313" s="74" t="s">
        <v>727</v>
      </c>
      <c r="D313" s="74">
        <v>10.0</v>
      </c>
      <c r="E313" s="17"/>
      <c r="F313" s="17"/>
      <c r="G313" s="74" t="s">
        <v>330</v>
      </c>
      <c r="H313" s="74" t="s">
        <v>4445</v>
      </c>
    </row>
    <row r="314">
      <c r="A314" s="71"/>
      <c r="B314" s="16">
        <f t="shared" si="1"/>
        <v>312</v>
      </c>
      <c r="C314" s="74" t="s">
        <v>730</v>
      </c>
      <c r="D314" s="17"/>
      <c r="E314" s="17"/>
      <c r="F314" s="17"/>
      <c r="G314" s="17"/>
      <c r="H314" s="74" t="s">
        <v>731</v>
      </c>
    </row>
    <row r="315">
      <c r="A315" s="71"/>
      <c r="B315" s="16">
        <f t="shared" si="1"/>
        <v>313</v>
      </c>
      <c r="C315" s="74" t="s">
        <v>732</v>
      </c>
      <c r="D315" s="74">
        <v>40.0</v>
      </c>
      <c r="E315" s="17"/>
      <c r="F315" s="17"/>
      <c r="G315" s="74" t="s">
        <v>733</v>
      </c>
      <c r="H315" s="17"/>
    </row>
    <row r="316">
      <c r="A316" s="71"/>
      <c r="B316" s="16">
        <f t="shared" si="1"/>
        <v>314</v>
      </c>
      <c r="C316" s="74" t="s">
        <v>734</v>
      </c>
      <c r="D316" s="74">
        <v>12.0</v>
      </c>
      <c r="E316" s="17"/>
      <c r="F316" s="17"/>
      <c r="G316" s="17"/>
      <c r="H316" s="17"/>
    </row>
    <row r="317">
      <c r="A317" s="71"/>
      <c r="B317" s="16">
        <f t="shared" si="1"/>
        <v>315</v>
      </c>
      <c r="C317" s="74" t="s">
        <v>735</v>
      </c>
      <c r="D317" s="74">
        <v>42.0</v>
      </c>
      <c r="E317" s="17"/>
      <c r="F317" s="17"/>
      <c r="G317" s="17"/>
      <c r="H317" s="17"/>
    </row>
    <row r="318">
      <c r="A318" s="71"/>
      <c r="B318" s="16">
        <f t="shared" si="1"/>
        <v>316</v>
      </c>
      <c r="C318" s="74" t="s">
        <v>4446</v>
      </c>
      <c r="D318" s="74">
        <v>105.0</v>
      </c>
      <c r="E318" s="17"/>
      <c r="F318" s="17"/>
      <c r="G318" s="17"/>
      <c r="H318" s="17"/>
    </row>
    <row r="319">
      <c r="A319" s="71"/>
      <c r="B319" s="16">
        <f t="shared" si="1"/>
        <v>317</v>
      </c>
      <c r="C319" s="74" t="s">
        <v>736</v>
      </c>
      <c r="D319" s="17"/>
      <c r="E319" s="17"/>
      <c r="F319" s="17"/>
      <c r="G319" s="17"/>
      <c r="H319" s="17"/>
    </row>
    <row r="320">
      <c r="A320" s="71"/>
      <c r="B320" s="16">
        <f t="shared" si="1"/>
        <v>318</v>
      </c>
      <c r="C320" s="74" t="s">
        <v>4447</v>
      </c>
      <c r="D320" s="74">
        <v>105.0</v>
      </c>
      <c r="E320" s="17"/>
      <c r="F320" s="17"/>
      <c r="G320" s="17"/>
      <c r="H320" s="17"/>
    </row>
    <row r="321">
      <c r="A321" s="71"/>
      <c r="B321" s="16">
        <f t="shared" si="1"/>
        <v>319</v>
      </c>
      <c r="C321" s="74" t="s">
        <v>4448</v>
      </c>
      <c r="D321" s="74">
        <v>0.0</v>
      </c>
      <c r="E321" s="17"/>
      <c r="F321" s="17"/>
      <c r="G321" s="17"/>
      <c r="H321" s="17"/>
    </row>
    <row r="322">
      <c r="A322" s="71"/>
      <c r="B322" s="16">
        <f t="shared" si="1"/>
        <v>320</v>
      </c>
      <c r="C322" s="74" t="s">
        <v>4449</v>
      </c>
      <c r="D322" s="74">
        <v>48.0</v>
      </c>
      <c r="E322" s="17"/>
      <c r="F322" s="17"/>
      <c r="G322" s="17"/>
      <c r="H322" s="17"/>
    </row>
    <row r="323">
      <c r="A323" s="71"/>
      <c r="B323" s="16">
        <f t="shared" si="1"/>
        <v>321</v>
      </c>
      <c r="C323" s="74" t="s">
        <v>4450</v>
      </c>
      <c r="D323" s="74">
        <v>77.0</v>
      </c>
      <c r="E323" s="17"/>
      <c r="F323" s="17"/>
      <c r="G323" s="17"/>
      <c r="H323" s="17"/>
    </row>
    <row r="324">
      <c r="A324" s="71"/>
      <c r="B324" s="16">
        <f t="shared" si="1"/>
        <v>322</v>
      </c>
      <c r="C324" s="74" t="s">
        <v>4451</v>
      </c>
      <c r="D324" s="74">
        <v>77.0</v>
      </c>
      <c r="E324" s="17"/>
      <c r="F324" s="17"/>
      <c r="G324" s="17"/>
      <c r="H324" s="17"/>
    </row>
    <row r="325">
      <c r="A325" s="71"/>
      <c r="B325" s="16">
        <f t="shared" si="1"/>
        <v>323</v>
      </c>
      <c r="C325" s="74" t="s">
        <v>738</v>
      </c>
      <c r="D325" s="17"/>
      <c r="E325" s="74" t="s">
        <v>14</v>
      </c>
      <c r="F325" s="17"/>
      <c r="G325" s="17"/>
      <c r="H325" s="74" t="s">
        <v>739</v>
      </c>
    </row>
    <row r="326">
      <c r="A326" s="71"/>
      <c r="B326" s="16">
        <f t="shared" si="1"/>
        <v>324</v>
      </c>
      <c r="C326" s="74" t="s">
        <v>4452</v>
      </c>
      <c r="D326" s="74">
        <v>58.0</v>
      </c>
      <c r="E326" s="17"/>
      <c r="F326" s="17"/>
      <c r="G326" s="17"/>
      <c r="H326" s="17"/>
    </row>
    <row r="327">
      <c r="A327" s="71"/>
      <c r="B327" s="16">
        <f t="shared" si="1"/>
        <v>325</v>
      </c>
      <c r="C327" s="74" t="s">
        <v>740</v>
      </c>
      <c r="D327" s="74">
        <v>9.0</v>
      </c>
      <c r="E327" s="17"/>
      <c r="F327" s="17"/>
      <c r="G327" s="17"/>
      <c r="H327" s="17"/>
    </row>
    <row r="328">
      <c r="A328" s="71"/>
      <c r="B328" s="16">
        <f t="shared" si="1"/>
        <v>326</v>
      </c>
      <c r="C328" s="74" t="s">
        <v>741</v>
      </c>
      <c r="D328" s="74">
        <v>9.0</v>
      </c>
      <c r="E328" s="17"/>
      <c r="F328" s="17"/>
      <c r="G328" s="74" t="s">
        <v>742</v>
      </c>
      <c r="H328" s="17"/>
    </row>
    <row r="329">
      <c r="A329" s="71"/>
      <c r="B329" s="16">
        <f t="shared" si="1"/>
        <v>327</v>
      </c>
      <c r="C329" s="74" t="s">
        <v>743</v>
      </c>
      <c r="D329" s="74">
        <v>9.0</v>
      </c>
      <c r="E329" s="17"/>
      <c r="F329" s="17"/>
      <c r="G329" s="17"/>
      <c r="H329" s="17"/>
    </row>
    <row r="330">
      <c r="A330" s="71"/>
      <c r="B330" s="16">
        <f t="shared" si="1"/>
        <v>328</v>
      </c>
      <c r="C330" s="74" t="s">
        <v>744</v>
      </c>
      <c r="D330" s="74">
        <v>26.0</v>
      </c>
      <c r="E330" s="17"/>
      <c r="F330" s="17"/>
      <c r="G330" s="17"/>
      <c r="H330" s="74" t="s">
        <v>439</v>
      </c>
    </row>
    <row r="331">
      <c r="A331" s="71"/>
      <c r="B331" s="16">
        <f t="shared" si="1"/>
        <v>329</v>
      </c>
      <c r="C331" s="74" t="s">
        <v>745</v>
      </c>
      <c r="D331" s="74">
        <v>56.0</v>
      </c>
      <c r="E331" s="17"/>
      <c r="F331" s="17"/>
      <c r="G331" s="17"/>
      <c r="H331" s="74" t="s">
        <v>474</v>
      </c>
    </row>
    <row r="332">
      <c r="A332" s="71"/>
      <c r="B332" s="16">
        <f t="shared" si="1"/>
        <v>330</v>
      </c>
      <c r="C332" s="74" t="s">
        <v>4453</v>
      </c>
      <c r="D332" s="74">
        <v>38.0</v>
      </c>
      <c r="E332" s="17"/>
      <c r="F332" s="17"/>
      <c r="G332" s="17"/>
      <c r="H332" s="17"/>
    </row>
    <row r="333">
      <c r="A333" s="71"/>
      <c r="B333" s="16">
        <f t="shared" si="1"/>
        <v>331</v>
      </c>
      <c r="C333" s="74" t="s">
        <v>746</v>
      </c>
      <c r="D333" s="74">
        <v>32.0</v>
      </c>
      <c r="E333" s="17"/>
      <c r="F333" s="17"/>
      <c r="G333" s="17"/>
      <c r="H333" s="17"/>
    </row>
    <row r="334">
      <c r="A334" s="71"/>
      <c r="B334" s="16">
        <f t="shared" si="1"/>
        <v>332</v>
      </c>
      <c r="C334" s="74" t="s">
        <v>747</v>
      </c>
      <c r="D334" s="74">
        <v>32.0</v>
      </c>
      <c r="E334" s="17"/>
      <c r="F334" s="17"/>
      <c r="G334" s="17"/>
      <c r="H334" s="17"/>
    </row>
    <row r="335">
      <c r="A335" s="71"/>
      <c r="B335" s="16">
        <f t="shared" si="1"/>
        <v>333</v>
      </c>
      <c r="C335" s="74" t="s">
        <v>748</v>
      </c>
      <c r="D335" s="74">
        <v>56.0</v>
      </c>
      <c r="E335" s="17"/>
      <c r="F335" s="17"/>
      <c r="G335" s="17"/>
      <c r="H335" s="17"/>
    </row>
    <row r="336">
      <c r="A336" s="71"/>
      <c r="B336" s="16">
        <f t="shared" si="1"/>
        <v>334</v>
      </c>
      <c r="C336" s="74" t="s">
        <v>749</v>
      </c>
      <c r="D336" s="17"/>
      <c r="E336" s="74" t="s">
        <v>14</v>
      </c>
      <c r="F336" s="17"/>
      <c r="G336" s="17"/>
      <c r="H336" s="74" t="s">
        <v>15</v>
      </c>
    </row>
    <row r="337">
      <c r="A337" s="71"/>
      <c r="B337" s="16">
        <f t="shared" si="1"/>
        <v>335</v>
      </c>
      <c r="C337" s="74" t="s">
        <v>4454</v>
      </c>
      <c r="D337" s="74">
        <v>43.0</v>
      </c>
      <c r="E337" s="17"/>
      <c r="F337" s="17"/>
      <c r="G337" s="17"/>
      <c r="H337" s="17"/>
    </row>
    <row r="338">
      <c r="A338" s="71"/>
      <c r="B338" s="16">
        <f t="shared" si="1"/>
        <v>336</v>
      </c>
      <c r="C338" s="74" t="s">
        <v>750</v>
      </c>
      <c r="D338" s="74">
        <v>59.0</v>
      </c>
      <c r="E338" s="17"/>
      <c r="F338" s="17"/>
      <c r="G338" s="17"/>
      <c r="H338" s="17"/>
    </row>
    <row r="339">
      <c r="A339" s="71"/>
      <c r="B339" s="16">
        <f t="shared" si="1"/>
        <v>337</v>
      </c>
      <c r="C339" s="74" t="s">
        <v>751</v>
      </c>
      <c r="D339" s="74">
        <v>20.0</v>
      </c>
      <c r="E339" s="74" t="s">
        <v>752</v>
      </c>
      <c r="F339" s="17"/>
      <c r="G339" s="17"/>
      <c r="H339" s="74" t="s">
        <v>753</v>
      </c>
    </row>
    <row r="340">
      <c r="A340" s="71"/>
      <c r="B340" s="16">
        <f t="shared" si="1"/>
        <v>338</v>
      </c>
      <c r="C340" s="74" t="s">
        <v>754</v>
      </c>
      <c r="D340" s="74">
        <v>10.0</v>
      </c>
      <c r="E340" s="17"/>
      <c r="F340" s="17"/>
      <c r="G340" s="17"/>
      <c r="H340" s="74" t="s">
        <v>464</v>
      </c>
    </row>
    <row r="341">
      <c r="A341" s="71"/>
      <c r="B341" s="16">
        <f t="shared" si="1"/>
        <v>339</v>
      </c>
      <c r="C341" s="74" t="s">
        <v>755</v>
      </c>
      <c r="D341" s="74">
        <v>7.0</v>
      </c>
      <c r="E341" s="17"/>
      <c r="F341" s="17"/>
      <c r="G341" s="17"/>
      <c r="H341" s="74" t="s">
        <v>464</v>
      </c>
    </row>
    <row r="342">
      <c r="A342" s="71"/>
      <c r="B342" s="16">
        <f t="shared" si="1"/>
        <v>340</v>
      </c>
      <c r="C342" s="74" t="s">
        <v>756</v>
      </c>
      <c r="D342" s="74">
        <v>10.0</v>
      </c>
      <c r="E342" s="17"/>
      <c r="F342" s="17"/>
      <c r="G342" s="17"/>
      <c r="H342" s="74" t="s">
        <v>757</v>
      </c>
    </row>
    <row r="343">
      <c r="A343" s="71"/>
      <c r="B343" s="16">
        <f t="shared" si="1"/>
        <v>341</v>
      </c>
      <c r="C343" s="74" t="s">
        <v>758</v>
      </c>
      <c r="D343" s="74">
        <v>10.0</v>
      </c>
      <c r="E343" s="17"/>
      <c r="F343" s="17"/>
      <c r="G343" s="74" t="s">
        <v>330</v>
      </c>
      <c r="H343" s="74" t="s">
        <v>759</v>
      </c>
    </row>
    <row r="344">
      <c r="A344" s="71"/>
      <c r="B344" s="16">
        <f t="shared" si="1"/>
        <v>342</v>
      </c>
      <c r="C344" s="74" t="s">
        <v>760</v>
      </c>
      <c r="D344" s="74">
        <v>51.0</v>
      </c>
      <c r="E344" s="17"/>
      <c r="F344" s="17"/>
      <c r="G344" s="17"/>
      <c r="H344" s="74" t="s">
        <v>477</v>
      </c>
    </row>
    <row r="345">
      <c r="A345" s="71"/>
      <c r="B345" s="16">
        <f t="shared" si="1"/>
        <v>343</v>
      </c>
      <c r="C345" s="74" t="s">
        <v>761</v>
      </c>
      <c r="D345" s="74">
        <v>55.0</v>
      </c>
      <c r="E345" s="74" t="s">
        <v>14</v>
      </c>
      <c r="F345" s="17"/>
      <c r="G345" s="17"/>
      <c r="H345" s="74" t="s">
        <v>15</v>
      </c>
    </row>
    <row r="346">
      <c r="A346" s="71"/>
      <c r="B346" s="16">
        <f t="shared" si="1"/>
        <v>344</v>
      </c>
      <c r="C346" s="74" t="s">
        <v>762</v>
      </c>
      <c r="D346" s="74">
        <v>26.0</v>
      </c>
      <c r="E346" s="17"/>
      <c r="F346" s="17"/>
      <c r="G346" s="17"/>
      <c r="H346" s="74" t="s">
        <v>658</v>
      </c>
    </row>
    <row r="347">
      <c r="A347" s="71"/>
      <c r="B347" s="16">
        <f t="shared" si="1"/>
        <v>345</v>
      </c>
      <c r="C347" s="74" t="s">
        <v>763</v>
      </c>
      <c r="D347" s="74">
        <v>26.0</v>
      </c>
      <c r="E347" s="17"/>
      <c r="F347" s="17"/>
      <c r="G347" s="74" t="s">
        <v>330</v>
      </c>
      <c r="H347" s="74" t="s">
        <v>441</v>
      </c>
    </row>
    <row r="348">
      <c r="A348" s="71"/>
      <c r="B348" s="16">
        <f t="shared" si="1"/>
        <v>346</v>
      </c>
      <c r="C348" s="74" t="s">
        <v>764</v>
      </c>
      <c r="D348" s="74">
        <v>24.0</v>
      </c>
      <c r="E348" s="17"/>
      <c r="F348" s="17"/>
      <c r="G348" s="17"/>
      <c r="H348" s="17"/>
    </row>
    <row r="349">
      <c r="A349" s="71"/>
      <c r="B349" s="16">
        <f t="shared" si="1"/>
        <v>347</v>
      </c>
      <c r="C349" s="74" t="s">
        <v>765</v>
      </c>
      <c r="D349" s="74">
        <v>38.0</v>
      </c>
      <c r="E349" s="74" t="s">
        <v>766</v>
      </c>
      <c r="F349" s="17"/>
      <c r="G349" s="17"/>
      <c r="H349" s="74" t="s">
        <v>580</v>
      </c>
    </row>
    <row r="350">
      <c r="A350" s="71"/>
      <c r="B350" s="16">
        <f t="shared" si="1"/>
        <v>348</v>
      </c>
      <c r="C350" s="74" t="s">
        <v>4455</v>
      </c>
      <c r="D350" s="74">
        <v>59.0</v>
      </c>
      <c r="E350" s="17"/>
      <c r="F350" s="17"/>
      <c r="G350" s="17"/>
      <c r="H350" s="17"/>
    </row>
    <row r="351">
      <c r="A351" s="71"/>
      <c r="B351" s="16">
        <f t="shared" si="1"/>
        <v>349</v>
      </c>
      <c r="C351" s="74" t="s">
        <v>767</v>
      </c>
      <c r="D351" s="74">
        <v>17.0</v>
      </c>
      <c r="E351" s="74" t="s">
        <v>14</v>
      </c>
      <c r="F351" s="17"/>
      <c r="G351" s="17"/>
      <c r="H351" s="74" t="s">
        <v>15</v>
      </c>
    </row>
    <row r="352">
      <c r="A352" s="71"/>
      <c r="B352" s="16">
        <f t="shared" si="1"/>
        <v>350</v>
      </c>
      <c r="C352" s="74" t="s">
        <v>768</v>
      </c>
      <c r="D352" s="17"/>
      <c r="E352" s="17"/>
      <c r="F352" s="17"/>
      <c r="G352" s="17"/>
      <c r="H352" s="74" t="s">
        <v>450</v>
      </c>
    </row>
    <row r="353">
      <c r="A353" s="71"/>
      <c r="B353" s="16">
        <f t="shared" si="1"/>
        <v>351</v>
      </c>
      <c r="C353" s="74" t="s">
        <v>4456</v>
      </c>
      <c r="D353" s="74">
        <v>0.0</v>
      </c>
      <c r="E353" s="17"/>
      <c r="F353" s="17"/>
      <c r="G353" s="17"/>
      <c r="H353" s="17"/>
    </row>
    <row r="354">
      <c r="A354" s="71"/>
      <c r="B354" s="16">
        <f t="shared" si="1"/>
        <v>352</v>
      </c>
      <c r="C354" s="74" t="s">
        <v>4457</v>
      </c>
      <c r="D354" s="74">
        <v>0.0</v>
      </c>
      <c r="E354" s="17"/>
      <c r="F354" s="17"/>
      <c r="G354" s="17"/>
      <c r="H354" s="17"/>
    </row>
    <row r="355">
      <c r="A355" s="71"/>
      <c r="B355" s="16">
        <f t="shared" si="1"/>
        <v>353</v>
      </c>
      <c r="C355" s="74" t="s">
        <v>4458</v>
      </c>
      <c r="D355" s="74">
        <v>7.0</v>
      </c>
      <c r="E355" s="17"/>
      <c r="F355" s="17"/>
      <c r="G355" s="17"/>
      <c r="H355" s="17"/>
    </row>
    <row r="356">
      <c r="A356" s="71"/>
      <c r="B356" s="16">
        <f t="shared" si="1"/>
        <v>354</v>
      </c>
      <c r="C356" s="74" t="s">
        <v>769</v>
      </c>
      <c r="D356" s="74">
        <v>45.0</v>
      </c>
      <c r="E356" s="17"/>
      <c r="F356" s="17"/>
      <c r="G356" s="17"/>
      <c r="H356" s="17"/>
    </row>
    <row r="357">
      <c r="A357" s="71"/>
      <c r="B357" s="16">
        <f t="shared" si="1"/>
        <v>355</v>
      </c>
      <c r="C357" s="74" t="s">
        <v>4459</v>
      </c>
      <c r="D357" s="74">
        <v>76.0</v>
      </c>
      <c r="E357" s="17"/>
      <c r="F357" s="17"/>
      <c r="G357" s="17"/>
      <c r="H357" s="17"/>
    </row>
    <row r="358">
      <c r="A358" s="71"/>
      <c r="B358" s="16">
        <f t="shared" si="1"/>
        <v>356</v>
      </c>
      <c r="C358" s="74" t="s">
        <v>770</v>
      </c>
      <c r="D358" s="74">
        <v>25.0</v>
      </c>
      <c r="E358" s="17"/>
      <c r="F358" s="17"/>
      <c r="G358" s="17"/>
      <c r="H358" s="17"/>
    </row>
    <row r="359">
      <c r="A359" s="71"/>
      <c r="B359" s="16">
        <f t="shared" si="1"/>
        <v>357</v>
      </c>
      <c r="C359" s="74" t="s">
        <v>770</v>
      </c>
      <c r="D359" s="74">
        <v>29.0</v>
      </c>
      <c r="E359" s="17"/>
      <c r="F359" s="17"/>
      <c r="G359" s="17"/>
      <c r="H359" s="17"/>
    </row>
    <row r="360">
      <c r="A360" s="71"/>
      <c r="B360" s="16">
        <f t="shared" si="1"/>
        <v>358</v>
      </c>
      <c r="C360" s="74" t="s">
        <v>771</v>
      </c>
      <c r="D360" s="74">
        <v>24.0</v>
      </c>
      <c r="E360" s="17"/>
      <c r="F360" s="17"/>
      <c r="G360" s="17"/>
      <c r="H360" s="74" t="s">
        <v>474</v>
      </c>
    </row>
    <row r="361">
      <c r="A361" s="71"/>
      <c r="B361" s="16">
        <f t="shared" si="1"/>
        <v>359</v>
      </c>
      <c r="C361" s="74" t="s">
        <v>772</v>
      </c>
      <c r="D361" s="17"/>
      <c r="E361" s="74" t="s">
        <v>14</v>
      </c>
      <c r="F361" s="17"/>
      <c r="G361" s="17"/>
      <c r="H361" s="74" t="s">
        <v>15</v>
      </c>
    </row>
    <row r="362">
      <c r="A362" s="71"/>
      <c r="B362" s="16">
        <f t="shared" si="1"/>
        <v>360</v>
      </c>
      <c r="C362" s="74" t="s">
        <v>773</v>
      </c>
      <c r="D362" s="74">
        <v>31.0</v>
      </c>
      <c r="E362" s="17"/>
      <c r="F362" s="17"/>
      <c r="G362" s="17"/>
      <c r="H362" s="74" t="s">
        <v>482</v>
      </c>
    </row>
    <row r="363">
      <c r="A363" s="71"/>
      <c r="B363" s="16">
        <f t="shared" si="1"/>
        <v>361</v>
      </c>
      <c r="C363" s="74" t="s">
        <v>774</v>
      </c>
      <c r="D363" s="74">
        <v>59.0</v>
      </c>
      <c r="E363" s="17"/>
      <c r="F363" s="17"/>
      <c r="G363" s="17"/>
      <c r="H363" s="17"/>
    </row>
    <row r="364">
      <c r="A364" s="71"/>
      <c r="B364" s="16">
        <f t="shared" si="1"/>
        <v>362</v>
      </c>
      <c r="C364" s="74" t="s">
        <v>775</v>
      </c>
      <c r="D364" s="74">
        <v>72.0</v>
      </c>
      <c r="E364" s="17"/>
      <c r="F364" s="17"/>
      <c r="G364" s="17"/>
      <c r="H364" s="17"/>
    </row>
    <row r="365">
      <c r="A365" s="71"/>
      <c r="B365" s="16">
        <f t="shared" si="1"/>
        <v>363</v>
      </c>
      <c r="C365" s="74" t="s">
        <v>4460</v>
      </c>
      <c r="D365" s="74">
        <v>67.0</v>
      </c>
      <c r="E365" s="17"/>
      <c r="F365" s="17"/>
      <c r="G365" s="17"/>
      <c r="H365" s="17"/>
    </row>
    <row r="366">
      <c r="A366" s="71"/>
      <c r="B366" s="16">
        <f t="shared" si="1"/>
        <v>364</v>
      </c>
      <c r="C366" s="74" t="s">
        <v>4461</v>
      </c>
      <c r="D366" s="74">
        <v>64.0</v>
      </c>
      <c r="E366" s="17"/>
      <c r="F366" s="17"/>
      <c r="G366" s="17"/>
      <c r="H366" s="17"/>
    </row>
    <row r="367">
      <c r="A367" s="71"/>
      <c r="B367" s="16">
        <f t="shared" si="1"/>
        <v>365</v>
      </c>
      <c r="C367" s="74" t="s">
        <v>4462</v>
      </c>
      <c r="D367" s="74">
        <v>0.0</v>
      </c>
      <c r="E367" s="17"/>
      <c r="F367" s="17"/>
      <c r="G367" s="17"/>
      <c r="H367" s="17"/>
    </row>
    <row r="368">
      <c r="A368" s="71"/>
      <c r="B368" s="16">
        <f t="shared" si="1"/>
        <v>366</v>
      </c>
      <c r="C368" s="74" t="s">
        <v>4463</v>
      </c>
      <c r="D368" s="74">
        <v>32.0</v>
      </c>
      <c r="E368" s="17"/>
      <c r="F368" s="17"/>
      <c r="G368" s="17"/>
      <c r="H368" s="17"/>
    </row>
    <row r="369">
      <c r="A369" s="71"/>
      <c r="B369" s="16">
        <f t="shared" si="1"/>
        <v>367</v>
      </c>
      <c r="C369" s="74" t="s">
        <v>4464</v>
      </c>
      <c r="D369" s="74">
        <v>38.0</v>
      </c>
      <c r="E369" s="17"/>
      <c r="F369" s="17"/>
      <c r="G369" s="17"/>
      <c r="H369" s="17"/>
    </row>
    <row r="370">
      <c r="A370" s="71"/>
      <c r="B370" s="16">
        <f t="shared" si="1"/>
        <v>368</v>
      </c>
      <c r="C370" s="74" t="s">
        <v>4465</v>
      </c>
      <c r="D370" s="74">
        <v>62.0</v>
      </c>
      <c r="E370" s="17"/>
      <c r="F370" s="17"/>
      <c r="G370" s="17"/>
      <c r="H370" s="17"/>
    </row>
    <row r="371">
      <c r="A371" s="71"/>
      <c r="B371" s="16">
        <f t="shared" si="1"/>
        <v>369</v>
      </c>
      <c r="C371" s="74" t="s">
        <v>4466</v>
      </c>
      <c r="D371" s="74">
        <v>68.0</v>
      </c>
      <c r="E371" s="17"/>
      <c r="F371" s="17"/>
      <c r="G371" s="17"/>
      <c r="H371" s="17"/>
    </row>
    <row r="372">
      <c r="A372" s="71"/>
      <c r="B372" s="16">
        <f t="shared" si="1"/>
        <v>370</v>
      </c>
      <c r="C372" s="74" t="s">
        <v>776</v>
      </c>
      <c r="D372" s="74">
        <v>20.0</v>
      </c>
      <c r="E372" s="17"/>
      <c r="F372" s="17"/>
      <c r="G372" s="17"/>
      <c r="H372" s="74" t="s">
        <v>437</v>
      </c>
    </row>
    <row r="373">
      <c r="A373" s="71"/>
      <c r="B373" s="16">
        <f t="shared" si="1"/>
        <v>371</v>
      </c>
      <c r="C373" s="74" t="s">
        <v>4467</v>
      </c>
      <c r="D373" s="74">
        <v>37.0</v>
      </c>
      <c r="E373" s="17"/>
      <c r="F373" s="17"/>
      <c r="G373" s="17"/>
      <c r="H373" s="17"/>
    </row>
    <row r="374">
      <c r="A374" s="71"/>
      <c r="B374" s="16">
        <f t="shared" si="1"/>
        <v>372</v>
      </c>
      <c r="C374" s="74" t="s">
        <v>777</v>
      </c>
      <c r="D374" s="74">
        <v>14.0</v>
      </c>
      <c r="E374" s="17"/>
      <c r="F374" s="17"/>
      <c r="G374" s="17"/>
      <c r="H374" s="17"/>
    </row>
    <row r="375">
      <c r="A375" s="71"/>
      <c r="B375" s="16">
        <f t="shared" si="1"/>
        <v>373</v>
      </c>
      <c r="C375" s="74" t="s">
        <v>778</v>
      </c>
      <c r="D375" s="74">
        <v>38.0</v>
      </c>
      <c r="E375" s="17"/>
      <c r="F375" s="17"/>
      <c r="G375" s="17"/>
      <c r="H375" s="74" t="s">
        <v>700</v>
      </c>
    </row>
    <row r="376">
      <c r="A376" s="71"/>
      <c r="B376" s="16">
        <f t="shared" si="1"/>
        <v>374</v>
      </c>
      <c r="C376" s="74" t="s">
        <v>779</v>
      </c>
      <c r="D376" s="74">
        <v>65.0</v>
      </c>
      <c r="E376" s="17"/>
      <c r="F376" s="17"/>
      <c r="G376" s="17"/>
      <c r="H376" s="17"/>
    </row>
    <row r="377">
      <c r="A377" s="38"/>
      <c r="B377" s="16">
        <f t="shared" si="1"/>
        <v>375</v>
      </c>
      <c r="C377" s="78" t="s">
        <v>780</v>
      </c>
      <c r="D377" s="38"/>
      <c r="E377" s="38"/>
      <c r="F377" s="38"/>
      <c r="G377" s="38"/>
      <c r="H377" s="78" t="s">
        <v>450</v>
      </c>
    </row>
    <row r="378">
      <c r="A378" s="38"/>
      <c r="B378" s="16">
        <f t="shared" si="1"/>
        <v>376</v>
      </c>
      <c r="C378" s="78" t="s">
        <v>4468</v>
      </c>
      <c r="D378" s="78">
        <v>40.0</v>
      </c>
      <c r="E378" s="38"/>
      <c r="F378" s="38"/>
      <c r="G378" s="38"/>
      <c r="H378" s="38"/>
    </row>
    <row r="379">
      <c r="A379" s="38"/>
      <c r="B379" s="16">
        <f t="shared" si="1"/>
        <v>377</v>
      </c>
      <c r="C379" s="78" t="s">
        <v>781</v>
      </c>
      <c r="D379" s="78">
        <v>16.0</v>
      </c>
      <c r="E379" s="38"/>
      <c r="F379" s="38"/>
      <c r="G379" s="38"/>
      <c r="H379" s="78" t="s">
        <v>782</v>
      </c>
    </row>
    <row r="380">
      <c r="A380" s="38"/>
      <c r="B380" s="16">
        <f t="shared" si="1"/>
        <v>378</v>
      </c>
      <c r="C380" s="78" t="s">
        <v>4469</v>
      </c>
      <c r="D380" s="78">
        <v>0.0</v>
      </c>
      <c r="E380" s="38"/>
      <c r="F380" s="38"/>
      <c r="G380" s="38"/>
      <c r="H380" s="38"/>
    </row>
    <row r="381">
      <c r="A381" s="38"/>
      <c r="B381" s="16">
        <f t="shared" si="1"/>
        <v>379</v>
      </c>
      <c r="C381" s="78" t="s">
        <v>783</v>
      </c>
      <c r="D381" s="78">
        <v>58.0</v>
      </c>
      <c r="E381" s="38"/>
      <c r="F381" s="38"/>
      <c r="G381" s="38"/>
      <c r="H381" s="38"/>
    </row>
    <row r="382">
      <c r="A382" s="38"/>
      <c r="B382" s="16">
        <f t="shared" si="1"/>
        <v>380</v>
      </c>
      <c r="C382" s="78" t="s">
        <v>784</v>
      </c>
      <c r="D382" s="78">
        <v>58.0</v>
      </c>
      <c r="E382" s="38"/>
      <c r="F382" s="38"/>
      <c r="G382" s="38"/>
      <c r="H382" s="38"/>
    </row>
    <row r="383">
      <c r="A383" s="38"/>
      <c r="B383" s="16">
        <f t="shared" si="1"/>
        <v>381</v>
      </c>
      <c r="C383" s="78" t="s">
        <v>785</v>
      </c>
      <c r="D383" s="78">
        <v>54.0</v>
      </c>
      <c r="E383" s="38"/>
      <c r="F383" s="38"/>
      <c r="G383" s="38"/>
      <c r="H383" s="78" t="s">
        <v>439</v>
      </c>
    </row>
    <row r="384">
      <c r="A384" s="38"/>
      <c r="B384" s="16">
        <f t="shared" si="1"/>
        <v>382</v>
      </c>
      <c r="C384" s="78" t="s">
        <v>786</v>
      </c>
      <c r="D384" s="78">
        <v>4.0</v>
      </c>
      <c r="E384" s="38"/>
      <c r="F384" s="38"/>
      <c r="G384" s="78" t="s">
        <v>330</v>
      </c>
      <c r="H384" s="78" t="s">
        <v>787</v>
      </c>
    </row>
    <row r="385">
      <c r="A385" s="38"/>
      <c r="B385" s="16">
        <f t="shared" si="1"/>
        <v>383</v>
      </c>
      <c r="C385" s="78" t="s">
        <v>788</v>
      </c>
      <c r="D385" s="38"/>
      <c r="E385" s="38"/>
      <c r="F385" s="38"/>
      <c r="G385" s="38"/>
      <c r="H385" s="78" t="s">
        <v>450</v>
      </c>
    </row>
    <row r="386">
      <c r="A386" s="38"/>
      <c r="B386" s="16">
        <f t="shared" si="1"/>
        <v>384</v>
      </c>
      <c r="C386" s="78" t="s">
        <v>789</v>
      </c>
      <c r="D386" s="38"/>
      <c r="E386" s="38"/>
      <c r="F386" s="38"/>
      <c r="G386" s="38"/>
      <c r="H386" s="78" t="s">
        <v>450</v>
      </c>
    </row>
    <row r="387">
      <c r="A387" s="38"/>
      <c r="B387" s="16">
        <f t="shared" si="1"/>
        <v>385</v>
      </c>
      <c r="C387" s="78" t="s">
        <v>790</v>
      </c>
      <c r="D387" s="38"/>
      <c r="E387" s="38"/>
      <c r="F387" s="38"/>
      <c r="G387" s="38"/>
      <c r="H387" s="38"/>
    </row>
    <row r="388">
      <c r="A388" s="38"/>
      <c r="B388" s="16">
        <f t="shared" si="1"/>
        <v>386</v>
      </c>
      <c r="C388" s="78" t="s">
        <v>791</v>
      </c>
      <c r="D388" s="78">
        <v>20.0</v>
      </c>
      <c r="E388" s="38"/>
      <c r="F388" s="38"/>
      <c r="G388" s="38"/>
      <c r="H388" s="78" t="s">
        <v>792</v>
      </c>
    </row>
    <row r="389">
      <c r="A389" s="38"/>
      <c r="B389" s="16">
        <f t="shared" si="1"/>
        <v>387</v>
      </c>
      <c r="C389" s="78" t="s">
        <v>793</v>
      </c>
      <c r="D389" s="78">
        <v>42.0</v>
      </c>
      <c r="E389" s="78" t="s">
        <v>14</v>
      </c>
      <c r="F389" s="38"/>
      <c r="G389" s="38"/>
      <c r="H389" s="78" t="s">
        <v>15</v>
      </c>
    </row>
    <row r="390">
      <c r="A390" s="38"/>
      <c r="B390" s="16">
        <f t="shared" si="1"/>
        <v>388</v>
      </c>
      <c r="C390" s="78" t="s">
        <v>794</v>
      </c>
      <c r="D390" s="38"/>
      <c r="E390" s="38"/>
      <c r="F390" s="38"/>
      <c r="G390" s="38"/>
      <c r="H390" s="78" t="s">
        <v>477</v>
      </c>
    </row>
    <row r="391">
      <c r="A391" s="38"/>
      <c r="B391" s="16">
        <f t="shared" si="1"/>
        <v>389</v>
      </c>
      <c r="C391" s="78" t="s">
        <v>4470</v>
      </c>
      <c r="D391" s="78">
        <v>14.0</v>
      </c>
      <c r="E391" s="38"/>
      <c r="F391" s="38"/>
      <c r="G391" s="38"/>
      <c r="H391" s="38"/>
    </row>
    <row r="392">
      <c r="A392" s="38"/>
      <c r="B392" s="16">
        <f t="shared" si="1"/>
        <v>390</v>
      </c>
      <c r="C392" s="78" t="s">
        <v>795</v>
      </c>
      <c r="D392" s="78">
        <v>78.0</v>
      </c>
      <c r="E392" s="78" t="s">
        <v>14</v>
      </c>
      <c r="F392" s="38"/>
      <c r="G392" s="38"/>
      <c r="H392" s="78" t="s">
        <v>486</v>
      </c>
    </row>
    <row r="393">
      <c r="A393" s="38"/>
      <c r="B393" s="16">
        <f t="shared" si="1"/>
        <v>391</v>
      </c>
      <c r="C393" s="78" t="s">
        <v>796</v>
      </c>
      <c r="D393" s="78">
        <v>14.0</v>
      </c>
      <c r="E393" s="78" t="s">
        <v>14</v>
      </c>
      <c r="F393" s="38"/>
      <c r="G393" s="38"/>
      <c r="H393" s="78" t="s">
        <v>486</v>
      </c>
    </row>
    <row r="394">
      <c r="A394" s="38"/>
      <c r="B394" s="16">
        <f t="shared" si="1"/>
        <v>392</v>
      </c>
      <c r="C394" s="78" t="s">
        <v>797</v>
      </c>
      <c r="D394" s="78">
        <v>15.0</v>
      </c>
      <c r="E394" s="38"/>
      <c r="F394" s="38"/>
      <c r="G394" s="38"/>
      <c r="H394" s="38"/>
    </row>
    <row r="395">
      <c r="A395" s="38"/>
      <c r="B395" s="16">
        <f t="shared" si="1"/>
        <v>393</v>
      </c>
      <c r="C395" s="78" t="s">
        <v>798</v>
      </c>
      <c r="D395" s="78">
        <v>19.0</v>
      </c>
      <c r="E395" s="38"/>
      <c r="F395" s="38"/>
      <c r="G395" s="38"/>
      <c r="H395" s="38"/>
    </row>
    <row r="396">
      <c r="A396" s="38"/>
      <c r="B396" s="16">
        <f t="shared" si="1"/>
        <v>394</v>
      </c>
      <c r="C396" s="78" t="s">
        <v>799</v>
      </c>
      <c r="D396" s="38"/>
      <c r="E396" s="38"/>
      <c r="F396" s="38"/>
      <c r="G396" s="38"/>
      <c r="H396" s="78" t="s">
        <v>450</v>
      </c>
    </row>
    <row r="397">
      <c r="A397" s="38"/>
      <c r="B397" s="16">
        <f t="shared" si="1"/>
        <v>395</v>
      </c>
      <c r="C397" s="78" t="s">
        <v>4363</v>
      </c>
      <c r="D397" s="78">
        <v>8.0</v>
      </c>
      <c r="E397" s="38"/>
      <c r="F397" s="38"/>
      <c r="G397" s="38"/>
      <c r="H397" s="38"/>
    </row>
    <row r="398">
      <c r="A398" s="38"/>
      <c r="B398" s="16">
        <f t="shared" si="1"/>
        <v>396</v>
      </c>
      <c r="C398" s="78" t="s">
        <v>801</v>
      </c>
      <c r="D398" s="78">
        <v>40.0</v>
      </c>
      <c r="E398" s="38"/>
      <c r="F398" s="38"/>
      <c r="G398" s="38"/>
      <c r="H398" s="78" t="s">
        <v>802</v>
      </c>
    </row>
    <row r="399">
      <c r="A399" s="38"/>
      <c r="B399" s="16">
        <f t="shared" si="1"/>
        <v>397</v>
      </c>
      <c r="C399" s="78" t="s">
        <v>4471</v>
      </c>
      <c r="D399" s="78">
        <v>40.0</v>
      </c>
      <c r="E399" s="38"/>
      <c r="F399" s="38"/>
      <c r="G399" s="38"/>
      <c r="H399" s="38"/>
    </row>
    <row r="400">
      <c r="A400" s="38"/>
      <c r="B400" s="16">
        <f t="shared" si="1"/>
        <v>398</v>
      </c>
      <c r="C400" s="78" t="s">
        <v>803</v>
      </c>
      <c r="D400" s="38"/>
      <c r="E400" s="78" t="s">
        <v>14</v>
      </c>
      <c r="F400" s="38"/>
      <c r="G400" s="38"/>
      <c r="H400" s="78" t="s">
        <v>15</v>
      </c>
    </row>
    <row r="401">
      <c r="A401" s="38"/>
      <c r="B401" s="16">
        <f t="shared" si="1"/>
        <v>399</v>
      </c>
      <c r="C401" s="78" t="s">
        <v>804</v>
      </c>
      <c r="D401" s="78">
        <v>68.0</v>
      </c>
      <c r="E401" s="38"/>
      <c r="F401" s="38"/>
      <c r="G401" s="38"/>
      <c r="H401" s="38"/>
    </row>
    <row r="402">
      <c r="A402" s="38"/>
      <c r="B402" s="16">
        <f t="shared" si="1"/>
        <v>400</v>
      </c>
      <c r="C402" s="78" t="s">
        <v>805</v>
      </c>
      <c r="D402" s="78">
        <v>68.0</v>
      </c>
      <c r="E402" s="38"/>
      <c r="F402" s="38"/>
      <c r="G402" s="38"/>
      <c r="H402" s="38"/>
    </row>
    <row r="403">
      <c r="A403" s="38"/>
      <c r="B403" s="16">
        <f t="shared" si="1"/>
        <v>401</v>
      </c>
      <c r="C403" s="78" t="s">
        <v>806</v>
      </c>
      <c r="D403" s="78">
        <v>14.0</v>
      </c>
      <c r="E403" s="38"/>
      <c r="F403" s="38"/>
      <c r="G403" s="78" t="s">
        <v>330</v>
      </c>
      <c r="H403" s="78" t="s">
        <v>441</v>
      </c>
    </row>
    <row r="404">
      <c r="A404" s="38"/>
      <c r="B404" s="16">
        <f t="shared" si="1"/>
        <v>402</v>
      </c>
      <c r="C404" s="78" t="s">
        <v>807</v>
      </c>
      <c r="D404" s="78">
        <v>23.0</v>
      </c>
      <c r="E404" s="78" t="s">
        <v>14</v>
      </c>
      <c r="F404" s="38"/>
      <c r="G404" s="38"/>
      <c r="H404" s="78" t="s">
        <v>488</v>
      </c>
    </row>
    <row r="405">
      <c r="A405" s="38"/>
      <c r="B405" s="16">
        <f t="shared" si="1"/>
        <v>403</v>
      </c>
      <c r="C405" s="78" t="s">
        <v>808</v>
      </c>
      <c r="D405" s="78">
        <v>63.0</v>
      </c>
      <c r="E405" s="38"/>
      <c r="F405" s="38"/>
      <c r="G405" s="38"/>
      <c r="H405" s="38"/>
    </row>
    <row r="406">
      <c r="A406" s="38"/>
      <c r="B406" s="16">
        <f t="shared" si="1"/>
        <v>404</v>
      </c>
      <c r="C406" s="78" t="s">
        <v>809</v>
      </c>
      <c r="D406" s="78">
        <v>14.0</v>
      </c>
      <c r="E406" s="38"/>
      <c r="F406" s="38"/>
      <c r="G406" s="38"/>
      <c r="H406" s="78" t="s">
        <v>792</v>
      </c>
    </row>
    <row r="407">
      <c r="A407" s="38"/>
      <c r="B407" s="16">
        <f t="shared" si="1"/>
        <v>405</v>
      </c>
      <c r="C407" s="78" t="s">
        <v>810</v>
      </c>
      <c r="D407" s="78">
        <v>45.0</v>
      </c>
      <c r="E407" s="78" t="s">
        <v>811</v>
      </c>
      <c r="F407" s="38"/>
      <c r="G407" s="38"/>
      <c r="H407" s="78" t="s">
        <v>812</v>
      </c>
    </row>
    <row r="408">
      <c r="A408" s="38"/>
      <c r="B408" s="16">
        <f t="shared" si="1"/>
        <v>406</v>
      </c>
      <c r="C408" s="78" t="s">
        <v>813</v>
      </c>
      <c r="D408" s="78">
        <v>40.0</v>
      </c>
      <c r="E408" s="38"/>
      <c r="F408" s="38"/>
      <c r="G408" s="38"/>
      <c r="H408" s="78" t="s">
        <v>814</v>
      </c>
    </row>
    <row r="409">
      <c r="A409" s="38"/>
      <c r="B409" s="16">
        <f t="shared" si="1"/>
        <v>407</v>
      </c>
      <c r="C409" s="78" t="s">
        <v>815</v>
      </c>
      <c r="D409" s="78">
        <v>16.0</v>
      </c>
      <c r="E409" s="38"/>
      <c r="F409" s="38"/>
      <c r="G409" s="38"/>
      <c r="H409" s="38"/>
    </row>
    <row r="410">
      <c r="A410" s="38"/>
      <c r="B410" s="16">
        <f t="shared" si="1"/>
        <v>408</v>
      </c>
      <c r="C410" s="78" t="s">
        <v>816</v>
      </c>
      <c r="D410" s="78">
        <v>16.0</v>
      </c>
      <c r="E410" s="38"/>
      <c r="F410" s="38"/>
      <c r="G410" s="38"/>
      <c r="H410" s="38"/>
    </row>
    <row r="411">
      <c r="A411" s="38"/>
      <c r="B411" s="16">
        <f t="shared" si="1"/>
        <v>409</v>
      </c>
      <c r="C411" s="78" t="s">
        <v>817</v>
      </c>
      <c r="D411" s="78">
        <v>49.0</v>
      </c>
      <c r="E411" s="78" t="s">
        <v>811</v>
      </c>
      <c r="F411" s="38"/>
      <c r="G411" s="38"/>
      <c r="H411" s="78" t="s">
        <v>818</v>
      </c>
    </row>
    <row r="412">
      <c r="A412" s="38"/>
      <c r="B412" s="16">
        <f t="shared" si="1"/>
        <v>410</v>
      </c>
      <c r="C412" s="78" t="s">
        <v>819</v>
      </c>
      <c r="D412" s="78">
        <v>40.0</v>
      </c>
      <c r="E412" s="38"/>
      <c r="F412" s="38"/>
      <c r="G412" s="38"/>
      <c r="H412" s="78" t="s">
        <v>820</v>
      </c>
    </row>
    <row r="413">
      <c r="A413" s="38"/>
      <c r="B413" s="16">
        <f t="shared" si="1"/>
        <v>411</v>
      </c>
      <c r="C413" s="78" t="s">
        <v>821</v>
      </c>
      <c r="D413" s="78">
        <v>78.0</v>
      </c>
      <c r="E413" s="38"/>
      <c r="F413" s="38"/>
      <c r="G413" s="38"/>
      <c r="H413" s="78" t="s">
        <v>792</v>
      </c>
    </row>
    <row r="414">
      <c r="A414" s="38"/>
      <c r="B414" s="16">
        <f t="shared" si="1"/>
        <v>412</v>
      </c>
      <c r="C414" s="78" t="s">
        <v>822</v>
      </c>
      <c r="D414" s="78">
        <v>15.0</v>
      </c>
      <c r="E414" s="38"/>
      <c r="F414" s="38"/>
      <c r="G414" s="38"/>
      <c r="H414" s="78" t="s">
        <v>823</v>
      </c>
    </row>
    <row r="415">
      <c r="A415" s="38"/>
      <c r="B415" s="16">
        <f t="shared" si="1"/>
        <v>413</v>
      </c>
      <c r="C415" s="78" t="s">
        <v>824</v>
      </c>
      <c r="D415" s="38"/>
      <c r="E415" s="38"/>
      <c r="F415" s="38"/>
      <c r="G415" s="38"/>
      <c r="H415" s="78" t="s">
        <v>450</v>
      </c>
    </row>
    <row r="416">
      <c r="A416" s="38"/>
      <c r="B416" s="16">
        <f t="shared" si="1"/>
        <v>414</v>
      </c>
      <c r="C416" s="78" t="s">
        <v>4472</v>
      </c>
      <c r="D416" s="78">
        <v>32.0</v>
      </c>
      <c r="E416" s="38"/>
      <c r="F416" s="38"/>
      <c r="G416" s="38"/>
      <c r="H416" s="38"/>
    </row>
    <row r="417">
      <c r="A417" s="38"/>
      <c r="B417" s="16">
        <f t="shared" si="1"/>
        <v>415</v>
      </c>
      <c r="C417" s="78" t="s">
        <v>4473</v>
      </c>
      <c r="D417" s="78">
        <v>34.0</v>
      </c>
      <c r="E417" s="38"/>
      <c r="F417" s="38"/>
      <c r="G417" s="38"/>
      <c r="H417" s="38"/>
    </row>
    <row r="418">
      <c r="A418" s="38"/>
      <c r="B418" s="16">
        <f t="shared" si="1"/>
        <v>416</v>
      </c>
      <c r="C418" s="78" t="s">
        <v>825</v>
      </c>
      <c r="D418" s="38"/>
      <c r="E418" s="38"/>
      <c r="F418" s="38"/>
      <c r="G418" s="38"/>
      <c r="H418" s="38"/>
    </row>
    <row r="419">
      <c r="A419" s="38"/>
      <c r="B419" s="16">
        <f t="shared" si="1"/>
        <v>417</v>
      </c>
      <c r="C419" s="78" t="s">
        <v>4474</v>
      </c>
      <c r="D419" s="78">
        <v>50.0</v>
      </c>
      <c r="E419" s="38"/>
      <c r="F419" s="38"/>
      <c r="G419" s="38"/>
      <c r="H419" s="79"/>
    </row>
    <row r="420">
      <c r="A420" s="38"/>
      <c r="B420" s="16">
        <f t="shared" si="1"/>
        <v>418</v>
      </c>
      <c r="C420" s="78" t="s">
        <v>826</v>
      </c>
      <c r="D420" s="38"/>
      <c r="E420" s="38"/>
      <c r="F420" s="38"/>
      <c r="G420" s="38"/>
      <c r="H420" s="78" t="s">
        <v>450</v>
      </c>
    </row>
    <row r="421">
      <c r="A421" s="38"/>
      <c r="B421" s="16">
        <f t="shared" si="1"/>
        <v>419</v>
      </c>
      <c r="C421" s="78" t="s">
        <v>827</v>
      </c>
      <c r="D421" s="38"/>
      <c r="E421" s="38"/>
      <c r="F421" s="38"/>
      <c r="G421" s="38"/>
      <c r="H421" s="38"/>
    </row>
    <row r="422">
      <c r="A422" s="38"/>
      <c r="B422" s="16">
        <f t="shared" si="1"/>
        <v>420</v>
      </c>
      <c r="C422" s="78" t="s">
        <v>828</v>
      </c>
      <c r="D422" s="78">
        <v>37.0</v>
      </c>
      <c r="E422" s="38"/>
      <c r="F422" s="38"/>
      <c r="G422" s="38"/>
      <c r="H422" s="78" t="s">
        <v>464</v>
      </c>
    </row>
    <row r="423">
      <c r="A423" s="38"/>
      <c r="B423" s="16">
        <f t="shared" si="1"/>
        <v>421</v>
      </c>
      <c r="C423" s="78" t="s">
        <v>829</v>
      </c>
      <c r="D423" s="78">
        <v>37.0</v>
      </c>
      <c r="E423" s="38"/>
      <c r="F423" s="38"/>
      <c r="G423" s="38"/>
      <c r="H423" s="78" t="s">
        <v>450</v>
      </c>
    </row>
    <row r="424">
      <c r="A424" s="38"/>
      <c r="B424" s="16">
        <f t="shared" si="1"/>
        <v>422</v>
      </c>
      <c r="C424" s="78" t="s">
        <v>836</v>
      </c>
      <c r="D424" s="78">
        <v>33.0</v>
      </c>
      <c r="E424" s="38"/>
      <c r="F424" s="38"/>
      <c r="G424" s="38"/>
      <c r="H424" s="38"/>
    </row>
    <row r="425">
      <c r="A425" s="38"/>
      <c r="B425" s="16">
        <f t="shared" si="1"/>
        <v>423</v>
      </c>
      <c r="C425" s="78" t="s">
        <v>830</v>
      </c>
      <c r="D425" s="38"/>
      <c r="E425" s="38"/>
      <c r="F425" s="38"/>
      <c r="G425" s="38"/>
      <c r="H425" s="78" t="s">
        <v>4475</v>
      </c>
    </row>
    <row r="426">
      <c r="A426" s="38"/>
      <c r="B426" s="16">
        <f t="shared" si="1"/>
        <v>424</v>
      </c>
      <c r="C426" s="78" t="s">
        <v>832</v>
      </c>
      <c r="D426" s="78">
        <v>32.0</v>
      </c>
      <c r="E426" s="78" t="s">
        <v>14</v>
      </c>
      <c r="F426" s="38"/>
      <c r="G426" s="38"/>
      <c r="H426" s="78" t="s">
        <v>833</v>
      </c>
    </row>
    <row r="427">
      <c r="A427" s="38"/>
      <c r="B427" s="16">
        <f t="shared" si="1"/>
        <v>425</v>
      </c>
      <c r="C427" s="78" t="s">
        <v>834</v>
      </c>
      <c r="D427" s="78">
        <v>32.0</v>
      </c>
      <c r="E427" s="38"/>
      <c r="F427" s="38"/>
      <c r="G427" s="38"/>
      <c r="H427" s="78" t="s">
        <v>835</v>
      </c>
    </row>
    <row r="428">
      <c r="A428" s="38"/>
      <c r="B428" s="16">
        <f t="shared" si="1"/>
        <v>426</v>
      </c>
      <c r="C428" s="78" t="s">
        <v>837</v>
      </c>
      <c r="D428" s="78">
        <v>29.0</v>
      </c>
      <c r="E428" s="38"/>
      <c r="F428" s="38"/>
      <c r="G428" s="38"/>
      <c r="H428" s="78" t="s">
        <v>499</v>
      </c>
    </row>
    <row r="429">
      <c r="A429" s="38"/>
      <c r="B429" s="16">
        <f t="shared" si="1"/>
        <v>427</v>
      </c>
      <c r="C429" s="78" t="s">
        <v>838</v>
      </c>
      <c r="D429" s="78">
        <v>57.0</v>
      </c>
      <c r="E429" s="38"/>
      <c r="F429" s="38"/>
      <c r="G429" s="38"/>
      <c r="H429" s="78" t="s">
        <v>839</v>
      </c>
    </row>
    <row r="430">
      <c r="A430" s="38"/>
      <c r="B430" s="16">
        <f t="shared" si="1"/>
        <v>428</v>
      </c>
      <c r="C430" s="78" t="s">
        <v>4476</v>
      </c>
      <c r="D430" s="78">
        <v>62.0</v>
      </c>
      <c r="E430" s="38"/>
      <c r="F430" s="38"/>
      <c r="G430" s="38"/>
      <c r="H430" s="38"/>
    </row>
    <row r="431">
      <c r="A431" s="38"/>
      <c r="B431" s="16">
        <f t="shared" si="1"/>
        <v>429</v>
      </c>
      <c r="C431" s="78" t="s">
        <v>4477</v>
      </c>
      <c r="D431" s="78">
        <v>0.0</v>
      </c>
      <c r="E431" s="38"/>
      <c r="F431" s="38"/>
      <c r="G431" s="38"/>
      <c r="H431" s="38"/>
    </row>
    <row r="432">
      <c r="A432" s="38"/>
      <c r="B432" s="16">
        <f t="shared" si="1"/>
        <v>430</v>
      </c>
      <c r="C432" s="78" t="s">
        <v>840</v>
      </c>
      <c r="D432" s="78">
        <v>59.0</v>
      </c>
      <c r="E432" s="38"/>
      <c r="F432" s="38"/>
      <c r="G432" s="78" t="s">
        <v>330</v>
      </c>
      <c r="H432" s="78" t="s">
        <v>441</v>
      </c>
    </row>
    <row r="433">
      <c r="A433" s="38"/>
      <c r="B433" s="16">
        <f t="shared" si="1"/>
        <v>431</v>
      </c>
      <c r="C433" s="78" t="s">
        <v>841</v>
      </c>
      <c r="D433" s="78">
        <v>59.0</v>
      </c>
      <c r="E433" s="78" t="s">
        <v>14</v>
      </c>
      <c r="F433" s="38"/>
      <c r="G433" s="38"/>
      <c r="H433" s="78" t="s">
        <v>488</v>
      </c>
    </row>
    <row r="434">
      <c r="A434" s="38"/>
      <c r="B434" s="16">
        <f t="shared" si="1"/>
        <v>432</v>
      </c>
      <c r="C434" s="78" t="s">
        <v>842</v>
      </c>
      <c r="D434" s="78">
        <v>46.0</v>
      </c>
      <c r="E434" s="38"/>
      <c r="F434" s="38"/>
      <c r="G434" s="38"/>
      <c r="H434" s="38"/>
    </row>
    <row r="435">
      <c r="A435" s="38"/>
      <c r="B435" s="16">
        <f t="shared" si="1"/>
        <v>433</v>
      </c>
      <c r="C435" s="78" t="s">
        <v>843</v>
      </c>
      <c r="D435" s="78">
        <v>46.0</v>
      </c>
      <c r="E435" s="38"/>
      <c r="F435" s="38"/>
      <c r="G435" s="38"/>
      <c r="H435" s="38"/>
    </row>
    <row r="436">
      <c r="A436" s="38"/>
      <c r="B436" s="16">
        <f t="shared" si="1"/>
        <v>434</v>
      </c>
      <c r="C436" s="78" t="s">
        <v>844</v>
      </c>
      <c r="D436" s="78">
        <v>52.0</v>
      </c>
      <c r="E436" s="78" t="s">
        <v>14</v>
      </c>
      <c r="F436" s="38"/>
      <c r="G436" s="38"/>
      <c r="H436" s="78" t="s">
        <v>845</v>
      </c>
    </row>
    <row r="437">
      <c r="A437" s="38"/>
      <c r="B437" s="16">
        <f t="shared" si="1"/>
        <v>435</v>
      </c>
      <c r="C437" s="78" t="s">
        <v>846</v>
      </c>
      <c r="D437" s="78">
        <v>29.0</v>
      </c>
      <c r="E437" s="38"/>
      <c r="F437" s="38"/>
      <c r="G437" s="38"/>
      <c r="H437" s="38"/>
    </row>
    <row r="438">
      <c r="A438" s="38"/>
      <c r="B438" s="16">
        <f t="shared" si="1"/>
        <v>436</v>
      </c>
      <c r="C438" s="78" t="s">
        <v>847</v>
      </c>
      <c r="D438" s="78">
        <v>29.0</v>
      </c>
      <c r="E438" s="38"/>
      <c r="F438" s="38"/>
      <c r="G438" s="78" t="s">
        <v>585</v>
      </c>
      <c r="H438" s="78" t="s">
        <v>848</v>
      </c>
    </row>
    <row r="439">
      <c r="A439" s="38"/>
      <c r="B439" s="16">
        <f t="shared" si="1"/>
        <v>437</v>
      </c>
      <c r="C439" s="78" t="s">
        <v>849</v>
      </c>
      <c r="D439" s="78">
        <v>29.0</v>
      </c>
      <c r="E439" s="38"/>
      <c r="F439" s="38"/>
      <c r="G439" s="38"/>
      <c r="H439" s="38"/>
    </row>
    <row r="440">
      <c r="A440" s="38"/>
      <c r="B440" s="16">
        <f t="shared" si="1"/>
        <v>438</v>
      </c>
      <c r="C440" s="78" t="s">
        <v>4478</v>
      </c>
      <c r="D440" s="78">
        <v>41.0</v>
      </c>
      <c r="E440" s="38"/>
      <c r="F440" s="38"/>
      <c r="G440" s="38"/>
      <c r="H440" s="38"/>
    </row>
    <row r="441">
      <c r="A441" s="38"/>
      <c r="B441" s="16">
        <f t="shared" si="1"/>
        <v>439</v>
      </c>
      <c r="C441" s="78" t="s">
        <v>850</v>
      </c>
      <c r="D441" s="38"/>
      <c r="E441" s="38"/>
      <c r="F441" s="38"/>
      <c r="G441" s="38"/>
      <c r="H441" s="38"/>
    </row>
    <row r="442">
      <c r="A442" s="38"/>
      <c r="B442" s="16">
        <f t="shared" si="1"/>
        <v>440</v>
      </c>
      <c r="C442" s="78" t="s">
        <v>851</v>
      </c>
      <c r="D442" s="78">
        <v>23.0</v>
      </c>
      <c r="E442" s="38"/>
      <c r="F442" s="38"/>
      <c r="G442" s="38"/>
      <c r="H442" s="78" t="s">
        <v>852</v>
      </c>
    </row>
    <row r="443">
      <c r="A443" s="38"/>
      <c r="B443" s="16">
        <f t="shared" si="1"/>
        <v>441</v>
      </c>
      <c r="C443" s="78" t="s">
        <v>853</v>
      </c>
      <c r="D443" s="38"/>
      <c r="E443" s="38"/>
      <c r="F443" s="38"/>
      <c r="G443" s="38"/>
      <c r="H443" s="38"/>
    </row>
    <row r="444">
      <c r="A444" s="38"/>
      <c r="B444" s="16">
        <f t="shared" si="1"/>
        <v>442</v>
      </c>
      <c r="C444" s="78" t="s">
        <v>854</v>
      </c>
      <c r="D444" s="78">
        <v>53.0</v>
      </c>
      <c r="E444" s="38"/>
      <c r="F444" s="38"/>
      <c r="G444" s="38"/>
      <c r="H444" s="38"/>
    </row>
    <row r="445">
      <c r="A445" s="38"/>
      <c r="B445" s="16">
        <f t="shared" si="1"/>
        <v>443</v>
      </c>
      <c r="C445" s="78" t="s">
        <v>855</v>
      </c>
      <c r="D445" s="78">
        <v>53.0</v>
      </c>
      <c r="E445" s="38"/>
      <c r="F445" s="38"/>
      <c r="G445" s="38"/>
      <c r="H445" s="78" t="s">
        <v>439</v>
      </c>
    </row>
    <row r="446">
      <c r="A446" s="38"/>
      <c r="B446" s="16">
        <f t="shared" si="1"/>
        <v>444</v>
      </c>
      <c r="C446" s="78" t="s">
        <v>856</v>
      </c>
      <c r="D446" s="38"/>
      <c r="E446" s="38"/>
      <c r="F446" s="38"/>
      <c r="G446" s="38"/>
      <c r="H446" s="78" t="s">
        <v>450</v>
      </c>
    </row>
    <row r="447">
      <c r="A447" s="38"/>
      <c r="B447" s="16">
        <f t="shared" si="1"/>
        <v>445</v>
      </c>
      <c r="C447" s="78" t="s">
        <v>857</v>
      </c>
      <c r="D447" s="78">
        <v>60.0</v>
      </c>
      <c r="E447" s="38"/>
      <c r="F447" s="38"/>
      <c r="G447" s="38"/>
      <c r="H447" s="38"/>
    </row>
    <row r="448">
      <c r="A448" s="38"/>
      <c r="B448" s="16">
        <f t="shared" si="1"/>
        <v>446</v>
      </c>
      <c r="C448" s="78" t="s">
        <v>858</v>
      </c>
      <c r="D448" s="78">
        <v>53.0</v>
      </c>
      <c r="E448" s="78" t="s">
        <v>14</v>
      </c>
      <c r="F448" s="38"/>
      <c r="G448" s="38"/>
      <c r="H448" s="78" t="s">
        <v>593</v>
      </c>
    </row>
    <row r="449">
      <c r="A449" s="38"/>
      <c r="B449" s="16">
        <f t="shared" si="1"/>
        <v>447</v>
      </c>
      <c r="C449" s="78" t="s">
        <v>859</v>
      </c>
      <c r="D449" s="78">
        <v>71.0</v>
      </c>
      <c r="E449" s="78" t="s">
        <v>14</v>
      </c>
      <c r="F449" s="38"/>
      <c r="G449" s="38"/>
      <c r="H449" s="78" t="s">
        <v>615</v>
      </c>
    </row>
    <row r="450">
      <c r="A450" s="38"/>
      <c r="B450" s="16">
        <f t="shared" si="1"/>
        <v>448</v>
      </c>
      <c r="C450" s="78" t="s">
        <v>860</v>
      </c>
      <c r="D450" s="78">
        <v>71.0</v>
      </c>
      <c r="E450" s="78" t="s">
        <v>14</v>
      </c>
      <c r="F450" s="38"/>
      <c r="G450" s="38"/>
      <c r="H450" s="78" t="s">
        <v>861</v>
      </c>
    </row>
    <row r="451">
      <c r="A451" s="38"/>
      <c r="B451" s="16">
        <f t="shared" si="1"/>
        <v>449</v>
      </c>
      <c r="C451" s="78" t="s">
        <v>862</v>
      </c>
      <c r="D451" s="38"/>
      <c r="E451" s="78" t="s">
        <v>14</v>
      </c>
      <c r="F451" s="38"/>
      <c r="G451" s="38"/>
      <c r="H451" s="78" t="s">
        <v>580</v>
      </c>
    </row>
    <row r="452">
      <c r="A452" s="38"/>
      <c r="B452" s="16">
        <f t="shared" si="1"/>
        <v>450</v>
      </c>
      <c r="C452" s="78" t="s">
        <v>4298</v>
      </c>
      <c r="D452" s="78">
        <v>4.0</v>
      </c>
      <c r="E452" s="38"/>
      <c r="F452" s="38"/>
      <c r="G452" s="38"/>
      <c r="H452" s="38"/>
    </row>
    <row r="453">
      <c r="A453" s="38"/>
      <c r="B453" s="16">
        <f t="shared" si="1"/>
        <v>451</v>
      </c>
      <c r="C453" s="78" t="s">
        <v>863</v>
      </c>
      <c r="D453" s="78">
        <v>4.0</v>
      </c>
      <c r="E453" s="38"/>
      <c r="F453" s="38"/>
      <c r="G453" s="38"/>
      <c r="H453" s="38"/>
    </row>
    <row r="454">
      <c r="A454" s="38"/>
      <c r="B454" s="16">
        <f t="shared" si="1"/>
        <v>452</v>
      </c>
      <c r="C454" s="78" t="s">
        <v>863</v>
      </c>
      <c r="D454" s="78">
        <v>52.0</v>
      </c>
      <c r="E454" s="38"/>
      <c r="F454" s="38"/>
      <c r="G454" s="38"/>
      <c r="H454" s="38"/>
    </row>
    <row r="455">
      <c r="A455" s="38"/>
      <c r="B455" s="16">
        <f t="shared" si="1"/>
        <v>453</v>
      </c>
      <c r="C455" s="78" t="s">
        <v>4479</v>
      </c>
      <c r="D455" s="78">
        <v>0.0</v>
      </c>
      <c r="E455" s="38"/>
      <c r="F455" s="38"/>
      <c r="G455" s="38"/>
      <c r="H455" s="38"/>
    </row>
    <row r="456">
      <c r="A456" s="38"/>
      <c r="B456" s="16">
        <f t="shared" si="1"/>
        <v>454</v>
      </c>
      <c r="C456" s="78" t="s">
        <v>864</v>
      </c>
      <c r="D456" s="78">
        <v>17.0</v>
      </c>
      <c r="E456" s="78" t="s">
        <v>865</v>
      </c>
      <c r="F456" s="38"/>
      <c r="G456" s="38"/>
      <c r="H456" s="78" t="s">
        <v>812</v>
      </c>
    </row>
    <row r="457">
      <c r="A457" s="38"/>
      <c r="B457" s="16">
        <f t="shared" si="1"/>
        <v>455</v>
      </c>
      <c r="C457" s="78" t="s">
        <v>866</v>
      </c>
      <c r="D457" s="78">
        <v>82.0</v>
      </c>
      <c r="E457" s="78" t="s">
        <v>867</v>
      </c>
      <c r="F457" s="38"/>
      <c r="G457" s="38"/>
      <c r="H457" s="78" t="s">
        <v>15</v>
      </c>
    </row>
    <row r="458">
      <c r="A458" s="38"/>
      <c r="B458" s="16">
        <f t="shared" si="1"/>
        <v>456</v>
      </c>
      <c r="C458" s="78" t="s">
        <v>868</v>
      </c>
      <c r="D458" s="78">
        <v>65.0</v>
      </c>
      <c r="E458" s="38"/>
      <c r="F458" s="38"/>
      <c r="G458" s="38"/>
      <c r="H458" s="38"/>
    </row>
    <row r="459">
      <c r="A459" s="38"/>
      <c r="B459" s="16">
        <f t="shared" si="1"/>
        <v>457</v>
      </c>
      <c r="C459" s="78" t="s">
        <v>869</v>
      </c>
      <c r="D459" s="78">
        <v>52.0</v>
      </c>
      <c r="E459" s="38"/>
      <c r="F459" s="38"/>
      <c r="G459" s="38"/>
      <c r="H459" s="78" t="s">
        <v>474</v>
      </c>
    </row>
    <row r="460">
      <c r="A460" s="38"/>
      <c r="B460" s="16">
        <f t="shared" si="1"/>
        <v>458</v>
      </c>
      <c r="C460" s="78" t="s">
        <v>870</v>
      </c>
      <c r="D460" s="78">
        <v>32.0</v>
      </c>
      <c r="E460" s="38"/>
      <c r="F460" s="38"/>
      <c r="G460" s="38"/>
      <c r="H460" s="78" t="s">
        <v>482</v>
      </c>
    </row>
    <row r="461">
      <c r="A461" s="38"/>
      <c r="B461" s="16">
        <f t="shared" si="1"/>
        <v>459</v>
      </c>
      <c r="C461" s="78" t="s">
        <v>871</v>
      </c>
      <c r="D461" s="78">
        <v>28.0</v>
      </c>
      <c r="E461" s="38"/>
      <c r="F461" s="38"/>
      <c r="G461" s="38"/>
      <c r="H461" s="78" t="s">
        <v>477</v>
      </c>
    </row>
    <row r="462">
      <c r="A462" s="38"/>
      <c r="B462" s="16">
        <f t="shared" si="1"/>
        <v>460</v>
      </c>
      <c r="C462" s="78" t="s">
        <v>872</v>
      </c>
      <c r="D462" s="78">
        <v>32.0</v>
      </c>
      <c r="E462" s="38"/>
      <c r="F462" s="38"/>
      <c r="G462" s="38"/>
      <c r="H462" s="38"/>
    </row>
    <row r="463">
      <c r="A463" s="38"/>
      <c r="B463" s="16">
        <f t="shared" si="1"/>
        <v>461</v>
      </c>
      <c r="C463" s="78" t="s">
        <v>873</v>
      </c>
      <c r="D463" s="78">
        <v>50.0</v>
      </c>
      <c r="E463" s="38"/>
      <c r="F463" s="38"/>
      <c r="G463" s="38"/>
      <c r="H463" s="38"/>
    </row>
    <row r="464">
      <c r="A464" s="38"/>
      <c r="B464" s="16">
        <f t="shared" si="1"/>
        <v>462</v>
      </c>
      <c r="C464" s="78" t="s">
        <v>874</v>
      </c>
      <c r="D464" s="78">
        <v>60.0</v>
      </c>
      <c r="E464" s="38"/>
      <c r="F464" s="38"/>
      <c r="G464" s="38"/>
      <c r="H464" s="38"/>
    </row>
    <row r="465">
      <c r="A465" s="38"/>
      <c r="B465" s="16">
        <f t="shared" si="1"/>
        <v>463</v>
      </c>
      <c r="C465" s="78" t="s">
        <v>876</v>
      </c>
      <c r="D465" s="78">
        <v>12.0</v>
      </c>
      <c r="E465" s="38"/>
      <c r="F465" s="38"/>
      <c r="G465" s="38"/>
      <c r="H465" s="38"/>
    </row>
    <row r="466">
      <c r="A466" s="38"/>
      <c r="B466" s="16">
        <f t="shared" si="1"/>
        <v>464</v>
      </c>
      <c r="C466" s="78" t="s">
        <v>877</v>
      </c>
      <c r="D466" s="38"/>
      <c r="E466" s="38"/>
      <c r="F466" s="38"/>
      <c r="G466" s="38"/>
      <c r="H466" s="38"/>
    </row>
    <row r="467">
      <c r="A467" s="38"/>
      <c r="B467" s="16">
        <f t="shared" si="1"/>
        <v>465</v>
      </c>
      <c r="C467" s="78" t="s">
        <v>878</v>
      </c>
      <c r="D467" s="38"/>
      <c r="E467" s="38"/>
      <c r="F467" s="38"/>
      <c r="G467" s="38"/>
      <c r="H467" s="38"/>
    </row>
    <row r="468">
      <c r="A468" s="38"/>
      <c r="B468" s="16">
        <f t="shared" si="1"/>
        <v>466</v>
      </c>
      <c r="C468" s="78" t="s">
        <v>4480</v>
      </c>
      <c r="D468" s="78">
        <v>57.0</v>
      </c>
      <c r="E468" s="38"/>
      <c r="F468" s="38"/>
      <c r="G468" s="38"/>
      <c r="H468" s="38"/>
    </row>
    <row r="469">
      <c r="A469" s="38"/>
      <c r="B469" s="16">
        <f t="shared" si="1"/>
        <v>467</v>
      </c>
      <c r="C469" s="78" t="s">
        <v>879</v>
      </c>
      <c r="D469" s="78">
        <v>18.0</v>
      </c>
      <c r="E469" s="38"/>
      <c r="F469" s="38"/>
      <c r="G469" s="38"/>
      <c r="H469" s="78" t="s">
        <v>477</v>
      </c>
    </row>
    <row r="470">
      <c r="A470" s="38"/>
      <c r="B470" s="16">
        <f t="shared" si="1"/>
        <v>468</v>
      </c>
      <c r="C470" s="78" t="s">
        <v>4481</v>
      </c>
      <c r="D470" s="78">
        <v>29.0</v>
      </c>
      <c r="E470" s="38"/>
      <c r="F470" s="38"/>
      <c r="G470" s="38"/>
      <c r="H470" s="38"/>
    </row>
    <row r="471">
      <c r="A471" s="38"/>
      <c r="B471" s="16">
        <f t="shared" si="1"/>
        <v>469</v>
      </c>
      <c r="C471" s="78" t="s">
        <v>880</v>
      </c>
      <c r="D471" s="78">
        <v>23.0</v>
      </c>
      <c r="E471" s="38"/>
      <c r="F471" s="38"/>
      <c r="G471" s="78" t="s">
        <v>330</v>
      </c>
      <c r="H471" s="78" t="s">
        <v>441</v>
      </c>
    </row>
    <row r="472">
      <c r="A472" s="38"/>
      <c r="B472" s="16">
        <f t="shared" si="1"/>
        <v>470</v>
      </c>
      <c r="C472" s="78" t="s">
        <v>881</v>
      </c>
      <c r="D472" s="78">
        <v>50.0</v>
      </c>
      <c r="E472" s="38"/>
      <c r="F472" s="38"/>
      <c r="G472" s="38"/>
      <c r="H472" s="78" t="s">
        <v>474</v>
      </c>
    </row>
    <row r="473">
      <c r="A473" s="38"/>
      <c r="B473" s="16">
        <f t="shared" si="1"/>
        <v>471</v>
      </c>
      <c r="C473" s="78" t="s">
        <v>4482</v>
      </c>
      <c r="D473" s="78">
        <v>0.0</v>
      </c>
      <c r="E473" s="38"/>
      <c r="F473" s="38"/>
      <c r="G473" s="38"/>
      <c r="H473" s="38"/>
    </row>
    <row r="474">
      <c r="A474" s="38"/>
      <c r="B474" s="16">
        <f t="shared" si="1"/>
        <v>472</v>
      </c>
      <c r="C474" s="78" t="s">
        <v>882</v>
      </c>
      <c r="D474" s="78">
        <v>49.0</v>
      </c>
      <c r="E474" s="38"/>
      <c r="F474" s="38"/>
      <c r="G474" s="38"/>
      <c r="H474" s="78" t="s">
        <v>658</v>
      </c>
    </row>
    <row r="475">
      <c r="A475" s="38"/>
      <c r="B475" s="16">
        <f t="shared" si="1"/>
        <v>473</v>
      </c>
      <c r="C475" s="78" t="s">
        <v>884</v>
      </c>
      <c r="D475" s="78">
        <v>13.0</v>
      </c>
      <c r="E475" s="38"/>
      <c r="F475" s="38"/>
      <c r="G475" s="38"/>
      <c r="H475" s="78" t="s">
        <v>452</v>
      </c>
    </row>
    <row r="476">
      <c r="A476" s="38"/>
      <c r="B476" s="16">
        <f t="shared" si="1"/>
        <v>474</v>
      </c>
      <c r="C476" s="78" t="s">
        <v>884</v>
      </c>
      <c r="D476" s="78">
        <v>43.0</v>
      </c>
      <c r="E476" s="38"/>
      <c r="F476" s="38"/>
      <c r="G476" s="38"/>
      <c r="H476" s="38"/>
    </row>
    <row r="477">
      <c r="A477" s="38"/>
      <c r="B477" s="16">
        <f t="shared" si="1"/>
        <v>475</v>
      </c>
      <c r="C477" s="78" t="s">
        <v>885</v>
      </c>
      <c r="D477" s="38"/>
      <c r="E477" s="38"/>
      <c r="F477" s="38"/>
      <c r="G477" s="38"/>
      <c r="H477" s="78" t="s">
        <v>477</v>
      </c>
    </row>
    <row r="478">
      <c r="A478" s="38"/>
      <c r="B478" s="16">
        <f t="shared" si="1"/>
        <v>476</v>
      </c>
      <c r="C478" s="78" t="s">
        <v>886</v>
      </c>
      <c r="D478" s="78">
        <v>23.0</v>
      </c>
      <c r="E478" s="38"/>
      <c r="F478" s="38"/>
      <c r="G478" s="38"/>
      <c r="H478" s="78" t="s">
        <v>887</v>
      </c>
    </row>
    <row r="479">
      <c r="A479" s="38"/>
      <c r="B479" s="16">
        <f t="shared" si="1"/>
        <v>477</v>
      </c>
      <c r="C479" s="78" t="s">
        <v>888</v>
      </c>
      <c r="D479" s="78">
        <v>13.0</v>
      </c>
      <c r="E479" s="38"/>
      <c r="F479" s="38"/>
      <c r="G479" s="38"/>
      <c r="H479" s="38"/>
    </row>
    <row r="480">
      <c r="A480" s="38"/>
      <c r="B480" s="16">
        <f t="shared" si="1"/>
        <v>478</v>
      </c>
      <c r="C480" s="78" t="s">
        <v>889</v>
      </c>
      <c r="D480" s="78">
        <v>53.0</v>
      </c>
      <c r="E480" s="78" t="s">
        <v>14</v>
      </c>
      <c r="F480" s="38"/>
      <c r="G480" s="38"/>
      <c r="H480" s="78" t="s">
        <v>890</v>
      </c>
    </row>
    <row r="481">
      <c r="A481" s="38"/>
      <c r="B481" s="16">
        <f t="shared" si="1"/>
        <v>479</v>
      </c>
      <c r="C481" s="78" t="s">
        <v>891</v>
      </c>
      <c r="D481" s="78">
        <v>85.0</v>
      </c>
      <c r="E481" s="38"/>
      <c r="F481" s="38"/>
      <c r="G481" s="38"/>
      <c r="H481" s="78" t="s">
        <v>439</v>
      </c>
    </row>
    <row r="482">
      <c r="A482" s="38"/>
      <c r="B482" s="16">
        <f t="shared" si="1"/>
        <v>480</v>
      </c>
      <c r="C482" s="78" t="s">
        <v>892</v>
      </c>
      <c r="D482" s="38"/>
      <c r="E482" s="38"/>
      <c r="F482" s="38"/>
      <c r="G482" s="38"/>
      <c r="H482" s="78" t="s">
        <v>439</v>
      </c>
    </row>
    <row r="483">
      <c r="A483" s="38"/>
      <c r="B483" s="16">
        <f t="shared" si="1"/>
        <v>481</v>
      </c>
      <c r="C483" s="78" t="s">
        <v>893</v>
      </c>
      <c r="D483" s="38"/>
      <c r="E483" s="38"/>
      <c r="F483" s="38"/>
      <c r="G483" s="78" t="s">
        <v>330</v>
      </c>
      <c r="H483" s="78" t="s">
        <v>441</v>
      </c>
    </row>
    <row r="484">
      <c r="A484" s="38"/>
      <c r="B484" s="16">
        <f t="shared" si="1"/>
        <v>482</v>
      </c>
      <c r="C484" s="78" t="s">
        <v>894</v>
      </c>
      <c r="D484" s="78">
        <v>28.0</v>
      </c>
      <c r="E484" s="78" t="s">
        <v>895</v>
      </c>
      <c r="F484" s="38"/>
      <c r="G484" s="38"/>
      <c r="H484" s="78" t="s">
        <v>580</v>
      </c>
    </row>
    <row r="485">
      <c r="A485" s="38"/>
      <c r="B485" s="16">
        <f t="shared" si="1"/>
        <v>483</v>
      </c>
      <c r="C485" s="78" t="s">
        <v>896</v>
      </c>
      <c r="D485" s="78">
        <v>65.0</v>
      </c>
      <c r="E485" s="38"/>
      <c r="F485" s="38"/>
      <c r="G485" s="78" t="s">
        <v>330</v>
      </c>
      <c r="H485" s="78" t="s">
        <v>441</v>
      </c>
    </row>
    <row r="486">
      <c r="A486" s="38"/>
      <c r="B486" s="16">
        <f t="shared" si="1"/>
        <v>484</v>
      </c>
      <c r="C486" s="78" t="s">
        <v>897</v>
      </c>
      <c r="D486" s="38"/>
      <c r="E486" s="78" t="s">
        <v>14</v>
      </c>
      <c r="F486" s="38"/>
      <c r="G486" s="38"/>
      <c r="H486" s="78" t="s">
        <v>15</v>
      </c>
    </row>
    <row r="487">
      <c r="A487" s="38"/>
      <c r="B487" s="16">
        <f t="shared" si="1"/>
        <v>485</v>
      </c>
      <c r="C487" s="78" t="s">
        <v>898</v>
      </c>
      <c r="D487" s="78">
        <v>62.0</v>
      </c>
      <c r="E487" s="38"/>
      <c r="F487" s="38"/>
      <c r="G487" s="38"/>
      <c r="H487" s="38"/>
    </row>
    <row r="488">
      <c r="A488" s="38"/>
      <c r="B488" s="16">
        <f t="shared" si="1"/>
        <v>486</v>
      </c>
      <c r="C488" s="78" t="s">
        <v>899</v>
      </c>
      <c r="D488" s="38"/>
      <c r="E488" s="38"/>
      <c r="F488" s="38"/>
      <c r="G488" s="38"/>
      <c r="H488" s="78" t="s">
        <v>474</v>
      </c>
    </row>
    <row r="489">
      <c r="A489" s="38"/>
      <c r="B489" s="16">
        <f t="shared" si="1"/>
        <v>487</v>
      </c>
      <c r="C489" s="78" t="s">
        <v>900</v>
      </c>
      <c r="D489" s="78">
        <v>16.0</v>
      </c>
      <c r="E489" s="78" t="s">
        <v>901</v>
      </c>
      <c r="F489" s="38"/>
      <c r="G489" s="38"/>
      <c r="H489" s="78" t="s">
        <v>15</v>
      </c>
    </row>
    <row r="490">
      <c r="A490" s="38"/>
      <c r="B490" s="16">
        <f t="shared" si="1"/>
        <v>488</v>
      </c>
      <c r="C490" s="78" t="s">
        <v>4483</v>
      </c>
      <c r="D490" s="78">
        <v>0.0</v>
      </c>
      <c r="E490" s="38"/>
      <c r="F490" s="38"/>
      <c r="G490" s="38"/>
      <c r="H490" s="38"/>
    </row>
    <row r="491">
      <c r="A491" s="38"/>
      <c r="B491" s="16">
        <f t="shared" si="1"/>
        <v>489</v>
      </c>
      <c r="C491" s="78" t="s">
        <v>4484</v>
      </c>
      <c r="D491" s="78">
        <v>16.0</v>
      </c>
      <c r="E491" s="38"/>
      <c r="F491" s="38"/>
      <c r="G491" s="38"/>
      <c r="H491" s="38"/>
    </row>
    <row r="492">
      <c r="A492" s="4"/>
      <c r="B492" s="16">
        <f t="shared" si="1"/>
        <v>490</v>
      </c>
      <c r="C492" s="80" t="s">
        <v>4485</v>
      </c>
      <c r="D492" s="80">
        <v>21.0</v>
      </c>
      <c r="E492" s="4"/>
      <c r="F492" s="4"/>
      <c r="G492" s="4"/>
      <c r="H492" s="4"/>
    </row>
    <row r="493">
      <c r="A493" s="4"/>
      <c r="B493" s="16">
        <f t="shared" si="1"/>
        <v>491</v>
      </c>
      <c r="C493" s="80" t="s">
        <v>4486</v>
      </c>
      <c r="D493" s="80">
        <v>16.0</v>
      </c>
      <c r="E493" s="4"/>
      <c r="F493" s="4"/>
      <c r="G493" s="4"/>
      <c r="H493" s="4"/>
    </row>
    <row r="494">
      <c r="A494" s="4"/>
      <c r="B494" s="16">
        <f t="shared" si="1"/>
        <v>492</v>
      </c>
      <c r="C494" s="80" t="s">
        <v>902</v>
      </c>
      <c r="D494" s="4"/>
      <c r="E494" s="4"/>
      <c r="F494" s="4"/>
      <c r="G494" s="4"/>
      <c r="H494" s="80" t="s">
        <v>903</v>
      </c>
    </row>
    <row r="495">
      <c r="A495" s="4"/>
      <c r="B495" s="16">
        <f t="shared" si="1"/>
        <v>493</v>
      </c>
      <c r="C495" s="80" t="s">
        <v>4487</v>
      </c>
      <c r="D495" s="80">
        <v>2.0</v>
      </c>
      <c r="E495" s="4"/>
      <c r="F495" s="4"/>
      <c r="G495" s="4"/>
      <c r="H495" s="4"/>
    </row>
    <row r="496">
      <c r="A496" s="4"/>
      <c r="B496" s="16">
        <f t="shared" si="1"/>
        <v>494</v>
      </c>
      <c r="C496" s="80" t="s">
        <v>904</v>
      </c>
      <c r="D496" s="80">
        <v>15.0</v>
      </c>
      <c r="E496" s="4"/>
      <c r="F496" s="4"/>
      <c r="G496" s="4"/>
      <c r="H496" s="4"/>
    </row>
    <row r="497">
      <c r="A497" s="4"/>
      <c r="B497" s="16">
        <f t="shared" si="1"/>
        <v>495</v>
      </c>
      <c r="C497" s="80" t="s">
        <v>905</v>
      </c>
      <c r="D497" s="80">
        <v>19.0</v>
      </c>
      <c r="E497" s="4"/>
      <c r="F497" s="4"/>
      <c r="G497" s="4"/>
      <c r="H497" s="4"/>
    </row>
    <row r="498">
      <c r="A498" s="4"/>
      <c r="B498" s="16">
        <f t="shared" si="1"/>
        <v>496</v>
      </c>
      <c r="C498" s="80" t="s">
        <v>906</v>
      </c>
      <c r="D498" s="80">
        <v>63.0</v>
      </c>
      <c r="E498" s="4"/>
      <c r="F498" s="4"/>
      <c r="G498" s="4"/>
      <c r="H498" s="4"/>
    </row>
    <row r="499">
      <c r="A499" s="4"/>
      <c r="B499" s="16">
        <f t="shared" si="1"/>
        <v>497</v>
      </c>
      <c r="C499" s="80" t="s">
        <v>907</v>
      </c>
      <c r="D499" s="80">
        <v>66.0</v>
      </c>
      <c r="E499" s="4"/>
      <c r="F499" s="4"/>
      <c r="G499" s="80" t="s">
        <v>330</v>
      </c>
      <c r="H499" s="80" t="s">
        <v>441</v>
      </c>
    </row>
    <row r="500">
      <c r="A500" s="4"/>
      <c r="B500" s="16">
        <f t="shared" si="1"/>
        <v>498</v>
      </c>
      <c r="C500" s="80" t="s">
        <v>908</v>
      </c>
      <c r="D500" s="4"/>
      <c r="E500" s="4"/>
      <c r="F500" s="4"/>
      <c r="G500" s="4"/>
      <c r="H500" s="80" t="s">
        <v>450</v>
      </c>
    </row>
    <row r="501">
      <c r="A501" s="4"/>
      <c r="B501" s="16">
        <f t="shared" si="1"/>
        <v>499</v>
      </c>
      <c r="C501" s="80" t="s">
        <v>909</v>
      </c>
      <c r="D501" s="80">
        <v>67.0</v>
      </c>
      <c r="E501" s="4"/>
      <c r="F501" s="4"/>
      <c r="G501" s="4"/>
      <c r="H501" s="4"/>
    </row>
    <row r="502">
      <c r="A502" s="4"/>
      <c r="B502" s="16">
        <f t="shared" si="1"/>
        <v>500</v>
      </c>
      <c r="C502" s="80" t="s">
        <v>910</v>
      </c>
      <c r="D502" s="80">
        <v>46.0</v>
      </c>
      <c r="E502" s="4"/>
      <c r="F502" s="4"/>
      <c r="G502" s="4"/>
      <c r="H502" s="80" t="s">
        <v>439</v>
      </c>
    </row>
    <row r="503">
      <c r="A503" s="4"/>
      <c r="B503" s="16">
        <f t="shared" si="1"/>
        <v>501</v>
      </c>
      <c r="C503" s="80" t="s">
        <v>911</v>
      </c>
      <c r="D503" s="80">
        <v>7.0</v>
      </c>
      <c r="E503" s="4"/>
      <c r="F503" s="4"/>
      <c r="G503" s="80" t="s">
        <v>330</v>
      </c>
      <c r="H503" s="80" t="s">
        <v>728</v>
      </c>
    </row>
    <row r="504">
      <c r="A504" s="4"/>
      <c r="B504" s="16">
        <f t="shared" si="1"/>
        <v>502</v>
      </c>
      <c r="C504" s="80" t="s">
        <v>912</v>
      </c>
      <c r="D504" s="80">
        <v>9.0</v>
      </c>
      <c r="E504" s="4"/>
      <c r="F504" s="4"/>
      <c r="G504" s="80" t="s">
        <v>330</v>
      </c>
      <c r="H504" s="80" t="s">
        <v>728</v>
      </c>
    </row>
    <row r="505">
      <c r="A505" s="4"/>
      <c r="B505" s="16">
        <f t="shared" si="1"/>
        <v>503</v>
      </c>
      <c r="C505" s="80" t="s">
        <v>913</v>
      </c>
      <c r="D505" s="80">
        <v>7.0</v>
      </c>
      <c r="E505" s="80" t="s">
        <v>14</v>
      </c>
      <c r="F505" s="4"/>
      <c r="G505" s="4"/>
      <c r="H505" s="80" t="s">
        <v>448</v>
      </c>
    </row>
    <row r="506">
      <c r="A506" s="4"/>
      <c r="B506" s="16">
        <f t="shared" si="1"/>
        <v>504</v>
      </c>
      <c r="C506" s="80" t="s">
        <v>914</v>
      </c>
      <c r="D506" s="4"/>
      <c r="E506" s="4"/>
      <c r="F506" s="4"/>
      <c r="G506" s="4"/>
      <c r="H506" s="4"/>
    </row>
    <row r="507">
      <c r="A507" s="4"/>
      <c r="B507" s="16">
        <f t="shared" si="1"/>
        <v>505</v>
      </c>
      <c r="C507" s="80" t="s">
        <v>915</v>
      </c>
      <c r="D507" s="4"/>
      <c r="E507" s="4"/>
      <c r="F507" s="4"/>
      <c r="G507" s="4"/>
      <c r="H507" s="4"/>
    </row>
    <row r="508">
      <c r="A508" s="4"/>
      <c r="B508" s="16">
        <f t="shared" si="1"/>
        <v>506</v>
      </c>
      <c r="C508" s="80" t="s">
        <v>4488</v>
      </c>
      <c r="D508" s="80">
        <v>23.0</v>
      </c>
      <c r="E508" s="4"/>
      <c r="F508" s="4"/>
      <c r="G508" s="4"/>
      <c r="H508" s="4"/>
    </row>
    <row r="509">
      <c r="A509" s="4"/>
      <c r="B509" s="16">
        <f t="shared" si="1"/>
        <v>507</v>
      </c>
      <c r="C509" s="80" t="s">
        <v>4489</v>
      </c>
      <c r="D509" s="80">
        <v>25.0</v>
      </c>
      <c r="E509" s="4"/>
      <c r="F509" s="4"/>
      <c r="G509" s="4"/>
      <c r="H509" s="4"/>
    </row>
    <row r="510">
      <c r="A510" s="4"/>
      <c r="B510" s="16">
        <f t="shared" si="1"/>
        <v>508</v>
      </c>
      <c r="C510" s="80" t="s">
        <v>4490</v>
      </c>
      <c r="D510" s="80">
        <v>15.0</v>
      </c>
      <c r="E510" s="4"/>
      <c r="F510" s="4"/>
      <c r="G510" s="4"/>
      <c r="H510" s="4"/>
    </row>
    <row r="511">
      <c r="A511" s="4"/>
      <c r="B511" s="16">
        <f t="shared" si="1"/>
        <v>509</v>
      </c>
      <c r="C511" s="80" t="s">
        <v>4491</v>
      </c>
      <c r="D511" s="80">
        <v>0.0</v>
      </c>
      <c r="E511" s="4"/>
      <c r="F511" s="4"/>
      <c r="G511" s="4"/>
      <c r="H511" s="4"/>
    </row>
    <row r="512">
      <c r="A512" s="4"/>
      <c r="B512" s="16">
        <f t="shared" si="1"/>
        <v>510</v>
      </c>
      <c r="C512" s="80" t="s">
        <v>4492</v>
      </c>
      <c r="D512" s="80">
        <v>22.0</v>
      </c>
      <c r="E512" s="4"/>
      <c r="F512" s="4"/>
      <c r="G512" s="4"/>
      <c r="H512" s="4"/>
    </row>
    <row r="513">
      <c r="A513" s="4"/>
      <c r="B513" s="16">
        <f t="shared" si="1"/>
        <v>511</v>
      </c>
      <c r="C513" s="80" t="s">
        <v>916</v>
      </c>
      <c r="D513" s="4"/>
      <c r="E513" s="4"/>
      <c r="F513" s="4"/>
      <c r="G513" s="4"/>
      <c r="H513" s="80" t="s">
        <v>450</v>
      </c>
    </row>
    <row r="514">
      <c r="A514" s="4"/>
      <c r="B514" s="16">
        <f t="shared" si="1"/>
        <v>512</v>
      </c>
      <c r="C514" s="80" t="s">
        <v>917</v>
      </c>
      <c r="D514" s="80">
        <v>19.0</v>
      </c>
      <c r="E514" s="4"/>
      <c r="F514" s="4"/>
      <c r="G514" s="80" t="s">
        <v>330</v>
      </c>
      <c r="H514" s="80" t="s">
        <v>441</v>
      </c>
    </row>
    <row r="515">
      <c r="A515" s="4"/>
      <c r="B515" s="16">
        <f t="shared" si="1"/>
        <v>513</v>
      </c>
      <c r="C515" s="80" t="s">
        <v>918</v>
      </c>
      <c r="D515" s="80">
        <v>62.0</v>
      </c>
      <c r="E515" s="4"/>
      <c r="F515" s="4"/>
      <c r="G515" s="4"/>
      <c r="H515" s="4"/>
    </row>
    <row r="516">
      <c r="A516" s="4"/>
      <c r="B516" s="16">
        <f t="shared" si="1"/>
        <v>514</v>
      </c>
      <c r="C516" s="80" t="s">
        <v>919</v>
      </c>
      <c r="D516" s="80">
        <v>43.0</v>
      </c>
      <c r="E516" s="4"/>
      <c r="F516" s="4"/>
      <c r="G516" s="4"/>
      <c r="H516" s="80" t="s">
        <v>439</v>
      </c>
    </row>
    <row r="517">
      <c r="A517" s="4"/>
      <c r="B517" s="16">
        <f t="shared" si="1"/>
        <v>515</v>
      </c>
      <c r="C517" s="80" t="s">
        <v>920</v>
      </c>
      <c r="D517" s="4"/>
      <c r="E517" s="4"/>
      <c r="F517" s="4"/>
      <c r="G517" s="4"/>
      <c r="H517" s="4"/>
    </row>
    <row r="518">
      <c r="A518" s="4"/>
      <c r="B518" s="16">
        <f t="shared" si="1"/>
        <v>516</v>
      </c>
      <c r="C518" s="80" t="s">
        <v>921</v>
      </c>
      <c r="D518" s="80">
        <v>62.0</v>
      </c>
      <c r="E518" s="4"/>
      <c r="F518" s="4"/>
      <c r="G518" s="4"/>
      <c r="H518" s="80" t="s">
        <v>922</v>
      </c>
    </row>
    <row r="519">
      <c r="A519" s="4"/>
      <c r="B519" s="16">
        <f t="shared" si="1"/>
        <v>517</v>
      </c>
      <c r="C519" s="80" t="s">
        <v>923</v>
      </c>
      <c r="D519" s="80">
        <v>62.0</v>
      </c>
      <c r="E519" s="4"/>
      <c r="F519" s="4"/>
      <c r="G519" s="4"/>
      <c r="H519" s="80" t="s">
        <v>922</v>
      </c>
    </row>
    <row r="520">
      <c r="A520" s="4"/>
      <c r="B520" s="16">
        <f t="shared" si="1"/>
        <v>518</v>
      </c>
      <c r="C520" s="80" t="s">
        <v>4493</v>
      </c>
      <c r="D520" s="80">
        <v>38.0</v>
      </c>
      <c r="E520" s="4"/>
      <c r="F520" s="4"/>
      <c r="G520" s="4"/>
      <c r="H520" s="4"/>
    </row>
    <row r="521">
      <c r="A521" s="4"/>
      <c r="B521" s="16">
        <f t="shared" si="1"/>
        <v>519</v>
      </c>
      <c r="C521" s="80" t="s">
        <v>924</v>
      </c>
      <c r="D521" s="80">
        <v>68.0</v>
      </c>
      <c r="E521" s="4"/>
      <c r="F521" s="4"/>
      <c r="G521" s="80" t="s">
        <v>925</v>
      </c>
      <c r="H521" s="4"/>
    </row>
    <row r="522">
      <c r="A522" s="4"/>
      <c r="B522" s="16">
        <f t="shared" si="1"/>
        <v>520</v>
      </c>
      <c r="C522" s="80" t="s">
        <v>926</v>
      </c>
      <c r="D522" s="4"/>
      <c r="E522" s="4"/>
      <c r="F522" s="4"/>
      <c r="G522" s="4"/>
      <c r="H522" s="4"/>
    </row>
    <row r="523">
      <c r="A523" s="4"/>
      <c r="B523" s="16">
        <f t="shared" si="1"/>
        <v>521</v>
      </c>
      <c r="C523" s="80" t="s">
        <v>927</v>
      </c>
      <c r="D523" s="80">
        <v>46.0</v>
      </c>
      <c r="E523" s="4"/>
      <c r="F523" s="4"/>
      <c r="G523" s="4"/>
      <c r="H523" s="4"/>
    </row>
    <row r="524">
      <c r="A524" s="4"/>
      <c r="B524" s="16">
        <f t="shared" si="1"/>
        <v>522</v>
      </c>
      <c r="C524" s="80" t="s">
        <v>928</v>
      </c>
      <c r="D524" s="80">
        <v>52.0</v>
      </c>
      <c r="E524" s="4"/>
      <c r="F524" s="4"/>
      <c r="G524" s="80" t="s">
        <v>330</v>
      </c>
      <c r="H524" s="80" t="s">
        <v>441</v>
      </c>
    </row>
    <row r="525">
      <c r="A525" s="4"/>
      <c r="B525" s="16">
        <f t="shared" si="1"/>
        <v>523</v>
      </c>
      <c r="C525" s="80" t="s">
        <v>929</v>
      </c>
      <c r="D525" s="80">
        <v>19.0</v>
      </c>
      <c r="E525" s="4"/>
      <c r="F525" s="4"/>
      <c r="G525" s="4"/>
      <c r="H525" s="4"/>
    </row>
    <row r="526">
      <c r="A526" s="4"/>
      <c r="B526" s="16">
        <f t="shared" si="1"/>
        <v>524</v>
      </c>
      <c r="C526" s="80" t="s">
        <v>930</v>
      </c>
      <c r="D526" s="4"/>
      <c r="E526" s="4"/>
      <c r="F526" s="4"/>
      <c r="G526" s="4"/>
      <c r="H526" s="80" t="s">
        <v>931</v>
      </c>
    </row>
    <row r="527">
      <c r="A527" s="4"/>
      <c r="B527" s="16">
        <f t="shared" si="1"/>
        <v>525</v>
      </c>
      <c r="C527" s="80" t="s">
        <v>932</v>
      </c>
      <c r="D527" s="80">
        <v>55.0</v>
      </c>
      <c r="E527" s="4"/>
      <c r="F527" s="4"/>
      <c r="G527" s="4"/>
      <c r="H527" s="80" t="s">
        <v>437</v>
      </c>
    </row>
    <row r="528">
      <c r="A528" s="4"/>
      <c r="B528" s="16">
        <f t="shared" si="1"/>
        <v>526</v>
      </c>
      <c r="C528" s="80" t="s">
        <v>933</v>
      </c>
      <c r="D528" s="80">
        <v>54.0</v>
      </c>
      <c r="E528" s="80" t="s">
        <v>14</v>
      </c>
      <c r="F528" s="4"/>
      <c r="G528" s="4"/>
      <c r="H528" s="80" t="s">
        <v>934</v>
      </c>
    </row>
    <row r="529">
      <c r="A529" s="4"/>
      <c r="B529" s="16">
        <f t="shared" si="1"/>
        <v>527</v>
      </c>
      <c r="C529" s="80" t="s">
        <v>935</v>
      </c>
      <c r="D529" s="80">
        <v>39.0</v>
      </c>
      <c r="E529" s="80" t="s">
        <v>14</v>
      </c>
      <c r="F529" s="4"/>
      <c r="G529" s="4"/>
      <c r="H529" s="80" t="s">
        <v>593</v>
      </c>
    </row>
    <row r="530">
      <c r="A530" s="4"/>
      <c r="B530" s="16">
        <f t="shared" si="1"/>
        <v>528</v>
      </c>
      <c r="C530" s="80" t="s">
        <v>936</v>
      </c>
      <c r="D530" s="80">
        <v>80.0</v>
      </c>
      <c r="E530" s="4"/>
      <c r="F530" s="4"/>
      <c r="G530" s="4"/>
      <c r="H530" s="4"/>
    </row>
    <row r="531">
      <c r="A531" s="4"/>
      <c r="B531" s="16">
        <f t="shared" si="1"/>
        <v>529</v>
      </c>
      <c r="C531" s="80" t="s">
        <v>4494</v>
      </c>
      <c r="D531" s="80">
        <v>10.0</v>
      </c>
      <c r="E531" s="4"/>
      <c r="F531" s="4"/>
      <c r="G531" s="4"/>
      <c r="H531" s="4"/>
    </row>
    <row r="532">
      <c r="A532" s="4"/>
      <c r="B532" s="16">
        <f t="shared" si="1"/>
        <v>530</v>
      </c>
      <c r="C532" s="80" t="s">
        <v>938</v>
      </c>
      <c r="D532" s="80">
        <v>6.0</v>
      </c>
      <c r="E532" s="4"/>
      <c r="F532" s="4"/>
      <c r="G532" s="80" t="s">
        <v>330</v>
      </c>
      <c r="H532" s="80" t="s">
        <v>728</v>
      </c>
    </row>
    <row r="533">
      <c r="A533" s="4"/>
      <c r="B533" s="16">
        <f t="shared" si="1"/>
        <v>531</v>
      </c>
      <c r="C533" s="80" t="s">
        <v>4495</v>
      </c>
      <c r="D533" s="80">
        <v>0.0</v>
      </c>
      <c r="E533" s="4"/>
      <c r="F533" s="4"/>
      <c r="G533" s="4"/>
      <c r="H533" s="4"/>
    </row>
    <row r="534">
      <c r="A534" s="4"/>
      <c r="B534" s="16">
        <f t="shared" si="1"/>
        <v>532</v>
      </c>
      <c r="C534" s="80" t="s">
        <v>939</v>
      </c>
      <c r="D534" s="80">
        <v>80.0</v>
      </c>
      <c r="E534" s="80" t="s">
        <v>579</v>
      </c>
      <c r="F534" s="4"/>
      <c r="G534" s="4"/>
      <c r="H534" s="80" t="s">
        <v>940</v>
      </c>
    </row>
    <row r="535">
      <c r="A535" s="4"/>
      <c r="B535" s="16">
        <f t="shared" si="1"/>
        <v>533</v>
      </c>
      <c r="C535" s="80" t="s">
        <v>941</v>
      </c>
      <c r="D535" s="4"/>
      <c r="E535" s="4"/>
      <c r="F535" s="4"/>
      <c r="G535" s="4"/>
      <c r="H535" s="4"/>
    </row>
    <row r="536">
      <c r="A536" s="4"/>
      <c r="B536" s="16">
        <f t="shared" si="1"/>
        <v>534</v>
      </c>
      <c r="C536" s="80" t="s">
        <v>942</v>
      </c>
      <c r="D536" s="80">
        <v>43.0</v>
      </c>
      <c r="E536" s="4"/>
      <c r="F536" s="4"/>
      <c r="G536" s="4"/>
      <c r="H536" s="4"/>
    </row>
    <row r="537">
      <c r="A537" s="4"/>
      <c r="B537" s="16">
        <f t="shared" si="1"/>
        <v>535</v>
      </c>
      <c r="C537" s="80" t="s">
        <v>943</v>
      </c>
      <c r="D537" s="80">
        <v>77.0</v>
      </c>
      <c r="E537" s="4"/>
      <c r="F537" s="4"/>
      <c r="G537" s="4"/>
      <c r="H537" s="80" t="s">
        <v>425</v>
      </c>
    </row>
    <row r="538">
      <c r="A538" s="4"/>
      <c r="B538" s="16">
        <f t="shared" si="1"/>
        <v>536</v>
      </c>
      <c r="C538" s="80" t="s">
        <v>944</v>
      </c>
      <c r="D538" s="80">
        <v>77.0</v>
      </c>
      <c r="E538" s="4"/>
      <c r="F538" s="4"/>
      <c r="G538" s="4"/>
      <c r="H538" s="4"/>
    </row>
    <row r="539">
      <c r="A539" s="4"/>
      <c r="B539" s="16">
        <f t="shared" si="1"/>
        <v>537</v>
      </c>
      <c r="C539" s="80" t="s">
        <v>945</v>
      </c>
      <c r="D539" s="80">
        <v>18.0</v>
      </c>
      <c r="E539" s="4"/>
      <c r="F539" s="4"/>
      <c r="G539" s="4"/>
      <c r="H539" s="80" t="s">
        <v>477</v>
      </c>
    </row>
    <row r="540">
      <c r="A540" s="4"/>
      <c r="B540" s="16">
        <f t="shared" si="1"/>
        <v>538</v>
      </c>
      <c r="C540" s="80" t="s">
        <v>946</v>
      </c>
      <c r="D540" s="80">
        <v>11.0</v>
      </c>
      <c r="E540" s="4"/>
      <c r="F540" s="4"/>
      <c r="G540" s="4"/>
      <c r="H540" s="4"/>
    </row>
    <row r="541">
      <c r="A541" s="4"/>
      <c r="B541" s="16">
        <f t="shared" si="1"/>
        <v>539</v>
      </c>
      <c r="C541" s="80" t="s">
        <v>947</v>
      </c>
      <c r="D541" s="80">
        <v>50.0</v>
      </c>
      <c r="E541" s="4"/>
      <c r="F541" s="4"/>
      <c r="G541" s="4"/>
      <c r="H541" s="80" t="s">
        <v>948</v>
      </c>
    </row>
    <row r="542">
      <c r="A542" s="4"/>
      <c r="B542" s="16">
        <f t="shared" si="1"/>
        <v>540</v>
      </c>
      <c r="C542" s="80" t="s">
        <v>949</v>
      </c>
      <c r="D542" s="80">
        <v>55.0</v>
      </c>
      <c r="E542" s="4"/>
      <c r="F542" s="4"/>
      <c r="G542" s="4"/>
      <c r="H542" s="80" t="s">
        <v>437</v>
      </c>
    </row>
    <row r="543">
      <c r="A543" s="4"/>
      <c r="B543" s="16">
        <f t="shared" si="1"/>
        <v>541</v>
      </c>
      <c r="C543" s="80" t="s">
        <v>950</v>
      </c>
      <c r="D543" s="80">
        <v>35.0</v>
      </c>
      <c r="E543" s="4"/>
      <c r="F543" s="4"/>
      <c r="G543" s="4"/>
      <c r="H543" s="80" t="s">
        <v>437</v>
      </c>
    </row>
    <row r="544">
      <c r="A544" s="4"/>
      <c r="B544" s="16">
        <f t="shared" si="1"/>
        <v>542</v>
      </c>
      <c r="C544" s="80" t="s">
        <v>4496</v>
      </c>
      <c r="D544" s="80">
        <v>29.0</v>
      </c>
      <c r="E544" s="4"/>
      <c r="F544" s="4"/>
      <c r="G544" s="4"/>
      <c r="H544" s="4"/>
    </row>
    <row r="545">
      <c r="A545" s="4"/>
      <c r="B545" s="16">
        <f t="shared" si="1"/>
        <v>543</v>
      </c>
      <c r="C545" s="80" t="s">
        <v>4497</v>
      </c>
      <c r="D545" s="80">
        <v>10.0</v>
      </c>
      <c r="E545" s="4"/>
      <c r="F545" s="4"/>
      <c r="G545" s="4"/>
      <c r="H545" s="4"/>
    </row>
    <row r="546">
      <c r="A546" s="4"/>
      <c r="B546" s="16">
        <f t="shared" si="1"/>
        <v>544</v>
      </c>
      <c r="C546" s="80" t="s">
        <v>4497</v>
      </c>
      <c r="D546" s="80">
        <v>10.0</v>
      </c>
      <c r="E546" s="4"/>
      <c r="F546" s="4"/>
      <c r="G546" s="4"/>
      <c r="H546" s="4"/>
    </row>
    <row r="547">
      <c r="A547" s="4"/>
      <c r="B547" s="16">
        <f t="shared" si="1"/>
        <v>545</v>
      </c>
      <c r="C547" s="80" t="s">
        <v>951</v>
      </c>
      <c r="D547" s="80">
        <v>23.0</v>
      </c>
      <c r="E547" s="4"/>
      <c r="F547" s="4"/>
      <c r="G547" s="80" t="s">
        <v>491</v>
      </c>
      <c r="H547" s="4"/>
    </row>
    <row r="548">
      <c r="A548" s="4"/>
      <c r="B548" s="16">
        <f t="shared" si="1"/>
        <v>546</v>
      </c>
      <c r="C548" s="80" t="s">
        <v>952</v>
      </c>
      <c r="D548" s="80">
        <v>23.0</v>
      </c>
      <c r="E548" s="4"/>
      <c r="F548" s="4"/>
      <c r="G548" s="4"/>
      <c r="H548" s="80" t="s">
        <v>439</v>
      </c>
    </row>
    <row r="549">
      <c r="A549" s="4"/>
      <c r="B549" s="16">
        <f t="shared" si="1"/>
        <v>547</v>
      </c>
      <c r="C549" s="80" t="s">
        <v>953</v>
      </c>
      <c r="D549" s="4"/>
      <c r="E549" s="4"/>
      <c r="F549" s="4"/>
      <c r="G549" s="4"/>
      <c r="H549" s="80" t="s">
        <v>450</v>
      </c>
    </row>
    <row r="550">
      <c r="A550" s="4"/>
      <c r="B550" s="16">
        <f t="shared" si="1"/>
        <v>548</v>
      </c>
      <c r="C550" s="80" t="s">
        <v>4498</v>
      </c>
      <c r="D550" s="80">
        <v>28.0</v>
      </c>
      <c r="E550" s="4"/>
      <c r="F550" s="4"/>
      <c r="G550" s="4"/>
      <c r="H550" s="4"/>
    </row>
    <row r="551">
      <c r="A551" s="4"/>
      <c r="B551" s="16">
        <f t="shared" si="1"/>
        <v>549</v>
      </c>
      <c r="C551" s="80" t="s">
        <v>4499</v>
      </c>
      <c r="D551" s="80">
        <v>37.0</v>
      </c>
      <c r="E551" s="4"/>
      <c r="F551" s="4"/>
      <c r="G551" s="4"/>
      <c r="H551" s="4"/>
    </row>
    <row r="552">
      <c r="A552" s="4"/>
      <c r="B552" s="16">
        <f t="shared" si="1"/>
        <v>550</v>
      </c>
      <c r="C552" s="80" t="s">
        <v>4499</v>
      </c>
      <c r="D552" s="80">
        <v>37.0</v>
      </c>
      <c r="E552" s="4"/>
      <c r="F552" s="4"/>
      <c r="G552" s="4"/>
      <c r="H552" s="4"/>
    </row>
    <row r="553">
      <c r="A553" s="4"/>
      <c r="B553" s="16">
        <f t="shared" si="1"/>
        <v>551</v>
      </c>
      <c r="C553" s="80" t="s">
        <v>954</v>
      </c>
      <c r="D553" s="80">
        <v>28.0</v>
      </c>
      <c r="E553" s="4"/>
      <c r="F553" s="4"/>
      <c r="G553" s="4"/>
      <c r="H553" s="4"/>
    </row>
    <row r="554">
      <c r="A554" s="4"/>
      <c r="B554" s="16">
        <f t="shared" si="1"/>
        <v>552</v>
      </c>
      <c r="C554" s="80" t="s">
        <v>955</v>
      </c>
      <c r="D554" s="80">
        <v>7.0</v>
      </c>
      <c r="E554" s="4"/>
      <c r="F554" s="4"/>
      <c r="G554" s="4"/>
      <c r="H554" s="80" t="s">
        <v>557</v>
      </c>
    </row>
    <row r="555">
      <c r="A555" s="4"/>
      <c r="B555" s="16">
        <f t="shared" si="1"/>
        <v>553</v>
      </c>
      <c r="C555" s="80" t="s">
        <v>957</v>
      </c>
      <c r="D555" s="80">
        <v>57.0</v>
      </c>
      <c r="E555" s="80" t="s">
        <v>958</v>
      </c>
      <c r="F555" s="4"/>
      <c r="G555" s="4"/>
      <c r="H555" s="80" t="s">
        <v>959</v>
      </c>
    </row>
    <row r="556">
      <c r="A556" s="4"/>
      <c r="B556" s="16">
        <f t="shared" si="1"/>
        <v>554</v>
      </c>
      <c r="C556" s="80" t="s">
        <v>956</v>
      </c>
      <c r="D556" s="80">
        <v>33.0</v>
      </c>
      <c r="E556" s="4"/>
      <c r="F556" s="4"/>
      <c r="G556" s="4"/>
      <c r="H556" s="80" t="s">
        <v>437</v>
      </c>
    </row>
    <row r="557">
      <c r="A557" s="4"/>
      <c r="B557" s="16">
        <f t="shared" si="1"/>
        <v>555</v>
      </c>
      <c r="C557" s="80" t="s">
        <v>4500</v>
      </c>
      <c r="D557" s="80">
        <v>13.0</v>
      </c>
      <c r="E557" s="4"/>
      <c r="F557" s="4"/>
      <c r="G557" s="4"/>
      <c r="H557" s="4"/>
    </row>
    <row r="558">
      <c r="A558" s="4"/>
      <c r="B558" s="16">
        <f t="shared" si="1"/>
        <v>556</v>
      </c>
      <c r="C558" s="80" t="s">
        <v>960</v>
      </c>
      <c r="D558" s="4"/>
      <c r="E558" s="4"/>
      <c r="F558" s="4"/>
      <c r="G558" s="4"/>
      <c r="H558" s="4"/>
    </row>
    <row r="559">
      <c r="A559" s="4"/>
      <c r="B559" s="16">
        <f t="shared" si="1"/>
        <v>557</v>
      </c>
      <c r="C559" s="80" t="s">
        <v>4501</v>
      </c>
      <c r="D559" s="80">
        <v>0.0</v>
      </c>
      <c r="E559" s="4"/>
      <c r="F559" s="4"/>
      <c r="G559" s="4"/>
      <c r="H559" s="4"/>
    </row>
    <row r="560">
      <c r="A560" s="4"/>
      <c r="B560" s="16">
        <f t="shared" si="1"/>
        <v>558</v>
      </c>
      <c r="C560" s="80" t="s">
        <v>4502</v>
      </c>
      <c r="D560" s="80">
        <v>15.0</v>
      </c>
      <c r="E560" s="4"/>
      <c r="F560" s="4"/>
      <c r="G560" s="4"/>
      <c r="H560" s="4"/>
    </row>
    <row r="561">
      <c r="A561" s="4"/>
      <c r="B561" s="16">
        <f t="shared" si="1"/>
        <v>559</v>
      </c>
      <c r="C561" s="80" t="s">
        <v>961</v>
      </c>
      <c r="D561" s="80">
        <v>7.0</v>
      </c>
      <c r="E561" s="4"/>
      <c r="F561" s="4"/>
      <c r="G561" s="4"/>
      <c r="H561" s="80" t="s">
        <v>452</v>
      </c>
    </row>
    <row r="562">
      <c r="A562" s="4"/>
      <c r="B562" s="16">
        <f t="shared" si="1"/>
        <v>560</v>
      </c>
      <c r="C562" s="80" t="s">
        <v>962</v>
      </c>
      <c r="D562" s="80">
        <v>13.0</v>
      </c>
      <c r="E562" s="4"/>
      <c r="F562" s="4"/>
      <c r="G562" s="4"/>
      <c r="H562" s="80" t="s">
        <v>963</v>
      </c>
    </row>
    <row r="563">
      <c r="A563" s="4"/>
      <c r="B563" s="16">
        <f t="shared" si="1"/>
        <v>561</v>
      </c>
      <c r="C563" s="80" t="s">
        <v>4503</v>
      </c>
      <c r="D563" s="80">
        <v>34.0</v>
      </c>
      <c r="E563" s="4"/>
      <c r="F563" s="4"/>
      <c r="G563" s="4"/>
      <c r="H563" s="4"/>
    </row>
    <row r="564">
      <c r="A564" s="4"/>
      <c r="B564" s="16">
        <f t="shared" si="1"/>
        <v>562</v>
      </c>
      <c r="C564" s="80" t="s">
        <v>4504</v>
      </c>
      <c r="D564" s="80">
        <v>0.0</v>
      </c>
      <c r="E564" s="4"/>
      <c r="F564" s="4"/>
      <c r="G564" s="4"/>
      <c r="H564" s="80" t="s">
        <v>673</v>
      </c>
    </row>
    <row r="565">
      <c r="A565" s="4"/>
      <c r="B565" s="16">
        <f t="shared" si="1"/>
        <v>563</v>
      </c>
      <c r="C565" s="80" t="s">
        <v>4505</v>
      </c>
      <c r="D565" s="80">
        <v>50.0</v>
      </c>
      <c r="E565" s="4"/>
      <c r="F565" s="4"/>
      <c r="G565" s="4"/>
      <c r="H565" s="4"/>
    </row>
    <row r="566">
      <c r="A566" s="4"/>
      <c r="B566" s="16">
        <f t="shared" si="1"/>
        <v>564</v>
      </c>
      <c r="C566" s="80" t="s">
        <v>4506</v>
      </c>
      <c r="D566" s="80">
        <v>0.0</v>
      </c>
      <c r="E566" s="4"/>
      <c r="F566" s="4"/>
      <c r="G566" s="4"/>
      <c r="H566" s="4"/>
    </row>
    <row r="567">
      <c r="A567" s="4"/>
      <c r="B567" s="16">
        <f t="shared" si="1"/>
        <v>565</v>
      </c>
      <c r="C567" s="80" t="s">
        <v>4507</v>
      </c>
      <c r="D567" s="80">
        <v>88.0</v>
      </c>
      <c r="E567" s="4"/>
      <c r="F567" s="4"/>
      <c r="G567" s="4"/>
      <c r="H567" s="4"/>
    </row>
    <row r="568">
      <c r="A568" s="4"/>
      <c r="B568" s="16">
        <f t="shared" si="1"/>
        <v>566</v>
      </c>
      <c r="C568" s="80" t="s">
        <v>4508</v>
      </c>
      <c r="D568" s="80">
        <v>0.0</v>
      </c>
      <c r="E568" s="4"/>
      <c r="F568" s="4"/>
      <c r="G568" s="4"/>
      <c r="H568" s="4"/>
    </row>
    <row r="569">
      <c r="A569" s="4"/>
      <c r="B569" s="16">
        <f t="shared" si="1"/>
        <v>567</v>
      </c>
      <c r="C569" s="80" t="s">
        <v>4509</v>
      </c>
      <c r="D569" s="80">
        <v>50.0</v>
      </c>
      <c r="E569" s="4"/>
      <c r="F569" s="4"/>
      <c r="G569" s="4"/>
      <c r="H569" s="4"/>
    </row>
    <row r="570">
      <c r="A570" s="4"/>
      <c r="B570" s="16">
        <f t="shared" si="1"/>
        <v>568</v>
      </c>
      <c r="C570" s="80" t="s">
        <v>965</v>
      </c>
      <c r="D570" s="80">
        <v>30.0</v>
      </c>
      <c r="E570" s="4"/>
      <c r="F570" s="4"/>
      <c r="G570" s="4"/>
      <c r="H570" s="80" t="s">
        <v>437</v>
      </c>
    </row>
    <row r="571">
      <c r="A571" s="4"/>
      <c r="B571" s="16">
        <f t="shared" si="1"/>
        <v>569</v>
      </c>
      <c r="C571" s="80" t="s">
        <v>4510</v>
      </c>
      <c r="D571" s="80">
        <v>12.0</v>
      </c>
      <c r="E571" s="4"/>
      <c r="F571" s="4"/>
      <c r="G571" s="4"/>
      <c r="H571" s="4"/>
    </row>
    <row r="572">
      <c r="A572" s="4"/>
      <c r="B572" s="4"/>
      <c r="C572" s="4"/>
      <c r="D572" s="4"/>
      <c r="E572" s="4"/>
      <c r="F572" s="4"/>
      <c r="G572" s="4"/>
      <c r="H572" s="4"/>
    </row>
    <row r="573">
      <c r="A573" s="4"/>
      <c r="B573" s="4"/>
      <c r="C573" s="4"/>
      <c r="D573" s="4"/>
      <c r="E573" s="4"/>
      <c r="F573" s="4"/>
      <c r="G573" s="4"/>
      <c r="H573" s="4"/>
    </row>
    <row r="574">
      <c r="A574" s="4"/>
      <c r="B574" s="4"/>
      <c r="C574" s="4"/>
      <c r="D574" s="4"/>
      <c r="E574" s="4"/>
      <c r="F574" s="4"/>
      <c r="G574" s="4"/>
      <c r="H574" s="4"/>
    </row>
    <row r="575">
      <c r="A575" s="4"/>
      <c r="B575" s="4"/>
      <c r="C575" s="4"/>
      <c r="D575" s="4"/>
      <c r="E575" s="4"/>
      <c r="F575" s="4"/>
      <c r="G575" s="4"/>
      <c r="H575" s="4"/>
    </row>
    <row r="576">
      <c r="A576" s="4"/>
      <c r="B576" s="4"/>
      <c r="C576" s="4"/>
      <c r="D576" s="4"/>
      <c r="E576" s="4"/>
      <c r="F576" s="4"/>
      <c r="G576" s="4"/>
      <c r="H576" s="4"/>
    </row>
    <row r="577">
      <c r="A577" s="4"/>
      <c r="B577" s="4"/>
      <c r="C577" s="4"/>
      <c r="D577" s="4"/>
      <c r="E577" s="4"/>
      <c r="F577" s="4"/>
      <c r="G577" s="4"/>
      <c r="H577" s="4"/>
    </row>
    <row r="578">
      <c r="A578" s="4"/>
      <c r="B578" s="4"/>
      <c r="C578" s="4"/>
      <c r="D578" s="4"/>
      <c r="E578" s="4"/>
      <c r="F578" s="4"/>
      <c r="G578" s="4"/>
      <c r="H578" s="4"/>
    </row>
    <row r="579">
      <c r="A579" s="4"/>
      <c r="B579" s="4"/>
      <c r="C579" s="4"/>
      <c r="D579" s="4"/>
      <c r="E579" s="4"/>
      <c r="F579" s="4"/>
      <c r="G579" s="4"/>
      <c r="H579" s="4"/>
    </row>
    <row r="580">
      <c r="A580" s="4"/>
      <c r="B580" s="4"/>
      <c r="C580" s="4"/>
      <c r="D580" s="4"/>
      <c r="E580" s="4"/>
      <c r="F580" s="4"/>
      <c r="G580" s="4"/>
      <c r="H580" s="4"/>
    </row>
    <row r="581">
      <c r="A581" s="4"/>
      <c r="B581" s="4"/>
      <c r="C581" s="4"/>
      <c r="D581" s="4"/>
      <c r="E581" s="4"/>
      <c r="F581" s="4"/>
      <c r="G581" s="4"/>
      <c r="H581" s="4"/>
    </row>
    <row r="582">
      <c r="A582" s="4"/>
      <c r="B582" s="4"/>
      <c r="C582" s="4"/>
      <c r="D582" s="4"/>
      <c r="E582" s="4"/>
      <c r="F582" s="4"/>
      <c r="G582" s="4"/>
      <c r="H582" s="4"/>
    </row>
    <row r="583">
      <c r="A583" s="4"/>
      <c r="B583" s="4"/>
      <c r="C583" s="4"/>
      <c r="D583" s="4"/>
      <c r="E583" s="4"/>
      <c r="F583" s="4"/>
      <c r="G583" s="4"/>
      <c r="H583" s="4"/>
    </row>
    <row r="584">
      <c r="A584" s="4"/>
      <c r="B584" s="4"/>
      <c r="C584" s="4"/>
      <c r="D584" s="4"/>
      <c r="E584" s="4"/>
      <c r="F584" s="4"/>
      <c r="G584" s="4"/>
      <c r="H584" s="4"/>
    </row>
    <row r="585">
      <c r="A585" s="4"/>
      <c r="B585" s="4"/>
      <c r="C585" s="4"/>
      <c r="D585" s="4"/>
      <c r="E585" s="4"/>
      <c r="F585" s="4"/>
      <c r="G585" s="4"/>
      <c r="H585" s="4"/>
    </row>
    <row r="586">
      <c r="A586" s="4"/>
      <c r="B586" s="4"/>
      <c r="C586" s="4"/>
      <c r="D586" s="4"/>
      <c r="E586" s="4"/>
      <c r="F586" s="4"/>
      <c r="G586" s="4"/>
      <c r="H586" s="4"/>
    </row>
    <row r="587">
      <c r="A587" s="4"/>
      <c r="B587" s="4"/>
      <c r="C587" s="4"/>
      <c r="D587" s="4"/>
      <c r="E587" s="4"/>
      <c r="F587" s="4"/>
      <c r="G587" s="4"/>
      <c r="H587" s="4"/>
    </row>
    <row r="588">
      <c r="A588" s="4"/>
      <c r="B588" s="4"/>
      <c r="C588" s="4"/>
      <c r="D588" s="4"/>
      <c r="E588" s="4"/>
      <c r="F588" s="4"/>
      <c r="G588" s="4"/>
      <c r="H588" s="4"/>
    </row>
    <row r="589">
      <c r="A589" s="4"/>
      <c r="B589" s="4"/>
      <c r="C589" s="4"/>
      <c r="D589" s="4"/>
      <c r="E589" s="4"/>
      <c r="F589" s="4"/>
      <c r="G589" s="4"/>
      <c r="H589" s="4"/>
    </row>
    <row r="590">
      <c r="A590" s="4"/>
      <c r="B590" s="4"/>
      <c r="C590" s="4"/>
      <c r="D590" s="4"/>
      <c r="E590" s="4"/>
      <c r="F590" s="4"/>
      <c r="G590" s="4"/>
      <c r="H590" s="4"/>
    </row>
    <row r="591">
      <c r="A591" s="4"/>
      <c r="B591" s="4"/>
      <c r="C591" s="4"/>
      <c r="D591" s="4"/>
      <c r="E591" s="4"/>
      <c r="F591" s="4"/>
      <c r="G591" s="4"/>
      <c r="H591" s="4"/>
    </row>
    <row r="592">
      <c r="A592" s="4"/>
      <c r="B592" s="4"/>
      <c r="C592" s="4"/>
      <c r="D592" s="4"/>
      <c r="E592" s="4"/>
      <c r="F592" s="4"/>
      <c r="G592" s="4"/>
      <c r="H592" s="4"/>
    </row>
    <row r="593">
      <c r="A593" s="4"/>
      <c r="B593" s="4"/>
      <c r="C593" s="4"/>
      <c r="D593" s="4"/>
      <c r="E593" s="4"/>
      <c r="F593" s="4"/>
      <c r="G593" s="4"/>
      <c r="H593" s="4"/>
    </row>
    <row r="594">
      <c r="A594" s="4"/>
      <c r="B594" s="4"/>
      <c r="C594" s="4"/>
      <c r="D594" s="4"/>
      <c r="E594" s="4"/>
      <c r="F594" s="4"/>
      <c r="G594" s="4"/>
      <c r="H594" s="4"/>
    </row>
    <row r="595">
      <c r="A595" s="4"/>
      <c r="B595" s="4"/>
      <c r="C595" s="4"/>
      <c r="D595" s="4"/>
      <c r="E595" s="4"/>
      <c r="F595" s="4"/>
      <c r="G595" s="4"/>
      <c r="H595" s="4"/>
    </row>
    <row r="596">
      <c r="A596" s="4"/>
      <c r="B596" s="4"/>
      <c r="C596" s="4"/>
      <c r="D596" s="4"/>
      <c r="E596" s="4"/>
      <c r="F596" s="4"/>
      <c r="G596" s="4"/>
      <c r="H596" s="4"/>
    </row>
    <row r="597">
      <c r="A597" s="4"/>
      <c r="B597" s="4"/>
      <c r="C597" s="4"/>
      <c r="D597" s="4"/>
      <c r="E597" s="4"/>
      <c r="F597" s="4"/>
      <c r="G597" s="4"/>
      <c r="H597" s="4"/>
    </row>
    <row r="598">
      <c r="A598" s="4"/>
      <c r="B598" s="4"/>
      <c r="C598" s="4"/>
      <c r="D598" s="4"/>
      <c r="E598" s="4"/>
      <c r="F598" s="4"/>
      <c r="G598" s="4"/>
      <c r="H598" s="4"/>
    </row>
    <row r="599">
      <c r="A599" s="4"/>
      <c r="B599" s="4"/>
      <c r="C599" s="4"/>
      <c r="D599" s="4"/>
      <c r="E599" s="4"/>
      <c r="F599" s="4"/>
      <c r="G599" s="4"/>
      <c r="H599" s="4"/>
    </row>
    <row r="600">
      <c r="A600" s="4"/>
      <c r="B600" s="4"/>
      <c r="C600" s="4"/>
      <c r="D600" s="4"/>
      <c r="E600" s="4"/>
      <c r="F600" s="4"/>
      <c r="G600" s="4"/>
      <c r="H600" s="4"/>
    </row>
    <row r="601">
      <c r="A601" s="4"/>
      <c r="B601" s="4"/>
      <c r="C601" s="4"/>
      <c r="D601" s="4"/>
      <c r="E601" s="4"/>
      <c r="F601" s="4"/>
      <c r="G601" s="4"/>
      <c r="H601" s="4"/>
    </row>
    <row r="602">
      <c r="A602" s="4"/>
      <c r="B602" s="4"/>
      <c r="C602" s="4"/>
      <c r="D602" s="4"/>
      <c r="E602" s="4"/>
      <c r="F602" s="4"/>
      <c r="G602" s="4"/>
      <c r="H602" s="4"/>
    </row>
    <row r="603">
      <c r="A603" s="4"/>
      <c r="B603" s="4"/>
      <c r="C603" s="4"/>
      <c r="D603" s="4"/>
      <c r="E603" s="4"/>
      <c r="F603" s="4"/>
      <c r="G603" s="4"/>
      <c r="H603" s="4"/>
    </row>
    <row r="604">
      <c r="A604" s="4"/>
      <c r="B604" s="4"/>
      <c r="C604" s="4"/>
      <c r="D604" s="4"/>
      <c r="E604" s="4"/>
      <c r="F604" s="4"/>
      <c r="G604" s="4"/>
      <c r="H604" s="4"/>
    </row>
    <row r="605">
      <c r="A605" s="4"/>
      <c r="B605" s="4"/>
      <c r="C605" s="4"/>
      <c r="D605" s="4"/>
      <c r="E605" s="4"/>
      <c r="F605" s="4"/>
      <c r="G605" s="4"/>
      <c r="H605" s="4"/>
    </row>
    <row r="606">
      <c r="A606" s="4"/>
      <c r="B606" s="4"/>
      <c r="C606" s="4"/>
      <c r="D606" s="4"/>
      <c r="E606" s="4"/>
      <c r="F606" s="4"/>
      <c r="G606" s="4"/>
      <c r="H606" s="4"/>
    </row>
    <row r="607">
      <c r="A607" s="4"/>
      <c r="B607" s="4"/>
      <c r="C607" s="4"/>
      <c r="D607" s="4"/>
      <c r="E607" s="4"/>
      <c r="F607" s="4"/>
      <c r="G607" s="4"/>
      <c r="H607" s="4"/>
    </row>
    <row r="608">
      <c r="A608" s="4"/>
      <c r="B608" s="4"/>
      <c r="C608" s="4"/>
      <c r="D608" s="4"/>
      <c r="E608" s="4"/>
      <c r="F608" s="4"/>
      <c r="G608" s="4"/>
      <c r="H608" s="4"/>
    </row>
    <row r="609">
      <c r="A609" s="4"/>
      <c r="B609" s="4"/>
      <c r="C609" s="4"/>
      <c r="D609" s="4"/>
      <c r="E609" s="4"/>
      <c r="F609" s="4"/>
      <c r="G609" s="4"/>
      <c r="H609" s="4"/>
    </row>
    <row r="610">
      <c r="A610" s="4"/>
      <c r="B610" s="4"/>
      <c r="C610" s="4"/>
      <c r="D610" s="4"/>
      <c r="E610" s="4"/>
      <c r="F610" s="4"/>
      <c r="G610" s="4"/>
      <c r="H610" s="4"/>
    </row>
    <row r="611">
      <c r="A611" s="4"/>
      <c r="B611" s="4"/>
      <c r="C611" s="4"/>
      <c r="D611" s="4"/>
      <c r="E611" s="4"/>
      <c r="F611" s="4"/>
      <c r="G611" s="4"/>
      <c r="H611" s="4"/>
    </row>
    <row r="612">
      <c r="A612" s="4"/>
      <c r="B612" s="4"/>
      <c r="C612" s="4"/>
      <c r="D612" s="4"/>
      <c r="E612" s="4"/>
      <c r="F612" s="4"/>
      <c r="G612" s="4"/>
      <c r="H612" s="4"/>
    </row>
    <row r="613">
      <c r="A613" s="4"/>
      <c r="B613" s="4"/>
      <c r="C613" s="4"/>
      <c r="D613" s="4"/>
      <c r="E613" s="4"/>
      <c r="F613" s="4"/>
      <c r="G613" s="4"/>
      <c r="H613" s="4"/>
    </row>
    <row r="614">
      <c r="A614" s="4"/>
      <c r="B614" s="4"/>
      <c r="C614" s="4"/>
      <c r="D614" s="4"/>
      <c r="E614" s="4"/>
      <c r="F614" s="4"/>
      <c r="G614" s="4"/>
      <c r="H614" s="4"/>
    </row>
    <row r="615">
      <c r="A615" s="4"/>
      <c r="B615" s="4"/>
      <c r="C615" s="4"/>
      <c r="D615" s="4"/>
      <c r="E615" s="4"/>
      <c r="F615" s="4"/>
      <c r="G615" s="4"/>
      <c r="H615" s="4"/>
    </row>
    <row r="616">
      <c r="A616" s="4"/>
      <c r="B616" s="4"/>
      <c r="C616" s="4"/>
      <c r="D616" s="4"/>
      <c r="E616" s="4"/>
      <c r="F616" s="4"/>
      <c r="G616" s="4"/>
      <c r="H616" s="4"/>
    </row>
    <row r="617">
      <c r="A617" s="4"/>
      <c r="B617" s="4"/>
      <c r="C617" s="4"/>
      <c r="D617" s="4"/>
      <c r="E617" s="4"/>
      <c r="F617" s="4"/>
      <c r="G617" s="4"/>
      <c r="H617" s="4"/>
    </row>
    <row r="618">
      <c r="A618" s="4"/>
      <c r="B618" s="4"/>
      <c r="C618" s="4"/>
      <c r="D618" s="4"/>
      <c r="E618" s="4"/>
      <c r="F618" s="4"/>
      <c r="G618" s="4"/>
      <c r="H618" s="4"/>
    </row>
    <row r="619">
      <c r="A619" s="4"/>
      <c r="B619" s="4"/>
      <c r="C619" s="4"/>
      <c r="D619" s="4"/>
      <c r="E619" s="4"/>
      <c r="F619" s="4"/>
      <c r="G619" s="4"/>
      <c r="H619" s="4"/>
    </row>
    <row r="620">
      <c r="A620" s="4"/>
      <c r="B620" s="4"/>
      <c r="C620" s="4"/>
      <c r="D620" s="4"/>
      <c r="E620" s="4"/>
      <c r="F620" s="4"/>
      <c r="G620" s="4"/>
      <c r="H620" s="4"/>
    </row>
    <row r="621">
      <c r="A621" s="4"/>
      <c r="B621" s="4"/>
      <c r="C621" s="4"/>
      <c r="D621" s="4"/>
      <c r="E621" s="4"/>
      <c r="F621" s="4"/>
      <c r="G621" s="4"/>
      <c r="H621" s="4"/>
    </row>
    <row r="622">
      <c r="A622" s="4"/>
      <c r="B622" s="4"/>
      <c r="C622" s="4"/>
      <c r="D622" s="4"/>
      <c r="E622" s="4"/>
      <c r="F622" s="4"/>
      <c r="G622" s="4"/>
      <c r="H622" s="4"/>
    </row>
    <row r="623">
      <c r="A623" s="4"/>
      <c r="B623" s="4"/>
      <c r="C623" s="4"/>
      <c r="D623" s="4"/>
      <c r="E623" s="4"/>
      <c r="F623" s="4"/>
      <c r="G623" s="4"/>
      <c r="H623" s="4"/>
    </row>
    <row r="624">
      <c r="A624" s="4"/>
      <c r="B624" s="4"/>
      <c r="C624" s="4"/>
      <c r="D624" s="4"/>
      <c r="E624" s="4"/>
      <c r="F624" s="4"/>
      <c r="G624" s="4"/>
      <c r="H624" s="4"/>
    </row>
    <row r="625">
      <c r="A625" s="4"/>
      <c r="B625" s="4"/>
      <c r="C625" s="4"/>
      <c r="D625" s="4"/>
      <c r="E625" s="4"/>
      <c r="F625" s="4"/>
      <c r="G625" s="4"/>
      <c r="H625" s="4"/>
    </row>
    <row r="626">
      <c r="A626" s="4"/>
      <c r="B626" s="4"/>
      <c r="C626" s="4"/>
      <c r="D626" s="4"/>
      <c r="E626" s="4"/>
      <c r="F626" s="4"/>
      <c r="G626" s="4"/>
      <c r="H626" s="4"/>
    </row>
    <row r="627">
      <c r="A627" s="4"/>
      <c r="B627" s="4"/>
      <c r="C627" s="4"/>
      <c r="D627" s="4"/>
      <c r="E627" s="4"/>
      <c r="F627" s="4"/>
      <c r="G627" s="4"/>
      <c r="H627" s="4"/>
    </row>
    <row r="628">
      <c r="A628" s="4"/>
      <c r="B628" s="4"/>
      <c r="C628" s="4"/>
      <c r="D628" s="4"/>
      <c r="E628" s="4"/>
      <c r="F628" s="4"/>
      <c r="G628" s="4"/>
      <c r="H628" s="4"/>
    </row>
    <row r="629">
      <c r="A629" s="4"/>
      <c r="B629" s="4"/>
      <c r="C629" s="4"/>
      <c r="D629" s="4"/>
      <c r="E629" s="4"/>
      <c r="F629" s="4"/>
      <c r="G629" s="4"/>
      <c r="H629" s="4"/>
    </row>
    <row r="630">
      <c r="A630" s="4"/>
      <c r="B630" s="4"/>
      <c r="C630" s="4"/>
      <c r="D630" s="4"/>
      <c r="E630" s="4"/>
      <c r="F630" s="4"/>
      <c r="G630" s="4"/>
      <c r="H630" s="4"/>
    </row>
    <row r="631">
      <c r="A631" s="4"/>
      <c r="B631" s="4"/>
      <c r="C631" s="4"/>
      <c r="D631" s="4"/>
      <c r="E631" s="4"/>
      <c r="F631" s="4"/>
      <c r="G631" s="4"/>
      <c r="H631" s="4"/>
    </row>
    <row r="632">
      <c r="A632" s="4"/>
      <c r="B632" s="4"/>
      <c r="C632" s="4"/>
      <c r="D632" s="4"/>
      <c r="E632" s="4"/>
      <c r="F632" s="4"/>
      <c r="G632" s="4"/>
      <c r="H632" s="4"/>
    </row>
    <row r="633">
      <c r="A633" s="4"/>
      <c r="B633" s="4"/>
      <c r="C633" s="4"/>
      <c r="D633" s="4"/>
      <c r="E633" s="4"/>
      <c r="F633" s="4"/>
      <c r="G633" s="4"/>
      <c r="H633" s="4"/>
    </row>
    <row r="634">
      <c r="A634" s="4"/>
      <c r="B634" s="4"/>
      <c r="C634" s="4"/>
      <c r="D634" s="4"/>
      <c r="E634" s="4"/>
      <c r="F634" s="4"/>
      <c r="G634" s="4"/>
      <c r="H634" s="4"/>
    </row>
    <row r="635">
      <c r="A635" s="4"/>
      <c r="B635" s="4"/>
      <c r="C635" s="4"/>
      <c r="D635" s="4"/>
      <c r="E635" s="4"/>
      <c r="F635" s="4"/>
      <c r="G635" s="4"/>
      <c r="H635" s="4"/>
    </row>
    <row r="636">
      <c r="A636" s="4"/>
      <c r="B636" s="4"/>
      <c r="C636" s="4"/>
      <c r="D636" s="4"/>
      <c r="E636" s="4"/>
      <c r="F636" s="4"/>
      <c r="G636" s="4"/>
      <c r="H636" s="4"/>
    </row>
    <row r="637">
      <c r="A637" s="4"/>
      <c r="B637" s="4"/>
      <c r="C637" s="4"/>
      <c r="D637" s="4"/>
      <c r="E637" s="4"/>
      <c r="F637" s="4"/>
      <c r="G637" s="4"/>
      <c r="H637" s="4"/>
    </row>
    <row r="638">
      <c r="A638" s="4"/>
      <c r="B638" s="4"/>
      <c r="C638" s="4"/>
      <c r="D638" s="4"/>
      <c r="E638" s="4"/>
      <c r="F638" s="4"/>
      <c r="G638" s="4"/>
      <c r="H638" s="4"/>
    </row>
    <row r="639">
      <c r="A639" s="4"/>
      <c r="B639" s="4"/>
      <c r="C639" s="4"/>
      <c r="D639" s="4"/>
      <c r="E639" s="4"/>
      <c r="F639" s="4"/>
      <c r="G639" s="4"/>
      <c r="H639" s="4"/>
    </row>
    <row r="640">
      <c r="A640" s="4"/>
      <c r="B640" s="4"/>
      <c r="C640" s="4"/>
      <c r="D640" s="4"/>
      <c r="E640" s="4"/>
      <c r="F640" s="4"/>
      <c r="G640" s="4"/>
      <c r="H640" s="4"/>
    </row>
    <row r="641">
      <c r="A641" s="4"/>
      <c r="B641" s="4"/>
      <c r="C641" s="4"/>
      <c r="D641" s="4"/>
      <c r="E641" s="4"/>
      <c r="F641" s="4"/>
      <c r="G641" s="4"/>
      <c r="H641" s="4"/>
    </row>
    <row r="642">
      <c r="A642" s="4"/>
      <c r="B642" s="4"/>
      <c r="C642" s="4"/>
      <c r="D642" s="4"/>
      <c r="E642" s="4"/>
      <c r="F642" s="4"/>
      <c r="G642" s="4"/>
      <c r="H642" s="4"/>
    </row>
    <row r="643">
      <c r="A643" s="4"/>
      <c r="B643" s="4"/>
      <c r="C643" s="4"/>
      <c r="D643" s="4"/>
      <c r="E643" s="4"/>
      <c r="F643" s="4"/>
      <c r="G643" s="4"/>
      <c r="H643" s="4"/>
    </row>
    <row r="644">
      <c r="A644" s="4"/>
      <c r="B644" s="4"/>
      <c r="C644" s="4"/>
      <c r="D644" s="4"/>
      <c r="E644" s="4"/>
      <c r="F644" s="4"/>
      <c r="G644" s="4"/>
      <c r="H644" s="4"/>
    </row>
    <row r="645">
      <c r="A645" s="4"/>
      <c r="B645" s="4"/>
      <c r="C645" s="4"/>
      <c r="D645" s="4"/>
      <c r="E645" s="4"/>
      <c r="F645" s="4"/>
      <c r="G645" s="4"/>
      <c r="H645" s="4"/>
    </row>
    <row r="646">
      <c r="A646" s="4"/>
      <c r="B646" s="4"/>
      <c r="C646" s="4"/>
      <c r="D646" s="4"/>
      <c r="E646" s="4"/>
      <c r="F646" s="4"/>
      <c r="G646" s="4"/>
      <c r="H646" s="4"/>
    </row>
    <row r="647">
      <c r="A647" s="4"/>
      <c r="B647" s="4"/>
      <c r="C647" s="4"/>
      <c r="D647" s="4"/>
      <c r="E647" s="4"/>
      <c r="F647" s="4"/>
      <c r="G647" s="4"/>
      <c r="H647" s="4"/>
    </row>
    <row r="648">
      <c r="A648" s="4"/>
      <c r="B648" s="4"/>
      <c r="C648" s="4"/>
      <c r="D648" s="4"/>
      <c r="E648" s="4"/>
      <c r="F648" s="4"/>
      <c r="G648" s="4"/>
      <c r="H648" s="4"/>
    </row>
    <row r="649">
      <c r="A649" s="4"/>
      <c r="B649" s="4"/>
      <c r="C649" s="4"/>
      <c r="D649" s="4"/>
      <c r="E649" s="4"/>
      <c r="F649" s="4"/>
      <c r="G649" s="4"/>
      <c r="H649" s="4"/>
    </row>
    <row r="650">
      <c r="A650" s="4"/>
      <c r="B650" s="4"/>
      <c r="C650" s="4"/>
      <c r="D650" s="4"/>
      <c r="E650" s="4"/>
      <c r="F650" s="4"/>
      <c r="G650" s="4"/>
      <c r="H650" s="4"/>
    </row>
    <row r="651">
      <c r="A651" s="4"/>
      <c r="B651" s="4"/>
      <c r="C651" s="4"/>
      <c r="D651" s="4"/>
      <c r="E651" s="4"/>
      <c r="F651" s="4"/>
      <c r="G651" s="4"/>
      <c r="H651" s="4"/>
    </row>
    <row r="652">
      <c r="A652" s="4"/>
      <c r="B652" s="4"/>
      <c r="C652" s="4"/>
      <c r="D652" s="4"/>
      <c r="E652" s="4"/>
      <c r="F652" s="4"/>
      <c r="G652" s="4"/>
      <c r="H652" s="4"/>
    </row>
    <row r="653">
      <c r="A653" s="4"/>
      <c r="B653" s="4"/>
      <c r="C653" s="4"/>
      <c r="D653" s="4"/>
      <c r="E653" s="4"/>
      <c r="F653" s="4"/>
      <c r="G653" s="4"/>
      <c r="H653" s="4"/>
    </row>
    <row r="654">
      <c r="A654" s="4"/>
      <c r="B654" s="4"/>
      <c r="C654" s="4"/>
      <c r="D654" s="4"/>
      <c r="E654" s="4"/>
      <c r="F654" s="4"/>
      <c r="G654" s="4"/>
      <c r="H654" s="4"/>
    </row>
    <row r="655">
      <c r="A655" s="4"/>
      <c r="B655" s="4"/>
      <c r="C655" s="4"/>
      <c r="D655" s="4"/>
      <c r="E655" s="4"/>
      <c r="F655" s="4"/>
      <c r="G655" s="4"/>
      <c r="H655" s="4"/>
    </row>
    <row r="656">
      <c r="A656" s="4"/>
      <c r="B656" s="4"/>
      <c r="C656" s="4"/>
      <c r="D656" s="4"/>
      <c r="E656" s="4"/>
      <c r="F656" s="4"/>
      <c r="G656" s="4"/>
      <c r="H656" s="4"/>
    </row>
    <row r="657">
      <c r="A657" s="4"/>
      <c r="B657" s="4"/>
      <c r="C657" s="4"/>
      <c r="D657" s="4"/>
      <c r="E657" s="4"/>
      <c r="F657" s="4"/>
      <c r="G657" s="4"/>
      <c r="H657" s="4"/>
    </row>
    <row r="658">
      <c r="A658" s="4"/>
      <c r="B658" s="4"/>
      <c r="C658" s="4"/>
      <c r="D658" s="4"/>
      <c r="E658" s="4"/>
      <c r="F658" s="4"/>
      <c r="G658" s="4"/>
      <c r="H658" s="4"/>
    </row>
    <row r="659">
      <c r="A659" s="4"/>
      <c r="B659" s="4"/>
      <c r="C659" s="4"/>
      <c r="D659" s="4"/>
      <c r="E659" s="4"/>
      <c r="F659" s="4"/>
      <c r="G659" s="4"/>
      <c r="H659" s="4"/>
    </row>
    <row r="660">
      <c r="A660" s="4"/>
      <c r="B660" s="4"/>
      <c r="C660" s="4"/>
      <c r="D660" s="4"/>
      <c r="E660" s="4"/>
      <c r="F660" s="4"/>
      <c r="G660" s="4"/>
      <c r="H660" s="4"/>
    </row>
    <row r="661">
      <c r="A661" s="4"/>
      <c r="B661" s="4"/>
      <c r="C661" s="4"/>
      <c r="D661" s="4"/>
      <c r="E661" s="4"/>
      <c r="F661" s="4"/>
      <c r="G661" s="4"/>
      <c r="H661" s="4"/>
    </row>
    <row r="662">
      <c r="A662" s="4"/>
      <c r="B662" s="4"/>
      <c r="C662" s="4"/>
      <c r="D662" s="4"/>
      <c r="E662" s="4"/>
      <c r="F662" s="4"/>
      <c r="G662" s="4"/>
      <c r="H662" s="4"/>
    </row>
    <row r="663">
      <c r="A663" s="4"/>
      <c r="B663" s="4"/>
      <c r="C663" s="4"/>
      <c r="D663" s="4"/>
      <c r="E663" s="4"/>
      <c r="F663" s="4"/>
      <c r="G663" s="4"/>
      <c r="H663" s="4"/>
    </row>
    <row r="664">
      <c r="A664" s="4"/>
      <c r="B664" s="4"/>
      <c r="C664" s="4"/>
      <c r="D664" s="4"/>
      <c r="E664" s="4"/>
      <c r="F664" s="4"/>
      <c r="G664" s="4"/>
      <c r="H664" s="4"/>
    </row>
    <row r="665">
      <c r="A665" s="4"/>
      <c r="B665" s="4"/>
      <c r="C665" s="4"/>
      <c r="D665" s="4"/>
      <c r="E665" s="4"/>
      <c r="F665" s="4"/>
      <c r="G665" s="4"/>
      <c r="H665" s="4"/>
    </row>
    <row r="666">
      <c r="A666" s="4"/>
      <c r="B666" s="4"/>
      <c r="C666" s="4"/>
      <c r="D666" s="4"/>
      <c r="E666" s="4"/>
      <c r="F666" s="4"/>
      <c r="G666" s="4"/>
      <c r="H666" s="4"/>
    </row>
    <row r="667">
      <c r="A667" s="4"/>
      <c r="B667" s="4"/>
      <c r="C667" s="4"/>
      <c r="D667" s="4"/>
      <c r="E667" s="4"/>
      <c r="F667" s="4"/>
      <c r="G667" s="4"/>
      <c r="H667" s="4"/>
    </row>
    <row r="668">
      <c r="A668" s="4"/>
      <c r="B668" s="4"/>
      <c r="C668" s="4"/>
      <c r="D668" s="4"/>
      <c r="E668" s="4"/>
      <c r="F668" s="4"/>
      <c r="G668" s="4"/>
      <c r="H668" s="4"/>
    </row>
    <row r="669">
      <c r="A669" s="4"/>
      <c r="B669" s="4"/>
      <c r="C669" s="4"/>
      <c r="D669" s="4"/>
      <c r="E669" s="4"/>
      <c r="F669" s="4"/>
      <c r="G669" s="4"/>
      <c r="H669" s="4"/>
    </row>
    <row r="670">
      <c r="A670" s="4"/>
      <c r="B670" s="4"/>
      <c r="C670" s="4"/>
      <c r="D670" s="4"/>
      <c r="E670" s="4"/>
      <c r="F670" s="4"/>
      <c r="G670" s="4"/>
      <c r="H670" s="4"/>
    </row>
    <row r="671">
      <c r="A671" s="4"/>
      <c r="B671" s="4"/>
      <c r="C671" s="4"/>
      <c r="D671" s="4"/>
      <c r="E671" s="4"/>
      <c r="F671" s="4"/>
      <c r="G671" s="4"/>
      <c r="H671" s="4"/>
    </row>
    <row r="672">
      <c r="A672" s="4"/>
      <c r="B672" s="4"/>
      <c r="C672" s="4"/>
      <c r="D672" s="4"/>
      <c r="E672" s="4"/>
      <c r="F672" s="4"/>
      <c r="G672" s="4"/>
      <c r="H672" s="4"/>
    </row>
    <row r="673">
      <c r="A673" s="4"/>
      <c r="B673" s="4"/>
      <c r="C673" s="4"/>
      <c r="D673" s="4"/>
      <c r="E673" s="4"/>
      <c r="F673" s="4"/>
      <c r="G673" s="4"/>
      <c r="H673" s="4"/>
    </row>
    <row r="674">
      <c r="A674" s="4"/>
      <c r="B674" s="4"/>
      <c r="C674" s="4"/>
      <c r="D674" s="4"/>
      <c r="E674" s="4"/>
      <c r="F674" s="4"/>
      <c r="G674" s="4"/>
      <c r="H674" s="4"/>
    </row>
    <row r="675">
      <c r="A675" s="4"/>
      <c r="B675" s="4"/>
      <c r="C675" s="4"/>
      <c r="D675" s="4"/>
      <c r="E675" s="4"/>
      <c r="F675" s="4"/>
      <c r="G675" s="4"/>
      <c r="H675" s="4"/>
    </row>
    <row r="676">
      <c r="A676" s="4"/>
      <c r="B676" s="4"/>
      <c r="C676" s="4"/>
      <c r="D676" s="4"/>
      <c r="E676" s="4"/>
      <c r="F676" s="4"/>
      <c r="G676" s="4"/>
      <c r="H676" s="4"/>
    </row>
    <row r="677">
      <c r="A677" s="4"/>
      <c r="B677" s="4"/>
      <c r="C677" s="4"/>
      <c r="D677" s="4"/>
      <c r="E677" s="4"/>
      <c r="F677" s="4"/>
      <c r="G677" s="4"/>
      <c r="H677" s="4"/>
    </row>
    <row r="678">
      <c r="A678" s="4"/>
      <c r="B678" s="4"/>
      <c r="C678" s="4"/>
      <c r="D678" s="4"/>
      <c r="E678" s="4"/>
      <c r="F678" s="4"/>
      <c r="G678" s="4"/>
      <c r="H678" s="4"/>
    </row>
    <row r="679">
      <c r="A679" s="4"/>
      <c r="B679" s="4"/>
      <c r="C679" s="4"/>
      <c r="D679" s="4"/>
      <c r="E679" s="4"/>
      <c r="F679" s="4"/>
      <c r="G679" s="4"/>
      <c r="H679" s="4"/>
    </row>
    <row r="680">
      <c r="A680" s="4"/>
      <c r="B680" s="4"/>
      <c r="C680" s="4"/>
      <c r="D680" s="4"/>
      <c r="E680" s="4"/>
      <c r="F680" s="4"/>
      <c r="G680" s="4"/>
      <c r="H680" s="4"/>
    </row>
    <row r="681">
      <c r="A681" s="4"/>
      <c r="B681" s="4"/>
      <c r="C681" s="4"/>
      <c r="D681" s="4"/>
      <c r="E681" s="4"/>
      <c r="F681" s="4"/>
      <c r="G681" s="4"/>
      <c r="H681" s="4"/>
    </row>
    <row r="682">
      <c r="A682" s="4"/>
      <c r="B682" s="4"/>
      <c r="C682" s="4"/>
      <c r="D682" s="4"/>
      <c r="E682" s="4"/>
      <c r="F682" s="4"/>
      <c r="G682" s="4"/>
      <c r="H682" s="4"/>
    </row>
    <row r="683">
      <c r="A683" s="4"/>
      <c r="B683" s="4"/>
      <c r="C683" s="4"/>
      <c r="D683" s="4"/>
      <c r="E683" s="4"/>
      <c r="F683" s="4"/>
      <c r="G683" s="4"/>
      <c r="H683" s="4"/>
    </row>
    <row r="684">
      <c r="A684" s="4"/>
      <c r="B684" s="4"/>
      <c r="C684" s="4"/>
      <c r="D684" s="4"/>
      <c r="E684" s="4"/>
      <c r="F684" s="4"/>
      <c r="G684" s="4"/>
      <c r="H684" s="4"/>
    </row>
    <row r="685">
      <c r="A685" s="4"/>
      <c r="B685" s="4"/>
      <c r="C685" s="4"/>
      <c r="D685" s="4"/>
      <c r="E685" s="4"/>
      <c r="F685" s="4"/>
      <c r="G685" s="4"/>
      <c r="H685" s="4"/>
    </row>
    <row r="686">
      <c r="A686" s="4"/>
      <c r="B686" s="4"/>
      <c r="C686" s="4"/>
      <c r="D686" s="4"/>
      <c r="E686" s="4"/>
      <c r="F686" s="4"/>
      <c r="G686" s="4"/>
      <c r="H686" s="4"/>
    </row>
    <row r="687">
      <c r="A687" s="4"/>
      <c r="B687" s="4"/>
      <c r="C687" s="4"/>
      <c r="D687" s="4"/>
      <c r="E687" s="4"/>
      <c r="F687" s="4"/>
      <c r="G687" s="4"/>
      <c r="H687" s="4"/>
    </row>
    <row r="688">
      <c r="A688" s="4"/>
      <c r="B688" s="4"/>
      <c r="C688" s="4"/>
      <c r="D688" s="4"/>
      <c r="E688" s="4"/>
      <c r="F688" s="4"/>
      <c r="G688" s="4"/>
      <c r="H688" s="4"/>
    </row>
    <row r="689">
      <c r="A689" s="4"/>
      <c r="B689" s="4"/>
      <c r="C689" s="4"/>
      <c r="D689" s="4"/>
      <c r="E689" s="4"/>
      <c r="F689" s="4"/>
      <c r="G689" s="4"/>
      <c r="H689" s="4"/>
    </row>
    <row r="690">
      <c r="A690" s="4"/>
      <c r="B690" s="4"/>
      <c r="C690" s="4"/>
      <c r="D690" s="4"/>
      <c r="E690" s="4"/>
      <c r="F690" s="4"/>
      <c r="G690" s="4"/>
      <c r="H690" s="4"/>
    </row>
    <row r="691">
      <c r="A691" s="4"/>
      <c r="B691" s="4"/>
      <c r="C691" s="4"/>
      <c r="D691" s="4"/>
      <c r="E691" s="4"/>
      <c r="F691" s="4"/>
      <c r="G691" s="4"/>
      <c r="H691" s="4"/>
    </row>
    <row r="692">
      <c r="A692" s="4"/>
      <c r="B692" s="4"/>
      <c r="C692" s="4"/>
      <c r="D692" s="4"/>
      <c r="E692" s="4"/>
      <c r="F692" s="4"/>
      <c r="G692" s="4"/>
      <c r="H692" s="4"/>
    </row>
    <row r="693">
      <c r="A693" s="4"/>
      <c r="B693" s="4"/>
      <c r="C693" s="4"/>
      <c r="D693" s="4"/>
      <c r="E693" s="4"/>
      <c r="F693" s="4"/>
      <c r="G693" s="4"/>
      <c r="H693" s="4"/>
    </row>
    <row r="694">
      <c r="A694" s="4"/>
      <c r="B694" s="4"/>
      <c r="C694" s="4"/>
      <c r="D694" s="4"/>
      <c r="E694" s="4"/>
      <c r="F694" s="4"/>
      <c r="G694" s="4"/>
      <c r="H694" s="4"/>
    </row>
    <row r="695">
      <c r="A695" s="4"/>
      <c r="B695" s="4"/>
      <c r="C695" s="4"/>
      <c r="D695" s="4"/>
      <c r="E695" s="4"/>
      <c r="F695" s="4"/>
      <c r="G695" s="4"/>
      <c r="H695" s="4"/>
    </row>
    <row r="696">
      <c r="A696" s="4"/>
      <c r="B696" s="4"/>
      <c r="C696" s="4"/>
      <c r="D696" s="4"/>
      <c r="E696" s="4"/>
      <c r="F696" s="4"/>
      <c r="G696" s="4"/>
      <c r="H696" s="4"/>
    </row>
    <row r="697">
      <c r="A697" s="4"/>
      <c r="B697" s="4"/>
      <c r="C697" s="4"/>
      <c r="D697" s="4"/>
      <c r="E697" s="4"/>
      <c r="F697" s="4"/>
      <c r="G697" s="4"/>
      <c r="H697" s="4"/>
    </row>
    <row r="698">
      <c r="A698" s="4"/>
      <c r="B698" s="4"/>
      <c r="C698" s="4"/>
      <c r="D698" s="4"/>
      <c r="E698" s="4"/>
      <c r="F698" s="4"/>
      <c r="G698" s="4"/>
      <c r="H698" s="4"/>
    </row>
    <row r="699">
      <c r="A699" s="4"/>
      <c r="B699" s="4"/>
      <c r="C699" s="4"/>
      <c r="D699" s="4"/>
      <c r="E699" s="4"/>
      <c r="F699" s="4"/>
      <c r="G699" s="4"/>
      <c r="H699" s="4"/>
    </row>
    <row r="700">
      <c r="A700" s="4"/>
      <c r="B700" s="4"/>
      <c r="C700" s="4"/>
      <c r="D700" s="4"/>
      <c r="E700" s="4"/>
      <c r="F700" s="4"/>
      <c r="G700" s="4"/>
      <c r="H700" s="4"/>
    </row>
    <row r="701">
      <c r="A701" s="4"/>
      <c r="B701" s="4"/>
      <c r="C701" s="4"/>
      <c r="D701" s="4"/>
      <c r="E701" s="4"/>
      <c r="F701" s="4"/>
      <c r="G701" s="4"/>
      <c r="H701" s="4"/>
    </row>
    <row r="702">
      <c r="A702" s="4"/>
      <c r="B702" s="4"/>
      <c r="C702" s="4"/>
      <c r="D702" s="4"/>
      <c r="E702" s="4"/>
      <c r="F702" s="4"/>
      <c r="G702" s="4"/>
      <c r="H702" s="4"/>
    </row>
    <row r="703">
      <c r="A703" s="4"/>
      <c r="B703" s="4"/>
      <c r="C703" s="4"/>
      <c r="D703" s="4"/>
      <c r="E703" s="4"/>
      <c r="F703" s="4"/>
      <c r="G703" s="4"/>
      <c r="H703" s="4"/>
    </row>
    <row r="704">
      <c r="A704" s="4"/>
      <c r="B704" s="4"/>
      <c r="C704" s="4"/>
      <c r="D704" s="4"/>
      <c r="E704" s="4"/>
      <c r="F704" s="4"/>
      <c r="G704" s="4"/>
      <c r="H704" s="4"/>
    </row>
    <row r="705">
      <c r="A705" s="4"/>
      <c r="B705" s="4"/>
      <c r="C705" s="4"/>
      <c r="D705" s="4"/>
      <c r="E705" s="4"/>
      <c r="F705" s="4"/>
      <c r="G705" s="4"/>
      <c r="H705" s="4"/>
    </row>
    <row r="706">
      <c r="A706" s="4"/>
      <c r="B706" s="4"/>
      <c r="C706" s="4"/>
      <c r="D706" s="4"/>
      <c r="E706" s="4"/>
      <c r="F706" s="4"/>
      <c r="G706" s="4"/>
      <c r="H706" s="4"/>
    </row>
    <row r="707">
      <c r="A707" s="4"/>
      <c r="B707" s="4"/>
      <c r="C707" s="4"/>
      <c r="D707" s="4"/>
      <c r="E707" s="4"/>
      <c r="F707" s="4"/>
      <c r="G707" s="4"/>
      <c r="H707" s="4"/>
    </row>
    <row r="708">
      <c r="A708" s="4"/>
      <c r="B708" s="4"/>
      <c r="C708" s="4"/>
      <c r="D708" s="4"/>
      <c r="E708" s="4"/>
      <c r="F708" s="4"/>
      <c r="G708" s="4"/>
      <c r="H708" s="4"/>
    </row>
    <row r="709">
      <c r="A709" s="4"/>
      <c r="B709" s="4"/>
      <c r="C709" s="4"/>
      <c r="D709" s="4"/>
      <c r="E709" s="4"/>
      <c r="F709" s="4"/>
      <c r="G709" s="4"/>
      <c r="H709" s="4"/>
    </row>
    <row r="710">
      <c r="A710" s="4"/>
      <c r="B710" s="4"/>
      <c r="C710" s="4"/>
      <c r="D710" s="4"/>
      <c r="E710" s="4"/>
      <c r="F710" s="4"/>
      <c r="G710" s="4"/>
      <c r="H710" s="4"/>
    </row>
    <row r="711">
      <c r="A711" s="4"/>
      <c r="B711" s="4"/>
      <c r="C711" s="4"/>
      <c r="D711" s="4"/>
      <c r="E711" s="4"/>
      <c r="F711" s="4"/>
      <c r="G711" s="4"/>
      <c r="H711" s="4"/>
    </row>
    <row r="712">
      <c r="A712" s="4"/>
      <c r="B712" s="4"/>
      <c r="C712" s="4"/>
      <c r="D712" s="4"/>
      <c r="E712" s="4"/>
      <c r="F712" s="4"/>
      <c r="G712" s="4"/>
      <c r="H712" s="4"/>
    </row>
    <row r="713">
      <c r="A713" s="4"/>
      <c r="B713" s="4"/>
      <c r="C713" s="4"/>
      <c r="D713" s="4"/>
      <c r="E713" s="4"/>
      <c r="F713" s="4"/>
      <c r="G713" s="4"/>
      <c r="H713" s="4"/>
    </row>
    <row r="714">
      <c r="A714" s="4"/>
      <c r="B714" s="4"/>
      <c r="C714" s="4"/>
      <c r="D714" s="4"/>
      <c r="E714" s="4"/>
      <c r="F714" s="4"/>
      <c r="G714" s="4"/>
      <c r="H714" s="4"/>
    </row>
    <row r="715">
      <c r="A715" s="4"/>
      <c r="B715" s="4"/>
      <c r="C715" s="4"/>
      <c r="D715" s="4"/>
      <c r="E715" s="4"/>
      <c r="F715" s="4"/>
      <c r="G715" s="4"/>
      <c r="H715" s="4"/>
    </row>
    <row r="716">
      <c r="A716" s="4"/>
      <c r="B716" s="4"/>
      <c r="C716" s="4"/>
      <c r="D716" s="4"/>
      <c r="E716" s="4"/>
      <c r="F716" s="4"/>
      <c r="G716" s="4"/>
      <c r="H716" s="4"/>
    </row>
    <row r="717">
      <c r="A717" s="4"/>
      <c r="B717" s="4"/>
      <c r="C717" s="4"/>
      <c r="D717" s="4"/>
      <c r="E717" s="4"/>
      <c r="F717" s="4"/>
      <c r="G717" s="4"/>
      <c r="H717" s="4"/>
    </row>
    <row r="718">
      <c r="A718" s="4"/>
      <c r="B718" s="4"/>
      <c r="C718" s="4"/>
      <c r="D718" s="4"/>
      <c r="E718" s="4"/>
      <c r="F718" s="4"/>
      <c r="G718" s="4"/>
      <c r="H718" s="4"/>
    </row>
    <row r="719">
      <c r="A719" s="4"/>
      <c r="B719" s="4"/>
      <c r="C719" s="4"/>
      <c r="D719" s="4"/>
      <c r="E719" s="4"/>
      <c r="F719" s="4"/>
      <c r="G719" s="4"/>
      <c r="H719" s="4"/>
    </row>
    <row r="720">
      <c r="A720" s="4"/>
      <c r="B720" s="4"/>
      <c r="C720" s="4"/>
      <c r="D720" s="4"/>
      <c r="E720" s="4"/>
      <c r="F720" s="4"/>
      <c r="G720" s="4"/>
      <c r="H720" s="4"/>
    </row>
    <row r="721">
      <c r="A721" s="4"/>
      <c r="B721" s="4"/>
      <c r="C721" s="4"/>
      <c r="D721" s="4"/>
      <c r="E721" s="4"/>
      <c r="F721" s="4"/>
      <c r="G721" s="4"/>
      <c r="H721" s="4"/>
    </row>
    <row r="722">
      <c r="A722" s="4"/>
      <c r="B722" s="4"/>
      <c r="C722" s="4"/>
      <c r="D722" s="4"/>
      <c r="E722" s="4"/>
      <c r="F722" s="4"/>
      <c r="G722" s="4"/>
      <c r="H722" s="4"/>
    </row>
    <row r="723">
      <c r="A723" s="4"/>
      <c r="B723" s="4"/>
      <c r="C723" s="4"/>
      <c r="D723" s="4"/>
      <c r="E723" s="4"/>
      <c r="F723" s="4"/>
      <c r="G723" s="4"/>
      <c r="H723" s="4"/>
    </row>
    <row r="724">
      <c r="A724" s="4"/>
      <c r="B724" s="4"/>
      <c r="C724" s="4"/>
      <c r="D724" s="4"/>
      <c r="E724" s="4"/>
      <c r="F724" s="4"/>
      <c r="G724" s="4"/>
      <c r="H724" s="4"/>
    </row>
    <row r="725">
      <c r="A725" s="4"/>
      <c r="B725" s="4"/>
      <c r="C725" s="4"/>
      <c r="D725" s="4"/>
      <c r="E725" s="4"/>
      <c r="F725" s="4"/>
      <c r="G725" s="4"/>
      <c r="H725" s="4"/>
    </row>
    <row r="726">
      <c r="A726" s="4"/>
      <c r="B726" s="4"/>
      <c r="C726" s="4"/>
      <c r="D726" s="4"/>
      <c r="E726" s="4"/>
      <c r="F726" s="4"/>
      <c r="G726" s="4"/>
      <c r="H726" s="4"/>
    </row>
    <row r="727">
      <c r="A727" s="4"/>
      <c r="B727" s="4"/>
      <c r="C727" s="4"/>
      <c r="D727" s="4"/>
      <c r="E727" s="4"/>
      <c r="F727" s="4"/>
      <c r="G727" s="4"/>
      <c r="H727" s="4"/>
    </row>
    <row r="728">
      <c r="A728" s="4"/>
      <c r="B728" s="4"/>
      <c r="C728" s="4"/>
      <c r="D728" s="4"/>
      <c r="E728" s="4"/>
      <c r="F728" s="4"/>
      <c r="G728" s="4"/>
      <c r="H728" s="4"/>
    </row>
    <row r="729">
      <c r="A729" s="4"/>
      <c r="B729" s="4"/>
      <c r="C729" s="4"/>
      <c r="D729" s="4"/>
      <c r="E729" s="4"/>
      <c r="F729" s="4"/>
      <c r="G729" s="4"/>
      <c r="H729" s="4"/>
    </row>
    <row r="730">
      <c r="A730" s="4"/>
      <c r="B730" s="4"/>
      <c r="C730" s="4"/>
      <c r="D730" s="4"/>
      <c r="E730" s="4"/>
      <c r="F730" s="4"/>
      <c r="G730" s="4"/>
      <c r="H730" s="4"/>
    </row>
    <row r="731">
      <c r="A731" s="4"/>
      <c r="B731" s="4"/>
      <c r="C731" s="4"/>
      <c r="D731" s="4"/>
      <c r="E731" s="4"/>
      <c r="F731" s="4"/>
      <c r="G731" s="4"/>
      <c r="H731" s="4"/>
    </row>
    <row r="732">
      <c r="A732" s="4"/>
      <c r="B732" s="4"/>
      <c r="C732" s="4"/>
      <c r="D732" s="4"/>
      <c r="E732" s="4"/>
      <c r="F732" s="4"/>
      <c r="G732" s="4"/>
      <c r="H732" s="4"/>
    </row>
    <row r="733">
      <c r="A733" s="4"/>
      <c r="B733" s="4"/>
      <c r="C733" s="4"/>
      <c r="D733" s="4"/>
      <c r="E733" s="4"/>
      <c r="F733" s="4"/>
      <c r="G733" s="4"/>
      <c r="H733" s="4"/>
    </row>
    <row r="734">
      <c r="A734" s="4"/>
      <c r="B734" s="4"/>
      <c r="C734" s="4"/>
      <c r="D734" s="4"/>
      <c r="E734" s="4"/>
      <c r="F734" s="4"/>
      <c r="G734" s="4"/>
      <c r="H734" s="4"/>
    </row>
    <row r="735">
      <c r="A735" s="4"/>
      <c r="B735" s="4"/>
      <c r="C735" s="4"/>
      <c r="D735" s="4"/>
      <c r="E735" s="4"/>
      <c r="F735" s="4"/>
      <c r="G735" s="4"/>
      <c r="H735" s="4"/>
    </row>
    <row r="736">
      <c r="A736" s="4"/>
      <c r="B736" s="4"/>
      <c r="C736" s="4"/>
      <c r="D736" s="4"/>
      <c r="E736" s="4"/>
      <c r="F736" s="4"/>
      <c r="G736" s="4"/>
      <c r="H736" s="4"/>
    </row>
    <row r="737">
      <c r="A737" s="4"/>
      <c r="B737" s="4"/>
      <c r="C737" s="4"/>
      <c r="D737" s="4"/>
      <c r="E737" s="4"/>
      <c r="F737" s="4"/>
      <c r="G737" s="4"/>
      <c r="H737" s="4"/>
    </row>
    <row r="738">
      <c r="A738" s="4"/>
      <c r="B738" s="4"/>
      <c r="C738" s="4"/>
      <c r="D738" s="4"/>
      <c r="E738" s="4"/>
      <c r="F738" s="4"/>
      <c r="G738" s="4"/>
      <c r="H738" s="4"/>
    </row>
    <row r="739">
      <c r="A739" s="4"/>
      <c r="B739" s="4"/>
      <c r="C739" s="4"/>
      <c r="D739" s="4"/>
      <c r="E739" s="4"/>
      <c r="F739" s="4"/>
      <c r="G739" s="4"/>
      <c r="H739" s="4"/>
    </row>
    <row r="740">
      <c r="A740" s="4"/>
      <c r="B740" s="4"/>
      <c r="C740" s="4"/>
      <c r="D740" s="4"/>
      <c r="E740" s="4"/>
      <c r="F740" s="4"/>
      <c r="G740" s="4"/>
      <c r="H740" s="4"/>
    </row>
    <row r="741">
      <c r="A741" s="4"/>
      <c r="B741" s="4"/>
      <c r="C741" s="4"/>
      <c r="D741" s="4"/>
      <c r="E741" s="4"/>
      <c r="F741" s="4"/>
      <c r="G741" s="4"/>
      <c r="H741" s="4"/>
    </row>
    <row r="742">
      <c r="A742" s="4"/>
      <c r="B742" s="4"/>
      <c r="C742" s="4"/>
      <c r="D742" s="4"/>
      <c r="E742" s="4"/>
      <c r="F742" s="4"/>
      <c r="G742" s="4"/>
      <c r="H742" s="4"/>
    </row>
    <row r="743">
      <c r="A743" s="4"/>
      <c r="B743" s="4"/>
      <c r="C743" s="4"/>
      <c r="D743" s="4"/>
      <c r="E743" s="4"/>
      <c r="F743" s="4"/>
      <c r="G743" s="4"/>
      <c r="H743" s="4"/>
    </row>
    <row r="744">
      <c r="A744" s="4"/>
      <c r="B744" s="4"/>
      <c r="C744" s="4"/>
      <c r="D744" s="4"/>
      <c r="E744" s="4"/>
      <c r="F744" s="4"/>
      <c r="G744" s="4"/>
      <c r="H744" s="4"/>
    </row>
    <row r="745">
      <c r="A745" s="4"/>
      <c r="B745" s="4"/>
      <c r="C745" s="4"/>
      <c r="D745" s="4"/>
      <c r="E745" s="4"/>
      <c r="F745" s="4"/>
      <c r="G745" s="4"/>
      <c r="H745" s="4"/>
    </row>
    <row r="746">
      <c r="A746" s="4"/>
      <c r="B746" s="4"/>
      <c r="C746" s="4"/>
      <c r="D746" s="4"/>
      <c r="E746" s="4"/>
      <c r="F746" s="4"/>
      <c r="G746" s="4"/>
      <c r="H746" s="4"/>
    </row>
    <row r="747">
      <c r="A747" s="4"/>
      <c r="B747" s="4"/>
      <c r="C747" s="4"/>
      <c r="D747" s="4"/>
      <c r="E747" s="4"/>
      <c r="F747" s="4"/>
      <c r="G747" s="4"/>
      <c r="H747" s="4"/>
    </row>
    <row r="748">
      <c r="A748" s="4"/>
      <c r="B748" s="4"/>
      <c r="C748" s="4"/>
      <c r="D748" s="4"/>
      <c r="E748" s="4"/>
      <c r="F748" s="4"/>
      <c r="G748" s="4"/>
      <c r="H748" s="4"/>
    </row>
    <row r="749">
      <c r="A749" s="4"/>
      <c r="B749" s="4"/>
      <c r="C749" s="4"/>
      <c r="D749" s="4"/>
      <c r="E749" s="4"/>
      <c r="F749" s="4"/>
      <c r="G749" s="4"/>
      <c r="H749" s="4"/>
    </row>
    <row r="750">
      <c r="A750" s="4"/>
      <c r="B750" s="4"/>
      <c r="C750" s="4"/>
      <c r="D750" s="4"/>
      <c r="E750" s="4"/>
      <c r="F750" s="4"/>
      <c r="G750" s="4"/>
      <c r="H750" s="4"/>
    </row>
    <row r="751">
      <c r="A751" s="4"/>
      <c r="B751" s="4"/>
      <c r="C751" s="4"/>
      <c r="D751" s="4"/>
      <c r="E751" s="4"/>
      <c r="F751" s="4"/>
      <c r="G751" s="4"/>
      <c r="H751" s="4"/>
    </row>
    <row r="752">
      <c r="A752" s="4"/>
      <c r="B752" s="4"/>
      <c r="C752" s="4"/>
      <c r="D752" s="4"/>
      <c r="E752" s="4"/>
      <c r="F752" s="4"/>
      <c r="G752" s="4"/>
      <c r="H752" s="4"/>
    </row>
    <row r="753">
      <c r="A753" s="4"/>
      <c r="B753" s="4"/>
      <c r="C753" s="4"/>
      <c r="D753" s="4"/>
      <c r="E753" s="4"/>
      <c r="F753" s="4"/>
      <c r="G753" s="4"/>
      <c r="H753" s="4"/>
    </row>
    <row r="754">
      <c r="A754" s="4"/>
      <c r="B754" s="4"/>
      <c r="C754" s="4"/>
      <c r="D754" s="4"/>
      <c r="E754" s="4"/>
      <c r="F754" s="4"/>
      <c r="G754" s="4"/>
      <c r="H754" s="4"/>
    </row>
    <row r="755">
      <c r="A755" s="4"/>
      <c r="B755" s="4"/>
      <c r="C755" s="4"/>
      <c r="D755" s="4"/>
      <c r="E755" s="4"/>
      <c r="F755" s="4"/>
      <c r="G755" s="4"/>
      <c r="H755" s="4"/>
    </row>
    <row r="756">
      <c r="A756" s="4"/>
      <c r="B756" s="4"/>
      <c r="C756" s="4"/>
      <c r="D756" s="4"/>
      <c r="E756" s="4"/>
      <c r="F756" s="4"/>
      <c r="G756" s="4"/>
      <c r="H756" s="4"/>
    </row>
    <row r="757">
      <c r="A757" s="4"/>
      <c r="B757" s="4"/>
      <c r="C757" s="4"/>
      <c r="D757" s="4"/>
      <c r="E757" s="4"/>
      <c r="F757" s="4"/>
      <c r="G757" s="4"/>
      <c r="H757" s="4"/>
    </row>
    <row r="758">
      <c r="A758" s="4"/>
      <c r="B758" s="4"/>
      <c r="C758" s="4"/>
      <c r="D758" s="4"/>
      <c r="E758" s="4"/>
      <c r="F758" s="4"/>
      <c r="G758" s="4"/>
      <c r="H758" s="4"/>
    </row>
    <row r="759">
      <c r="A759" s="4"/>
      <c r="B759" s="4"/>
      <c r="C759" s="4"/>
      <c r="D759" s="4"/>
      <c r="E759" s="4"/>
      <c r="F759" s="4"/>
      <c r="G759" s="4"/>
      <c r="H759" s="4"/>
    </row>
    <row r="760">
      <c r="A760" s="4"/>
      <c r="B760" s="4"/>
      <c r="C760" s="4"/>
      <c r="D760" s="4"/>
      <c r="E760" s="4"/>
      <c r="F760" s="4"/>
      <c r="G760" s="4"/>
      <c r="H760" s="4"/>
    </row>
    <row r="761">
      <c r="A761" s="4"/>
      <c r="B761" s="4"/>
      <c r="C761" s="4"/>
      <c r="D761" s="4"/>
      <c r="E761" s="4"/>
      <c r="F761" s="4"/>
      <c r="G761" s="4"/>
      <c r="H761" s="4"/>
    </row>
    <row r="762">
      <c r="A762" s="4"/>
      <c r="B762" s="4"/>
      <c r="C762" s="4"/>
      <c r="D762" s="4"/>
      <c r="E762" s="4"/>
      <c r="F762" s="4"/>
      <c r="G762" s="4"/>
      <c r="H762" s="4"/>
    </row>
    <row r="763">
      <c r="A763" s="4"/>
      <c r="B763" s="4"/>
      <c r="C763" s="4"/>
      <c r="D763" s="4"/>
      <c r="E763" s="4"/>
      <c r="F763" s="4"/>
      <c r="G763" s="4"/>
      <c r="H763" s="4"/>
    </row>
    <row r="764">
      <c r="A764" s="4"/>
      <c r="B764" s="4"/>
      <c r="C764" s="4"/>
      <c r="D764" s="4"/>
      <c r="E764" s="4"/>
      <c r="F764" s="4"/>
      <c r="G764" s="4"/>
      <c r="H764" s="4"/>
    </row>
    <row r="765">
      <c r="A765" s="4"/>
      <c r="B765" s="4"/>
      <c r="C765" s="4"/>
      <c r="D765" s="4"/>
      <c r="E765" s="4"/>
      <c r="F765" s="4"/>
      <c r="G765" s="4"/>
      <c r="H765" s="4"/>
    </row>
    <row r="766">
      <c r="A766" s="4"/>
      <c r="B766" s="4"/>
      <c r="C766" s="4"/>
      <c r="D766" s="4"/>
      <c r="E766" s="4"/>
      <c r="F766" s="4"/>
      <c r="G766" s="4"/>
      <c r="H766" s="4"/>
    </row>
    <row r="767">
      <c r="A767" s="4"/>
      <c r="B767" s="4"/>
      <c r="C767" s="4"/>
      <c r="D767" s="4"/>
      <c r="E767" s="4"/>
      <c r="F767" s="4"/>
      <c r="G767" s="4"/>
      <c r="H767" s="4"/>
    </row>
    <row r="768">
      <c r="A768" s="4"/>
      <c r="B768" s="4"/>
      <c r="C768" s="4"/>
      <c r="D768" s="4"/>
      <c r="E768" s="4"/>
      <c r="F768" s="4"/>
      <c r="G768" s="4"/>
      <c r="H768" s="4"/>
    </row>
    <row r="769">
      <c r="A769" s="4"/>
      <c r="B769" s="4"/>
      <c r="C769" s="4"/>
      <c r="D769" s="4"/>
      <c r="E769" s="4"/>
      <c r="F769" s="4"/>
      <c r="G769" s="4"/>
      <c r="H769" s="4"/>
    </row>
    <row r="770">
      <c r="A770" s="4"/>
      <c r="B770" s="4"/>
      <c r="C770" s="4"/>
      <c r="D770" s="4"/>
      <c r="E770" s="4"/>
      <c r="F770" s="4"/>
      <c r="G770" s="4"/>
      <c r="H770" s="4"/>
    </row>
    <row r="771">
      <c r="A771" s="4"/>
      <c r="B771" s="4"/>
      <c r="C771" s="4"/>
      <c r="D771" s="4"/>
      <c r="E771" s="4"/>
      <c r="F771" s="4"/>
      <c r="G771" s="4"/>
      <c r="H771" s="4"/>
    </row>
    <row r="772">
      <c r="A772" s="4"/>
      <c r="B772" s="4"/>
      <c r="C772" s="4"/>
      <c r="D772" s="4"/>
      <c r="E772" s="4"/>
      <c r="F772" s="4"/>
      <c r="G772" s="4"/>
      <c r="H772" s="4"/>
    </row>
    <row r="773">
      <c r="A773" s="4"/>
      <c r="B773" s="4"/>
      <c r="C773" s="4"/>
      <c r="D773" s="4"/>
      <c r="E773" s="4"/>
      <c r="F773" s="4"/>
      <c r="G773" s="4"/>
      <c r="H773" s="4"/>
    </row>
    <row r="774">
      <c r="A774" s="4"/>
      <c r="B774" s="4"/>
      <c r="C774" s="4"/>
      <c r="D774" s="4"/>
      <c r="E774" s="4"/>
      <c r="F774" s="4"/>
      <c r="G774" s="4"/>
      <c r="H774" s="4"/>
    </row>
    <row r="775">
      <c r="A775" s="4"/>
      <c r="B775" s="4"/>
      <c r="C775" s="4"/>
      <c r="D775" s="4"/>
      <c r="E775" s="4"/>
      <c r="F775" s="4"/>
      <c r="G775" s="4"/>
      <c r="H775" s="4"/>
    </row>
    <row r="776">
      <c r="A776" s="4"/>
      <c r="B776" s="4"/>
      <c r="C776" s="4"/>
      <c r="D776" s="4"/>
      <c r="E776" s="4"/>
      <c r="F776" s="4"/>
      <c r="G776" s="4"/>
      <c r="H776" s="4"/>
    </row>
    <row r="777">
      <c r="A777" s="4"/>
      <c r="B777" s="4"/>
      <c r="C777" s="4"/>
      <c r="D777" s="4"/>
      <c r="E777" s="4"/>
      <c r="F777" s="4"/>
      <c r="G777" s="4"/>
      <c r="H777" s="4"/>
    </row>
    <row r="778">
      <c r="A778" s="4"/>
      <c r="B778" s="4"/>
      <c r="C778" s="4"/>
      <c r="D778" s="4"/>
      <c r="E778" s="4"/>
      <c r="F778" s="4"/>
      <c r="G778" s="4"/>
      <c r="H778" s="4"/>
    </row>
    <row r="779">
      <c r="A779" s="4"/>
      <c r="B779" s="4"/>
      <c r="C779" s="4"/>
      <c r="D779" s="4"/>
      <c r="E779" s="4"/>
      <c r="F779" s="4"/>
      <c r="G779" s="4"/>
      <c r="H779" s="4"/>
    </row>
    <row r="780">
      <c r="A780" s="4"/>
      <c r="B780" s="4"/>
      <c r="C780" s="4"/>
      <c r="D780" s="4"/>
      <c r="E780" s="4"/>
      <c r="F780" s="4"/>
      <c r="G780" s="4"/>
      <c r="H780" s="4"/>
    </row>
    <row r="781">
      <c r="A781" s="4"/>
      <c r="B781" s="4"/>
      <c r="C781" s="4"/>
      <c r="D781" s="4"/>
      <c r="E781" s="4"/>
      <c r="F781" s="4"/>
      <c r="G781" s="4"/>
      <c r="H781" s="4"/>
    </row>
    <row r="782">
      <c r="A782" s="4"/>
      <c r="B782" s="4"/>
      <c r="C782" s="4"/>
      <c r="D782" s="4"/>
      <c r="E782" s="4"/>
      <c r="F782" s="4"/>
      <c r="G782" s="4"/>
      <c r="H782" s="4"/>
    </row>
    <row r="783">
      <c r="A783" s="4"/>
      <c r="B783" s="4"/>
      <c r="C783" s="4"/>
      <c r="D783" s="4"/>
      <c r="E783" s="4"/>
      <c r="F783" s="4"/>
      <c r="G783" s="4"/>
      <c r="H783" s="4"/>
    </row>
    <row r="784">
      <c r="A784" s="4"/>
      <c r="B784" s="4"/>
      <c r="C784" s="4"/>
      <c r="D784" s="4"/>
      <c r="E784" s="4"/>
      <c r="F784" s="4"/>
      <c r="G784" s="4"/>
      <c r="H784" s="4"/>
    </row>
    <row r="785">
      <c r="A785" s="4"/>
      <c r="B785" s="4"/>
      <c r="C785" s="4"/>
      <c r="D785" s="4"/>
      <c r="E785" s="4"/>
      <c r="F785" s="4"/>
      <c r="G785" s="4"/>
      <c r="H785" s="4"/>
    </row>
    <row r="786">
      <c r="A786" s="4"/>
      <c r="B786" s="4"/>
      <c r="C786" s="4"/>
      <c r="D786" s="4"/>
      <c r="E786" s="4"/>
      <c r="F786" s="4"/>
      <c r="G786" s="4"/>
      <c r="H786" s="4"/>
    </row>
    <row r="787">
      <c r="A787" s="4"/>
      <c r="B787" s="4"/>
      <c r="C787" s="4"/>
      <c r="D787" s="4"/>
      <c r="E787" s="4"/>
      <c r="F787" s="4"/>
      <c r="G787" s="4"/>
      <c r="H787" s="4"/>
    </row>
    <row r="788">
      <c r="A788" s="4"/>
      <c r="B788" s="4"/>
      <c r="C788" s="4"/>
      <c r="D788" s="4"/>
      <c r="E788" s="4"/>
      <c r="F788" s="4"/>
      <c r="G788" s="4"/>
      <c r="H788" s="4"/>
    </row>
    <row r="789">
      <c r="A789" s="4"/>
      <c r="B789" s="4"/>
      <c r="C789" s="4"/>
      <c r="D789" s="4"/>
      <c r="E789" s="4"/>
      <c r="F789" s="4"/>
      <c r="G789" s="4"/>
      <c r="H789" s="4"/>
    </row>
    <row r="790">
      <c r="A790" s="4"/>
      <c r="B790" s="4"/>
      <c r="C790" s="4"/>
      <c r="D790" s="4"/>
      <c r="E790" s="4"/>
      <c r="F790" s="4"/>
      <c r="G790" s="4"/>
      <c r="H790" s="4"/>
    </row>
    <row r="791">
      <c r="A791" s="4"/>
      <c r="B791" s="4"/>
      <c r="C791" s="4"/>
      <c r="D791" s="4"/>
      <c r="E791" s="4"/>
      <c r="F791" s="4"/>
      <c r="G791" s="4"/>
      <c r="H791" s="4"/>
    </row>
    <row r="792">
      <c r="A792" s="4"/>
      <c r="B792" s="4"/>
      <c r="C792" s="4"/>
      <c r="D792" s="4"/>
      <c r="E792" s="4"/>
      <c r="F792" s="4"/>
      <c r="G792" s="4"/>
      <c r="H792" s="4"/>
    </row>
    <row r="793">
      <c r="A793" s="4"/>
      <c r="B793" s="4"/>
      <c r="C793" s="4"/>
      <c r="D793" s="4"/>
      <c r="E793" s="4"/>
      <c r="F793" s="4"/>
      <c r="G793" s="4"/>
      <c r="H793" s="4"/>
    </row>
    <row r="794">
      <c r="A794" s="4"/>
      <c r="B794" s="4"/>
      <c r="C794" s="4"/>
      <c r="D794" s="4"/>
      <c r="E794" s="4"/>
      <c r="F794" s="4"/>
      <c r="G794" s="4"/>
      <c r="H794" s="4"/>
    </row>
    <row r="795">
      <c r="A795" s="4"/>
      <c r="B795" s="4"/>
      <c r="C795" s="4"/>
      <c r="D795" s="4"/>
      <c r="E795" s="4"/>
      <c r="F795" s="4"/>
      <c r="G795" s="4"/>
      <c r="H795" s="4"/>
    </row>
    <row r="796">
      <c r="A796" s="4"/>
      <c r="B796" s="4"/>
      <c r="C796" s="4"/>
      <c r="D796" s="4"/>
      <c r="E796" s="4"/>
      <c r="F796" s="4"/>
      <c r="G796" s="4"/>
      <c r="H796" s="4"/>
    </row>
    <row r="797">
      <c r="A797" s="4"/>
      <c r="B797" s="4"/>
      <c r="C797" s="4"/>
      <c r="D797" s="4"/>
      <c r="E797" s="4"/>
      <c r="F797" s="4"/>
      <c r="G797" s="4"/>
      <c r="H797" s="4"/>
    </row>
    <row r="798">
      <c r="A798" s="4"/>
      <c r="B798" s="4"/>
      <c r="C798" s="4"/>
      <c r="D798" s="4"/>
      <c r="E798" s="4"/>
      <c r="F798" s="4"/>
      <c r="G798" s="4"/>
      <c r="H798" s="4"/>
    </row>
    <row r="799">
      <c r="A799" s="4"/>
      <c r="B799" s="4"/>
      <c r="C799" s="4"/>
      <c r="D799" s="4"/>
      <c r="E799" s="4"/>
      <c r="F799" s="4"/>
      <c r="G799" s="4"/>
      <c r="H799" s="4"/>
    </row>
    <row r="800">
      <c r="A800" s="4"/>
      <c r="B800" s="4"/>
      <c r="C800" s="4"/>
      <c r="D800" s="4"/>
      <c r="E800" s="4"/>
      <c r="F800" s="4"/>
      <c r="G800" s="4"/>
      <c r="H800" s="4"/>
    </row>
    <row r="801">
      <c r="A801" s="4"/>
      <c r="B801" s="4"/>
      <c r="C801" s="4"/>
      <c r="D801" s="4"/>
      <c r="E801" s="4"/>
      <c r="F801" s="4"/>
      <c r="G801" s="4"/>
      <c r="H801" s="4"/>
    </row>
    <row r="802">
      <c r="A802" s="4"/>
      <c r="B802" s="4"/>
      <c r="C802" s="4"/>
      <c r="D802" s="4"/>
      <c r="E802" s="4"/>
      <c r="F802" s="4"/>
      <c r="G802" s="4"/>
      <c r="H802" s="4"/>
    </row>
    <row r="803">
      <c r="A803" s="4"/>
      <c r="B803" s="4"/>
      <c r="C803" s="4"/>
      <c r="D803" s="4"/>
      <c r="E803" s="4"/>
      <c r="F803" s="4"/>
      <c r="G803" s="4"/>
      <c r="H803" s="4"/>
    </row>
    <row r="804">
      <c r="A804" s="4"/>
      <c r="B804" s="4"/>
      <c r="C804" s="4"/>
      <c r="D804" s="4"/>
      <c r="E804" s="4"/>
      <c r="F804" s="4"/>
      <c r="G804" s="4"/>
      <c r="H804" s="4"/>
    </row>
    <row r="805">
      <c r="A805" s="4"/>
      <c r="B805" s="4"/>
      <c r="C805" s="4"/>
      <c r="D805" s="4"/>
      <c r="E805" s="4"/>
      <c r="F805" s="4"/>
      <c r="G805" s="4"/>
      <c r="H805" s="4"/>
    </row>
    <row r="806">
      <c r="A806" s="4"/>
      <c r="B806" s="4"/>
      <c r="C806" s="4"/>
      <c r="D806" s="4"/>
      <c r="E806" s="4"/>
      <c r="F806" s="4"/>
      <c r="G806" s="4"/>
      <c r="H806" s="4"/>
    </row>
    <row r="807">
      <c r="A807" s="4"/>
      <c r="B807" s="4"/>
      <c r="C807" s="4"/>
      <c r="D807" s="4"/>
      <c r="E807" s="4"/>
      <c r="F807" s="4"/>
      <c r="G807" s="4"/>
      <c r="H807" s="4"/>
    </row>
    <row r="808">
      <c r="A808" s="4"/>
      <c r="B808" s="4"/>
      <c r="C808" s="4"/>
      <c r="D808" s="4"/>
      <c r="E808" s="4"/>
      <c r="F808" s="4"/>
      <c r="G808" s="4"/>
      <c r="H808" s="4"/>
    </row>
    <row r="809">
      <c r="A809" s="4"/>
      <c r="B809" s="4"/>
      <c r="C809" s="4"/>
      <c r="D809" s="4"/>
      <c r="E809" s="4"/>
      <c r="F809" s="4"/>
      <c r="G809" s="4"/>
      <c r="H809" s="4"/>
    </row>
    <row r="810">
      <c r="A810" s="4"/>
      <c r="B810" s="4"/>
      <c r="C810" s="4"/>
      <c r="D810" s="4"/>
      <c r="E810" s="4"/>
      <c r="F810" s="4"/>
      <c r="G810" s="4"/>
      <c r="H810" s="4"/>
    </row>
    <row r="811">
      <c r="A811" s="4"/>
      <c r="B811" s="4"/>
      <c r="C811" s="4"/>
      <c r="D811" s="4"/>
      <c r="E811" s="4"/>
      <c r="F811" s="4"/>
      <c r="G811" s="4"/>
      <c r="H811" s="4"/>
    </row>
    <row r="812">
      <c r="A812" s="4"/>
      <c r="B812" s="4"/>
      <c r="C812" s="4"/>
      <c r="D812" s="4"/>
      <c r="E812" s="4"/>
      <c r="F812" s="4"/>
      <c r="G812" s="4"/>
      <c r="H812" s="4"/>
    </row>
    <row r="813">
      <c r="A813" s="4"/>
      <c r="B813" s="4"/>
      <c r="C813" s="4"/>
      <c r="D813" s="4"/>
      <c r="E813" s="4"/>
      <c r="F813" s="4"/>
      <c r="G813" s="4"/>
      <c r="H813" s="4"/>
    </row>
    <row r="814">
      <c r="A814" s="4"/>
      <c r="B814" s="4"/>
      <c r="C814" s="4"/>
      <c r="D814" s="4"/>
      <c r="E814" s="4"/>
      <c r="F814" s="4"/>
      <c r="G814" s="4"/>
      <c r="H814" s="4"/>
    </row>
    <row r="815">
      <c r="A815" s="4"/>
      <c r="B815" s="4"/>
      <c r="C815" s="4"/>
      <c r="D815" s="4"/>
      <c r="E815" s="4"/>
      <c r="F815" s="4"/>
      <c r="G815" s="4"/>
      <c r="H815" s="4"/>
    </row>
    <row r="816">
      <c r="A816" s="4"/>
      <c r="B816" s="4"/>
      <c r="C816" s="4"/>
      <c r="D816" s="4"/>
      <c r="E816" s="4"/>
      <c r="F816" s="4"/>
      <c r="G816" s="4"/>
      <c r="H816" s="4"/>
    </row>
    <row r="817">
      <c r="A817" s="4"/>
      <c r="B817" s="4"/>
      <c r="C817" s="4"/>
      <c r="D817" s="4"/>
      <c r="E817" s="4"/>
      <c r="F817" s="4"/>
      <c r="G817" s="4"/>
      <c r="H817" s="4"/>
    </row>
    <row r="818">
      <c r="A818" s="4"/>
      <c r="B818" s="4"/>
      <c r="C818" s="4"/>
      <c r="D818" s="4"/>
      <c r="E818" s="4"/>
      <c r="F818" s="4"/>
      <c r="G818" s="4"/>
      <c r="H818" s="4"/>
    </row>
    <row r="819">
      <c r="A819" s="4"/>
      <c r="B819" s="4"/>
      <c r="C819" s="4"/>
      <c r="D819" s="4"/>
      <c r="E819" s="4"/>
      <c r="F819" s="4"/>
      <c r="G819" s="4"/>
      <c r="H819" s="4"/>
    </row>
    <row r="820">
      <c r="A820" s="4"/>
      <c r="B820" s="4"/>
      <c r="C820" s="4"/>
      <c r="D820" s="4"/>
      <c r="E820" s="4"/>
      <c r="F820" s="4"/>
      <c r="G820" s="4"/>
      <c r="H820" s="4"/>
    </row>
    <row r="821">
      <c r="A821" s="4"/>
      <c r="B821" s="4"/>
      <c r="C821" s="4"/>
      <c r="D821" s="4"/>
      <c r="E821" s="4"/>
      <c r="F821" s="4"/>
      <c r="G821" s="4"/>
      <c r="H821" s="4"/>
    </row>
    <row r="822">
      <c r="A822" s="4"/>
      <c r="B822" s="4"/>
      <c r="C822" s="4"/>
      <c r="D822" s="4"/>
      <c r="E822" s="4"/>
      <c r="F822" s="4"/>
      <c r="G822" s="4"/>
      <c r="H822" s="4"/>
    </row>
    <row r="823">
      <c r="A823" s="4"/>
      <c r="B823" s="4"/>
      <c r="C823" s="4"/>
      <c r="D823" s="4"/>
      <c r="E823" s="4"/>
      <c r="F823" s="4"/>
      <c r="G823" s="4"/>
      <c r="H823" s="4"/>
    </row>
    <row r="824">
      <c r="A824" s="4"/>
      <c r="B824" s="4"/>
      <c r="C824" s="4"/>
      <c r="D824" s="4"/>
      <c r="E824" s="4"/>
      <c r="F824" s="4"/>
      <c r="G824" s="4"/>
      <c r="H824" s="4"/>
    </row>
    <row r="825">
      <c r="A825" s="4"/>
      <c r="B825" s="4"/>
      <c r="C825" s="4"/>
      <c r="D825" s="4"/>
      <c r="E825" s="4"/>
      <c r="F825" s="4"/>
      <c r="G825" s="4"/>
      <c r="H825" s="4"/>
    </row>
    <row r="826">
      <c r="A826" s="4"/>
      <c r="B826" s="4"/>
      <c r="C826" s="4"/>
      <c r="D826" s="4"/>
      <c r="E826" s="4"/>
      <c r="F826" s="4"/>
      <c r="G826" s="4"/>
      <c r="H826" s="4"/>
    </row>
    <row r="827">
      <c r="A827" s="4"/>
      <c r="B827" s="4"/>
      <c r="C827" s="4"/>
      <c r="D827" s="4"/>
      <c r="E827" s="4"/>
      <c r="F827" s="4"/>
      <c r="G827" s="4"/>
      <c r="H827" s="4"/>
    </row>
    <row r="828">
      <c r="A828" s="4"/>
      <c r="B828" s="4"/>
      <c r="C828" s="4"/>
      <c r="D828" s="4"/>
      <c r="E828" s="4"/>
      <c r="F828" s="4"/>
      <c r="G828" s="4"/>
      <c r="H828" s="4"/>
    </row>
    <row r="829">
      <c r="A829" s="4"/>
      <c r="B829" s="4"/>
      <c r="C829" s="4"/>
      <c r="D829" s="4"/>
      <c r="E829" s="4"/>
      <c r="F829" s="4"/>
      <c r="G829" s="4"/>
      <c r="H829" s="4"/>
    </row>
    <row r="830">
      <c r="A830" s="4"/>
      <c r="B830" s="4"/>
      <c r="C830" s="4"/>
      <c r="D830" s="4"/>
      <c r="E830" s="4"/>
      <c r="F830" s="4"/>
      <c r="G830" s="4"/>
      <c r="H830" s="4"/>
    </row>
    <row r="831">
      <c r="A831" s="4"/>
      <c r="B831" s="4"/>
      <c r="C831" s="4"/>
      <c r="D831" s="4"/>
      <c r="E831" s="4"/>
      <c r="F831" s="4"/>
      <c r="G831" s="4"/>
      <c r="H831" s="4"/>
    </row>
    <row r="832">
      <c r="A832" s="4"/>
      <c r="B832" s="4"/>
      <c r="C832" s="4"/>
      <c r="D832" s="4"/>
      <c r="E832" s="4"/>
      <c r="F832" s="4"/>
      <c r="G832" s="4"/>
      <c r="H832" s="4"/>
    </row>
    <row r="833">
      <c r="A833" s="4"/>
      <c r="B833" s="4"/>
      <c r="C833" s="4"/>
      <c r="D833" s="4"/>
      <c r="E833" s="4"/>
      <c r="F833" s="4"/>
      <c r="G833" s="4"/>
      <c r="H833" s="4"/>
    </row>
    <row r="834">
      <c r="A834" s="4"/>
      <c r="B834" s="4"/>
      <c r="C834" s="4"/>
      <c r="D834" s="4"/>
      <c r="E834" s="4"/>
      <c r="F834" s="4"/>
      <c r="G834" s="4"/>
      <c r="H834" s="4"/>
    </row>
    <row r="835">
      <c r="A835" s="4"/>
      <c r="B835" s="4"/>
      <c r="C835" s="4"/>
      <c r="D835" s="4"/>
      <c r="E835" s="4"/>
      <c r="F835" s="4"/>
      <c r="G835" s="4"/>
      <c r="H835" s="4"/>
    </row>
    <row r="836">
      <c r="A836" s="4"/>
      <c r="B836" s="4"/>
      <c r="C836" s="4"/>
      <c r="D836" s="4"/>
      <c r="E836" s="4"/>
      <c r="F836" s="4"/>
      <c r="G836" s="4"/>
      <c r="H836" s="4"/>
    </row>
    <row r="837">
      <c r="A837" s="4"/>
      <c r="B837" s="4"/>
      <c r="C837" s="4"/>
      <c r="D837" s="4"/>
      <c r="E837" s="4"/>
      <c r="F837" s="4"/>
      <c r="G837" s="4"/>
      <c r="H837" s="4"/>
    </row>
    <row r="838">
      <c r="A838" s="4"/>
      <c r="B838" s="4"/>
      <c r="C838" s="4"/>
      <c r="D838" s="4"/>
      <c r="E838" s="4"/>
      <c r="F838" s="4"/>
      <c r="G838" s="4"/>
      <c r="H838" s="4"/>
    </row>
    <row r="839">
      <c r="A839" s="4"/>
      <c r="B839" s="4"/>
      <c r="C839" s="4"/>
      <c r="D839" s="4"/>
      <c r="E839" s="4"/>
      <c r="F839" s="4"/>
      <c r="G839" s="4"/>
      <c r="H839" s="4"/>
    </row>
    <row r="840">
      <c r="A840" s="4"/>
      <c r="B840" s="4"/>
      <c r="C840" s="4"/>
      <c r="D840" s="4"/>
      <c r="E840" s="4"/>
      <c r="F840" s="4"/>
      <c r="G840" s="4"/>
      <c r="H840" s="4"/>
    </row>
    <row r="841">
      <c r="A841" s="4"/>
      <c r="B841" s="4"/>
      <c r="C841" s="4"/>
      <c r="D841" s="4"/>
      <c r="E841" s="4"/>
      <c r="F841" s="4"/>
      <c r="G841" s="4"/>
      <c r="H841" s="4"/>
    </row>
    <row r="842">
      <c r="A842" s="4"/>
      <c r="B842" s="4"/>
      <c r="C842" s="4"/>
      <c r="D842" s="4"/>
      <c r="E842" s="4"/>
      <c r="F842" s="4"/>
      <c r="G842" s="4"/>
      <c r="H842" s="4"/>
    </row>
    <row r="843">
      <c r="A843" s="4"/>
      <c r="B843" s="4"/>
      <c r="C843" s="4"/>
      <c r="D843" s="4"/>
      <c r="E843" s="4"/>
      <c r="F843" s="4"/>
      <c r="G843" s="4"/>
      <c r="H843" s="4"/>
    </row>
    <row r="844">
      <c r="A844" s="4"/>
      <c r="B844" s="4"/>
      <c r="C844" s="4"/>
      <c r="D844" s="4"/>
      <c r="E844" s="4"/>
      <c r="F844" s="4"/>
      <c r="G844" s="4"/>
      <c r="H844" s="4"/>
    </row>
    <row r="845">
      <c r="A845" s="4"/>
      <c r="B845" s="4"/>
      <c r="C845" s="4"/>
      <c r="D845" s="4"/>
      <c r="E845" s="4"/>
      <c r="F845" s="4"/>
      <c r="G845" s="4"/>
      <c r="H845" s="4"/>
    </row>
    <row r="846">
      <c r="A846" s="4"/>
      <c r="B846" s="4"/>
      <c r="C846" s="4"/>
      <c r="D846" s="4"/>
      <c r="E846" s="4"/>
      <c r="F846" s="4"/>
      <c r="G846" s="4"/>
      <c r="H846" s="4"/>
    </row>
    <row r="847">
      <c r="A847" s="4"/>
      <c r="B847" s="4"/>
      <c r="C847" s="4"/>
      <c r="D847" s="4"/>
      <c r="E847" s="4"/>
      <c r="F847" s="4"/>
      <c r="G847" s="4"/>
      <c r="H847" s="4"/>
    </row>
    <row r="848">
      <c r="A848" s="4"/>
      <c r="B848" s="4"/>
      <c r="C848" s="4"/>
      <c r="D848" s="4"/>
      <c r="E848" s="4"/>
      <c r="F848" s="4"/>
      <c r="G848" s="4"/>
      <c r="H848" s="4"/>
    </row>
    <row r="849">
      <c r="A849" s="4"/>
      <c r="B849" s="4"/>
      <c r="C849" s="4"/>
      <c r="D849" s="4"/>
      <c r="E849" s="4"/>
      <c r="F849" s="4"/>
      <c r="G849" s="4"/>
      <c r="H849" s="4"/>
    </row>
    <row r="850">
      <c r="A850" s="4"/>
      <c r="B850" s="4"/>
      <c r="C850" s="4"/>
      <c r="D850" s="4"/>
      <c r="E850" s="4"/>
      <c r="F850" s="4"/>
      <c r="G850" s="4"/>
      <c r="H850" s="4"/>
    </row>
    <row r="851">
      <c r="A851" s="4"/>
      <c r="B851" s="4"/>
      <c r="C851" s="4"/>
      <c r="D851" s="4"/>
      <c r="E851" s="4"/>
      <c r="F851" s="4"/>
      <c r="G851" s="4"/>
      <c r="H851" s="4"/>
    </row>
    <row r="852">
      <c r="A852" s="4"/>
      <c r="B852" s="4"/>
      <c r="C852" s="4"/>
      <c r="D852" s="4"/>
      <c r="E852" s="4"/>
      <c r="F852" s="4"/>
      <c r="G852" s="4"/>
      <c r="H852" s="4"/>
    </row>
    <row r="853">
      <c r="A853" s="4"/>
      <c r="B853" s="4"/>
      <c r="C853" s="4"/>
      <c r="D853" s="4"/>
      <c r="E853" s="4"/>
      <c r="F853" s="4"/>
      <c r="G853" s="4"/>
      <c r="H853" s="4"/>
    </row>
    <row r="854">
      <c r="A854" s="4"/>
      <c r="B854" s="4"/>
      <c r="C854" s="4"/>
      <c r="D854" s="4"/>
      <c r="E854" s="4"/>
      <c r="F854" s="4"/>
      <c r="G854" s="4"/>
      <c r="H854" s="4"/>
    </row>
    <row r="855">
      <c r="A855" s="4"/>
      <c r="B855" s="4"/>
      <c r="C855" s="4"/>
      <c r="D855" s="4"/>
      <c r="E855" s="4"/>
      <c r="F855" s="4"/>
      <c r="G855" s="4"/>
      <c r="H855" s="4"/>
    </row>
    <row r="856">
      <c r="A856" s="4"/>
      <c r="B856" s="4"/>
      <c r="C856" s="4"/>
      <c r="D856" s="4"/>
      <c r="E856" s="4"/>
      <c r="F856" s="4"/>
      <c r="G856" s="4"/>
      <c r="H856" s="4"/>
    </row>
    <row r="857">
      <c r="A857" s="4"/>
      <c r="B857" s="4"/>
      <c r="C857" s="4"/>
      <c r="D857" s="4"/>
      <c r="E857" s="4"/>
      <c r="F857" s="4"/>
      <c r="G857" s="4"/>
      <c r="H857" s="4"/>
    </row>
    <row r="858">
      <c r="A858" s="4"/>
      <c r="B858" s="4"/>
      <c r="C858" s="4"/>
      <c r="D858" s="4"/>
      <c r="E858" s="4"/>
      <c r="F858" s="4"/>
      <c r="G858" s="4"/>
      <c r="H858" s="4"/>
    </row>
    <row r="859">
      <c r="A859" s="4"/>
      <c r="B859" s="4"/>
      <c r="C859" s="4"/>
      <c r="D859" s="4"/>
      <c r="E859" s="4"/>
      <c r="F859" s="4"/>
      <c r="G859" s="4"/>
      <c r="H859" s="4"/>
    </row>
    <row r="860">
      <c r="A860" s="4"/>
      <c r="B860" s="4"/>
      <c r="C860" s="4"/>
      <c r="D860" s="4"/>
      <c r="E860" s="4"/>
      <c r="F860" s="4"/>
      <c r="G860" s="4"/>
      <c r="H860" s="4"/>
    </row>
    <row r="861">
      <c r="A861" s="4"/>
      <c r="B861" s="4"/>
      <c r="C861" s="4"/>
      <c r="D861" s="4"/>
      <c r="E861" s="4"/>
      <c r="F861" s="4"/>
      <c r="G861" s="4"/>
      <c r="H861" s="4"/>
    </row>
    <row r="862">
      <c r="A862" s="4"/>
      <c r="B862" s="4"/>
      <c r="C862" s="4"/>
      <c r="D862" s="4"/>
      <c r="E862" s="4"/>
      <c r="F862" s="4"/>
      <c r="G862" s="4"/>
      <c r="H862" s="4"/>
    </row>
    <row r="863">
      <c r="A863" s="4"/>
      <c r="B863" s="4"/>
      <c r="C863" s="4"/>
      <c r="D863" s="4"/>
      <c r="E863" s="4"/>
      <c r="F863" s="4"/>
      <c r="G863" s="4"/>
      <c r="H863" s="4"/>
    </row>
    <row r="864">
      <c r="A864" s="4"/>
      <c r="B864" s="4"/>
      <c r="C864" s="4"/>
      <c r="D864" s="4"/>
      <c r="E864" s="4"/>
      <c r="F864" s="4"/>
      <c r="G864" s="4"/>
      <c r="H864" s="4"/>
    </row>
    <row r="865">
      <c r="A865" s="4"/>
      <c r="B865" s="4"/>
      <c r="C865" s="4"/>
      <c r="D865" s="4"/>
      <c r="E865" s="4"/>
      <c r="F865" s="4"/>
      <c r="G865" s="4"/>
      <c r="H865" s="4"/>
    </row>
    <row r="866">
      <c r="A866" s="4"/>
      <c r="B866" s="4"/>
      <c r="C866" s="4"/>
      <c r="D866" s="4"/>
      <c r="E866" s="4"/>
      <c r="F866" s="4"/>
      <c r="G866" s="4"/>
      <c r="H866" s="4"/>
    </row>
    <row r="867">
      <c r="A867" s="4"/>
      <c r="B867" s="4"/>
      <c r="C867" s="4"/>
      <c r="D867" s="4"/>
      <c r="E867" s="4"/>
      <c r="F867" s="4"/>
      <c r="G867" s="4"/>
      <c r="H867" s="4"/>
    </row>
    <row r="868">
      <c r="A868" s="4"/>
      <c r="B868" s="4"/>
      <c r="C868" s="4"/>
      <c r="D868" s="4"/>
      <c r="E868" s="4"/>
      <c r="F868" s="4"/>
      <c r="G868" s="4"/>
      <c r="H868" s="4"/>
    </row>
    <row r="869">
      <c r="A869" s="4"/>
      <c r="B869" s="4"/>
      <c r="C869" s="4"/>
      <c r="D869" s="4"/>
      <c r="E869" s="4"/>
      <c r="F869" s="4"/>
      <c r="G869" s="4"/>
      <c r="H869" s="4"/>
    </row>
    <row r="870">
      <c r="A870" s="4"/>
      <c r="B870" s="4"/>
      <c r="C870" s="4"/>
      <c r="D870" s="4"/>
      <c r="E870" s="4"/>
      <c r="F870" s="4"/>
      <c r="G870" s="4"/>
      <c r="H870" s="4"/>
    </row>
    <row r="871">
      <c r="A871" s="4"/>
      <c r="B871" s="4"/>
      <c r="C871" s="4"/>
      <c r="D871" s="4"/>
      <c r="E871" s="4"/>
      <c r="F871" s="4"/>
      <c r="G871" s="4"/>
      <c r="H871" s="4"/>
    </row>
    <row r="872">
      <c r="A872" s="4"/>
      <c r="B872" s="4"/>
      <c r="C872" s="4"/>
      <c r="D872" s="4"/>
      <c r="E872" s="4"/>
      <c r="F872" s="4"/>
      <c r="G872" s="4"/>
      <c r="H872" s="4"/>
    </row>
    <row r="873">
      <c r="A873" s="4"/>
      <c r="B873" s="4"/>
      <c r="C873" s="4"/>
      <c r="D873" s="4"/>
      <c r="E873" s="4"/>
      <c r="F873" s="4"/>
      <c r="G873" s="4"/>
      <c r="H873" s="4"/>
    </row>
    <row r="874">
      <c r="A874" s="4"/>
      <c r="B874" s="4"/>
      <c r="C874" s="4"/>
      <c r="D874" s="4"/>
      <c r="E874" s="4"/>
      <c r="F874" s="4"/>
      <c r="G874" s="4"/>
      <c r="H874" s="4"/>
    </row>
    <row r="875">
      <c r="A875" s="4"/>
      <c r="B875" s="4"/>
      <c r="C875" s="4"/>
      <c r="D875" s="4"/>
      <c r="E875" s="4"/>
      <c r="F875" s="4"/>
      <c r="G875" s="4"/>
      <c r="H875" s="4"/>
    </row>
    <row r="876">
      <c r="A876" s="4"/>
      <c r="B876" s="4"/>
      <c r="C876" s="4"/>
      <c r="D876" s="4"/>
      <c r="E876" s="4"/>
      <c r="F876" s="4"/>
      <c r="G876" s="4"/>
      <c r="H876" s="4"/>
    </row>
    <row r="877">
      <c r="A877" s="4"/>
      <c r="B877" s="4"/>
      <c r="C877" s="4"/>
      <c r="D877" s="4"/>
      <c r="E877" s="4"/>
      <c r="F877" s="4"/>
      <c r="G877" s="4"/>
      <c r="H877" s="4"/>
    </row>
    <row r="878">
      <c r="A878" s="4"/>
      <c r="B878" s="4"/>
      <c r="C878" s="4"/>
      <c r="D878" s="4"/>
      <c r="E878" s="4"/>
      <c r="F878" s="4"/>
      <c r="G878" s="4"/>
      <c r="H878" s="4"/>
    </row>
    <row r="879">
      <c r="A879" s="4"/>
      <c r="B879" s="4"/>
      <c r="C879" s="4"/>
      <c r="D879" s="4"/>
      <c r="E879" s="4"/>
      <c r="F879" s="4"/>
      <c r="G879" s="4"/>
      <c r="H879" s="4"/>
    </row>
    <row r="880">
      <c r="A880" s="4"/>
      <c r="B880" s="4"/>
      <c r="C880" s="4"/>
      <c r="D880" s="4"/>
      <c r="E880" s="4"/>
      <c r="F880" s="4"/>
      <c r="G880" s="4"/>
      <c r="H880" s="4"/>
    </row>
    <row r="881">
      <c r="A881" s="4"/>
      <c r="B881" s="4"/>
      <c r="C881" s="4"/>
      <c r="D881" s="4"/>
      <c r="E881" s="4"/>
      <c r="F881" s="4"/>
      <c r="G881" s="4"/>
      <c r="H881" s="4"/>
    </row>
    <row r="882">
      <c r="A882" s="4"/>
      <c r="B882" s="4"/>
      <c r="C882" s="4"/>
      <c r="D882" s="4"/>
      <c r="E882" s="4"/>
      <c r="F882" s="4"/>
      <c r="G882" s="4"/>
      <c r="H882" s="4"/>
    </row>
    <row r="883">
      <c r="A883" s="4"/>
      <c r="B883" s="4"/>
      <c r="C883" s="4"/>
      <c r="D883" s="4"/>
      <c r="E883" s="4"/>
      <c r="F883" s="4"/>
      <c r="G883" s="4"/>
      <c r="H883" s="4"/>
    </row>
    <row r="884">
      <c r="A884" s="4"/>
      <c r="B884" s="4"/>
      <c r="C884" s="4"/>
      <c r="D884" s="4"/>
      <c r="E884" s="4"/>
      <c r="F884" s="4"/>
      <c r="G884" s="4"/>
      <c r="H884" s="4"/>
    </row>
    <row r="885">
      <c r="A885" s="4"/>
      <c r="B885" s="4"/>
      <c r="C885" s="4"/>
      <c r="D885" s="4"/>
      <c r="E885" s="4"/>
      <c r="F885" s="4"/>
      <c r="G885" s="4"/>
      <c r="H885" s="4"/>
    </row>
    <row r="886">
      <c r="A886" s="4"/>
      <c r="B886" s="4"/>
      <c r="C886" s="4"/>
      <c r="D886" s="4"/>
      <c r="E886" s="4"/>
      <c r="F886" s="4"/>
      <c r="G886" s="4"/>
      <c r="H886" s="4"/>
    </row>
    <row r="887">
      <c r="A887" s="4"/>
      <c r="B887" s="4"/>
      <c r="C887" s="4"/>
      <c r="D887" s="4"/>
      <c r="E887" s="4"/>
      <c r="F887" s="4"/>
      <c r="G887" s="4"/>
      <c r="H887" s="4"/>
    </row>
    <row r="888">
      <c r="A888" s="4"/>
      <c r="B888" s="4"/>
      <c r="C888" s="4"/>
      <c r="D888" s="4"/>
      <c r="E888" s="4"/>
      <c r="F888" s="4"/>
      <c r="G888" s="4"/>
      <c r="H888" s="4"/>
    </row>
    <row r="889">
      <c r="A889" s="4"/>
      <c r="B889" s="4"/>
      <c r="C889" s="4"/>
      <c r="D889" s="4"/>
      <c r="E889" s="4"/>
      <c r="F889" s="4"/>
      <c r="G889" s="4"/>
      <c r="H889" s="4"/>
    </row>
    <row r="890">
      <c r="A890" s="4"/>
      <c r="B890" s="4"/>
      <c r="C890" s="4"/>
      <c r="D890" s="4"/>
      <c r="E890" s="4"/>
      <c r="F890" s="4"/>
      <c r="G890" s="4"/>
      <c r="H890" s="4"/>
    </row>
    <row r="891">
      <c r="A891" s="4"/>
      <c r="B891" s="4"/>
      <c r="C891" s="4"/>
      <c r="D891" s="4"/>
      <c r="E891" s="4"/>
      <c r="F891" s="4"/>
      <c r="G891" s="4"/>
      <c r="H891" s="4"/>
    </row>
    <row r="892">
      <c r="A892" s="4"/>
      <c r="B892" s="4"/>
      <c r="C892" s="4"/>
      <c r="D892" s="4"/>
      <c r="E892" s="4"/>
      <c r="F892" s="4"/>
      <c r="G892" s="4"/>
      <c r="H892" s="4"/>
    </row>
    <row r="893">
      <c r="A893" s="4"/>
      <c r="B893" s="4"/>
      <c r="C893" s="4"/>
      <c r="D893" s="4"/>
      <c r="E893" s="4"/>
      <c r="F893" s="4"/>
      <c r="G893" s="4"/>
      <c r="H893" s="4"/>
    </row>
    <row r="894">
      <c r="A894" s="4"/>
      <c r="B894" s="4"/>
      <c r="C894" s="4"/>
      <c r="D894" s="4"/>
      <c r="E894" s="4"/>
      <c r="F894" s="4"/>
      <c r="G894" s="4"/>
      <c r="H894" s="4"/>
    </row>
    <row r="895">
      <c r="A895" s="4"/>
      <c r="B895" s="4"/>
      <c r="C895" s="4"/>
      <c r="D895" s="4"/>
      <c r="E895" s="4"/>
      <c r="F895" s="4"/>
      <c r="G895" s="4"/>
      <c r="H895" s="4"/>
    </row>
    <row r="896">
      <c r="A896" s="4"/>
      <c r="B896" s="4"/>
      <c r="C896" s="4"/>
      <c r="D896" s="4"/>
      <c r="E896" s="4"/>
      <c r="F896" s="4"/>
      <c r="G896" s="4"/>
      <c r="H896" s="4"/>
    </row>
    <row r="897">
      <c r="A897" s="4"/>
      <c r="B897" s="4"/>
      <c r="C897" s="4"/>
      <c r="D897" s="4"/>
      <c r="E897" s="4"/>
      <c r="F897" s="4"/>
      <c r="G897" s="4"/>
      <c r="H897" s="4"/>
    </row>
    <row r="898">
      <c r="A898" s="4"/>
      <c r="B898" s="4"/>
      <c r="C898" s="4"/>
      <c r="D898" s="4"/>
      <c r="E898" s="4"/>
      <c r="F898" s="4"/>
      <c r="G898" s="4"/>
      <c r="H898" s="4"/>
    </row>
    <row r="899">
      <c r="A899" s="4"/>
      <c r="B899" s="4"/>
      <c r="C899" s="4"/>
      <c r="D899" s="4"/>
      <c r="E899" s="4"/>
      <c r="F899" s="4"/>
      <c r="G899" s="4"/>
      <c r="H899" s="4"/>
    </row>
    <row r="900">
      <c r="A900" s="4"/>
      <c r="B900" s="4"/>
      <c r="C900" s="4"/>
      <c r="D900" s="4"/>
      <c r="E900" s="4"/>
      <c r="F900" s="4"/>
      <c r="G900" s="4"/>
      <c r="H900" s="4"/>
    </row>
    <row r="901">
      <c r="A901" s="4"/>
      <c r="B901" s="4"/>
      <c r="C901" s="4"/>
      <c r="D901" s="4"/>
      <c r="E901" s="4"/>
      <c r="F901" s="4"/>
      <c r="G901" s="4"/>
      <c r="H901" s="4"/>
    </row>
    <row r="902">
      <c r="A902" s="4"/>
      <c r="B902" s="4"/>
      <c r="C902" s="4"/>
      <c r="D902" s="4"/>
      <c r="E902" s="4"/>
      <c r="F902" s="4"/>
      <c r="G902" s="4"/>
      <c r="H902" s="4"/>
    </row>
    <row r="903">
      <c r="A903" s="4"/>
      <c r="B903" s="4"/>
      <c r="C903" s="4"/>
      <c r="D903" s="4"/>
      <c r="E903" s="4"/>
      <c r="F903" s="4"/>
      <c r="G903" s="4"/>
      <c r="H903" s="4"/>
    </row>
    <row r="904">
      <c r="A904" s="4"/>
      <c r="B904" s="4"/>
      <c r="C904" s="4"/>
      <c r="D904" s="4"/>
      <c r="E904" s="4"/>
      <c r="F904" s="4"/>
      <c r="G904" s="4"/>
      <c r="H904" s="4"/>
    </row>
    <row r="905">
      <c r="A905" s="4"/>
      <c r="B905" s="4"/>
      <c r="C905" s="4"/>
      <c r="D905" s="4"/>
      <c r="E905" s="4"/>
      <c r="F905" s="4"/>
      <c r="G905" s="4"/>
      <c r="H905" s="4"/>
    </row>
    <row r="906">
      <c r="A906" s="4"/>
      <c r="B906" s="4"/>
      <c r="C906" s="4"/>
      <c r="D906" s="4"/>
      <c r="E906" s="4"/>
      <c r="F906" s="4"/>
      <c r="G906" s="4"/>
      <c r="H906" s="4"/>
    </row>
    <row r="907">
      <c r="A907" s="4"/>
      <c r="B907" s="4"/>
      <c r="C907" s="4"/>
      <c r="D907" s="4"/>
      <c r="E907" s="4"/>
      <c r="F907" s="4"/>
      <c r="G907" s="4"/>
      <c r="H907" s="4"/>
    </row>
    <row r="908">
      <c r="A908" s="4"/>
      <c r="B908" s="4"/>
      <c r="C908" s="4"/>
      <c r="D908" s="4"/>
      <c r="E908" s="4"/>
      <c r="F908" s="4"/>
      <c r="G908" s="4"/>
      <c r="H908" s="4"/>
    </row>
    <row r="909">
      <c r="A909" s="4"/>
      <c r="B909" s="4"/>
      <c r="C909" s="4"/>
      <c r="D909" s="4"/>
      <c r="E909" s="4"/>
      <c r="F909" s="4"/>
      <c r="G909" s="4"/>
      <c r="H909" s="4"/>
    </row>
    <row r="910">
      <c r="A910" s="4"/>
      <c r="B910" s="4"/>
      <c r="C910" s="4"/>
      <c r="D910" s="4"/>
      <c r="E910" s="4"/>
      <c r="F910" s="4"/>
      <c r="G910" s="4"/>
      <c r="H910" s="4"/>
    </row>
    <row r="911">
      <c r="A911" s="4"/>
      <c r="B911" s="4"/>
      <c r="C911" s="4"/>
      <c r="D911" s="4"/>
      <c r="E911" s="4"/>
      <c r="F911" s="4"/>
      <c r="G911" s="4"/>
      <c r="H911" s="4"/>
    </row>
    <row r="912">
      <c r="A912" s="4"/>
      <c r="B912" s="4"/>
      <c r="C912" s="4"/>
      <c r="D912" s="4"/>
      <c r="E912" s="4"/>
      <c r="F912" s="4"/>
      <c r="G912" s="4"/>
      <c r="H912" s="4"/>
    </row>
    <row r="913">
      <c r="A913" s="4"/>
      <c r="B913" s="4"/>
      <c r="C913" s="4"/>
      <c r="D913" s="4"/>
      <c r="E913" s="4"/>
      <c r="F913" s="4"/>
      <c r="G913" s="4"/>
      <c r="H913" s="4"/>
    </row>
    <row r="914">
      <c r="A914" s="4"/>
      <c r="B914" s="4"/>
      <c r="C914" s="4"/>
      <c r="D914" s="4"/>
      <c r="E914" s="4"/>
      <c r="F914" s="4"/>
      <c r="G914" s="4"/>
      <c r="H914" s="4"/>
    </row>
    <row r="915">
      <c r="A915" s="4"/>
      <c r="B915" s="4"/>
      <c r="C915" s="4"/>
      <c r="D915" s="4"/>
      <c r="E915" s="4"/>
      <c r="F915" s="4"/>
      <c r="G915" s="4"/>
      <c r="H915" s="4"/>
    </row>
    <row r="916">
      <c r="A916" s="4"/>
      <c r="B916" s="4"/>
      <c r="C916" s="4"/>
      <c r="D916" s="4"/>
      <c r="E916" s="4"/>
      <c r="F916" s="4"/>
      <c r="G916" s="4"/>
      <c r="H916" s="4"/>
    </row>
    <row r="917">
      <c r="A917" s="4"/>
      <c r="B917" s="4"/>
      <c r="C917" s="4"/>
      <c r="D917" s="4"/>
      <c r="E917" s="4"/>
      <c r="F917" s="4"/>
      <c r="G917" s="4"/>
      <c r="H917" s="4"/>
    </row>
    <row r="918">
      <c r="A918" s="4"/>
      <c r="B918" s="4"/>
      <c r="C918" s="4"/>
      <c r="D918" s="4"/>
      <c r="E918" s="4"/>
      <c r="F918" s="4"/>
      <c r="G918" s="4"/>
      <c r="H918" s="4"/>
    </row>
    <row r="919">
      <c r="A919" s="4"/>
      <c r="B919" s="4"/>
      <c r="C919" s="4"/>
      <c r="D919" s="4"/>
      <c r="E919" s="4"/>
      <c r="F919" s="4"/>
      <c r="G919" s="4"/>
      <c r="H919" s="4"/>
    </row>
    <row r="920">
      <c r="A920" s="4"/>
      <c r="B920" s="4"/>
      <c r="C920" s="4"/>
      <c r="D920" s="4"/>
      <c r="E920" s="4"/>
      <c r="F920" s="4"/>
      <c r="G920" s="4"/>
      <c r="H920" s="4"/>
    </row>
    <row r="921">
      <c r="A921" s="4"/>
      <c r="B921" s="4"/>
      <c r="C921" s="4"/>
      <c r="D921" s="4"/>
      <c r="E921" s="4"/>
      <c r="F921" s="4"/>
      <c r="G921" s="4"/>
      <c r="H921" s="4"/>
    </row>
    <row r="922">
      <c r="A922" s="4"/>
      <c r="B922" s="4"/>
      <c r="C922" s="4"/>
      <c r="D922" s="4"/>
      <c r="E922" s="4"/>
      <c r="F922" s="4"/>
      <c r="G922" s="4"/>
      <c r="H922" s="4"/>
    </row>
    <row r="923">
      <c r="A923" s="4"/>
      <c r="B923" s="4"/>
      <c r="C923" s="4"/>
      <c r="D923" s="4"/>
      <c r="E923" s="4"/>
      <c r="F923" s="4"/>
      <c r="G923" s="4"/>
      <c r="H923" s="4"/>
    </row>
    <row r="924">
      <c r="A924" s="4"/>
      <c r="B924" s="4"/>
      <c r="C924" s="4"/>
      <c r="D924" s="4"/>
      <c r="E924" s="4"/>
      <c r="F924" s="4"/>
      <c r="G924" s="4"/>
      <c r="H924" s="4"/>
    </row>
    <row r="925">
      <c r="A925" s="4"/>
      <c r="B925" s="4"/>
      <c r="C925" s="4"/>
      <c r="D925" s="4"/>
      <c r="E925" s="4"/>
      <c r="F925" s="4"/>
      <c r="G925" s="4"/>
      <c r="H925" s="4"/>
    </row>
    <row r="926">
      <c r="A926" s="4"/>
      <c r="B926" s="4"/>
      <c r="C926" s="4"/>
      <c r="D926" s="4"/>
      <c r="E926" s="4"/>
      <c r="F926" s="4"/>
      <c r="G926" s="4"/>
      <c r="H926" s="4"/>
    </row>
    <row r="927">
      <c r="A927" s="4"/>
      <c r="B927" s="4"/>
      <c r="C927" s="4"/>
      <c r="D927" s="4"/>
      <c r="E927" s="4"/>
      <c r="F927" s="4"/>
      <c r="G927" s="4"/>
      <c r="H927" s="4"/>
    </row>
    <row r="928">
      <c r="A928" s="4"/>
      <c r="B928" s="4"/>
      <c r="C928" s="4"/>
      <c r="D928" s="4"/>
      <c r="E928" s="4"/>
      <c r="F928" s="4"/>
      <c r="G928" s="4"/>
      <c r="H928" s="4"/>
    </row>
    <row r="929">
      <c r="A929" s="4"/>
      <c r="B929" s="4"/>
      <c r="C929" s="4"/>
      <c r="D929" s="4"/>
      <c r="E929" s="4"/>
      <c r="F929" s="4"/>
      <c r="G929" s="4"/>
      <c r="H929" s="4"/>
    </row>
    <row r="930">
      <c r="A930" s="4"/>
      <c r="B930" s="4"/>
      <c r="C930" s="4"/>
      <c r="D930" s="4"/>
      <c r="E930" s="4"/>
      <c r="F930" s="4"/>
      <c r="G930" s="4"/>
      <c r="H930" s="4"/>
    </row>
    <row r="931">
      <c r="A931" s="4"/>
      <c r="B931" s="4"/>
      <c r="C931" s="4"/>
      <c r="D931" s="4"/>
      <c r="E931" s="4"/>
      <c r="F931" s="4"/>
      <c r="G931" s="4"/>
      <c r="H931" s="4"/>
    </row>
    <row r="932">
      <c r="A932" s="4"/>
      <c r="B932" s="4"/>
      <c r="C932" s="4"/>
      <c r="D932" s="4"/>
      <c r="E932" s="4"/>
      <c r="F932" s="4"/>
      <c r="G932" s="4"/>
      <c r="H932" s="4"/>
    </row>
    <row r="933">
      <c r="A933" s="4"/>
      <c r="B933" s="4"/>
      <c r="C933" s="4"/>
      <c r="D933" s="4"/>
      <c r="E933" s="4"/>
      <c r="F933" s="4"/>
      <c r="G933" s="4"/>
      <c r="H933" s="4"/>
    </row>
    <row r="934">
      <c r="A934" s="4"/>
      <c r="B934" s="4"/>
      <c r="C934" s="4"/>
      <c r="D934" s="4"/>
      <c r="E934" s="4"/>
      <c r="F934" s="4"/>
      <c r="G934" s="4"/>
      <c r="H934" s="4"/>
    </row>
    <row r="935">
      <c r="A935" s="4"/>
      <c r="B935" s="4"/>
      <c r="C935" s="4"/>
      <c r="D935" s="4"/>
      <c r="E935" s="4"/>
      <c r="F935" s="4"/>
      <c r="G935" s="4"/>
      <c r="H935" s="4"/>
    </row>
    <row r="936">
      <c r="A936" s="4"/>
      <c r="B936" s="4"/>
      <c r="C936" s="4"/>
      <c r="D936" s="4"/>
      <c r="E936" s="4"/>
      <c r="F936" s="4"/>
      <c r="G936" s="4"/>
      <c r="H936" s="4"/>
    </row>
    <row r="937">
      <c r="A937" s="4"/>
      <c r="B937" s="4"/>
      <c r="C937" s="4"/>
      <c r="D937" s="4"/>
      <c r="E937" s="4"/>
      <c r="F937" s="4"/>
      <c r="G937" s="4"/>
      <c r="H937" s="4"/>
    </row>
    <row r="938">
      <c r="A938" s="4"/>
      <c r="B938" s="4"/>
      <c r="C938" s="4"/>
      <c r="D938" s="4"/>
      <c r="E938" s="4"/>
      <c r="F938" s="4"/>
      <c r="G938" s="4"/>
      <c r="H938" s="4"/>
    </row>
    <row r="939">
      <c r="A939" s="4"/>
      <c r="B939" s="4"/>
      <c r="C939" s="4"/>
      <c r="D939" s="4"/>
      <c r="E939" s="4"/>
      <c r="F939" s="4"/>
      <c r="G939" s="4"/>
      <c r="H939" s="4"/>
    </row>
    <row r="940">
      <c r="A940" s="4"/>
      <c r="B940" s="4"/>
      <c r="C940" s="4"/>
      <c r="D940" s="4"/>
      <c r="E940" s="4"/>
      <c r="F940" s="4"/>
      <c r="G940" s="4"/>
      <c r="H940" s="4"/>
    </row>
    <row r="941">
      <c r="A941" s="4"/>
      <c r="B941" s="4"/>
      <c r="C941" s="4"/>
      <c r="D941" s="4"/>
      <c r="E941" s="4"/>
      <c r="F941" s="4"/>
      <c r="G941" s="4"/>
      <c r="H941" s="4"/>
    </row>
    <row r="942">
      <c r="A942" s="4"/>
      <c r="B942" s="4"/>
      <c r="C942" s="4"/>
      <c r="D942" s="4"/>
      <c r="E942" s="4"/>
      <c r="F942" s="4"/>
      <c r="G942" s="4"/>
      <c r="H942" s="4"/>
    </row>
    <row r="943">
      <c r="A943" s="4"/>
      <c r="B943" s="4"/>
      <c r="C943" s="4"/>
      <c r="D943" s="4"/>
      <c r="E943" s="4"/>
      <c r="F943" s="4"/>
      <c r="G943" s="4"/>
      <c r="H943" s="4"/>
    </row>
    <row r="944">
      <c r="A944" s="4"/>
      <c r="B944" s="4"/>
      <c r="C944" s="4"/>
      <c r="D944" s="4"/>
      <c r="E944" s="4"/>
      <c r="F944" s="4"/>
      <c r="G944" s="4"/>
      <c r="H944" s="4"/>
    </row>
    <row r="945">
      <c r="A945" s="4"/>
      <c r="B945" s="4"/>
      <c r="C945" s="4"/>
      <c r="D945" s="4"/>
      <c r="E945" s="4"/>
      <c r="F945" s="4"/>
      <c r="G945" s="4"/>
      <c r="H945" s="4"/>
    </row>
    <row r="946">
      <c r="A946" s="4"/>
      <c r="B946" s="4"/>
      <c r="C946" s="4"/>
      <c r="D946" s="4"/>
      <c r="E946" s="4"/>
      <c r="F946" s="4"/>
      <c r="G946" s="4"/>
      <c r="H946" s="4"/>
    </row>
    <row r="947">
      <c r="A947" s="4"/>
      <c r="B947" s="4"/>
      <c r="C947" s="4"/>
      <c r="D947" s="4"/>
      <c r="E947" s="4"/>
      <c r="F947" s="4"/>
      <c r="G947" s="4"/>
      <c r="H947" s="4"/>
    </row>
    <row r="948">
      <c r="A948" s="4"/>
      <c r="B948" s="4"/>
      <c r="C948" s="4"/>
      <c r="D948" s="4"/>
      <c r="E948" s="4"/>
      <c r="F948" s="4"/>
      <c r="G948" s="4"/>
      <c r="H948" s="4"/>
    </row>
    <row r="949">
      <c r="A949" s="4"/>
      <c r="B949" s="4"/>
      <c r="C949" s="4"/>
      <c r="D949" s="4"/>
      <c r="E949" s="4"/>
      <c r="F949" s="4"/>
      <c r="G949" s="4"/>
      <c r="H949" s="4"/>
    </row>
    <row r="950">
      <c r="A950" s="4"/>
      <c r="B950" s="4"/>
      <c r="C950" s="4"/>
      <c r="D950" s="4"/>
      <c r="E950" s="4"/>
      <c r="F950" s="4"/>
      <c r="G950" s="4"/>
      <c r="H950" s="4"/>
    </row>
    <row r="951">
      <c r="A951" s="4"/>
      <c r="B951" s="4"/>
      <c r="C951" s="4"/>
      <c r="D951" s="4"/>
      <c r="E951" s="4"/>
      <c r="F951" s="4"/>
      <c r="G951" s="4"/>
      <c r="H951" s="4"/>
    </row>
    <row r="952">
      <c r="A952" s="4"/>
      <c r="B952" s="4"/>
      <c r="C952" s="4"/>
      <c r="D952" s="4"/>
      <c r="E952" s="4"/>
      <c r="F952" s="4"/>
      <c r="G952" s="4"/>
      <c r="H952" s="4"/>
    </row>
    <row r="953">
      <c r="A953" s="4"/>
      <c r="B953" s="4"/>
      <c r="C953" s="4"/>
      <c r="D953" s="4"/>
      <c r="E953" s="4"/>
      <c r="F953" s="4"/>
      <c r="G953" s="4"/>
      <c r="H953" s="4"/>
    </row>
    <row r="954">
      <c r="A954" s="4"/>
      <c r="B954" s="4"/>
      <c r="C954" s="4"/>
      <c r="D954" s="4"/>
      <c r="E954" s="4"/>
      <c r="F954" s="4"/>
      <c r="G954" s="4"/>
      <c r="H954" s="4"/>
    </row>
    <row r="955">
      <c r="A955" s="4"/>
      <c r="B955" s="4"/>
      <c r="C955" s="4"/>
      <c r="D955" s="4"/>
      <c r="E955" s="4"/>
      <c r="F955" s="4"/>
      <c r="G955" s="4"/>
      <c r="H955" s="4"/>
    </row>
    <row r="956">
      <c r="A956" s="4"/>
      <c r="B956" s="4"/>
      <c r="C956" s="4"/>
      <c r="D956" s="4"/>
      <c r="E956" s="4"/>
      <c r="F956" s="4"/>
      <c r="G956" s="4"/>
      <c r="H956" s="4"/>
    </row>
    <row r="957">
      <c r="A957" s="4"/>
      <c r="B957" s="4"/>
      <c r="C957" s="4"/>
      <c r="D957" s="4"/>
      <c r="E957" s="4"/>
      <c r="F957" s="4"/>
      <c r="G957" s="4"/>
      <c r="H957" s="4"/>
    </row>
    <row r="958">
      <c r="A958" s="4"/>
      <c r="B958" s="4"/>
      <c r="C958" s="4"/>
      <c r="D958" s="4"/>
      <c r="E958" s="4"/>
      <c r="F958" s="4"/>
      <c r="G958" s="4"/>
      <c r="H958" s="4"/>
    </row>
    <row r="959">
      <c r="A959" s="4"/>
      <c r="B959" s="4"/>
      <c r="C959" s="4"/>
      <c r="D959" s="4"/>
      <c r="E959" s="4"/>
      <c r="F959" s="4"/>
      <c r="G959" s="4"/>
      <c r="H959" s="4"/>
    </row>
    <row r="960">
      <c r="A960" s="4"/>
      <c r="B960" s="4"/>
      <c r="C960" s="4"/>
      <c r="D960" s="4"/>
      <c r="E960" s="4"/>
      <c r="F960" s="4"/>
      <c r="G960" s="4"/>
      <c r="H960" s="4"/>
    </row>
    <row r="961">
      <c r="A961" s="4"/>
      <c r="B961" s="4"/>
      <c r="C961" s="4"/>
      <c r="D961" s="4"/>
      <c r="E961" s="4"/>
      <c r="F961" s="4"/>
      <c r="G961" s="4"/>
      <c r="H961" s="4"/>
    </row>
    <row r="962">
      <c r="A962" s="4"/>
      <c r="B962" s="4"/>
      <c r="C962" s="4"/>
      <c r="D962" s="4"/>
      <c r="E962" s="4"/>
      <c r="F962" s="4"/>
      <c r="G962" s="4"/>
      <c r="H962" s="4"/>
    </row>
    <row r="963">
      <c r="A963" s="4"/>
      <c r="B963" s="4"/>
      <c r="C963" s="4"/>
      <c r="D963" s="4"/>
      <c r="E963" s="4"/>
      <c r="F963" s="4"/>
      <c r="G963" s="4"/>
      <c r="H963" s="4"/>
    </row>
    <row r="964">
      <c r="A964" s="4"/>
      <c r="B964" s="4"/>
      <c r="C964" s="4"/>
      <c r="D964" s="4"/>
      <c r="E964" s="4"/>
      <c r="F964" s="4"/>
      <c r="G964" s="4"/>
      <c r="H964" s="4"/>
    </row>
    <row r="965">
      <c r="A965" s="4"/>
      <c r="B965" s="4"/>
      <c r="C965" s="4"/>
      <c r="D965" s="4"/>
      <c r="E965" s="4"/>
      <c r="F965" s="4"/>
      <c r="G965" s="4"/>
      <c r="H965" s="4"/>
    </row>
    <row r="966">
      <c r="A966" s="4"/>
      <c r="B966" s="4"/>
      <c r="C966" s="4"/>
      <c r="D966" s="4"/>
      <c r="E966" s="4"/>
      <c r="F966" s="4"/>
      <c r="G966" s="4"/>
      <c r="H966" s="4"/>
    </row>
    <row r="967">
      <c r="A967" s="4"/>
      <c r="B967" s="4"/>
      <c r="C967" s="4"/>
      <c r="D967" s="4"/>
      <c r="E967" s="4"/>
      <c r="F967" s="4"/>
      <c r="G967" s="4"/>
      <c r="H967" s="4"/>
    </row>
    <row r="968">
      <c r="A968" s="4"/>
      <c r="B968" s="4"/>
      <c r="C968" s="4"/>
      <c r="D968" s="4"/>
      <c r="E968" s="4"/>
      <c r="F968" s="4"/>
      <c r="G968" s="4"/>
      <c r="H968" s="4"/>
    </row>
    <row r="969">
      <c r="A969" s="4"/>
      <c r="B969" s="4"/>
      <c r="C969" s="4"/>
      <c r="D969" s="4"/>
      <c r="E969" s="4"/>
      <c r="F969" s="4"/>
      <c r="G969" s="4"/>
      <c r="H969" s="4"/>
    </row>
    <row r="970">
      <c r="A970" s="4"/>
      <c r="B970" s="4"/>
      <c r="C970" s="4"/>
      <c r="D970" s="4"/>
      <c r="E970" s="4"/>
      <c r="F970" s="4"/>
      <c r="G970" s="4"/>
      <c r="H970" s="4"/>
    </row>
    <row r="971">
      <c r="A971" s="4"/>
      <c r="B971" s="4"/>
      <c r="C971" s="4"/>
      <c r="D971" s="4"/>
      <c r="E971" s="4"/>
      <c r="F971" s="4"/>
      <c r="G971" s="4"/>
      <c r="H971" s="4"/>
    </row>
    <row r="972">
      <c r="A972" s="4"/>
      <c r="B972" s="4"/>
      <c r="C972" s="4"/>
      <c r="D972" s="4"/>
      <c r="E972" s="4"/>
      <c r="F972" s="4"/>
      <c r="G972" s="4"/>
      <c r="H972" s="4"/>
    </row>
    <row r="973">
      <c r="A973" s="4"/>
      <c r="B973" s="4"/>
      <c r="C973" s="4"/>
      <c r="D973" s="4"/>
      <c r="E973" s="4"/>
      <c r="F973" s="4"/>
      <c r="G973" s="4"/>
      <c r="H973" s="4"/>
    </row>
    <row r="974">
      <c r="A974" s="4"/>
      <c r="B974" s="4"/>
      <c r="C974" s="4"/>
      <c r="D974" s="4"/>
      <c r="E974" s="4"/>
      <c r="F974" s="4"/>
      <c r="G974" s="4"/>
      <c r="H974" s="4"/>
    </row>
    <row r="975">
      <c r="A975" s="4"/>
      <c r="B975" s="4"/>
      <c r="C975" s="4"/>
      <c r="D975" s="4"/>
      <c r="E975" s="4"/>
      <c r="F975" s="4"/>
      <c r="G975" s="4"/>
      <c r="H975" s="4"/>
    </row>
    <row r="976">
      <c r="A976" s="4"/>
      <c r="B976" s="4"/>
      <c r="C976" s="4"/>
      <c r="D976" s="4"/>
      <c r="E976" s="4"/>
      <c r="F976" s="4"/>
      <c r="G976" s="4"/>
      <c r="H976" s="4"/>
    </row>
    <row r="977">
      <c r="A977" s="4"/>
      <c r="B977" s="4"/>
      <c r="C977" s="4"/>
      <c r="D977" s="4"/>
      <c r="E977" s="4"/>
      <c r="F977" s="4"/>
      <c r="G977" s="4"/>
      <c r="H977" s="4"/>
    </row>
    <row r="978">
      <c r="A978" s="4"/>
      <c r="B978" s="4"/>
      <c r="C978" s="4"/>
      <c r="D978" s="4"/>
      <c r="E978" s="4"/>
      <c r="F978" s="4"/>
      <c r="G978" s="4"/>
      <c r="H978" s="4"/>
    </row>
    <row r="979">
      <c r="A979" s="4"/>
      <c r="B979" s="4"/>
      <c r="C979" s="4"/>
      <c r="D979" s="4"/>
      <c r="E979" s="4"/>
      <c r="F979" s="4"/>
      <c r="G979" s="4"/>
      <c r="H979" s="4"/>
    </row>
    <row r="980">
      <c r="A980" s="4"/>
      <c r="B980" s="4"/>
      <c r="C980" s="4"/>
      <c r="D980" s="4"/>
      <c r="E980" s="4"/>
      <c r="F980" s="4"/>
      <c r="G980" s="4"/>
      <c r="H980" s="4"/>
    </row>
    <row r="981">
      <c r="A981" s="4"/>
      <c r="B981" s="4"/>
      <c r="C981" s="4"/>
      <c r="D981" s="4"/>
      <c r="E981" s="4"/>
      <c r="F981" s="4"/>
      <c r="G981" s="4"/>
      <c r="H981" s="4"/>
    </row>
    <row r="982">
      <c r="A982" s="4"/>
      <c r="B982" s="4"/>
      <c r="C982" s="4"/>
      <c r="D982" s="4"/>
      <c r="E982" s="4"/>
      <c r="F982" s="4"/>
      <c r="G982" s="4"/>
      <c r="H982" s="4"/>
    </row>
    <row r="983">
      <c r="A983" s="4"/>
      <c r="B983" s="4"/>
      <c r="C983" s="4"/>
      <c r="D983" s="4"/>
      <c r="E983" s="4"/>
      <c r="F983" s="4"/>
      <c r="G983" s="4"/>
      <c r="H983" s="4"/>
    </row>
    <row r="984">
      <c r="A984" s="4"/>
      <c r="B984" s="4"/>
      <c r="C984" s="4"/>
      <c r="D984" s="4"/>
      <c r="E984" s="4"/>
      <c r="F984" s="4"/>
      <c r="G984" s="4"/>
      <c r="H984" s="4"/>
    </row>
    <row r="985">
      <c r="A985" s="4"/>
      <c r="B985" s="4"/>
      <c r="C985" s="4"/>
      <c r="D985" s="4"/>
      <c r="E985" s="4"/>
      <c r="F985" s="4"/>
      <c r="G985" s="4"/>
      <c r="H985" s="4"/>
    </row>
    <row r="986">
      <c r="A986" s="4"/>
      <c r="B986" s="4"/>
      <c r="C986" s="4"/>
      <c r="D986" s="4"/>
      <c r="E986" s="4"/>
      <c r="F986" s="4"/>
      <c r="G986" s="4"/>
      <c r="H986" s="4"/>
    </row>
    <row r="987">
      <c r="A987" s="4"/>
      <c r="B987" s="4"/>
      <c r="C987" s="4"/>
      <c r="D987" s="4"/>
      <c r="E987" s="4"/>
      <c r="F987" s="4"/>
      <c r="G987" s="4"/>
      <c r="H987" s="4"/>
    </row>
    <row r="988">
      <c r="A988" s="4"/>
      <c r="B988" s="4"/>
      <c r="C988" s="4"/>
      <c r="D988" s="4"/>
      <c r="E988" s="4"/>
      <c r="F988" s="4"/>
      <c r="G988" s="4"/>
      <c r="H988" s="4"/>
    </row>
    <row r="989">
      <c r="A989" s="4"/>
      <c r="B989" s="4"/>
      <c r="C989" s="4"/>
      <c r="D989" s="4"/>
      <c r="E989" s="4"/>
      <c r="F989" s="4"/>
      <c r="G989" s="4"/>
      <c r="H989" s="4"/>
    </row>
    <row r="990">
      <c r="A990" s="4"/>
      <c r="B990" s="4"/>
      <c r="C990" s="4"/>
      <c r="D990" s="4"/>
      <c r="E990" s="4"/>
      <c r="F990" s="4"/>
      <c r="G990" s="4"/>
      <c r="H990" s="4"/>
    </row>
    <row r="991">
      <c r="A991" s="4"/>
      <c r="B991" s="4"/>
      <c r="C991" s="4"/>
      <c r="D991" s="4"/>
      <c r="E991" s="4"/>
      <c r="F991" s="4"/>
      <c r="G991" s="4"/>
      <c r="H991" s="4"/>
    </row>
    <row r="992">
      <c r="A992" s="4"/>
      <c r="B992" s="4"/>
      <c r="C992" s="4"/>
      <c r="D992" s="4"/>
      <c r="E992" s="4"/>
      <c r="F992" s="4"/>
      <c r="G992" s="4"/>
      <c r="H992" s="4"/>
    </row>
    <row r="993">
      <c r="A993" s="4"/>
      <c r="B993" s="4"/>
      <c r="C993" s="4"/>
      <c r="D993" s="4"/>
      <c r="E993" s="4"/>
      <c r="F993" s="4"/>
      <c r="G993" s="4"/>
      <c r="H993" s="4"/>
    </row>
    <row r="994">
      <c r="A994" s="4"/>
      <c r="B994" s="4"/>
      <c r="C994" s="4"/>
      <c r="D994" s="4"/>
      <c r="E994" s="4"/>
      <c r="F994" s="4"/>
      <c r="G994" s="4"/>
      <c r="H994" s="4"/>
    </row>
    <row r="995">
      <c r="A995" s="4"/>
      <c r="B995" s="4"/>
      <c r="C995" s="4"/>
      <c r="D995" s="4"/>
      <c r="E995" s="4"/>
      <c r="F995" s="4"/>
      <c r="G995" s="4"/>
      <c r="H995" s="4"/>
    </row>
    <row r="996">
      <c r="A996" s="4"/>
      <c r="B996" s="4"/>
      <c r="C996" s="4"/>
      <c r="D996" s="4"/>
      <c r="E996" s="4"/>
      <c r="F996" s="4"/>
      <c r="G996" s="4"/>
      <c r="H996" s="4"/>
    </row>
    <row r="997">
      <c r="A997" s="4"/>
      <c r="B997" s="4"/>
      <c r="C997" s="4"/>
      <c r="D997" s="4"/>
      <c r="E997" s="4"/>
      <c r="F997" s="4"/>
      <c r="G997" s="4"/>
      <c r="H997" s="4"/>
    </row>
    <row r="998">
      <c r="A998" s="4"/>
      <c r="B998" s="4"/>
      <c r="C998" s="4"/>
      <c r="D998" s="4"/>
      <c r="E998" s="4"/>
      <c r="F998" s="4"/>
      <c r="G998" s="4"/>
      <c r="H998" s="4"/>
    </row>
    <row r="999">
      <c r="A999" s="4"/>
      <c r="B999" s="4"/>
      <c r="C999" s="4"/>
      <c r="D999" s="4"/>
      <c r="E999" s="4"/>
      <c r="F999" s="4"/>
      <c r="G999" s="4"/>
      <c r="H999" s="4"/>
    </row>
    <row r="1000">
      <c r="A1000" s="4"/>
      <c r="B1000" s="4"/>
      <c r="C1000" s="4"/>
      <c r="D1000" s="4"/>
      <c r="E1000" s="4"/>
      <c r="F1000" s="4"/>
      <c r="G1000" s="4"/>
      <c r="H1000" s="4"/>
    </row>
  </sheetData>
  <autoFilter ref="$B$2:$H$2"/>
  <mergeCells count="1">
    <mergeCell ref="B1:H1"/>
  </mergeCells>
  <printOptions/>
  <pageMargins bottom="1.0" footer="0.0" header="0.0" left="0.75" right="0.75" top="1.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4.38"/>
    <col customWidth="1" min="2" max="2" width="26.25"/>
    <col customWidth="1" min="3" max="3" width="7.0"/>
    <col customWidth="1" min="4" max="5" width="15.75"/>
    <col customWidth="1" min="6" max="6" width="26.25"/>
    <col customWidth="1" min="7" max="7" width="21.88"/>
    <col customWidth="1" min="8" max="26" width="7.63"/>
  </cols>
  <sheetData>
    <row r="1" ht="27.75" customHeight="1">
      <c r="A1" s="69" t="s">
        <v>4511</v>
      </c>
      <c r="B1" s="2"/>
      <c r="C1" s="2"/>
      <c r="D1" s="2"/>
      <c r="E1" s="2"/>
      <c r="F1" s="2"/>
      <c r="G1" s="3"/>
    </row>
    <row r="2" ht="19.5" customHeight="1">
      <c r="A2" s="7" t="s">
        <v>3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</row>
    <row r="3" ht="15.75" customHeight="1">
      <c r="A3" s="30">
        <v>1.0</v>
      </c>
      <c r="B3" s="81" t="s">
        <v>2446</v>
      </c>
      <c r="C3" s="81">
        <v>52.0</v>
      </c>
      <c r="D3" s="81" t="s">
        <v>2447</v>
      </c>
      <c r="E3" s="81" t="s">
        <v>13</v>
      </c>
      <c r="F3" s="81" t="s">
        <v>13</v>
      </c>
      <c r="G3" s="81" t="s">
        <v>13</v>
      </c>
    </row>
    <row r="4" ht="15.75" customHeight="1">
      <c r="A4" s="30">
        <v>2.0</v>
      </c>
      <c r="B4" s="31" t="s">
        <v>2448</v>
      </c>
      <c r="C4" s="31">
        <v>47.0</v>
      </c>
      <c r="D4" s="31">
        <v>1.5800038E7</v>
      </c>
      <c r="E4" s="31" t="s">
        <v>13</v>
      </c>
      <c r="F4" s="31" t="s">
        <v>13</v>
      </c>
      <c r="G4" s="31" t="s">
        <v>2449</v>
      </c>
    </row>
    <row r="5" ht="15.75" customHeight="1">
      <c r="A5" s="30">
        <v>3.0</v>
      </c>
      <c r="B5" s="31" t="s">
        <v>2450</v>
      </c>
      <c r="C5" s="31">
        <v>26.0</v>
      </c>
      <c r="D5" s="31" t="s">
        <v>2451</v>
      </c>
      <c r="E5" s="31" t="s">
        <v>2452</v>
      </c>
      <c r="F5" s="31" t="s">
        <v>13</v>
      </c>
      <c r="G5" s="31" t="s">
        <v>13</v>
      </c>
    </row>
    <row r="6" ht="15.75" customHeight="1">
      <c r="A6" s="30">
        <v>4.0</v>
      </c>
      <c r="B6" s="31" t="s">
        <v>2453</v>
      </c>
      <c r="C6" s="31">
        <v>66.0</v>
      </c>
      <c r="D6" s="31" t="s">
        <v>2454</v>
      </c>
      <c r="E6" s="31" t="s">
        <v>2455</v>
      </c>
      <c r="F6" s="31" t="s">
        <v>13</v>
      </c>
      <c r="G6" s="31" t="s">
        <v>2449</v>
      </c>
    </row>
    <row r="7" ht="15.75" customHeight="1">
      <c r="A7" s="30">
        <v>5.0</v>
      </c>
      <c r="B7" s="31" t="s">
        <v>2456</v>
      </c>
      <c r="C7" s="31">
        <v>50.0</v>
      </c>
      <c r="D7" s="31" t="s">
        <v>2457</v>
      </c>
      <c r="E7" s="31" t="s">
        <v>2458</v>
      </c>
      <c r="F7" s="31" t="s">
        <v>13</v>
      </c>
      <c r="G7" s="31" t="s">
        <v>13</v>
      </c>
    </row>
    <row r="8" ht="15.75" customHeight="1">
      <c r="A8" s="30">
        <v>6.0</v>
      </c>
      <c r="B8" s="31" t="s">
        <v>2459</v>
      </c>
      <c r="C8" s="31">
        <v>20.0</v>
      </c>
      <c r="D8" s="31">
        <v>3.107385E7</v>
      </c>
      <c r="E8" s="31" t="s">
        <v>13</v>
      </c>
      <c r="F8" s="31" t="s">
        <v>13</v>
      </c>
      <c r="G8" s="31" t="s">
        <v>2449</v>
      </c>
    </row>
    <row r="9" ht="15.75" customHeight="1">
      <c r="A9" s="30">
        <v>7.0</v>
      </c>
      <c r="B9" s="31" t="s">
        <v>2460</v>
      </c>
      <c r="C9" s="31">
        <v>41.0</v>
      </c>
      <c r="D9" s="31" t="s">
        <v>2461</v>
      </c>
      <c r="E9" s="31" t="s">
        <v>2462</v>
      </c>
      <c r="F9" s="31" t="s">
        <v>13</v>
      </c>
      <c r="G9" s="31" t="s">
        <v>13</v>
      </c>
    </row>
    <row r="10" ht="15.75" customHeight="1">
      <c r="A10" s="30">
        <v>8.0</v>
      </c>
      <c r="B10" s="31" t="s">
        <v>2463</v>
      </c>
      <c r="C10" s="31">
        <v>29.0</v>
      </c>
      <c r="D10" s="31" t="s">
        <v>2464</v>
      </c>
      <c r="E10" s="31" t="s">
        <v>2465</v>
      </c>
      <c r="F10" s="31" t="s">
        <v>13</v>
      </c>
      <c r="G10" s="31" t="s">
        <v>13</v>
      </c>
    </row>
    <row r="11" ht="15.75" customHeight="1">
      <c r="A11" s="30">
        <v>9.0</v>
      </c>
      <c r="B11" s="31" t="s">
        <v>2466</v>
      </c>
      <c r="C11" s="31">
        <v>55.0</v>
      </c>
      <c r="D11" s="31" t="s">
        <v>2467</v>
      </c>
      <c r="E11" s="31" t="s">
        <v>2468</v>
      </c>
      <c r="F11" s="31" t="s">
        <v>13</v>
      </c>
      <c r="G11" s="31" t="s">
        <v>13</v>
      </c>
    </row>
    <row r="12" ht="15.75" customHeight="1">
      <c r="A12" s="30">
        <v>10.0</v>
      </c>
      <c r="B12" s="31" t="s">
        <v>2469</v>
      </c>
      <c r="C12" s="31">
        <v>55.0</v>
      </c>
      <c r="D12" s="31" t="s">
        <v>2470</v>
      </c>
      <c r="E12" s="31" t="s">
        <v>13</v>
      </c>
      <c r="F12" s="31" t="s">
        <v>13</v>
      </c>
      <c r="G12" s="31" t="s">
        <v>2449</v>
      </c>
    </row>
    <row r="13" ht="15.75" customHeight="1">
      <c r="A13" s="30">
        <v>11.0</v>
      </c>
      <c r="B13" s="31" t="s">
        <v>2471</v>
      </c>
      <c r="C13" s="31">
        <v>13.0</v>
      </c>
      <c r="D13" s="31" t="s">
        <v>2472</v>
      </c>
      <c r="E13" s="31" t="s">
        <v>2473</v>
      </c>
      <c r="F13" s="31" t="s">
        <v>13</v>
      </c>
      <c r="G13" s="31" t="s">
        <v>13</v>
      </c>
    </row>
    <row r="14" ht="15.75" customHeight="1">
      <c r="A14" s="30">
        <v>12.0</v>
      </c>
      <c r="B14" s="31" t="s">
        <v>2474</v>
      </c>
      <c r="C14" s="31">
        <v>18.0</v>
      </c>
      <c r="D14" s="31" t="s">
        <v>2475</v>
      </c>
      <c r="E14" s="31" t="s">
        <v>2473</v>
      </c>
      <c r="F14" s="31" t="s">
        <v>13</v>
      </c>
      <c r="G14" s="31" t="s">
        <v>13</v>
      </c>
    </row>
    <row r="15" ht="15.75" customHeight="1">
      <c r="A15" s="30">
        <v>13.0</v>
      </c>
      <c r="B15" s="31" t="s">
        <v>2476</v>
      </c>
      <c r="C15" s="31">
        <v>29.0</v>
      </c>
      <c r="D15" s="31">
        <v>1.1926425E7</v>
      </c>
      <c r="E15" s="31" t="s">
        <v>13</v>
      </c>
      <c r="F15" s="31" t="s">
        <v>13</v>
      </c>
      <c r="G15" s="31" t="s">
        <v>2449</v>
      </c>
    </row>
    <row r="16" ht="15.75" customHeight="1">
      <c r="A16" s="30">
        <v>14.0</v>
      </c>
      <c r="B16" s="31" t="s">
        <v>2477</v>
      </c>
      <c r="C16" s="31">
        <v>67.0</v>
      </c>
      <c r="D16" s="31" t="s">
        <v>2478</v>
      </c>
      <c r="E16" s="31" t="s">
        <v>2479</v>
      </c>
      <c r="F16" s="31" t="s">
        <v>13</v>
      </c>
      <c r="G16" s="31" t="s">
        <v>13</v>
      </c>
    </row>
    <row r="17" ht="15.75" customHeight="1">
      <c r="A17" s="30">
        <v>15.0</v>
      </c>
      <c r="B17" s="31" t="s">
        <v>2480</v>
      </c>
      <c r="C17" s="31">
        <v>35.0</v>
      </c>
      <c r="D17" s="31" t="s">
        <v>2481</v>
      </c>
      <c r="E17" s="31" t="s">
        <v>2462</v>
      </c>
      <c r="F17" s="31" t="s">
        <v>13</v>
      </c>
      <c r="G17" s="31" t="s">
        <v>13</v>
      </c>
    </row>
    <row r="18" ht="15.75" customHeight="1">
      <c r="A18" s="30">
        <v>16.0</v>
      </c>
      <c r="B18" s="31" t="s">
        <v>2482</v>
      </c>
      <c r="C18" s="31">
        <v>11.0</v>
      </c>
      <c r="D18" s="31">
        <v>3.1656363E7</v>
      </c>
      <c r="E18" s="31" t="s">
        <v>13</v>
      </c>
      <c r="F18" s="31" t="s">
        <v>13</v>
      </c>
      <c r="G18" s="31" t="s">
        <v>2449</v>
      </c>
    </row>
    <row r="19" ht="15.75" customHeight="1">
      <c r="A19" s="30">
        <v>17.0</v>
      </c>
      <c r="B19" s="31" t="s">
        <v>4512</v>
      </c>
      <c r="C19" s="31">
        <v>28.0</v>
      </c>
      <c r="D19" s="31">
        <v>2.6068002E7</v>
      </c>
      <c r="E19" s="31" t="s">
        <v>13</v>
      </c>
      <c r="F19" s="31" t="s">
        <v>13</v>
      </c>
      <c r="G19" s="31" t="s">
        <v>2612</v>
      </c>
    </row>
    <row r="20" ht="15.75" customHeight="1">
      <c r="A20" s="30">
        <v>18.0</v>
      </c>
      <c r="B20" s="31" t="s">
        <v>2483</v>
      </c>
      <c r="C20" s="31">
        <v>36.0</v>
      </c>
      <c r="D20" s="31" t="s">
        <v>2484</v>
      </c>
      <c r="E20" s="31" t="s">
        <v>2485</v>
      </c>
      <c r="F20" s="31" t="s">
        <v>13</v>
      </c>
      <c r="G20" s="31" t="s">
        <v>13</v>
      </c>
    </row>
    <row r="21" ht="15.75" customHeight="1">
      <c r="A21" s="30">
        <v>19.0</v>
      </c>
      <c r="B21" s="31" t="s">
        <v>2486</v>
      </c>
      <c r="C21" s="31">
        <v>30.0</v>
      </c>
      <c r="D21" s="31" t="s">
        <v>2487</v>
      </c>
      <c r="E21" s="31" t="s">
        <v>2488</v>
      </c>
      <c r="F21" s="31" t="s">
        <v>13</v>
      </c>
      <c r="G21" s="31" t="s">
        <v>13</v>
      </c>
    </row>
    <row r="22" ht="15.75" customHeight="1">
      <c r="A22" s="30">
        <v>20.0</v>
      </c>
      <c r="B22" s="31" t="s">
        <v>2489</v>
      </c>
      <c r="C22" s="31">
        <v>30.0</v>
      </c>
      <c r="D22" s="31">
        <v>2.5000118E7</v>
      </c>
      <c r="E22" s="31" t="s">
        <v>13</v>
      </c>
      <c r="F22" s="31" t="s">
        <v>13</v>
      </c>
      <c r="G22" s="31" t="s">
        <v>2449</v>
      </c>
    </row>
    <row r="23" ht="15.75" customHeight="1">
      <c r="A23" s="30">
        <v>21.0</v>
      </c>
      <c r="B23" s="31" t="s">
        <v>2490</v>
      </c>
      <c r="C23" s="31">
        <v>60.0</v>
      </c>
      <c r="D23" s="31" t="s">
        <v>2491</v>
      </c>
      <c r="E23" s="31" t="s">
        <v>2492</v>
      </c>
      <c r="F23" s="31" t="s">
        <v>13</v>
      </c>
      <c r="G23" s="31" t="s">
        <v>13</v>
      </c>
    </row>
    <row r="24" ht="15.75" customHeight="1">
      <c r="A24" s="30">
        <v>22.0</v>
      </c>
      <c r="B24" s="31" t="s">
        <v>2493</v>
      </c>
      <c r="C24" s="31">
        <v>46.0</v>
      </c>
      <c r="D24" s="31">
        <v>1.4556746E7</v>
      </c>
      <c r="E24" s="31" t="s">
        <v>13</v>
      </c>
      <c r="F24" s="31" t="s">
        <v>13</v>
      </c>
      <c r="G24" s="31" t="s">
        <v>2449</v>
      </c>
    </row>
    <row r="25" ht="15.75" customHeight="1">
      <c r="A25" s="30">
        <v>23.0</v>
      </c>
      <c r="B25" s="31" t="s">
        <v>2494</v>
      </c>
      <c r="C25" s="31">
        <v>20.0</v>
      </c>
      <c r="D25" s="31" t="s">
        <v>13</v>
      </c>
      <c r="E25" s="31" t="s">
        <v>13</v>
      </c>
      <c r="F25" s="31" t="s">
        <v>13</v>
      </c>
      <c r="G25" s="31" t="s">
        <v>2495</v>
      </c>
    </row>
    <row r="26" ht="15.75" customHeight="1">
      <c r="A26" s="30">
        <v>24.0</v>
      </c>
      <c r="B26" s="31" t="s">
        <v>2496</v>
      </c>
      <c r="C26" s="31">
        <v>57.0</v>
      </c>
      <c r="D26" s="31">
        <v>1.0001561E7</v>
      </c>
      <c r="E26" s="31" t="s">
        <v>13</v>
      </c>
      <c r="F26" s="31" t="s">
        <v>13</v>
      </c>
      <c r="G26" s="31" t="s">
        <v>2449</v>
      </c>
    </row>
    <row r="27" ht="15.75" customHeight="1">
      <c r="A27" s="30">
        <v>25.0</v>
      </c>
      <c r="B27" s="31" t="s">
        <v>2497</v>
      </c>
      <c r="C27" s="31">
        <v>47.0</v>
      </c>
      <c r="D27" s="31">
        <v>1.3999719E7</v>
      </c>
      <c r="E27" s="31" t="s">
        <v>13</v>
      </c>
      <c r="F27" s="31" t="s">
        <v>13</v>
      </c>
      <c r="G27" s="31" t="s">
        <v>2449</v>
      </c>
    </row>
    <row r="28" ht="15.75" customHeight="1">
      <c r="A28" s="30">
        <v>26.0</v>
      </c>
      <c r="B28" s="31" t="s">
        <v>2498</v>
      </c>
      <c r="C28" s="31" t="s">
        <v>13</v>
      </c>
      <c r="D28" s="31" t="s">
        <v>13</v>
      </c>
      <c r="E28" s="31" t="s">
        <v>13</v>
      </c>
      <c r="F28" s="31" t="s">
        <v>13</v>
      </c>
      <c r="G28" s="31" t="s">
        <v>2499</v>
      </c>
    </row>
    <row r="29" ht="15.75" customHeight="1">
      <c r="A29" s="30">
        <v>27.0</v>
      </c>
      <c r="B29" s="31" t="s">
        <v>2500</v>
      </c>
      <c r="C29" s="31">
        <v>64.0</v>
      </c>
      <c r="D29" s="31">
        <v>8471007.0</v>
      </c>
      <c r="E29" s="31" t="s">
        <v>13</v>
      </c>
      <c r="F29" s="31" t="s">
        <v>13</v>
      </c>
      <c r="G29" s="31" t="s">
        <v>2501</v>
      </c>
    </row>
    <row r="30" ht="15.75" customHeight="1">
      <c r="A30" s="30">
        <v>28.0</v>
      </c>
      <c r="B30" s="31" t="s">
        <v>2502</v>
      </c>
      <c r="C30" s="31">
        <v>65.0</v>
      </c>
      <c r="D30" s="31" t="s">
        <v>2503</v>
      </c>
      <c r="E30" s="31" t="s">
        <v>2504</v>
      </c>
      <c r="F30" s="31" t="s">
        <v>13</v>
      </c>
      <c r="G30" s="31" t="s">
        <v>13</v>
      </c>
    </row>
    <row r="31" ht="15.75" customHeight="1">
      <c r="A31" s="30">
        <v>29.0</v>
      </c>
      <c r="B31" s="31" t="s">
        <v>2505</v>
      </c>
      <c r="C31" s="31">
        <v>44.0</v>
      </c>
      <c r="D31" s="31">
        <v>1.4955107E7</v>
      </c>
      <c r="E31" s="31" t="s">
        <v>13</v>
      </c>
      <c r="F31" s="31" t="s">
        <v>13</v>
      </c>
      <c r="G31" s="31" t="s">
        <v>2506</v>
      </c>
    </row>
    <row r="32" ht="15.75" customHeight="1">
      <c r="A32" s="30">
        <v>30.0</v>
      </c>
      <c r="B32" s="31" t="s">
        <v>2507</v>
      </c>
      <c r="C32" s="31">
        <v>46.0</v>
      </c>
      <c r="D32" s="31">
        <v>1.4299523E7</v>
      </c>
      <c r="E32" s="31" t="s">
        <v>13</v>
      </c>
      <c r="F32" s="31" t="s">
        <v>13</v>
      </c>
      <c r="G32" s="31" t="s">
        <v>2508</v>
      </c>
    </row>
    <row r="33" ht="15.75" customHeight="1">
      <c r="A33" s="30">
        <v>31.0</v>
      </c>
      <c r="B33" s="31" t="s">
        <v>2509</v>
      </c>
      <c r="C33" s="31">
        <v>58.0</v>
      </c>
      <c r="D33" s="31">
        <v>3.2111714E7</v>
      </c>
      <c r="E33" s="31" t="s">
        <v>13</v>
      </c>
      <c r="F33" s="31" t="s">
        <v>13</v>
      </c>
      <c r="G33" s="31" t="s">
        <v>2449</v>
      </c>
    </row>
    <row r="34" ht="15.75" customHeight="1">
      <c r="A34" s="30">
        <v>32.0</v>
      </c>
      <c r="B34" s="31" t="s">
        <v>2510</v>
      </c>
      <c r="C34" s="31">
        <v>80.0</v>
      </c>
      <c r="D34" s="31">
        <v>1.1926425E7</v>
      </c>
      <c r="E34" s="31" t="s">
        <v>13</v>
      </c>
      <c r="F34" s="31" t="s">
        <v>13</v>
      </c>
      <c r="G34" s="31" t="s">
        <v>2449</v>
      </c>
    </row>
    <row r="35" ht="15.75" customHeight="1">
      <c r="A35" s="30">
        <v>33.0</v>
      </c>
      <c r="B35" s="31" t="s">
        <v>2511</v>
      </c>
      <c r="C35" s="31">
        <v>40.0</v>
      </c>
      <c r="D35" s="31">
        <v>1.6310437E7</v>
      </c>
      <c r="E35" s="31" t="s">
        <v>13</v>
      </c>
      <c r="F35" s="31" t="s">
        <v>13</v>
      </c>
      <c r="G35" s="31" t="s">
        <v>2512</v>
      </c>
    </row>
    <row r="36" ht="15.75" customHeight="1">
      <c r="A36" s="30">
        <v>34.0</v>
      </c>
      <c r="B36" s="31" t="s">
        <v>2513</v>
      </c>
      <c r="C36" s="31">
        <v>79.0</v>
      </c>
      <c r="D36" s="31" t="s">
        <v>2514</v>
      </c>
      <c r="E36" s="31" t="s">
        <v>13</v>
      </c>
      <c r="F36" s="31" t="s">
        <v>13</v>
      </c>
      <c r="G36" s="31" t="s">
        <v>4513</v>
      </c>
    </row>
    <row r="37" ht="15.75" customHeight="1">
      <c r="A37" s="30">
        <v>35.0</v>
      </c>
      <c r="B37" s="31" t="s">
        <v>4514</v>
      </c>
      <c r="C37" s="31">
        <v>79.0</v>
      </c>
      <c r="D37" s="31" t="s">
        <v>2514</v>
      </c>
      <c r="E37" s="31" t="s">
        <v>4515</v>
      </c>
      <c r="F37" s="31" t="s">
        <v>13</v>
      </c>
      <c r="G37" s="31" t="s">
        <v>4516</v>
      </c>
    </row>
    <row r="38" ht="15.75" customHeight="1">
      <c r="A38" s="30">
        <v>36.0</v>
      </c>
      <c r="B38" s="31" t="s">
        <v>2516</v>
      </c>
      <c r="C38" s="31">
        <v>46.0</v>
      </c>
      <c r="D38" s="31">
        <v>1.5586408E7</v>
      </c>
      <c r="E38" s="31" t="s">
        <v>13</v>
      </c>
      <c r="F38" s="31" t="s">
        <v>13</v>
      </c>
      <c r="G38" s="31" t="s">
        <v>2449</v>
      </c>
    </row>
    <row r="39" ht="15.75" customHeight="1">
      <c r="A39" s="30">
        <v>37.0</v>
      </c>
      <c r="B39" s="31" t="s">
        <v>2517</v>
      </c>
      <c r="C39" s="31">
        <v>48.0</v>
      </c>
      <c r="D39" s="31" t="s">
        <v>2518</v>
      </c>
      <c r="E39" s="31" t="s">
        <v>2519</v>
      </c>
      <c r="F39" s="31" t="s">
        <v>13</v>
      </c>
      <c r="G39" s="31" t="s">
        <v>13</v>
      </c>
    </row>
    <row r="40" ht="15.75" customHeight="1">
      <c r="A40" s="30">
        <v>38.0</v>
      </c>
      <c r="B40" s="31" t="s">
        <v>2520</v>
      </c>
      <c r="C40" s="31">
        <v>27.0</v>
      </c>
      <c r="D40" s="31">
        <v>2.6938811E7</v>
      </c>
      <c r="E40" s="31" t="s">
        <v>13</v>
      </c>
      <c r="F40" s="31" t="s">
        <v>13</v>
      </c>
      <c r="G40" s="31" t="s">
        <v>2449</v>
      </c>
    </row>
    <row r="41" ht="15.75" customHeight="1">
      <c r="A41" s="30">
        <v>39.0</v>
      </c>
      <c r="B41" s="31" t="s">
        <v>4517</v>
      </c>
      <c r="C41" s="31">
        <v>45.0</v>
      </c>
      <c r="D41" s="31" t="s">
        <v>2522</v>
      </c>
      <c r="E41" s="31" t="s">
        <v>2523</v>
      </c>
      <c r="F41" s="31" t="s">
        <v>13</v>
      </c>
      <c r="G41" s="31" t="s">
        <v>4518</v>
      </c>
    </row>
    <row r="42" ht="15.75" customHeight="1">
      <c r="A42" s="30">
        <v>40.0</v>
      </c>
      <c r="B42" s="31" t="s">
        <v>2521</v>
      </c>
      <c r="C42" s="31">
        <v>45.0</v>
      </c>
      <c r="D42" s="31" t="s">
        <v>2522</v>
      </c>
      <c r="E42" s="31" t="s">
        <v>2523</v>
      </c>
      <c r="F42" s="31" t="s">
        <v>13</v>
      </c>
      <c r="G42" s="31" t="s">
        <v>4519</v>
      </c>
    </row>
    <row r="43" ht="15.75" customHeight="1">
      <c r="A43" s="30">
        <v>41.0</v>
      </c>
      <c r="B43" s="31" t="s">
        <v>2525</v>
      </c>
      <c r="C43" s="31">
        <v>18.0</v>
      </c>
      <c r="D43" s="31" t="s">
        <v>2526</v>
      </c>
      <c r="E43" s="31" t="s">
        <v>2527</v>
      </c>
      <c r="F43" s="31" t="s">
        <v>13</v>
      </c>
      <c r="G43" s="31" t="s">
        <v>13</v>
      </c>
    </row>
    <row r="44" ht="15.75" customHeight="1">
      <c r="A44" s="30">
        <v>42.0</v>
      </c>
      <c r="B44" s="31" t="s">
        <v>2528</v>
      </c>
      <c r="C44" s="31">
        <v>70.0</v>
      </c>
      <c r="D44" s="31" t="s">
        <v>2529</v>
      </c>
      <c r="E44" s="31" t="s">
        <v>2530</v>
      </c>
      <c r="F44" s="31" t="s">
        <v>13</v>
      </c>
      <c r="G44" s="31" t="s">
        <v>2531</v>
      </c>
    </row>
    <row r="45" ht="15.75" customHeight="1">
      <c r="A45" s="30">
        <v>43.0</v>
      </c>
      <c r="B45" s="31" t="s">
        <v>2532</v>
      </c>
      <c r="C45" s="31">
        <v>16.0</v>
      </c>
      <c r="D45" s="31" t="s">
        <v>2533</v>
      </c>
      <c r="E45" s="31" t="s">
        <v>2534</v>
      </c>
      <c r="F45" s="31" t="s">
        <v>13</v>
      </c>
      <c r="G45" s="31" t="s">
        <v>13</v>
      </c>
    </row>
    <row r="46" ht="15.75" customHeight="1">
      <c r="A46" s="30">
        <v>44.0</v>
      </c>
      <c r="B46" s="31" t="s">
        <v>2535</v>
      </c>
      <c r="C46" s="31">
        <v>49.0</v>
      </c>
      <c r="D46" s="31" t="s">
        <v>2536</v>
      </c>
      <c r="E46" s="31" t="s">
        <v>2537</v>
      </c>
      <c r="F46" s="31" t="s">
        <v>13</v>
      </c>
      <c r="G46" s="31" t="s">
        <v>2449</v>
      </c>
    </row>
    <row r="47" ht="15.75" customHeight="1">
      <c r="A47" s="30">
        <v>45.0</v>
      </c>
      <c r="B47" s="31" t="s">
        <v>2538</v>
      </c>
      <c r="C47" s="31">
        <v>46.0</v>
      </c>
      <c r="D47" s="31" t="s">
        <v>13</v>
      </c>
      <c r="E47" s="31" t="s">
        <v>13</v>
      </c>
      <c r="F47" s="31" t="s">
        <v>13</v>
      </c>
      <c r="G47" s="31" t="s">
        <v>2539</v>
      </c>
    </row>
    <row r="48" ht="15.75" customHeight="1">
      <c r="A48" s="30">
        <v>46.0</v>
      </c>
      <c r="B48" s="31" t="s">
        <v>2540</v>
      </c>
      <c r="C48" s="31">
        <v>20.0</v>
      </c>
      <c r="D48" s="31" t="s">
        <v>2541</v>
      </c>
      <c r="E48" s="31" t="s">
        <v>2542</v>
      </c>
      <c r="F48" s="31" t="s">
        <v>13</v>
      </c>
      <c r="G48" s="31" t="s">
        <v>13</v>
      </c>
    </row>
    <row r="49" ht="15.75" customHeight="1">
      <c r="A49" s="30">
        <v>47.0</v>
      </c>
      <c r="B49" s="31" t="s">
        <v>2543</v>
      </c>
      <c r="C49" s="31" t="s">
        <v>13</v>
      </c>
      <c r="D49" s="31" t="s">
        <v>13</v>
      </c>
      <c r="E49" s="31" t="s">
        <v>13</v>
      </c>
      <c r="F49" s="31" t="s">
        <v>13</v>
      </c>
      <c r="G49" s="31" t="s">
        <v>2544</v>
      </c>
    </row>
    <row r="50" ht="15.75" customHeight="1">
      <c r="A50" s="30">
        <v>48.0</v>
      </c>
      <c r="B50" s="31" t="s">
        <v>2545</v>
      </c>
      <c r="C50" s="31">
        <v>72.0</v>
      </c>
      <c r="D50" s="31" t="s">
        <v>2546</v>
      </c>
      <c r="E50" s="31" t="s">
        <v>2547</v>
      </c>
      <c r="F50" s="31" t="s">
        <v>13</v>
      </c>
      <c r="G50" s="31" t="s">
        <v>13</v>
      </c>
    </row>
    <row r="51" ht="15.75" customHeight="1">
      <c r="A51" s="30">
        <v>49.0</v>
      </c>
      <c r="B51" s="31" t="s">
        <v>2548</v>
      </c>
      <c r="C51" s="31">
        <v>73.0</v>
      </c>
      <c r="D51" s="31">
        <v>6274191.0</v>
      </c>
      <c r="E51" s="31" t="s">
        <v>13</v>
      </c>
      <c r="F51" s="31" t="s">
        <v>13</v>
      </c>
      <c r="G51" s="31" t="s">
        <v>13</v>
      </c>
    </row>
    <row r="52" ht="15.75" customHeight="1">
      <c r="A52" s="30">
        <v>50.0</v>
      </c>
      <c r="B52" s="31" t="s">
        <v>2549</v>
      </c>
      <c r="C52" s="31">
        <v>57.0</v>
      </c>
      <c r="D52" s="31" t="s">
        <v>2550</v>
      </c>
      <c r="E52" s="31" t="s">
        <v>2551</v>
      </c>
      <c r="F52" s="31" t="s">
        <v>13</v>
      </c>
      <c r="G52" s="31" t="s">
        <v>2449</v>
      </c>
    </row>
    <row r="53" ht="15.75" customHeight="1">
      <c r="A53" s="30">
        <v>51.0</v>
      </c>
      <c r="B53" s="31" t="s">
        <v>2552</v>
      </c>
      <c r="C53" s="31">
        <v>25.0</v>
      </c>
      <c r="D53" s="31">
        <v>2.8312526E7</v>
      </c>
      <c r="E53" s="31" t="s">
        <v>13</v>
      </c>
      <c r="F53" s="31" t="s">
        <v>13</v>
      </c>
      <c r="G53" s="31" t="s">
        <v>2449</v>
      </c>
    </row>
    <row r="54" ht="15.75" customHeight="1">
      <c r="A54" s="30">
        <v>52.0</v>
      </c>
      <c r="B54" s="31" t="s">
        <v>2553</v>
      </c>
      <c r="C54" s="31">
        <v>18.0</v>
      </c>
      <c r="D54" s="31" t="s">
        <v>2554</v>
      </c>
      <c r="E54" s="31" t="s">
        <v>13</v>
      </c>
      <c r="F54" s="31" t="s">
        <v>13</v>
      </c>
      <c r="G54" s="31" t="s">
        <v>13</v>
      </c>
    </row>
    <row r="55" ht="15.75" customHeight="1">
      <c r="A55" s="30">
        <v>53.0</v>
      </c>
      <c r="B55" s="31" t="s">
        <v>4520</v>
      </c>
      <c r="C55" s="31">
        <v>18.0</v>
      </c>
      <c r="D55" s="31">
        <v>3.2809709E7</v>
      </c>
      <c r="E55" s="31" t="s">
        <v>13</v>
      </c>
      <c r="F55" s="31" t="s">
        <v>13</v>
      </c>
      <c r="G55" s="31" t="s">
        <v>2555</v>
      </c>
    </row>
    <row r="56" ht="15.75" customHeight="1">
      <c r="A56" s="30">
        <v>54.0</v>
      </c>
      <c r="B56" s="31" t="s">
        <v>2556</v>
      </c>
      <c r="C56" s="31">
        <v>18.0</v>
      </c>
      <c r="D56" s="31" t="s">
        <v>13</v>
      </c>
      <c r="E56" s="31" t="s">
        <v>13</v>
      </c>
      <c r="F56" s="31" t="s">
        <v>13</v>
      </c>
      <c r="G56" s="31" t="s">
        <v>2557</v>
      </c>
    </row>
    <row r="57" ht="15.75" customHeight="1">
      <c r="A57" s="30">
        <v>55.0</v>
      </c>
      <c r="B57" s="31" t="s">
        <v>2558</v>
      </c>
      <c r="C57" s="31">
        <v>28.0</v>
      </c>
      <c r="D57" s="31" t="s">
        <v>2559</v>
      </c>
      <c r="E57" s="31" t="s">
        <v>2560</v>
      </c>
      <c r="F57" s="31" t="s">
        <v>13</v>
      </c>
      <c r="G57" s="31" t="s">
        <v>2449</v>
      </c>
    </row>
    <row r="58" ht="15.75" customHeight="1">
      <c r="A58" s="30">
        <v>56.0</v>
      </c>
      <c r="B58" s="31" t="s">
        <v>2561</v>
      </c>
      <c r="C58" s="31">
        <v>24.0</v>
      </c>
      <c r="D58" s="31" t="s">
        <v>2562</v>
      </c>
      <c r="E58" s="31" t="s">
        <v>2563</v>
      </c>
      <c r="F58" s="31" t="s">
        <v>13</v>
      </c>
      <c r="G58" s="31" t="s">
        <v>13</v>
      </c>
    </row>
    <row r="59" ht="15.75" customHeight="1">
      <c r="A59" s="30">
        <v>57.0</v>
      </c>
      <c r="B59" s="31" t="s">
        <v>2564</v>
      </c>
      <c r="C59" s="31">
        <v>22.0</v>
      </c>
      <c r="D59" s="31" t="s">
        <v>2565</v>
      </c>
      <c r="E59" s="31" t="s">
        <v>2566</v>
      </c>
      <c r="F59" s="31" t="s">
        <v>13</v>
      </c>
      <c r="G59" s="31" t="s">
        <v>2449</v>
      </c>
    </row>
    <row r="60" ht="15.75" customHeight="1">
      <c r="A60" s="30">
        <v>58.0</v>
      </c>
      <c r="B60" s="31" t="s">
        <v>2567</v>
      </c>
      <c r="C60" s="31">
        <v>51.0</v>
      </c>
      <c r="D60" s="31" t="s">
        <v>2568</v>
      </c>
      <c r="E60" s="31" t="s">
        <v>2569</v>
      </c>
      <c r="F60" s="31" t="s">
        <v>13</v>
      </c>
      <c r="G60" s="31" t="s">
        <v>13</v>
      </c>
    </row>
    <row r="61" ht="15.75" customHeight="1">
      <c r="A61" s="30">
        <v>59.0</v>
      </c>
      <c r="B61" s="31" t="s">
        <v>2570</v>
      </c>
      <c r="C61" s="31">
        <v>62.0</v>
      </c>
      <c r="D61" s="31" t="s">
        <v>2571</v>
      </c>
      <c r="E61" s="31" t="s">
        <v>2572</v>
      </c>
      <c r="F61" s="31" t="s">
        <v>13</v>
      </c>
      <c r="G61" s="31" t="s">
        <v>13</v>
      </c>
    </row>
    <row r="62" ht="15.75" customHeight="1">
      <c r="A62" s="30">
        <v>60.0</v>
      </c>
      <c r="B62" s="31" t="s">
        <v>2573</v>
      </c>
      <c r="C62" s="31">
        <v>52.0</v>
      </c>
      <c r="D62" s="31" t="s">
        <v>2574</v>
      </c>
      <c r="E62" s="31" t="s">
        <v>2530</v>
      </c>
      <c r="F62" s="31" t="s">
        <v>13</v>
      </c>
      <c r="G62" s="31" t="s">
        <v>2575</v>
      </c>
    </row>
    <row r="63" ht="15.75" customHeight="1">
      <c r="A63" s="30">
        <v>61.0</v>
      </c>
      <c r="B63" s="31" t="s">
        <v>2576</v>
      </c>
      <c r="C63" s="31">
        <v>53.0</v>
      </c>
      <c r="D63" s="31" t="s">
        <v>2577</v>
      </c>
      <c r="E63" s="31" t="s">
        <v>2578</v>
      </c>
      <c r="F63" s="31" t="s">
        <v>13</v>
      </c>
      <c r="G63" s="31" t="s">
        <v>2579</v>
      </c>
    </row>
    <row r="64" ht="15.75" customHeight="1">
      <c r="A64" s="30">
        <v>62.0</v>
      </c>
      <c r="B64" s="31" t="s">
        <v>2580</v>
      </c>
      <c r="C64" s="31">
        <v>35.0</v>
      </c>
      <c r="D64" s="31" t="s">
        <v>2581</v>
      </c>
      <c r="E64" s="31" t="s">
        <v>2582</v>
      </c>
      <c r="F64" s="31" t="s">
        <v>13</v>
      </c>
      <c r="G64" s="31" t="s">
        <v>13</v>
      </c>
    </row>
    <row r="65" ht="15.75" customHeight="1">
      <c r="A65" s="30">
        <v>63.0</v>
      </c>
      <c r="B65" s="31" t="s">
        <v>2583</v>
      </c>
      <c r="C65" s="31">
        <v>18.0</v>
      </c>
      <c r="D65" s="31" t="s">
        <v>13</v>
      </c>
      <c r="E65" s="31" t="s">
        <v>13</v>
      </c>
      <c r="F65" s="31" t="s">
        <v>13</v>
      </c>
      <c r="G65" s="31" t="s">
        <v>2449</v>
      </c>
    </row>
    <row r="66" ht="15.75" customHeight="1">
      <c r="A66" s="30">
        <v>64.0</v>
      </c>
      <c r="B66" s="31" t="s">
        <v>2584</v>
      </c>
      <c r="C66" s="31">
        <v>31.0</v>
      </c>
      <c r="D66" s="31" t="s">
        <v>2585</v>
      </c>
      <c r="E66" s="31" t="s">
        <v>2586</v>
      </c>
      <c r="F66" s="31" t="s">
        <v>13</v>
      </c>
      <c r="G66" s="31" t="s">
        <v>13</v>
      </c>
    </row>
    <row r="67" ht="15.75" customHeight="1">
      <c r="A67" s="30">
        <v>65.0</v>
      </c>
      <c r="B67" s="31" t="s">
        <v>2587</v>
      </c>
      <c r="C67" s="31">
        <v>17.0</v>
      </c>
      <c r="D67" s="31" t="s">
        <v>2588</v>
      </c>
      <c r="E67" s="31" t="s">
        <v>2488</v>
      </c>
      <c r="F67" s="31" t="s">
        <v>13</v>
      </c>
      <c r="G67" s="31" t="s">
        <v>13</v>
      </c>
    </row>
    <row r="68" ht="15.75" customHeight="1">
      <c r="A68" s="30">
        <v>66.0</v>
      </c>
      <c r="B68" s="31" t="s">
        <v>2589</v>
      </c>
      <c r="C68" s="31">
        <v>47.0</v>
      </c>
      <c r="D68" s="31" t="s">
        <v>2590</v>
      </c>
      <c r="E68" s="31" t="s">
        <v>2488</v>
      </c>
      <c r="F68" s="31" t="s">
        <v>13</v>
      </c>
      <c r="G68" s="31" t="s">
        <v>13</v>
      </c>
    </row>
    <row r="69" ht="15.75" customHeight="1">
      <c r="A69" s="30">
        <v>67.0</v>
      </c>
      <c r="B69" s="31" t="s">
        <v>2591</v>
      </c>
      <c r="C69" s="31">
        <v>20.0</v>
      </c>
      <c r="D69" s="31" t="s">
        <v>2592</v>
      </c>
      <c r="E69" s="31" t="s">
        <v>2593</v>
      </c>
      <c r="F69" s="31" t="s">
        <v>13</v>
      </c>
      <c r="G69" s="31" t="s">
        <v>13</v>
      </c>
    </row>
    <row r="70" ht="15.75" customHeight="1">
      <c r="A70" s="30">
        <v>68.0</v>
      </c>
      <c r="B70" s="31" t="s">
        <v>2594</v>
      </c>
      <c r="C70" s="31">
        <v>39.0</v>
      </c>
      <c r="D70" s="31">
        <v>1.8042519E7</v>
      </c>
      <c r="E70" s="31" t="s">
        <v>13</v>
      </c>
      <c r="F70" s="31" t="s">
        <v>13</v>
      </c>
      <c r="G70" s="31" t="s">
        <v>2449</v>
      </c>
    </row>
    <row r="71" ht="15.75" customHeight="1">
      <c r="A71" s="30">
        <v>69.0</v>
      </c>
      <c r="B71" s="31" t="s">
        <v>2595</v>
      </c>
      <c r="C71" s="31">
        <v>32.0</v>
      </c>
      <c r="D71" s="31" t="s">
        <v>2596</v>
      </c>
      <c r="E71" s="31" t="s">
        <v>2597</v>
      </c>
      <c r="F71" s="31" t="s">
        <v>13</v>
      </c>
      <c r="G71" s="31" t="s">
        <v>13</v>
      </c>
    </row>
    <row r="72" ht="15.75" customHeight="1">
      <c r="A72" s="30">
        <v>70.0</v>
      </c>
      <c r="B72" s="31" t="s">
        <v>2598</v>
      </c>
      <c r="C72" s="31">
        <v>18.0</v>
      </c>
      <c r="D72" s="31" t="s">
        <v>2599</v>
      </c>
      <c r="E72" s="31" t="s">
        <v>13</v>
      </c>
      <c r="F72" s="31" t="s">
        <v>13</v>
      </c>
      <c r="G72" s="31" t="s">
        <v>13</v>
      </c>
    </row>
    <row r="73" ht="15.75" customHeight="1">
      <c r="A73" s="30">
        <v>71.0</v>
      </c>
      <c r="B73" s="31" t="s">
        <v>2600</v>
      </c>
      <c r="C73" s="31">
        <v>18.0</v>
      </c>
      <c r="D73" s="31">
        <v>3.2111714E7</v>
      </c>
      <c r="E73" s="31" t="s">
        <v>13</v>
      </c>
      <c r="F73" s="31" t="s">
        <v>13</v>
      </c>
      <c r="G73" s="31" t="s">
        <v>2449</v>
      </c>
    </row>
    <row r="74" ht="15.75" customHeight="1">
      <c r="A74" s="30">
        <v>72.0</v>
      </c>
      <c r="B74" s="31" t="s">
        <v>2601</v>
      </c>
      <c r="C74" s="31" t="s">
        <v>13</v>
      </c>
      <c r="D74" s="31" t="s">
        <v>13</v>
      </c>
      <c r="E74" s="31" t="s">
        <v>13</v>
      </c>
      <c r="F74" s="31" t="s">
        <v>13</v>
      </c>
      <c r="G74" s="31" t="s">
        <v>2602</v>
      </c>
    </row>
    <row r="75" ht="15.75" customHeight="1">
      <c r="A75" s="30">
        <v>73.0</v>
      </c>
      <c r="B75" s="31" t="s">
        <v>2603</v>
      </c>
      <c r="C75" s="31">
        <v>34.0</v>
      </c>
      <c r="D75" s="31" t="s">
        <v>13</v>
      </c>
      <c r="E75" s="31" t="s">
        <v>13</v>
      </c>
      <c r="F75" s="31" t="s">
        <v>13</v>
      </c>
      <c r="G75" s="31" t="s">
        <v>2604</v>
      </c>
    </row>
    <row r="76" ht="15.75" customHeight="1">
      <c r="A76" s="30">
        <v>74.0</v>
      </c>
      <c r="B76" s="31" t="s">
        <v>282</v>
      </c>
      <c r="C76" s="31">
        <v>28.0</v>
      </c>
      <c r="D76" s="31" t="s">
        <v>13</v>
      </c>
      <c r="E76" s="31" t="s">
        <v>13</v>
      </c>
      <c r="F76" s="31" t="s">
        <v>13</v>
      </c>
      <c r="G76" s="31" t="s">
        <v>2605</v>
      </c>
    </row>
    <row r="77" ht="15.75" customHeight="1">
      <c r="A77" s="30">
        <v>75.0</v>
      </c>
      <c r="B77" s="31" t="s">
        <v>2606</v>
      </c>
      <c r="C77" s="31">
        <v>42.0</v>
      </c>
      <c r="D77" s="31" t="s">
        <v>2607</v>
      </c>
      <c r="E77" s="31" t="s">
        <v>2608</v>
      </c>
      <c r="F77" s="31" t="s">
        <v>13</v>
      </c>
      <c r="G77" s="31" t="s">
        <v>13</v>
      </c>
    </row>
    <row r="78" ht="15.75" customHeight="1">
      <c r="A78" s="30">
        <v>76.0</v>
      </c>
      <c r="B78" s="31" t="s">
        <v>284</v>
      </c>
      <c r="C78" s="31">
        <v>88.0</v>
      </c>
      <c r="D78" s="31">
        <v>1.4299716E7</v>
      </c>
      <c r="E78" s="31" t="s">
        <v>13</v>
      </c>
      <c r="F78" s="31" t="s">
        <v>13</v>
      </c>
      <c r="G78" s="31" t="s">
        <v>2609</v>
      </c>
    </row>
    <row r="79" ht="15.75" customHeight="1">
      <c r="A79" s="30">
        <v>77.0</v>
      </c>
      <c r="B79" s="31" t="s">
        <v>2610</v>
      </c>
      <c r="C79" s="31">
        <v>28.0</v>
      </c>
      <c r="D79" s="31" t="s">
        <v>2611</v>
      </c>
      <c r="E79" s="31" t="s">
        <v>4521</v>
      </c>
      <c r="F79" s="31" t="s">
        <v>13</v>
      </c>
      <c r="G79" s="31" t="s">
        <v>2612</v>
      </c>
    </row>
    <row r="80" ht="15.75" customHeight="1">
      <c r="A80" s="30">
        <v>78.0</v>
      </c>
      <c r="B80" s="31" t="s">
        <v>2613</v>
      </c>
      <c r="C80" s="31">
        <v>76.0</v>
      </c>
      <c r="D80" s="31">
        <v>3806228.0</v>
      </c>
      <c r="E80" s="31" t="s">
        <v>13</v>
      </c>
      <c r="F80" s="31" t="s">
        <v>13</v>
      </c>
      <c r="G80" s="31" t="s">
        <v>2449</v>
      </c>
    </row>
    <row r="81" ht="15.75" customHeight="1">
      <c r="A81" s="30">
        <v>79.0</v>
      </c>
      <c r="B81" s="31" t="s">
        <v>2614</v>
      </c>
      <c r="C81" s="31">
        <v>45.0</v>
      </c>
      <c r="D81" s="31" t="s">
        <v>2615</v>
      </c>
      <c r="E81" s="31" t="s">
        <v>2616</v>
      </c>
      <c r="F81" s="31" t="s">
        <v>13</v>
      </c>
      <c r="G81" s="31" t="s">
        <v>2449</v>
      </c>
    </row>
    <row r="82" ht="15.75" customHeight="1">
      <c r="A82" s="82">
        <v>80.0</v>
      </c>
      <c r="B82" s="83" t="s">
        <v>2617</v>
      </c>
      <c r="C82" s="83">
        <v>19.0</v>
      </c>
      <c r="D82" s="83" t="s">
        <v>2618</v>
      </c>
      <c r="E82" s="83" t="s">
        <v>2619</v>
      </c>
      <c r="F82" s="83" t="s">
        <v>13</v>
      </c>
      <c r="G82" s="83" t="s">
        <v>2620</v>
      </c>
    </row>
    <row r="83" ht="15.75" customHeight="1">
      <c r="A83" s="82">
        <v>81.0</v>
      </c>
      <c r="B83" s="83" t="s">
        <v>2621</v>
      </c>
      <c r="C83" s="83">
        <v>43.0</v>
      </c>
      <c r="D83" s="83">
        <v>1.5844713E7</v>
      </c>
      <c r="E83" s="83" t="s">
        <v>13</v>
      </c>
      <c r="F83" s="83" t="s">
        <v>13</v>
      </c>
      <c r="G83" s="83" t="s">
        <v>2622</v>
      </c>
    </row>
    <row r="84" ht="15.75" customHeight="1">
      <c r="A84" s="82">
        <v>82.0</v>
      </c>
      <c r="B84" s="83" t="s">
        <v>2623</v>
      </c>
      <c r="C84" s="83">
        <v>80.0</v>
      </c>
      <c r="D84" s="83" t="s">
        <v>2624</v>
      </c>
      <c r="E84" s="83" t="s">
        <v>2625</v>
      </c>
      <c r="F84" s="83" t="s">
        <v>13</v>
      </c>
      <c r="G84" s="83" t="s">
        <v>13</v>
      </c>
    </row>
    <row r="85" ht="15.75" customHeight="1">
      <c r="A85" s="30">
        <v>83.0</v>
      </c>
      <c r="B85" s="31" t="s">
        <v>2626</v>
      </c>
      <c r="C85" s="31" t="s">
        <v>13</v>
      </c>
      <c r="D85" s="31" t="s">
        <v>13</v>
      </c>
      <c r="E85" s="31" t="s">
        <v>13</v>
      </c>
      <c r="F85" s="31" t="s">
        <v>13</v>
      </c>
      <c r="G85" s="31" t="s">
        <v>2627</v>
      </c>
    </row>
    <row r="86" ht="15.75" customHeight="1">
      <c r="A86" s="30">
        <v>84.0</v>
      </c>
      <c r="B86" s="31" t="s">
        <v>4522</v>
      </c>
      <c r="C86" s="31">
        <v>35.0</v>
      </c>
      <c r="D86" s="31" t="s">
        <v>2629</v>
      </c>
      <c r="E86" s="31" t="s">
        <v>13</v>
      </c>
      <c r="F86" s="31" t="s">
        <v>13</v>
      </c>
      <c r="G86" s="31" t="s">
        <v>4523</v>
      </c>
    </row>
    <row r="87" ht="15.75" customHeight="1">
      <c r="A87" s="30">
        <v>85.0</v>
      </c>
      <c r="B87" s="31" t="s">
        <v>2628</v>
      </c>
      <c r="C87" s="31">
        <v>35.0</v>
      </c>
      <c r="D87" s="31" t="s">
        <v>2629</v>
      </c>
      <c r="E87" s="31" t="s">
        <v>13</v>
      </c>
      <c r="F87" s="31" t="s">
        <v>13</v>
      </c>
      <c r="G87" s="31" t="s">
        <v>4524</v>
      </c>
    </row>
    <row r="88" ht="15.75" customHeight="1">
      <c r="A88" s="30">
        <v>86.0</v>
      </c>
      <c r="B88" s="31" t="s">
        <v>2631</v>
      </c>
      <c r="C88" s="31">
        <v>6.0</v>
      </c>
      <c r="D88" s="31">
        <v>1.6106829E7</v>
      </c>
      <c r="E88" s="31" t="s">
        <v>13</v>
      </c>
      <c r="F88" s="31" t="s">
        <v>13</v>
      </c>
      <c r="G88" s="31" t="s">
        <v>2449</v>
      </c>
    </row>
    <row r="89" ht="15.75" customHeight="1">
      <c r="A89" s="30">
        <v>87.0</v>
      </c>
      <c r="B89" s="31" t="s">
        <v>2632</v>
      </c>
      <c r="C89" s="31">
        <v>46.0</v>
      </c>
      <c r="D89" s="31" t="s">
        <v>2633</v>
      </c>
      <c r="E89" s="31" t="s">
        <v>2634</v>
      </c>
      <c r="F89" s="31" t="s">
        <v>13</v>
      </c>
      <c r="G89" s="31" t="s">
        <v>13</v>
      </c>
    </row>
    <row r="90" ht="15.75" customHeight="1">
      <c r="A90" s="30">
        <v>88.0</v>
      </c>
      <c r="B90" s="31" t="s">
        <v>2635</v>
      </c>
      <c r="C90" s="31">
        <v>4.0</v>
      </c>
      <c r="D90" s="31" t="s">
        <v>13</v>
      </c>
      <c r="E90" s="31" t="s">
        <v>13</v>
      </c>
      <c r="F90" s="31" t="s">
        <v>13</v>
      </c>
      <c r="G90" s="31" t="s">
        <v>2555</v>
      </c>
    </row>
    <row r="91" ht="15.75" customHeight="1">
      <c r="A91" s="30">
        <v>89.0</v>
      </c>
      <c r="B91" s="31" t="s">
        <v>2636</v>
      </c>
      <c r="C91" s="31">
        <v>18.0</v>
      </c>
      <c r="D91" s="31" t="s">
        <v>2637</v>
      </c>
      <c r="E91" s="31" t="s">
        <v>2638</v>
      </c>
      <c r="F91" s="31" t="s">
        <v>13</v>
      </c>
      <c r="G91" s="31" t="s">
        <v>13</v>
      </c>
    </row>
    <row r="92" ht="15.75" customHeight="1">
      <c r="A92" s="30">
        <v>90.0</v>
      </c>
      <c r="B92" s="31" t="s">
        <v>2639</v>
      </c>
      <c r="C92" s="31">
        <v>68.0</v>
      </c>
      <c r="D92" s="31">
        <v>3405970.0</v>
      </c>
      <c r="E92" s="31" t="s">
        <v>13</v>
      </c>
      <c r="F92" s="31" t="s">
        <v>13</v>
      </c>
      <c r="G92" s="31" t="s">
        <v>2449</v>
      </c>
    </row>
    <row r="93" ht="15.75" customHeight="1">
      <c r="A93" s="30">
        <v>91.0</v>
      </c>
      <c r="B93" s="31" t="s">
        <v>2640</v>
      </c>
      <c r="C93" s="31">
        <v>19.0</v>
      </c>
      <c r="D93" s="31" t="s">
        <v>2641</v>
      </c>
      <c r="E93" s="31" t="s">
        <v>2642</v>
      </c>
      <c r="F93" s="31" t="s">
        <v>13</v>
      </c>
      <c r="G93" s="31" t="s">
        <v>13</v>
      </c>
    </row>
    <row r="94" ht="15.75" customHeight="1">
      <c r="A94" s="30">
        <v>92.0</v>
      </c>
      <c r="B94" s="31" t="s">
        <v>2643</v>
      </c>
      <c r="C94" s="31">
        <v>78.0</v>
      </c>
      <c r="D94" s="31" t="s">
        <v>2644</v>
      </c>
      <c r="E94" s="31" t="s">
        <v>2645</v>
      </c>
      <c r="F94" s="31" t="s">
        <v>13</v>
      </c>
      <c r="G94" s="31" t="s">
        <v>13</v>
      </c>
    </row>
    <row r="95" ht="15.75" customHeight="1">
      <c r="A95" s="30">
        <v>93.0</v>
      </c>
      <c r="B95" s="31" t="s">
        <v>2646</v>
      </c>
      <c r="C95" s="31">
        <v>46.0</v>
      </c>
      <c r="D95" s="31">
        <v>1.4073961E7</v>
      </c>
      <c r="E95" s="31" t="s">
        <v>13</v>
      </c>
      <c r="F95" s="31" t="s">
        <v>13</v>
      </c>
      <c r="G95" s="31" t="s">
        <v>2647</v>
      </c>
    </row>
    <row r="96" ht="15.75" customHeight="1">
      <c r="A96" s="30">
        <v>94.0</v>
      </c>
      <c r="B96" s="31" t="s">
        <v>2648</v>
      </c>
      <c r="C96" s="31">
        <v>17.0</v>
      </c>
      <c r="D96" s="31" t="s">
        <v>2649</v>
      </c>
      <c r="E96" s="31" t="s">
        <v>2650</v>
      </c>
      <c r="F96" s="31" t="s">
        <v>13</v>
      </c>
      <c r="G96" s="31" t="s">
        <v>13</v>
      </c>
    </row>
    <row r="97" ht="15.75" customHeight="1">
      <c r="A97" s="30">
        <v>95.0</v>
      </c>
      <c r="B97" s="31" t="s">
        <v>2651</v>
      </c>
      <c r="C97" s="31">
        <v>59.0</v>
      </c>
      <c r="D97" s="31" t="s">
        <v>2652</v>
      </c>
      <c r="E97" s="31" t="s">
        <v>2653</v>
      </c>
      <c r="F97" s="31" t="s">
        <v>13</v>
      </c>
      <c r="G97" s="31" t="s">
        <v>13</v>
      </c>
    </row>
    <row r="98" ht="15.75" customHeight="1">
      <c r="A98" s="30">
        <v>96.0</v>
      </c>
      <c r="B98" s="31" t="s">
        <v>2654</v>
      </c>
      <c r="C98" s="31">
        <v>11.0</v>
      </c>
      <c r="D98" s="31">
        <v>2.2034962E7</v>
      </c>
      <c r="E98" s="31" t="s">
        <v>13</v>
      </c>
      <c r="F98" s="31" t="s">
        <v>13</v>
      </c>
      <c r="G98" s="31" t="s">
        <v>2449</v>
      </c>
    </row>
    <row r="99" ht="15.75" customHeight="1">
      <c r="A99" s="30">
        <v>97.0</v>
      </c>
      <c r="B99" s="31" t="s">
        <v>2655</v>
      </c>
      <c r="C99" s="31">
        <v>30.0</v>
      </c>
      <c r="D99" s="31" t="s">
        <v>2656</v>
      </c>
      <c r="E99" s="31" t="s">
        <v>2657</v>
      </c>
      <c r="F99" s="31" t="s">
        <v>13</v>
      </c>
      <c r="G99" s="31" t="s">
        <v>13</v>
      </c>
    </row>
    <row r="100" ht="15.75" customHeight="1">
      <c r="A100" s="30">
        <v>98.0</v>
      </c>
      <c r="B100" s="31" t="s">
        <v>2658</v>
      </c>
      <c r="C100" s="31">
        <v>47.0</v>
      </c>
      <c r="D100" s="31" t="s">
        <v>2659</v>
      </c>
      <c r="E100" s="31" t="s">
        <v>2660</v>
      </c>
      <c r="F100" s="31" t="s">
        <v>13</v>
      </c>
      <c r="G100" s="31" t="s">
        <v>2449</v>
      </c>
    </row>
    <row r="101" ht="15.75" customHeight="1">
      <c r="A101" s="30">
        <v>99.0</v>
      </c>
      <c r="B101" s="31" t="s">
        <v>2661</v>
      </c>
      <c r="C101" s="31">
        <v>14.0</v>
      </c>
      <c r="D101" s="31" t="s">
        <v>2662</v>
      </c>
      <c r="E101" s="31" t="s">
        <v>2663</v>
      </c>
      <c r="F101" s="31" t="s">
        <v>13</v>
      </c>
      <c r="G101" s="31" t="s">
        <v>2449</v>
      </c>
    </row>
    <row r="102" ht="15.75" customHeight="1">
      <c r="A102" s="30">
        <v>100.0</v>
      </c>
      <c r="B102" s="31" t="s">
        <v>2664</v>
      </c>
      <c r="C102" s="31">
        <v>39.0</v>
      </c>
      <c r="D102" s="31" t="s">
        <v>2665</v>
      </c>
      <c r="E102" s="31" t="s">
        <v>2666</v>
      </c>
      <c r="F102" s="31" t="s">
        <v>13</v>
      </c>
      <c r="G102" s="31" t="s">
        <v>2449</v>
      </c>
    </row>
    <row r="103">
      <c r="A103" s="30">
        <v>101.0</v>
      </c>
      <c r="B103" s="84" t="s">
        <v>4525</v>
      </c>
      <c r="C103" s="85">
        <v>72.0</v>
      </c>
      <c r="D103" s="85">
        <v>5343446.0</v>
      </c>
      <c r="E103" s="86"/>
      <c r="F103" s="85" t="s">
        <v>4526</v>
      </c>
      <c r="G103" s="84" t="s">
        <v>2449</v>
      </c>
    </row>
    <row r="104">
      <c r="A104" s="30">
        <v>102.0</v>
      </c>
      <c r="B104" s="87" t="s">
        <v>4527</v>
      </c>
      <c r="C104" s="88">
        <v>50.0</v>
      </c>
      <c r="D104" s="88">
        <v>1.2882457E7</v>
      </c>
      <c r="E104" s="89"/>
      <c r="F104" s="88" t="s">
        <v>4528</v>
      </c>
      <c r="G104" s="87" t="s">
        <v>2449</v>
      </c>
    </row>
    <row r="105">
      <c r="A105" s="30">
        <v>103.0</v>
      </c>
      <c r="B105" s="84" t="s">
        <v>4529</v>
      </c>
      <c r="C105" s="85">
        <v>57.0</v>
      </c>
      <c r="D105" s="85">
        <v>1.0513576E7</v>
      </c>
      <c r="E105" s="86"/>
      <c r="F105" s="85" t="s">
        <v>4530</v>
      </c>
      <c r="G105" s="84" t="s">
        <v>2449</v>
      </c>
    </row>
    <row r="106">
      <c r="A106" s="30">
        <v>104.0</v>
      </c>
      <c r="B106" s="87" t="s">
        <v>4531</v>
      </c>
      <c r="C106" s="88">
        <v>30.0</v>
      </c>
      <c r="D106" s="88">
        <v>2.2513789E7</v>
      </c>
      <c r="E106" s="89"/>
      <c r="F106" s="88" t="s">
        <v>4532</v>
      </c>
      <c r="G106" s="87" t="s">
        <v>2449</v>
      </c>
    </row>
    <row r="107">
      <c r="A107" s="30">
        <v>105.0</v>
      </c>
      <c r="B107" s="84" t="s">
        <v>4533</v>
      </c>
      <c r="C107" s="85">
        <v>39.0</v>
      </c>
      <c r="D107" s="85">
        <v>1.8714233E7</v>
      </c>
      <c r="E107" s="86"/>
      <c r="F107" s="85" t="s">
        <v>972</v>
      </c>
      <c r="G107" s="84" t="s">
        <v>2449</v>
      </c>
    </row>
    <row r="108">
      <c r="A108" s="30">
        <v>106.0</v>
      </c>
      <c r="B108" s="87" t="s">
        <v>4534</v>
      </c>
      <c r="C108" s="88">
        <v>31.0</v>
      </c>
      <c r="D108" s="88">
        <v>2.5304211E7</v>
      </c>
      <c r="E108" s="89"/>
      <c r="F108" s="88" t="s">
        <v>4535</v>
      </c>
      <c r="G108" s="87" t="s">
        <v>2449</v>
      </c>
    </row>
    <row r="109">
      <c r="A109" s="30">
        <v>107.0</v>
      </c>
      <c r="B109" s="84" t="s">
        <v>4536</v>
      </c>
      <c r="C109" s="85">
        <v>17.0</v>
      </c>
      <c r="D109" s="85">
        <v>3.6085467E7</v>
      </c>
      <c r="E109" s="86"/>
      <c r="F109" s="85" t="s">
        <v>4537</v>
      </c>
      <c r="G109" s="84" t="s">
        <v>4538</v>
      </c>
    </row>
    <row r="110">
      <c r="A110" s="30">
        <v>108.0</v>
      </c>
      <c r="B110" s="87" t="s">
        <v>4539</v>
      </c>
      <c r="C110" s="88">
        <v>47.0</v>
      </c>
      <c r="D110" s="88">
        <v>1.3409559E7</v>
      </c>
      <c r="E110" s="89"/>
      <c r="F110" s="88" t="s">
        <v>4537</v>
      </c>
      <c r="G110" s="87" t="s">
        <v>4538</v>
      </c>
    </row>
    <row r="111">
      <c r="A111" s="30">
        <v>109.0</v>
      </c>
      <c r="B111" s="84" t="s">
        <v>4540</v>
      </c>
      <c r="C111" s="85">
        <v>66.0</v>
      </c>
      <c r="D111" s="85">
        <v>2072832.0</v>
      </c>
      <c r="E111" s="86"/>
      <c r="F111" s="85" t="s">
        <v>4541</v>
      </c>
      <c r="G111" s="84" t="s">
        <v>2449</v>
      </c>
    </row>
    <row r="112">
      <c r="A112" s="30">
        <v>110.0</v>
      </c>
      <c r="B112" s="87" t="s">
        <v>4542</v>
      </c>
      <c r="C112" s="88">
        <v>36.0</v>
      </c>
      <c r="D112" s="88">
        <v>1.8760841E7</v>
      </c>
      <c r="E112" s="89"/>
      <c r="F112" s="88" t="s">
        <v>330</v>
      </c>
      <c r="G112" s="87" t="s">
        <v>2449</v>
      </c>
    </row>
    <row r="113">
      <c r="A113" s="30">
        <v>111.0</v>
      </c>
      <c r="B113" s="84" t="s">
        <v>4543</v>
      </c>
      <c r="C113" s="85">
        <v>45.0</v>
      </c>
      <c r="D113" s="85">
        <v>1.5460603E7</v>
      </c>
      <c r="E113" s="86"/>
      <c r="F113" s="85" t="s">
        <v>4544</v>
      </c>
      <c r="G113" s="84" t="s">
        <v>2449</v>
      </c>
    </row>
    <row r="114">
      <c r="A114" s="30">
        <v>112.0</v>
      </c>
      <c r="B114" s="87" t="s">
        <v>4545</v>
      </c>
      <c r="C114" s="88">
        <v>35.0</v>
      </c>
      <c r="D114" s="88">
        <v>2.4140952E7</v>
      </c>
      <c r="E114" s="89"/>
      <c r="F114" s="88" t="s">
        <v>4546</v>
      </c>
      <c r="G114" s="87" t="s">
        <v>2449</v>
      </c>
    </row>
    <row r="115">
      <c r="A115" s="30">
        <v>113.0</v>
      </c>
      <c r="B115" s="84" t="s">
        <v>4547</v>
      </c>
      <c r="C115" s="85">
        <v>60.0</v>
      </c>
      <c r="D115" s="85">
        <v>1.023529E7</v>
      </c>
      <c r="E115" s="86"/>
      <c r="F115" s="85" t="s">
        <v>4548</v>
      </c>
      <c r="G115" s="84" t="s">
        <v>2449</v>
      </c>
    </row>
    <row r="116">
      <c r="A116" s="30">
        <v>114.0</v>
      </c>
      <c r="B116" s="87" t="s">
        <v>4549</v>
      </c>
      <c r="C116" s="88">
        <v>51.0</v>
      </c>
      <c r="D116" s="88">
        <v>1.2066889E7</v>
      </c>
      <c r="E116" s="89"/>
      <c r="F116" s="88" t="s">
        <v>4546</v>
      </c>
      <c r="G116" s="87" t="s">
        <v>2449</v>
      </c>
    </row>
    <row r="117">
      <c r="A117" s="30">
        <v>115.0</v>
      </c>
      <c r="B117" s="84" t="s">
        <v>4550</v>
      </c>
      <c r="C117" s="85">
        <v>32.0</v>
      </c>
      <c r="D117" s="85">
        <v>2.2316562E7</v>
      </c>
      <c r="E117" s="86"/>
      <c r="F117" s="85" t="s">
        <v>4551</v>
      </c>
      <c r="G117" s="84" t="s">
        <v>2449</v>
      </c>
    </row>
    <row r="118">
      <c r="A118" s="30">
        <v>116.0</v>
      </c>
      <c r="B118" s="87" t="s">
        <v>4552</v>
      </c>
      <c r="C118" s="88">
        <v>28.0</v>
      </c>
      <c r="D118" s="88">
        <v>2.6346745E7</v>
      </c>
      <c r="E118" s="89"/>
      <c r="F118" s="88" t="s">
        <v>4553</v>
      </c>
      <c r="G118" s="87" t="s">
        <v>2449</v>
      </c>
    </row>
    <row r="119">
      <c r="A119" s="30">
        <v>117.0</v>
      </c>
      <c r="B119" s="84" t="s">
        <v>4554</v>
      </c>
      <c r="C119" s="85">
        <v>29.0</v>
      </c>
      <c r="D119" s="85">
        <v>2.5846221E7</v>
      </c>
      <c r="E119" s="86"/>
      <c r="F119" s="85" t="s">
        <v>651</v>
      </c>
      <c r="G119" s="84" t="s">
        <v>2449</v>
      </c>
    </row>
    <row r="120">
      <c r="A120" s="30">
        <v>118.0</v>
      </c>
      <c r="B120" s="87" t="s">
        <v>4555</v>
      </c>
      <c r="C120" s="88">
        <v>59.0</v>
      </c>
      <c r="D120" s="88">
        <v>8418724.0</v>
      </c>
      <c r="E120" s="89"/>
      <c r="F120" s="88" t="s">
        <v>3908</v>
      </c>
      <c r="G120" s="87" t="s">
        <v>2449</v>
      </c>
    </row>
    <row r="121">
      <c r="A121" s="30">
        <v>119.0</v>
      </c>
      <c r="B121" s="84" t="s">
        <v>4556</v>
      </c>
      <c r="C121" s="85">
        <v>20.0</v>
      </c>
      <c r="D121" s="85">
        <v>3.1331652E7</v>
      </c>
      <c r="E121" s="86"/>
      <c r="F121" s="85" t="s">
        <v>4557</v>
      </c>
      <c r="G121" s="84" t="s">
        <v>2449</v>
      </c>
    </row>
    <row r="122">
      <c r="A122" s="30">
        <v>120.0</v>
      </c>
      <c r="B122" s="87" t="s">
        <v>4558</v>
      </c>
      <c r="C122" s="88">
        <v>17.0</v>
      </c>
      <c r="D122" s="88">
        <v>1.744395E7</v>
      </c>
      <c r="E122" s="89"/>
      <c r="F122" s="88" t="s">
        <v>3951</v>
      </c>
      <c r="G122" s="87" t="s">
        <v>2449</v>
      </c>
    </row>
    <row r="123">
      <c r="A123" s="30">
        <v>121.0</v>
      </c>
      <c r="B123" s="84" t="s">
        <v>4559</v>
      </c>
      <c r="C123" s="85">
        <v>67.0</v>
      </c>
      <c r="D123" s="85">
        <v>5424960.0</v>
      </c>
      <c r="E123" s="86"/>
      <c r="F123" s="85" t="s">
        <v>4560</v>
      </c>
      <c r="G123" s="84" t="s">
        <v>2449</v>
      </c>
    </row>
    <row r="124">
      <c r="A124" s="30">
        <v>122.0</v>
      </c>
      <c r="B124" s="87" t="s">
        <v>4561</v>
      </c>
      <c r="C124" s="88">
        <v>22.0</v>
      </c>
      <c r="D124" s="88">
        <v>3.0334666E7</v>
      </c>
      <c r="E124" s="89"/>
      <c r="F124" s="88" t="s">
        <v>4526</v>
      </c>
      <c r="G124" s="87" t="s">
        <v>2449</v>
      </c>
    </row>
    <row r="125">
      <c r="A125" s="30">
        <v>123.0</v>
      </c>
      <c r="B125" s="84" t="s">
        <v>4562</v>
      </c>
      <c r="C125" s="85">
        <v>80.0</v>
      </c>
      <c r="D125" s="85">
        <v>4029093.0</v>
      </c>
      <c r="E125" s="86"/>
      <c r="F125" s="85" t="s">
        <v>4563</v>
      </c>
      <c r="G125" s="84" t="s">
        <v>2449</v>
      </c>
    </row>
    <row r="126">
      <c r="A126" s="30">
        <v>124.0</v>
      </c>
      <c r="B126" s="87" t="s">
        <v>4564</v>
      </c>
      <c r="C126" s="88">
        <v>65.0</v>
      </c>
      <c r="D126" s="88">
        <v>6482918.0</v>
      </c>
      <c r="E126" s="89"/>
      <c r="F126" s="88" t="s">
        <v>3951</v>
      </c>
      <c r="G126" s="87" t="s">
        <v>2449</v>
      </c>
    </row>
    <row r="127">
      <c r="A127" s="30">
        <v>125.0</v>
      </c>
      <c r="B127" s="84" t="s">
        <v>4565</v>
      </c>
      <c r="C127" s="85">
        <v>47.0</v>
      </c>
      <c r="D127" s="85">
        <v>1.5800038E7</v>
      </c>
      <c r="E127" s="86"/>
      <c r="F127" s="85" t="s">
        <v>4566</v>
      </c>
      <c r="G127" s="84" t="s">
        <v>2449</v>
      </c>
    </row>
    <row r="128">
      <c r="A128" s="30">
        <v>126.0</v>
      </c>
      <c r="B128" s="87" t="s">
        <v>4567</v>
      </c>
      <c r="C128" s="88">
        <v>39.0</v>
      </c>
      <c r="D128" s="88">
        <v>1.8042519E7</v>
      </c>
      <c r="E128" s="89"/>
      <c r="F128" s="88" t="s">
        <v>980</v>
      </c>
      <c r="G128" s="87" t="s">
        <v>2449</v>
      </c>
    </row>
    <row r="129">
      <c r="A129" s="30">
        <v>127.0</v>
      </c>
      <c r="B129" s="84" t="s">
        <v>4568</v>
      </c>
      <c r="C129" s="85">
        <v>26.0</v>
      </c>
      <c r="D129" s="85">
        <v>2.8136168E7</v>
      </c>
      <c r="E129" s="86"/>
      <c r="F129" s="85" t="s">
        <v>330</v>
      </c>
      <c r="G129" s="84" t="s">
        <v>2449</v>
      </c>
    </row>
    <row r="130">
      <c r="A130" s="30">
        <v>128.0</v>
      </c>
      <c r="B130" s="87" t="s">
        <v>4569</v>
      </c>
      <c r="C130" s="88">
        <v>30.0</v>
      </c>
      <c r="D130" s="88">
        <v>2.5000118E7</v>
      </c>
      <c r="E130" s="89"/>
      <c r="F130" s="88" t="s">
        <v>3951</v>
      </c>
      <c r="G130" s="87" t="s">
        <v>2449</v>
      </c>
    </row>
    <row r="131">
      <c r="A131" s="30">
        <v>129.0</v>
      </c>
      <c r="B131" s="84" t="s">
        <v>4570</v>
      </c>
      <c r="C131" s="85">
        <v>19.0</v>
      </c>
      <c r="D131" s="85">
        <v>3.2320251E7</v>
      </c>
      <c r="E131" s="86"/>
      <c r="F131" s="85" t="s">
        <v>4571</v>
      </c>
      <c r="G131" s="84" t="s">
        <v>2449</v>
      </c>
    </row>
    <row r="132">
      <c r="A132" s="30">
        <v>130.0</v>
      </c>
      <c r="B132" s="87" t="s">
        <v>4572</v>
      </c>
      <c r="C132" s="88">
        <v>68.0</v>
      </c>
      <c r="D132" s="88">
        <v>3405970.0</v>
      </c>
      <c r="E132" s="89"/>
      <c r="F132" s="88" t="s">
        <v>330</v>
      </c>
      <c r="G132" s="87" t="s">
        <v>2449</v>
      </c>
    </row>
    <row r="133">
      <c r="A133" s="30">
        <v>131.0</v>
      </c>
      <c r="B133" s="84" t="s">
        <v>4573</v>
      </c>
      <c r="C133" s="85">
        <v>27.0</v>
      </c>
      <c r="D133" s="85">
        <v>2.6938811E7</v>
      </c>
      <c r="E133" s="86"/>
      <c r="F133" s="85" t="s">
        <v>330</v>
      </c>
      <c r="G133" s="84" t="s">
        <v>2449</v>
      </c>
    </row>
    <row r="134">
      <c r="A134" s="30">
        <v>132.0</v>
      </c>
      <c r="B134" s="87" t="s">
        <v>4574</v>
      </c>
      <c r="C134" s="88">
        <v>44.0</v>
      </c>
      <c r="D134" s="88">
        <v>8.358411E7</v>
      </c>
      <c r="E134" s="89"/>
      <c r="F134" s="88" t="s">
        <v>330</v>
      </c>
      <c r="G134" s="87" t="s">
        <v>2449</v>
      </c>
    </row>
    <row r="135">
      <c r="A135" s="30">
        <v>133.0</v>
      </c>
      <c r="B135" s="84" t="s">
        <v>4575</v>
      </c>
      <c r="C135" s="85">
        <v>25.0</v>
      </c>
      <c r="D135" s="85">
        <v>2.8312526E7</v>
      </c>
      <c r="E135" s="86"/>
      <c r="F135" s="85" t="s">
        <v>330</v>
      </c>
      <c r="G135" s="84" t="s">
        <v>2449</v>
      </c>
    </row>
    <row r="136">
      <c r="A136" s="30">
        <v>134.0</v>
      </c>
      <c r="B136" s="87" t="s">
        <v>4576</v>
      </c>
      <c r="C136" s="88">
        <v>47.0</v>
      </c>
      <c r="D136" s="88">
        <v>8.229616E7</v>
      </c>
      <c r="E136" s="89"/>
      <c r="F136" s="88" t="s">
        <v>330</v>
      </c>
      <c r="G136" s="87" t="s">
        <v>2449</v>
      </c>
    </row>
    <row r="137">
      <c r="A137" s="30">
        <v>135.0</v>
      </c>
      <c r="B137" s="84" t="s">
        <v>4577</v>
      </c>
      <c r="C137" s="85">
        <v>28.0</v>
      </c>
      <c r="D137" s="85">
        <v>2.6063002E7</v>
      </c>
      <c r="E137" s="86"/>
      <c r="F137" s="85" t="s">
        <v>330</v>
      </c>
      <c r="G137" s="84" t="s">
        <v>2449</v>
      </c>
    </row>
    <row r="138">
      <c r="A138" s="30">
        <v>136.0</v>
      </c>
      <c r="B138" s="87" t="s">
        <v>4578</v>
      </c>
      <c r="C138" s="88">
        <v>14.0</v>
      </c>
      <c r="D138" s="88">
        <v>3.6533334E7</v>
      </c>
      <c r="E138" s="89"/>
      <c r="F138" s="88" t="s">
        <v>330</v>
      </c>
      <c r="G138" s="87" t="s">
        <v>2449</v>
      </c>
    </row>
    <row r="139">
      <c r="A139" s="30">
        <v>137.0</v>
      </c>
      <c r="B139" s="84" t="s">
        <v>4579</v>
      </c>
      <c r="C139" s="85">
        <v>13.0</v>
      </c>
      <c r="D139" s="85">
        <v>3.6192938E7</v>
      </c>
      <c r="E139" s="86"/>
      <c r="F139" s="85" t="s">
        <v>330</v>
      </c>
      <c r="G139" s="84" t="s">
        <v>2449</v>
      </c>
    </row>
    <row r="140">
      <c r="A140" s="30">
        <v>138.0</v>
      </c>
      <c r="B140" s="87" t="s">
        <v>4580</v>
      </c>
      <c r="C140" s="88">
        <v>18.0</v>
      </c>
      <c r="D140" s="88">
        <v>3.32730475E8</v>
      </c>
      <c r="E140" s="89"/>
      <c r="F140" s="88" t="s">
        <v>330</v>
      </c>
      <c r="G140" s="87" t="s">
        <v>2449</v>
      </c>
    </row>
    <row r="141">
      <c r="A141" s="30">
        <v>139.0</v>
      </c>
      <c r="B141" s="84" t="s">
        <v>4581</v>
      </c>
      <c r="C141" s="85">
        <v>45.0</v>
      </c>
      <c r="D141" s="85">
        <v>1.5335705E7</v>
      </c>
      <c r="E141" s="86"/>
      <c r="F141" s="85" t="s">
        <v>330</v>
      </c>
      <c r="G141" s="84" t="s">
        <v>2449</v>
      </c>
    </row>
    <row r="142">
      <c r="A142" s="30">
        <v>140.0</v>
      </c>
      <c r="B142" s="87" t="s">
        <v>4582</v>
      </c>
      <c r="C142" s="88">
        <v>55.0</v>
      </c>
      <c r="D142" s="88">
        <v>1.1061147E7</v>
      </c>
      <c r="E142" s="89"/>
      <c r="F142" s="88" t="s">
        <v>330</v>
      </c>
      <c r="G142" s="87" t="s">
        <v>2449</v>
      </c>
    </row>
    <row r="143">
      <c r="A143" s="30">
        <v>141.0</v>
      </c>
      <c r="B143" s="84" t="s">
        <v>4583</v>
      </c>
      <c r="C143" s="85">
        <v>70.0</v>
      </c>
      <c r="D143" s="85">
        <v>6045349.0</v>
      </c>
      <c r="E143" s="86"/>
      <c r="F143" s="85" t="s">
        <v>330</v>
      </c>
      <c r="G143" s="84" t="s">
        <v>2449</v>
      </c>
    </row>
    <row r="144">
      <c r="A144" s="30">
        <v>142.0</v>
      </c>
      <c r="B144" s="87" t="s">
        <v>4584</v>
      </c>
      <c r="C144" s="88">
        <v>53.0</v>
      </c>
      <c r="D144" s="88">
        <v>1.1635518E7</v>
      </c>
      <c r="E144" s="89"/>
      <c r="F144" s="88" t="s">
        <v>330</v>
      </c>
      <c r="G144" s="87" t="s">
        <v>2449</v>
      </c>
    </row>
    <row r="145">
      <c r="A145" s="30">
        <v>143.0</v>
      </c>
      <c r="B145" s="84" t="s">
        <v>4585</v>
      </c>
      <c r="C145" s="85">
        <v>52.0</v>
      </c>
      <c r="D145" s="85">
        <v>1.1639511E7</v>
      </c>
      <c r="E145" s="86"/>
      <c r="F145" s="85" t="s">
        <v>330</v>
      </c>
      <c r="G145" s="84" t="s">
        <v>2449</v>
      </c>
    </row>
    <row r="146">
      <c r="A146" s="30">
        <v>144.0</v>
      </c>
      <c r="B146" s="87" t="s">
        <v>4586</v>
      </c>
      <c r="C146" s="88">
        <v>18.0</v>
      </c>
      <c r="D146" s="88">
        <v>3344528.0</v>
      </c>
      <c r="E146" s="89"/>
      <c r="F146" s="88" t="s">
        <v>330</v>
      </c>
      <c r="G146" s="87" t="s">
        <v>2449</v>
      </c>
    </row>
    <row r="147">
      <c r="A147" s="30">
        <v>145.0</v>
      </c>
      <c r="B147" s="84" t="s">
        <v>4587</v>
      </c>
      <c r="C147" s="85">
        <v>79.0</v>
      </c>
      <c r="D147" s="85">
        <v>2900166.0</v>
      </c>
      <c r="E147" s="86"/>
      <c r="F147" s="85" t="s">
        <v>330</v>
      </c>
      <c r="G147" s="84" t="s">
        <v>2449</v>
      </c>
    </row>
    <row r="148">
      <c r="A148" s="30">
        <v>146.0</v>
      </c>
      <c r="B148" s="87" t="s">
        <v>4588</v>
      </c>
      <c r="C148" s="88">
        <v>6.0</v>
      </c>
      <c r="D148" s="88">
        <v>1.6106829E7</v>
      </c>
      <c r="E148" s="89"/>
      <c r="F148" s="88" t="s">
        <v>330</v>
      </c>
      <c r="G148" s="87" t="s">
        <v>2449</v>
      </c>
    </row>
    <row r="149">
      <c r="A149" s="30">
        <v>147.0</v>
      </c>
      <c r="B149" s="84" t="s">
        <v>4589</v>
      </c>
      <c r="C149" s="85">
        <v>35.0</v>
      </c>
      <c r="D149" s="85">
        <v>2.0568419E7</v>
      </c>
      <c r="E149" s="86"/>
      <c r="F149" s="85" t="s">
        <v>330</v>
      </c>
      <c r="G149" s="84" t="s">
        <v>2449</v>
      </c>
    </row>
    <row r="150">
      <c r="A150" s="30">
        <v>148.0</v>
      </c>
      <c r="B150" s="87" t="s">
        <v>4590</v>
      </c>
      <c r="C150" s="88">
        <v>46.0</v>
      </c>
      <c r="D150" s="88">
        <v>1.4556746E7</v>
      </c>
      <c r="E150" s="89"/>
      <c r="F150" s="88" t="s">
        <v>330</v>
      </c>
      <c r="G150" s="87" t="s">
        <v>2449</v>
      </c>
    </row>
    <row r="151">
      <c r="A151" s="30">
        <v>149.0</v>
      </c>
      <c r="B151" s="84" t="s">
        <v>4591</v>
      </c>
      <c r="C151" s="85">
        <v>80.0</v>
      </c>
      <c r="D151" s="85">
        <v>1.1926425E7</v>
      </c>
      <c r="E151" s="86"/>
      <c r="F151" s="85" t="s">
        <v>4528</v>
      </c>
      <c r="G151" s="84" t="s">
        <v>2449</v>
      </c>
    </row>
    <row r="152">
      <c r="A152" s="30">
        <v>150.0</v>
      </c>
      <c r="B152" s="87" t="s">
        <v>4592</v>
      </c>
      <c r="C152" s="88">
        <v>18.0</v>
      </c>
      <c r="D152" s="88">
        <v>3.2111714E7</v>
      </c>
      <c r="E152" s="89"/>
      <c r="F152" s="88" t="s">
        <v>4528</v>
      </c>
      <c r="G152" s="87" t="s">
        <v>2449</v>
      </c>
    </row>
    <row r="153">
      <c r="A153" s="30">
        <v>151.0</v>
      </c>
      <c r="B153" s="84" t="s">
        <v>4593</v>
      </c>
      <c r="C153" s="85">
        <v>20.0</v>
      </c>
      <c r="D153" s="85">
        <v>3.107385E7</v>
      </c>
      <c r="E153" s="86"/>
      <c r="F153" s="85" t="s">
        <v>4594</v>
      </c>
      <c r="G153" s="84" t="s">
        <v>2449</v>
      </c>
    </row>
    <row r="154">
      <c r="A154" s="30">
        <v>152.0</v>
      </c>
      <c r="B154" s="87" t="s">
        <v>4595</v>
      </c>
      <c r="C154" s="88">
        <v>40.0</v>
      </c>
      <c r="D154" s="88">
        <v>1.6310437E7</v>
      </c>
      <c r="E154" s="89"/>
      <c r="F154" s="88" t="s">
        <v>330</v>
      </c>
      <c r="G154" s="87" t="s">
        <v>4538</v>
      </c>
    </row>
    <row r="155">
      <c r="A155" s="30">
        <v>153.0</v>
      </c>
      <c r="B155" s="84" t="s">
        <v>4596</v>
      </c>
      <c r="C155" s="85">
        <v>47.0</v>
      </c>
      <c r="D155" s="85">
        <v>1.3999719E7</v>
      </c>
      <c r="E155" s="86"/>
      <c r="F155" s="85" t="s">
        <v>330</v>
      </c>
      <c r="G155" s="84" t="s">
        <v>2449</v>
      </c>
    </row>
    <row r="156">
      <c r="A156" s="30">
        <v>154.0</v>
      </c>
      <c r="B156" s="87" t="s">
        <v>4597</v>
      </c>
      <c r="C156" s="88">
        <v>29.0</v>
      </c>
      <c r="D156" s="88">
        <v>1.1926425E7</v>
      </c>
      <c r="E156" s="89"/>
      <c r="F156" s="88" t="s">
        <v>330</v>
      </c>
      <c r="G156" s="87" t="s">
        <v>2449</v>
      </c>
    </row>
    <row r="157">
      <c r="A157" s="30">
        <v>155.0</v>
      </c>
      <c r="B157" s="84" t="s">
        <v>4598</v>
      </c>
      <c r="C157" s="85">
        <v>58.0</v>
      </c>
      <c r="D157" s="85">
        <v>3.2111714E7</v>
      </c>
      <c r="E157" s="86"/>
      <c r="F157" s="85" t="s">
        <v>1561</v>
      </c>
      <c r="G157" s="84" t="s">
        <v>2449</v>
      </c>
    </row>
    <row r="158">
      <c r="A158" s="30">
        <v>156.0</v>
      </c>
      <c r="B158" s="87" t="s">
        <v>4599</v>
      </c>
      <c r="C158" s="88">
        <v>76.0</v>
      </c>
      <c r="D158" s="88">
        <v>3806228.0</v>
      </c>
      <c r="E158" s="89"/>
      <c r="F158" s="88" t="s">
        <v>330</v>
      </c>
      <c r="G158" s="87" t="s">
        <v>2449</v>
      </c>
    </row>
    <row r="159">
      <c r="A159" s="30">
        <v>157.0</v>
      </c>
      <c r="B159" s="84" t="s">
        <v>4600</v>
      </c>
      <c r="C159" s="85">
        <v>46.0</v>
      </c>
      <c r="D159" s="85">
        <v>1.4073961E7</v>
      </c>
      <c r="E159" s="86"/>
      <c r="F159" s="85" t="s">
        <v>330</v>
      </c>
      <c r="G159" s="84" t="s">
        <v>2449</v>
      </c>
    </row>
    <row r="160">
      <c r="A160" s="30">
        <v>158.0</v>
      </c>
      <c r="B160" s="87" t="s">
        <v>4601</v>
      </c>
      <c r="C160" s="88">
        <v>11.0</v>
      </c>
      <c r="D160" s="88">
        <v>2.2034962E7</v>
      </c>
      <c r="E160" s="89"/>
      <c r="F160" s="88" t="s">
        <v>330</v>
      </c>
      <c r="G160" s="87" t="s">
        <v>2449</v>
      </c>
    </row>
    <row r="161">
      <c r="A161" s="30">
        <v>159.0</v>
      </c>
      <c r="B161" s="84" t="s">
        <v>4602</v>
      </c>
      <c r="C161" s="85">
        <v>44.0</v>
      </c>
      <c r="D161" s="85">
        <v>1.4955107E7</v>
      </c>
      <c r="E161" s="86"/>
      <c r="F161" s="85" t="s">
        <v>330</v>
      </c>
      <c r="G161" s="84" t="s">
        <v>2449</v>
      </c>
    </row>
    <row r="162">
      <c r="A162" s="30">
        <v>160.0</v>
      </c>
      <c r="B162" s="87" t="s">
        <v>4603</v>
      </c>
      <c r="C162" s="88">
        <v>11.0</v>
      </c>
      <c r="D162" s="88">
        <v>3.1656363E7</v>
      </c>
      <c r="E162" s="89"/>
      <c r="F162" s="88" t="s">
        <v>330</v>
      </c>
      <c r="G162" s="87" t="s">
        <v>2449</v>
      </c>
    </row>
    <row r="163">
      <c r="A163" s="30">
        <v>161.0</v>
      </c>
      <c r="B163" s="84" t="s">
        <v>4604</v>
      </c>
      <c r="C163" s="85">
        <v>43.0</v>
      </c>
      <c r="D163" s="85">
        <v>1.5844713E7</v>
      </c>
      <c r="E163" s="86"/>
      <c r="F163" s="85" t="s">
        <v>330</v>
      </c>
      <c r="G163" s="84" t="s">
        <v>2449</v>
      </c>
    </row>
    <row r="164">
      <c r="A164" s="30">
        <v>162.0</v>
      </c>
      <c r="B164" s="87" t="s">
        <v>4605</v>
      </c>
      <c r="C164" s="88">
        <v>46.0</v>
      </c>
      <c r="D164" s="88">
        <v>1.4213277E7</v>
      </c>
      <c r="E164" s="89"/>
      <c r="F164" s="88" t="s">
        <v>330</v>
      </c>
      <c r="G164" s="87" t="s">
        <v>2449</v>
      </c>
    </row>
    <row r="165">
      <c r="A165" s="30">
        <v>163.0</v>
      </c>
      <c r="B165" s="84" t="s">
        <v>4606</v>
      </c>
      <c r="C165" s="85">
        <v>88.0</v>
      </c>
      <c r="D165" s="85">
        <v>1.4299716E7</v>
      </c>
      <c r="E165" s="86"/>
      <c r="F165" s="85" t="s">
        <v>330</v>
      </c>
      <c r="G165" s="84" t="s">
        <v>2449</v>
      </c>
    </row>
    <row r="166">
      <c r="A166" s="30">
        <v>164.0</v>
      </c>
      <c r="B166" s="87" t="s">
        <v>4605</v>
      </c>
      <c r="C166" s="88">
        <v>64.0</v>
      </c>
      <c r="D166" s="88">
        <v>8471007.0</v>
      </c>
      <c r="E166" s="89"/>
      <c r="F166" s="88" t="s">
        <v>330</v>
      </c>
      <c r="G166" s="87" t="s">
        <v>2449</v>
      </c>
    </row>
    <row r="167">
      <c r="A167" s="30">
        <v>165.0</v>
      </c>
      <c r="B167" s="84" t="s">
        <v>4607</v>
      </c>
      <c r="C167" s="85">
        <v>18.0</v>
      </c>
      <c r="D167" s="85" t="s">
        <v>4608</v>
      </c>
      <c r="E167" s="86"/>
      <c r="F167" s="85" t="s">
        <v>330</v>
      </c>
      <c r="G167" s="84" t="s">
        <v>2449</v>
      </c>
    </row>
    <row r="168">
      <c r="A168" s="30">
        <v>166.0</v>
      </c>
      <c r="B168" s="87" t="s">
        <v>4609</v>
      </c>
      <c r="C168" s="88">
        <v>57.0</v>
      </c>
      <c r="D168" s="88">
        <v>1.0001561E7</v>
      </c>
      <c r="E168" s="89"/>
      <c r="F168" s="88" t="s">
        <v>330</v>
      </c>
      <c r="G168" s="87" t="s">
        <v>2449</v>
      </c>
    </row>
    <row r="169">
      <c r="A169" s="30">
        <v>167.0</v>
      </c>
      <c r="B169" s="84" t="s">
        <v>4610</v>
      </c>
      <c r="C169" s="85">
        <v>46.0</v>
      </c>
      <c r="D169" s="85">
        <v>1.5586408E7</v>
      </c>
      <c r="E169" s="86"/>
      <c r="F169" s="85" t="s">
        <v>330</v>
      </c>
      <c r="G169" s="84" t="s">
        <v>2449</v>
      </c>
    </row>
    <row r="170">
      <c r="A170" s="30">
        <v>168.0</v>
      </c>
      <c r="B170" s="87" t="s">
        <v>4611</v>
      </c>
      <c r="C170" s="88">
        <v>46.0</v>
      </c>
      <c r="D170" s="88">
        <v>1.4299523E7</v>
      </c>
      <c r="E170" s="89"/>
      <c r="F170" s="88" t="s">
        <v>330</v>
      </c>
      <c r="G170" s="87" t="s">
        <v>2449</v>
      </c>
    </row>
    <row r="171">
      <c r="A171" s="30">
        <v>169.0</v>
      </c>
      <c r="B171" s="84" t="s">
        <v>4612</v>
      </c>
      <c r="C171" s="85">
        <v>18.0</v>
      </c>
      <c r="D171" s="86"/>
      <c r="E171" s="86"/>
      <c r="F171" s="85" t="s">
        <v>330</v>
      </c>
      <c r="G171" s="84" t="s">
        <v>4613</v>
      </c>
    </row>
    <row r="172">
      <c r="A172" s="30">
        <v>170.0</v>
      </c>
      <c r="B172" s="87" t="s">
        <v>4614</v>
      </c>
      <c r="C172" s="88">
        <v>4.0</v>
      </c>
      <c r="D172" s="89"/>
      <c r="E172" s="89"/>
      <c r="F172" s="88" t="s">
        <v>330</v>
      </c>
      <c r="G172" s="87" t="s">
        <v>2754</v>
      </c>
    </row>
    <row r="173">
      <c r="A173" s="30">
        <v>171.0</v>
      </c>
      <c r="B173" s="84" t="s">
        <v>4615</v>
      </c>
      <c r="C173" s="85">
        <v>18.0</v>
      </c>
      <c r="D173" s="85">
        <v>3.2809709E7</v>
      </c>
      <c r="E173" s="86"/>
      <c r="F173" s="85" t="s">
        <v>330</v>
      </c>
      <c r="G173" s="84" t="s">
        <v>2754</v>
      </c>
    </row>
    <row r="174">
      <c r="A174" s="4"/>
      <c r="B174" s="4"/>
      <c r="C174" s="4"/>
      <c r="D174" s="4"/>
      <c r="E174" s="4"/>
      <c r="F174" s="4"/>
      <c r="G174" s="4"/>
    </row>
    <row r="175">
      <c r="A175" s="4"/>
      <c r="B175" s="4"/>
      <c r="C175" s="4"/>
      <c r="D175" s="4"/>
      <c r="E175" s="4"/>
      <c r="F175" s="4"/>
      <c r="G175" s="4"/>
    </row>
    <row r="176">
      <c r="A176" s="4"/>
      <c r="B176" s="4"/>
      <c r="C176" s="4"/>
      <c r="D176" s="4"/>
      <c r="E176" s="4"/>
      <c r="F176" s="4"/>
      <c r="G176" s="4"/>
    </row>
    <row r="177">
      <c r="A177" s="4"/>
      <c r="B177" s="4"/>
      <c r="C177" s="4"/>
      <c r="D177" s="4"/>
      <c r="E177" s="4"/>
      <c r="F177" s="4"/>
      <c r="G177" s="4"/>
    </row>
    <row r="178">
      <c r="A178" s="4"/>
      <c r="B178" s="4"/>
      <c r="C178" s="4"/>
      <c r="D178" s="4"/>
      <c r="E178" s="4"/>
      <c r="F178" s="4"/>
      <c r="G178" s="4"/>
    </row>
    <row r="179">
      <c r="A179" s="4"/>
      <c r="B179" s="4"/>
      <c r="C179" s="4"/>
      <c r="D179" s="4"/>
      <c r="E179" s="4"/>
      <c r="F179" s="4"/>
      <c r="G179" s="4"/>
    </row>
    <row r="180">
      <c r="A180" s="4"/>
      <c r="B180" s="4"/>
      <c r="C180" s="4"/>
      <c r="D180" s="4"/>
      <c r="E180" s="4"/>
      <c r="F180" s="4"/>
      <c r="G180" s="4"/>
    </row>
    <row r="181">
      <c r="A181" s="4"/>
      <c r="B181" s="4"/>
      <c r="C181" s="4"/>
      <c r="D181" s="4"/>
      <c r="E181" s="4"/>
      <c r="F181" s="4"/>
      <c r="G181" s="4"/>
    </row>
    <row r="182">
      <c r="A182" s="4"/>
      <c r="B182" s="4"/>
      <c r="C182" s="4"/>
      <c r="D182" s="4"/>
      <c r="E182" s="4"/>
      <c r="F182" s="4"/>
      <c r="G182" s="4"/>
    </row>
    <row r="183">
      <c r="A183" s="4"/>
      <c r="B183" s="4"/>
      <c r="C183" s="4"/>
      <c r="D183" s="4"/>
      <c r="E183" s="4"/>
      <c r="F183" s="4"/>
      <c r="G183" s="4"/>
    </row>
    <row r="184">
      <c r="A184" s="4"/>
      <c r="B184" s="4"/>
      <c r="C184" s="4"/>
      <c r="D184" s="4"/>
      <c r="E184" s="4"/>
      <c r="F184" s="4"/>
      <c r="G184" s="4"/>
    </row>
    <row r="185">
      <c r="A185" s="4"/>
      <c r="B185" s="4"/>
      <c r="C185" s="4"/>
      <c r="D185" s="4"/>
      <c r="E185" s="4"/>
      <c r="F185" s="4"/>
      <c r="G185" s="4"/>
    </row>
    <row r="186">
      <c r="A186" s="4"/>
      <c r="B186" s="4"/>
      <c r="C186" s="4"/>
      <c r="D186" s="4"/>
      <c r="E186" s="4"/>
      <c r="F186" s="4"/>
      <c r="G186" s="4"/>
    </row>
    <row r="187">
      <c r="A187" s="4"/>
      <c r="B187" s="4"/>
      <c r="C187" s="4"/>
      <c r="D187" s="4"/>
      <c r="E187" s="4"/>
      <c r="F187" s="4"/>
      <c r="G187" s="4"/>
    </row>
    <row r="188">
      <c r="A188" s="4"/>
      <c r="B188" s="4"/>
      <c r="C188" s="4"/>
      <c r="D188" s="4"/>
      <c r="E188" s="4"/>
      <c r="F188" s="4"/>
      <c r="G188" s="4"/>
    </row>
    <row r="189">
      <c r="A189" s="4"/>
      <c r="B189" s="4"/>
      <c r="C189" s="4"/>
      <c r="D189" s="4"/>
      <c r="E189" s="4"/>
      <c r="F189" s="4"/>
      <c r="G189" s="4"/>
    </row>
    <row r="190">
      <c r="A190" s="4"/>
      <c r="B190" s="4"/>
      <c r="C190" s="4"/>
      <c r="D190" s="4"/>
      <c r="E190" s="4"/>
      <c r="F190" s="4"/>
      <c r="G190" s="4"/>
    </row>
    <row r="191">
      <c r="A191" s="4"/>
      <c r="B191" s="4"/>
      <c r="C191" s="4"/>
      <c r="D191" s="4"/>
      <c r="E191" s="4"/>
      <c r="F191" s="4"/>
      <c r="G191" s="4"/>
    </row>
    <row r="192">
      <c r="A192" s="4"/>
      <c r="B192" s="4"/>
      <c r="C192" s="4"/>
      <c r="D192" s="4"/>
      <c r="E192" s="4"/>
      <c r="F192" s="4"/>
      <c r="G192" s="4"/>
    </row>
    <row r="193">
      <c r="A193" s="4"/>
      <c r="B193" s="4"/>
      <c r="C193" s="4"/>
      <c r="D193" s="4"/>
      <c r="E193" s="4"/>
      <c r="F193" s="4"/>
      <c r="G193" s="4"/>
    </row>
    <row r="194">
      <c r="A194" s="4"/>
      <c r="B194" s="4"/>
      <c r="C194" s="4"/>
      <c r="D194" s="4"/>
      <c r="E194" s="4"/>
      <c r="F194" s="4"/>
      <c r="G194" s="4"/>
    </row>
    <row r="195">
      <c r="A195" s="4"/>
      <c r="B195" s="4"/>
      <c r="C195" s="4"/>
      <c r="D195" s="4"/>
      <c r="E195" s="4"/>
      <c r="F195" s="4"/>
      <c r="G195" s="4"/>
    </row>
    <row r="196">
      <c r="A196" s="4"/>
      <c r="B196" s="4"/>
      <c r="C196" s="4"/>
      <c r="D196" s="4"/>
      <c r="E196" s="4"/>
      <c r="F196" s="4"/>
      <c r="G196" s="4"/>
    </row>
    <row r="197">
      <c r="A197" s="4"/>
      <c r="B197" s="4"/>
      <c r="C197" s="4"/>
      <c r="D197" s="4"/>
      <c r="E197" s="4"/>
      <c r="F197" s="4"/>
      <c r="G197" s="4"/>
    </row>
    <row r="198">
      <c r="A198" s="4"/>
      <c r="B198" s="4"/>
      <c r="C198" s="4"/>
      <c r="D198" s="4"/>
      <c r="E198" s="4"/>
      <c r="F198" s="4"/>
      <c r="G198" s="4"/>
    </row>
    <row r="199">
      <c r="A199" s="4"/>
      <c r="B199" s="4"/>
      <c r="C199" s="4"/>
      <c r="D199" s="4"/>
      <c r="E199" s="4"/>
      <c r="F199" s="4"/>
      <c r="G199" s="4"/>
    </row>
    <row r="200">
      <c r="A200" s="4"/>
      <c r="B200" s="4"/>
      <c r="C200" s="4"/>
      <c r="D200" s="4"/>
      <c r="E200" s="4"/>
      <c r="F200" s="4"/>
      <c r="G200" s="4"/>
    </row>
    <row r="201">
      <c r="A201" s="4"/>
      <c r="B201" s="4"/>
      <c r="C201" s="4"/>
      <c r="D201" s="4"/>
      <c r="E201" s="4"/>
      <c r="F201" s="4"/>
      <c r="G201" s="4"/>
    </row>
    <row r="202">
      <c r="A202" s="4"/>
      <c r="B202" s="4"/>
      <c r="C202" s="4"/>
      <c r="D202" s="4"/>
      <c r="E202" s="4"/>
      <c r="F202" s="4"/>
      <c r="G202" s="4"/>
    </row>
    <row r="203">
      <c r="A203" s="4"/>
      <c r="B203" s="4"/>
      <c r="C203" s="4"/>
      <c r="D203" s="4"/>
      <c r="E203" s="4"/>
      <c r="F203" s="4"/>
      <c r="G203" s="4"/>
    </row>
    <row r="204">
      <c r="A204" s="4"/>
      <c r="B204" s="4"/>
      <c r="C204" s="4"/>
      <c r="D204" s="4"/>
      <c r="E204" s="4"/>
      <c r="F204" s="4"/>
      <c r="G204" s="4"/>
    </row>
    <row r="205">
      <c r="A205" s="4"/>
      <c r="B205" s="4"/>
      <c r="C205" s="4"/>
      <c r="D205" s="4"/>
      <c r="E205" s="4"/>
      <c r="F205" s="4"/>
      <c r="G205" s="4"/>
    </row>
    <row r="206">
      <c r="A206" s="4"/>
      <c r="B206" s="4"/>
      <c r="C206" s="4"/>
      <c r="D206" s="4"/>
      <c r="E206" s="4"/>
      <c r="F206" s="4"/>
      <c r="G206" s="4"/>
    </row>
    <row r="207">
      <c r="A207" s="4"/>
      <c r="B207" s="4"/>
      <c r="C207" s="4"/>
      <c r="D207" s="4"/>
      <c r="E207" s="4"/>
      <c r="F207" s="4"/>
      <c r="G207" s="4"/>
    </row>
    <row r="208">
      <c r="A208" s="4"/>
      <c r="B208" s="4"/>
      <c r="C208" s="4"/>
      <c r="D208" s="4"/>
      <c r="E208" s="4"/>
      <c r="F208" s="4"/>
      <c r="G208" s="4"/>
    </row>
    <row r="209">
      <c r="A209" s="4"/>
      <c r="B209" s="4"/>
      <c r="C209" s="4"/>
      <c r="D209" s="4"/>
      <c r="E209" s="4"/>
      <c r="F209" s="4"/>
      <c r="G209" s="4"/>
    </row>
    <row r="210">
      <c r="A210" s="4"/>
      <c r="B210" s="4"/>
      <c r="C210" s="4"/>
      <c r="D210" s="4"/>
      <c r="E210" s="4"/>
      <c r="F210" s="4"/>
      <c r="G210" s="4"/>
    </row>
    <row r="211">
      <c r="A211" s="4"/>
      <c r="B211" s="4"/>
      <c r="C211" s="4"/>
      <c r="D211" s="4"/>
      <c r="E211" s="4"/>
      <c r="F211" s="4"/>
      <c r="G211" s="4"/>
    </row>
    <row r="212">
      <c r="A212" s="4"/>
      <c r="B212" s="4"/>
      <c r="C212" s="4"/>
      <c r="D212" s="4"/>
      <c r="E212" s="4"/>
      <c r="F212" s="4"/>
      <c r="G212" s="4"/>
    </row>
    <row r="213">
      <c r="A213" s="4"/>
      <c r="B213" s="4"/>
      <c r="C213" s="4"/>
      <c r="D213" s="4"/>
      <c r="E213" s="4"/>
      <c r="F213" s="4"/>
      <c r="G213" s="4"/>
    </row>
    <row r="214">
      <c r="A214" s="4"/>
      <c r="B214" s="4"/>
      <c r="C214" s="4"/>
      <c r="D214" s="4"/>
      <c r="E214" s="4"/>
      <c r="F214" s="4"/>
      <c r="G214" s="4"/>
    </row>
    <row r="215">
      <c r="A215" s="4"/>
      <c r="B215" s="4"/>
      <c r="C215" s="4"/>
      <c r="D215" s="4"/>
      <c r="E215" s="4"/>
      <c r="F215" s="4"/>
      <c r="G215" s="4"/>
    </row>
    <row r="216">
      <c r="A216" s="4"/>
      <c r="B216" s="4"/>
      <c r="C216" s="4"/>
      <c r="D216" s="4"/>
      <c r="E216" s="4"/>
      <c r="F216" s="4"/>
      <c r="G216" s="4"/>
    </row>
    <row r="217">
      <c r="A217" s="4"/>
      <c r="B217" s="4"/>
      <c r="C217" s="4"/>
      <c r="D217" s="4"/>
      <c r="E217" s="4"/>
      <c r="F217" s="4"/>
      <c r="G217" s="4"/>
    </row>
    <row r="218">
      <c r="A218" s="4"/>
      <c r="B218" s="4"/>
      <c r="C218" s="4"/>
      <c r="D218" s="4"/>
      <c r="E218" s="4"/>
      <c r="F218" s="4"/>
      <c r="G218" s="4"/>
    </row>
    <row r="219">
      <c r="A219" s="4"/>
      <c r="B219" s="4"/>
      <c r="C219" s="4"/>
      <c r="D219" s="4"/>
      <c r="E219" s="4"/>
      <c r="F219" s="4"/>
      <c r="G219" s="4"/>
    </row>
    <row r="220">
      <c r="A220" s="4"/>
      <c r="B220" s="4"/>
      <c r="C220" s="4"/>
      <c r="D220" s="4"/>
      <c r="E220" s="4"/>
      <c r="F220" s="4"/>
      <c r="G220" s="4"/>
    </row>
    <row r="221">
      <c r="A221" s="4"/>
      <c r="B221" s="4"/>
      <c r="C221" s="4"/>
      <c r="D221" s="4"/>
      <c r="E221" s="4"/>
      <c r="F221" s="4"/>
      <c r="G221" s="4"/>
    </row>
    <row r="222">
      <c r="A222" s="4"/>
      <c r="B222" s="4"/>
      <c r="C222" s="4"/>
      <c r="D222" s="4"/>
      <c r="E222" s="4"/>
      <c r="F222" s="4"/>
      <c r="G222" s="4"/>
    </row>
    <row r="223">
      <c r="A223" s="4"/>
      <c r="B223" s="4"/>
      <c r="C223" s="4"/>
      <c r="D223" s="4"/>
      <c r="E223" s="4"/>
      <c r="F223" s="4"/>
      <c r="G223" s="4"/>
    </row>
    <row r="224">
      <c r="A224" s="4"/>
      <c r="B224" s="4"/>
      <c r="C224" s="4"/>
      <c r="D224" s="4"/>
      <c r="E224" s="4"/>
      <c r="F224" s="4"/>
      <c r="G224" s="4"/>
    </row>
    <row r="225">
      <c r="A225" s="4"/>
      <c r="B225" s="4"/>
      <c r="C225" s="4"/>
      <c r="D225" s="4"/>
      <c r="E225" s="4"/>
      <c r="F225" s="4"/>
      <c r="G225" s="4"/>
    </row>
    <row r="226">
      <c r="A226" s="4"/>
      <c r="B226" s="4"/>
      <c r="C226" s="4"/>
      <c r="D226" s="4"/>
      <c r="E226" s="4"/>
      <c r="F226" s="4"/>
      <c r="G226" s="4"/>
    </row>
    <row r="227">
      <c r="A227" s="4"/>
      <c r="B227" s="4"/>
      <c r="C227" s="4"/>
      <c r="D227" s="4"/>
      <c r="E227" s="4"/>
      <c r="F227" s="4"/>
      <c r="G227" s="4"/>
    </row>
    <row r="228">
      <c r="A228" s="4"/>
      <c r="B228" s="4"/>
      <c r="C228" s="4"/>
      <c r="D228" s="4"/>
      <c r="E228" s="4"/>
      <c r="F228" s="4"/>
      <c r="G228" s="4"/>
    </row>
    <row r="229">
      <c r="A229" s="4"/>
      <c r="B229" s="4"/>
      <c r="C229" s="4"/>
      <c r="D229" s="4"/>
      <c r="E229" s="4"/>
      <c r="F229" s="4"/>
      <c r="G229" s="4"/>
    </row>
    <row r="230">
      <c r="A230" s="4"/>
      <c r="B230" s="4"/>
      <c r="C230" s="4"/>
      <c r="D230" s="4"/>
      <c r="E230" s="4"/>
      <c r="F230" s="4"/>
      <c r="G230" s="4"/>
    </row>
    <row r="231">
      <c r="A231" s="4"/>
      <c r="B231" s="4"/>
      <c r="C231" s="4"/>
      <c r="D231" s="4"/>
      <c r="E231" s="4"/>
      <c r="F231" s="4"/>
      <c r="G231" s="4"/>
    </row>
    <row r="232">
      <c r="A232" s="4"/>
      <c r="B232" s="4"/>
      <c r="C232" s="4"/>
      <c r="D232" s="4"/>
      <c r="E232" s="4"/>
      <c r="F232" s="4"/>
      <c r="G232" s="4"/>
    </row>
    <row r="233">
      <c r="A233" s="4"/>
      <c r="B233" s="4"/>
      <c r="C233" s="4"/>
      <c r="D233" s="4"/>
      <c r="E233" s="4"/>
      <c r="F233" s="4"/>
      <c r="G233" s="4"/>
    </row>
    <row r="234">
      <c r="A234" s="4"/>
      <c r="B234" s="4"/>
      <c r="C234" s="4"/>
      <c r="D234" s="4"/>
      <c r="E234" s="4"/>
      <c r="F234" s="4"/>
      <c r="G234" s="4"/>
    </row>
    <row r="235">
      <c r="A235" s="4"/>
      <c r="B235" s="4"/>
      <c r="C235" s="4"/>
      <c r="D235" s="4"/>
      <c r="E235" s="4"/>
      <c r="F235" s="4"/>
      <c r="G235" s="4"/>
    </row>
    <row r="236">
      <c r="A236" s="4"/>
      <c r="B236" s="4"/>
      <c r="C236" s="4"/>
      <c r="D236" s="4"/>
      <c r="E236" s="4"/>
      <c r="F236" s="4"/>
      <c r="G236" s="4"/>
    </row>
    <row r="237">
      <c r="A237" s="4"/>
      <c r="B237" s="4"/>
      <c r="C237" s="4"/>
      <c r="D237" s="4"/>
      <c r="E237" s="4"/>
      <c r="F237" s="4"/>
      <c r="G237" s="4"/>
    </row>
    <row r="238">
      <c r="A238" s="4"/>
      <c r="B238" s="4"/>
      <c r="C238" s="4"/>
      <c r="D238" s="4"/>
      <c r="E238" s="4"/>
      <c r="F238" s="4"/>
      <c r="G238" s="4"/>
    </row>
    <row r="239">
      <c r="A239" s="4"/>
      <c r="B239" s="4"/>
      <c r="C239" s="4"/>
      <c r="D239" s="4"/>
      <c r="E239" s="4"/>
      <c r="F239" s="4"/>
      <c r="G239" s="4"/>
    </row>
    <row r="240">
      <c r="A240" s="4"/>
      <c r="B240" s="4"/>
      <c r="C240" s="4"/>
      <c r="D240" s="4"/>
      <c r="E240" s="4"/>
      <c r="F240" s="4"/>
      <c r="G240" s="4"/>
    </row>
    <row r="241">
      <c r="A241" s="4"/>
      <c r="B241" s="4"/>
      <c r="C241" s="4"/>
      <c r="D241" s="4"/>
      <c r="E241" s="4"/>
      <c r="F241" s="4"/>
      <c r="G241" s="4"/>
    </row>
    <row r="242">
      <c r="A242" s="4"/>
      <c r="B242" s="4"/>
      <c r="C242" s="4"/>
      <c r="D242" s="4"/>
      <c r="E242" s="4"/>
      <c r="F242" s="4"/>
      <c r="G242" s="4"/>
    </row>
    <row r="243">
      <c r="A243" s="4"/>
      <c r="B243" s="4"/>
      <c r="C243" s="4"/>
      <c r="D243" s="4"/>
      <c r="E243" s="4"/>
      <c r="F243" s="4"/>
      <c r="G243" s="4"/>
    </row>
    <row r="244">
      <c r="A244" s="4"/>
      <c r="B244" s="4"/>
      <c r="C244" s="4"/>
      <c r="D244" s="4"/>
      <c r="E244" s="4"/>
      <c r="F244" s="4"/>
      <c r="G244" s="4"/>
    </row>
    <row r="245">
      <c r="A245" s="4"/>
      <c r="B245" s="4"/>
      <c r="C245" s="4"/>
      <c r="D245" s="4"/>
      <c r="E245" s="4"/>
      <c r="F245" s="4"/>
      <c r="G245" s="4"/>
    </row>
    <row r="246">
      <c r="A246" s="4"/>
      <c r="B246" s="4"/>
      <c r="C246" s="4"/>
      <c r="D246" s="4"/>
      <c r="E246" s="4"/>
      <c r="F246" s="4"/>
      <c r="G246" s="4"/>
    </row>
    <row r="247">
      <c r="A247" s="4"/>
      <c r="B247" s="4"/>
      <c r="C247" s="4"/>
      <c r="D247" s="4"/>
      <c r="E247" s="4"/>
      <c r="F247" s="4"/>
      <c r="G247" s="4"/>
    </row>
    <row r="248">
      <c r="A248" s="4"/>
      <c r="B248" s="4"/>
      <c r="C248" s="4"/>
      <c r="D248" s="4"/>
      <c r="E248" s="4"/>
      <c r="F248" s="4"/>
      <c r="G248" s="4"/>
    </row>
    <row r="249">
      <c r="A249" s="4"/>
      <c r="B249" s="4"/>
      <c r="C249" s="4"/>
      <c r="D249" s="4"/>
      <c r="E249" s="4"/>
      <c r="F249" s="4"/>
      <c r="G249" s="4"/>
    </row>
    <row r="250">
      <c r="A250" s="4"/>
      <c r="B250" s="4"/>
      <c r="C250" s="4"/>
      <c r="D250" s="4"/>
      <c r="E250" s="4"/>
      <c r="F250" s="4"/>
      <c r="G250" s="4"/>
    </row>
    <row r="251">
      <c r="A251" s="4"/>
      <c r="B251" s="4"/>
      <c r="C251" s="4"/>
      <c r="D251" s="4"/>
      <c r="E251" s="4"/>
      <c r="F251" s="4"/>
      <c r="G251" s="4"/>
    </row>
    <row r="252">
      <c r="A252" s="4"/>
      <c r="B252" s="4"/>
      <c r="C252" s="4"/>
      <c r="D252" s="4"/>
      <c r="E252" s="4"/>
      <c r="F252" s="4"/>
      <c r="G252" s="4"/>
    </row>
    <row r="253">
      <c r="A253" s="4"/>
      <c r="B253" s="4"/>
      <c r="C253" s="4"/>
      <c r="D253" s="4"/>
      <c r="E253" s="4"/>
      <c r="F253" s="4"/>
      <c r="G253" s="4"/>
    </row>
    <row r="254">
      <c r="A254" s="4"/>
      <c r="B254" s="4"/>
      <c r="C254" s="4"/>
      <c r="D254" s="4"/>
      <c r="E254" s="4"/>
      <c r="F254" s="4"/>
      <c r="G254" s="4"/>
    </row>
    <row r="255">
      <c r="A255" s="4"/>
      <c r="B255" s="4"/>
      <c r="C255" s="4"/>
      <c r="D255" s="4"/>
      <c r="E255" s="4"/>
      <c r="F255" s="4"/>
      <c r="G255" s="4"/>
    </row>
    <row r="256">
      <c r="A256" s="4"/>
      <c r="B256" s="4"/>
      <c r="C256" s="4"/>
      <c r="D256" s="4"/>
      <c r="E256" s="4"/>
      <c r="F256" s="4"/>
      <c r="G256" s="4"/>
    </row>
    <row r="257">
      <c r="A257" s="4"/>
      <c r="B257" s="4"/>
      <c r="C257" s="4"/>
      <c r="D257" s="4"/>
      <c r="E257" s="4"/>
      <c r="F257" s="4"/>
      <c r="G257" s="4"/>
    </row>
    <row r="258">
      <c r="A258" s="4"/>
      <c r="B258" s="4"/>
      <c r="C258" s="4"/>
      <c r="D258" s="4"/>
      <c r="E258" s="4"/>
      <c r="F258" s="4"/>
      <c r="G258" s="4"/>
    </row>
    <row r="259">
      <c r="A259" s="4"/>
      <c r="B259" s="4"/>
      <c r="C259" s="4"/>
      <c r="D259" s="4"/>
      <c r="E259" s="4"/>
      <c r="F259" s="4"/>
      <c r="G259" s="4"/>
    </row>
    <row r="260">
      <c r="A260" s="4"/>
      <c r="B260" s="4"/>
      <c r="C260" s="4"/>
      <c r="D260" s="4"/>
      <c r="E260" s="4"/>
      <c r="F260" s="4"/>
      <c r="G260" s="4"/>
    </row>
    <row r="261">
      <c r="A261" s="4"/>
      <c r="B261" s="4"/>
      <c r="C261" s="4"/>
      <c r="D261" s="4"/>
      <c r="E261" s="4"/>
      <c r="F261" s="4"/>
      <c r="G261" s="4"/>
    </row>
    <row r="262">
      <c r="A262" s="4"/>
      <c r="B262" s="4"/>
      <c r="C262" s="4"/>
      <c r="D262" s="4"/>
      <c r="E262" s="4"/>
      <c r="F262" s="4"/>
      <c r="G262" s="4"/>
    </row>
    <row r="263">
      <c r="A263" s="4"/>
      <c r="B263" s="4"/>
      <c r="C263" s="4"/>
      <c r="D263" s="4"/>
      <c r="E263" s="4"/>
      <c r="F263" s="4"/>
      <c r="G263" s="4"/>
    </row>
    <row r="264">
      <c r="A264" s="4"/>
      <c r="B264" s="4"/>
      <c r="C264" s="4"/>
      <c r="D264" s="4"/>
      <c r="E264" s="4"/>
      <c r="F264" s="4"/>
      <c r="G264" s="4"/>
    </row>
    <row r="265">
      <c r="A265" s="4"/>
      <c r="B265" s="4"/>
      <c r="C265" s="4"/>
      <c r="D265" s="4"/>
      <c r="E265" s="4"/>
      <c r="F265" s="4"/>
      <c r="G265" s="4"/>
    </row>
    <row r="266">
      <c r="A266" s="4"/>
      <c r="B266" s="4"/>
      <c r="C266" s="4"/>
      <c r="D266" s="4"/>
      <c r="E266" s="4"/>
      <c r="F266" s="4"/>
      <c r="G266" s="4"/>
    </row>
    <row r="267">
      <c r="A267" s="4"/>
      <c r="B267" s="4"/>
      <c r="C267" s="4"/>
      <c r="D267" s="4"/>
      <c r="E267" s="4"/>
      <c r="F267" s="4"/>
      <c r="G267" s="4"/>
    </row>
    <row r="268">
      <c r="A268" s="4"/>
      <c r="B268" s="4"/>
      <c r="C268" s="4"/>
      <c r="D268" s="4"/>
      <c r="E268" s="4"/>
      <c r="F268" s="4"/>
      <c r="G268" s="4"/>
    </row>
    <row r="269">
      <c r="A269" s="4"/>
      <c r="B269" s="4"/>
      <c r="C269" s="4"/>
      <c r="D269" s="4"/>
      <c r="E269" s="4"/>
      <c r="F269" s="4"/>
      <c r="G269" s="4"/>
    </row>
    <row r="270">
      <c r="A270" s="4"/>
      <c r="B270" s="4"/>
      <c r="C270" s="4"/>
      <c r="D270" s="4"/>
      <c r="E270" s="4"/>
      <c r="F270" s="4"/>
      <c r="G270" s="4"/>
    </row>
    <row r="271">
      <c r="A271" s="4"/>
      <c r="B271" s="4"/>
      <c r="C271" s="4"/>
      <c r="D271" s="4"/>
      <c r="E271" s="4"/>
      <c r="F271" s="4"/>
      <c r="G271" s="4"/>
    </row>
    <row r="272">
      <c r="A272" s="4"/>
      <c r="B272" s="4"/>
      <c r="C272" s="4"/>
      <c r="D272" s="4"/>
      <c r="E272" s="4"/>
      <c r="F272" s="4"/>
      <c r="G272" s="4"/>
    </row>
    <row r="273">
      <c r="A273" s="4"/>
      <c r="B273" s="4"/>
      <c r="C273" s="4"/>
      <c r="D273" s="4"/>
      <c r="E273" s="4"/>
      <c r="F273" s="4"/>
      <c r="G273" s="4"/>
    </row>
    <row r="274">
      <c r="A274" s="4"/>
      <c r="B274" s="4"/>
      <c r="C274" s="4"/>
      <c r="D274" s="4"/>
      <c r="E274" s="4"/>
      <c r="F274" s="4"/>
      <c r="G274" s="4"/>
    </row>
    <row r="275">
      <c r="A275" s="4"/>
      <c r="B275" s="4"/>
      <c r="C275" s="4"/>
      <c r="D275" s="4"/>
      <c r="E275" s="4"/>
      <c r="F275" s="4"/>
      <c r="G275" s="4"/>
    </row>
    <row r="276">
      <c r="A276" s="4"/>
      <c r="B276" s="4"/>
      <c r="C276" s="4"/>
      <c r="D276" s="4"/>
      <c r="E276" s="4"/>
      <c r="F276" s="4"/>
      <c r="G276" s="4"/>
    </row>
    <row r="277">
      <c r="A277" s="4"/>
      <c r="B277" s="4"/>
      <c r="C277" s="4"/>
      <c r="D277" s="4"/>
      <c r="E277" s="4"/>
      <c r="F277" s="4"/>
      <c r="G277" s="4"/>
    </row>
    <row r="278">
      <c r="A278" s="4"/>
      <c r="B278" s="4"/>
      <c r="C278" s="4"/>
      <c r="D278" s="4"/>
      <c r="E278" s="4"/>
      <c r="F278" s="4"/>
      <c r="G278" s="4"/>
    </row>
    <row r="279">
      <c r="A279" s="4"/>
      <c r="B279" s="4"/>
      <c r="C279" s="4"/>
      <c r="D279" s="4"/>
      <c r="E279" s="4"/>
      <c r="F279" s="4"/>
      <c r="G279" s="4"/>
    </row>
    <row r="280">
      <c r="A280" s="4"/>
      <c r="B280" s="4"/>
      <c r="C280" s="4"/>
      <c r="D280" s="4"/>
      <c r="E280" s="4"/>
      <c r="F280" s="4"/>
      <c r="G280" s="4"/>
    </row>
    <row r="281">
      <c r="A281" s="4"/>
      <c r="B281" s="4"/>
      <c r="C281" s="4"/>
      <c r="D281" s="4"/>
      <c r="E281" s="4"/>
      <c r="F281" s="4"/>
      <c r="G281" s="4"/>
    </row>
    <row r="282">
      <c r="A282" s="4"/>
      <c r="B282" s="4"/>
      <c r="C282" s="4"/>
      <c r="D282" s="4"/>
      <c r="E282" s="4"/>
      <c r="F282" s="4"/>
      <c r="G282" s="4"/>
    </row>
    <row r="283">
      <c r="A283" s="4"/>
      <c r="B283" s="4"/>
      <c r="C283" s="4"/>
      <c r="D283" s="4"/>
      <c r="E283" s="4"/>
      <c r="F283" s="4"/>
      <c r="G283" s="4"/>
    </row>
    <row r="284">
      <c r="A284" s="4"/>
      <c r="B284" s="4"/>
      <c r="C284" s="4"/>
      <c r="D284" s="4"/>
      <c r="E284" s="4"/>
      <c r="F284" s="4"/>
      <c r="G284" s="4"/>
    </row>
    <row r="285">
      <c r="A285" s="4"/>
      <c r="B285" s="4"/>
      <c r="C285" s="4"/>
      <c r="D285" s="4"/>
      <c r="E285" s="4"/>
      <c r="F285" s="4"/>
      <c r="G285" s="4"/>
    </row>
    <row r="286">
      <c r="A286" s="4"/>
      <c r="B286" s="4"/>
      <c r="C286" s="4"/>
      <c r="D286" s="4"/>
      <c r="E286" s="4"/>
      <c r="F286" s="4"/>
      <c r="G286" s="4"/>
    </row>
    <row r="287">
      <c r="A287" s="4"/>
      <c r="B287" s="4"/>
      <c r="C287" s="4"/>
      <c r="D287" s="4"/>
      <c r="E287" s="4"/>
      <c r="F287" s="4"/>
      <c r="G287" s="4"/>
    </row>
    <row r="288">
      <c r="A288" s="4"/>
      <c r="B288" s="4"/>
      <c r="C288" s="4"/>
      <c r="D288" s="4"/>
      <c r="E288" s="4"/>
      <c r="F288" s="4"/>
      <c r="G288" s="4"/>
    </row>
    <row r="289">
      <c r="A289" s="4"/>
      <c r="B289" s="4"/>
      <c r="C289" s="4"/>
      <c r="D289" s="4"/>
      <c r="E289" s="4"/>
      <c r="F289" s="4"/>
      <c r="G289" s="4"/>
    </row>
    <row r="290">
      <c r="A290" s="4"/>
      <c r="B290" s="4"/>
      <c r="C290" s="4"/>
      <c r="D290" s="4"/>
      <c r="E290" s="4"/>
      <c r="F290" s="4"/>
      <c r="G290" s="4"/>
    </row>
    <row r="291">
      <c r="A291" s="4"/>
      <c r="B291" s="4"/>
      <c r="C291" s="4"/>
      <c r="D291" s="4"/>
      <c r="E291" s="4"/>
      <c r="F291" s="4"/>
      <c r="G291" s="4"/>
    </row>
    <row r="292">
      <c r="A292" s="4"/>
      <c r="B292" s="4"/>
      <c r="C292" s="4"/>
      <c r="D292" s="4"/>
      <c r="E292" s="4"/>
      <c r="F292" s="4"/>
      <c r="G292" s="4"/>
    </row>
    <row r="293">
      <c r="A293" s="4"/>
      <c r="B293" s="4"/>
      <c r="C293" s="4"/>
      <c r="D293" s="4"/>
      <c r="E293" s="4"/>
      <c r="F293" s="4"/>
      <c r="G293" s="4"/>
    </row>
    <row r="294">
      <c r="A294" s="4"/>
      <c r="B294" s="4"/>
      <c r="C294" s="4"/>
      <c r="D294" s="4"/>
      <c r="E294" s="4"/>
      <c r="F294" s="4"/>
      <c r="G294" s="4"/>
    </row>
    <row r="295">
      <c r="A295" s="4"/>
      <c r="B295" s="4"/>
      <c r="C295" s="4"/>
      <c r="D295" s="4"/>
      <c r="E295" s="4"/>
      <c r="F295" s="4"/>
      <c r="G295" s="4"/>
    </row>
    <row r="296">
      <c r="A296" s="4"/>
      <c r="B296" s="4"/>
      <c r="C296" s="4"/>
      <c r="D296" s="4"/>
      <c r="E296" s="4"/>
      <c r="F296" s="4"/>
      <c r="G296" s="4"/>
    </row>
    <row r="297">
      <c r="A297" s="4"/>
      <c r="B297" s="4"/>
      <c r="C297" s="4"/>
      <c r="D297" s="4"/>
      <c r="E297" s="4"/>
      <c r="F297" s="4"/>
      <c r="G297" s="4"/>
    </row>
    <row r="298">
      <c r="A298" s="4"/>
      <c r="B298" s="4"/>
      <c r="C298" s="4"/>
      <c r="D298" s="4"/>
      <c r="E298" s="4"/>
      <c r="F298" s="4"/>
      <c r="G298" s="4"/>
    </row>
    <row r="299">
      <c r="A299" s="4"/>
      <c r="B299" s="4"/>
      <c r="C299" s="4"/>
      <c r="D299" s="4"/>
      <c r="E299" s="4"/>
      <c r="F299" s="4"/>
      <c r="G299" s="4"/>
    </row>
    <row r="300">
      <c r="A300" s="4"/>
      <c r="B300" s="4"/>
      <c r="C300" s="4"/>
      <c r="D300" s="4"/>
      <c r="E300" s="4"/>
      <c r="F300" s="4"/>
      <c r="G300" s="4"/>
    </row>
    <row r="301">
      <c r="A301" s="4"/>
      <c r="B301" s="4"/>
      <c r="C301" s="4"/>
      <c r="D301" s="4"/>
      <c r="E301" s="4"/>
      <c r="F301" s="4"/>
      <c r="G301" s="4"/>
    </row>
    <row r="302">
      <c r="A302" s="4"/>
      <c r="B302" s="4"/>
      <c r="C302" s="4"/>
      <c r="D302" s="4"/>
      <c r="E302" s="4"/>
      <c r="F302" s="4"/>
      <c r="G302" s="4"/>
    </row>
    <row r="303">
      <c r="A303" s="4"/>
      <c r="B303" s="4"/>
      <c r="C303" s="4"/>
      <c r="D303" s="4"/>
      <c r="E303" s="4"/>
      <c r="F303" s="4"/>
      <c r="G303" s="4"/>
    </row>
    <row r="304">
      <c r="A304" s="4"/>
      <c r="B304" s="4"/>
      <c r="C304" s="4"/>
      <c r="D304" s="4"/>
      <c r="E304" s="4"/>
      <c r="F304" s="4"/>
      <c r="G304" s="4"/>
    </row>
    <row r="305">
      <c r="A305" s="4"/>
      <c r="B305" s="4"/>
      <c r="C305" s="4"/>
      <c r="D305" s="4"/>
      <c r="E305" s="4"/>
      <c r="F305" s="4"/>
      <c r="G305" s="4"/>
    </row>
    <row r="306">
      <c r="A306" s="4"/>
      <c r="B306" s="4"/>
      <c r="C306" s="4"/>
      <c r="D306" s="4"/>
      <c r="E306" s="4"/>
      <c r="F306" s="4"/>
      <c r="G306" s="4"/>
    </row>
    <row r="307">
      <c r="A307" s="4"/>
      <c r="B307" s="4"/>
      <c r="C307" s="4"/>
      <c r="D307" s="4"/>
      <c r="E307" s="4"/>
      <c r="F307" s="4"/>
      <c r="G307" s="4"/>
    </row>
    <row r="308">
      <c r="A308" s="4"/>
      <c r="B308" s="4"/>
      <c r="C308" s="4"/>
      <c r="D308" s="4"/>
      <c r="E308" s="4"/>
      <c r="F308" s="4"/>
      <c r="G308" s="4"/>
    </row>
    <row r="309">
      <c r="A309" s="4"/>
      <c r="B309" s="4"/>
      <c r="C309" s="4"/>
      <c r="D309" s="4"/>
      <c r="E309" s="4"/>
      <c r="F309" s="4"/>
      <c r="G309" s="4"/>
    </row>
    <row r="310">
      <c r="A310" s="4"/>
      <c r="B310" s="4"/>
      <c r="C310" s="4"/>
      <c r="D310" s="4"/>
      <c r="E310" s="4"/>
      <c r="F310" s="4"/>
      <c r="G310" s="4"/>
    </row>
    <row r="311">
      <c r="A311" s="4"/>
      <c r="B311" s="4"/>
      <c r="C311" s="4"/>
      <c r="D311" s="4"/>
      <c r="E311" s="4"/>
      <c r="F311" s="4"/>
      <c r="G311" s="4"/>
    </row>
    <row r="312">
      <c r="A312" s="4"/>
      <c r="B312" s="4"/>
      <c r="C312" s="4"/>
      <c r="D312" s="4"/>
      <c r="E312" s="4"/>
      <c r="F312" s="4"/>
      <c r="G312" s="4"/>
    </row>
    <row r="313">
      <c r="A313" s="4"/>
      <c r="B313" s="4"/>
      <c r="C313" s="4"/>
      <c r="D313" s="4"/>
      <c r="E313" s="4"/>
      <c r="F313" s="4"/>
      <c r="G313" s="4"/>
    </row>
    <row r="314">
      <c r="A314" s="4"/>
      <c r="B314" s="4"/>
      <c r="C314" s="4"/>
      <c r="D314" s="4"/>
      <c r="E314" s="4"/>
      <c r="F314" s="4"/>
      <c r="G314" s="4"/>
    </row>
    <row r="315">
      <c r="A315" s="4"/>
      <c r="B315" s="4"/>
      <c r="C315" s="4"/>
      <c r="D315" s="4"/>
      <c r="E315" s="4"/>
      <c r="F315" s="4"/>
      <c r="G315" s="4"/>
    </row>
    <row r="316">
      <c r="A316" s="4"/>
      <c r="B316" s="4"/>
      <c r="C316" s="4"/>
      <c r="D316" s="4"/>
      <c r="E316" s="4"/>
      <c r="F316" s="4"/>
      <c r="G316" s="4"/>
    </row>
    <row r="317">
      <c r="A317" s="4"/>
      <c r="B317" s="4"/>
      <c r="C317" s="4"/>
      <c r="D317" s="4"/>
      <c r="E317" s="4"/>
      <c r="F317" s="4"/>
      <c r="G317" s="4"/>
    </row>
    <row r="318">
      <c r="A318" s="4"/>
      <c r="B318" s="4"/>
      <c r="C318" s="4"/>
      <c r="D318" s="4"/>
      <c r="E318" s="4"/>
      <c r="F318" s="4"/>
      <c r="G318" s="4"/>
    </row>
    <row r="319">
      <c r="A319" s="4"/>
      <c r="B319" s="4"/>
      <c r="C319" s="4"/>
      <c r="D319" s="4"/>
      <c r="E319" s="4"/>
      <c r="F319" s="4"/>
      <c r="G319" s="4"/>
    </row>
    <row r="320">
      <c r="A320" s="4"/>
      <c r="B320" s="4"/>
      <c r="C320" s="4"/>
      <c r="D320" s="4"/>
      <c r="E320" s="4"/>
      <c r="F320" s="4"/>
      <c r="G320" s="4"/>
    </row>
    <row r="321">
      <c r="A321" s="4"/>
      <c r="B321" s="4"/>
      <c r="C321" s="4"/>
      <c r="D321" s="4"/>
      <c r="E321" s="4"/>
      <c r="F321" s="4"/>
      <c r="G321" s="4"/>
    </row>
    <row r="322">
      <c r="A322" s="4"/>
      <c r="B322" s="4"/>
      <c r="C322" s="4"/>
      <c r="D322" s="4"/>
      <c r="E322" s="4"/>
      <c r="F322" s="4"/>
      <c r="G322" s="4"/>
    </row>
    <row r="323">
      <c r="A323" s="4"/>
      <c r="B323" s="4"/>
      <c r="C323" s="4"/>
      <c r="D323" s="4"/>
      <c r="E323" s="4"/>
      <c r="F323" s="4"/>
      <c r="G323" s="4"/>
    </row>
    <row r="324">
      <c r="A324" s="4"/>
      <c r="B324" s="4"/>
      <c r="C324" s="4"/>
      <c r="D324" s="4"/>
      <c r="E324" s="4"/>
      <c r="F324" s="4"/>
      <c r="G324" s="4"/>
    </row>
    <row r="325">
      <c r="A325" s="4"/>
      <c r="B325" s="4"/>
      <c r="C325" s="4"/>
      <c r="D325" s="4"/>
      <c r="E325" s="4"/>
      <c r="F325" s="4"/>
      <c r="G325" s="4"/>
    </row>
    <row r="326">
      <c r="A326" s="4"/>
      <c r="B326" s="4"/>
      <c r="C326" s="4"/>
      <c r="D326" s="4"/>
      <c r="E326" s="4"/>
      <c r="F326" s="4"/>
      <c r="G326" s="4"/>
    </row>
    <row r="327">
      <c r="A327" s="4"/>
      <c r="B327" s="4"/>
      <c r="C327" s="4"/>
      <c r="D327" s="4"/>
      <c r="E327" s="4"/>
      <c r="F327" s="4"/>
      <c r="G327" s="4"/>
    </row>
    <row r="328">
      <c r="A328" s="4"/>
      <c r="B328" s="4"/>
      <c r="C328" s="4"/>
      <c r="D328" s="4"/>
      <c r="E328" s="4"/>
      <c r="F328" s="4"/>
      <c r="G328" s="4"/>
    </row>
    <row r="329">
      <c r="A329" s="4"/>
      <c r="B329" s="4"/>
      <c r="C329" s="4"/>
      <c r="D329" s="4"/>
      <c r="E329" s="4"/>
      <c r="F329" s="4"/>
      <c r="G329" s="4"/>
    </row>
    <row r="330">
      <c r="A330" s="4"/>
      <c r="B330" s="4"/>
      <c r="C330" s="4"/>
      <c r="D330" s="4"/>
      <c r="E330" s="4"/>
      <c r="F330" s="4"/>
      <c r="G330" s="4"/>
    </row>
    <row r="331">
      <c r="A331" s="4"/>
      <c r="B331" s="4"/>
      <c r="C331" s="4"/>
      <c r="D331" s="4"/>
      <c r="E331" s="4"/>
      <c r="F331" s="4"/>
      <c r="G331" s="4"/>
    </row>
    <row r="332">
      <c r="A332" s="4"/>
      <c r="B332" s="4"/>
      <c r="C332" s="4"/>
      <c r="D332" s="4"/>
      <c r="E332" s="4"/>
      <c r="F332" s="4"/>
      <c r="G332" s="4"/>
    </row>
    <row r="333">
      <c r="A333" s="4"/>
      <c r="B333" s="4"/>
      <c r="C333" s="4"/>
      <c r="D333" s="4"/>
      <c r="E333" s="4"/>
      <c r="F333" s="4"/>
      <c r="G333" s="4"/>
    </row>
    <row r="334">
      <c r="A334" s="4"/>
      <c r="B334" s="4"/>
      <c r="C334" s="4"/>
      <c r="D334" s="4"/>
      <c r="E334" s="4"/>
      <c r="F334" s="4"/>
      <c r="G334" s="4"/>
    </row>
    <row r="335">
      <c r="A335" s="4"/>
      <c r="B335" s="4"/>
      <c r="C335" s="4"/>
      <c r="D335" s="4"/>
      <c r="E335" s="4"/>
      <c r="F335" s="4"/>
      <c r="G335" s="4"/>
    </row>
    <row r="336">
      <c r="A336" s="4"/>
      <c r="B336" s="4"/>
      <c r="C336" s="4"/>
      <c r="D336" s="4"/>
      <c r="E336" s="4"/>
      <c r="F336" s="4"/>
      <c r="G336" s="4"/>
    </row>
    <row r="337">
      <c r="A337" s="4"/>
      <c r="B337" s="4"/>
      <c r="C337" s="4"/>
      <c r="D337" s="4"/>
      <c r="E337" s="4"/>
      <c r="F337" s="4"/>
      <c r="G337" s="4"/>
    </row>
    <row r="338">
      <c r="A338" s="4"/>
      <c r="B338" s="4"/>
      <c r="C338" s="4"/>
      <c r="D338" s="4"/>
      <c r="E338" s="4"/>
      <c r="F338" s="4"/>
      <c r="G338" s="4"/>
    </row>
    <row r="339">
      <c r="A339" s="4"/>
      <c r="B339" s="4"/>
      <c r="C339" s="4"/>
      <c r="D339" s="4"/>
      <c r="E339" s="4"/>
      <c r="F339" s="4"/>
      <c r="G339" s="4"/>
    </row>
    <row r="340">
      <c r="A340" s="4"/>
      <c r="B340" s="4"/>
      <c r="C340" s="4"/>
      <c r="D340" s="4"/>
      <c r="E340" s="4"/>
      <c r="F340" s="4"/>
      <c r="G340" s="4"/>
    </row>
    <row r="341">
      <c r="A341" s="4"/>
      <c r="B341" s="4"/>
      <c r="C341" s="4"/>
      <c r="D341" s="4"/>
      <c r="E341" s="4"/>
      <c r="F341" s="4"/>
      <c r="G341" s="4"/>
    </row>
    <row r="342">
      <c r="A342" s="4"/>
      <c r="B342" s="4"/>
      <c r="C342" s="4"/>
      <c r="D342" s="4"/>
      <c r="E342" s="4"/>
      <c r="F342" s="4"/>
      <c r="G342" s="4"/>
    </row>
    <row r="343">
      <c r="A343" s="4"/>
      <c r="B343" s="4"/>
      <c r="C343" s="4"/>
      <c r="D343" s="4"/>
      <c r="E343" s="4"/>
      <c r="F343" s="4"/>
      <c r="G343" s="4"/>
    </row>
    <row r="344">
      <c r="A344" s="4"/>
      <c r="B344" s="4"/>
      <c r="C344" s="4"/>
      <c r="D344" s="4"/>
      <c r="E344" s="4"/>
      <c r="F344" s="4"/>
      <c r="G344" s="4"/>
    </row>
    <row r="345">
      <c r="A345" s="4"/>
      <c r="B345" s="4"/>
      <c r="C345" s="4"/>
      <c r="D345" s="4"/>
      <c r="E345" s="4"/>
      <c r="F345" s="4"/>
      <c r="G345" s="4"/>
    </row>
    <row r="346">
      <c r="A346" s="4"/>
      <c r="B346" s="4"/>
      <c r="C346" s="4"/>
      <c r="D346" s="4"/>
      <c r="E346" s="4"/>
      <c r="F346" s="4"/>
      <c r="G346" s="4"/>
    </row>
    <row r="347">
      <c r="A347" s="4"/>
      <c r="B347" s="4"/>
      <c r="C347" s="4"/>
      <c r="D347" s="4"/>
      <c r="E347" s="4"/>
      <c r="F347" s="4"/>
      <c r="G347" s="4"/>
    </row>
    <row r="348">
      <c r="A348" s="4"/>
      <c r="B348" s="4"/>
      <c r="C348" s="4"/>
      <c r="D348" s="4"/>
      <c r="E348" s="4"/>
      <c r="F348" s="4"/>
      <c r="G348" s="4"/>
    </row>
    <row r="349">
      <c r="A349" s="4"/>
      <c r="B349" s="4"/>
      <c r="C349" s="4"/>
      <c r="D349" s="4"/>
      <c r="E349" s="4"/>
      <c r="F349" s="4"/>
      <c r="G349" s="4"/>
    </row>
    <row r="350">
      <c r="A350" s="4"/>
      <c r="B350" s="4"/>
      <c r="C350" s="4"/>
      <c r="D350" s="4"/>
      <c r="E350" s="4"/>
      <c r="F350" s="4"/>
      <c r="G350" s="4"/>
    </row>
    <row r="351">
      <c r="A351" s="4"/>
      <c r="B351" s="4"/>
      <c r="C351" s="4"/>
      <c r="D351" s="4"/>
      <c r="E351" s="4"/>
      <c r="F351" s="4"/>
      <c r="G351" s="4"/>
    </row>
    <row r="352">
      <c r="A352" s="4"/>
      <c r="B352" s="4"/>
      <c r="C352" s="4"/>
      <c r="D352" s="4"/>
      <c r="E352" s="4"/>
      <c r="F352" s="4"/>
      <c r="G352" s="4"/>
    </row>
    <row r="353">
      <c r="A353" s="4"/>
      <c r="B353" s="4"/>
      <c r="C353" s="4"/>
      <c r="D353" s="4"/>
      <c r="E353" s="4"/>
      <c r="F353" s="4"/>
      <c r="G353" s="4"/>
    </row>
    <row r="354">
      <c r="A354" s="4"/>
      <c r="B354" s="4"/>
      <c r="C354" s="4"/>
      <c r="D354" s="4"/>
      <c r="E354" s="4"/>
      <c r="F354" s="4"/>
      <c r="G354" s="4"/>
    </row>
    <row r="355">
      <c r="A355" s="4"/>
      <c r="B355" s="4"/>
      <c r="C355" s="4"/>
      <c r="D355" s="4"/>
      <c r="E355" s="4"/>
      <c r="F355" s="4"/>
      <c r="G355" s="4"/>
    </row>
    <row r="356">
      <c r="A356" s="4"/>
      <c r="B356" s="4"/>
      <c r="C356" s="4"/>
      <c r="D356" s="4"/>
      <c r="E356" s="4"/>
      <c r="F356" s="4"/>
      <c r="G356" s="4"/>
    </row>
    <row r="357">
      <c r="A357" s="4"/>
      <c r="B357" s="4"/>
      <c r="C357" s="4"/>
      <c r="D357" s="4"/>
      <c r="E357" s="4"/>
      <c r="F357" s="4"/>
      <c r="G357" s="4"/>
    </row>
    <row r="358">
      <c r="A358" s="4"/>
      <c r="B358" s="4"/>
      <c r="C358" s="4"/>
      <c r="D358" s="4"/>
      <c r="E358" s="4"/>
      <c r="F358" s="4"/>
      <c r="G358" s="4"/>
    </row>
    <row r="359">
      <c r="A359" s="4"/>
      <c r="B359" s="4"/>
      <c r="C359" s="4"/>
      <c r="D359" s="4"/>
      <c r="E359" s="4"/>
      <c r="F359" s="4"/>
      <c r="G359" s="4"/>
    </row>
    <row r="360">
      <c r="A360" s="4"/>
      <c r="B360" s="4"/>
      <c r="C360" s="4"/>
      <c r="D360" s="4"/>
      <c r="E360" s="4"/>
      <c r="F360" s="4"/>
      <c r="G360" s="4"/>
    </row>
    <row r="361">
      <c r="A361" s="4"/>
      <c r="B361" s="4"/>
      <c r="C361" s="4"/>
      <c r="D361" s="4"/>
      <c r="E361" s="4"/>
      <c r="F361" s="4"/>
      <c r="G361" s="4"/>
    </row>
    <row r="362">
      <c r="A362" s="4"/>
      <c r="B362" s="4"/>
      <c r="C362" s="4"/>
      <c r="D362" s="4"/>
      <c r="E362" s="4"/>
      <c r="F362" s="4"/>
      <c r="G362" s="4"/>
    </row>
    <row r="363">
      <c r="A363" s="4"/>
      <c r="B363" s="4"/>
      <c r="C363" s="4"/>
      <c r="D363" s="4"/>
      <c r="E363" s="4"/>
      <c r="F363" s="4"/>
      <c r="G363" s="4"/>
    </row>
    <row r="364">
      <c r="A364" s="4"/>
      <c r="B364" s="4"/>
      <c r="C364" s="4"/>
      <c r="D364" s="4"/>
      <c r="E364" s="4"/>
      <c r="F364" s="4"/>
      <c r="G364" s="4"/>
    </row>
    <row r="365">
      <c r="A365" s="4"/>
      <c r="B365" s="4"/>
      <c r="C365" s="4"/>
      <c r="D365" s="4"/>
      <c r="E365" s="4"/>
      <c r="F365" s="4"/>
      <c r="G365" s="4"/>
    </row>
    <row r="366">
      <c r="A366" s="4"/>
      <c r="B366" s="4"/>
      <c r="C366" s="4"/>
      <c r="D366" s="4"/>
      <c r="E366" s="4"/>
      <c r="F366" s="4"/>
      <c r="G366" s="4"/>
    </row>
    <row r="367">
      <c r="A367" s="4"/>
      <c r="B367" s="4"/>
      <c r="C367" s="4"/>
      <c r="D367" s="4"/>
      <c r="E367" s="4"/>
      <c r="F367" s="4"/>
      <c r="G367" s="4"/>
    </row>
    <row r="368">
      <c r="A368" s="4"/>
      <c r="B368" s="4"/>
      <c r="C368" s="4"/>
      <c r="D368" s="4"/>
      <c r="E368" s="4"/>
      <c r="F368" s="4"/>
      <c r="G368" s="4"/>
    </row>
    <row r="369">
      <c r="A369" s="4"/>
      <c r="B369" s="4"/>
      <c r="C369" s="4"/>
      <c r="D369" s="4"/>
      <c r="E369" s="4"/>
      <c r="F369" s="4"/>
      <c r="G369" s="4"/>
    </row>
    <row r="370">
      <c r="A370" s="4"/>
      <c r="B370" s="4"/>
      <c r="C370" s="4"/>
      <c r="D370" s="4"/>
      <c r="E370" s="4"/>
      <c r="F370" s="4"/>
      <c r="G370" s="4"/>
    </row>
    <row r="371">
      <c r="A371" s="4"/>
      <c r="B371" s="4"/>
      <c r="C371" s="4"/>
      <c r="D371" s="4"/>
      <c r="E371" s="4"/>
      <c r="F371" s="4"/>
      <c r="G371" s="4"/>
    </row>
    <row r="372">
      <c r="A372" s="4"/>
      <c r="B372" s="4"/>
      <c r="C372" s="4"/>
      <c r="D372" s="4"/>
      <c r="E372" s="4"/>
      <c r="F372" s="4"/>
      <c r="G372" s="4"/>
    </row>
    <row r="373">
      <c r="A373" s="4"/>
      <c r="B373" s="4"/>
      <c r="C373" s="4"/>
      <c r="D373" s="4"/>
      <c r="E373" s="4"/>
      <c r="F373" s="4"/>
      <c r="G373" s="4"/>
    </row>
    <row r="374">
      <c r="A374" s="4"/>
      <c r="B374" s="4"/>
      <c r="C374" s="4"/>
      <c r="D374" s="4"/>
      <c r="E374" s="4"/>
      <c r="F374" s="4"/>
      <c r="G374" s="4"/>
    </row>
    <row r="375">
      <c r="A375" s="4"/>
      <c r="B375" s="4"/>
      <c r="C375" s="4"/>
      <c r="D375" s="4"/>
      <c r="E375" s="4"/>
      <c r="F375" s="4"/>
      <c r="G375" s="4"/>
    </row>
    <row r="376">
      <c r="A376" s="4"/>
      <c r="B376" s="4"/>
      <c r="C376" s="4"/>
      <c r="D376" s="4"/>
      <c r="E376" s="4"/>
      <c r="F376" s="4"/>
      <c r="G376" s="4"/>
    </row>
    <row r="377">
      <c r="A377" s="4"/>
      <c r="B377" s="4"/>
      <c r="C377" s="4"/>
      <c r="D377" s="4"/>
      <c r="E377" s="4"/>
      <c r="F377" s="4"/>
      <c r="G377" s="4"/>
    </row>
    <row r="378">
      <c r="A378" s="4"/>
      <c r="B378" s="4"/>
      <c r="C378" s="4"/>
      <c r="D378" s="4"/>
      <c r="E378" s="4"/>
      <c r="F378" s="4"/>
      <c r="G378" s="4"/>
    </row>
    <row r="379">
      <c r="A379" s="4"/>
      <c r="B379" s="4"/>
      <c r="C379" s="4"/>
      <c r="D379" s="4"/>
      <c r="E379" s="4"/>
      <c r="F379" s="4"/>
      <c r="G379" s="4"/>
    </row>
    <row r="380">
      <c r="A380" s="4"/>
      <c r="B380" s="4"/>
      <c r="C380" s="4"/>
      <c r="D380" s="4"/>
      <c r="E380" s="4"/>
      <c r="F380" s="4"/>
      <c r="G380" s="4"/>
    </row>
    <row r="381">
      <c r="A381" s="4"/>
      <c r="B381" s="4"/>
      <c r="C381" s="4"/>
      <c r="D381" s="4"/>
      <c r="E381" s="4"/>
      <c r="F381" s="4"/>
      <c r="G381" s="4"/>
    </row>
    <row r="382">
      <c r="A382" s="4"/>
      <c r="B382" s="4"/>
      <c r="C382" s="4"/>
      <c r="D382" s="4"/>
      <c r="E382" s="4"/>
      <c r="F382" s="4"/>
      <c r="G382" s="4"/>
    </row>
    <row r="383">
      <c r="A383" s="4"/>
      <c r="B383" s="4"/>
      <c r="C383" s="4"/>
      <c r="D383" s="4"/>
      <c r="E383" s="4"/>
      <c r="F383" s="4"/>
      <c r="G383" s="4"/>
    </row>
    <row r="384">
      <c r="A384" s="4"/>
      <c r="B384" s="4"/>
      <c r="C384" s="4"/>
      <c r="D384" s="4"/>
      <c r="E384" s="4"/>
      <c r="F384" s="4"/>
      <c r="G384" s="4"/>
    </row>
    <row r="385">
      <c r="A385" s="4"/>
      <c r="B385" s="4"/>
      <c r="C385" s="4"/>
      <c r="D385" s="4"/>
      <c r="E385" s="4"/>
      <c r="F385" s="4"/>
      <c r="G385" s="4"/>
    </row>
    <row r="386">
      <c r="A386" s="4"/>
      <c r="B386" s="4"/>
      <c r="C386" s="4"/>
      <c r="D386" s="4"/>
      <c r="E386" s="4"/>
      <c r="F386" s="4"/>
      <c r="G386" s="4"/>
    </row>
    <row r="387">
      <c r="A387" s="4"/>
      <c r="B387" s="4"/>
      <c r="C387" s="4"/>
      <c r="D387" s="4"/>
      <c r="E387" s="4"/>
      <c r="F387" s="4"/>
      <c r="G387" s="4"/>
    </row>
    <row r="388">
      <c r="A388" s="4"/>
      <c r="B388" s="4"/>
      <c r="C388" s="4"/>
      <c r="D388" s="4"/>
      <c r="E388" s="4"/>
      <c r="F388" s="4"/>
      <c r="G388" s="4"/>
    </row>
    <row r="389">
      <c r="A389" s="4"/>
      <c r="B389" s="4"/>
      <c r="C389" s="4"/>
      <c r="D389" s="4"/>
      <c r="E389" s="4"/>
      <c r="F389" s="4"/>
      <c r="G389" s="4"/>
    </row>
    <row r="390">
      <c r="A390" s="4"/>
      <c r="B390" s="4"/>
      <c r="C390" s="4"/>
      <c r="D390" s="4"/>
      <c r="E390" s="4"/>
      <c r="F390" s="4"/>
      <c r="G390" s="4"/>
    </row>
    <row r="391">
      <c r="A391" s="4"/>
      <c r="B391" s="4"/>
      <c r="C391" s="4"/>
      <c r="D391" s="4"/>
      <c r="E391" s="4"/>
      <c r="F391" s="4"/>
      <c r="G391" s="4"/>
    </row>
    <row r="392">
      <c r="A392" s="4"/>
      <c r="B392" s="4"/>
      <c r="C392" s="4"/>
      <c r="D392" s="4"/>
      <c r="E392" s="4"/>
      <c r="F392" s="4"/>
      <c r="G392" s="4"/>
    </row>
    <row r="393">
      <c r="A393" s="4"/>
      <c r="B393" s="4"/>
      <c r="C393" s="4"/>
      <c r="D393" s="4"/>
      <c r="E393" s="4"/>
      <c r="F393" s="4"/>
      <c r="G393" s="4"/>
    </row>
    <row r="394">
      <c r="A394" s="4"/>
      <c r="B394" s="4"/>
      <c r="C394" s="4"/>
      <c r="D394" s="4"/>
      <c r="E394" s="4"/>
      <c r="F394" s="4"/>
      <c r="G394" s="4"/>
    </row>
    <row r="395">
      <c r="A395" s="4"/>
      <c r="B395" s="4"/>
      <c r="C395" s="4"/>
      <c r="D395" s="4"/>
      <c r="E395" s="4"/>
      <c r="F395" s="4"/>
      <c r="G395" s="4"/>
    </row>
    <row r="396">
      <c r="A396" s="4"/>
      <c r="B396" s="4"/>
      <c r="C396" s="4"/>
      <c r="D396" s="4"/>
      <c r="E396" s="4"/>
      <c r="F396" s="4"/>
      <c r="G396" s="4"/>
    </row>
    <row r="397">
      <c r="A397" s="4"/>
      <c r="B397" s="4"/>
      <c r="C397" s="4"/>
      <c r="D397" s="4"/>
      <c r="E397" s="4"/>
      <c r="F397" s="4"/>
      <c r="G397" s="4"/>
    </row>
    <row r="398">
      <c r="A398" s="4"/>
      <c r="B398" s="4"/>
      <c r="C398" s="4"/>
      <c r="D398" s="4"/>
      <c r="E398" s="4"/>
      <c r="F398" s="4"/>
      <c r="G398" s="4"/>
    </row>
    <row r="399">
      <c r="A399" s="4"/>
      <c r="B399" s="4"/>
      <c r="C399" s="4"/>
      <c r="D399" s="4"/>
      <c r="E399" s="4"/>
      <c r="F399" s="4"/>
      <c r="G399" s="4"/>
    </row>
    <row r="400">
      <c r="A400" s="4"/>
      <c r="B400" s="4"/>
      <c r="C400" s="4"/>
      <c r="D400" s="4"/>
      <c r="E400" s="4"/>
      <c r="F400" s="4"/>
      <c r="G400" s="4"/>
    </row>
    <row r="401">
      <c r="A401" s="4"/>
      <c r="B401" s="4"/>
      <c r="C401" s="4"/>
      <c r="D401" s="4"/>
      <c r="E401" s="4"/>
      <c r="F401" s="4"/>
      <c r="G401" s="4"/>
    </row>
    <row r="402">
      <c r="A402" s="4"/>
      <c r="B402" s="4"/>
      <c r="C402" s="4"/>
      <c r="D402" s="4"/>
      <c r="E402" s="4"/>
      <c r="F402" s="4"/>
      <c r="G402" s="4"/>
    </row>
    <row r="403">
      <c r="A403" s="4"/>
      <c r="B403" s="4"/>
      <c r="C403" s="4"/>
      <c r="D403" s="4"/>
      <c r="E403" s="4"/>
      <c r="F403" s="4"/>
      <c r="G403" s="4"/>
    </row>
    <row r="404">
      <c r="A404" s="4"/>
      <c r="B404" s="4"/>
      <c r="C404" s="4"/>
      <c r="D404" s="4"/>
      <c r="E404" s="4"/>
      <c r="F404" s="4"/>
      <c r="G404" s="4"/>
    </row>
    <row r="405">
      <c r="A405" s="4"/>
      <c r="B405" s="4"/>
      <c r="C405" s="4"/>
      <c r="D405" s="4"/>
      <c r="E405" s="4"/>
      <c r="F405" s="4"/>
      <c r="G405" s="4"/>
    </row>
    <row r="406">
      <c r="A406" s="4"/>
      <c r="B406" s="4"/>
      <c r="C406" s="4"/>
      <c r="D406" s="4"/>
      <c r="E406" s="4"/>
      <c r="F406" s="4"/>
      <c r="G406" s="4"/>
    </row>
    <row r="407">
      <c r="A407" s="4"/>
      <c r="B407" s="4"/>
      <c r="C407" s="4"/>
      <c r="D407" s="4"/>
      <c r="E407" s="4"/>
      <c r="F407" s="4"/>
      <c r="G407" s="4"/>
    </row>
    <row r="408">
      <c r="A408" s="4"/>
      <c r="B408" s="4"/>
      <c r="C408" s="4"/>
      <c r="D408" s="4"/>
      <c r="E408" s="4"/>
      <c r="F408" s="4"/>
      <c r="G408" s="4"/>
    </row>
    <row r="409">
      <c r="A409" s="4"/>
      <c r="B409" s="4"/>
      <c r="C409" s="4"/>
      <c r="D409" s="4"/>
      <c r="E409" s="4"/>
      <c r="F409" s="4"/>
      <c r="G409" s="4"/>
    </row>
    <row r="410">
      <c r="A410" s="4"/>
      <c r="B410" s="4"/>
      <c r="C410" s="4"/>
      <c r="D410" s="4"/>
      <c r="E410" s="4"/>
      <c r="F410" s="4"/>
      <c r="G410" s="4"/>
    </row>
    <row r="411">
      <c r="A411" s="4"/>
      <c r="B411" s="4"/>
      <c r="C411" s="4"/>
      <c r="D411" s="4"/>
      <c r="E411" s="4"/>
      <c r="F411" s="4"/>
      <c r="G411" s="4"/>
    </row>
    <row r="412">
      <c r="A412" s="4"/>
      <c r="B412" s="4"/>
      <c r="C412" s="4"/>
      <c r="D412" s="4"/>
      <c r="E412" s="4"/>
      <c r="F412" s="4"/>
      <c r="G412" s="4"/>
    </row>
    <row r="413">
      <c r="A413" s="4"/>
      <c r="B413" s="4"/>
      <c r="C413" s="4"/>
      <c r="D413" s="4"/>
      <c r="E413" s="4"/>
      <c r="F413" s="4"/>
      <c r="G413" s="4"/>
    </row>
    <row r="414">
      <c r="A414" s="4"/>
      <c r="B414" s="4"/>
      <c r="C414" s="4"/>
      <c r="D414" s="4"/>
      <c r="E414" s="4"/>
      <c r="F414" s="4"/>
      <c r="G414" s="4"/>
    </row>
    <row r="415">
      <c r="A415" s="4"/>
      <c r="B415" s="4"/>
      <c r="C415" s="4"/>
      <c r="D415" s="4"/>
      <c r="E415" s="4"/>
      <c r="F415" s="4"/>
      <c r="G415" s="4"/>
    </row>
    <row r="416">
      <c r="A416" s="4"/>
      <c r="B416" s="4"/>
      <c r="C416" s="4"/>
      <c r="D416" s="4"/>
      <c r="E416" s="4"/>
      <c r="F416" s="4"/>
      <c r="G416" s="4"/>
    </row>
    <row r="417">
      <c r="A417" s="4"/>
      <c r="B417" s="4"/>
      <c r="C417" s="4"/>
      <c r="D417" s="4"/>
      <c r="E417" s="4"/>
      <c r="F417" s="4"/>
      <c r="G417" s="4"/>
    </row>
    <row r="418">
      <c r="A418" s="4"/>
      <c r="B418" s="4"/>
      <c r="C418" s="4"/>
      <c r="D418" s="4"/>
      <c r="E418" s="4"/>
      <c r="F418" s="4"/>
      <c r="G418" s="4"/>
    </row>
    <row r="419">
      <c r="A419" s="4"/>
      <c r="B419" s="4"/>
      <c r="C419" s="4"/>
      <c r="D419" s="4"/>
      <c r="E419" s="4"/>
      <c r="F419" s="4"/>
      <c r="G419" s="4"/>
    </row>
    <row r="420">
      <c r="A420" s="4"/>
      <c r="B420" s="4"/>
      <c r="C420" s="4"/>
      <c r="D420" s="4"/>
      <c r="E420" s="4"/>
      <c r="F420" s="4"/>
      <c r="G420" s="4"/>
    </row>
    <row r="421">
      <c r="A421" s="4"/>
      <c r="B421" s="4"/>
      <c r="C421" s="4"/>
      <c r="D421" s="4"/>
      <c r="E421" s="4"/>
      <c r="F421" s="4"/>
      <c r="G421" s="4"/>
    </row>
    <row r="422">
      <c r="A422" s="4"/>
      <c r="B422" s="4"/>
      <c r="C422" s="4"/>
      <c r="D422" s="4"/>
      <c r="E422" s="4"/>
      <c r="F422" s="4"/>
      <c r="G422" s="4"/>
    </row>
    <row r="423">
      <c r="A423" s="4"/>
      <c r="B423" s="4"/>
      <c r="C423" s="4"/>
      <c r="D423" s="4"/>
      <c r="E423" s="4"/>
      <c r="F423" s="4"/>
      <c r="G423" s="4"/>
    </row>
    <row r="424">
      <c r="A424" s="4"/>
      <c r="B424" s="4"/>
      <c r="C424" s="4"/>
      <c r="D424" s="4"/>
      <c r="E424" s="4"/>
      <c r="F424" s="4"/>
      <c r="G424" s="4"/>
    </row>
    <row r="425">
      <c r="A425" s="4"/>
      <c r="B425" s="4"/>
      <c r="C425" s="4"/>
      <c r="D425" s="4"/>
      <c r="E425" s="4"/>
      <c r="F425" s="4"/>
      <c r="G425" s="4"/>
    </row>
    <row r="426">
      <c r="A426" s="4"/>
      <c r="B426" s="4"/>
      <c r="C426" s="4"/>
      <c r="D426" s="4"/>
      <c r="E426" s="4"/>
      <c r="F426" s="4"/>
      <c r="G426" s="4"/>
    </row>
    <row r="427">
      <c r="A427" s="4"/>
      <c r="B427" s="4"/>
      <c r="C427" s="4"/>
      <c r="D427" s="4"/>
      <c r="E427" s="4"/>
      <c r="F427" s="4"/>
      <c r="G427" s="4"/>
    </row>
    <row r="428">
      <c r="A428" s="4"/>
      <c r="B428" s="4"/>
      <c r="C428" s="4"/>
      <c r="D428" s="4"/>
      <c r="E428" s="4"/>
      <c r="F428" s="4"/>
      <c r="G428" s="4"/>
    </row>
    <row r="429">
      <c r="A429" s="4"/>
      <c r="B429" s="4"/>
      <c r="C429" s="4"/>
      <c r="D429" s="4"/>
      <c r="E429" s="4"/>
      <c r="F429" s="4"/>
      <c r="G429" s="4"/>
    </row>
    <row r="430">
      <c r="A430" s="4"/>
      <c r="B430" s="4"/>
      <c r="C430" s="4"/>
      <c r="D430" s="4"/>
      <c r="E430" s="4"/>
      <c r="F430" s="4"/>
      <c r="G430" s="4"/>
    </row>
    <row r="431">
      <c r="A431" s="4"/>
      <c r="B431" s="4"/>
      <c r="C431" s="4"/>
      <c r="D431" s="4"/>
      <c r="E431" s="4"/>
      <c r="F431" s="4"/>
      <c r="G431" s="4"/>
    </row>
    <row r="432">
      <c r="A432" s="4"/>
      <c r="B432" s="4"/>
      <c r="C432" s="4"/>
      <c r="D432" s="4"/>
      <c r="E432" s="4"/>
      <c r="F432" s="4"/>
      <c r="G432" s="4"/>
    </row>
    <row r="433">
      <c r="A433" s="4"/>
      <c r="B433" s="4"/>
      <c r="C433" s="4"/>
      <c r="D433" s="4"/>
      <c r="E433" s="4"/>
      <c r="F433" s="4"/>
      <c r="G433" s="4"/>
    </row>
    <row r="434">
      <c r="A434" s="4"/>
      <c r="B434" s="4"/>
      <c r="C434" s="4"/>
      <c r="D434" s="4"/>
      <c r="E434" s="4"/>
      <c r="F434" s="4"/>
      <c r="G434" s="4"/>
    </row>
    <row r="435">
      <c r="A435" s="4"/>
      <c r="B435" s="4"/>
      <c r="C435" s="4"/>
      <c r="D435" s="4"/>
      <c r="E435" s="4"/>
      <c r="F435" s="4"/>
      <c r="G435" s="4"/>
    </row>
    <row r="436">
      <c r="A436" s="4"/>
      <c r="B436" s="4"/>
      <c r="C436" s="4"/>
      <c r="D436" s="4"/>
      <c r="E436" s="4"/>
      <c r="F436" s="4"/>
      <c r="G436" s="4"/>
    </row>
    <row r="437">
      <c r="A437" s="4"/>
      <c r="B437" s="4"/>
      <c r="C437" s="4"/>
      <c r="D437" s="4"/>
      <c r="E437" s="4"/>
      <c r="F437" s="4"/>
      <c r="G437" s="4"/>
    </row>
    <row r="438">
      <c r="A438" s="4"/>
      <c r="B438" s="4"/>
      <c r="C438" s="4"/>
      <c r="D438" s="4"/>
      <c r="E438" s="4"/>
      <c r="F438" s="4"/>
      <c r="G438" s="4"/>
    </row>
    <row r="439">
      <c r="A439" s="4"/>
      <c r="B439" s="4"/>
      <c r="C439" s="4"/>
      <c r="D439" s="4"/>
      <c r="E439" s="4"/>
      <c r="F439" s="4"/>
      <c r="G439" s="4"/>
    </row>
    <row r="440">
      <c r="A440" s="4"/>
      <c r="B440" s="4"/>
      <c r="C440" s="4"/>
      <c r="D440" s="4"/>
      <c r="E440" s="4"/>
      <c r="F440" s="4"/>
      <c r="G440" s="4"/>
    </row>
    <row r="441">
      <c r="A441" s="4"/>
      <c r="B441" s="4"/>
      <c r="C441" s="4"/>
      <c r="D441" s="4"/>
      <c r="E441" s="4"/>
      <c r="F441" s="4"/>
      <c r="G441" s="4"/>
    </row>
    <row r="442">
      <c r="A442" s="4"/>
      <c r="B442" s="4"/>
      <c r="C442" s="4"/>
      <c r="D442" s="4"/>
      <c r="E442" s="4"/>
      <c r="F442" s="4"/>
      <c r="G442" s="4"/>
    </row>
    <row r="443">
      <c r="A443" s="4"/>
      <c r="B443" s="4"/>
      <c r="C443" s="4"/>
      <c r="D443" s="4"/>
      <c r="E443" s="4"/>
      <c r="F443" s="4"/>
      <c r="G443" s="4"/>
    </row>
    <row r="444">
      <c r="A444" s="4"/>
      <c r="B444" s="4"/>
      <c r="C444" s="4"/>
      <c r="D444" s="4"/>
      <c r="E444" s="4"/>
      <c r="F444" s="4"/>
      <c r="G444" s="4"/>
    </row>
    <row r="445">
      <c r="A445" s="4"/>
      <c r="B445" s="4"/>
      <c r="C445" s="4"/>
      <c r="D445" s="4"/>
      <c r="E445" s="4"/>
      <c r="F445" s="4"/>
      <c r="G445" s="4"/>
    </row>
    <row r="446">
      <c r="A446" s="4"/>
      <c r="B446" s="4"/>
      <c r="C446" s="4"/>
      <c r="D446" s="4"/>
      <c r="E446" s="4"/>
      <c r="F446" s="4"/>
      <c r="G446" s="4"/>
    </row>
    <row r="447">
      <c r="A447" s="4"/>
      <c r="B447" s="4"/>
      <c r="C447" s="4"/>
      <c r="D447" s="4"/>
      <c r="E447" s="4"/>
      <c r="F447" s="4"/>
      <c r="G447" s="4"/>
    </row>
    <row r="448">
      <c r="A448" s="4"/>
      <c r="B448" s="4"/>
      <c r="C448" s="4"/>
      <c r="D448" s="4"/>
      <c r="E448" s="4"/>
      <c r="F448" s="4"/>
      <c r="G448" s="4"/>
    </row>
    <row r="449">
      <c r="A449" s="4"/>
      <c r="B449" s="4"/>
      <c r="C449" s="4"/>
      <c r="D449" s="4"/>
      <c r="E449" s="4"/>
      <c r="F449" s="4"/>
      <c r="G449" s="4"/>
    </row>
    <row r="450">
      <c r="A450" s="4"/>
      <c r="B450" s="4"/>
      <c r="C450" s="4"/>
      <c r="D450" s="4"/>
      <c r="E450" s="4"/>
      <c r="F450" s="4"/>
      <c r="G450" s="4"/>
    </row>
    <row r="451">
      <c r="A451" s="4"/>
      <c r="B451" s="4"/>
      <c r="C451" s="4"/>
      <c r="D451" s="4"/>
      <c r="E451" s="4"/>
      <c r="F451" s="4"/>
      <c r="G451" s="4"/>
    </row>
    <row r="452">
      <c r="A452" s="4"/>
      <c r="B452" s="4"/>
      <c r="C452" s="4"/>
      <c r="D452" s="4"/>
      <c r="E452" s="4"/>
      <c r="F452" s="4"/>
      <c r="G452" s="4"/>
    </row>
    <row r="453">
      <c r="A453" s="4"/>
      <c r="B453" s="4"/>
      <c r="C453" s="4"/>
      <c r="D453" s="4"/>
      <c r="E453" s="4"/>
      <c r="F453" s="4"/>
      <c r="G453" s="4"/>
    </row>
    <row r="454">
      <c r="A454" s="4"/>
      <c r="B454" s="4"/>
      <c r="C454" s="4"/>
      <c r="D454" s="4"/>
      <c r="E454" s="4"/>
      <c r="F454" s="4"/>
      <c r="G454" s="4"/>
    </row>
    <row r="455">
      <c r="A455" s="4"/>
      <c r="B455" s="4"/>
      <c r="C455" s="4"/>
      <c r="D455" s="4"/>
      <c r="E455" s="4"/>
      <c r="F455" s="4"/>
      <c r="G455" s="4"/>
    </row>
    <row r="456">
      <c r="A456" s="4"/>
      <c r="B456" s="4"/>
      <c r="C456" s="4"/>
      <c r="D456" s="4"/>
      <c r="E456" s="4"/>
      <c r="F456" s="4"/>
      <c r="G456" s="4"/>
    </row>
    <row r="457">
      <c r="A457" s="4"/>
      <c r="B457" s="4"/>
      <c r="C457" s="4"/>
      <c r="D457" s="4"/>
      <c r="E457" s="4"/>
      <c r="F457" s="4"/>
      <c r="G457" s="4"/>
    </row>
    <row r="458">
      <c r="A458" s="4"/>
      <c r="B458" s="4"/>
      <c r="C458" s="4"/>
      <c r="D458" s="4"/>
      <c r="E458" s="4"/>
      <c r="F458" s="4"/>
      <c r="G458" s="4"/>
    </row>
    <row r="459">
      <c r="A459" s="4"/>
      <c r="B459" s="4"/>
      <c r="C459" s="4"/>
      <c r="D459" s="4"/>
      <c r="E459" s="4"/>
      <c r="F459" s="4"/>
      <c r="G459" s="4"/>
    </row>
    <row r="460">
      <c r="A460" s="4"/>
      <c r="B460" s="4"/>
      <c r="C460" s="4"/>
      <c r="D460" s="4"/>
      <c r="E460" s="4"/>
      <c r="F460" s="4"/>
      <c r="G460" s="4"/>
    </row>
    <row r="461">
      <c r="A461" s="4"/>
      <c r="B461" s="4"/>
      <c r="C461" s="4"/>
      <c r="D461" s="4"/>
      <c r="E461" s="4"/>
      <c r="F461" s="4"/>
      <c r="G461" s="4"/>
    </row>
    <row r="462">
      <c r="A462" s="4"/>
      <c r="B462" s="4"/>
      <c r="C462" s="4"/>
      <c r="D462" s="4"/>
      <c r="E462" s="4"/>
      <c r="F462" s="4"/>
      <c r="G462" s="4"/>
    </row>
    <row r="463">
      <c r="A463" s="4"/>
      <c r="B463" s="4"/>
      <c r="C463" s="4"/>
      <c r="D463" s="4"/>
      <c r="E463" s="4"/>
      <c r="F463" s="4"/>
      <c r="G463" s="4"/>
    </row>
    <row r="464">
      <c r="A464" s="4"/>
      <c r="B464" s="4"/>
      <c r="C464" s="4"/>
      <c r="D464" s="4"/>
      <c r="E464" s="4"/>
      <c r="F464" s="4"/>
      <c r="G464" s="4"/>
    </row>
    <row r="465">
      <c r="A465" s="4"/>
      <c r="B465" s="4"/>
      <c r="C465" s="4"/>
      <c r="D465" s="4"/>
      <c r="E465" s="4"/>
      <c r="F465" s="4"/>
      <c r="G465" s="4"/>
    </row>
    <row r="466">
      <c r="A466" s="4"/>
      <c r="B466" s="4"/>
      <c r="C466" s="4"/>
      <c r="D466" s="4"/>
      <c r="E466" s="4"/>
      <c r="F466" s="4"/>
      <c r="G466" s="4"/>
    </row>
    <row r="467">
      <c r="A467" s="4"/>
      <c r="B467" s="4"/>
      <c r="C467" s="4"/>
      <c r="D467" s="4"/>
      <c r="E467" s="4"/>
      <c r="F467" s="4"/>
      <c r="G467" s="4"/>
    </row>
    <row r="468">
      <c r="A468" s="4"/>
      <c r="B468" s="4"/>
      <c r="C468" s="4"/>
      <c r="D468" s="4"/>
      <c r="E468" s="4"/>
      <c r="F468" s="4"/>
      <c r="G468" s="4"/>
    </row>
    <row r="469">
      <c r="A469" s="4"/>
      <c r="B469" s="4"/>
      <c r="C469" s="4"/>
      <c r="D469" s="4"/>
      <c r="E469" s="4"/>
      <c r="F469" s="4"/>
      <c r="G469" s="4"/>
    </row>
    <row r="470">
      <c r="A470" s="4"/>
      <c r="B470" s="4"/>
      <c r="C470" s="4"/>
      <c r="D470" s="4"/>
      <c r="E470" s="4"/>
      <c r="F470" s="4"/>
      <c r="G470" s="4"/>
    </row>
    <row r="471">
      <c r="A471" s="4"/>
      <c r="B471" s="4"/>
      <c r="C471" s="4"/>
      <c r="D471" s="4"/>
      <c r="E471" s="4"/>
      <c r="F471" s="4"/>
      <c r="G471" s="4"/>
    </row>
    <row r="472">
      <c r="A472" s="4"/>
      <c r="B472" s="4"/>
      <c r="C472" s="4"/>
      <c r="D472" s="4"/>
      <c r="E472" s="4"/>
      <c r="F472" s="4"/>
      <c r="G472" s="4"/>
    </row>
    <row r="473">
      <c r="A473" s="4"/>
      <c r="B473" s="4"/>
      <c r="C473" s="4"/>
      <c r="D473" s="4"/>
      <c r="E473" s="4"/>
      <c r="F473" s="4"/>
      <c r="G473" s="4"/>
    </row>
    <row r="474">
      <c r="A474" s="4"/>
      <c r="B474" s="4"/>
      <c r="C474" s="4"/>
      <c r="D474" s="4"/>
      <c r="E474" s="4"/>
      <c r="F474" s="4"/>
      <c r="G474" s="4"/>
    </row>
    <row r="475">
      <c r="A475" s="4"/>
      <c r="B475" s="4"/>
      <c r="C475" s="4"/>
      <c r="D475" s="4"/>
      <c r="E475" s="4"/>
      <c r="F475" s="4"/>
      <c r="G475" s="4"/>
    </row>
    <row r="476">
      <c r="A476" s="4"/>
      <c r="B476" s="4"/>
      <c r="C476" s="4"/>
      <c r="D476" s="4"/>
      <c r="E476" s="4"/>
      <c r="F476" s="4"/>
      <c r="G476" s="4"/>
    </row>
    <row r="477">
      <c r="A477" s="4"/>
      <c r="B477" s="4"/>
      <c r="C477" s="4"/>
      <c r="D477" s="4"/>
      <c r="E477" s="4"/>
      <c r="F477" s="4"/>
      <c r="G477" s="4"/>
    </row>
    <row r="478">
      <c r="A478" s="4"/>
      <c r="B478" s="4"/>
      <c r="C478" s="4"/>
      <c r="D478" s="4"/>
      <c r="E478" s="4"/>
      <c r="F478" s="4"/>
      <c r="G478" s="4"/>
    </row>
    <row r="479">
      <c r="A479" s="4"/>
      <c r="B479" s="4"/>
      <c r="C479" s="4"/>
      <c r="D479" s="4"/>
      <c r="E479" s="4"/>
      <c r="F479" s="4"/>
      <c r="G479" s="4"/>
    </row>
    <row r="480">
      <c r="A480" s="4"/>
      <c r="B480" s="4"/>
      <c r="C480" s="4"/>
      <c r="D480" s="4"/>
      <c r="E480" s="4"/>
      <c r="F480" s="4"/>
      <c r="G480" s="4"/>
    </row>
    <row r="481">
      <c r="A481" s="4"/>
      <c r="B481" s="4"/>
      <c r="C481" s="4"/>
      <c r="D481" s="4"/>
      <c r="E481" s="4"/>
      <c r="F481" s="4"/>
      <c r="G481" s="4"/>
    </row>
    <row r="482">
      <c r="A482" s="4"/>
      <c r="B482" s="4"/>
      <c r="C482" s="4"/>
      <c r="D482" s="4"/>
      <c r="E482" s="4"/>
      <c r="F482" s="4"/>
      <c r="G482" s="4"/>
    </row>
    <row r="483">
      <c r="A483" s="4"/>
      <c r="B483" s="4"/>
      <c r="C483" s="4"/>
      <c r="D483" s="4"/>
      <c r="E483" s="4"/>
      <c r="F483" s="4"/>
      <c r="G483" s="4"/>
    </row>
    <row r="484">
      <c r="A484" s="4"/>
      <c r="B484" s="4"/>
      <c r="C484" s="4"/>
      <c r="D484" s="4"/>
      <c r="E484" s="4"/>
      <c r="F484" s="4"/>
      <c r="G484" s="4"/>
    </row>
    <row r="485">
      <c r="A485" s="4"/>
      <c r="B485" s="4"/>
      <c r="C485" s="4"/>
      <c r="D485" s="4"/>
      <c r="E485" s="4"/>
      <c r="F485" s="4"/>
      <c r="G485" s="4"/>
    </row>
    <row r="486">
      <c r="A486" s="4"/>
      <c r="B486" s="4"/>
      <c r="C486" s="4"/>
      <c r="D486" s="4"/>
      <c r="E486" s="4"/>
      <c r="F486" s="4"/>
      <c r="G486" s="4"/>
    </row>
    <row r="487">
      <c r="A487" s="4"/>
      <c r="B487" s="4"/>
      <c r="C487" s="4"/>
      <c r="D487" s="4"/>
      <c r="E487" s="4"/>
      <c r="F487" s="4"/>
      <c r="G487" s="4"/>
    </row>
    <row r="488">
      <c r="A488" s="4"/>
      <c r="B488" s="4"/>
      <c r="C488" s="4"/>
      <c r="D488" s="4"/>
      <c r="E488" s="4"/>
      <c r="F488" s="4"/>
      <c r="G488" s="4"/>
    </row>
    <row r="489">
      <c r="A489" s="4"/>
      <c r="B489" s="4"/>
      <c r="C489" s="4"/>
      <c r="D489" s="4"/>
      <c r="E489" s="4"/>
      <c r="F489" s="4"/>
      <c r="G489" s="4"/>
    </row>
    <row r="490">
      <c r="A490" s="4"/>
      <c r="B490" s="4"/>
      <c r="C490" s="4"/>
      <c r="D490" s="4"/>
      <c r="E490" s="4"/>
      <c r="F490" s="4"/>
      <c r="G490" s="4"/>
    </row>
    <row r="491">
      <c r="A491" s="4"/>
      <c r="B491" s="4"/>
      <c r="C491" s="4"/>
      <c r="D491" s="4"/>
      <c r="E491" s="4"/>
      <c r="F491" s="4"/>
      <c r="G491" s="4"/>
    </row>
    <row r="492">
      <c r="A492" s="4"/>
      <c r="B492" s="4"/>
      <c r="C492" s="4"/>
      <c r="D492" s="4"/>
      <c r="E492" s="4"/>
      <c r="F492" s="4"/>
      <c r="G492" s="4"/>
    </row>
    <row r="493">
      <c r="A493" s="4"/>
      <c r="B493" s="4"/>
      <c r="C493" s="4"/>
      <c r="D493" s="4"/>
      <c r="E493" s="4"/>
      <c r="F493" s="4"/>
      <c r="G493" s="4"/>
    </row>
    <row r="494">
      <c r="A494" s="4"/>
      <c r="B494" s="4"/>
      <c r="C494" s="4"/>
      <c r="D494" s="4"/>
      <c r="E494" s="4"/>
      <c r="F494" s="4"/>
      <c r="G494" s="4"/>
    </row>
    <row r="495">
      <c r="A495" s="4"/>
      <c r="B495" s="4"/>
      <c r="C495" s="4"/>
      <c r="D495" s="4"/>
      <c r="E495" s="4"/>
      <c r="F495" s="4"/>
      <c r="G495" s="4"/>
    </row>
    <row r="496">
      <c r="A496" s="4"/>
      <c r="B496" s="4"/>
      <c r="C496" s="4"/>
      <c r="D496" s="4"/>
      <c r="E496" s="4"/>
      <c r="F496" s="4"/>
      <c r="G496" s="4"/>
    </row>
    <row r="497">
      <c r="A497" s="4"/>
      <c r="B497" s="4"/>
      <c r="C497" s="4"/>
      <c r="D497" s="4"/>
      <c r="E497" s="4"/>
      <c r="F497" s="4"/>
      <c r="G497" s="4"/>
    </row>
    <row r="498">
      <c r="A498" s="4"/>
      <c r="B498" s="4"/>
      <c r="C498" s="4"/>
      <c r="D498" s="4"/>
      <c r="E498" s="4"/>
      <c r="F498" s="4"/>
      <c r="G498" s="4"/>
    </row>
    <row r="499">
      <c r="A499" s="4"/>
      <c r="B499" s="4"/>
      <c r="C499" s="4"/>
      <c r="D499" s="4"/>
      <c r="E499" s="4"/>
      <c r="F499" s="4"/>
      <c r="G499" s="4"/>
    </row>
    <row r="500">
      <c r="A500" s="4"/>
      <c r="B500" s="4"/>
      <c r="C500" s="4"/>
      <c r="D500" s="4"/>
      <c r="E500" s="4"/>
      <c r="F500" s="4"/>
      <c r="G500" s="4"/>
    </row>
    <row r="501">
      <c r="A501" s="4"/>
      <c r="B501" s="4"/>
      <c r="C501" s="4"/>
      <c r="D501" s="4"/>
      <c r="E501" s="4"/>
      <c r="F501" s="4"/>
      <c r="G501" s="4"/>
    </row>
    <row r="502">
      <c r="A502" s="4"/>
      <c r="B502" s="4"/>
      <c r="C502" s="4"/>
      <c r="D502" s="4"/>
      <c r="E502" s="4"/>
      <c r="F502" s="4"/>
      <c r="G502" s="4"/>
    </row>
    <row r="503">
      <c r="A503" s="4"/>
      <c r="B503" s="4"/>
      <c r="C503" s="4"/>
      <c r="D503" s="4"/>
      <c r="E503" s="4"/>
      <c r="F503" s="4"/>
      <c r="G503" s="4"/>
    </row>
    <row r="504">
      <c r="A504" s="4"/>
      <c r="B504" s="4"/>
      <c r="C504" s="4"/>
      <c r="D504" s="4"/>
      <c r="E504" s="4"/>
      <c r="F504" s="4"/>
      <c r="G504" s="4"/>
    </row>
    <row r="505">
      <c r="A505" s="4"/>
      <c r="B505" s="4"/>
      <c r="C505" s="4"/>
      <c r="D505" s="4"/>
      <c r="E505" s="4"/>
      <c r="F505" s="4"/>
      <c r="G505" s="4"/>
    </row>
    <row r="506">
      <c r="A506" s="4"/>
      <c r="B506" s="4"/>
      <c r="C506" s="4"/>
      <c r="D506" s="4"/>
      <c r="E506" s="4"/>
      <c r="F506" s="4"/>
      <c r="G506" s="4"/>
    </row>
    <row r="507">
      <c r="A507" s="4"/>
      <c r="B507" s="4"/>
      <c r="C507" s="4"/>
      <c r="D507" s="4"/>
      <c r="E507" s="4"/>
      <c r="F507" s="4"/>
      <c r="G507" s="4"/>
    </row>
    <row r="508">
      <c r="A508" s="4"/>
      <c r="B508" s="4"/>
      <c r="C508" s="4"/>
      <c r="D508" s="4"/>
      <c r="E508" s="4"/>
      <c r="F508" s="4"/>
      <c r="G508" s="4"/>
    </row>
    <row r="509">
      <c r="A509" s="4"/>
      <c r="B509" s="4"/>
      <c r="C509" s="4"/>
      <c r="D509" s="4"/>
      <c r="E509" s="4"/>
      <c r="F509" s="4"/>
      <c r="G509" s="4"/>
    </row>
    <row r="510">
      <c r="A510" s="4"/>
      <c r="B510" s="4"/>
      <c r="C510" s="4"/>
      <c r="D510" s="4"/>
      <c r="E510" s="4"/>
      <c r="F510" s="4"/>
      <c r="G510" s="4"/>
    </row>
    <row r="511">
      <c r="A511" s="4"/>
      <c r="B511" s="4"/>
      <c r="C511" s="4"/>
      <c r="D511" s="4"/>
      <c r="E511" s="4"/>
      <c r="F511" s="4"/>
      <c r="G511" s="4"/>
    </row>
    <row r="512">
      <c r="A512" s="4"/>
      <c r="B512" s="4"/>
      <c r="C512" s="4"/>
      <c r="D512" s="4"/>
      <c r="E512" s="4"/>
      <c r="F512" s="4"/>
      <c r="G512" s="4"/>
    </row>
    <row r="513">
      <c r="A513" s="4"/>
      <c r="B513" s="4"/>
      <c r="C513" s="4"/>
      <c r="D513" s="4"/>
      <c r="E513" s="4"/>
      <c r="F513" s="4"/>
      <c r="G513" s="4"/>
    </row>
    <row r="514">
      <c r="A514" s="4"/>
      <c r="B514" s="4"/>
      <c r="C514" s="4"/>
      <c r="D514" s="4"/>
      <c r="E514" s="4"/>
      <c r="F514" s="4"/>
      <c r="G514" s="4"/>
    </row>
    <row r="515">
      <c r="A515" s="4"/>
      <c r="B515" s="4"/>
      <c r="C515" s="4"/>
      <c r="D515" s="4"/>
      <c r="E515" s="4"/>
      <c r="F515" s="4"/>
      <c r="G515" s="4"/>
    </row>
    <row r="516">
      <c r="A516" s="4"/>
      <c r="B516" s="4"/>
      <c r="C516" s="4"/>
      <c r="D516" s="4"/>
      <c r="E516" s="4"/>
      <c r="F516" s="4"/>
      <c r="G516" s="4"/>
    </row>
    <row r="517">
      <c r="A517" s="4"/>
      <c r="B517" s="4"/>
      <c r="C517" s="4"/>
      <c r="D517" s="4"/>
      <c r="E517" s="4"/>
      <c r="F517" s="4"/>
      <c r="G517" s="4"/>
    </row>
    <row r="518">
      <c r="A518" s="4"/>
      <c r="B518" s="4"/>
      <c r="C518" s="4"/>
      <c r="D518" s="4"/>
      <c r="E518" s="4"/>
      <c r="F518" s="4"/>
      <c r="G518" s="4"/>
    </row>
    <row r="519">
      <c r="A519" s="4"/>
      <c r="B519" s="4"/>
      <c r="C519" s="4"/>
      <c r="D519" s="4"/>
      <c r="E519" s="4"/>
      <c r="F519" s="4"/>
      <c r="G519" s="4"/>
    </row>
    <row r="520">
      <c r="A520" s="4"/>
      <c r="B520" s="4"/>
      <c r="C520" s="4"/>
      <c r="D520" s="4"/>
      <c r="E520" s="4"/>
      <c r="F520" s="4"/>
      <c r="G520" s="4"/>
    </row>
    <row r="521">
      <c r="A521" s="4"/>
      <c r="B521" s="4"/>
      <c r="C521" s="4"/>
      <c r="D521" s="4"/>
      <c r="E521" s="4"/>
      <c r="F521" s="4"/>
      <c r="G521" s="4"/>
    </row>
    <row r="522">
      <c r="A522" s="4"/>
      <c r="B522" s="4"/>
      <c r="C522" s="4"/>
      <c r="D522" s="4"/>
      <c r="E522" s="4"/>
      <c r="F522" s="4"/>
      <c r="G522" s="4"/>
    </row>
    <row r="523">
      <c r="A523" s="4"/>
      <c r="B523" s="4"/>
      <c r="C523" s="4"/>
      <c r="D523" s="4"/>
      <c r="E523" s="4"/>
      <c r="F523" s="4"/>
      <c r="G523" s="4"/>
    </row>
    <row r="524">
      <c r="A524" s="4"/>
      <c r="B524" s="4"/>
      <c r="C524" s="4"/>
      <c r="D524" s="4"/>
      <c r="E524" s="4"/>
      <c r="F524" s="4"/>
      <c r="G524" s="4"/>
    </row>
    <row r="525">
      <c r="A525" s="4"/>
      <c r="B525" s="4"/>
      <c r="C525" s="4"/>
      <c r="D525" s="4"/>
      <c r="E525" s="4"/>
      <c r="F525" s="4"/>
      <c r="G525" s="4"/>
    </row>
    <row r="526">
      <c r="A526" s="4"/>
      <c r="B526" s="4"/>
      <c r="C526" s="4"/>
      <c r="D526" s="4"/>
      <c r="E526" s="4"/>
      <c r="F526" s="4"/>
      <c r="G526" s="4"/>
    </row>
    <row r="527">
      <c r="A527" s="4"/>
      <c r="B527" s="4"/>
      <c r="C527" s="4"/>
      <c r="D527" s="4"/>
      <c r="E527" s="4"/>
      <c r="F527" s="4"/>
      <c r="G527" s="4"/>
    </row>
    <row r="528">
      <c r="A528" s="4"/>
      <c r="B528" s="4"/>
      <c r="C528" s="4"/>
      <c r="D528" s="4"/>
      <c r="E528" s="4"/>
      <c r="F528" s="4"/>
      <c r="G528" s="4"/>
    </row>
    <row r="529">
      <c r="A529" s="4"/>
      <c r="B529" s="4"/>
      <c r="C529" s="4"/>
      <c r="D529" s="4"/>
      <c r="E529" s="4"/>
      <c r="F529" s="4"/>
      <c r="G529" s="4"/>
    </row>
    <row r="530">
      <c r="A530" s="4"/>
      <c r="B530" s="4"/>
      <c r="C530" s="4"/>
      <c r="D530" s="4"/>
      <c r="E530" s="4"/>
      <c r="F530" s="4"/>
      <c r="G530" s="4"/>
    </row>
    <row r="531">
      <c r="A531" s="4"/>
      <c r="B531" s="4"/>
      <c r="C531" s="4"/>
      <c r="D531" s="4"/>
      <c r="E531" s="4"/>
      <c r="F531" s="4"/>
      <c r="G531" s="4"/>
    </row>
    <row r="532">
      <c r="A532" s="4"/>
      <c r="B532" s="4"/>
      <c r="C532" s="4"/>
      <c r="D532" s="4"/>
      <c r="E532" s="4"/>
      <c r="F532" s="4"/>
      <c r="G532" s="4"/>
    </row>
    <row r="533">
      <c r="A533" s="4"/>
      <c r="B533" s="4"/>
      <c r="C533" s="4"/>
      <c r="D533" s="4"/>
      <c r="E533" s="4"/>
      <c r="F533" s="4"/>
      <c r="G533" s="4"/>
    </row>
    <row r="534">
      <c r="A534" s="4"/>
      <c r="B534" s="4"/>
      <c r="C534" s="4"/>
      <c r="D534" s="4"/>
      <c r="E534" s="4"/>
      <c r="F534" s="4"/>
      <c r="G534" s="4"/>
    </row>
    <row r="535">
      <c r="A535" s="4"/>
      <c r="B535" s="4"/>
      <c r="C535" s="4"/>
      <c r="D535" s="4"/>
      <c r="E535" s="4"/>
      <c r="F535" s="4"/>
      <c r="G535" s="4"/>
    </row>
    <row r="536">
      <c r="A536" s="4"/>
      <c r="B536" s="4"/>
      <c r="C536" s="4"/>
      <c r="D536" s="4"/>
      <c r="E536" s="4"/>
      <c r="F536" s="4"/>
      <c r="G536" s="4"/>
    </row>
    <row r="537">
      <c r="A537" s="4"/>
      <c r="B537" s="4"/>
      <c r="C537" s="4"/>
      <c r="D537" s="4"/>
      <c r="E537" s="4"/>
      <c r="F537" s="4"/>
      <c r="G537" s="4"/>
    </row>
    <row r="538">
      <c r="A538" s="4"/>
      <c r="B538" s="4"/>
      <c r="C538" s="4"/>
      <c r="D538" s="4"/>
      <c r="E538" s="4"/>
      <c r="F538" s="4"/>
      <c r="G538" s="4"/>
    </row>
    <row r="539">
      <c r="A539" s="4"/>
      <c r="B539" s="4"/>
      <c r="C539" s="4"/>
      <c r="D539" s="4"/>
      <c r="E539" s="4"/>
      <c r="F539" s="4"/>
      <c r="G539" s="4"/>
    </row>
    <row r="540">
      <c r="A540" s="4"/>
      <c r="B540" s="4"/>
      <c r="C540" s="4"/>
      <c r="D540" s="4"/>
      <c r="E540" s="4"/>
      <c r="F540" s="4"/>
      <c r="G540" s="4"/>
    </row>
    <row r="541">
      <c r="A541" s="4"/>
      <c r="B541" s="4"/>
      <c r="C541" s="4"/>
      <c r="D541" s="4"/>
      <c r="E541" s="4"/>
      <c r="F541" s="4"/>
      <c r="G541" s="4"/>
    </row>
    <row r="542">
      <c r="A542" s="4"/>
      <c r="B542" s="4"/>
      <c r="C542" s="4"/>
      <c r="D542" s="4"/>
      <c r="E542" s="4"/>
      <c r="F542" s="4"/>
      <c r="G542" s="4"/>
    </row>
    <row r="543">
      <c r="A543" s="4"/>
      <c r="B543" s="4"/>
      <c r="C543" s="4"/>
      <c r="D543" s="4"/>
      <c r="E543" s="4"/>
      <c r="F543" s="4"/>
      <c r="G543" s="4"/>
    </row>
    <row r="544">
      <c r="A544" s="4"/>
      <c r="B544" s="4"/>
      <c r="C544" s="4"/>
      <c r="D544" s="4"/>
      <c r="E544" s="4"/>
      <c r="F544" s="4"/>
      <c r="G544" s="4"/>
    </row>
    <row r="545">
      <c r="A545" s="4"/>
      <c r="B545" s="4"/>
      <c r="C545" s="4"/>
      <c r="D545" s="4"/>
      <c r="E545" s="4"/>
      <c r="F545" s="4"/>
      <c r="G545" s="4"/>
    </row>
    <row r="546">
      <c r="A546" s="4"/>
      <c r="B546" s="4"/>
      <c r="C546" s="4"/>
      <c r="D546" s="4"/>
      <c r="E546" s="4"/>
      <c r="F546" s="4"/>
      <c r="G546" s="4"/>
    </row>
    <row r="547">
      <c r="A547" s="4"/>
      <c r="B547" s="4"/>
      <c r="C547" s="4"/>
      <c r="D547" s="4"/>
      <c r="E547" s="4"/>
      <c r="F547" s="4"/>
      <c r="G547" s="4"/>
    </row>
    <row r="548">
      <c r="A548" s="4"/>
      <c r="B548" s="4"/>
      <c r="C548" s="4"/>
      <c r="D548" s="4"/>
      <c r="E548" s="4"/>
      <c r="F548" s="4"/>
      <c r="G548" s="4"/>
    </row>
    <row r="549">
      <c r="A549" s="4"/>
      <c r="B549" s="4"/>
      <c r="C549" s="4"/>
      <c r="D549" s="4"/>
      <c r="E549" s="4"/>
      <c r="F549" s="4"/>
      <c r="G549" s="4"/>
    </row>
    <row r="550">
      <c r="A550" s="4"/>
      <c r="B550" s="4"/>
      <c r="C550" s="4"/>
      <c r="D550" s="4"/>
      <c r="E550" s="4"/>
      <c r="F550" s="4"/>
      <c r="G550" s="4"/>
    </row>
    <row r="551">
      <c r="A551" s="4"/>
      <c r="B551" s="4"/>
      <c r="C551" s="4"/>
      <c r="D551" s="4"/>
      <c r="E551" s="4"/>
      <c r="F551" s="4"/>
      <c r="G551" s="4"/>
    </row>
    <row r="552">
      <c r="A552" s="4"/>
      <c r="B552" s="4"/>
      <c r="C552" s="4"/>
      <c r="D552" s="4"/>
      <c r="E552" s="4"/>
      <c r="F552" s="4"/>
      <c r="G552" s="4"/>
    </row>
    <row r="553">
      <c r="A553" s="4"/>
      <c r="B553" s="4"/>
      <c r="C553" s="4"/>
      <c r="D553" s="4"/>
      <c r="E553" s="4"/>
      <c r="F553" s="4"/>
      <c r="G553" s="4"/>
    </row>
    <row r="554">
      <c r="A554" s="4"/>
      <c r="B554" s="4"/>
      <c r="C554" s="4"/>
      <c r="D554" s="4"/>
      <c r="E554" s="4"/>
      <c r="F554" s="4"/>
      <c r="G554" s="4"/>
    </row>
    <row r="555">
      <c r="A555" s="4"/>
      <c r="B555" s="4"/>
      <c r="C555" s="4"/>
      <c r="D555" s="4"/>
      <c r="E555" s="4"/>
      <c r="F555" s="4"/>
      <c r="G555" s="4"/>
    </row>
    <row r="556">
      <c r="A556" s="4"/>
      <c r="B556" s="4"/>
      <c r="C556" s="4"/>
      <c r="D556" s="4"/>
      <c r="E556" s="4"/>
      <c r="F556" s="4"/>
      <c r="G556" s="4"/>
    </row>
    <row r="557">
      <c r="A557" s="4"/>
      <c r="B557" s="4"/>
      <c r="C557" s="4"/>
      <c r="D557" s="4"/>
      <c r="E557" s="4"/>
      <c r="F557" s="4"/>
      <c r="G557" s="4"/>
    </row>
    <row r="558">
      <c r="A558" s="4"/>
      <c r="B558" s="4"/>
      <c r="C558" s="4"/>
      <c r="D558" s="4"/>
      <c r="E558" s="4"/>
      <c r="F558" s="4"/>
      <c r="G558" s="4"/>
    </row>
    <row r="559">
      <c r="A559" s="4"/>
      <c r="B559" s="4"/>
      <c r="C559" s="4"/>
      <c r="D559" s="4"/>
      <c r="E559" s="4"/>
      <c r="F559" s="4"/>
      <c r="G559" s="4"/>
    </row>
    <row r="560">
      <c r="A560" s="4"/>
      <c r="B560" s="4"/>
      <c r="C560" s="4"/>
      <c r="D560" s="4"/>
      <c r="E560" s="4"/>
      <c r="F560" s="4"/>
      <c r="G560" s="4"/>
    </row>
    <row r="561">
      <c r="A561" s="4"/>
      <c r="B561" s="4"/>
      <c r="C561" s="4"/>
      <c r="D561" s="4"/>
      <c r="E561" s="4"/>
      <c r="F561" s="4"/>
      <c r="G561" s="4"/>
    </row>
    <row r="562">
      <c r="A562" s="4"/>
      <c r="B562" s="4"/>
      <c r="C562" s="4"/>
      <c r="D562" s="4"/>
      <c r="E562" s="4"/>
      <c r="F562" s="4"/>
      <c r="G562" s="4"/>
    </row>
    <row r="563">
      <c r="A563" s="4"/>
      <c r="B563" s="4"/>
      <c r="C563" s="4"/>
      <c r="D563" s="4"/>
      <c r="E563" s="4"/>
      <c r="F563" s="4"/>
      <c r="G563" s="4"/>
    </row>
    <row r="564">
      <c r="A564" s="4"/>
      <c r="B564" s="4"/>
      <c r="C564" s="4"/>
      <c r="D564" s="4"/>
      <c r="E564" s="4"/>
      <c r="F564" s="4"/>
      <c r="G564" s="4"/>
    </row>
    <row r="565">
      <c r="A565" s="4"/>
      <c r="B565" s="4"/>
      <c r="C565" s="4"/>
      <c r="D565" s="4"/>
      <c r="E565" s="4"/>
      <c r="F565" s="4"/>
      <c r="G565" s="4"/>
    </row>
    <row r="566">
      <c r="A566" s="4"/>
      <c r="B566" s="4"/>
      <c r="C566" s="4"/>
      <c r="D566" s="4"/>
      <c r="E566" s="4"/>
      <c r="F566" s="4"/>
      <c r="G566" s="4"/>
    </row>
    <row r="567">
      <c r="A567" s="4"/>
      <c r="B567" s="4"/>
      <c r="C567" s="4"/>
      <c r="D567" s="4"/>
      <c r="E567" s="4"/>
      <c r="F567" s="4"/>
      <c r="G567" s="4"/>
    </row>
    <row r="568">
      <c r="A568" s="4"/>
      <c r="B568" s="4"/>
      <c r="C568" s="4"/>
      <c r="D568" s="4"/>
      <c r="E568" s="4"/>
      <c r="F568" s="4"/>
      <c r="G568" s="4"/>
    </row>
    <row r="569">
      <c r="A569" s="4"/>
      <c r="B569" s="4"/>
      <c r="C569" s="4"/>
      <c r="D569" s="4"/>
      <c r="E569" s="4"/>
      <c r="F569" s="4"/>
      <c r="G569" s="4"/>
    </row>
    <row r="570">
      <c r="A570" s="4"/>
      <c r="B570" s="4"/>
      <c r="C570" s="4"/>
      <c r="D570" s="4"/>
      <c r="E570" s="4"/>
      <c r="F570" s="4"/>
      <c r="G570" s="4"/>
    </row>
    <row r="571">
      <c r="A571" s="4"/>
      <c r="B571" s="4"/>
      <c r="C571" s="4"/>
      <c r="D571" s="4"/>
      <c r="E571" s="4"/>
      <c r="F571" s="4"/>
      <c r="G571" s="4"/>
    </row>
    <row r="572">
      <c r="A572" s="4"/>
      <c r="B572" s="4"/>
      <c r="C572" s="4"/>
      <c r="D572" s="4"/>
      <c r="E572" s="4"/>
      <c r="F572" s="4"/>
      <c r="G572" s="4"/>
    </row>
    <row r="573">
      <c r="A573" s="4"/>
      <c r="B573" s="4"/>
      <c r="C573" s="4"/>
      <c r="D573" s="4"/>
      <c r="E573" s="4"/>
      <c r="F573" s="4"/>
      <c r="G573" s="4"/>
    </row>
    <row r="574">
      <c r="A574" s="4"/>
      <c r="B574" s="4"/>
      <c r="C574" s="4"/>
      <c r="D574" s="4"/>
      <c r="E574" s="4"/>
      <c r="F574" s="4"/>
      <c r="G574" s="4"/>
    </row>
    <row r="575">
      <c r="A575" s="4"/>
      <c r="B575" s="4"/>
      <c r="C575" s="4"/>
      <c r="D575" s="4"/>
      <c r="E575" s="4"/>
      <c r="F575" s="4"/>
      <c r="G575" s="4"/>
    </row>
    <row r="576">
      <c r="A576" s="4"/>
      <c r="B576" s="4"/>
      <c r="C576" s="4"/>
      <c r="D576" s="4"/>
      <c r="E576" s="4"/>
      <c r="F576" s="4"/>
      <c r="G576" s="4"/>
    </row>
    <row r="577">
      <c r="A577" s="4"/>
      <c r="B577" s="4"/>
      <c r="C577" s="4"/>
      <c r="D577" s="4"/>
      <c r="E577" s="4"/>
      <c r="F577" s="4"/>
      <c r="G577" s="4"/>
    </row>
    <row r="578">
      <c r="A578" s="4"/>
      <c r="B578" s="4"/>
      <c r="C578" s="4"/>
      <c r="D578" s="4"/>
      <c r="E578" s="4"/>
      <c r="F578" s="4"/>
      <c r="G578" s="4"/>
    </row>
    <row r="579">
      <c r="A579" s="4"/>
      <c r="B579" s="4"/>
      <c r="C579" s="4"/>
      <c r="D579" s="4"/>
      <c r="E579" s="4"/>
      <c r="F579" s="4"/>
      <c r="G579" s="4"/>
    </row>
    <row r="580">
      <c r="A580" s="4"/>
      <c r="B580" s="4"/>
      <c r="C580" s="4"/>
      <c r="D580" s="4"/>
      <c r="E580" s="4"/>
      <c r="F580" s="4"/>
      <c r="G580" s="4"/>
    </row>
    <row r="581">
      <c r="A581" s="4"/>
      <c r="B581" s="4"/>
      <c r="C581" s="4"/>
      <c r="D581" s="4"/>
      <c r="E581" s="4"/>
      <c r="F581" s="4"/>
      <c r="G581" s="4"/>
    </row>
    <row r="582">
      <c r="A582" s="4"/>
      <c r="B582" s="4"/>
      <c r="C582" s="4"/>
      <c r="D582" s="4"/>
      <c r="E582" s="4"/>
      <c r="F582" s="4"/>
      <c r="G582" s="4"/>
    </row>
    <row r="583">
      <c r="A583" s="4"/>
      <c r="B583" s="4"/>
      <c r="C583" s="4"/>
      <c r="D583" s="4"/>
      <c r="E583" s="4"/>
      <c r="F583" s="4"/>
      <c r="G583" s="4"/>
    </row>
    <row r="584">
      <c r="A584" s="4"/>
      <c r="B584" s="4"/>
      <c r="C584" s="4"/>
      <c r="D584" s="4"/>
      <c r="E584" s="4"/>
      <c r="F584" s="4"/>
      <c r="G584" s="4"/>
    </row>
    <row r="585">
      <c r="A585" s="4"/>
      <c r="B585" s="4"/>
      <c r="C585" s="4"/>
      <c r="D585" s="4"/>
      <c r="E585" s="4"/>
      <c r="F585" s="4"/>
      <c r="G585" s="4"/>
    </row>
    <row r="586">
      <c r="A586" s="4"/>
      <c r="B586" s="4"/>
      <c r="C586" s="4"/>
      <c r="D586" s="4"/>
      <c r="E586" s="4"/>
      <c r="F586" s="4"/>
      <c r="G586" s="4"/>
    </row>
    <row r="587">
      <c r="A587" s="4"/>
      <c r="B587" s="4"/>
      <c r="C587" s="4"/>
      <c r="D587" s="4"/>
      <c r="E587" s="4"/>
      <c r="F587" s="4"/>
      <c r="G587" s="4"/>
    </row>
    <row r="588">
      <c r="A588" s="4"/>
      <c r="B588" s="4"/>
      <c r="C588" s="4"/>
      <c r="D588" s="4"/>
      <c r="E588" s="4"/>
      <c r="F588" s="4"/>
      <c r="G588" s="4"/>
    </row>
    <row r="589">
      <c r="A589" s="4"/>
      <c r="B589" s="4"/>
      <c r="C589" s="4"/>
      <c r="D589" s="4"/>
      <c r="E589" s="4"/>
      <c r="F589" s="4"/>
      <c r="G589" s="4"/>
    </row>
    <row r="590">
      <c r="A590" s="4"/>
      <c r="B590" s="4"/>
      <c r="C590" s="4"/>
      <c r="D590" s="4"/>
      <c r="E590" s="4"/>
      <c r="F590" s="4"/>
      <c r="G590" s="4"/>
    </row>
    <row r="591">
      <c r="A591" s="4"/>
      <c r="B591" s="4"/>
      <c r="C591" s="4"/>
      <c r="D591" s="4"/>
      <c r="E591" s="4"/>
      <c r="F591" s="4"/>
      <c r="G591" s="4"/>
    </row>
    <row r="592">
      <c r="A592" s="4"/>
      <c r="B592" s="4"/>
      <c r="C592" s="4"/>
      <c r="D592" s="4"/>
      <c r="E592" s="4"/>
      <c r="F592" s="4"/>
      <c r="G592" s="4"/>
    </row>
    <row r="593">
      <c r="A593" s="4"/>
      <c r="B593" s="4"/>
      <c r="C593" s="4"/>
      <c r="D593" s="4"/>
      <c r="E593" s="4"/>
      <c r="F593" s="4"/>
      <c r="G593" s="4"/>
    </row>
    <row r="594">
      <c r="A594" s="4"/>
      <c r="B594" s="4"/>
      <c r="C594" s="4"/>
      <c r="D594" s="4"/>
      <c r="E594" s="4"/>
      <c r="F594" s="4"/>
      <c r="G594" s="4"/>
    </row>
    <row r="595">
      <c r="A595" s="4"/>
      <c r="B595" s="4"/>
      <c r="C595" s="4"/>
      <c r="D595" s="4"/>
      <c r="E595" s="4"/>
      <c r="F595" s="4"/>
      <c r="G595" s="4"/>
    </row>
    <row r="596">
      <c r="A596" s="4"/>
      <c r="B596" s="4"/>
      <c r="C596" s="4"/>
      <c r="D596" s="4"/>
      <c r="E596" s="4"/>
      <c r="F596" s="4"/>
      <c r="G596" s="4"/>
    </row>
    <row r="597">
      <c r="A597" s="4"/>
      <c r="B597" s="4"/>
      <c r="C597" s="4"/>
      <c r="D597" s="4"/>
      <c r="E597" s="4"/>
      <c r="F597" s="4"/>
      <c r="G597" s="4"/>
    </row>
    <row r="598">
      <c r="A598" s="4"/>
      <c r="B598" s="4"/>
      <c r="C598" s="4"/>
      <c r="D598" s="4"/>
      <c r="E598" s="4"/>
      <c r="F598" s="4"/>
      <c r="G598" s="4"/>
    </row>
    <row r="599">
      <c r="A599" s="4"/>
      <c r="B599" s="4"/>
      <c r="C599" s="4"/>
      <c r="D599" s="4"/>
      <c r="E599" s="4"/>
      <c r="F599" s="4"/>
      <c r="G599" s="4"/>
    </row>
    <row r="600">
      <c r="A600" s="4"/>
      <c r="B600" s="4"/>
      <c r="C600" s="4"/>
      <c r="D600" s="4"/>
      <c r="E600" s="4"/>
      <c r="F600" s="4"/>
      <c r="G600" s="4"/>
    </row>
    <row r="601">
      <c r="A601" s="4"/>
      <c r="B601" s="4"/>
      <c r="C601" s="4"/>
      <c r="D601" s="4"/>
      <c r="E601" s="4"/>
      <c r="F601" s="4"/>
      <c r="G601" s="4"/>
    </row>
    <row r="602">
      <c r="A602" s="4"/>
      <c r="B602" s="4"/>
      <c r="C602" s="4"/>
      <c r="D602" s="4"/>
      <c r="E602" s="4"/>
      <c r="F602" s="4"/>
      <c r="G602" s="4"/>
    </row>
    <row r="603">
      <c r="A603" s="4"/>
      <c r="B603" s="4"/>
      <c r="C603" s="4"/>
      <c r="D603" s="4"/>
      <c r="E603" s="4"/>
      <c r="F603" s="4"/>
      <c r="G603" s="4"/>
    </row>
    <row r="604">
      <c r="A604" s="4"/>
      <c r="B604" s="4"/>
      <c r="C604" s="4"/>
      <c r="D604" s="4"/>
      <c r="E604" s="4"/>
      <c r="F604" s="4"/>
      <c r="G604" s="4"/>
    </row>
    <row r="605">
      <c r="A605" s="4"/>
      <c r="B605" s="4"/>
      <c r="C605" s="4"/>
      <c r="D605" s="4"/>
      <c r="E605" s="4"/>
      <c r="F605" s="4"/>
      <c r="G605" s="4"/>
    </row>
    <row r="606">
      <c r="A606" s="4"/>
      <c r="B606" s="4"/>
      <c r="C606" s="4"/>
      <c r="D606" s="4"/>
      <c r="E606" s="4"/>
      <c r="F606" s="4"/>
      <c r="G606" s="4"/>
    </row>
    <row r="607">
      <c r="A607" s="4"/>
      <c r="B607" s="4"/>
      <c r="C607" s="4"/>
      <c r="D607" s="4"/>
      <c r="E607" s="4"/>
      <c r="F607" s="4"/>
      <c r="G607" s="4"/>
    </row>
    <row r="608">
      <c r="A608" s="4"/>
      <c r="B608" s="4"/>
      <c r="C608" s="4"/>
      <c r="D608" s="4"/>
      <c r="E608" s="4"/>
      <c r="F608" s="4"/>
      <c r="G608" s="4"/>
    </row>
    <row r="609">
      <c r="A609" s="4"/>
      <c r="B609" s="4"/>
      <c r="C609" s="4"/>
      <c r="D609" s="4"/>
      <c r="E609" s="4"/>
      <c r="F609" s="4"/>
      <c r="G609" s="4"/>
    </row>
    <row r="610">
      <c r="A610" s="4"/>
      <c r="B610" s="4"/>
      <c r="C610" s="4"/>
      <c r="D610" s="4"/>
      <c r="E610" s="4"/>
      <c r="F610" s="4"/>
      <c r="G610" s="4"/>
    </row>
    <row r="611">
      <c r="A611" s="4"/>
      <c r="B611" s="4"/>
      <c r="C611" s="4"/>
      <c r="D611" s="4"/>
      <c r="E611" s="4"/>
      <c r="F611" s="4"/>
      <c r="G611" s="4"/>
    </row>
    <row r="612">
      <c r="A612" s="4"/>
      <c r="B612" s="4"/>
      <c r="C612" s="4"/>
      <c r="D612" s="4"/>
      <c r="E612" s="4"/>
      <c r="F612" s="4"/>
      <c r="G612" s="4"/>
    </row>
    <row r="613">
      <c r="A613" s="4"/>
      <c r="B613" s="4"/>
      <c r="C613" s="4"/>
      <c r="D613" s="4"/>
      <c r="E613" s="4"/>
      <c r="F613" s="4"/>
      <c r="G613" s="4"/>
    </row>
    <row r="614">
      <c r="A614" s="4"/>
      <c r="B614" s="4"/>
      <c r="C614" s="4"/>
      <c r="D614" s="4"/>
      <c r="E614" s="4"/>
      <c r="F614" s="4"/>
      <c r="G614" s="4"/>
    </row>
    <row r="615">
      <c r="A615" s="4"/>
      <c r="B615" s="4"/>
      <c r="C615" s="4"/>
      <c r="D615" s="4"/>
      <c r="E615" s="4"/>
      <c r="F615" s="4"/>
      <c r="G615" s="4"/>
    </row>
    <row r="616">
      <c r="A616" s="4"/>
      <c r="B616" s="4"/>
      <c r="C616" s="4"/>
      <c r="D616" s="4"/>
      <c r="E616" s="4"/>
      <c r="F616" s="4"/>
      <c r="G616" s="4"/>
    </row>
    <row r="617">
      <c r="A617" s="4"/>
      <c r="B617" s="4"/>
      <c r="C617" s="4"/>
      <c r="D617" s="4"/>
      <c r="E617" s="4"/>
      <c r="F617" s="4"/>
      <c r="G617" s="4"/>
    </row>
    <row r="618">
      <c r="A618" s="4"/>
      <c r="B618" s="4"/>
      <c r="C618" s="4"/>
      <c r="D618" s="4"/>
      <c r="E618" s="4"/>
      <c r="F618" s="4"/>
      <c r="G618" s="4"/>
    </row>
    <row r="619">
      <c r="A619" s="4"/>
      <c r="B619" s="4"/>
      <c r="C619" s="4"/>
      <c r="D619" s="4"/>
      <c r="E619" s="4"/>
      <c r="F619" s="4"/>
      <c r="G619" s="4"/>
    </row>
    <row r="620">
      <c r="A620" s="4"/>
      <c r="B620" s="4"/>
      <c r="C620" s="4"/>
      <c r="D620" s="4"/>
      <c r="E620" s="4"/>
      <c r="F620" s="4"/>
      <c r="G620" s="4"/>
    </row>
    <row r="621">
      <c r="A621" s="4"/>
      <c r="B621" s="4"/>
      <c r="C621" s="4"/>
      <c r="D621" s="4"/>
      <c r="E621" s="4"/>
      <c r="F621" s="4"/>
      <c r="G621" s="4"/>
    </row>
    <row r="622">
      <c r="A622" s="4"/>
      <c r="B622" s="4"/>
      <c r="C622" s="4"/>
      <c r="D622" s="4"/>
      <c r="E622" s="4"/>
      <c r="F622" s="4"/>
      <c r="G622" s="4"/>
    </row>
    <row r="623">
      <c r="A623" s="4"/>
      <c r="B623" s="4"/>
      <c r="C623" s="4"/>
      <c r="D623" s="4"/>
      <c r="E623" s="4"/>
      <c r="F623" s="4"/>
      <c r="G623" s="4"/>
    </row>
    <row r="624">
      <c r="A624" s="4"/>
      <c r="B624" s="4"/>
      <c r="C624" s="4"/>
      <c r="D624" s="4"/>
      <c r="E624" s="4"/>
      <c r="F624" s="4"/>
      <c r="G624" s="4"/>
    </row>
    <row r="625">
      <c r="A625" s="4"/>
      <c r="B625" s="4"/>
      <c r="C625" s="4"/>
      <c r="D625" s="4"/>
      <c r="E625" s="4"/>
      <c r="F625" s="4"/>
      <c r="G625" s="4"/>
    </row>
    <row r="626">
      <c r="A626" s="4"/>
      <c r="B626" s="4"/>
      <c r="C626" s="4"/>
      <c r="D626" s="4"/>
      <c r="E626" s="4"/>
      <c r="F626" s="4"/>
      <c r="G626" s="4"/>
    </row>
    <row r="627">
      <c r="A627" s="4"/>
      <c r="B627" s="4"/>
      <c r="C627" s="4"/>
      <c r="D627" s="4"/>
      <c r="E627" s="4"/>
      <c r="F627" s="4"/>
      <c r="G627" s="4"/>
    </row>
    <row r="628">
      <c r="A628" s="4"/>
      <c r="B628" s="4"/>
      <c r="C628" s="4"/>
      <c r="D628" s="4"/>
      <c r="E628" s="4"/>
      <c r="F628" s="4"/>
      <c r="G628" s="4"/>
    </row>
    <row r="629">
      <c r="A629" s="4"/>
      <c r="B629" s="4"/>
      <c r="C629" s="4"/>
      <c r="D629" s="4"/>
      <c r="E629" s="4"/>
      <c r="F629" s="4"/>
      <c r="G629" s="4"/>
    </row>
    <row r="630">
      <c r="A630" s="4"/>
      <c r="B630" s="4"/>
      <c r="C630" s="4"/>
      <c r="D630" s="4"/>
      <c r="E630" s="4"/>
      <c r="F630" s="4"/>
      <c r="G630" s="4"/>
    </row>
    <row r="631">
      <c r="A631" s="4"/>
      <c r="B631" s="4"/>
      <c r="C631" s="4"/>
      <c r="D631" s="4"/>
      <c r="E631" s="4"/>
      <c r="F631" s="4"/>
      <c r="G631" s="4"/>
    </row>
    <row r="632">
      <c r="A632" s="4"/>
      <c r="B632" s="4"/>
      <c r="C632" s="4"/>
      <c r="D632" s="4"/>
      <c r="E632" s="4"/>
      <c r="F632" s="4"/>
      <c r="G632" s="4"/>
    </row>
    <row r="633">
      <c r="A633" s="4"/>
      <c r="B633" s="4"/>
      <c r="C633" s="4"/>
      <c r="D633" s="4"/>
      <c r="E633" s="4"/>
      <c r="F633" s="4"/>
      <c r="G633" s="4"/>
    </row>
    <row r="634">
      <c r="A634" s="4"/>
      <c r="B634" s="4"/>
      <c r="C634" s="4"/>
      <c r="D634" s="4"/>
      <c r="E634" s="4"/>
      <c r="F634" s="4"/>
      <c r="G634" s="4"/>
    </row>
    <row r="635">
      <c r="A635" s="4"/>
      <c r="B635" s="4"/>
      <c r="C635" s="4"/>
      <c r="D635" s="4"/>
      <c r="E635" s="4"/>
      <c r="F635" s="4"/>
      <c r="G635" s="4"/>
    </row>
    <row r="636">
      <c r="A636" s="4"/>
      <c r="B636" s="4"/>
      <c r="C636" s="4"/>
      <c r="D636" s="4"/>
      <c r="E636" s="4"/>
      <c r="F636" s="4"/>
      <c r="G636" s="4"/>
    </row>
    <row r="637">
      <c r="A637" s="4"/>
      <c r="B637" s="4"/>
      <c r="C637" s="4"/>
      <c r="D637" s="4"/>
      <c r="E637" s="4"/>
      <c r="F637" s="4"/>
      <c r="G637" s="4"/>
    </row>
    <row r="638">
      <c r="A638" s="4"/>
      <c r="B638" s="4"/>
      <c r="C638" s="4"/>
      <c r="D638" s="4"/>
      <c r="E638" s="4"/>
      <c r="F638" s="4"/>
      <c r="G638" s="4"/>
    </row>
    <row r="639">
      <c r="A639" s="4"/>
      <c r="B639" s="4"/>
      <c r="C639" s="4"/>
      <c r="D639" s="4"/>
      <c r="E639" s="4"/>
      <c r="F639" s="4"/>
      <c r="G639" s="4"/>
    </row>
    <row r="640">
      <c r="A640" s="4"/>
      <c r="B640" s="4"/>
      <c r="C640" s="4"/>
      <c r="D640" s="4"/>
      <c r="E640" s="4"/>
      <c r="F640" s="4"/>
      <c r="G640" s="4"/>
    </row>
    <row r="641">
      <c r="A641" s="4"/>
      <c r="B641" s="4"/>
      <c r="C641" s="4"/>
      <c r="D641" s="4"/>
      <c r="E641" s="4"/>
      <c r="F641" s="4"/>
      <c r="G641" s="4"/>
    </row>
    <row r="642">
      <c r="A642" s="4"/>
      <c r="B642" s="4"/>
      <c r="C642" s="4"/>
      <c r="D642" s="4"/>
      <c r="E642" s="4"/>
      <c r="F642" s="4"/>
      <c r="G642" s="4"/>
    </row>
    <row r="643">
      <c r="A643" s="4"/>
      <c r="B643" s="4"/>
      <c r="C643" s="4"/>
      <c r="D643" s="4"/>
      <c r="E643" s="4"/>
      <c r="F643" s="4"/>
      <c r="G643" s="4"/>
    </row>
    <row r="644">
      <c r="A644" s="4"/>
      <c r="B644" s="4"/>
      <c r="C644" s="4"/>
      <c r="D644" s="4"/>
      <c r="E644" s="4"/>
      <c r="F644" s="4"/>
      <c r="G644" s="4"/>
    </row>
    <row r="645">
      <c r="A645" s="4"/>
      <c r="B645" s="4"/>
      <c r="C645" s="4"/>
      <c r="D645" s="4"/>
      <c r="E645" s="4"/>
      <c r="F645" s="4"/>
      <c r="G645" s="4"/>
    </row>
    <row r="646">
      <c r="A646" s="4"/>
      <c r="B646" s="4"/>
      <c r="C646" s="4"/>
      <c r="D646" s="4"/>
      <c r="E646" s="4"/>
      <c r="F646" s="4"/>
      <c r="G646" s="4"/>
    </row>
    <row r="647">
      <c r="A647" s="4"/>
      <c r="B647" s="4"/>
      <c r="C647" s="4"/>
      <c r="D647" s="4"/>
      <c r="E647" s="4"/>
      <c r="F647" s="4"/>
      <c r="G647" s="4"/>
    </row>
    <row r="648">
      <c r="A648" s="4"/>
      <c r="B648" s="4"/>
      <c r="C648" s="4"/>
      <c r="D648" s="4"/>
      <c r="E648" s="4"/>
      <c r="F648" s="4"/>
      <c r="G648" s="4"/>
    </row>
    <row r="649">
      <c r="A649" s="4"/>
      <c r="B649" s="4"/>
      <c r="C649" s="4"/>
      <c r="D649" s="4"/>
      <c r="E649" s="4"/>
      <c r="F649" s="4"/>
      <c r="G649" s="4"/>
    </row>
    <row r="650">
      <c r="A650" s="4"/>
      <c r="B650" s="4"/>
      <c r="C650" s="4"/>
      <c r="D650" s="4"/>
      <c r="E650" s="4"/>
      <c r="F650" s="4"/>
      <c r="G650" s="4"/>
    </row>
    <row r="651">
      <c r="A651" s="4"/>
      <c r="B651" s="4"/>
      <c r="C651" s="4"/>
      <c r="D651" s="4"/>
      <c r="E651" s="4"/>
      <c r="F651" s="4"/>
      <c r="G651" s="4"/>
    </row>
    <row r="652">
      <c r="A652" s="4"/>
      <c r="B652" s="4"/>
      <c r="C652" s="4"/>
      <c r="D652" s="4"/>
      <c r="E652" s="4"/>
      <c r="F652" s="4"/>
      <c r="G652" s="4"/>
    </row>
    <row r="653">
      <c r="A653" s="4"/>
      <c r="B653" s="4"/>
      <c r="C653" s="4"/>
      <c r="D653" s="4"/>
      <c r="E653" s="4"/>
      <c r="F653" s="4"/>
      <c r="G653" s="4"/>
    </row>
    <row r="654">
      <c r="A654" s="4"/>
      <c r="B654" s="4"/>
      <c r="C654" s="4"/>
      <c r="D654" s="4"/>
      <c r="E654" s="4"/>
      <c r="F654" s="4"/>
      <c r="G654" s="4"/>
    </row>
    <row r="655">
      <c r="A655" s="4"/>
      <c r="B655" s="4"/>
      <c r="C655" s="4"/>
      <c r="D655" s="4"/>
      <c r="E655" s="4"/>
      <c r="F655" s="4"/>
      <c r="G655" s="4"/>
    </row>
    <row r="656">
      <c r="A656" s="4"/>
      <c r="B656" s="4"/>
      <c r="C656" s="4"/>
      <c r="D656" s="4"/>
      <c r="E656" s="4"/>
      <c r="F656" s="4"/>
      <c r="G656" s="4"/>
    </row>
    <row r="657">
      <c r="A657" s="4"/>
      <c r="B657" s="4"/>
      <c r="C657" s="4"/>
      <c r="D657" s="4"/>
      <c r="E657" s="4"/>
      <c r="F657" s="4"/>
      <c r="G657" s="4"/>
    </row>
    <row r="658">
      <c r="A658" s="4"/>
      <c r="B658" s="4"/>
      <c r="C658" s="4"/>
      <c r="D658" s="4"/>
      <c r="E658" s="4"/>
      <c r="F658" s="4"/>
      <c r="G658" s="4"/>
    </row>
    <row r="659">
      <c r="A659" s="4"/>
      <c r="B659" s="4"/>
      <c r="C659" s="4"/>
      <c r="D659" s="4"/>
      <c r="E659" s="4"/>
      <c r="F659" s="4"/>
      <c r="G659" s="4"/>
    </row>
    <row r="660">
      <c r="A660" s="4"/>
      <c r="B660" s="4"/>
      <c r="C660" s="4"/>
      <c r="D660" s="4"/>
      <c r="E660" s="4"/>
      <c r="F660" s="4"/>
      <c r="G660" s="4"/>
    </row>
    <row r="661">
      <c r="A661" s="4"/>
      <c r="B661" s="4"/>
      <c r="C661" s="4"/>
      <c r="D661" s="4"/>
      <c r="E661" s="4"/>
      <c r="F661" s="4"/>
      <c r="G661" s="4"/>
    </row>
    <row r="662">
      <c r="A662" s="4"/>
      <c r="B662" s="4"/>
      <c r="C662" s="4"/>
      <c r="D662" s="4"/>
      <c r="E662" s="4"/>
      <c r="F662" s="4"/>
      <c r="G662" s="4"/>
    </row>
    <row r="663">
      <c r="A663" s="4"/>
      <c r="B663" s="4"/>
      <c r="C663" s="4"/>
      <c r="D663" s="4"/>
      <c r="E663" s="4"/>
      <c r="F663" s="4"/>
      <c r="G663" s="4"/>
    </row>
    <row r="664">
      <c r="A664" s="4"/>
      <c r="B664" s="4"/>
      <c r="C664" s="4"/>
      <c r="D664" s="4"/>
      <c r="E664" s="4"/>
      <c r="F664" s="4"/>
      <c r="G664" s="4"/>
    </row>
    <row r="665">
      <c r="A665" s="4"/>
      <c r="B665" s="4"/>
      <c r="C665" s="4"/>
      <c r="D665" s="4"/>
      <c r="E665" s="4"/>
      <c r="F665" s="4"/>
      <c r="G665" s="4"/>
    </row>
    <row r="666">
      <c r="A666" s="4"/>
      <c r="B666" s="4"/>
      <c r="C666" s="4"/>
      <c r="D666" s="4"/>
      <c r="E666" s="4"/>
      <c r="F666" s="4"/>
      <c r="G666" s="4"/>
    </row>
    <row r="667">
      <c r="A667" s="4"/>
      <c r="B667" s="4"/>
      <c r="C667" s="4"/>
      <c r="D667" s="4"/>
      <c r="E667" s="4"/>
      <c r="F667" s="4"/>
      <c r="G667" s="4"/>
    </row>
    <row r="668">
      <c r="A668" s="4"/>
      <c r="B668" s="4"/>
      <c r="C668" s="4"/>
      <c r="D668" s="4"/>
      <c r="E668" s="4"/>
      <c r="F668" s="4"/>
      <c r="G668" s="4"/>
    </row>
    <row r="669">
      <c r="A669" s="4"/>
      <c r="B669" s="4"/>
      <c r="C669" s="4"/>
      <c r="D669" s="4"/>
      <c r="E669" s="4"/>
      <c r="F669" s="4"/>
      <c r="G669" s="4"/>
    </row>
    <row r="670">
      <c r="A670" s="4"/>
      <c r="B670" s="4"/>
      <c r="C670" s="4"/>
      <c r="D670" s="4"/>
      <c r="E670" s="4"/>
      <c r="F670" s="4"/>
      <c r="G670" s="4"/>
    </row>
    <row r="671">
      <c r="A671" s="4"/>
      <c r="B671" s="4"/>
      <c r="C671" s="4"/>
      <c r="D671" s="4"/>
      <c r="E671" s="4"/>
      <c r="F671" s="4"/>
      <c r="G671" s="4"/>
    </row>
    <row r="672">
      <c r="A672" s="4"/>
      <c r="B672" s="4"/>
      <c r="C672" s="4"/>
      <c r="D672" s="4"/>
      <c r="E672" s="4"/>
      <c r="F672" s="4"/>
      <c r="G672" s="4"/>
    </row>
    <row r="673">
      <c r="A673" s="4"/>
      <c r="B673" s="4"/>
      <c r="C673" s="4"/>
      <c r="D673" s="4"/>
      <c r="E673" s="4"/>
      <c r="F673" s="4"/>
      <c r="G673" s="4"/>
    </row>
    <row r="674">
      <c r="A674" s="4"/>
      <c r="B674" s="4"/>
      <c r="C674" s="4"/>
      <c r="D674" s="4"/>
      <c r="E674" s="4"/>
      <c r="F674" s="4"/>
      <c r="G674" s="4"/>
    </row>
    <row r="675">
      <c r="A675" s="4"/>
      <c r="B675" s="4"/>
      <c r="C675" s="4"/>
      <c r="D675" s="4"/>
      <c r="E675" s="4"/>
      <c r="F675" s="4"/>
      <c r="G675" s="4"/>
    </row>
    <row r="676">
      <c r="A676" s="4"/>
      <c r="B676" s="4"/>
      <c r="C676" s="4"/>
      <c r="D676" s="4"/>
      <c r="E676" s="4"/>
      <c r="F676" s="4"/>
      <c r="G676" s="4"/>
    </row>
    <row r="677">
      <c r="A677" s="4"/>
      <c r="B677" s="4"/>
      <c r="C677" s="4"/>
      <c r="D677" s="4"/>
      <c r="E677" s="4"/>
      <c r="F677" s="4"/>
      <c r="G677" s="4"/>
    </row>
    <row r="678">
      <c r="A678" s="4"/>
      <c r="B678" s="4"/>
      <c r="C678" s="4"/>
      <c r="D678" s="4"/>
      <c r="E678" s="4"/>
      <c r="F678" s="4"/>
      <c r="G678" s="4"/>
    </row>
    <row r="679">
      <c r="A679" s="4"/>
      <c r="B679" s="4"/>
      <c r="C679" s="4"/>
      <c r="D679" s="4"/>
      <c r="E679" s="4"/>
      <c r="F679" s="4"/>
      <c r="G679" s="4"/>
    </row>
    <row r="680">
      <c r="A680" s="4"/>
      <c r="B680" s="4"/>
      <c r="C680" s="4"/>
      <c r="D680" s="4"/>
      <c r="E680" s="4"/>
      <c r="F680" s="4"/>
      <c r="G680" s="4"/>
    </row>
    <row r="681">
      <c r="A681" s="4"/>
      <c r="B681" s="4"/>
      <c r="C681" s="4"/>
      <c r="D681" s="4"/>
      <c r="E681" s="4"/>
      <c r="F681" s="4"/>
      <c r="G681" s="4"/>
    </row>
    <row r="682">
      <c r="A682" s="4"/>
      <c r="B682" s="4"/>
      <c r="C682" s="4"/>
      <c r="D682" s="4"/>
      <c r="E682" s="4"/>
      <c r="F682" s="4"/>
      <c r="G682" s="4"/>
    </row>
    <row r="683">
      <c r="A683" s="4"/>
      <c r="B683" s="4"/>
      <c r="C683" s="4"/>
      <c r="D683" s="4"/>
      <c r="E683" s="4"/>
      <c r="F683" s="4"/>
      <c r="G683" s="4"/>
    </row>
    <row r="684">
      <c r="A684" s="4"/>
      <c r="B684" s="4"/>
      <c r="C684" s="4"/>
      <c r="D684" s="4"/>
      <c r="E684" s="4"/>
      <c r="F684" s="4"/>
      <c r="G684" s="4"/>
    </row>
    <row r="685">
      <c r="A685" s="4"/>
      <c r="B685" s="4"/>
      <c r="C685" s="4"/>
      <c r="D685" s="4"/>
      <c r="E685" s="4"/>
      <c r="F685" s="4"/>
      <c r="G685" s="4"/>
    </row>
    <row r="686">
      <c r="A686" s="4"/>
      <c r="B686" s="4"/>
      <c r="C686" s="4"/>
      <c r="D686" s="4"/>
      <c r="E686" s="4"/>
      <c r="F686" s="4"/>
      <c r="G686" s="4"/>
    </row>
    <row r="687">
      <c r="A687" s="4"/>
      <c r="B687" s="4"/>
      <c r="C687" s="4"/>
      <c r="D687" s="4"/>
      <c r="E687" s="4"/>
      <c r="F687" s="4"/>
      <c r="G687" s="4"/>
    </row>
    <row r="688">
      <c r="A688" s="4"/>
      <c r="B688" s="4"/>
      <c r="C688" s="4"/>
      <c r="D688" s="4"/>
      <c r="E688" s="4"/>
      <c r="F688" s="4"/>
      <c r="G688" s="4"/>
    </row>
    <row r="689">
      <c r="A689" s="4"/>
      <c r="B689" s="4"/>
      <c r="C689" s="4"/>
      <c r="D689" s="4"/>
      <c r="E689" s="4"/>
      <c r="F689" s="4"/>
      <c r="G689" s="4"/>
    </row>
    <row r="690">
      <c r="A690" s="4"/>
      <c r="B690" s="4"/>
      <c r="C690" s="4"/>
      <c r="D690" s="4"/>
      <c r="E690" s="4"/>
      <c r="F690" s="4"/>
      <c r="G690" s="4"/>
    </row>
    <row r="691">
      <c r="A691" s="4"/>
      <c r="B691" s="4"/>
      <c r="C691" s="4"/>
      <c r="D691" s="4"/>
      <c r="E691" s="4"/>
      <c r="F691" s="4"/>
      <c r="G691" s="4"/>
    </row>
    <row r="692">
      <c r="A692" s="4"/>
      <c r="B692" s="4"/>
      <c r="C692" s="4"/>
      <c r="D692" s="4"/>
      <c r="E692" s="4"/>
      <c r="F692" s="4"/>
      <c r="G692" s="4"/>
    </row>
    <row r="693">
      <c r="A693" s="4"/>
      <c r="B693" s="4"/>
      <c r="C693" s="4"/>
      <c r="D693" s="4"/>
      <c r="E693" s="4"/>
      <c r="F693" s="4"/>
      <c r="G693" s="4"/>
    </row>
    <row r="694">
      <c r="A694" s="4"/>
      <c r="B694" s="4"/>
      <c r="C694" s="4"/>
      <c r="D694" s="4"/>
      <c r="E694" s="4"/>
      <c r="F694" s="4"/>
      <c r="G694" s="4"/>
    </row>
    <row r="695">
      <c r="A695" s="4"/>
      <c r="B695" s="4"/>
      <c r="C695" s="4"/>
      <c r="D695" s="4"/>
      <c r="E695" s="4"/>
      <c r="F695" s="4"/>
      <c r="G695" s="4"/>
    </row>
    <row r="696">
      <c r="A696" s="4"/>
      <c r="B696" s="4"/>
      <c r="C696" s="4"/>
      <c r="D696" s="4"/>
      <c r="E696" s="4"/>
      <c r="F696" s="4"/>
      <c r="G696" s="4"/>
    </row>
    <row r="697">
      <c r="A697" s="4"/>
      <c r="B697" s="4"/>
      <c r="C697" s="4"/>
      <c r="D697" s="4"/>
      <c r="E697" s="4"/>
      <c r="F697" s="4"/>
      <c r="G697" s="4"/>
    </row>
    <row r="698">
      <c r="A698" s="4"/>
      <c r="B698" s="4"/>
      <c r="C698" s="4"/>
      <c r="D698" s="4"/>
      <c r="E698" s="4"/>
      <c r="F698" s="4"/>
      <c r="G698" s="4"/>
    </row>
    <row r="699">
      <c r="A699" s="4"/>
      <c r="B699" s="4"/>
      <c r="C699" s="4"/>
      <c r="D699" s="4"/>
      <c r="E699" s="4"/>
      <c r="F699" s="4"/>
      <c r="G699" s="4"/>
    </row>
    <row r="700">
      <c r="A700" s="4"/>
      <c r="B700" s="4"/>
      <c r="C700" s="4"/>
      <c r="D700" s="4"/>
      <c r="E700" s="4"/>
      <c r="F700" s="4"/>
      <c r="G700" s="4"/>
    </row>
    <row r="701">
      <c r="A701" s="4"/>
      <c r="B701" s="4"/>
      <c r="C701" s="4"/>
      <c r="D701" s="4"/>
      <c r="E701" s="4"/>
      <c r="F701" s="4"/>
      <c r="G701" s="4"/>
    </row>
    <row r="702">
      <c r="A702" s="4"/>
      <c r="B702" s="4"/>
      <c r="C702" s="4"/>
      <c r="D702" s="4"/>
      <c r="E702" s="4"/>
      <c r="F702" s="4"/>
      <c r="G702" s="4"/>
    </row>
    <row r="703">
      <c r="A703" s="4"/>
      <c r="B703" s="4"/>
      <c r="C703" s="4"/>
      <c r="D703" s="4"/>
      <c r="E703" s="4"/>
      <c r="F703" s="4"/>
      <c r="G703" s="4"/>
    </row>
    <row r="704">
      <c r="A704" s="4"/>
      <c r="B704" s="4"/>
      <c r="C704" s="4"/>
      <c r="D704" s="4"/>
      <c r="E704" s="4"/>
      <c r="F704" s="4"/>
      <c r="G704" s="4"/>
    </row>
    <row r="705">
      <c r="A705" s="4"/>
      <c r="B705" s="4"/>
      <c r="C705" s="4"/>
      <c r="D705" s="4"/>
      <c r="E705" s="4"/>
      <c r="F705" s="4"/>
      <c r="G705" s="4"/>
    </row>
    <row r="706">
      <c r="A706" s="4"/>
      <c r="B706" s="4"/>
      <c r="C706" s="4"/>
      <c r="D706" s="4"/>
      <c r="E706" s="4"/>
      <c r="F706" s="4"/>
      <c r="G706" s="4"/>
    </row>
    <row r="707">
      <c r="A707" s="4"/>
      <c r="B707" s="4"/>
      <c r="C707" s="4"/>
      <c r="D707" s="4"/>
      <c r="E707" s="4"/>
      <c r="F707" s="4"/>
      <c r="G707" s="4"/>
    </row>
    <row r="708">
      <c r="A708" s="4"/>
      <c r="B708" s="4"/>
      <c r="C708" s="4"/>
      <c r="D708" s="4"/>
      <c r="E708" s="4"/>
      <c r="F708" s="4"/>
      <c r="G708" s="4"/>
    </row>
    <row r="709">
      <c r="A709" s="4"/>
      <c r="B709" s="4"/>
      <c r="C709" s="4"/>
      <c r="D709" s="4"/>
      <c r="E709" s="4"/>
      <c r="F709" s="4"/>
      <c r="G709" s="4"/>
    </row>
    <row r="710">
      <c r="A710" s="4"/>
      <c r="B710" s="4"/>
      <c r="C710" s="4"/>
      <c r="D710" s="4"/>
      <c r="E710" s="4"/>
      <c r="F710" s="4"/>
      <c r="G710" s="4"/>
    </row>
    <row r="711">
      <c r="A711" s="4"/>
      <c r="B711" s="4"/>
      <c r="C711" s="4"/>
      <c r="D711" s="4"/>
      <c r="E711" s="4"/>
      <c r="F711" s="4"/>
      <c r="G711" s="4"/>
    </row>
    <row r="712">
      <c r="A712" s="4"/>
      <c r="B712" s="4"/>
      <c r="C712" s="4"/>
      <c r="D712" s="4"/>
      <c r="E712" s="4"/>
      <c r="F712" s="4"/>
      <c r="G712" s="4"/>
    </row>
    <row r="713">
      <c r="A713" s="4"/>
      <c r="B713" s="4"/>
      <c r="C713" s="4"/>
      <c r="D713" s="4"/>
      <c r="E713" s="4"/>
      <c r="F713" s="4"/>
      <c r="G713" s="4"/>
    </row>
    <row r="714">
      <c r="A714" s="4"/>
      <c r="B714" s="4"/>
      <c r="C714" s="4"/>
      <c r="D714" s="4"/>
      <c r="E714" s="4"/>
      <c r="F714" s="4"/>
      <c r="G714" s="4"/>
    </row>
    <row r="715">
      <c r="A715" s="4"/>
      <c r="B715" s="4"/>
      <c r="C715" s="4"/>
      <c r="D715" s="4"/>
      <c r="E715" s="4"/>
      <c r="F715" s="4"/>
      <c r="G715" s="4"/>
    </row>
    <row r="716">
      <c r="A716" s="4"/>
      <c r="B716" s="4"/>
      <c r="C716" s="4"/>
      <c r="D716" s="4"/>
      <c r="E716" s="4"/>
      <c r="F716" s="4"/>
      <c r="G716" s="4"/>
    </row>
    <row r="717">
      <c r="A717" s="4"/>
      <c r="B717" s="4"/>
      <c r="C717" s="4"/>
      <c r="D717" s="4"/>
      <c r="E717" s="4"/>
      <c r="F717" s="4"/>
      <c r="G717" s="4"/>
    </row>
    <row r="718">
      <c r="A718" s="4"/>
      <c r="B718" s="4"/>
      <c r="C718" s="4"/>
      <c r="D718" s="4"/>
      <c r="E718" s="4"/>
      <c r="F718" s="4"/>
      <c r="G718" s="4"/>
    </row>
    <row r="719">
      <c r="A719" s="4"/>
      <c r="B719" s="4"/>
      <c r="C719" s="4"/>
      <c r="D719" s="4"/>
      <c r="E719" s="4"/>
      <c r="F719" s="4"/>
      <c r="G719" s="4"/>
    </row>
    <row r="720">
      <c r="A720" s="4"/>
      <c r="B720" s="4"/>
      <c r="C720" s="4"/>
      <c r="D720" s="4"/>
      <c r="E720" s="4"/>
      <c r="F720" s="4"/>
      <c r="G720" s="4"/>
    </row>
    <row r="721">
      <c r="A721" s="4"/>
      <c r="B721" s="4"/>
      <c r="C721" s="4"/>
      <c r="D721" s="4"/>
      <c r="E721" s="4"/>
      <c r="F721" s="4"/>
      <c r="G721" s="4"/>
    </row>
    <row r="722">
      <c r="A722" s="4"/>
      <c r="B722" s="4"/>
      <c r="C722" s="4"/>
      <c r="D722" s="4"/>
      <c r="E722" s="4"/>
      <c r="F722" s="4"/>
      <c r="G722" s="4"/>
    </row>
    <row r="723">
      <c r="A723" s="4"/>
      <c r="B723" s="4"/>
      <c r="C723" s="4"/>
      <c r="D723" s="4"/>
      <c r="E723" s="4"/>
      <c r="F723" s="4"/>
      <c r="G723" s="4"/>
    </row>
    <row r="724">
      <c r="A724" s="4"/>
      <c r="B724" s="4"/>
      <c r="C724" s="4"/>
      <c r="D724" s="4"/>
      <c r="E724" s="4"/>
      <c r="F724" s="4"/>
      <c r="G724" s="4"/>
    </row>
    <row r="725">
      <c r="A725" s="4"/>
      <c r="B725" s="4"/>
      <c r="C725" s="4"/>
      <c r="D725" s="4"/>
      <c r="E725" s="4"/>
      <c r="F725" s="4"/>
      <c r="G725" s="4"/>
    </row>
    <row r="726">
      <c r="A726" s="4"/>
      <c r="B726" s="4"/>
      <c r="C726" s="4"/>
      <c r="D726" s="4"/>
      <c r="E726" s="4"/>
      <c r="F726" s="4"/>
      <c r="G726" s="4"/>
    </row>
    <row r="727">
      <c r="A727" s="4"/>
      <c r="B727" s="4"/>
      <c r="C727" s="4"/>
      <c r="D727" s="4"/>
      <c r="E727" s="4"/>
      <c r="F727" s="4"/>
      <c r="G727" s="4"/>
    </row>
    <row r="728">
      <c r="A728" s="4"/>
      <c r="B728" s="4"/>
      <c r="C728" s="4"/>
      <c r="D728" s="4"/>
      <c r="E728" s="4"/>
      <c r="F728" s="4"/>
      <c r="G728" s="4"/>
    </row>
    <row r="729">
      <c r="A729" s="4"/>
      <c r="B729" s="4"/>
      <c r="C729" s="4"/>
      <c r="D729" s="4"/>
      <c r="E729" s="4"/>
      <c r="F729" s="4"/>
      <c r="G729" s="4"/>
    </row>
    <row r="730">
      <c r="A730" s="4"/>
      <c r="B730" s="4"/>
      <c r="C730" s="4"/>
      <c r="D730" s="4"/>
      <c r="E730" s="4"/>
      <c r="F730" s="4"/>
      <c r="G730" s="4"/>
    </row>
    <row r="731">
      <c r="A731" s="4"/>
      <c r="B731" s="4"/>
      <c r="C731" s="4"/>
      <c r="D731" s="4"/>
      <c r="E731" s="4"/>
      <c r="F731" s="4"/>
      <c r="G731" s="4"/>
    </row>
    <row r="732">
      <c r="A732" s="4"/>
      <c r="B732" s="4"/>
      <c r="C732" s="4"/>
      <c r="D732" s="4"/>
      <c r="E732" s="4"/>
      <c r="F732" s="4"/>
      <c r="G732" s="4"/>
    </row>
    <row r="733">
      <c r="A733" s="4"/>
      <c r="B733" s="4"/>
      <c r="C733" s="4"/>
      <c r="D733" s="4"/>
      <c r="E733" s="4"/>
      <c r="F733" s="4"/>
      <c r="G733" s="4"/>
    </row>
    <row r="734">
      <c r="A734" s="4"/>
      <c r="B734" s="4"/>
      <c r="C734" s="4"/>
      <c r="D734" s="4"/>
      <c r="E734" s="4"/>
      <c r="F734" s="4"/>
      <c r="G734" s="4"/>
    </row>
    <row r="735">
      <c r="A735" s="4"/>
      <c r="B735" s="4"/>
      <c r="C735" s="4"/>
      <c r="D735" s="4"/>
      <c r="E735" s="4"/>
      <c r="F735" s="4"/>
      <c r="G735" s="4"/>
    </row>
    <row r="736">
      <c r="A736" s="4"/>
      <c r="B736" s="4"/>
      <c r="C736" s="4"/>
      <c r="D736" s="4"/>
      <c r="E736" s="4"/>
      <c r="F736" s="4"/>
      <c r="G736" s="4"/>
    </row>
    <row r="737">
      <c r="A737" s="4"/>
      <c r="B737" s="4"/>
      <c r="C737" s="4"/>
      <c r="D737" s="4"/>
      <c r="E737" s="4"/>
      <c r="F737" s="4"/>
      <c r="G737" s="4"/>
    </row>
    <row r="738">
      <c r="A738" s="4"/>
      <c r="B738" s="4"/>
      <c r="C738" s="4"/>
      <c r="D738" s="4"/>
      <c r="E738" s="4"/>
      <c r="F738" s="4"/>
      <c r="G738" s="4"/>
    </row>
    <row r="739">
      <c r="A739" s="4"/>
      <c r="B739" s="4"/>
      <c r="C739" s="4"/>
      <c r="D739" s="4"/>
      <c r="E739" s="4"/>
      <c r="F739" s="4"/>
      <c r="G739" s="4"/>
    </row>
    <row r="740">
      <c r="A740" s="4"/>
      <c r="B740" s="4"/>
      <c r="C740" s="4"/>
      <c r="D740" s="4"/>
      <c r="E740" s="4"/>
      <c r="F740" s="4"/>
      <c r="G740" s="4"/>
    </row>
    <row r="741">
      <c r="A741" s="4"/>
      <c r="B741" s="4"/>
      <c r="C741" s="4"/>
      <c r="D741" s="4"/>
      <c r="E741" s="4"/>
      <c r="F741" s="4"/>
      <c r="G741" s="4"/>
    </row>
    <row r="742">
      <c r="A742" s="4"/>
      <c r="B742" s="4"/>
      <c r="C742" s="4"/>
      <c r="D742" s="4"/>
      <c r="E742" s="4"/>
      <c r="F742" s="4"/>
      <c r="G742" s="4"/>
    </row>
    <row r="743">
      <c r="A743" s="4"/>
      <c r="B743" s="4"/>
      <c r="C743" s="4"/>
      <c r="D743" s="4"/>
      <c r="E743" s="4"/>
      <c r="F743" s="4"/>
      <c r="G743" s="4"/>
    </row>
    <row r="744">
      <c r="A744" s="4"/>
      <c r="B744" s="4"/>
      <c r="C744" s="4"/>
      <c r="D744" s="4"/>
      <c r="E744" s="4"/>
      <c r="F744" s="4"/>
      <c r="G744" s="4"/>
    </row>
    <row r="745">
      <c r="A745" s="4"/>
      <c r="B745" s="4"/>
      <c r="C745" s="4"/>
      <c r="D745" s="4"/>
      <c r="E745" s="4"/>
      <c r="F745" s="4"/>
      <c r="G745" s="4"/>
    </row>
    <row r="746">
      <c r="A746" s="4"/>
      <c r="B746" s="4"/>
      <c r="C746" s="4"/>
      <c r="D746" s="4"/>
      <c r="E746" s="4"/>
      <c r="F746" s="4"/>
      <c r="G746" s="4"/>
    </row>
    <row r="747">
      <c r="A747" s="4"/>
      <c r="B747" s="4"/>
      <c r="C747" s="4"/>
      <c r="D747" s="4"/>
      <c r="E747" s="4"/>
      <c r="F747" s="4"/>
      <c r="G747" s="4"/>
    </row>
    <row r="748">
      <c r="A748" s="4"/>
      <c r="B748" s="4"/>
      <c r="C748" s="4"/>
      <c r="D748" s="4"/>
      <c r="E748" s="4"/>
      <c r="F748" s="4"/>
      <c r="G748" s="4"/>
    </row>
    <row r="749">
      <c r="A749" s="4"/>
      <c r="B749" s="4"/>
      <c r="C749" s="4"/>
      <c r="D749" s="4"/>
      <c r="E749" s="4"/>
      <c r="F749" s="4"/>
      <c r="G749" s="4"/>
    </row>
    <row r="750">
      <c r="A750" s="4"/>
      <c r="B750" s="4"/>
      <c r="C750" s="4"/>
      <c r="D750" s="4"/>
      <c r="E750" s="4"/>
      <c r="F750" s="4"/>
      <c r="G750" s="4"/>
    </row>
    <row r="751">
      <c r="A751" s="4"/>
      <c r="B751" s="4"/>
      <c r="C751" s="4"/>
      <c r="D751" s="4"/>
      <c r="E751" s="4"/>
      <c r="F751" s="4"/>
      <c r="G751" s="4"/>
    </row>
    <row r="752">
      <c r="A752" s="4"/>
      <c r="B752" s="4"/>
      <c r="C752" s="4"/>
      <c r="D752" s="4"/>
      <c r="E752" s="4"/>
      <c r="F752" s="4"/>
      <c r="G752" s="4"/>
    </row>
    <row r="753">
      <c r="A753" s="4"/>
      <c r="B753" s="4"/>
      <c r="C753" s="4"/>
      <c r="D753" s="4"/>
      <c r="E753" s="4"/>
      <c r="F753" s="4"/>
      <c r="G753" s="4"/>
    </row>
    <row r="754">
      <c r="A754" s="4"/>
      <c r="B754" s="4"/>
      <c r="C754" s="4"/>
      <c r="D754" s="4"/>
      <c r="E754" s="4"/>
      <c r="F754" s="4"/>
      <c r="G754" s="4"/>
    </row>
    <row r="755">
      <c r="A755" s="4"/>
      <c r="B755" s="4"/>
      <c r="C755" s="4"/>
      <c r="D755" s="4"/>
      <c r="E755" s="4"/>
      <c r="F755" s="4"/>
      <c r="G755" s="4"/>
    </row>
    <row r="756">
      <c r="A756" s="4"/>
      <c r="B756" s="4"/>
      <c r="C756" s="4"/>
      <c r="D756" s="4"/>
      <c r="E756" s="4"/>
      <c r="F756" s="4"/>
      <c r="G756" s="4"/>
    </row>
    <row r="757">
      <c r="A757" s="4"/>
      <c r="B757" s="4"/>
      <c r="C757" s="4"/>
      <c r="D757" s="4"/>
      <c r="E757" s="4"/>
      <c r="F757" s="4"/>
      <c r="G757" s="4"/>
    </row>
    <row r="758">
      <c r="A758" s="4"/>
      <c r="B758" s="4"/>
      <c r="C758" s="4"/>
      <c r="D758" s="4"/>
      <c r="E758" s="4"/>
      <c r="F758" s="4"/>
      <c r="G758" s="4"/>
    </row>
    <row r="759">
      <c r="A759" s="4"/>
      <c r="B759" s="4"/>
      <c r="C759" s="4"/>
      <c r="D759" s="4"/>
      <c r="E759" s="4"/>
      <c r="F759" s="4"/>
      <c r="G759" s="4"/>
    </row>
    <row r="760">
      <c r="A760" s="4"/>
      <c r="B760" s="4"/>
      <c r="C760" s="4"/>
      <c r="D760" s="4"/>
      <c r="E760" s="4"/>
      <c r="F760" s="4"/>
      <c r="G760" s="4"/>
    </row>
    <row r="761">
      <c r="A761" s="4"/>
      <c r="B761" s="4"/>
      <c r="C761" s="4"/>
      <c r="D761" s="4"/>
      <c r="E761" s="4"/>
      <c r="F761" s="4"/>
      <c r="G761" s="4"/>
    </row>
    <row r="762">
      <c r="A762" s="4"/>
      <c r="B762" s="4"/>
      <c r="C762" s="4"/>
      <c r="D762" s="4"/>
      <c r="E762" s="4"/>
      <c r="F762" s="4"/>
      <c r="G762" s="4"/>
    </row>
    <row r="763">
      <c r="A763" s="4"/>
      <c r="B763" s="4"/>
      <c r="C763" s="4"/>
      <c r="D763" s="4"/>
      <c r="E763" s="4"/>
      <c r="F763" s="4"/>
      <c r="G763" s="4"/>
    </row>
    <row r="764">
      <c r="A764" s="4"/>
      <c r="B764" s="4"/>
      <c r="C764" s="4"/>
      <c r="D764" s="4"/>
      <c r="E764" s="4"/>
      <c r="F764" s="4"/>
      <c r="G764" s="4"/>
    </row>
    <row r="765">
      <c r="A765" s="4"/>
      <c r="B765" s="4"/>
      <c r="C765" s="4"/>
      <c r="D765" s="4"/>
      <c r="E765" s="4"/>
      <c r="F765" s="4"/>
      <c r="G765" s="4"/>
    </row>
    <row r="766">
      <c r="A766" s="4"/>
      <c r="B766" s="4"/>
      <c r="C766" s="4"/>
      <c r="D766" s="4"/>
      <c r="E766" s="4"/>
      <c r="F766" s="4"/>
      <c r="G766" s="4"/>
    </row>
    <row r="767">
      <c r="A767" s="4"/>
      <c r="B767" s="4"/>
      <c r="C767" s="4"/>
      <c r="D767" s="4"/>
      <c r="E767" s="4"/>
      <c r="F767" s="4"/>
      <c r="G767" s="4"/>
    </row>
    <row r="768">
      <c r="A768" s="4"/>
      <c r="B768" s="4"/>
      <c r="C768" s="4"/>
      <c r="D768" s="4"/>
      <c r="E768" s="4"/>
      <c r="F768" s="4"/>
      <c r="G768" s="4"/>
    </row>
    <row r="769">
      <c r="A769" s="4"/>
      <c r="B769" s="4"/>
      <c r="C769" s="4"/>
      <c r="D769" s="4"/>
      <c r="E769" s="4"/>
      <c r="F769" s="4"/>
      <c r="G769" s="4"/>
    </row>
    <row r="770">
      <c r="A770" s="4"/>
      <c r="B770" s="4"/>
      <c r="C770" s="4"/>
      <c r="D770" s="4"/>
      <c r="E770" s="4"/>
      <c r="F770" s="4"/>
      <c r="G770" s="4"/>
    </row>
    <row r="771">
      <c r="A771" s="4"/>
      <c r="B771" s="4"/>
      <c r="C771" s="4"/>
      <c r="D771" s="4"/>
      <c r="E771" s="4"/>
      <c r="F771" s="4"/>
      <c r="G771" s="4"/>
    </row>
    <row r="772">
      <c r="A772" s="4"/>
      <c r="B772" s="4"/>
      <c r="C772" s="4"/>
      <c r="D772" s="4"/>
      <c r="E772" s="4"/>
      <c r="F772" s="4"/>
      <c r="G772" s="4"/>
    </row>
    <row r="773">
      <c r="A773" s="4"/>
      <c r="B773" s="4"/>
      <c r="C773" s="4"/>
      <c r="D773" s="4"/>
      <c r="E773" s="4"/>
      <c r="F773" s="4"/>
      <c r="G773" s="4"/>
    </row>
    <row r="774">
      <c r="A774" s="4"/>
      <c r="B774" s="4"/>
      <c r="C774" s="4"/>
      <c r="D774" s="4"/>
      <c r="E774" s="4"/>
      <c r="F774" s="4"/>
      <c r="G774" s="4"/>
    </row>
    <row r="775">
      <c r="A775" s="4"/>
      <c r="B775" s="4"/>
      <c r="C775" s="4"/>
      <c r="D775" s="4"/>
      <c r="E775" s="4"/>
      <c r="F775" s="4"/>
      <c r="G775" s="4"/>
    </row>
    <row r="776">
      <c r="A776" s="4"/>
      <c r="B776" s="4"/>
      <c r="C776" s="4"/>
      <c r="D776" s="4"/>
      <c r="E776" s="4"/>
      <c r="F776" s="4"/>
      <c r="G776" s="4"/>
    </row>
    <row r="777">
      <c r="A777" s="4"/>
      <c r="B777" s="4"/>
      <c r="C777" s="4"/>
      <c r="D777" s="4"/>
      <c r="E777" s="4"/>
      <c r="F777" s="4"/>
      <c r="G777" s="4"/>
    </row>
    <row r="778">
      <c r="A778" s="4"/>
      <c r="B778" s="4"/>
      <c r="C778" s="4"/>
      <c r="D778" s="4"/>
      <c r="E778" s="4"/>
      <c r="F778" s="4"/>
      <c r="G778" s="4"/>
    </row>
    <row r="779">
      <c r="A779" s="4"/>
      <c r="B779" s="4"/>
      <c r="C779" s="4"/>
      <c r="D779" s="4"/>
      <c r="E779" s="4"/>
      <c r="F779" s="4"/>
      <c r="G779" s="4"/>
    </row>
    <row r="780">
      <c r="A780" s="4"/>
      <c r="B780" s="4"/>
      <c r="C780" s="4"/>
      <c r="D780" s="4"/>
      <c r="E780" s="4"/>
      <c r="F780" s="4"/>
      <c r="G780" s="4"/>
    </row>
    <row r="781">
      <c r="A781" s="4"/>
      <c r="B781" s="4"/>
      <c r="C781" s="4"/>
      <c r="D781" s="4"/>
      <c r="E781" s="4"/>
      <c r="F781" s="4"/>
      <c r="G781" s="4"/>
    </row>
    <row r="782">
      <c r="A782" s="4"/>
      <c r="B782" s="4"/>
      <c r="C782" s="4"/>
      <c r="D782" s="4"/>
      <c r="E782" s="4"/>
      <c r="F782" s="4"/>
      <c r="G782" s="4"/>
    </row>
    <row r="783">
      <c r="A783" s="4"/>
      <c r="B783" s="4"/>
      <c r="C783" s="4"/>
      <c r="D783" s="4"/>
      <c r="E783" s="4"/>
      <c r="F783" s="4"/>
      <c r="G783" s="4"/>
    </row>
    <row r="784">
      <c r="A784" s="4"/>
      <c r="B784" s="4"/>
      <c r="C784" s="4"/>
      <c r="D784" s="4"/>
      <c r="E784" s="4"/>
      <c r="F784" s="4"/>
      <c r="G784" s="4"/>
    </row>
    <row r="785">
      <c r="A785" s="4"/>
      <c r="B785" s="4"/>
      <c r="C785" s="4"/>
      <c r="D785" s="4"/>
      <c r="E785" s="4"/>
      <c r="F785" s="4"/>
      <c r="G785" s="4"/>
    </row>
    <row r="786">
      <c r="A786" s="4"/>
      <c r="B786" s="4"/>
      <c r="C786" s="4"/>
      <c r="D786" s="4"/>
      <c r="E786" s="4"/>
      <c r="F786" s="4"/>
      <c r="G786" s="4"/>
    </row>
    <row r="787">
      <c r="A787" s="4"/>
      <c r="B787" s="4"/>
      <c r="C787" s="4"/>
      <c r="D787" s="4"/>
      <c r="E787" s="4"/>
      <c r="F787" s="4"/>
      <c r="G787" s="4"/>
    </row>
    <row r="788">
      <c r="A788" s="4"/>
      <c r="B788" s="4"/>
      <c r="C788" s="4"/>
      <c r="D788" s="4"/>
      <c r="E788" s="4"/>
      <c r="F788" s="4"/>
      <c r="G788" s="4"/>
    </row>
    <row r="789">
      <c r="A789" s="4"/>
      <c r="B789" s="4"/>
      <c r="C789" s="4"/>
      <c r="D789" s="4"/>
      <c r="E789" s="4"/>
      <c r="F789" s="4"/>
      <c r="G789" s="4"/>
    </row>
    <row r="790">
      <c r="A790" s="4"/>
      <c r="B790" s="4"/>
      <c r="C790" s="4"/>
      <c r="D790" s="4"/>
      <c r="E790" s="4"/>
      <c r="F790" s="4"/>
      <c r="G790" s="4"/>
    </row>
    <row r="791">
      <c r="A791" s="4"/>
      <c r="B791" s="4"/>
      <c r="C791" s="4"/>
      <c r="D791" s="4"/>
      <c r="E791" s="4"/>
      <c r="F791" s="4"/>
      <c r="G791" s="4"/>
    </row>
    <row r="792">
      <c r="A792" s="4"/>
      <c r="B792" s="4"/>
      <c r="C792" s="4"/>
      <c r="D792" s="4"/>
      <c r="E792" s="4"/>
      <c r="F792" s="4"/>
      <c r="G792" s="4"/>
    </row>
    <row r="793">
      <c r="A793" s="4"/>
      <c r="B793" s="4"/>
      <c r="C793" s="4"/>
      <c r="D793" s="4"/>
      <c r="E793" s="4"/>
      <c r="F793" s="4"/>
      <c r="G793" s="4"/>
    </row>
    <row r="794">
      <c r="A794" s="4"/>
      <c r="B794" s="4"/>
      <c r="C794" s="4"/>
      <c r="D794" s="4"/>
      <c r="E794" s="4"/>
      <c r="F794" s="4"/>
      <c r="G794" s="4"/>
    </row>
    <row r="795">
      <c r="A795" s="4"/>
      <c r="B795" s="4"/>
      <c r="C795" s="4"/>
      <c r="D795" s="4"/>
      <c r="E795" s="4"/>
      <c r="F795" s="4"/>
      <c r="G795" s="4"/>
    </row>
    <row r="796">
      <c r="A796" s="4"/>
      <c r="B796" s="4"/>
      <c r="C796" s="4"/>
      <c r="D796" s="4"/>
      <c r="E796" s="4"/>
      <c r="F796" s="4"/>
      <c r="G796" s="4"/>
    </row>
    <row r="797">
      <c r="A797" s="4"/>
      <c r="B797" s="4"/>
      <c r="C797" s="4"/>
      <c r="D797" s="4"/>
      <c r="E797" s="4"/>
      <c r="F797" s="4"/>
      <c r="G797" s="4"/>
    </row>
    <row r="798">
      <c r="A798" s="4"/>
      <c r="B798" s="4"/>
      <c r="C798" s="4"/>
      <c r="D798" s="4"/>
      <c r="E798" s="4"/>
      <c r="F798" s="4"/>
      <c r="G798" s="4"/>
    </row>
    <row r="799">
      <c r="A799" s="4"/>
      <c r="B799" s="4"/>
      <c r="C799" s="4"/>
      <c r="D799" s="4"/>
      <c r="E799" s="4"/>
      <c r="F799" s="4"/>
      <c r="G799" s="4"/>
    </row>
    <row r="800">
      <c r="A800" s="4"/>
      <c r="B800" s="4"/>
      <c r="C800" s="4"/>
      <c r="D800" s="4"/>
      <c r="E800" s="4"/>
      <c r="F800" s="4"/>
      <c r="G800" s="4"/>
    </row>
    <row r="801">
      <c r="A801" s="4"/>
      <c r="B801" s="4"/>
      <c r="C801" s="4"/>
      <c r="D801" s="4"/>
      <c r="E801" s="4"/>
      <c r="F801" s="4"/>
      <c r="G801" s="4"/>
    </row>
    <row r="802">
      <c r="A802" s="4"/>
      <c r="B802" s="4"/>
      <c r="C802" s="4"/>
      <c r="D802" s="4"/>
      <c r="E802" s="4"/>
      <c r="F802" s="4"/>
      <c r="G802" s="4"/>
    </row>
    <row r="803">
      <c r="A803" s="4"/>
      <c r="B803" s="4"/>
      <c r="C803" s="4"/>
      <c r="D803" s="4"/>
      <c r="E803" s="4"/>
      <c r="F803" s="4"/>
      <c r="G803" s="4"/>
    </row>
    <row r="804">
      <c r="A804" s="4"/>
      <c r="B804" s="4"/>
      <c r="C804" s="4"/>
      <c r="D804" s="4"/>
      <c r="E804" s="4"/>
      <c r="F804" s="4"/>
      <c r="G804" s="4"/>
    </row>
    <row r="805">
      <c r="A805" s="4"/>
      <c r="B805" s="4"/>
      <c r="C805" s="4"/>
      <c r="D805" s="4"/>
      <c r="E805" s="4"/>
      <c r="F805" s="4"/>
      <c r="G805" s="4"/>
    </row>
    <row r="806">
      <c r="A806" s="4"/>
      <c r="B806" s="4"/>
      <c r="C806" s="4"/>
      <c r="D806" s="4"/>
      <c r="E806" s="4"/>
      <c r="F806" s="4"/>
      <c r="G806" s="4"/>
    </row>
    <row r="807">
      <c r="A807" s="4"/>
      <c r="B807" s="4"/>
      <c r="C807" s="4"/>
      <c r="D807" s="4"/>
      <c r="E807" s="4"/>
      <c r="F807" s="4"/>
      <c r="G807" s="4"/>
    </row>
    <row r="808">
      <c r="A808" s="4"/>
      <c r="B808" s="4"/>
      <c r="C808" s="4"/>
      <c r="D808" s="4"/>
      <c r="E808" s="4"/>
      <c r="F808" s="4"/>
      <c r="G808" s="4"/>
    </row>
    <row r="809">
      <c r="A809" s="4"/>
      <c r="B809" s="4"/>
      <c r="C809" s="4"/>
      <c r="D809" s="4"/>
      <c r="E809" s="4"/>
      <c r="F809" s="4"/>
      <c r="G809" s="4"/>
    </row>
    <row r="810">
      <c r="A810" s="4"/>
      <c r="B810" s="4"/>
      <c r="C810" s="4"/>
      <c r="D810" s="4"/>
      <c r="E810" s="4"/>
      <c r="F810" s="4"/>
      <c r="G810" s="4"/>
    </row>
    <row r="811">
      <c r="A811" s="4"/>
      <c r="B811" s="4"/>
      <c r="C811" s="4"/>
      <c r="D811" s="4"/>
      <c r="E811" s="4"/>
      <c r="F811" s="4"/>
      <c r="G811" s="4"/>
    </row>
    <row r="812">
      <c r="A812" s="4"/>
      <c r="B812" s="4"/>
      <c r="C812" s="4"/>
      <c r="D812" s="4"/>
      <c r="E812" s="4"/>
      <c r="F812" s="4"/>
      <c r="G812" s="4"/>
    </row>
    <row r="813">
      <c r="A813" s="4"/>
      <c r="B813" s="4"/>
      <c r="C813" s="4"/>
      <c r="D813" s="4"/>
      <c r="E813" s="4"/>
      <c r="F813" s="4"/>
      <c r="G813" s="4"/>
    </row>
    <row r="814">
      <c r="A814" s="4"/>
      <c r="B814" s="4"/>
      <c r="C814" s="4"/>
      <c r="D814" s="4"/>
      <c r="E814" s="4"/>
      <c r="F814" s="4"/>
      <c r="G814" s="4"/>
    </row>
    <row r="815">
      <c r="A815" s="4"/>
      <c r="B815" s="4"/>
      <c r="C815" s="4"/>
      <c r="D815" s="4"/>
      <c r="E815" s="4"/>
      <c r="F815" s="4"/>
      <c r="G815" s="4"/>
    </row>
    <row r="816">
      <c r="A816" s="4"/>
      <c r="B816" s="4"/>
      <c r="C816" s="4"/>
      <c r="D816" s="4"/>
      <c r="E816" s="4"/>
      <c r="F816" s="4"/>
      <c r="G816" s="4"/>
    </row>
    <row r="817">
      <c r="A817" s="4"/>
      <c r="B817" s="4"/>
      <c r="C817" s="4"/>
      <c r="D817" s="4"/>
      <c r="E817" s="4"/>
      <c r="F817" s="4"/>
      <c r="G817" s="4"/>
    </row>
    <row r="818">
      <c r="A818" s="4"/>
      <c r="B818" s="4"/>
      <c r="C818" s="4"/>
      <c r="D818" s="4"/>
      <c r="E818" s="4"/>
      <c r="F818" s="4"/>
      <c r="G818" s="4"/>
    </row>
    <row r="819">
      <c r="A819" s="4"/>
      <c r="B819" s="4"/>
      <c r="C819" s="4"/>
      <c r="D819" s="4"/>
      <c r="E819" s="4"/>
      <c r="F819" s="4"/>
      <c r="G819" s="4"/>
    </row>
    <row r="820">
      <c r="A820" s="4"/>
      <c r="B820" s="4"/>
      <c r="C820" s="4"/>
      <c r="D820" s="4"/>
      <c r="E820" s="4"/>
      <c r="F820" s="4"/>
      <c r="G820" s="4"/>
    </row>
    <row r="821">
      <c r="A821" s="4"/>
      <c r="B821" s="4"/>
      <c r="C821" s="4"/>
      <c r="D821" s="4"/>
      <c r="E821" s="4"/>
      <c r="F821" s="4"/>
      <c r="G821" s="4"/>
    </row>
    <row r="822">
      <c r="A822" s="4"/>
      <c r="B822" s="4"/>
      <c r="C822" s="4"/>
      <c r="D822" s="4"/>
      <c r="E822" s="4"/>
      <c r="F822" s="4"/>
      <c r="G822" s="4"/>
    </row>
    <row r="823">
      <c r="A823" s="4"/>
      <c r="B823" s="4"/>
      <c r="C823" s="4"/>
      <c r="D823" s="4"/>
      <c r="E823" s="4"/>
      <c r="F823" s="4"/>
      <c r="G823" s="4"/>
    </row>
    <row r="824">
      <c r="A824" s="4"/>
      <c r="B824" s="4"/>
      <c r="C824" s="4"/>
      <c r="D824" s="4"/>
      <c r="E824" s="4"/>
      <c r="F824" s="4"/>
      <c r="G824" s="4"/>
    </row>
    <row r="825">
      <c r="A825" s="4"/>
      <c r="B825" s="4"/>
      <c r="C825" s="4"/>
      <c r="D825" s="4"/>
      <c r="E825" s="4"/>
      <c r="F825" s="4"/>
      <c r="G825" s="4"/>
    </row>
    <row r="826">
      <c r="A826" s="4"/>
      <c r="B826" s="4"/>
      <c r="C826" s="4"/>
      <c r="D826" s="4"/>
      <c r="E826" s="4"/>
      <c r="F826" s="4"/>
      <c r="G826" s="4"/>
    </row>
    <row r="827">
      <c r="A827" s="4"/>
      <c r="B827" s="4"/>
      <c r="C827" s="4"/>
      <c r="D827" s="4"/>
      <c r="E827" s="4"/>
      <c r="F827" s="4"/>
      <c r="G827" s="4"/>
    </row>
    <row r="828">
      <c r="A828" s="4"/>
      <c r="B828" s="4"/>
      <c r="C828" s="4"/>
      <c r="D828" s="4"/>
      <c r="E828" s="4"/>
      <c r="F828" s="4"/>
      <c r="G828" s="4"/>
    </row>
    <row r="829">
      <c r="A829" s="4"/>
      <c r="B829" s="4"/>
      <c r="C829" s="4"/>
      <c r="D829" s="4"/>
      <c r="E829" s="4"/>
      <c r="F829" s="4"/>
      <c r="G829" s="4"/>
    </row>
    <row r="830">
      <c r="A830" s="4"/>
      <c r="B830" s="4"/>
      <c r="C830" s="4"/>
      <c r="D830" s="4"/>
      <c r="E830" s="4"/>
      <c r="F830" s="4"/>
      <c r="G830" s="4"/>
    </row>
    <row r="831">
      <c r="A831" s="4"/>
      <c r="B831" s="4"/>
      <c r="C831" s="4"/>
      <c r="D831" s="4"/>
      <c r="E831" s="4"/>
      <c r="F831" s="4"/>
      <c r="G831" s="4"/>
    </row>
    <row r="832">
      <c r="A832" s="4"/>
      <c r="B832" s="4"/>
      <c r="C832" s="4"/>
      <c r="D832" s="4"/>
      <c r="E832" s="4"/>
      <c r="F832" s="4"/>
      <c r="G832" s="4"/>
    </row>
    <row r="833">
      <c r="A833" s="4"/>
      <c r="B833" s="4"/>
      <c r="C833" s="4"/>
      <c r="D833" s="4"/>
      <c r="E833" s="4"/>
      <c r="F833" s="4"/>
      <c r="G833" s="4"/>
    </row>
    <row r="834">
      <c r="A834" s="4"/>
      <c r="B834" s="4"/>
      <c r="C834" s="4"/>
      <c r="D834" s="4"/>
      <c r="E834" s="4"/>
      <c r="F834" s="4"/>
      <c r="G834" s="4"/>
    </row>
    <row r="835">
      <c r="A835" s="4"/>
      <c r="B835" s="4"/>
      <c r="C835" s="4"/>
      <c r="D835" s="4"/>
      <c r="E835" s="4"/>
      <c r="F835" s="4"/>
      <c r="G835" s="4"/>
    </row>
    <row r="836">
      <c r="A836" s="4"/>
      <c r="B836" s="4"/>
      <c r="C836" s="4"/>
      <c r="D836" s="4"/>
      <c r="E836" s="4"/>
      <c r="F836" s="4"/>
      <c r="G836" s="4"/>
    </row>
    <row r="837">
      <c r="A837" s="4"/>
      <c r="B837" s="4"/>
      <c r="C837" s="4"/>
      <c r="D837" s="4"/>
      <c r="E837" s="4"/>
      <c r="F837" s="4"/>
      <c r="G837" s="4"/>
    </row>
    <row r="838">
      <c r="A838" s="4"/>
      <c r="B838" s="4"/>
      <c r="C838" s="4"/>
      <c r="D838" s="4"/>
      <c r="E838" s="4"/>
      <c r="F838" s="4"/>
      <c r="G838" s="4"/>
    </row>
    <row r="839">
      <c r="A839" s="4"/>
      <c r="B839" s="4"/>
      <c r="C839" s="4"/>
      <c r="D839" s="4"/>
      <c r="E839" s="4"/>
      <c r="F839" s="4"/>
      <c r="G839" s="4"/>
    </row>
    <row r="840">
      <c r="A840" s="4"/>
      <c r="B840" s="4"/>
      <c r="C840" s="4"/>
      <c r="D840" s="4"/>
      <c r="E840" s="4"/>
      <c r="F840" s="4"/>
      <c r="G840" s="4"/>
    </row>
    <row r="841">
      <c r="A841" s="4"/>
      <c r="B841" s="4"/>
      <c r="C841" s="4"/>
      <c r="D841" s="4"/>
      <c r="E841" s="4"/>
      <c r="F841" s="4"/>
      <c r="G841" s="4"/>
    </row>
    <row r="842">
      <c r="A842" s="4"/>
      <c r="B842" s="4"/>
      <c r="C842" s="4"/>
      <c r="D842" s="4"/>
      <c r="E842" s="4"/>
      <c r="F842" s="4"/>
      <c r="G842" s="4"/>
    </row>
    <row r="843">
      <c r="A843" s="4"/>
      <c r="B843" s="4"/>
      <c r="C843" s="4"/>
      <c r="D843" s="4"/>
      <c r="E843" s="4"/>
      <c r="F843" s="4"/>
      <c r="G843" s="4"/>
    </row>
    <row r="844">
      <c r="A844" s="4"/>
      <c r="B844" s="4"/>
      <c r="C844" s="4"/>
      <c r="D844" s="4"/>
      <c r="E844" s="4"/>
      <c r="F844" s="4"/>
      <c r="G844" s="4"/>
    </row>
    <row r="845">
      <c r="A845" s="4"/>
      <c r="B845" s="4"/>
      <c r="C845" s="4"/>
      <c r="D845" s="4"/>
      <c r="E845" s="4"/>
      <c r="F845" s="4"/>
      <c r="G845" s="4"/>
    </row>
    <row r="846">
      <c r="A846" s="4"/>
      <c r="B846" s="4"/>
      <c r="C846" s="4"/>
      <c r="D846" s="4"/>
      <c r="E846" s="4"/>
      <c r="F846" s="4"/>
      <c r="G846" s="4"/>
    </row>
    <row r="847">
      <c r="A847" s="4"/>
      <c r="B847" s="4"/>
      <c r="C847" s="4"/>
      <c r="D847" s="4"/>
      <c r="E847" s="4"/>
      <c r="F847" s="4"/>
      <c r="G847" s="4"/>
    </row>
    <row r="848">
      <c r="A848" s="4"/>
      <c r="B848" s="4"/>
      <c r="C848" s="4"/>
      <c r="D848" s="4"/>
      <c r="E848" s="4"/>
      <c r="F848" s="4"/>
      <c r="G848" s="4"/>
    </row>
    <row r="849">
      <c r="A849" s="4"/>
      <c r="B849" s="4"/>
      <c r="C849" s="4"/>
      <c r="D849" s="4"/>
      <c r="E849" s="4"/>
      <c r="F849" s="4"/>
      <c r="G849" s="4"/>
    </row>
    <row r="850">
      <c r="A850" s="4"/>
      <c r="B850" s="4"/>
      <c r="C850" s="4"/>
      <c r="D850" s="4"/>
      <c r="E850" s="4"/>
      <c r="F850" s="4"/>
      <c r="G850" s="4"/>
    </row>
    <row r="851">
      <c r="A851" s="4"/>
      <c r="B851" s="4"/>
      <c r="C851" s="4"/>
      <c r="D851" s="4"/>
      <c r="E851" s="4"/>
      <c r="F851" s="4"/>
      <c r="G851" s="4"/>
    </row>
    <row r="852">
      <c r="A852" s="4"/>
      <c r="B852" s="4"/>
      <c r="C852" s="4"/>
      <c r="D852" s="4"/>
      <c r="E852" s="4"/>
      <c r="F852" s="4"/>
      <c r="G852" s="4"/>
    </row>
    <row r="853">
      <c r="A853" s="4"/>
      <c r="B853" s="4"/>
      <c r="C853" s="4"/>
      <c r="D853" s="4"/>
      <c r="E853" s="4"/>
      <c r="F853" s="4"/>
      <c r="G853" s="4"/>
    </row>
    <row r="854">
      <c r="A854" s="4"/>
      <c r="B854" s="4"/>
      <c r="C854" s="4"/>
      <c r="D854" s="4"/>
      <c r="E854" s="4"/>
      <c r="F854" s="4"/>
      <c r="G854" s="4"/>
    </row>
    <row r="855">
      <c r="A855" s="4"/>
      <c r="B855" s="4"/>
      <c r="C855" s="4"/>
      <c r="D855" s="4"/>
      <c r="E855" s="4"/>
      <c r="F855" s="4"/>
      <c r="G855" s="4"/>
    </row>
    <row r="856">
      <c r="A856" s="4"/>
      <c r="B856" s="4"/>
      <c r="C856" s="4"/>
      <c r="D856" s="4"/>
      <c r="E856" s="4"/>
      <c r="F856" s="4"/>
      <c r="G856" s="4"/>
    </row>
    <row r="857">
      <c r="A857" s="4"/>
      <c r="B857" s="4"/>
      <c r="C857" s="4"/>
      <c r="D857" s="4"/>
      <c r="E857" s="4"/>
      <c r="F857" s="4"/>
      <c r="G857" s="4"/>
    </row>
    <row r="858">
      <c r="A858" s="4"/>
      <c r="B858" s="4"/>
      <c r="C858" s="4"/>
      <c r="D858" s="4"/>
      <c r="E858" s="4"/>
      <c r="F858" s="4"/>
      <c r="G858" s="4"/>
    </row>
    <row r="859">
      <c r="A859" s="4"/>
      <c r="B859" s="4"/>
      <c r="C859" s="4"/>
      <c r="D859" s="4"/>
      <c r="E859" s="4"/>
      <c r="F859" s="4"/>
      <c r="G859" s="4"/>
    </row>
    <row r="860">
      <c r="A860" s="4"/>
      <c r="B860" s="4"/>
      <c r="C860" s="4"/>
      <c r="D860" s="4"/>
      <c r="E860" s="4"/>
      <c r="F860" s="4"/>
      <c r="G860" s="4"/>
    </row>
    <row r="861">
      <c r="A861" s="4"/>
      <c r="B861" s="4"/>
      <c r="C861" s="4"/>
      <c r="D861" s="4"/>
      <c r="E861" s="4"/>
      <c r="F861" s="4"/>
      <c r="G861" s="4"/>
    </row>
    <row r="862">
      <c r="A862" s="4"/>
      <c r="B862" s="4"/>
      <c r="C862" s="4"/>
      <c r="D862" s="4"/>
      <c r="E862" s="4"/>
      <c r="F862" s="4"/>
      <c r="G862" s="4"/>
    </row>
    <row r="863">
      <c r="A863" s="4"/>
      <c r="B863" s="4"/>
      <c r="C863" s="4"/>
      <c r="D863" s="4"/>
      <c r="E863" s="4"/>
      <c r="F863" s="4"/>
      <c r="G863" s="4"/>
    </row>
    <row r="864">
      <c r="A864" s="4"/>
      <c r="B864" s="4"/>
      <c r="C864" s="4"/>
      <c r="D864" s="4"/>
      <c r="E864" s="4"/>
      <c r="F864" s="4"/>
      <c r="G864" s="4"/>
    </row>
    <row r="865">
      <c r="A865" s="4"/>
      <c r="B865" s="4"/>
      <c r="C865" s="4"/>
      <c r="D865" s="4"/>
      <c r="E865" s="4"/>
      <c r="F865" s="4"/>
      <c r="G865" s="4"/>
    </row>
    <row r="866">
      <c r="A866" s="4"/>
      <c r="B866" s="4"/>
      <c r="C866" s="4"/>
      <c r="D866" s="4"/>
      <c r="E866" s="4"/>
      <c r="F866" s="4"/>
      <c r="G866" s="4"/>
    </row>
    <row r="867">
      <c r="A867" s="4"/>
      <c r="B867" s="4"/>
      <c r="C867" s="4"/>
      <c r="D867" s="4"/>
      <c r="E867" s="4"/>
      <c r="F867" s="4"/>
      <c r="G867" s="4"/>
    </row>
    <row r="868">
      <c r="A868" s="4"/>
      <c r="B868" s="4"/>
      <c r="C868" s="4"/>
      <c r="D868" s="4"/>
      <c r="E868" s="4"/>
      <c r="F868" s="4"/>
      <c r="G868" s="4"/>
    </row>
    <row r="869">
      <c r="A869" s="4"/>
      <c r="B869" s="4"/>
      <c r="C869" s="4"/>
      <c r="D869" s="4"/>
      <c r="E869" s="4"/>
      <c r="F869" s="4"/>
      <c r="G869" s="4"/>
    </row>
    <row r="870">
      <c r="A870" s="4"/>
      <c r="B870" s="4"/>
      <c r="C870" s="4"/>
      <c r="D870" s="4"/>
      <c r="E870" s="4"/>
      <c r="F870" s="4"/>
      <c r="G870" s="4"/>
    </row>
    <row r="871">
      <c r="A871" s="4"/>
      <c r="B871" s="4"/>
      <c r="C871" s="4"/>
      <c r="D871" s="4"/>
      <c r="E871" s="4"/>
      <c r="F871" s="4"/>
      <c r="G871" s="4"/>
    </row>
    <row r="872">
      <c r="A872" s="4"/>
      <c r="B872" s="4"/>
      <c r="C872" s="4"/>
      <c r="D872" s="4"/>
      <c r="E872" s="4"/>
      <c r="F872" s="4"/>
      <c r="G872" s="4"/>
    </row>
    <row r="873">
      <c r="A873" s="4"/>
      <c r="B873" s="4"/>
      <c r="C873" s="4"/>
      <c r="D873" s="4"/>
      <c r="E873" s="4"/>
      <c r="F873" s="4"/>
      <c r="G873" s="4"/>
    </row>
    <row r="874">
      <c r="A874" s="4"/>
      <c r="B874" s="4"/>
      <c r="C874" s="4"/>
      <c r="D874" s="4"/>
      <c r="E874" s="4"/>
      <c r="F874" s="4"/>
      <c r="G874" s="4"/>
    </row>
    <row r="875">
      <c r="A875" s="4"/>
      <c r="B875" s="4"/>
      <c r="C875" s="4"/>
      <c r="D875" s="4"/>
      <c r="E875" s="4"/>
      <c r="F875" s="4"/>
      <c r="G875" s="4"/>
    </row>
    <row r="876">
      <c r="A876" s="4"/>
      <c r="B876" s="4"/>
      <c r="C876" s="4"/>
      <c r="D876" s="4"/>
      <c r="E876" s="4"/>
      <c r="F876" s="4"/>
      <c r="G876" s="4"/>
    </row>
    <row r="877">
      <c r="A877" s="4"/>
      <c r="B877" s="4"/>
      <c r="C877" s="4"/>
      <c r="D877" s="4"/>
      <c r="E877" s="4"/>
      <c r="F877" s="4"/>
      <c r="G877" s="4"/>
    </row>
    <row r="878">
      <c r="A878" s="4"/>
      <c r="B878" s="4"/>
      <c r="C878" s="4"/>
      <c r="D878" s="4"/>
      <c r="E878" s="4"/>
      <c r="F878" s="4"/>
      <c r="G878" s="4"/>
    </row>
    <row r="879">
      <c r="A879" s="4"/>
      <c r="B879" s="4"/>
      <c r="C879" s="4"/>
      <c r="D879" s="4"/>
      <c r="E879" s="4"/>
      <c r="F879" s="4"/>
      <c r="G879" s="4"/>
    </row>
    <row r="880">
      <c r="A880" s="4"/>
      <c r="B880" s="4"/>
      <c r="C880" s="4"/>
      <c r="D880" s="4"/>
      <c r="E880" s="4"/>
      <c r="F880" s="4"/>
      <c r="G880" s="4"/>
    </row>
    <row r="881">
      <c r="A881" s="4"/>
      <c r="B881" s="4"/>
      <c r="C881" s="4"/>
      <c r="D881" s="4"/>
      <c r="E881" s="4"/>
      <c r="F881" s="4"/>
      <c r="G881" s="4"/>
    </row>
    <row r="882">
      <c r="A882" s="4"/>
      <c r="B882" s="4"/>
      <c r="C882" s="4"/>
      <c r="D882" s="4"/>
      <c r="E882" s="4"/>
      <c r="F882" s="4"/>
      <c r="G882" s="4"/>
    </row>
    <row r="883">
      <c r="A883" s="4"/>
      <c r="B883" s="4"/>
      <c r="C883" s="4"/>
      <c r="D883" s="4"/>
      <c r="E883" s="4"/>
      <c r="F883" s="4"/>
      <c r="G883" s="4"/>
    </row>
    <row r="884">
      <c r="A884" s="4"/>
      <c r="B884" s="4"/>
      <c r="C884" s="4"/>
      <c r="D884" s="4"/>
      <c r="E884" s="4"/>
      <c r="F884" s="4"/>
      <c r="G884" s="4"/>
    </row>
    <row r="885">
      <c r="A885" s="4"/>
      <c r="B885" s="4"/>
      <c r="C885" s="4"/>
      <c r="D885" s="4"/>
      <c r="E885" s="4"/>
      <c r="F885" s="4"/>
      <c r="G885" s="4"/>
    </row>
    <row r="886">
      <c r="A886" s="4"/>
      <c r="B886" s="4"/>
      <c r="C886" s="4"/>
      <c r="D886" s="4"/>
      <c r="E886" s="4"/>
      <c r="F886" s="4"/>
      <c r="G886" s="4"/>
    </row>
    <row r="887">
      <c r="A887" s="4"/>
      <c r="B887" s="4"/>
      <c r="C887" s="4"/>
      <c r="D887" s="4"/>
      <c r="E887" s="4"/>
      <c r="F887" s="4"/>
      <c r="G887" s="4"/>
    </row>
    <row r="888">
      <c r="A888" s="4"/>
      <c r="B888" s="4"/>
      <c r="C888" s="4"/>
      <c r="D888" s="4"/>
      <c r="E888" s="4"/>
      <c r="F888" s="4"/>
      <c r="G888" s="4"/>
    </row>
    <row r="889">
      <c r="A889" s="4"/>
      <c r="B889" s="4"/>
      <c r="C889" s="4"/>
      <c r="D889" s="4"/>
      <c r="E889" s="4"/>
      <c r="F889" s="4"/>
      <c r="G889" s="4"/>
    </row>
    <row r="890">
      <c r="A890" s="4"/>
      <c r="B890" s="4"/>
      <c r="C890" s="4"/>
      <c r="D890" s="4"/>
      <c r="E890" s="4"/>
      <c r="F890" s="4"/>
      <c r="G890" s="4"/>
    </row>
    <row r="891">
      <c r="A891" s="4"/>
      <c r="B891" s="4"/>
      <c r="C891" s="4"/>
      <c r="D891" s="4"/>
      <c r="E891" s="4"/>
      <c r="F891" s="4"/>
      <c r="G891" s="4"/>
    </row>
    <row r="892">
      <c r="A892" s="4"/>
      <c r="B892" s="4"/>
      <c r="C892" s="4"/>
      <c r="D892" s="4"/>
      <c r="E892" s="4"/>
      <c r="F892" s="4"/>
      <c r="G892" s="4"/>
    </row>
    <row r="893">
      <c r="A893" s="4"/>
      <c r="B893" s="4"/>
      <c r="C893" s="4"/>
      <c r="D893" s="4"/>
      <c r="E893" s="4"/>
      <c r="F893" s="4"/>
      <c r="G893" s="4"/>
    </row>
    <row r="894">
      <c r="A894" s="4"/>
      <c r="B894" s="4"/>
      <c r="C894" s="4"/>
      <c r="D894" s="4"/>
      <c r="E894" s="4"/>
      <c r="F894" s="4"/>
      <c r="G894" s="4"/>
    </row>
    <row r="895">
      <c r="A895" s="4"/>
      <c r="B895" s="4"/>
      <c r="C895" s="4"/>
      <c r="D895" s="4"/>
      <c r="E895" s="4"/>
      <c r="F895" s="4"/>
      <c r="G895" s="4"/>
    </row>
    <row r="896">
      <c r="A896" s="4"/>
      <c r="B896" s="4"/>
      <c r="C896" s="4"/>
      <c r="D896" s="4"/>
      <c r="E896" s="4"/>
      <c r="F896" s="4"/>
      <c r="G896" s="4"/>
    </row>
    <row r="897">
      <c r="A897" s="4"/>
      <c r="B897" s="4"/>
      <c r="C897" s="4"/>
      <c r="D897" s="4"/>
      <c r="E897" s="4"/>
      <c r="F897" s="4"/>
      <c r="G897" s="4"/>
    </row>
    <row r="898">
      <c r="A898" s="4"/>
      <c r="B898" s="4"/>
      <c r="C898" s="4"/>
      <c r="D898" s="4"/>
      <c r="E898" s="4"/>
      <c r="F898" s="4"/>
      <c r="G898" s="4"/>
    </row>
    <row r="899">
      <c r="A899" s="4"/>
      <c r="B899" s="4"/>
      <c r="C899" s="4"/>
      <c r="D899" s="4"/>
      <c r="E899" s="4"/>
      <c r="F899" s="4"/>
      <c r="G899" s="4"/>
    </row>
    <row r="900">
      <c r="A900" s="4"/>
      <c r="B900" s="4"/>
      <c r="C900" s="4"/>
      <c r="D900" s="4"/>
      <c r="E900" s="4"/>
      <c r="F900" s="4"/>
      <c r="G900" s="4"/>
    </row>
    <row r="901">
      <c r="A901" s="4"/>
      <c r="B901" s="4"/>
      <c r="C901" s="4"/>
      <c r="D901" s="4"/>
      <c r="E901" s="4"/>
      <c r="F901" s="4"/>
      <c r="G901" s="4"/>
    </row>
    <row r="902">
      <c r="A902" s="4"/>
      <c r="B902" s="4"/>
      <c r="C902" s="4"/>
      <c r="D902" s="4"/>
      <c r="E902" s="4"/>
      <c r="F902" s="4"/>
      <c r="G902" s="4"/>
    </row>
    <row r="903">
      <c r="A903" s="4"/>
      <c r="B903" s="4"/>
      <c r="C903" s="4"/>
      <c r="D903" s="4"/>
      <c r="E903" s="4"/>
      <c r="F903" s="4"/>
      <c r="G903" s="4"/>
    </row>
    <row r="904">
      <c r="A904" s="4"/>
      <c r="B904" s="4"/>
      <c r="C904" s="4"/>
      <c r="D904" s="4"/>
      <c r="E904" s="4"/>
      <c r="F904" s="4"/>
      <c r="G904" s="4"/>
    </row>
    <row r="905">
      <c r="A905" s="4"/>
      <c r="B905" s="4"/>
      <c r="C905" s="4"/>
      <c r="D905" s="4"/>
      <c r="E905" s="4"/>
      <c r="F905" s="4"/>
      <c r="G905" s="4"/>
    </row>
    <row r="906">
      <c r="A906" s="4"/>
      <c r="B906" s="4"/>
      <c r="C906" s="4"/>
      <c r="D906" s="4"/>
      <c r="E906" s="4"/>
      <c r="F906" s="4"/>
      <c r="G906" s="4"/>
    </row>
    <row r="907">
      <c r="A907" s="4"/>
      <c r="B907" s="4"/>
      <c r="C907" s="4"/>
      <c r="D907" s="4"/>
      <c r="E907" s="4"/>
      <c r="F907" s="4"/>
      <c r="G907" s="4"/>
    </row>
    <row r="908">
      <c r="A908" s="4"/>
      <c r="B908" s="4"/>
      <c r="C908" s="4"/>
      <c r="D908" s="4"/>
      <c r="E908" s="4"/>
      <c r="F908" s="4"/>
      <c r="G908" s="4"/>
    </row>
    <row r="909">
      <c r="A909" s="4"/>
      <c r="B909" s="4"/>
      <c r="C909" s="4"/>
      <c r="D909" s="4"/>
      <c r="E909" s="4"/>
      <c r="F909" s="4"/>
      <c r="G909" s="4"/>
    </row>
    <row r="910">
      <c r="A910" s="4"/>
      <c r="B910" s="4"/>
      <c r="C910" s="4"/>
      <c r="D910" s="4"/>
      <c r="E910" s="4"/>
      <c r="F910" s="4"/>
      <c r="G910" s="4"/>
    </row>
    <row r="911">
      <c r="A911" s="4"/>
      <c r="B911" s="4"/>
      <c r="C911" s="4"/>
      <c r="D911" s="4"/>
      <c r="E911" s="4"/>
      <c r="F911" s="4"/>
      <c r="G911" s="4"/>
    </row>
    <row r="912">
      <c r="A912" s="4"/>
      <c r="B912" s="4"/>
      <c r="C912" s="4"/>
      <c r="D912" s="4"/>
      <c r="E912" s="4"/>
      <c r="F912" s="4"/>
      <c r="G912" s="4"/>
    </row>
    <row r="913">
      <c r="A913" s="4"/>
      <c r="B913" s="4"/>
      <c r="C913" s="4"/>
      <c r="D913" s="4"/>
      <c r="E913" s="4"/>
      <c r="F913" s="4"/>
      <c r="G913" s="4"/>
    </row>
    <row r="914">
      <c r="A914" s="4"/>
      <c r="B914" s="4"/>
      <c r="C914" s="4"/>
      <c r="D914" s="4"/>
      <c r="E914" s="4"/>
      <c r="F914" s="4"/>
      <c r="G914" s="4"/>
    </row>
    <row r="915">
      <c r="A915" s="4"/>
      <c r="B915" s="4"/>
      <c r="C915" s="4"/>
      <c r="D915" s="4"/>
      <c r="E915" s="4"/>
      <c r="F915" s="4"/>
      <c r="G915" s="4"/>
    </row>
    <row r="916">
      <c r="A916" s="4"/>
      <c r="B916" s="4"/>
      <c r="C916" s="4"/>
      <c r="D916" s="4"/>
      <c r="E916" s="4"/>
      <c r="F916" s="4"/>
      <c r="G916" s="4"/>
    </row>
    <row r="917">
      <c r="A917" s="4"/>
      <c r="B917" s="4"/>
      <c r="C917" s="4"/>
      <c r="D917" s="4"/>
      <c r="E917" s="4"/>
      <c r="F917" s="4"/>
      <c r="G917" s="4"/>
    </row>
    <row r="918">
      <c r="A918" s="4"/>
      <c r="B918" s="4"/>
      <c r="C918" s="4"/>
      <c r="D918" s="4"/>
      <c r="E918" s="4"/>
      <c r="F918" s="4"/>
      <c r="G918" s="4"/>
    </row>
    <row r="919">
      <c r="A919" s="4"/>
      <c r="B919" s="4"/>
      <c r="C919" s="4"/>
      <c r="D919" s="4"/>
      <c r="E919" s="4"/>
      <c r="F919" s="4"/>
      <c r="G919" s="4"/>
    </row>
    <row r="920">
      <c r="A920" s="4"/>
      <c r="B920" s="4"/>
      <c r="C920" s="4"/>
      <c r="D920" s="4"/>
      <c r="E920" s="4"/>
      <c r="F920" s="4"/>
      <c r="G920" s="4"/>
    </row>
    <row r="921">
      <c r="A921" s="4"/>
      <c r="B921" s="4"/>
      <c r="C921" s="4"/>
      <c r="D921" s="4"/>
      <c r="E921" s="4"/>
      <c r="F921" s="4"/>
      <c r="G921" s="4"/>
    </row>
    <row r="922">
      <c r="A922" s="4"/>
      <c r="B922" s="4"/>
      <c r="C922" s="4"/>
      <c r="D922" s="4"/>
      <c r="E922" s="4"/>
      <c r="F922" s="4"/>
      <c r="G922" s="4"/>
    </row>
    <row r="923">
      <c r="A923" s="4"/>
      <c r="B923" s="4"/>
      <c r="C923" s="4"/>
      <c r="D923" s="4"/>
      <c r="E923" s="4"/>
      <c r="F923" s="4"/>
      <c r="G923" s="4"/>
    </row>
    <row r="924">
      <c r="A924" s="4"/>
      <c r="B924" s="4"/>
      <c r="C924" s="4"/>
      <c r="D924" s="4"/>
      <c r="E924" s="4"/>
      <c r="F924" s="4"/>
      <c r="G924" s="4"/>
    </row>
    <row r="925">
      <c r="A925" s="4"/>
      <c r="B925" s="4"/>
      <c r="C925" s="4"/>
      <c r="D925" s="4"/>
      <c r="E925" s="4"/>
      <c r="F925" s="4"/>
      <c r="G925" s="4"/>
    </row>
    <row r="926">
      <c r="A926" s="4"/>
      <c r="B926" s="4"/>
      <c r="C926" s="4"/>
      <c r="D926" s="4"/>
      <c r="E926" s="4"/>
      <c r="F926" s="4"/>
      <c r="G926" s="4"/>
    </row>
    <row r="927">
      <c r="A927" s="4"/>
      <c r="B927" s="4"/>
      <c r="C927" s="4"/>
      <c r="D927" s="4"/>
      <c r="E927" s="4"/>
      <c r="F927" s="4"/>
      <c r="G927" s="4"/>
    </row>
    <row r="928">
      <c r="A928" s="4"/>
      <c r="B928" s="4"/>
      <c r="C928" s="4"/>
      <c r="D928" s="4"/>
      <c r="E928" s="4"/>
      <c r="F928" s="4"/>
      <c r="G928" s="4"/>
    </row>
    <row r="929">
      <c r="A929" s="4"/>
      <c r="B929" s="4"/>
      <c r="C929" s="4"/>
      <c r="D929" s="4"/>
      <c r="E929" s="4"/>
      <c r="F929" s="4"/>
      <c r="G929" s="4"/>
    </row>
    <row r="930">
      <c r="A930" s="4"/>
      <c r="B930" s="4"/>
      <c r="C930" s="4"/>
      <c r="D930" s="4"/>
      <c r="E930" s="4"/>
      <c r="F930" s="4"/>
      <c r="G930" s="4"/>
    </row>
    <row r="931">
      <c r="A931" s="4"/>
      <c r="B931" s="4"/>
      <c r="C931" s="4"/>
      <c r="D931" s="4"/>
      <c r="E931" s="4"/>
      <c r="F931" s="4"/>
      <c r="G931" s="4"/>
    </row>
    <row r="932">
      <c r="A932" s="4"/>
      <c r="B932" s="4"/>
      <c r="C932" s="4"/>
      <c r="D932" s="4"/>
      <c r="E932" s="4"/>
      <c r="F932" s="4"/>
      <c r="G932" s="4"/>
    </row>
    <row r="933">
      <c r="A933" s="4"/>
      <c r="B933" s="4"/>
      <c r="C933" s="4"/>
      <c r="D933" s="4"/>
      <c r="E933" s="4"/>
      <c r="F933" s="4"/>
      <c r="G933" s="4"/>
    </row>
    <row r="934">
      <c r="A934" s="4"/>
      <c r="B934" s="4"/>
      <c r="C934" s="4"/>
      <c r="D934" s="4"/>
      <c r="E934" s="4"/>
      <c r="F934" s="4"/>
      <c r="G934" s="4"/>
    </row>
    <row r="935">
      <c r="A935" s="4"/>
      <c r="B935" s="4"/>
      <c r="C935" s="4"/>
      <c r="D935" s="4"/>
      <c r="E935" s="4"/>
      <c r="F935" s="4"/>
      <c r="G935" s="4"/>
    </row>
    <row r="936">
      <c r="A936" s="4"/>
      <c r="B936" s="4"/>
      <c r="C936" s="4"/>
      <c r="D936" s="4"/>
      <c r="E936" s="4"/>
      <c r="F936" s="4"/>
      <c r="G936" s="4"/>
    </row>
    <row r="937">
      <c r="A937" s="4"/>
      <c r="B937" s="4"/>
      <c r="C937" s="4"/>
      <c r="D937" s="4"/>
      <c r="E937" s="4"/>
      <c r="F937" s="4"/>
      <c r="G937" s="4"/>
    </row>
    <row r="938">
      <c r="A938" s="4"/>
      <c r="B938" s="4"/>
      <c r="C938" s="4"/>
      <c r="D938" s="4"/>
      <c r="E938" s="4"/>
      <c r="F938" s="4"/>
      <c r="G938" s="4"/>
    </row>
    <row r="939">
      <c r="A939" s="4"/>
      <c r="B939" s="4"/>
      <c r="C939" s="4"/>
      <c r="D939" s="4"/>
      <c r="E939" s="4"/>
      <c r="F939" s="4"/>
      <c r="G939" s="4"/>
    </row>
    <row r="940">
      <c r="A940" s="4"/>
      <c r="B940" s="4"/>
      <c r="C940" s="4"/>
      <c r="D940" s="4"/>
      <c r="E940" s="4"/>
      <c r="F940" s="4"/>
      <c r="G940" s="4"/>
    </row>
    <row r="941">
      <c r="A941" s="4"/>
      <c r="B941" s="4"/>
      <c r="C941" s="4"/>
      <c r="D941" s="4"/>
      <c r="E941" s="4"/>
      <c r="F941" s="4"/>
      <c r="G941" s="4"/>
    </row>
    <row r="942">
      <c r="A942" s="4"/>
      <c r="B942" s="4"/>
      <c r="C942" s="4"/>
      <c r="D942" s="4"/>
      <c r="E942" s="4"/>
      <c r="F942" s="4"/>
      <c r="G942" s="4"/>
    </row>
    <row r="943">
      <c r="A943" s="4"/>
      <c r="B943" s="4"/>
      <c r="C943" s="4"/>
      <c r="D943" s="4"/>
      <c r="E943" s="4"/>
      <c r="F943" s="4"/>
      <c r="G943" s="4"/>
    </row>
    <row r="944">
      <c r="A944" s="4"/>
      <c r="B944" s="4"/>
      <c r="C944" s="4"/>
      <c r="D944" s="4"/>
      <c r="E944" s="4"/>
      <c r="F944" s="4"/>
      <c r="G944" s="4"/>
    </row>
    <row r="945">
      <c r="A945" s="4"/>
      <c r="B945" s="4"/>
      <c r="C945" s="4"/>
      <c r="D945" s="4"/>
      <c r="E945" s="4"/>
      <c r="F945" s="4"/>
      <c r="G945" s="4"/>
    </row>
    <row r="946">
      <c r="A946" s="4"/>
      <c r="B946" s="4"/>
      <c r="C946" s="4"/>
      <c r="D946" s="4"/>
      <c r="E946" s="4"/>
      <c r="F946" s="4"/>
      <c r="G946" s="4"/>
    </row>
    <row r="947">
      <c r="A947" s="4"/>
      <c r="B947" s="4"/>
      <c r="C947" s="4"/>
      <c r="D947" s="4"/>
      <c r="E947" s="4"/>
      <c r="F947" s="4"/>
      <c r="G947" s="4"/>
    </row>
    <row r="948">
      <c r="A948" s="4"/>
      <c r="B948" s="4"/>
      <c r="C948" s="4"/>
      <c r="D948" s="4"/>
      <c r="E948" s="4"/>
      <c r="F948" s="4"/>
      <c r="G948" s="4"/>
    </row>
    <row r="949">
      <c r="A949" s="4"/>
      <c r="B949" s="4"/>
      <c r="C949" s="4"/>
      <c r="D949" s="4"/>
      <c r="E949" s="4"/>
      <c r="F949" s="4"/>
      <c r="G949" s="4"/>
    </row>
    <row r="950">
      <c r="A950" s="4"/>
      <c r="B950" s="4"/>
      <c r="C950" s="4"/>
      <c r="D950" s="4"/>
      <c r="E950" s="4"/>
      <c r="F950" s="4"/>
      <c r="G950" s="4"/>
    </row>
    <row r="951">
      <c r="A951" s="4"/>
      <c r="B951" s="4"/>
      <c r="C951" s="4"/>
      <c r="D951" s="4"/>
      <c r="E951" s="4"/>
      <c r="F951" s="4"/>
      <c r="G951" s="4"/>
    </row>
    <row r="952">
      <c r="A952" s="4"/>
      <c r="B952" s="4"/>
      <c r="C952" s="4"/>
      <c r="D952" s="4"/>
      <c r="E952" s="4"/>
      <c r="F952" s="4"/>
      <c r="G952" s="4"/>
    </row>
    <row r="953">
      <c r="A953" s="4"/>
      <c r="B953" s="4"/>
      <c r="C953" s="4"/>
      <c r="D953" s="4"/>
      <c r="E953" s="4"/>
      <c r="F953" s="4"/>
      <c r="G953" s="4"/>
    </row>
    <row r="954">
      <c r="A954" s="4"/>
      <c r="B954" s="4"/>
      <c r="C954" s="4"/>
      <c r="D954" s="4"/>
      <c r="E954" s="4"/>
      <c r="F954" s="4"/>
      <c r="G954" s="4"/>
    </row>
    <row r="955">
      <c r="A955" s="4"/>
      <c r="B955" s="4"/>
      <c r="C955" s="4"/>
      <c r="D955" s="4"/>
      <c r="E955" s="4"/>
      <c r="F955" s="4"/>
      <c r="G955" s="4"/>
    </row>
    <row r="956">
      <c r="A956" s="4"/>
      <c r="B956" s="4"/>
      <c r="C956" s="4"/>
      <c r="D956" s="4"/>
      <c r="E956" s="4"/>
      <c r="F956" s="4"/>
      <c r="G956" s="4"/>
    </row>
    <row r="957">
      <c r="A957" s="4"/>
      <c r="B957" s="4"/>
      <c r="C957" s="4"/>
      <c r="D957" s="4"/>
      <c r="E957" s="4"/>
      <c r="F957" s="4"/>
      <c r="G957" s="4"/>
    </row>
    <row r="958">
      <c r="A958" s="4"/>
      <c r="B958" s="4"/>
      <c r="C958" s="4"/>
      <c r="D958" s="4"/>
      <c r="E958" s="4"/>
      <c r="F958" s="4"/>
      <c r="G958" s="4"/>
    </row>
    <row r="959">
      <c r="A959" s="4"/>
      <c r="B959" s="4"/>
      <c r="C959" s="4"/>
      <c r="D959" s="4"/>
      <c r="E959" s="4"/>
      <c r="F959" s="4"/>
      <c r="G959" s="4"/>
    </row>
    <row r="960">
      <c r="A960" s="4"/>
      <c r="B960" s="4"/>
      <c r="C960" s="4"/>
      <c r="D960" s="4"/>
      <c r="E960" s="4"/>
      <c r="F960" s="4"/>
      <c r="G960" s="4"/>
    </row>
    <row r="961">
      <c r="A961" s="4"/>
      <c r="B961" s="4"/>
      <c r="C961" s="4"/>
      <c r="D961" s="4"/>
      <c r="E961" s="4"/>
      <c r="F961" s="4"/>
      <c r="G961" s="4"/>
    </row>
    <row r="962">
      <c r="A962" s="4"/>
      <c r="B962" s="4"/>
      <c r="C962" s="4"/>
      <c r="D962" s="4"/>
      <c r="E962" s="4"/>
      <c r="F962" s="4"/>
      <c r="G962" s="4"/>
    </row>
    <row r="963">
      <c r="A963" s="4"/>
      <c r="B963" s="4"/>
      <c r="C963" s="4"/>
      <c r="D963" s="4"/>
      <c r="E963" s="4"/>
      <c r="F963" s="4"/>
      <c r="G963" s="4"/>
    </row>
    <row r="964">
      <c r="A964" s="4"/>
      <c r="B964" s="4"/>
      <c r="C964" s="4"/>
      <c r="D964" s="4"/>
      <c r="E964" s="4"/>
      <c r="F964" s="4"/>
      <c r="G964" s="4"/>
    </row>
    <row r="965">
      <c r="A965" s="4"/>
      <c r="B965" s="4"/>
      <c r="C965" s="4"/>
      <c r="D965" s="4"/>
      <c r="E965" s="4"/>
      <c r="F965" s="4"/>
      <c r="G965" s="4"/>
    </row>
    <row r="966">
      <c r="A966" s="4"/>
      <c r="B966" s="4"/>
      <c r="C966" s="4"/>
      <c r="D966" s="4"/>
      <c r="E966" s="4"/>
      <c r="F966" s="4"/>
      <c r="G966" s="4"/>
    </row>
    <row r="967">
      <c r="A967" s="4"/>
      <c r="B967" s="4"/>
      <c r="C967" s="4"/>
      <c r="D967" s="4"/>
      <c r="E967" s="4"/>
      <c r="F967" s="4"/>
      <c r="G967" s="4"/>
    </row>
    <row r="968">
      <c r="A968" s="4"/>
      <c r="B968" s="4"/>
      <c r="C968" s="4"/>
      <c r="D968" s="4"/>
      <c r="E968" s="4"/>
      <c r="F968" s="4"/>
      <c r="G968" s="4"/>
    </row>
    <row r="969">
      <c r="A969" s="4"/>
      <c r="B969" s="4"/>
      <c r="C969" s="4"/>
      <c r="D969" s="4"/>
      <c r="E969" s="4"/>
      <c r="F969" s="4"/>
      <c r="G969" s="4"/>
    </row>
    <row r="970">
      <c r="A970" s="4"/>
      <c r="B970" s="4"/>
      <c r="C970" s="4"/>
      <c r="D970" s="4"/>
      <c r="E970" s="4"/>
      <c r="F970" s="4"/>
      <c r="G970" s="4"/>
    </row>
    <row r="971">
      <c r="A971" s="4"/>
      <c r="B971" s="4"/>
      <c r="C971" s="4"/>
      <c r="D971" s="4"/>
      <c r="E971" s="4"/>
      <c r="F971" s="4"/>
      <c r="G971" s="4"/>
    </row>
    <row r="972">
      <c r="A972" s="4"/>
      <c r="B972" s="4"/>
      <c r="C972" s="4"/>
      <c r="D972" s="4"/>
      <c r="E972" s="4"/>
      <c r="F972" s="4"/>
      <c r="G972" s="4"/>
    </row>
    <row r="973">
      <c r="A973" s="4"/>
      <c r="B973" s="4"/>
      <c r="C973" s="4"/>
      <c r="D973" s="4"/>
      <c r="E973" s="4"/>
      <c r="F973" s="4"/>
      <c r="G973" s="4"/>
    </row>
    <row r="974">
      <c r="A974" s="4"/>
      <c r="B974" s="4"/>
      <c r="C974" s="4"/>
      <c r="D974" s="4"/>
      <c r="E974" s="4"/>
      <c r="F974" s="4"/>
      <c r="G974" s="4"/>
    </row>
    <row r="975">
      <c r="A975" s="4"/>
      <c r="B975" s="4"/>
      <c r="C975" s="4"/>
      <c r="D975" s="4"/>
      <c r="E975" s="4"/>
      <c r="F975" s="4"/>
      <c r="G975" s="4"/>
    </row>
    <row r="976">
      <c r="A976" s="4"/>
      <c r="B976" s="4"/>
      <c r="C976" s="4"/>
      <c r="D976" s="4"/>
      <c r="E976" s="4"/>
      <c r="F976" s="4"/>
      <c r="G976" s="4"/>
    </row>
    <row r="977">
      <c r="A977" s="4"/>
      <c r="B977" s="4"/>
      <c r="C977" s="4"/>
      <c r="D977" s="4"/>
      <c r="E977" s="4"/>
      <c r="F977" s="4"/>
      <c r="G977" s="4"/>
    </row>
    <row r="978">
      <c r="A978" s="4"/>
      <c r="B978" s="4"/>
      <c r="C978" s="4"/>
      <c r="D978" s="4"/>
      <c r="E978" s="4"/>
      <c r="F978" s="4"/>
      <c r="G978" s="4"/>
    </row>
    <row r="979">
      <c r="A979" s="4"/>
      <c r="B979" s="4"/>
      <c r="C979" s="4"/>
      <c r="D979" s="4"/>
      <c r="E979" s="4"/>
      <c r="F979" s="4"/>
      <c r="G979" s="4"/>
    </row>
    <row r="980">
      <c r="A980" s="4"/>
      <c r="B980" s="4"/>
      <c r="C980" s="4"/>
      <c r="D980" s="4"/>
      <c r="E980" s="4"/>
      <c r="F980" s="4"/>
      <c r="G980" s="4"/>
    </row>
    <row r="981">
      <c r="A981" s="4"/>
      <c r="B981" s="4"/>
      <c r="C981" s="4"/>
      <c r="D981" s="4"/>
      <c r="E981" s="4"/>
      <c r="F981" s="4"/>
      <c r="G981" s="4"/>
    </row>
    <row r="982">
      <c r="A982" s="4"/>
      <c r="B982" s="4"/>
      <c r="C982" s="4"/>
      <c r="D982" s="4"/>
      <c r="E982" s="4"/>
      <c r="F982" s="4"/>
      <c r="G982" s="4"/>
    </row>
    <row r="983">
      <c r="A983" s="4"/>
      <c r="B983" s="4"/>
      <c r="C983" s="4"/>
      <c r="D983" s="4"/>
      <c r="E983" s="4"/>
      <c r="F983" s="4"/>
      <c r="G983" s="4"/>
    </row>
    <row r="984">
      <c r="A984" s="4"/>
      <c r="B984" s="4"/>
      <c r="C984" s="4"/>
      <c r="D984" s="4"/>
      <c r="E984" s="4"/>
      <c r="F984" s="4"/>
      <c r="G984" s="4"/>
    </row>
    <row r="985">
      <c r="A985" s="4"/>
      <c r="B985" s="4"/>
      <c r="C985" s="4"/>
      <c r="D985" s="4"/>
      <c r="E985" s="4"/>
      <c r="F985" s="4"/>
      <c r="G985" s="4"/>
    </row>
    <row r="986">
      <c r="A986" s="4"/>
      <c r="B986" s="4"/>
      <c r="C986" s="4"/>
      <c r="D986" s="4"/>
      <c r="E986" s="4"/>
      <c r="F986" s="4"/>
      <c r="G986" s="4"/>
    </row>
    <row r="987">
      <c r="A987" s="4"/>
      <c r="B987" s="4"/>
      <c r="C987" s="4"/>
      <c r="D987" s="4"/>
      <c r="E987" s="4"/>
      <c r="F987" s="4"/>
      <c r="G987" s="4"/>
    </row>
    <row r="988">
      <c r="A988" s="4"/>
      <c r="B988" s="4"/>
      <c r="C988" s="4"/>
      <c r="D988" s="4"/>
      <c r="E988" s="4"/>
      <c r="F988" s="4"/>
      <c r="G988" s="4"/>
    </row>
    <row r="989">
      <c r="A989" s="4"/>
      <c r="B989" s="4"/>
      <c r="C989" s="4"/>
      <c r="D989" s="4"/>
      <c r="E989" s="4"/>
      <c r="F989" s="4"/>
      <c r="G989" s="4"/>
    </row>
    <row r="990">
      <c r="A990" s="4"/>
      <c r="B990" s="4"/>
      <c r="C990" s="4"/>
      <c r="D990" s="4"/>
      <c r="E990" s="4"/>
      <c r="F990" s="4"/>
      <c r="G990" s="4"/>
    </row>
    <row r="991">
      <c r="A991" s="4"/>
      <c r="B991" s="4"/>
      <c r="C991" s="4"/>
      <c r="D991" s="4"/>
      <c r="E991" s="4"/>
      <c r="F991" s="4"/>
      <c r="G991" s="4"/>
    </row>
    <row r="992">
      <c r="A992" s="4"/>
      <c r="B992" s="4"/>
      <c r="C992" s="4"/>
      <c r="D992" s="4"/>
      <c r="E992" s="4"/>
      <c r="F992" s="4"/>
      <c r="G992" s="4"/>
    </row>
    <row r="993">
      <c r="A993" s="4"/>
      <c r="B993" s="4"/>
      <c r="C993" s="4"/>
      <c r="D993" s="4"/>
      <c r="E993" s="4"/>
      <c r="F993" s="4"/>
      <c r="G993" s="4"/>
    </row>
    <row r="994">
      <c r="A994" s="4"/>
      <c r="B994" s="4"/>
      <c r="C994" s="4"/>
      <c r="D994" s="4"/>
      <c r="E994" s="4"/>
      <c r="F994" s="4"/>
      <c r="G994" s="4"/>
    </row>
    <row r="995">
      <c r="A995" s="4"/>
      <c r="B995" s="4"/>
      <c r="C995" s="4"/>
      <c r="D995" s="4"/>
      <c r="E995" s="4"/>
      <c r="F995" s="4"/>
      <c r="G995" s="4"/>
    </row>
    <row r="996">
      <c r="A996" s="4"/>
      <c r="B996" s="4"/>
      <c r="C996" s="4"/>
      <c r="D996" s="4"/>
      <c r="E996" s="4"/>
      <c r="F996" s="4"/>
      <c r="G996" s="4"/>
    </row>
    <row r="997">
      <c r="A997" s="4"/>
      <c r="B997" s="4"/>
      <c r="C997" s="4"/>
      <c r="D997" s="4"/>
      <c r="E997" s="4"/>
      <c r="F997" s="4"/>
      <c r="G997" s="4"/>
    </row>
    <row r="998">
      <c r="A998" s="4"/>
      <c r="B998" s="4"/>
      <c r="C998" s="4"/>
      <c r="D998" s="4"/>
      <c r="E998" s="4"/>
      <c r="F998" s="4"/>
      <c r="G998" s="4"/>
    </row>
    <row r="999">
      <c r="A999" s="4"/>
      <c r="B999" s="4"/>
      <c r="C999" s="4"/>
      <c r="D999" s="4"/>
      <c r="E999" s="4"/>
      <c r="F999" s="4"/>
      <c r="G999" s="4"/>
    </row>
    <row r="1000">
      <c r="A1000" s="4"/>
      <c r="B1000" s="4"/>
      <c r="C1000" s="4"/>
      <c r="D1000" s="4"/>
      <c r="E1000" s="4"/>
      <c r="F1000" s="4"/>
      <c r="G1000" s="4"/>
    </row>
  </sheetData>
  <autoFilter ref="$A$2:$G$2"/>
  <mergeCells count="1">
    <mergeCell ref="A1:G1"/>
  </mergeCells>
  <printOptions/>
  <pageMargins bottom="1.0" footer="0.0" header="0.0" left="0.75" right="0.75" top="1.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4.38"/>
    <col customWidth="1" min="2" max="2" width="26.25"/>
    <col customWidth="1" min="3" max="3" width="7.0"/>
    <col customWidth="1" min="4" max="5" width="15.75"/>
    <col customWidth="1" min="6" max="6" width="26.25"/>
    <col customWidth="1" min="7" max="7" width="21.88"/>
    <col customWidth="1" min="8" max="26" width="7.63"/>
  </cols>
  <sheetData>
    <row r="1" ht="27.75" customHeight="1">
      <c r="A1" s="69" t="s">
        <v>4616</v>
      </c>
      <c r="B1" s="2"/>
      <c r="C1" s="2"/>
      <c r="D1" s="2"/>
      <c r="E1" s="2"/>
      <c r="F1" s="2"/>
      <c r="G1" s="3"/>
    </row>
    <row r="2" ht="19.5" customHeight="1">
      <c r="A2" s="7" t="s">
        <v>3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</row>
    <row r="3" ht="15.75" customHeight="1">
      <c r="A3" s="28">
        <v>1.0</v>
      </c>
      <c r="B3" s="90" t="s">
        <v>1724</v>
      </c>
      <c r="C3" s="90">
        <v>8.0</v>
      </c>
      <c r="D3" s="90" t="s">
        <v>13</v>
      </c>
      <c r="E3" s="90" t="s">
        <v>13</v>
      </c>
      <c r="F3" s="90" t="s">
        <v>13</v>
      </c>
      <c r="G3" s="90" t="s">
        <v>13</v>
      </c>
      <c r="H3" s="51" t="s">
        <v>4617</v>
      </c>
    </row>
    <row r="4" ht="15.75" customHeight="1">
      <c r="A4" s="28">
        <v>2.0</v>
      </c>
      <c r="B4" s="29" t="s">
        <v>1725</v>
      </c>
      <c r="C4" s="29" t="s">
        <v>1726</v>
      </c>
      <c r="D4" s="29" t="s">
        <v>13</v>
      </c>
      <c r="E4" s="29" t="s">
        <v>13</v>
      </c>
      <c r="F4" s="29" t="s">
        <v>13</v>
      </c>
      <c r="G4" s="29" t="s">
        <v>452</v>
      </c>
      <c r="H4" s="51" t="s">
        <v>4617</v>
      </c>
    </row>
    <row r="5" ht="15.75" customHeight="1">
      <c r="A5" s="28">
        <v>3.0</v>
      </c>
      <c r="B5" s="29" t="s">
        <v>1727</v>
      </c>
      <c r="C5" s="29" t="s">
        <v>13</v>
      </c>
      <c r="D5" s="29" t="s">
        <v>14</v>
      </c>
      <c r="E5" s="29" t="s">
        <v>13</v>
      </c>
      <c r="F5" s="29" t="s">
        <v>13</v>
      </c>
      <c r="G5" s="29" t="s">
        <v>15</v>
      </c>
      <c r="H5" s="51" t="s">
        <v>4617</v>
      </c>
    </row>
    <row r="6" ht="15.75" customHeight="1">
      <c r="A6" s="28">
        <v>4.0</v>
      </c>
      <c r="B6" s="29" t="s">
        <v>435</v>
      </c>
      <c r="C6" s="29">
        <v>10.0</v>
      </c>
      <c r="D6" s="29" t="s">
        <v>14</v>
      </c>
      <c r="E6" s="29" t="s">
        <v>13</v>
      </c>
      <c r="F6" s="29" t="s">
        <v>13</v>
      </c>
      <c r="G6" s="29" t="s">
        <v>540</v>
      </c>
      <c r="H6" s="51" t="s">
        <v>4617</v>
      </c>
    </row>
    <row r="7" ht="15.75" customHeight="1">
      <c r="A7" s="28">
        <v>5.0</v>
      </c>
      <c r="B7" s="29" t="s">
        <v>1728</v>
      </c>
      <c r="C7" s="29" t="s">
        <v>13</v>
      </c>
      <c r="D7" s="29">
        <v>1.0583198E7</v>
      </c>
      <c r="E7" s="29" t="s">
        <v>13</v>
      </c>
      <c r="F7" s="29" t="s">
        <v>13</v>
      </c>
      <c r="G7" s="29" t="s">
        <v>1729</v>
      </c>
      <c r="H7" s="51" t="s">
        <v>4617</v>
      </c>
    </row>
    <row r="8" ht="15.75" customHeight="1">
      <c r="A8" s="28">
        <v>6.0</v>
      </c>
      <c r="B8" s="29" t="s">
        <v>1730</v>
      </c>
      <c r="C8" s="29" t="s">
        <v>13</v>
      </c>
      <c r="D8" s="29">
        <v>3.4518877E8</v>
      </c>
      <c r="E8" s="29" t="s">
        <v>13</v>
      </c>
      <c r="F8" s="29" t="s">
        <v>13</v>
      </c>
      <c r="G8" s="29" t="s">
        <v>13</v>
      </c>
      <c r="H8" s="51" t="s">
        <v>4617</v>
      </c>
    </row>
    <row r="9" ht="15.75" customHeight="1">
      <c r="A9" s="28">
        <v>7.0</v>
      </c>
      <c r="B9" s="29" t="s">
        <v>1730</v>
      </c>
      <c r="C9" s="29" t="s">
        <v>1731</v>
      </c>
      <c r="D9" s="29">
        <v>3.4528377E8</v>
      </c>
      <c r="E9" s="29" t="s">
        <v>13</v>
      </c>
      <c r="F9" s="29" t="s">
        <v>1731</v>
      </c>
      <c r="G9" s="29" t="s">
        <v>1731</v>
      </c>
      <c r="H9" s="51" t="s">
        <v>4617</v>
      </c>
    </row>
    <row r="10" ht="15.75" customHeight="1">
      <c r="A10" s="28">
        <v>8.0</v>
      </c>
      <c r="B10" s="29" t="s">
        <v>1732</v>
      </c>
      <c r="C10" s="29" t="s">
        <v>13</v>
      </c>
      <c r="D10" s="29">
        <v>1.7856045E8</v>
      </c>
      <c r="E10" s="29" t="s">
        <v>13</v>
      </c>
      <c r="F10" s="29" t="s">
        <v>13</v>
      </c>
      <c r="G10" s="29" t="s">
        <v>13</v>
      </c>
      <c r="H10" s="51" t="s">
        <v>4617</v>
      </c>
    </row>
    <row r="11" ht="15.75" customHeight="1">
      <c r="A11" s="28">
        <v>9.0</v>
      </c>
      <c r="B11" s="29" t="s">
        <v>1733</v>
      </c>
      <c r="C11" s="29" t="s">
        <v>13</v>
      </c>
      <c r="D11" s="29">
        <v>2.0003134E7</v>
      </c>
      <c r="E11" s="29" t="s">
        <v>13</v>
      </c>
      <c r="F11" s="29" t="s">
        <v>13</v>
      </c>
      <c r="G11" s="29" t="s">
        <v>13</v>
      </c>
      <c r="H11" s="51" t="s">
        <v>4617</v>
      </c>
    </row>
    <row r="12" ht="15.75" customHeight="1">
      <c r="A12" s="28">
        <v>10.0</v>
      </c>
      <c r="B12" s="29" t="s">
        <v>1734</v>
      </c>
      <c r="C12" s="29" t="s">
        <v>13</v>
      </c>
      <c r="D12" s="29" t="s">
        <v>13</v>
      </c>
      <c r="E12" s="29" t="s">
        <v>13</v>
      </c>
      <c r="F12" s="29" t="s">
        <v>13</v>
      </c>
      <c r="G12" s="29" t="s">
        <v>1735</v>
      </c>
      <c r="H12" s="51" t="s">
        <v>4617</v>
      </c>
    </row>
    <row r="13" ht="15.75" customHeight="1">
      <c r="A13" s="28">
        <v>11.0</v>
      </c>
      <c r="B13" s="29" t="s">
        <v>1736</v>
      </c>
      <c r="C13" s="29" t="s">
        <v>1731</v>
      </c>
      <c r="D13" s="29">
        <v>6.204629E7</v>
      </c>
      <c r="E13" s="29" t="s">
        <v>13</v>
      </c>
      <c r="F13" s="29" t="s">
        <v>1731</v>
      </c>
      <c r="G13" s="29" t="s">
        <v>1731</v>
      </c>
      <c r="H13" s="51" t="s">
        <v>4617</v>
      </c>
    </row>
    <row r="14" ht="15.75" customHeight="1">
      <c r="A14" s="28">
        <v>12.0</v>
      </c>
      <c r="B14" s="29" t="s">
        <v>1737</v>
      </c>
      <c r="C14" s="29" t="s">
        <v>13</v>
      </c>
      <c r="D14" s="29" t="s">
        <v>13</v>
      </c>
      <c r="E14" s="29" t="s">
        <v>13</v>
      </c>
      <c r="F14" s="29" t="s">
        <v>13</v>
      </c>
      <c r="G14" s="29" t="s">
        <v>13</v>
      </c>
      <c r="H14" s="51" t="s">
        <v>4617</v>
      </c>
    </row>
    <row r="15" ht="15.75" customHeight="1">
      <c r="A15" s="28">
        <v>13.0</v>
      </c>
      <c r="B15" s="29" t="s">
        <v>1738</v>
      </c>
      <c r="C15" s="29" t="s">
        <v>13</v>
      </c>
      <c r="D15" s="29" t="s">
        <v>13</v>
      </c>
      <c r="E15" s="29" t="s">
        <v>13</v>
      </c>
      <c r="F15" s="29" t="s">
        <v>13</v>
      </c>
      <c r="G15" s="29" t="s">
        <v>1739</v>
      </c>
      <c r="H15" s="51" t="s">
        <v>4617</v>
      </c>
    </row>
    <row r="16" ht="15.75" customHeight="1">
      <c r="A16" s="28">
        <v>14.0</v>
      </c>
      <c r="B16" s="29" t="s">
        <v>1740</v>
      </c>
      <c r="C16" s="29" t="s">
        <v>13</v>
      </c>
      <c r="D16" s="29" t="s">
        <v>14</v>
      </c>
      <c r="E16" s="29" t="s">
        <v>13</v>
      </c>
      <c r="F16" s="29" t="s">
        <v>13</v>
      </c>
      <c r="G16" s="29" t="s">
        <v>15</v>
      </c>
      <c r="H16" s="51" t="s">
        <v>4617</v>
      </c>
    </row>
    <row r="17" ht="15.75" customHeight="1">
      <c r="A17" s="28">
        <v>15.0</v>
      </c>
      <c r="B17" s="29" t="s">
        <v>1741</v>
      </c>
      <c r="C17" s="29" t="s">
        <v>13</v>
      </c>
      <c r="D17" s="29" t="s">
        <v>13</v>
      </c>
      <c r="E17" s="29" t="s">
        <v>13</v>
      </c>
      <c r="F17" s="29" t="s">
        <v>13</v>
      </c>
      <c r="G17" s="29" t="s">
        <v>1742</v>
      </c>
      <c r="H17" s="51" t="s">
        <v>4617</v>
      </c>
    </row>
    <row r="18" ht="15.75" customHeight="1">
      <c r="A18" s="28">
        <v>16.0</v>
      </c>
      <c r="B18" s="29" t="s">
        <v>1743</v>
      </c>
      <c r="C18" s="29" t="s">
        <v>13</v>
      </c>
      <c r="D18" s="29">
        <v>2.3241059E8</v>
      </c>
      <c r="E18" s="29" t="s">
        <v>13</v>
      </c>
      <c r="F18" s="29" t="s">
        <v>13</v>
      </c>
      <c r="G18" s="29" t="s">
        <v>13</v>
      </c>
      <c r="H18" s="51" t="s">
        <v>4617</v>
      </c>
    </row>
    <row r="19" ht="15.75" customHeight="1">
      <c r="A19" s="28">
        <v>17.0</v>
      </c>
      <c r="B19" s="29" t="s">
        <v>1744</v>
      </c>
      <c r="C19" s="29" t="s">
        <v>13</v>
      </c>
      <c r="D19" s="29">
        <v>2.0003134E8</v>
      </c>
      <c r="E19" s="29" t="s">
        <v>13</v>
      </c>
      <c r="F19" s="29" t="s">
        <v>13</v>
      </c>
      <c r="G19" s="29" t="s">
        <v>13</v>
      </c>
      <c r="H19" s="51" t="s">
        <v>4617</v>
      </c>
    </row>
    <row r="20" ht="15.75" customHeight="1">
      <c r="A20" s="28">
        <v>18.0</v>
      </c>
      <c r="B20" s="29" t="s">
        <v>1744</v>
      </c>
      <c r="C20" s="29" t="s">
        <v>1731</v>
      </c>
      <c r="D20" s="29">
        <v>2.0023134E8</v>
      </c>
      <c r="E20" s="29" t="s">
        <v>13</v>
      </c>
      <c r="F20" s="29" t="s">
        <v>1731</v>
      </c>
      <c r="G20" s="29" t="s">
        <v>1731</v>
      </c>
      <c r="H20" s="51" t="s">
        <v>4617</v>
      </c>
    </row>
    <row r="21" ht="15.75" customHeight="1">
      <c r="A21" s="28">
        <v>19.0</v>
      </c>
      <c r="B21" s="29" t="s">
        <v>1745</v>
      </c>
      <c r="C21" s="29" t="s">
        <v>1731</v>
      </c>
      <c r="D21" s="29">
        <v>2.5607054E8</v>
      </c>
      <c r="E21" s="29" t="s">
        <v>13</v>
      </c>
      <c r="F21" s="29" t="s">
        <v>1731</v>
      </c>
      <c r="G21" s="29" t="s">
        <v>1731</v>
      </c>
      <c r="H21" s="51" t="s">
        <v>4617</v>
      </c>
    </row>
    <row r="22" ht="15.75" customHeight="1">
      <c r="A22" s="28">
        <v>20.0</v>
      </c>
      <c r="B22" s="29" t="s">
        <v>1746</v>
      </c>
      <c r="C22" s="29" t="s">
        <v>13</v>
      </c>
      <c r="D22" s="29">
        <v>4.281217E7</v>
      </c>
      <c r="E22" s="29" t="s">
        <v>13</v>
      </c>
      <c r="F22" s="29" t="s">
        <v>13</v>
      </c>
      <c r="G22" s="29" t="s">
        <v>13</v>
      </c>
      <c r="H22" s="51" t="s">
        <v>4617</v>
      </c>
    </row>
    <row r="23" ht="15.75" customHeight="1">
      <c r="A23" s="28">
        <v>21.0</v>
      </c>
      <c r="B23" s="29" t="s">
        <v>1747</v>
      </c>
      <c r="C23" s="29" t="s">
        <v>13</v>
      </c>
      <c r="D23" s="29">
        <v>3.4588981E8</v>
      </c>
      <c r="E23" s="29" t="s">
        <v>13</v>
      </c>
      <c r="F23" s="29" t="s">
        <v>13</v>
      </c>
      <c r="G23" s="29" t="s">
        <v>1748</v>
      </c>
      <c r="H23" s="51" t="s">
        <v>4617</v>
      </c>
    </row>
    <row r="24" ht="15.75" customHeight="1">
      <c r="A24" s="28">
        <v>22.0</v>
      </c>
      <c r="B24" s="29" t="s">
        <v>1749</v>
      </c>
      <c r="C24" s="29" t="s">
        <v>13</v>
      </c>
      <c r="D24" s="29" t="s">
        <v>14</v>
      </c>
      <c r="E24" s="29" t="s">
        <v>13</v>
      </c>
      <c r="F24" s="29" t="s">
        <v>13</v>
      </c>
      <c r="G24" s="29" t="s">
        <v>15</v>
      </c>
      <c r="H24" s="51" t="s">
        <v>4617</v>
      </c>
    </row>
    <row r="25" ht="15.75" customHeight="1">
      <c r="A25" s="28">
        <v>23.0</v>
      </c>
      <c r="B25" s="29" t="s">
        <v>1749</v>
      </c>
      <c r="C25" s="29" t="s">
        <v>13</v>
      </c>
      <c r="D25" s="29" t="s">
        <v>14</v>
      </c>
      <c r="E25" s="29" t="s">
        <v>13</v>
      </c>
      <c r="F25" s="29" t="s">
        <v>13</v>
      </c>
      <c r="G25" s="29" t="s">
        <v>15</v>
      </c>
      <c r="H25" s="51" t="s">
        <v>4617</v>
      </c>
    </row>
    <row r="26" ht="15.75" customHeight="1">
      <c r="A26" s="28">
        <v>24.0</v>
      </c>
      <c r="B26" s="29" t="s">
        <v>1750</v>
      </c>
      <c r="C26" s="29" t="s">
        <v>13</v>
      </c>
      <c r="D26" s="29">
        <v>2.7399207E8</v>
      </c>
      <c r="E26" s="29" t="s">
        <v>13</v>
      </c>
      <c r="F26" s="29" t="s">
        <v>13</v>
      </c>
      <c r="G26" s="29" t="s">
        <v>13</v>
      </c>
      <c r="H26" s="51" t="s">
        <v>4617</v>
      </c>
    </row>
    <row r="27" ht="15.75" customHeight="1">
      <c r="A27" s="28">
        <v>25.0</v>
      </c>
      <c r="B27" s="29" t="s">
        <v>1751</v>
      </c>
      <c r="C27" s="29">
        <v>62.0</v>
      </c>
      <c r="D27" s="29" t="s">
        <v>13</v>
      </c>
      <c r="E27" s="29" t="s">
        <v>13</v>
      </c>
      <c r="F27" s="29" t="s">
        <v>13</v>
      </c>
      <c r="G27" s="29" t="s">
        <v>1752</v>
      </c>
      <c r="H27" s="51" t="s">
        <v>4617</v>
      </c>
    </row>
    <row r="28" ht="15.75" customHeight="1">
      <c r="A28" s="28">
        <v>26.0</v>
      </c>
      <c r="B28" s="29" t="s">
        <v>1753</v>
      </c>
      <c r="C28" s="29" t="s">
        <v>13</v>
      </c>
      <c r="D28" s="29" t="s">
        <v>13</v>
      </c>
      <c r="E28" s="29" t="s">
        <v>13</v>
      </c>
      <c r="F28" s="29" t="s">
        <v>13</v>
      </c>
      <c r="G28" s="29" t="s">
        <v>1754</v>
      </c>
      <c r="H28" s="51" t="s">
        <v>4617</v>
      </c>
    </row>
    <row r="29" ht="15.75" customHeight="1">
      <c r="A29" s="28">
        <v>27.0</v>
      </c>
      <c r="B29" s="29" t="s">
        <v>1755</v>
      </c>
      <c r="C29" s="29" t="s">
        <v>13</v>
      </c>
      <c r="D29" s="29">
        <v>1.266068E7</v>
      </c>
      <c r="E29" s="29" t="s">
        <v>13</v>
      </c>
      <c r="F29" s="29" t="s">
        <v>13</v>
      </c>
      <c r="G29" s="29" t="s">
        <v>13</v>
      </c>
      <c r="H29" s="51" t="s">
        <v>4617</v>
      </c>
    </row>
    <row r="30" ht="15.75" customHeight="1">
      <c r="A30" s="28">
        <v>28.0</v>
      </c>
      <c r="B30" s="29" t="s">
        <v>1756</v>
      </c>
      <c r="C30" s="29" t="s">
        <v>13</v>
      </c>
      <c r="D30" s="29">
        <v>1.6310014E8</v>
      </c>
      <c r="E30" s="29" t="s">
        <v>13</v>
      </c>
      <c r="F30" s="29" t="s">
        <v>13</v>
      </c>
      <c r="G30" s="29" t="s">
        <v>13</v>
      </c>
      <c r="H30" s="51" t="s">
        <v>4617</v>
      </c>
    </row>
    <row r="31" ht="15.75" customHeight="1">
      <c r="A31" s="28">
        <v>29.0</v>
      </c>
      <c r="B31" s="29" t="s">
        <v>1757</v>
      </c>
      <c r="C31" s="29">
        <v>37.0</v>
      </c>
      <c r="D31" s="29" t="s">
        <v>14</v>
      </c>
      <c r="E31" s="29" t="s">
        <v>13</v>
      </c>
      <c r="F31" s="29" t="s">
        <v>13</v>
      </c>
      <c r="G31" s="29" t="s">
        <v>1758</v>
      </c>
      <c r="H31" s="51" t="s">
        <v>4617</v>
      </c>
    </row>
    <row r="32" ht="15.75" customHeight="1">
      <c r="A32" s="28">
        <v>30.0</v>
      </c>
      <c r="B32" s="29" t="s">
        <v>1759</v>
      </c>
      <c r="C32" s="29" t="s">
        <v>1731</v>
      </c>
      <c r="D32" s="29">
        <v>3.4518879E8</v>
      </c>
      <c r="E32" s="29" t="s">
        <v>13</v>
      </c>
      <c r="F32" s="29" t="s">
        <v>1731</v>
      </c>
      <c r="G32" s="29" t="s">
        <v>1760</v>
      </c>
      <c r="H32" s="51" t="s">
        <v>4617</v>
      </c>
    </row>
    <row r="33" ht="15.75" customHeight="1">
      <c r="A33" s="28">
        <v>31.0</v>
      </c>
      <c r="B33" s="29" t="s">
        <v>1761</v>
      </c>
      <c r="C33" s="29" t="s">
        <v>13</v>
      </c>
      <c r="D33" s="29" t="s">
        <v>13</v>
      </c>
      <c r="E33" s="29" t="s">
        <v>13</v>
      </c>
      <c r="F33" s="29" t="s">
        <v>13</v>
      </c>
      <c r="G33" s="29" t="s">
        <v>1742</v>
      </c>
      <c r="H33" s="51" t="s">
        <v>4617</v>
      </c>
    </row>
    <row r="34" ht="15.75" customHeight="1">
      <c r="A34" s="28">
        <v>32.0</v>
      </c>
      <c r="B34" s="29" t="s">
        <v>1762</v>
      </c>
      <c r="C34" s="29">
        <v>8.0</v>
      </c>
      <c r="D34" s="29" t="s">
        <v>13</v>
      </c>
      <c r="E34" s="29" t="s">
        <v>13</v>
      </c>
      <c r="F34" s="29" t="s">
        <v>13</v>
      </c>
      <c r="G34" s="29" t="s">
        <v>1763</v>
      </c>
      <c r="H34" s="51" t="s">
        <v>4617</v>
      </c>
    </row>
    <row r="35" ht="15.75" customHeight="1">
      <c r="A35" s="28">
        <v>33.0</v>
      </c>
      <c r="B35" s="29" t="s">
        <v>1764</v>
      </c>
      <c r="C35" s="29">
        <v>8.0</v>
      </c>
      <c r="D35" s="29" t="s">
        <v>13</v>
      </c>
      <c r="E35" s="29" t="s">
        <v>13</v>
      </c>
      <c r="F35" s="29" t="s">
        <v>13</v>
      </c>
      <c r="G35" s="29" t="s">
        <v>13</v>
      </c>
      <c r="H35" s="51" t="s">
        <v>4617</v>
      </c>
    </row>
    <row r="36" ht="15.75" customHeight="1">
      <c r="A36" s="28">
        <v>34.0</v>
      </c>
      <c r="B36" s="29" t="s">
        <v>1765</v>
      </c>
      <c r="C36" s="29" t="s">
        <v>1731</v>
      </c>
      <c r="D36" s="29">
        <v>2.6329193E8</v>
      </c>
      <c r="E36" s="29" t="s">
        <v>13</v>
      </c>
      <c r="F36" s="29" t="s">
        <v>1731</v>
      </c>
      <c r="G36" s="29" t="s">
        <v>1731</v>
      </c>
      <c r="H36" s="51" t="s">
        <v>4617</v>
      </c>
    </row>
    <row r="37" ht="15.75" customHeight="1">
      <c r="A37" s="28">
        <v>35.0</v>
      </c>
      <c r="B37" s="29" t="s">
        <v>1766</v>
      </c>
      <c r="C37" s="29" t="s">
        <v>13</v>
      </c>
      <c r="D37" s="29" t="s">
        <v>1767</v>
      </c>
      <c r="E37" s="29" t="s">
        <v>13</v>
      </c>
      <c r="F37" s="29" t="s">
        <v>13</v>
      </c>
      <c r="G37" s="29" t="s">
        <v>15</v>
      </c>
      <c r="H37" s="51" t="s">
        <v>4617</v>
      </c>
    </row>
    <row r="38" ht="15.75" customHeight="1">
      <c r="A38" s="28">
        <v>36.0</v>
      </c>
      <c r="B38" s="29" t="s">
        <v>1768</v>
      </c>
      <c r="C38" s="29" t="s">
        <v>13</v>
      </c>
      <c r="D38" s="29" t="s">
        <v>13</v>
      </c>
      <c r="E38" s="29" t="s">
        <v>13</v>
      </c>
      <c r="F38" s="29" t="s">
        <v>13</v>
      </c>
      <c r="G38" s="29" t="s">
        <v>1769</v>
      </c>
      <c r="H38" s="51" t="s">
        <v>4617</v>
      </c>
    </row>
    <row r="39" ht="15.75" customHeight="1">
      <c r="A39" s="28">
        <v>37.0</v>
      </c>
      <c r="B39" s="29" t="s">
        <v>1770</v>
      </c>
      <c r="C39" s="29" t="s">
        <v>13</v>
      </c>
      <c r="D39" s="29" t="s">
        <v>13</v>
      </c>
      <c r="E39" s="29" t="s">
        <v>13</v>
      </c>
      <c r="F39" s="29" t="s">
        <v>13</v>
      </c>
      <c r="G39" s="29" t="s">
        <v>1771</v>
      </c>
      <c r="H39" s="51" t="s">
        <v>4617</v>
      </c>
    </row>
    <row r="40" ht="15.75" customHeight="1">
      <c r="A40" s="28">
        <v>38.0</v>
      </c>
      <c r="B40" s="29" t="s">
        <v>1772</v>
      </c>
      <c r="C40" s="29" t="s">
        <v>13</v>
      </c>
      <c r="D40" s="29">
        <v>1.6125101E7</v>
      </c>
      <c r="E40" s="29" t="s">
        <v>13</v>
      </c>
      <c r="F40" s="29" t="s">
        <v>13</v>
      </c>
      <c r="G40" s="29" t="s">
        <v>13</v>
      </c>
      <c r="H40" s="51" t="s">
        <v>4617</v>
      </c>
    </row>
    <row r="41" ht="15.75" customHeight="1">
      <c r="A41" s="28">
        <v>39.0</v>
      </c>
      <c r="B41" s="29" t="s">
        <v>1773</v>
      </c>
      <c r="C41" s="29" t="s">
        <v>13</v>
      </c>
      <c r="D41" s="29">
        <v>2.8544619E7</v>
      </c>
      <c r="E41" s="29" t="s">
        <v>13</v>
      </c>
      <c r="F41" s="29" t="s">
        <v>13</v>
      </c>
      <c r="G41" s="29" t="s">
        <v>13</v>
      </c>
      <c r="H41" s="51" t="s">
        <v>4617</v>
      </c>
    </row>
    <row r="42" ht="15.75" customHeight="1">
      <c r="A42" s="28">
        <v>40.0</v>
      </c>
      <c r="B42" s="29" t="s">
        <v>1774</v>
      </c>
      <c r="C42" s="29" t="s">
        <v>13</v>
      </c>
      <c r="D42" s="29">
        <v>3.1760907E7</v>
      </c>
      <c r="E42" s="29" t="s">
        <v>13</v>
      </c>
      <c r="F42" s="29" t="s">
        <v>13</v>
      </c>
      <c r="G42" s="29" t="s">
        <v>13</v>
      </c>
      <c r="H42" s="51" t="s">
        <v>4617</v>
      </c>
    </row>
    <row r="43" ht="15.75" customHeight="1">
      <c r="A43" s="28">
        <v>41.0</v>
      </c>
      <c r="B43" s="29" t="s">
        <v>1775</v>
      </c>
      <c r="C43" s="29" t="s">
        <v>13</v>
      </c>
      <c r="D43" s="29" t="s">
        <v>13</v>
      </c>
      <c r="E43" s="29" t="s">
        <v>13</v>
      </c>
      <c r="F43" s="29" t="s">
        <v>13</v>
      </c>
      <c r="G43" s="29" t="s">
        <v>1742</v>
      </c>
      <c r="H43" s="51" t="s">
        <v>4617</v>
      </c>
    </row>
    <row r="44" ht="15.75" customHeight="1">
      <c r="A44" s="28">
        <v>42.0</v>
      </c>
      <c r="B44" s="29" t="s">
        <v>1776</v>
      </c>
      <c r="C44" s="29" t="s">
        <v>13</v>
      </c>
      <c r="D44" s="29" t="s">
        <v>14</v>
      </c>
      <c r="E44" s="29" t="s">
        <v>13</v>
      </c>
      <c r="F44" s="29" t="s">
        <v>13</v>
      </c>
      <c r="G44" s="29" t="s">
        <v>15</v>
      </c>
      <c r="H44" s="51" t="s">
        <v>4617</v>
      </c>
    </row>
    <row r="45" ht="15.75" customHeight="1">
      <c r="A45" s="28">
        <v>43.0</v>
      </c>
      <c r="B45" s="29" t="s">
        <v>1777</v>
      </c>
      <c r="C45" s="29" t="s">
        <v>13</v>
      </c>
      <c r="D45" s="29" t="s">
        <v>14</v>
      </c>
      <c r="E45" s="29" t="s">
        <v>13</v>
      </c>
      <c r="F45" s="29" t="s">
        <v>13</v>
      </c>
      <c r="G45" s="29" t="s">
        <v>15</v>
      </c>
      <c r="H45" s="51" t="s">
        <v>4617</v>
      </c>
    </row>
    <row r="46" ht="15.75" customHeight="1">
      <c r="A46" s="28">
        <v>44.0</v>
      </c>
      <c r="B46" s="29" t="s">
        <v>1777</v>
      </c>
      <c r="C46" s="29" t="s">
        <v>13</v>
      </c>
      <c r="D46" s="29" t="s">
        <v>14</v>
      </c>
      <c r="E46" s="29" t="s">
        <v>13</v>
      </c>
      <c r="F46" s="29" t="s">
        <v>13</v>
      </c>
      <c r="G46" s="29" t="s">
        <v>15</v>
      </c>
      <c r="H46" s="51" t="s">
        <v>4617</v>
      </c>
    </row>
    <row r="47" ht="15.75" customHeight="1">
      <c r="A47" s="28">
        <v>45.0</v>
      </c>
      <c r="B47" s="29" t="s">
        <v>1778</v>
      </c>
      <c r="C47" s="29" t="s">
        <v>13</v>
      </c>
      <c r="D47" s="29">
        <v>1.3948173E7</v>
      </c>
      <c r="E47" s="29" t="s">
        <v>13</v>
      </c>
      <c r="F47" s="29" t="s">
        <v>13</v>
      </c>
      <c r="G47" s="29" t="s">
        <v>13</v>
      </c>
      <c r="H47" s="51" t="s">
        <v>4617</v>
      </c>
    </row>
    <row r="48" ht="15.75" customHeight="1">
      <c r="A48" s="28">
        <v>46.0</v>
      </c>
      <c r="B48" s="29" t="s">
        <v>1779</v>
      </c>
      <c r="C48" s="29" t="s">
        <v>13</v>
      </c>
      <c r="D48" s="29" t="s">
        <v>14</v>
      </c>
      <c r="E48" s="29" t="s">
        <v>13</v>
      </c>
      <c r="F48" s="29" t="s">
        <v>13</v>
      </c>
      <c r="G48" s="29" t="s">
        <v>15</v>
      </c>
      <c r="H48" s="51" t="s">
        <v>4617</v>
      </c>
    </row>
    <row r="49" ht="15.75" customHeight="1">
      <c r="A49" s="28">
        <v>47.0</v>
      </c>
      <c r="B49" s="29" t="s">
        <v>1780</v>
      </c>
      <c r="C49" s="29" t="s">
        <v>13</v>
      </c>
      <c r="D49" s="29" t="s">
        <v>14</v>
      </c>
      <c r="E49" s="29" t="s">
        <v>13</v>
      </c>
      <c r="F49" s="29" t="s">
        <v>13</v>
      </c>
      <c r="G49" s="29" t="s">
        <v>15</v>
      </c>
      <c r="H49" s="51" t="s">
        <v>4617</v>
      </c>
    </row>
    <row r="50" ht="15.75" customHeight="1">
      <c r="A50" s="28">
        <v>48.0</v>
      </c>
      <c r="B50" s="29" t="s">
        <v>1781</v>
      </c>
      <c r="C50" s="29" t="s">
        <v>13</v>
      </c>
      <c r="D50" s="29">
        <v>3.0170686E7</v>
      </c>
      <c r="E50" s="29" t="s">
        <v>13</v>
      </c>
      <c r="F50" s="29" t="s">
        <v>13</v>
      </c>
      <c r="G50" s="29" t="s">
        <v>13</v>
      </c>
      <c r="H50" s="51" t="s">
        <v>4617</v>
      </c>
    </row>
    <row r="51" ht="15.75" customHeight="1">
      <c r="A51" s="28">
        <v>49.0</v>
      </c>
      <c r="B51" s="29" t="s">
        <v>1782</v>
      </c>
      <c r="C51" s="29" t="s">
        <v>13</v>
      </c>
      <c r="D51" s="29">
        <v>3.0170626E7</v>
      </c>
      <c r="E51" s="29" t="s">
        <v>13</v>
      </c>
      <c r="F51" s="29" t="s">
        <v>13</v>
      </c>
      <c r="G51" s="29" t="s">
        <v>13</v>
      </c>
      <c r="H51" s="51" t="s">
        <v>4617</v>
      </c>
    </row>
    <row r="52" ht="15.75" customHeight="1">
      <c r="A52" s="28">
        <v>50.0</v>
      </c>
      <c r="B52" s="29" t="s">
        <v>1783</v>
      </c>
      <c r="C52" s="29" t="s">
        <v>13</v>
      </c>
      <c r="D52" s="29" t="s">
        <v>1784</v>
      </c>
      <c r="E52" s="29" t="s">
        <v>13</v>
      </c>
      <c r="F52" s="29" t="s">
        <v>13</v>
      </c>
      <c r="G52" s="29" t="s">
        <v>15</v>
      </c>
      <c r="H52" s="51" t="s">
        <v>4617</v>
      </c>
    </row>
    <row r="53" ht="15.75" customHeight="1">
      <c r="A53" s="28">
        <v>51.0</v>
      </c>
      <c r="B53" s="29" t="s">
        <v>1785</v>
      </c>
      <c r="C53" s="29" t="s">
        <v>13</v>
      </c>
      <c r="D53" s="29">
        <v>3.4800366E7</v>
      </c>
      <c r="E53" s="29" t="s">
        <v>13</v>
      </c>
      <c r="F53" s="29" t="s">
        <v>13</v>
      </c>
      <c r="G53" s="29" t="s">
        <v>13</v>
      </c>
      <c r="H53" s="51" t="s">
        <v>4617</v>
      </c>
    </row>
    <row r="54" ht="15.75" customHeight="1">
      <c r="A54" s="28">
        <v>52.0</v>
      </c>
      <c r="B54" s="29" t="s">
        <v>1786</v>
      </c>
      <c r="C54" s="29">
        <v>3.0</v>
      </c>
      <c r="D54" s="29" t="s">
        <v>13</v>
      </c>
      <c r="E54" s="29" t="s">
        <v>13</v>
      </c>
      <c r="F54" s="29" t="s">
        <v>13</v>
      </c>
      <c r="G54" s="29" t="s">
        <v>1787</v>
      </c>
      <c r="H54" s="51" t="s">
        <v>4617</v>
      </c>
    </row>
    <row r="55" ht="15.75" customHeight="1">
      <c r="A55" s="28">
        <v>53.0</v>
      </c>
      <c r="B55" s="29" t="s">
        <v>1788</v>
      </c>
      <c r="C55" s="29" t="s">
        <v>13</v>
      </c>
      <c r="D55" s="29" t="s">
        <v>1789</v>
      </c>
      <c r="E55" s="29" t="s">
        <v>13</v>
      </c>
      <c r="F55" s="29" t="s">
        <v>13</v>
      </c>
      <c r="G55" s="29" t="s">
        <v>15</v>
      </c>
      <c r="H55" s="51" t="s">
        <v>4617</v>
      </c>
    </row>
    <row r="56" ht="15.75" customHeight="1">
      <c r="A56" s="28">
        <v>54.0</v>
      </c>
      <c r="B56" s="29" t="s">
        <v>1790</v>
      </c>
      <c r="C56" s="29" t="s">
        <v>13</v>
      </c>
      <c r="D56" s="29" t="s">
        <v>13</v>
      </c>
      <c r="E56" s="29" t="s">
        <v>13</v>
      </c>
      <c r="F56" s="29" t="s">
        <v>13</v>
      </c>
      <c r="G56" s="29" t="s">
        <v>1791</v>
      </c>
      <c r="H56" s="51" t="s">
        <v>4617</v>
      </c>
    </row>
    <row r="57" ht="15.75" customHeight="1">
      <c r="A57" s="28">
        <v>55.0</v>
      </c>
      <c r="B57" s="29" t="s">
        <v>1792</v>
      </c>
      <c r="C57" s="29" t="s">
        <v>13</v>
      </c>
      <c r="D57" s="29">
        <v>6049995.0</v>
      </c>
      <c r="E57" s="29" t="s">
        <v>13</v>
      </c>
      <c r="F57" s="29" t="s">
        <v>13</v>
      </c>
      <c r="G57" s="29" t="s">
        <v>13</v>
      </c>
      <c r="H57" s="51" t="s">
        <v>4617</v>
      </c>
    </row>
    <row r="58" ht="15.75" customHeight="1">
      <c r="A58" s="28">
        <v>56.0</v>
      </c>
      <c r="B58" s="29" t="s">
        <v>1793</v>
      </c>
      <c r="C58" s="29" t="s">
        <v>13</v>
      </c>
      <c r="D58" s="29">
        <v>3.0170626E8</v>
      </c>
      <c r="E58" s="29" t="s">
        <v>13</v>
      </c>
      <c r="F58" s="29" t="s">
        <v>13</v>
      </c>
      <c r="G58" s="29" t="s">
        <v>13</v>
      </c>
      <c r="H58" s="51" t="s">
        <v>4617</v>
      </c>
    </row>
    <row r="59" ht="15.75" customHeight="1">
      <c r="A59" s="28">
        <v>57.0</v>
      </c>
      <c r="B59" s="29" t="s">
        <v>1794</v>
      </c>
      <c r="C59" s="29" t="s">
        <v>13</v>
      </c>
      <c r="D59" s="29" t="s">
        <v>1795</v>
      </c>
      <c r="E59" s="29" t="s">
        <v>13</v>
      </c>
      <c r="F59" s="29" t="s">
        <v>13</v>
      </c>
      <c r="G59" s="29" t="s">
        <v>15</v>
      </c>
      <c r="H59" s="51" t="s">
        <v>4617</v>
      </c>
    </row>
    <row r="60" ht="15.75" customHeight="1">
      <c r="A60" s="28">
        <v>58.0</v>
      </c>
      <c r="B60" s="29" t="s">
        <v>1796</v>
      </c>
      <c r="C60" s="29" t="s">
        <v>13</v>
      </c>
      <c r="D60" s="29" t="s">
        <v>14</v>
      </c>
      <c r="E60" s="29" t="s">
        <v>13</v>
      </c>
      <c r="F60" s="29" t="s">
        <v>13</v>
      </c>
      <c r="G60" s="29" t="s">
        <v>15</v>
      </c>
      <c r="H60" s="51" t="s">
        <v>4617</v>
      </c>
    </row>
    <row r="61" ht="15.75" customHeight="1">
      <c r="A61" s="28">
        <v>59.0</v>
      </c>
      <c r="B61" s="29" t="s">
        <v>1797</v>
      </c>
      <c r="C61" s="29" t="s">
        <v>13</v>
      </c>
      <c r="D61" s="29" t="s">
        <v>14</v>
      </c>
      <c r="E61" s="29" t="s">
        <v>13</v>
      </c>
      <c r="F61" s="29" t="s">
        <v>13</v>
      </c>
      <c r="G61" s="29" t="s">
        <v>15</v>
      </c>
      <c r="H61" s="51" t="s">
        <v>4617</v>
      </c>
    </row>
    <row r="62" ht="15.75" customHeight="1">
      <c r="A62" s="28">
        <v>60.0</v>
      </c>
      <c r="B62" s="29" t="s">
        <v>1798</v>
      </c>
      <c r="C62" s="29" t="s">
        <v>13</v>
      </c>
      <c r="D62" s="29" t="s">
        <v>14</v>
      </c>
      <c r="E62" s="29" t="s">
        <v>13</v>
      </c>
      <c r="F62" s="29" t="s">
        <v>13</v>
      </c>
      <c r="G62" s="29" t="s">
        <v>15</v>
      </c>
      <c r="H62" s="51" t="s">
        <v>4617</v>
      </c>
    </row>
    <row r="63" ht="15.75" customHeight="1">
      <c r="A63" s="28">
        <v>61.0</v>
      </c>
      <c r="B63" s="29" t="s">
        <v>1799</v>
      </c>
      <c r="C63" s="29" t="s">
        <v>13</v>
      </c>
      <c r="D63" s="29" t="s">
        <v>13</v>
      </c>
      <c r="E63" s="29" t="s">
        <v>13</v>
      </c>
      <c r="F63" s="29" t="s">
        <v>13</v>
      </c>
      <c r="G63" s="29" t="s">
        <v>1800</v>
      </c>
      <c r="H63" s="51" t="s">
        <v>4617</v>
      </c>
    </row>
    <row r="64" ht="15.75" customHeight="1">
      <c r="A64" s="28">
        <v>62.0</v>
      </c>
      <c r="B64" s="29" t="s">
        <v>1801</v>
      </c>
      <c r="C64" s="29" t="s">
        <v>13</v>
      </c>
      <c r="D64" s="29">
        <v>3.1428533E7</v>
      </c>
      <c r="E64" s="29" t="s">
        <v>13</v>
      </c>
      <c r="F64" s="29" t="s">
        <v>13</v>
      </c>
      <c r="G64" s="29" t="s">
        <v>13</v>
      </c>
      <c r="H64" s="51" t="s">
        <v>4617</v>
      </c>
    </row>
    <row r="65" ht="15.75" customHeight="1">
      <c r="A65" s="28">
        <v>63.0</v>
      </c>
      <c r="B65" s="29" t="s">
        <v>1097</v>
      </c>
      <c r="C65" s="29" t="s">
        <v>13</v>
      </c>
      <c r="D65" s="29" t="s">
        <v>14</v>
      </c>
      <c r="E65" s="29" t="s">
        <v>13</v>
      </c>
      <c r="F65" s="29" t="s">
        <v>13</v>
      </c>
      <c r="G65" s="29" t="s">
        <v>15</v>
      </c>
      <c r="H65" s="51" t="s">
        <v>4617</v>
      </c>
    </row>
    <row r="66" ht="15.75" customHeight="1">
      <c r="A66" s="28">
        <v>64.0</v>
      </c>
      <c r="B66" s="29" t="s">
        <v>1802</v>
      </c>
      <c r="C66" s="29" t="s">
        <v>13</v>
      </c>
      <c r="D66" s="29" t="s">
        <v>13</v>
      </c>
      <c r="E66" s="29" t="s">
        <v>13</v>
      </c>
      <c r="F66" s="29" t="s">
        <v>13</v>
      </c>
      <c r="G66" s="29" t="s">
        <v>1752</v>
      </c>
      <c r="H66" s="51" t="s">
        <v>4617</v>
      </c>
    </row>
    <row r="67" ht="15.75" customHeight="1">
      <c r="A67" s="28">
        <v>65.0</v>
      </c>
      <c r="B67" s="29" t="s">
        <v>1803</v>
      </c>
      <c r="C67" s="29">
        <v>11.0</v>
      </c>
      <c r="D67" s="29" t="s">
        <v>13</v>
      </c>
      <c r="E67" s="29" t="s">
        <v>13</v>
      </c>
      <c r="F67" s="29" t="s">
        <v>13</v>
      </c>
      <c r="G67" s="29" t="s">
        <v>452</v>
      </c>
      <c r="H67" s="51" t="s">
        <v>4617</v>
      </c>
    </row>
    <row r="68" ht="15.75" customHeight="1">
      <c r="A68" s="28">
        <v>66.0</v>
      </c>
      <c r="B68" s="29" t="s">
        <v>1803</v>
      </c>
      <c r="C68" s="29">
        <v>10.0</v>
      </c>
      <c r="D68" s="29" t="s">
        <v>13</v>
      </c>
      <c r="E68" s="29" t="s">
        <v>13</v>
      </c>
      <c r="F68" s="29" t="s">
        <v>13</v>
      </c>
      <c r="G68" s="29" t="s">
        <v>1804</v>
      </c>
      <c r="H68" s="51" t="s">
        <v>4617</v>
      </c>
    </row>
    <row r="69" ht="15.75" customHeight="1">
      <c r="A69" s="28">
        <v>67.0</v>
      </c>
      <c r="B69" s="29" t="s">
        <v>1805</v>
      </c>
      <c r="C69" s="29" t="s">
        <v>13</v>
      </c>
      <c r="D69" s="29">
        <v>3.0678485E7</v>
      </c>
      <c r="E69" s="29" t="s">
        <v>13</v>
      </c>
      <c r="F69" s="29" t="s">
        <v>13</v>
      </c>
      <c r="G69" s="29" t="s">
        <v>13</v>
      </c>
      <c r="H69" s="51" t="s">
        <v>4617</v>
      </c>
    </row>
    <row r="70" ht="15.75" customHeight="1">
      <c r="A70" s="28">
        <v>68.0</v>
      </c>
      <c r="B70" s="29" t="s">
        <v>1806</v>
      </c>
      <c r="C70" s="29" t="s">
        <v>13</v>
      </c>
      <c r="D70" s="29" t="s">
        <v>14</v>
      </c>
      <c r="E70" s="29" t="s">
        <v>13</v>
      </c>
      <c r="F70" s="29" t="s">
        <v>13</v>
      </c>
      <c r="G70" s="29" t="s">
        <v>15</v>
      </c>
      <c r="H70" s="51" t="s">
        <v>4617</v>
      </c>
    </row>
    <row r="71" ht="15.75" customHeight="1">
      <c r="A71" s="28">
        <v>69.0</v>
      </c>
      <c r="B71" s="29" t="s">
        <v>1807</v>
      </c>
      <c r="C71" s="29" t="s">
        <v>13</v>
      </c>
      <c r="D71" s="29">
        <v>3.2781459E7</v>
      </c>
      <c r="E71" s="29" t="s">
        <v>13</v>
      </c>
      <c r="F71" s="29" t="s">
        <v>13</v>
      </c>
      <c r="G71" s="29" t="s">
        <v>13</v>
      </c>
      <c r="H71" s="51" t="s">
        <v>4617</v>
      </c>
    </row>
    <row r="72" ht="15.75" customHeight="1">
      <c r="A72" s="28">
        <v>70.0</v>
      </c>
      <c r="B72" s="29" t="s">
        <v>1808</v>
      </c>
      <c r="C72" s="29" t="s">
        <v>13</v>
      </c>
      <c r="D72" s="29" t="s">
        <v>14</v>
      </c>
      <c r="E72" s="29" t="s">
        <v>13</v>
      </c>
      <c r="F72" s="29" t="s">
        <v>13</v>
      </c>
      <c r="G72" s="29" t="s">
        <v>15</v>
      </c>
      <c r="H72" s="51" t="s">
        <v>4617</v>
      </c>
    </row>
    <row r="73" ht="15.75" customHeight="1">
      <c r="A73" s="28">
        <v>71.0</v>
      </c>
      <c r="B73" s="29" t="s">
        <v>1809</v>
      </c>
      <c r="C73" s="29" t="s">
        <v>13</v>
      </c>
      <c r="D73" s="29">
        <v>1.7158021E7</v>
      </c>
      <c r="E73" s="29" t="s">
        <v>13</v>
      </c>
      <c r="F73" s="29" t="s">
        <v>13</v>
      </c>
      <c r="G73" s="29" t="s">
        <v>13</v>
      </c>
      <c r="H73" s="51" t="s">
        <v>4617</v>
      </c>
    </row>
    <row r="74" ht="15.75" customHeight="1">
      <c r="A74" s="28">
        <v>72.0</v>
      </c>
      <c r="B74" s="29" t="s">
        <v>1810</v>
      </c>
      <c r="C74" s="29" t="s">
        <v>13</v>
      </c>
      <c r="D74" s="29" t="s">
        <v>14</v>
      </c>
      <c r="E74" s="29" t="s">
        <v>13</v>
      </c>
      <c r="F74" s="29" t="s">
        <v>13</v>
      </c>
      <c r="G74" s="29" t="s">
        <v>1811</v>
      </c>
      <c r="H74" s="51" t="s">
        <v>4617</v>
      </c>
    </row>
    <row r="75" ht="15.75" customHeight="1">
      <c r="A75" s="28">
        <v>73.0</v>
      </c>
      <c r="B75" s="29" t="s">
        <v>1812</v>
      </c>
      <c r="C75" s="29" t="s">
        <v>13</v>
      </c>
      <c r="D75" s="29" t="s">
        <v>13</v>
      </c>
      <c r="E75" s="29" t="s">
        <v>13</v>
      </c>
      <c r="F75" s="29" t="s">
        <v>13</v>
      </c>
      <c r="G75" s="29" t="s">
        <v>1742</v>
      </c>
      <c r="H75" s="51" t="s">
        <v>4617</v>
      </c>
    </row>
    <row r="76" ht="15.75" customHeight="1">
      <c r="A76" s="28">
        <v>74.0</v>
      </c>
      <c r="B76" s="29" t="s">
        <v>1813</v>
      </c>
      <c r="C76" s="29" t="s">
        <v>1731</v>
      </c>
      <c r="D76" s="29">
        <v>2.9416493E8</v>
      </c>
      <c r="E76" s="29" t="s">
        <v>13</v>
      </c>
      <c r="F76" s="29" t="s">
        <v>1731</v>
      </c>
      <c r="G76" s="29" t="s">
        <v>1731</v>
      </c>
      <c r="H76" s="51" t="s">
        <v>4617</v>
      </c>
    </row>
    <row r="77" ht="15.75" customHeight="1">
      <c r="A77" s="28">
        <v>75.0</v>
      </c>
      <c r="B77" s="29" t="s">
        <v>1814</v>
      </c>
      <c r="C77" s="29" t="s">
        <v>13</v>
      </c>
      <c r="D77" s="29">
        <v>9.416493E7</v>
      </c>
      <c r="E77" s="29" t="s">
        <v>13</v>
      </c>
      <c r="F77" s="29" t="s">
        <v>13</v>
      </c>
      <c r="G77" s="29" t="s">
        <v>13</v>
      </c>
      <c r="H77" s="51" t="s">
        <v>4617</v>
      </c>
    </row>
    <row r="78" ht="15.75" customHeight="1">
      <c r="A78" s="28">
        <v>76.0</v>
      </c>
      <c r="B78" s="29" t="s">
        <v>1815</v>
      </c>
      <c r="C78" s="29" t="s">
        <v>13</v>
      </c>
      <c r="D78" s="29">
        <v>2.814377E7</v>
      </c>
      <c r="E78" s="29" t="s">
        <v>13</v>
      </c>
      <c r="F78" s="29" t="s">
        <v>13</v>
      </c>
      <c r="G78" s="29" t="s">
        <v>13</v>
      </c>
      <c r="H78" s="51" t="s">
        <v>4617</v>
      </c>
    </row>
    <row r="79" ht="15.75" customHeight="1">
      <c r="A79" s="28">
        <v>77.0</v>
      </c>
      <c r="B79" s="29" t="s">
        <v>1816</v>
      </c>
      <c r="C79" s="29" t="s">
        <v>13</v>
      </c>
      <c r="D79" s="29">
        <v>2.814377E8</v>
      </c>
      <c r="E79" s="29" t="s">
        <v>13</v>
      </c>
      <c r="F79" s="29" t="s">
        <v>13</v>
      </c>
      <c r="G79" s="29" t="s">
        <v>1817</v>
      </c>
      <c r="H79" s="51" t="s">
        <v>4617</v>
      </c>
    </row>
    <row r="80" ht="15.75" customHeight="1">
      <c r="A80" s="28">
        <v>78.0</v>
      </c>
      <c r="B80" s="29" t="s">
        <v>1818</v>
      </c>
      <c r="C80" s="29" t="s">
        <v>1731</v>
      </c>
      <c r="D80" s="29">
        <v>1.266088E8</v>
      </c>
      <c r="E80" s="29" t="s">
        <v>13</v>
      </c>
      <c r="F80" s="29" t="s">
        <v>1731</v>
      </c>
      <c r="G80" s="29" t="s">
        <v>1731</v>
      </c>
      <c r="H80" s="51" t="s">
        <v>4617</v>
      </c>
    </row>
    <row r="81" ht="15.75" customHeight="1">
      <c r="A81" s="28">
        <v>79.0</v>
      </c>
      <c r="B81" s="29" t="s">
        <v>1818</v>
      </c>
      <c r="C81" s="29" t="s">
        <v>13</v>
      </c>
      <c r="D81" s="29">
        <v>1.206008E8</v>
      </c>
      <c r="E81" s="29" t="s">
        <v>13</v>
      </c>
      <c r="F81" s="29" t="s">
        <v>13</v>
      </c>
      <c r="G81" s="29" t="s">
        <v>13</v>
      </c>
      <c r="H81" s="51" t="s">
        <v>4617</v>
      </c>
    </row>
    <row r="82" ht="15.75" customHeight="1">
      <c r="A82" s="28">
        <v>80.0</v>
      </c>
      <c r="B82" s="29" t="s">
        <v>1819</v>
      </c>
      <c r="C82" s="29" t="s">
        <v>13</v>
      </c>
      <c r="D82" s="29" t="s">
        <v>14</v>
      </c>
      <c r="E82" s="29" t="s">
        <v>13</v>
      </c>
      <c r="F82" s="29" t="s">
        <v>13</v>
      </c>
      <c r="G82" s="29" t="s">
        <v>15</v>
      </c>
      <c r="H82" s="51" t="s">
        <v>4617</v>
      </c>
    </row>
    <row r="83" ht="15.75" customHeight="1">
      <c r="A83" s="28">
        <v>81.0</v>
      </c>
      <c r="B83" s="29" t="s">
        <v>1820</v>
      </c>
      <c r="C83" s="29" t="s">
        <v>13</v>
      </c>
      <c r="D83" s="29" t="s">
        <v>13</v>
      </c>
      <c r="E83" s="29" t="s">
        <v>13</v>
      </c>
      <c r="F83" s="29" t="s">
        <v>13</v>
      </c>
      <c r="G83" s="29" t="s">
        <v>1821</v>
      </c>
      <c r="H83" s="51" t="s">
        <v>4617</v>
      </c>
    </row>
    <row r="84" ht="15.75" customHeight="1">
      <c r="A84" s="28">
        <v>82.0</v>
      </c>
      <c r="B84" s="29" t="s">
        <v>1822</v>
      </c>
      <c r="C84" s="29" t="s">
        <v>13</v>
      </c>
      <c r="D84" s="29" t="s">
        <v>14</v>
      </c>
      <c r="E84" s="29" t="s">
        <v>13</v>
      </c>
      <c r="F84" s="29" t="s">
        <v>13</v>
      </c>
      <c r="G84" s="29" t="s">
        <v>15</v>
      </c>
      <c r="H84" s="51" t="s">
        <v>4617</v>
      </c>
    </row>
    <row r="85" ht="15.75" customHeight="1">
      <c r="A85" s="28">
        <v>83.0</v>
      </c>
      <c r="B85" s="29" t="s">
        <v>1823</v>
      </c>
      <c r="C85" s="29">
        <v>8.0</v>
      </c>
      <c r="D85" s="29" t="s">
        <v>13</v>
      </c>
      <c r="E85" s="29" t="s">
        <v>13</v>
      </c>
      <c r="F85" s="29" t="s">
        <v>13</v>
      </c>
      <c r="G85" s="29" t="s">
        <v>1824</v>
      </c>
      <c r="H85" s="51" t="s">
        <v>4617</v>
      </c>
    </row>
    <row r="86" ht="15.75" customHeight="1">
      <c r="A86" s="28">
        <v>84.0</v>
      </c>
      <c r="B86" s="29" t="s">
        <v>1825</v>
      </c>
      <c r="C86" s="29">
        <v>4.0</v>
      </c>
      <c r="D86" s="29" t="s">
        <v>13</v>
      </c>
      <c r="E86" s="29" t="s">
        <v>13</v>
      </c>
      <c r="F86" s="29" t="s">
        <v>13</v>
      </c>
      <c r="G86" s="29" t="s">
        <v>1826</v>
      </c>
      <c r="H86" s="51" t="s">
        <v>4617</v>
      </c>
    </row>
    <row r="87" ht="15.75" customHeight="1">
      <c r="A87" s="28">
        <v>85.0</v>
      </c>
      <c r="B87" s="29" t="s">
        <v>1827</v>
      </c>
      <c r="C87" s="29" t="s">
        <v>13</v>
      </c>
      <c r="D87" s="29">
        <v>3.3232603E7</v>
      </c>
      <c r="E87" s="29" t="s">
        <v>13</v>
      </c>
      <c r="F87" s="29" t="s">
        <v>13</v>
      </c>
      <c r="G87" s="29" t="s">
        <v>13</v>
      </c>
      <c r="H87" s="51" t="s">
        <v>4617</v>
      </c>
    </row>
    <row r="88" ht="15.75" customHeight="1">
      <c r="A88" s="28">
        <v>86.0</v>
      </c>
      <c r="B88" s="29" t="s">
        <v>1828</v>
      </c>
      <c r="C88" s="29" t="s">
        <v>13</v>
      </c>
      <c r="D88" s="29" t="s">
        <v>14</v>
      </c>
      <c r="E88" s="29" t="s">
        <v>13</v>
      </c>
      <c r="F88" s="29" t="s">
        <v>13</v>
      </c>
      <c r="G88" s="29" t="s">
        <v>15</v>
      </c>
      <c r="H88" s="51" t="s">
        <v>4617</v>
      </c>
    </row>
    <row r="89" ht="15.75" customHeight="1">
      <c r="A89" s="28">
        <v>87.0</v>
      </c>
      <c r="B89" s="29" t="s">
        <v>1829</v>
      </c>
      <c r="C89" s="29" t="s">
        <v>13</v>
      </c>
      <c r="D89" s="29">
        <v>2.6327913E7</v>
      </c>
      <c r="E89" s="29" t="s">
        <v>13</v>
      </c>
      <c r="F89" s="29" t="s">
        <v>13</v>
      </c>
      <c r="G89" s="29" t="s">
        <v>13</v>
      </c>
      <c r="H89" s="51" t="s">
        <v>4617</v>
      </c>
    </row>
    <row r="90" ht="15.75" customHeight="1">
      <c r="A90" s="28">
        <v>88.0</v>
      </c>
      <c r="B90" s="29" t="s">
        <v>1830</v>
      </c>
      <c r="C90" s="29" t="s">
        <v>13</v>
      </c>
      <c r="D90" s="29">
        <v>2.6327913E8</v>
      </c>
      <c r="E90" s="29" t="s">
        <v>13</v>
      </c>
      <c r="F90" s="29" t="s">
        <v>13</v>
      </c>
      <c r="G90" s="29" t="s">
        <v>13</v>
      </c>
      <c r="H90" s="51" t="s">
        <v>4617</v>
      </c>
    </row>
    <row r="91" ht="15.75" customHeight="1">
      <c r="A91" s="28">
        <v>89.0</v>
      </c>
      <c r="B91" s="29" t="s">
        <v>1831</v>
      </c>
      <c r="C91" s="29" t="s">
        <v>13</v>
      </c>
      <c r="D91" s="29" t="s">
        <v>14</v>
      </c>
      <c r="E91" s="29" t="s">
        <v>13</v>
      </c>
      <c r="F91" s="29" t="s">
        <v>13</v>
      </c>
      <c r="G91" s="29" t="s">
        <v>15</v>
      </c>
      <c r="H91" s="51" t="s">
        <v>4617</v>
      </c>
    </row>
    <row r="92" ht="15.75" customHeight="1">
      <c r="A92" s="28">
        <v>90.0</v>
      </c>
      <c r="B92" s="29" t="s">
        <v>1832</v>
      </c>
      <c r="C92" s="29" t="s">
        <v>13</v>
      </c>
      <c r="D92" s="29" t="s">
        <v>13</v>
      </c>
      <c r="E92" s="29" t="s">
        <v>13</v>
      </c>
      <c r="F92" s="29" t="s">
        <v>13</v>
      </c>
      <c r="G92" s="29" t="s">
        <v>1833</v>
      </c>
      <c r="H92" s="51" t="s">
        <v>4617</v>
      </c>
    </row>
    <row r="93" ht="15.75" customHeight="1">
      <c r="A93" s="28">
        <v>91.0</v>
      </c>
      <c r="B93" s="29" t="s">
        <v>1834</v>
      </c>
      <c r="C93" s="29" t="s">
        <v>13</v>
      </c>
      <c r="D93" s="29" t="s">
        <v>13</v>
      </c>
      <c r="E93" s="29" t="s">
        <v>13</v>
      </c>
      <c r="F93" s="29" t="s">
        <v>13</v>
      </c>
      <c r="G93" s="29" t="s">
        <v>1835</v>
      </c>
      <c r="H93" s="51" t="s">
        <v>4617</v>
      </c>
    </row>
    <row r="94" ht="15.75" customHeight="1">
      <c r="A94" s="28">
        <v>92.0</v>
      </c>
      <c r="B94" s="29" t="s">
        <v>1836</v>
      </c>
      <c r="C94" s="29" t="s">
        <v>13</v>
      </c>
      <c r="D94" s="29" t="s">
        <v>13</v>
      </c>
      <c r="E94" s="29" t="s">
        <v>13</v>
      </c>
      <c r="F94" s="29" t="s">
        <v>13</v>
      </c>
      <c r="G94" s="29" t="s">
        <v>1742</v>
      </c>
      <c r="H94" s="51" t="s">
        <v>4617</v>
      </c>
    </row>
    <row r="95" ht="15.75" customHeight="1">
      <c r="A95" s="28">
        <v>93.0</v>
      </c>
      <c r="B95" s="29" t="s">
        <v>1837</v>
      </c>
      <c r="C95" s="29" t="s">
        <v>13</v>
      </c>
      <c r="D95" s="29" t="s">
        <v>14</v>
      </c>
      <c r="E95" s="29" t="s">
        <v>13</v>
      </c>
      <c r="F95" s="29" t="s">
        <v>13</v>
      </c>
      <c r="G95" s="29" t="s">
        <v>15</v>
      </c>
      <c r="H95" s="51" t="s">
        <v>4617</v>
      </c>
    </row>
    <row r="96" ht="15.75" customHeight="1">
      <c r="A96" s="28">
        <v>94.0</v>
      </c>
      <c r="B96" s="29" t="s">
        <v>1838</v>
      </c>
      <c r="C96" s="29" t="s">
        <v>13</v>
      </c>
      <c r="D96" s="29">
        <v>1.4194021E7</v>
      </c>
      <c r="E96" s="29" t="s">
        <v>13</v>
      </c>
      <c r="F96" s="29" t="s">
        <v>13</v>
      </c>
      <c r="G96" s="29" t="s">
        <v>13</v>
      </c>
      <c r="H96" s="51" t="s">
        <v>4617</v>
      </c>
    </row>
    <row r="97" ht="15.75" customHeight="1">
      <c r="A97" s="28">
        <v>95.0</v>
      </c>
      <c r="B97" s="29" t="s">
        <v>1839</v>
      </c>
      <c r="C97" s="29" t="s">
        <v>13</v>
      </c>
      <c r="D97" s="29">
        <v>1.9734177E8</v>
      </c>
      <c r="E97" s="29" t="s">
        <v>13</v>
      </c>
      <c r="F97" s="29" t="s">
        <v>13</v>
      </c>
      <c r="G97" s="29" t="s">
        <v>1748</v>
      </c>
      <c r="H97" s="51" t="s">
        <v>4617</v>
      </c>
    </row>
    <row r="98" ht="15.75" customHeight="1">
      <c r="A98" s="28">
        <v>96.0</v>
      </c>
      <c r="B98" s="29" t="s">
        <v>1840</v>
      </c>
      <c r="C98" s="29" t="s">
        <v>1731</v>
      </c>
      <c r="D98" s="29">
        <v>6.145488E7</v>
      </c>
      <c r="E98" s="29" t="s">
        <v>13</v>
      </c>
      <c r="F98" s="29" t="s">
        <v>1731</v>
      </c>
      <c r="G98" s="29" t="s">
        <v>1731</v>
      </c>
      <c r="H98" s="51" t="s">
        <v>4617</v>
      </c>
    </row>
    <row r="99" ht="15.75" customHeight="1">
      <c r="A99" s="28">
        <v>97.0</v>
      </c>
      <c r="B99" s="29" t="s">
        <v>1841</v>
      </c>
      <c r="C99" s="29">
        <v>5.0</v>
      </c>
      <c r="D99" s="29" t="s">
        <v>13</v>
      </c>
      <c r="E99" s="29" t="s">
        <v>13</v>
      </c>
      <c r="F99" s="29" t="s">
        <v>13</v>
      </c>
      <c r="G99" s="29" t="s">
        <v>13</v>
      </c>
      <c r="H99" s="51" t="s">
        <v>4617</v>
      </c>
    </row>
    <row r="100" ht="15.75" customHeight="1">
      <c r="A100" s="28">
        <v>98.0</v>
      </c>
      <c r="B100" s="29" t="s">
        <v>1842</v>
      </c>
      <c r="C100" s="29" t="s">
        <v>13</v>
      </c>
      <c r="D100" s="29">
        <v>2734286.0</v>
      </c>
      <c r="E100" s="29" t="s">
        <v>13</v>
      </c>
      <c r="F100" s="29" t="s">
        <v>13</v>
      </c>
      <c r="G100" s="29" t="s">
        <v>13</v>
      </c>
      <c r="H100" s="51" t="s">
        <v>4617</v>
      </c>
    </row>
    <row r="101" ht="15.75" customHeight="1">
      <c r="A101" s="28">
        <v>99.0</v>
      </c>
      <c r="B101" s="29" t="s">
        <v>1842</v>
      </c>
      <c r="C101" s="29" t="s">
        <v>13</v>
      </c>
      <c r="D101" s="29">
        <v>2.7374286E7</v>
      </c>
      <c r="E101" s="29" t="s">
        <v>13</v>
      </c>
      <c r="F101" s="29" t="s">
        <v>13</v>
      </c>
      <c r="G101" s="29" t="s">
        <v>13</v>
      </c>
      <c r="H101" s="51" t="s">
        <v>4617</v>
      </c>
    </row>
    <row r="102" ht="15.75" customHeight="1">
      <c r="A102" s="28">
        <v>100.0</v>
      </c>
      <c r="B102" s="29" t="s">
        <v>1843</v>
      </c>
      <c r="C102" s="29" t="s">
        <v>13</v>
      </c>
      <c r="D102" s="29" t="s">
        <v>13</v>
      </c>
      <c r="E102" s="29" t="s">
        <v>13</v>
      </c>
      <c r="F102" s="29" t="s">
        <v>13</v>
      </c>
      <c r="G102" s="29" t="s">
        <v>1742</v>
      </c>
      <c r="H102" s="51" t="s">
        <v>4617</v>
      </c>
    </row>
    <row r="103" ht="15.75" customHeight="1">
      <c r="A103" s="28">
        <v>101.0</v>
      </c>
      <c r="B103" s="29" t="s">
        <v>1844</v>
      </c>
      <c r="C103" s="29">
        <v>5.0</v>
      </c>
      <c r="D103" s="29" t="s">
        <v>13</v>
      </c>
      <c r="E103" s="29" t="s">
        <v>13</v>
      </c>
      <c r="F103" s="29" t="s">
        <v>13</v>
      </c>
      <c r="G103" s="29" t="s">
        <v>1845</v>
      </c>
      <c r="H103" s="51" t="s">
        <v>4617</v>
      </c>
    </row>
    <row r="104" ht="15.75" customHeight="1">
      <c r="A104" s="28">
        <v>102.0</v>
      </c>
      <c r="B104" s="29" t="s">
        <v>1846</v>
      </c>
      <c r="C104" s="29" t="s">
        <v>13</v>
      </c>
      <c r="D104" s="29">
        <v>8.146247E8</v>
      </c>
      <c r="E104" s="29" t="s">
        <v>13</v>
      </c>
      <c r="F104" s="29" t="s">
        <v>13</v>
      </c>
      <c r="G104" s="29" t="s">
        <v>1847</v>
      </c>
      <c r="H104" s="51" t="s">
        <v>4617</v>
      </c>
    </row>
    <row r="105" ht="15.75" customHeight="1">
      <c r="A105" s="28">
        <v>103.0</v>
      </c>
      <c r="B105" s="29" t="s">
        <v>1848</v>
      </c>
      <c r="C105" s="29">
        <v>5.0</v>
      </c>
      <c r="D105" s="29" t="s">
        <v>13</v>
      </c>
      <c r="E105" s="29" t="s">
        <v>13</v>
      </c>
      <c r="F105" s="29" t="s">
        <v>13</v>
      </c>
      <c r="G105" s="29" t="s">
        <v>1826</v>
      </c>
      <c r="H105" s="51" t="s">
        <v>4617</v>
      </c>
    </row>
    <row r="106" ht="15.75" customHeight="1">
      <c r="A106" s="28">
        <v>104.0</v>
      </c>
      <c r="B106" s="29" t="s">
        <v>1849</v>
      </c>
      <c r="C106" s="29">
        <v>6.0</v>
      </c>
      <c r="D106" s="29" t="s">
        <v>13</v>
      </c>
      <c r="E106" s="29" t="s">
        <v>13</v>
      </c>
      <c r="F106" s="29" t="s">
        <v>13</v>
      </c>
      <c r="G106" s="29" t="s">
        <v>1826</v>
      </c>
      <c r="H106" s="51" t="s">
        <v>4617</v>
      </c>
    </row>
    <row r="107" ht="15.75" customHeight="1">
      <c r="A107" s="28">
        <v>105.0</v>
      </c>
      <c r="B107" s="29" t="s">
        <v>1850</v>
      </c>
      <c r="C107" s="29" t="s">
        <v>13</v>
      </c>
      <c r="D107" s="29" t="s">
        <v>14</v>
      </c>
      <c r="E107" s="29" t="s">
        <v>13</v>
      </c>
      <c r="F107" s="29" t="s">
        <v>13</v>
      </c>
      <c r="G107" s="29" t="s">
        <v>15</v>
      </c>
      <c r="H107" s="51" t="s">
        <v>4617</v>
      </c>
    </row>
    <row r="108" ht="15.75" customHeight="1">
      <c r="A108" s="28">
        <v>106.0</v>
      </c>
      <c r="B108" s="29" t="s">
        <v>1851</v>
      </c>
      <c r="C108" s="29" t="s">
        <v>13</v>
      </c>
      <c r="D108" s="29">
        <v>8.146247E7</v>
      </c>
      <c r="E108" s="29" t="s">
        <v>13</v>
      </c>
      <c r="F108" s="29" t="s">
        <v>13</v>
      </c>
      <c r="G108" s="29" t="s">
        <v>13</v>
      </c>
      <c r="H108" s="51" t="s">
        <v>4617</v>
      </c>
    </row>
    <row r="109" ht="15.75" customHeight="1">
      <c r="A109" s="28">
        <v>107.0</v>
      </c>
      <c r="B109" s="29" t="s">
        <v>1852</v>
      </c>
      <c r="C109" s="29" t="s">
        <v>1731</v>
      </c>
      <c r="D109" s="29">
        <v>3.26057296E9</v>
      </c>
      <c r="E109" s="29" t="s">
        <v>13</v>
      </c>
      <c r="F109" s="29" t="s">
        <v>1731</v>
      </c>
      <c r="G109" s="29" t="s">
        <v>1731</v>
      </c>
      <c r="H109" s="51" t="s">
        <v>4617</v>
      </c>
    </row>
    <row r="110" ht="15.75" customHeight="1">
      <c r="A110" s="28">
        <v>108.0</v>
      </c>
      <c r="B110" s="29" t="s">
        <v>1853</v>
      </c>
      <c r="C110" s="29" t="s">
        <v>13</v>
      </c>
      <c r="D110" s="29" t="s">
        <v>1854</v>
      </c>
      <c r="E110" s="29" t="s">
        <v>13</v>
      </c>
      <c r="F110" s="29" t="s">
        <v>13</v>
      </c>
      <c r="G110" s="29" t="s">
        <v>15</v>
      </c>
      <c r="H110" s="51" t="s">
        <v>4617</v>
      </c>
    </row>
    <row r="111" ht="15.75" customHeight="1">
      <c r="A111" s="28">
        <v>109.0</v>
      </c>
      <c r="B111" s="29" t="s">
        <v>1855</v>
      </c>
      <c r="C111" s="29" t="s">
        <v>13</v>
      </c>
      <c r="D111" s="29" t="s">
        <v>13</v>
      </c>
      <c r="E111" s="29" t="s">
        <v>13</v>
      </c>
      <c r="F111" s="29" t="s">
        <v>13</v>
      </c>
      <c r="G111" s="29" t="s">
        <v>1856</v>
      </c>
      <c r="H111" s="51" t="s">
        <v>4617</v>
      </c>
    </row>
    <row r="112" ht="15.75" customHeight="1">
      <c r="A112" s="28">
        <v>110.0</v>
      </c>
      <c r="B112" s="29" t="s">
        <v>1857</v>
      </c>
      <c r="C112" s="29" t="s">
        <v>13</v>
      </c>
      <c r="D112" s="29" t="s">
        <v>14</v>
      </c>
      <c r="E112" s="29" t="s">
        <v>13</v>
      </c>
      <c r="F112" s="29" t="s">
        <v>13</v>
      </c>
      <c r="G112" s="29" t="s">
        <v>15</v>
      </c>
      <c r="H112" s="51" t="s">
        <v>4617</v>
      </c>
    </row>
    <row r="113" ht="15.75" customHeight="1">
      <c r="A113" s="28">
        <v>111.0</v>
      </c>
      <c r="B113" s="29" t="s">
        <v>1857</v>
      </c>
      <c r="C113" s="29" t="s">
        <v>13</v>
      </c>
      <c r="D113" s="29" t="s">
        <v>14</v>
      </c>
      <c r="E113" s="29" t="s">
        <v>13</v>
      </c>
      <c r="F113" s="29" t="s">
        <v>13</v>
      </c>
      <c r="G113" s="29" t="s">
        <v>15</v>
      </c>
      <c r="H113" s="51" t="s">
        <v>4617</v>
      </c>
    </row>
    <row r="114" ht="15.75" customHeight="1">
      <c r="A114" s="28">
        <v>112.0</v>
      </c>
      <c r="B114" s="29" t="s">
        <v>1858</v>
      </c>
      <c r="C114" s="29" t="s">
        <v>13</v>
      </c>
      <c r="D114" s="29">
        <v>2.5872328E7</v>
      </c>
      <c r="E114" s="29" t="s">
        <v>13</v>
      </c>
      <c r="F114" s="29" t="s">
        <v>13</v>
      </c>
      <c r="G114" s="29" t="s">
        <v>13</v>
      </c>
      <c r="H114" s="51" t="s">
        <v>4617</v>
      </c>
    </row>
    <row r="115" ht="15.75" customHeight="1">
      <c r="A115" s="28">
        <v>113.0</v>
      </c>
      <c r="B115" s="29" t="s">
        <v>1859</v>
      </c>
      <c r="C115" s="29" t="s">
        <v>13</v>
      </c>
      <c r="D115" s="29" t="s">
        <v>14</v>
      </c>
      <c r="E115" s="29" t="s">
        <v>13</v>
      </c>
      <c r="F115" s="29" t="s">
        <v>13</v>
      </c>
      <c r="G115" s="29" t="s">
        <v>15</v>
      </c>
      <c r="H115" s="51" t="s">
        <v>4617</v>
      </c>
    </row>
    <row r="116" ht="15.75" customHeight="1">
      <c r="A116" s="28">
        <v>114.0</v>
      </c>
      <c r="B116" s="29" t="s">
        <v>1860</v>
      </c>
      <c r="C116" s="29" t="s">
        <v>13</v>
      </c>
      <c r="D116" s="29" t="s">
        <v>14</v>
      </c>
      <c r="E116" s="29" t="s">
        <v>13</v>
      </c>
      <c r="F116" s="29" t="s">
        <v>13</v>
      </c>
      <c r="G116" s="29" t="s">
        <v>15</v>
      </c>
      <c r="H116" s="51" t="s">
        <v>4617</v>
      </c>
    </row>
    <row r="117" ht="15.75" customHeight="1">
      <c r="A117" s="28">
        <v>115.0</v>
      </c>
      <c r="B117" s="29" t="s">
        <v>1860</v>
      </c>
      <c r="C117" s="29" t="s">
        <v>13</v>
      </c>
      <c r="D117" s="29" t="s">
        <v>14</v>
      </c>
      <c r="E117" s="29" t="s">
        <v>13</v>
      </c>
      <c r="F117" s="29" t="s">
        <v>13</v>
      </c>
      <c r="G117" s="29" t="s">
        <v>15</v>
      </c>
      <c r="H117" s="51" t="s">
        <v>4617</v>
      </c>
    </row>
    <row r="118" ht="15.75" customHeight="1">
      <c r="A118" s="28">
        <v>116.0</v>
      </c>
      <c r="B118" s="29" t="s">
        <v>1861</v>
      </c>
      <c r="C118" s="29" t="s">
        <v>13</v>
      </c>
      <c r="D118" s="29" t="s">
        <v>13</v>
      </c>
      <c r="E118" s="29" t="s">
        <v>13</v>
      </c>
      <c r="F118" s="29" t="s">
        <v>13</v>
      </c>
      <c r="G118" s="29" t="s">
        <v>1742</v>
      </c>
      <c r="H118" s="51" t="s">
        <v>4617</v>
      </c>
    </row>
    <row r="119" ht="15.75" customHeight="1">
      <c r="A119" s="28">
        <v>117.0</v>
      </c>
      <c r="B119" s="29" t="s">
        <v>1862</v>
      </c>
      <c r="C119" s="29" t="s">
        <v>13</v>
      </c>
      <c r="D119" s="29" t="s">
        <v>13</v>
      </c>
      <c r="E119" s="29" t="s">
        <v>13</v>
      </c>
      <c r="F119" s="29" t="s">
        <v>13</v>
      </c>
      <c r="G119" s="29" t="s">
        <v>1742</v>
      </c>
      <c r="H119" s="51" t="s">
        <v>4617</v>
      </c>
    </row>
    <row r="120" ht="15.75" customHeight="1">
      <c r="A120" s="28">
        <v>118.0</v>
      </c>
      <c r="B120" s="29" t="s">
        <v>1863</v>
      </c>
      <c r="C120" s="29" t="s">
        <v>13</v>
      </c>
      <c r="D120" s="29" t="s">
        <v>13</v>
      </c>
      <c r="E120" s="29" t="s">
        <v>13</v>
      </c>
      <c r="F120" s="29" t="s">
        <v>13</v>
      </c>
      <c r="G120" s="29" t="s">
        <v>1742</v>
      </c>
      <c r="H120" s="51" t="s">
        <v>4617</v>
      </c>
    </row>
    <row r="121" ht="15.75" customHeight="1">
      <c r="A121" s="28">
        <v>119.0</v>
      </c>
      <c r="B121" s="29" t="s">
        <v>1864</v>
      </c>
      <c r="C121" s="29" t="s">
        <v>13</v>
      </c>
      <c r="D121" s="29" t="s">
        <v>14</v>
      </c>
      <c r="E121" s="29" t="s">
        <v>13</v>
      </c>
      <c r="F121" s="29" t="s">
        <v>13</v>
      </c>
      <c r="G121" s="29" t="s">
        <v>15</v>
      </c>
      <c r="H121" s="51" t="s">
        <v>4617</v>
      </c>
    </row>
    <row r="122" ht="15.75" customHeight="1">
      <c r="A122" s="28">
        <v>120.0</v>
      </c>
      <c r="B122" s="29" t="s">
        <v>1865</v>
      </c>
      <c r="C122" s="29" t="s">
        <v>13</v>
      </c>
      <c r="D122" s="29">
        <v>1.2763837E7</v>
      </c>
      <c r="E122" s="29" t="s">
        <v>13</v>
      </c>
      <c r="F122" s="29" t="s">
        <v>13</v>
      </c>
      <c r="G122" s="29" t="s">
        <v>13</v>
      </c>
      <c r="H122" s="51" t="s">
        <v>4617</v>
      </c>
    </row>
    <row r="123" ht="15.75" customHeight="1">
      <c r="A123" s="28">
        <v>121.0</v>
      </c>
      <c r="B123" s="29" t="s">
        <v>1865</v>
      </c>
      <c r="C123" s="29" t="s">
        <v>1731</v>
      </c>
      <c r="D123" s="29">
        <v>1.2763837E8</v>
      </c>
      <c r="E123" s="29" t="s">
        <v>13</v>
      </c>
      <c r="F123" s="29" t="s">
        <v>1731</v>
      </c>
      <c r="G123" s="29" t="s">
        <v>1731</v>
      </c>
      <c r="H123" s="51" t="s">
        <v>4617</v>
      </c>
    </row>
    <row r="124" ht="15.75" customHeight="1">
      <c r="A124" s="28">
        <v>122.0</v>
      </c>
      <c r="B124" s="29" t="s">
        <v>1866</v>
      </c>
      <c r="C124" s="29" t="s">
        <v>13</v>
      </c>
      <c r="D124" s="29" t="s">
        <v>13</v>
      </c>
      <c r="E124" s="29" t="s">
        <v>13</v>
      </c>
      <c r="F124" s="29" t="s">
        <v>13</v>
      </c>
      <c r="G124" s="29" t="s">
        <v>1742</v>
      </c>
      <c r="H124" s="51" t="s">
        <v>4617</v>
      </c>
    </row>
    <row r="125" ht="15.75" customHeight="1">
      <c r="A125" s="28">
        <v>123.0</v>
      </c>
      <c r="B125" s="29" t="s">
        <v>1867</v>
      </c>
      <c r="C125" s="29">
        <v>6.0</v>
      </c>
      <c r="D125" s="29" t="s">
        <v>13</v>
      </c>
      <c r="E125" s="29" t="s">
        <v>13</v>
      </c>
      <c r="F125" s="29" t="s">
        <v>13</v>
      </c>
      <c r="G125" s="29" t="s">
        <v>1742</v>
      </c>
      <c r="H125" s="51" t="s">
        <v>4617</v>
      </c>
    </row>
    <row r="126" ht="15.75" customHeight="1">
      <c r="A126" s="28">
        <v>124.0</v>
      </c>
      <c r="B126" s="29" t="s">
        <v>1868</v>
      </c>
      <c r="C126" s="29" t="s">
        <v>13</v>
      </c>
      <c r="D126" s="29" t="s">
        <v>14</v>
      </c>
      <c r="E126" s="29" t="s">
        <v>13</v>
      </c>
      <c r="F126" s="29" t="s">
        <v>13</v>
      </c>
      <c r="G126" s="29" t="s">
        <v>15</v>
      </c>
      <c r="H126" s="51" t="s">
        <v>4617</v>
      </c>
    </row>
    <row r="127" ht="15.75" customHeight="1">
      <c r="A127" s="28">
        <v>125.0</v>
      </c>
      <c r="B127" s="29" t="s">
        <v>1869</v>
      </c>
      <c r="C127" s="29" t="s">
        <v>13</v>
      </c>
      <c r="D127" s="29">
        <v>2.3926261E8</v>
      </c>
      <c r="E127" s="29" t="s">
        <v>13</v>
      </c>
      <c r="F127" s="29" t="s">
        <v>13</v>
      </c>
      <c r="G127" s="29" t="s">
        <v>13</v>
      </c>
      <c r="H127" s="51" t="s">
        <v>4617</v>
      </c>
    </row>
    <row r="128" ht="15.75" customHeight="1">
      <c r="A128" s="28">
        <v>126.0</v>
      </c>
      <c r="B128" s="29" t="s">
        <v>1870</v>
      </c>
      <c r="C128" s="29" t="s">
        <v>13</v>
      </c>
      <c r="D128" s="29">
        <v>4.636722E7</v>
      </c>
      <c r="E128" s="29" t="s">
        <v>13</v>
      </c>
      <c r="F128" s="29" t="s">
        <v>13</v>
      </c>
      <c r="G128" s="29" t="s">
        <v>13</v>
      </c>
      <c r="H128" s="51" t="s">
        <v>4617</v>
      </c>
    </row>
    <row r="129" ht="15.75" customHeight="1">
      <c r="A129" s="28">
        <v>127.0</v>
      </c>
      <c r="B129" s="29" t="s">
        <v>1871</v>
      </c>
      <c r="C129" s="29" t="s">
        <v>13</v>
      </c>
      <c r="D129" s="29">
        <v>6.405488E7</v>
      </c>
      <c r="E129" s="29" t="s">
        <v>13</v>
      </c>
      <c r="F129" s="29" t="s">
        <v>13</v>
      </c>
      <c r="G129" s="29" t="s">
        <v>13</v>
      </c>
      <c r="H129" s="51" t="s">
        <v>4617</v>
      </c>
    </row>
    <row r="130" ht="15.75" customHeight="1">
      <c r="A130" s="28">
        <v>128.0</v>
      </c>
      <c r="B130" s="29" t="s">
        <v>1872</v>
      </c>
      <c r="C130" s="29" t="s">
        <v>13</v>
      </c>
      <c r="D130" s="29">
        <v>3.0678485E8</v>
      </c>
      <c r="E130" s="29" t="s">
        <v>13</v>
      </c>
      <c r="F130" s="29" t="s">
        <v>13</v>
      </c>
      <c r="G130" s="29" t="s">
        <v>13</v>
      </c>
      <c r="H130" s="51" t="s">
        <v>4617</v>
      </c>
    </row>
    <row r="131" ht="15.75" customHeight="1">
      <c r="A131" s="28">
        <v>129.0</v>
      </c>
      <c r="B131" s="29" t="s">
        <v>1873</v>
      </c>
      <c r="C131" s="29" t="s">
        <v>13</v>
      </c>
      <c r="D131" s="29">
        <v>1.9102824E7</v>
      </c>
      <c r="E131" s="29" t="s">
        <v>13</v>
      </c>
      <c r="F131" s="29" t="s">
        <v>13</v>
      </c>
      <c r="G131" s="29" t="s">
        <v>13</v>
      </c>
      <c r="H131" s="51" t="s">
        <v>4617</v>
      </c>
    </row>
    <row r="132" ht="15.75" customHeight="1">
      <c r="A132" s="28">
        <v>130.0</v>
      </c>
      <c r="B132" s="29" t="s">
        <v>1874</v>
      </c>
      <c r="C132" s="29" t="s">
        <v>13</v>
      </c>
      <c r="D132" s="29" t="s">
        <v>13</v>
      </c>
      <c r="E132" s="29" t="s">
        <v>13</v>
      </c>
      <c r="F132" s="29" t="s">
        <v>13</v>
      </c>
      <c r="G132" s="29" t="s">
        <v>1800</v>
      </c>
      <c r="H132" s="51" t="s">
        <v>4617</v>
      </c>
    </row>
    <row r="133" ht="15.75" customHeight="1">
      <c r="A133" s="28">
        <v>131.0</v>
      </c>
      <c r="B133" s="29" t="s">
        <v>1875</v>
      </c>
      <c r="C133" s="29" t="s">
        <v>1731</v>
      </c>
      <c r="D133" s="29">
        <v>1680080.0</v>
      </c>
      <c r="E133" s="29" t="s">
        <v>13</v>
      </c>
      <c r="F133" s="29" t="s">
        <v>1731</v>
      </c>
      <c r="G133" s="29" t="s">
        <v>1731</v>
      </c>
      <c r="H133" s="51" t="s">
        <v>4617</v>
      </c>
    </row>
    <row r="134" ht="15.75" customHeight="1">
      <c r="A134" s="28">
        <v>132.0</v>
      </c>
      <c r="B134" s="29" t="s">
        <v>1876</v>
      </c>
      <c r="C134" s="29" t="s">
        <v>13</v>
      </c>
      <c r="D134" s="29">
        <v>296723.0</v>
      </c>
      <c r="E134" s="29" t="s">
        <v>13</v>
      </c>
      <c r="F134" s="29" t="s">
        <v>13</v>
      </c>
      <c r="G134" s="29" t="s">
        <v>13</v>
      </c>
      <c r="H134" s="51" t="s">
        <v>4617</v>
      </c>
    </row>
    <row r="135" ht="15.75" customHeight="1">
      <c r="A135" s="28">
        <v>133.0</v>
      </c>
      <c r="B135" s="29" t="s">
        <v>1877</v>
      </c>
      <c r="C135" s="29">
        <v>63.0</v>
      </c>
      <c r="D135" s="29" t="s">
        <v>14</v>
      </c>
      <c r="E135" s="29" t="s">
        <v>13</v>
      </c>
      <c r="F135" s="29" t="s">
        <v>13</v>
      </c>
      <c r="G135" s="29" t="s">
        <v>1878</v>
      </c>
      <c r="H135" s="51" t="s">
        <v>4617</v>
      </c>
    </row>
    <row r="136" ht="15.75" customHeight="1">
      <c r="A136" s="28">
        <v>134.0</v>
      </c>
      <c r="B136" s="29" t="s">
        <v>1879</v>
      </c>
      <c r="C136" s="29" t="s">
        <v>13</v>
      </c>
      <c r="D136" s="29" t="s">
        <v>14</v>
      </c>
      <c r="E136" s="29" t="s">
        <v>13</v>
      </c>
      <c r="F136" s="29" t="s">
        <v>13</v>
      </c>
      <c r="G136" s="29" t="s">
        <v>15</v>
      </c>
      <c r="H136" s="51" t="s">
        <v>4617</v>
      </c>
    </row>
    <row r="137" ht="15.75" customHeight="1">
      <c r="A137" s="28">
        <v>135.0</v>
      </c>
      <c r="B137" s="29" t="s">
        <v>1880</v>
      </c>
      <c r="C137" s="29" t="s">
        <v>13</v>
      </c>
      <c r="D137" s="29">
        <v>1.1688834E7</v>
      </c>
      <c r="E137" s="29" t="s">
        <v>13</v>
      </c>
      <c r="F137" s="29" t="s">
        <v>13</v>
      </c>
      <c r="G137" s="29" t="s">
        <v>13</v>
      </c>
      <c r="H137" s="51" t="s">
        <v>4617</v>
      </c>
    </row>
    <row r="138" ht="15.75" customHeight="1">
      <c r="A138" s="28">
        <v>136.0</v>
      </c>
      <c r="B138" s="29" t="s">
        <v>1881</v>
      </c>
      <c r="C138" s="29">
        <v>63.0</v>
      </c>
      <c r="D138" s="29" t="s">
        <v>13</v>
      </c>
      <c r="E138" s="29" t="s">
        <v>13</v>
      </c>
      <c r="F138" s="29" t="s">
        <v>13</v>
      </c>
      <c r="G138" s="29" t="s">
        <v>1882</v>
      </c>
      <c r="H138" s="51" t="s">
        <v>4617</v>
      </c>
    </row>
    <row r="139" ht="15.75" customHeight="1">
      <c r="A139" s="28">
        <v>137.0</v>
      </c>
      <c r="B139" s="29" t="s">
        <v>1883</v>
      </c>
      <c r="C139" s="29" t="s">
        <v>13</v>
      </c>
      <c r="D139" s="29" t="s">
        <v>1884</v>
      </c>
      <c r="E139" s="29" t="s">
        <v>13</v>
      </c>
      <c r="F139" s="29" t="s">
        <v>13</v>
      </c>
      <c r="G139" s="29" t="s">
        <v>15</v>
      </c>
      <c r="H139" s="51" t="s">
        <v>4617</v>
      </c>
    </row>
    <row r="140" ht="15.75" customHeight="1">
      <c r="A140" s="28">
        <v>138.0</v>
      </c>
      <c r="B140" s="29" t="s">
        <v>1885</v>
      </c>
      <c r="C140" s="29">
        <v>10.0</v>
      </c>
      <c r="D140" s="29" t="s">
        <v>13</v>
      </c>
      <c r="E140" s="29" t="s">
        <v>13</v>
      </c>
      <c r="F140" s="29" t="s">
        <v>13</v>
      </c>
      <c r="G140" s="29" t="s">
        <v>452</v>
      </c>
      <c r="H140" s="51" t="s">
        <v>4617</v>
      </c>
    </row>
    <row r="141" ht="15.75" customHeight="1">
      <c r="A141" s="28">
        <v>139.0</v>
      </c>
      <c r="B141" s="29" t="s">
        <v>1886</v>
      </c>
      <c r="C141" s="29" t="s">
        <v>13</v>
      </c>
      <c r="D141" s="29" t="s">
        <v>14</v>
      </c>
      <c r="E141" s="29" t="s">
        <v>13</v>
      </c>
      <c r="F141" s="29" t="s">
        <v>13</v>
      </c>
      <c r="G141" s="29" t="s">
        <v>15</v>
      </c>
      <c r="H141" s="51" t="s">
        <v>4617</v>
      </c>
    </row>
    <row r="142" ht="15.75" customHeight="1">
      <c r="A142" s="28">
        <v>140.0</v>
      </c>
      <c r="B142" s="29" t="s">
        <v>1887</v>
      </c>
      <c r="C142" s="29" t="s">
        <v>13</v>
      </c>
      <c r="D142" s="29" t="s">
        <v>13</v>
      </c>
      <c r="E142" s="29" t="s">
        <v>13</v>
      </c>
      <c r="F142" s="29" t="s">
        <v>13</v>
      </c>
      <c r="G142" s="29" t="s">
        <v>1742</v>
      </c>
      <c r="H142" s="51" t="s">
        <v>4617</v>
      </c>
    </row>
    <row r="143" ht="15.75" customHeight="1">
      <c r="A143" s="28">
        <v>141.0</v>
      </c>
      <c r="B143" s="29" t="s">
        <v>1888</v>
      </c>
      <c r="C143" s="29">
        <v>4.0</v>
      </c>
      <c r="D143" s="29" t="s">
        <v>13</v>
      </c>
      <c r="E143" s="29" t="s">
        <v>13</v>
      </c>
      <c r="F143" s="29" t="s">
        <v>13</v>
      </c>
      <c r="G143" s="29" t="s">
        <v>13</v>
      </c>
      <c r="H143" s="51" t="s">
        <v>4617</v>
      </c>
    </row>
    <row r="144" ht="15.75" customHeight="1">
      <c r="A144" s="28">
        <v>142.0</v>
      </c>
      <c r="B144" s="29" t="s">
        <v>1889</v>
      </c>
      <c r="C144" s="29" t="s">
        <v>13</v>
      </c>
      <c r="D144" s="29" t="s">
        <v>13</v>
      </c>
      <c r="E144" s="29" t="s">
        <v>13</v>
      </c>
      <c r="F144" s="29" t="s">
        <v>13</v>
      </c>
      <c r="G144" s="29" t="s">
        <v>1742</v>
      </c>
      <c r="H144" s="51" t="s">
        <v>4617</v>
      </c>
    </row>
    <row r="145" ht="15.75" customHeight="1">
      <c r="A145" s="28">
        <v>143.0</v>
      </c>
      <c r="B145" s="29" t="s">
        <v>1890</v>
      </c>
      <c r="C145" s="29" t="s">
        <v>13</v>
      </c>
      <c r="D145" s="29" t="s">
        <v>13</v>
      </c>
      <c r="E145" s="29" t="s">
        <v>13</v>
      </c>
      <c r="F145" s="29" t="s">
        <v>13</v>
      </c>
      <c r="G145" s="29" t="s">
        <v>1742</v>
      </c>
      <c r="H145" s="51" t="s">
        <v>4617</v>
      </c>
    </row>
    <row r="146" ht="15.75" customHeight="1">
      <c r="A146" s="28">
        <v>144.0</v>
      </c>
      <c r="B146" s="29" t="s">
        <v>1891</v>
      </c>
      <c r="C146" s="29" t="s">
        <v>13</v>
      </c>
      <c r="D146" s="29" t="s">
        <v>13</v>
      </c>
      <c r="E146" s="29" t="s">
        <v>13</v>
      </c>
      <c r="F146" s="29" t="s">
        <v>13</v>
      </c>
      <c r="G146" s="29" t="s">
        <v>1742</v>
      </c>
      <c r="H146" s="51" t="s">
        <v>4617</v>
      </c>
    </row>
    <row r="147" ht="15.75" customHeight="1">
      <c r="A147" s="28">
        <v>145.0</v>
      </c>
      <c r="B147" s="29" t="s">
        <v>1892</v>
      </c>
      <c r="C147" s="29" t="s">
        <v>1731</v>
      </c>
      <c r="D147" s="29">
        <v>1.0576803E8</v>
      </c>
      <c r="E147" s="29" t="s">
        <v>13</v>
      </c>
      <c r="F147" s="29" t="s">
        <v>1731</v>
      </c>
      <c r="G147" s="29" t="s">
        <v>1731</v>
      </c>
      <c r="H147" s="51" t="s">
        <v>4617</v>
      </c>
    </row>
    <row r="148" ht="15.75" customHeight="1">
      <c r="A148" s="28">
        <v>146.0</v>
      </c>
      <c r="B148" s="29" t="s">
        <v>1893</v>
      </c>
      <c r="C148" s="29" t="s">
        <v>13</v>
      </c>
      <c r="D148" s="29">
        <v>1.0576803E7</v>
      </c>
      <c r="E148" s="29" t="s">
        <v>13</v>
      </c>
      <c r="F148" s="29" t="s">
        <v>13</v>
      </c>
      <c r="G148" s="29" t="s">
        <v>13</v>
      </c>
      <c r="H148" s="51" t="s">
        <v>4617</v>
      </c>
    </row>
    <row r="149" ht="15.75" customHeight="1">
      <c r="A149" s="28">
        <v>147.0</v>
      </c>
      <c r="B149" s="29" t="s">
        <v>1894</v>
      </c>
      <c r="C149" s="29" t="s">
        <v>13</v>
      </c>
      <c r="D149" s="29" t="s">
        <v>13</v>
      </c>
      <c r="E149" s="29" t="s">
        <v>13</v>
      </c>
      <c r="F149" s="29" t="s">
        <v>13</v>
      </c>
      <c r="G149" s="29" t="s">
        <v>1895</v>
      </c>
      <c r="H149" s="51" t="s">
        <v>4617</v>
      </c>
    </row>
    <row r="150" ht="15.75" customHeight="1">
      <c r="A150" s="28">
        <v>148.0</v>
      </c>
      <c r="B150" s="29" t="s">
        <v>1896</v>
      </c>
      <c r="C150" s="29" t="s">
        <v>13</v>
      </c>
      <c r="D150" s="29" t="s">
        <v>14</v>
      </c>
      <c r="E150" s="29" t="s">
        <v>13</v>
      </c>
      <c r="F150" s="29" t="s">
        <v>13</v>
      </c>
      <c r="G150" s="29" t="s">
        <v>1897</v>
      </c>
      <c r="H150" s="51" t="s">
        <v>4617</v>
      </c>
    </row>
    <row r="151" ht="15.75" customHeight="1">
      <c r="A151" s="28">
        <v>149.0</v>
      </c>
      <c r="B151" s="29" t="s">
        <v>1898</v>
      </c>
      <c r="C151" s="29" t="s">
        <v>13</v>
      </c>
      <c r="D151" s="29" t="s">
        <v>13</v>
      </c>
      <c r="E151" s="29" t="s">
        <v>13</v>
      </c>
      <c r="F151" s="29" t="s">
        <v>13</v>
      </c>
      <c r="G151" s="29" t="s">
        <v>1742</v>
      </c>
      <c r="H151" s="51" t="s">
        <v>4617</v>
      </c>
    </row>
    <row r="152" ht="15.75" customHeight="1">
      <c r="A152" s="28">
        <v>150.0</v>
      </c>
      <c r="B152" s="29" t="s">
        <v>1899</v>
      </c>
      <c r="C152" s="29" t="s">
        <v>13</v>
      </c>
      <c r="D152" s="29" t="s">
        <v>14</v>
      </c>
      <c r="E152" s="29" t="s">
        <v>13</v>
      </c>
      <c r="F152" s="29" t="s">
        <v>13</v>
      </c>
      <c r="G152" s="29" t="s">
        <v>15</v>
      </c>
      <c r="H152" s="51" t="s">
        <v>4617</v>
      </c>
    </row>
    <row r="153" ht="15.75" customHeight="1">
      <c r="A153" s="28">
        <v>151.0</v>
      </c>
      <c r="B153" s="29" t="s">
        <v>1899</v>
      </c>
      <c r="C153" s="29" t="s">
        <v>13</v>
      </c>
      <c r="D153" s="29" t="s">
        <v>14</v>
      </c>
      <c r="E153" s="29" t="s">
        <v>13</v>
      </c>
      <c r="F153" s="29" t="s">
        <v>13</v>
      </c>
      <c r="G153" s="29" t="s">
        <v>15</v>
      </c>
      <c r="H153" s="51" t="s">
        <v>4617</v>
      </c>
    </row>
    <row r="154" ht="15.75" customHeight="1">
      <c r="A154" s="28">
        <v>152.0</v>
      </c>
      <c r="B154" s="29" t="s">
        <v>1900</v>
      </c>
      <c r="C154" s="29" t="s">
        <v>13</v>
      </c>
      <c r="D154" s="29">
        <v>1.1638321E7</v>
      </c>
      <c r="E154" s="29" t="s">
        <v>13</v>
      </c>
      <c r="F154" s="29" t="s">
        <v>13</v>
      </c>
      <c r="G154" s="29" t="s">
        <v>13</v>
      </c>
      <c r="H154" s="51" t="s">
        <v>4617</v>
      </c>
    </row>
    <row r="155" ht="15.75" customHeight="1">
      <c r="A155" s="28">
        <v>153.0</v>
      </c>
      <c r="B155" s="29" t="s">
        <v>1901</v>
      </c>
      <c r="C155" s="29" t="s">
        <v>13</v>
      </c>
      <c r="D155" s="29">
        <v>1.1537536E7</v>
      </c>
      <c r="E155" s="29" t="s">
        <v>13</v>
      </c>
      <c r="F155" s="29" t="s">
        <v>13</v>
      </c>
      <c r="G155" s="29" t="s">
        <v>13</v>
      </c>
      <c r="H155" s="51" t="s">
        <v>4617</v>
      </c>
    </row>
    <row r="156" ht="15.75" customHeight="1">
      <c r="A156" s="28">
        <v>154.0</v>
      </c>
      <c r="B156" s="29" t="s">
        <v>1902</v>
      </c>
      <c r="C156" s="29" t="s">
        <v>13</v>
      </c>
      <c r="D156" s="29" t="s">
        <v>13</v>
      </c>
      <c r="E156" s="29" t="s">
        <v>13</v>
      </c>
      <c r="F156" s="29" t="s">
        <v>13</v>
      </c>
      <c r="G156" s="29" t="s">
        <v>1903</v>
      </c>
      <c r="H156" s="51" t="s">
        <v>4617</v>
      </c>
    </row>
    <row r="157" ht="15.75" customHeight="1">
      <c r="A157" s="28">
        <v>155.0</v>
      </c>
      <c r="B157" s="29" t="s">
        <v>1904</v>
      </c>
      <c r="C157" s="29">
        <v>15.0</v>
      </c>
      <c r="D157" s="29" t="s">
        <v>13</v>
      </c>
      <c r="E157" s="29" t="s">
        <v>13</v>
      </c>
      <c r="F157" s="29" t="s">
        <v>13</v>
      </c>
      <c r="G157" s="29" t="s">
        <v>1905</v>
      </c>
      <c r="H157" s="51" t="s">
        <v>4617</v>
      </c>
    </row>
    <row r="158" ht="15.75" customHeight="1">
      <c r="A158" s="28">
        <v>156.0</v>
      </c>
      <c r="B158" s="29" t="s">
        <v>1906</v>
      </c>
      <c r="C158" s="29" t="s">
        <v>13</v>
      </c>
      <c r="D158" s="29" t="s">
        <v>13</v>
      </c>
      <c r="E158" s="29" t="s">
        <v>13</v>
      </c>
      <c r="F158" s="29" t="s">
        <v>13</v>
      </c>
      <c r="G158" s="29" t="s">
        <v>13</v>
      </c>
      <c r="H158" s="51" t="s">
        <v>4617</v>
      </c>
    </row>
    <row r="159" ht="15.75" customHeight="1">
      <c r="A159" s="28">
        <v>157.0</v>
      </c>
      <c r="B159" s="29" t="s">
        <v>1906</v>
      </c>
      <c r="C159" s="29" t="s">
        <v>13</v>
      </c>
      <c r="D159" s="29" t="s">
        <v>13</v>
      </c>
      <c r="E159" s="29" t="s">
        <v>13</v>
      </c>
      <c r="F159" s="29" t="s">
        <v>13</v>
      </c>
      <c r="G159" s="29" t="s">
        <v>1907</v>
      </c>
      <c r="H159" s="51" t="s">
        <v>4617</v>
      </c>
    </row>
    <row r="160" ht="15.75" customHeight="1">
      <c r="A160" s="28">
        <v>158.0</v>
      </c>
      <c r="B160" s="29" t="s">
        <v>1908</v>
      </c>
      <c r="C160" s="29">
        <v>74.0</v>
      </c>
      <c r="D160" s="29">
        <v>5142521.0</v>
      </c>
      <c r="E160" s="29" t="s">
        <v>13</v>
      </c>
      <c r="F160" s="29" t="s">
        <v>13</v>
      </c>
      <c r="G160" s="29" t="s">
        <v>13</v>
      </c>
      <c r="H160" s="51" t="s">
        <v>4617</v>
      </c>
    </row>
    <row r="161" ht="15.75" customHeight="1">
      <c r="A161" s="28">
        <v>159.0</v>
      </c>
      <c r="B161" s="29" t="s">
        <v>1909</v>
      </c>
      <c r="C161" s="29" t="s">
        <v>13</v>
      </c>
      <c r="D161" s="29" t="s">
        <v>14</v>
      </c>
      <c r="E161" s="29" t="s">
        <v>13</v>
      </c>
      <c r="F161" s="29" t="s">
        <v>13</v>
      </c>
      <c r="G161" s="29" t="s">
        <v>15</v>
      </c>
      <c r="H161" s="51" t="s">
        <v>4617</v>
      </c>
    </row>
    <row r="162" ht="15.75" customHeight="1">
      <c r="A162" s="28">
        <v>160.0</v>
      </c>
      <c r="B162" s="29" t="s">
        <v>1909</v>
      </c>
      <c r="C162" s="29" t="s">
        <v>13</v>
      </c>
      <c r="D162" s="29" t="s">
        <v>14</v>
      </c>
      <c r="E162" s="29" t="s">
        <v>13</v>
      </c>
      <c r="F162" s="29" t="s">
        <v>13</v>
      </c>
      <c r="G162" s="29" t="s">
        <v>15</v>
      </c>
      <c r="H162" s="51" t="s">
        <v>4617</v>
      </c>
    </row>
    <row r="163" ht="15.75" customHeight="1">
      <c r="A163" s="28">
        <v>161.0</v>
      </c>
      <c r="B163" s="29" t="s">
        <v>1910</v>
      </c>
      <c r="C163" s="29" t="s">
        <v>13</v>
      </c>
      <c r="D163" s="29">
        <v>1.2115323E8</v>
      </c>
      <c r="E163" s="29" t="s">
        <v>13</v>
      </c>
      <c r="F163" s="29" t="s">
        <v>13</v>
      </c>
      <c r="G163" s="29" t="s">
        <v>1748</v>
      </c>
      <c r="H163" s="51" t="s">
        <v>4617</v>
      </c>
    </row>
    <row r="164" ht="15.75" customHeight="1">
      <c r="A164" s="28">
        <v>162.0</v>
      </c>
      <c r="B164" s="29" t="s">
        <v>1911</v>
      </c>
      <c r="C164" s="29">
        <v>3.0</v>
      </c>
      <c r="D164" s="29" t="s">
        <v>13</v>
      </c>
      <c r="E164" s="29" t="s">
        <v>13</v>
      </c>
      <c r="F164" s="29" t="s">
        <v>13</v>
      </c>
      <c r="G164" s="29" t="s">
        <v>13</v>
      </c>
      <c r="H164" s="51" t="s">
        <v>4617</v>
      </c>
    </row>
    <row r="165" ht="15.75" customHeight="1">
      <c r="A165" s="28">
        <v>163.0</v>
      </c>
      <c r="B165" s="29" t="s">
        <v>1912</v>
      </c>
      <c r="C165" s="29" t="s">
        <v>13</v>
      </c>
      <c r="D165" s="29" t="s">
        <v>13</v>
      </c>
      <c r="E165" s="29" t="s">
        <v>13</v>
      </c>
      <c r="F165" s="29" t="s">
        <v>13</v>
      </c>
      <c r="G165" s="29" t="s">
        <v>13</v>
      </c>
      <c r="H165" s="51" t="s">
        <v>4617</v>
      </c>
    </row>
    <row r="166" ht="15.75" customHeight="1">
      <c r="A166" s="28">
        <v>164.0</v>
      </c>
      <c r="B166" s="29" t="s">
        <v>1913</v>
      </c>
      <c r="C166" s="29" t="s">
        <v>1731</v>
      </c>
      <c r="D166" s="29" t="s">
        <v>1914</v>
      </c>
      <c r="E166" s="29" t="s">
        <v>13</v>
      </c>
      <c r="F166" s="29" t="s">
        <v>1731</v>
      </c>
      <c r="G166" s="29" t="s">
        <v>1731</v>
      </c>
      <c r="H166" s="51" t="s">
        <v>4617</v>
      </c>
    </row>
    <row r="167" ht="15.75" customHeight="1">
      <c r="A167" s="28">
        <v>165.0</v>
      </c>
      <c r="B167" s="29" t="s">
        <v>1915</v>
      </c>
      <c r="C167" s="29">
        <v>69.0</v>
      </c>
      <c r="D167" s="29" t="s">
        <v>13</v>
      </c>
      <c r="E167" s="29" t="s">
        <v>13</v>
      </c>
      <c r="F167" s="29" t="s">
        <v>13</v>
      </c>
      <c r="G167" s="29" t="s">
        <v>1916</v>
      </c>
      <c r="H167" s="51" t="s">
        <v>4617</v>
      </c>
    </row>
    <row r="168" ht="15.75" customHeight="1">
      <c r="A168" s="28">
        <v>166.0</v>
      </c>
      <c r="B168" s="29" t="s">
        <v>1917</v>
      </c>
      <c r="C168" s="29" t="s">
        <v>13</v>
      </c>
      <c r="D168" s="29">
        <v>3.2976229E8</v>
      </c>
      <c r="E168" s="29" t="s">
        <v>13</v>
      </c>
      <c r="F168" s="29" t="s">
        <v>13</v>
      </c>
      <c r="G168" s="29" t="s">
        <v>13</v>
      </c>
      <c r="H168" s="51" t="s">
        <v>4617</v>
      </c>
    </row>
    <row r="169" ht="15.75" customHeight="1">
      <c r="A169" s="28">
        <v>167.0</v>
      </c>
      <c r="B169" s="29" t="s">
        <v>1917</v>
      </c>
      <c r="C169" s="29" t="s">
        <v>1731</v>
      </c>
      <c r="D169" s="29">
        <v>3.2746229E8</v>
      </c>
      <c r="E169" s="29" t="s">
        <v>13</v>
      </c>
      <c r="F169" s="29" t="s">
        <v>1731</v>
      </c>
      <c r="G169" s="29" t="s">
        <v>1731</v>
      </c>
      <c r="H169" s="51" t="s">
        <v>4617</v>
      </c>
    </row>
    <row r="170" ht="15.75" customHeight="1">
      <c r="A170" s="28">
        <v>168.0</v>
      </c>
      <c r="B170" s="29" t="s">
        <v>1918</v>
      </c>
      <c r="C170" s="29" t="s">
        <v>1731</v>
      </c>
      <c r="D170" s="29">
        <v>2.7334288E8</v>
      </c>
      <c r="E170" s="29" t="s">
        <v>13</v>
      </c>
      <c r="F170" s="29" t="s">
        <v>1731</v>
      </c>
      <c r="G170" s="29" t="s">
        <v>1731</v>
      </c>
      <c r="H170" s="51" t="s">
        <v>4617</v>
      </c>
    </row>
    <row r="171" ht="15.75" customHeight="1">
      <c r="A171" s="28">
        <v>169.0</v>
      </c>
      <c r="B171" s="29" t="s">
        <v>1918</v>
      </c>
      <c r="C171" s="29" t="s">
        <v>13</v>
      </c>
      <c r="D171" s="29">
        <v>2.7374286E8</v>
      </c>
      <c r="E171" s="29" t="s">
        <v>13</v>
      </c>
      <c r="F171" s="29" t="s">
        <v>13</v>
      </c>
      <c r="G171" s="29" t="s">
        <v>1748</v>
      </c>
      <c r="H171" s="51" t="s">
        <v>4617</v>
      </c>
    </row>
    <row r="172" ht="15.75" customHeight="1">
      <c r="A172" s="28">
        <v>170.0</v>
      </c>
      <c r="B172" s="29" t="s">
        <v>1919</v>
      </c>
      <c r="C172" s="29" t="s">
        <v>13</v>
      </c>
      <c r="D172" s="29" t="s">
        <v>13</v>
      </c>
      <c r="E172" s="29" t="s">
        <v>13</v>
      </c>
      <c r="F172" s="29" t="s">
        <v>13</v>
      </c>
      <c r="G172" s="29" t="s">
        <v>1742</v>
      </c>
      <c r="H172" s="51" t="s">
        <v>4617</v>
      </c>
    </row>
    <row r="173" ht="15.75" customHeight="1">
      <c r="A173" s="28">
        <v>171.0</v>
      </c>
      <c r="B173" s="29" t="s">
        <v>1920</v>
      </c>
      <c r="C173" s="29" t="s">
        <v>13</v>
      </c>
      <c r="D173" s="29">
        <v>2.8285779E8</v>
      </c>
      <c r="E173" s="29" t="s">
        <v>13</v>
      </c>
      <c r="F173" s="29" t="s">
        <v>13</v>
      </c>
      <c r="G173" s="29" t="s">
        <v>13</v>
      </c>
      <c r="H173" s="51" t="s">
        <v>4617</v>
      </c>
    </row>
    <row r="174" ht="15.75" customHeight="1">
      <c r="A174" s="28">
        <v>172.0</v>
      </c>
      <c r="B174" s="29" t="s">
        <v>1920</v>
      </c>
      <c r="C174" s="29" t="s">
        <v>1731</v>
      </c>
      <c r="D174" s="29">
        <v>2.82653779E9</v>
      </c>
      <c r="E174" s="29" t="s">
        <v>13</v>
      </c>
      <c r="F174" s="29" t="s">
        <v>1731</v>
      </c>
      <c r="G174" s="29" t="s">
        <v>1731</v>
      </c>
      <c r="H174" s="51" t="s">
        <v>4617</v>
      </c>
    </row>
    <row r="175" ht="15.75" customHeight="1">
      <c r="A175" s="28">
        <v>173.0</v>
      </c>
      <c r="B175" s="29" t="s">
        <v>1921</v>
      </c>
      <c r="C175" s="29">
        <v>10.0</v>
      </c>
      <c r="D175" s="29" t="s">
        <v>13</v>
      </c>
      <c r="E175" s="29" t="s">
        <v>13</v>
      </c>
      <c r="F175" s="29" t="s">
        <v>13</v>
      </c>
      <c r="G175" s="29" t="s">
        <v>452</v>
      </c>
      <c r="H175" s="51" t="s">
        <v>4617</v>
      </c>
    </row>
    <row r="176" ht="15.75" customHeight="1">
      <c r="A176" s="28">
        <v>174.0</v>
      </c>
      <c r="B176" s="29" t="s">
        <v>1922</v>
      </c>
      <c r="C176" s="29" t="s">
        <v>13</v>
      </c>
      <c r="D176" s="29">
        <v>2.6019884E8</v>
      </c>
      <c r="E176" s="29" t="s">
        <v>13</v>
      </c>
      <c r="F176" s="29" t="s">
        <v>13</v>
      </c>
      <c r="G176" s="29" t="s">
        <v>1923</v>
      </c>
      <c r="H176" s="51" t="s">
        <v>4617</v>
      </c>
    </row>
    <row r="177" ht="15.75" customHeight="1">
      <c r="A177" s="28">
        <v>175.0</v>
      </c>
      <c r="B177" s="29" t="s">
        <v>1924</v>
      </c>
      <c r="C177" s="29" t="s">
        <v>1731</v>
      </c>
      <c r="D177" s="29">
        <v>1.87492259E9</v>
      </c>
      <c r="E177" s="29" t="s">
        <v>13</v>
      </c>
      <c r="F177" s="29" t="s">
        <v>1731</v>
      </c>
      <c r="G177" s="29" t="s">
        <v>1731</v>
      </c>
      <c r="H177" s="51" t="s">
        <v>4617</v>
      </c>
    </row>
    <row r="178" ht="15.75" customHeight="1">
      <c r="A178" s="28">
        <v>176.0</v>
      </c>
      <c r="B178" s="29" t="s">
        <v>1925</v>
      </c>
      <c r="C178" s="29" t="s">
        <v>13</v>
      </c>
      <c r="D178" s="29" t="s">
        <v>14</v>
      </c>
      <c r="E178" s="29" t="s">
        <v>13</v>
      </c>
      <c r="F178" s="29" t="s">
        <v>13</v>
      </c>
      <c r="G178" s="29" t="s">
        <v>1926</v>
      </c>
      <c r="H178" s="51" t="s">
        <v>4617</v>
      </c>
    </row>
    <row r="179" ht="15.75" customHeight="1">
      <c r="A179" s="28">
        <v>177.0</v>
      </c>
      <c r="B179" s="29" t="s">
        <v>1927</v>
      </c>
      <c r="C179" s="29" t="s">
        <v>13</v>
      </c>
      <c r="D179" s="29" t="s">
        <v>14</v>
      </c>
      <c r="E179" s="29" t="s">
        <v>13</v>
      </c>
      <c r="F179" s="29" t="s">
        <v>13</v>
      </c>
      <c r="G179" s="29" t="s">
        <v>15</v>
      </c>
      <c r="H179" s="51" t="s">
        <v>4617</v>
      </c>
    </row>
    <row r="180">
      <c r="A180" s="28">
        <v>178.0</v>
      </c>
      <c r="B180" s="29" t="s">
        <v>1928</v>
      </c>
      <c r="C180" s="29">
        <v>9.0</v>
      </c>
      <c r="D180" s="29" t="s">
        <v>13</v>
      </c>
      <c r="E180" s="29" t="s">
        <v>13</v>
      </c>
      <c r="F180" s="29" t="s">
        <v>13</v>
      </c>
      <c r="G180" s="29" t="s">
        <v>1804</v>
      </c>
      <c r="H180" s="51" t="s">
        <v>4617</v>
      </c>
    </row>
    <row r="181">
      <c r="A181" s="28">
        <v>179.0</v>
      </c>
      <c r="B181" s="29" t="s">
        <v>1929</v>
      </c>
      <c r="C181" s="29">
        <v>9.0</v>
      </c>
      <c r="D181" s="29" t="s">
        <v>13</v>
      </c>
      <c r="E181" s="29" t="s">
        <v>13</v>
      </c>
      <c r="F181" s="29" t="s">
        <v>13</v>
      </c>
      <c r="G181" s="29" t="s">
        <v>1930</v>
      </c>
      <c r="H181" s="51" t="s">
        <v>4617</v>
      </c>
    </row>
    <row r="182">
      <c r="A182" s="28">
        <v>180.0</v>
      </c>
      <c r="B182" s="29" t="s">
        <v>1931</v>
      </c>
      <c r="C182" s="29">
        <v>61.0</v>
      </c>
      <c r="D182" s="29" t="s">
        <v>14</v>
      </c>
      <c r="E182" s="29" t="s">
        <v>13</v>
      </c>
      <c r="F182" s="29" t="s">
        <v>13</v>
      </c>
      <c r="G182" s="29" t="s">
        <v>1932</v>
      </c>
      <c r="H182" s="51" t="s">
        <v>4617</v>
      </c>
    </row>
    <row r="183">
      <c r="A183" s="28">
        <v>181.0</v>
      </c>
      <c r="B183" s="29" t="s">
        <v>1933</v>
      </c>
      <c r="C183" s="29">
        <v>43.0</v>
      </c>
      <c r="D183" s="29" t="s">
        <v>13</v>
      </c>
      <c r="E183" s="29" t="s">
        <v>13</v>
      </c>
      <c r="F183" s="29" t="s">
        <v>13</v>
      </c>
      <c r="G183" s="29" t="s">
        <v>1934</v>
      </c>
      <c r="H183" s="51" t="s">
        <v>4617</v>
      </c>
    </row>
    <row r="184">
      <c r="A184" s="28">
        <v>182.0</v>
      </c>
      <c r="B184" s="29" t="s">
        <v>1935</v>
      </c>
      <c r="C184" s="29" t="s">
        <v>13</v>
      </c>
      <c r="D184" s="29" t="s">
        <v>14</v>
      </c>
      <c r="E184" s="29" t="s">
        <v>13</v>
      </c>
      <c r="F184" s="29" t="s">
        <v>13</v>
      </c>
      <c r="G184" s="29" t="s">
        <v>15</v>
      </c>
      <c r="H184" s="51" t="s">
        <v>4617</v>
      </c>
    </row>
    <row r="185">
      <c r="A185" s="28">
        <v>183.0</v>
      </c>
      <c r="B185" s="29" t="s">
        <v>1936</v>
      </c>
      <c r="C185" s="29" t="s">
        <v>13</v>
      </c>
      <c r="D185" s="29" t="s">
        <v>13</v>
      </c>
      <c r="E185" s="29" t="s">
        <v>13</v>
      </c>
      <c r="F185" s="29" t="s">
        <v>13</v>
      </c>
      <c r="G185" s="29" t="s">
        <v>1742</v>
      </c>
      <c r="H185" s="51" t="s">
        <v>4617</v>
      </c>
    </row>
    <row r="186">
      <c r="A186" s="28">
        <v>184.0</v>
      </c>
      <c r="B186" s="29" t="s">
        <v>1936</v>
      </c>
      <c r="C186" s="29" t="s">
        <v>13</v>
      </c>
      <c r="D186" s="29" t="s">
        <v>13</v>
      </c>
      <c r="E186" s="29" t="s">
        <v>13</v>
      </c>
      <c r="F186" s="29" t="s">
        <v>13</v>
      </c>
      <c r="G186" s="29" t="s">
        <v>1800</v>
      </c>
      <c r="H186" s="51" t="s">
        <v>4617</v>
      </c>
    </row>
    <row r="187">
      <c r="A187" s="28">
        <v>185.0</v>
      </c>
      <c r="B187" s="29" t="s">
        <v>1937</v>
      </c>
      <c r="C187" s="29">
        <v>33.0</v>
      </c>
      <c r="D187" s="29" t="s">
        <v>13</v>
      </c>
      <c r="E187" s="29" t="s">
        <v>13</v>
      </c>
      <c r="F187" s="29" t="s">
        <v>13</v>
      </c>
      <c r="G187" s="29" t="s">
        <v>1742</v>
      </c>
      <c r="H187" s="51" t="s">
        <v>4617</v>
      </c>
    </row>
    <row r="188">
      <c r="A188" s="28">
        <v>186.0</v>
      </c>
      <c r="B188" s="29" t="s">
        <v>1938</v>
      </c>
      <c r="C188" s="29" t="s">
        <v>13</v>
      </c>
      <c r="D188" s="29">
        <v>2.5699054E7</v>
      </c>
      <c r="E188" s="29" t="s">
        <v>13</v>
      </c>
      <c r="F188" s="29" t="s">
        <v>13</v>
      </c>
      <c r="G188" s="29" t="s">
        <v>13</v>
      </c>
      <c r="H188" s="51" t="s">
        <v>4617</v>
      </c>
    </row>
    <row r="189">
      <c r="A189" s="28">
        <v>187.0</v>
      </c>
      <c r="B189" s="29" t="s">
        <v>1939</v>
      </c>
      <c r="C189" s="29" t="s">
        <v>13</v>
      </c>
      <c r="D189" s="29">
        <v>1.6310014E7</v>
      </c>
      <c r="E189" s="29" t="s">
        <v>13</v>
      </c>
      <c r="F189" s="29" t="s">
        <v>13</v>
      </c>
      <c r="G189" s="29" t="s">
        <v>13</v>
      </c>
      <c r="H189" s="51" t="s">
        <v>4617</v>
      </c>
    </row>
    <row r="190">
      <c r="A190" s="28">
        <v>188.0</v>
      </c>
      <c r="B190" s="29" t="s">
        <v>1940</v>
      </c>
      <c r="C190" s="29" t="s">
        <v>13</v>
      </c>
      <c r="D190" s="29" t="s">
        <v>14</v>
      </c>
      <c r="E190" s="29" t="s">
        <v>13</v>
      </c>
      <c r="F190" s="29" t="s">
        <v>13</v>
      </c>
      <c r="G190" s="29" t="s">
        <v>15</v>
      </c>
      <c r="H190" s="51" t="s">
        <v>4617</v>
      </c>
    </row>
    <row r="191">
      <c r="A191" s="28">
        <v>189.0</v>
      </c>
      <c r="B191" s="29" t="s">
        <v>1941</v>
      </c>
      <c r="C191" s="29" t="s">
        <v>13</v>
      </c>
      <c r="D191" s="29">
        <v>8.1659048E8</v>
      </c>
      <c r="E191" s="29" t="s">
        <v>13</v>
      </c>
      <c r="F191" s="29" t="s">
        <v>13</v>
      </c>
      <c r="G191" s="29" t="s">
        <v>13</v>
      </c>
      <c r="H191" s="51" t="s">
        <v>4617</v>
      </c>
    </row>
    <row r="192">
      <c r="A192" s="28">
        <v>190.0</v>
      </c>
      <c r="B192" s="29" t="s">
        <v>1942</v>
      </c>
      <c r="C192" s="29" t="s">
        <v>13</v>
      </c>
      <c r="D192" s="29" t="s">
        <v>13</v>
      </c>
      <c r="E192" s="29" t="s">
        <v>13</v>
      </c>
      <c r="F192" s="29" t="s">
        <v>13</v>
      </c>
      <c r="G192" s="29" t="s">
        <v>1903</v>
      </c>
      <c r="H192" s="51" t="s">
        <v>4617</v>
      </c>
    </row>
    <row r="193">
      <c r="A193" s="28">
        <v>191.0</v>
      </c>
      <c r="B193" s="29" t="s">
        <v>1943</v>
      </c>
      <c r="C193" s="29" t="s">
        <v>13</v>
      </c>
      <c r="D193" s="29" t="s">
        <v>14</v>
      </c>
      <c r="E193" s="29" t="s">
        <v>13</v>
      </c>
      <c r="F193" s="29" t="s">
        <v>13</v>
      </c>
      <c r="G193" s="29" t="s">
        <v>15</v>
      </c>
      <c r="H193" s="51" t="s">
        <v>4617</v>
      </c>
    </row>
    <row r="194">
      <c r="A194" s="28">
        <v>192.0</v>
      </c>
      <c r="B194" s="29" t="s">
        <v>1944</v>
      </c>
      <c r="C194" s="29" t="s">
        <v>13</v>
      </c>
      <c r="D194" s="29">
        <v>2.5699054E8</v>
      </c>
      <c r="E194" s="29" t="s">
        <v>13</v>
      </c>
      <c r="F194" s="29" t="s">
        <v>13</v>
      </c>
      <c r="G194" s="29" t="s">
        <v>1748</v>
      </c>
      <c r="H194" s="51" t="s">
        <v>4617</v>
      </c>
    </row>
    <row r="195">
      <c r="A195" s="28">
        <v>193.0</v>
      </c>
      <c r="B195" s="29" t="s">
        <v>1945</v>
      </c>
      <c r="C195" s="29" t="s">
        <v>13</v>
      </c>
      <c r="D195" s="29" t="s">
        <v>13</v>
      </c>
      <c r="E195" s="29" t="s">
        <v>13</v>
      </c>
      <c r="F195" s="29" t="s">
        <v>13</v>
      </c>
      <c r="G195" s="29" t="s">
        <v>1907</v>
      </c>
      <c r="H195" s="51" t="s">
        <v>4617</v>
      </c>
    </row>
    <row r="196">
      <c r="A196" s="28">
        <v>194.0</v>
      </c>
      <c r="B196" s="29" t="s">
        <v>1946</v>
      </c>
      <c r="C196" s="29" t="s">
        <v>13</v>
      </c>
      <c r="D196" s="29" t="s">
        <v>14</v>
      </c>
      <c r="E196" s="29" t="s">
        <v>13</v>
      </c>
      <c r="F196" s="29" t="s">
        <v>13</v>
      </c>
      <c r="G196" s="29" t="s">
        <v>15</v>
      </c>
      <c r="H196" s="51" t="s">
        <v>4617</v>
      </c>
    </row>
    <row r="197">
      <c r="A197" s="28">
        <v>195.0</v>
      </c>
      <c r="B197" s="29" t="s">
        <v>1946</v>
      </c>
      <c r="C197" s="29" t="s">
        <v>13</v>
      </c>
      <c r="D197" s="29" t="s">
        <v>14</v>
      </c>
      <c r="E197" s="29" t="s">
        <v>13</v>
      </c>
      <c r="F197" s="29" t="s">
        <v>13</v>
      </c>
      <c r="G197" s="29" t="s">
        <v>15</v>
      </c>
      <c r="H197" s="51" t="s">
        <v>4617</v>
      </c>
    </row>
    <row r="198">
      <c r="A198" s="28">
        <v>196.0</v>
      </c>
      <c r="B198" s="29" t="s">
        <v>1947</v>
      </c>
      <c r="C198" s="29" t="s">
        <v>13</v>
      </c>
      <c r="D198" s="29" t="s">
        <v>14</v>
      </c>
      <c r="E198" s="29" t="s">
        <v>13</v>
      </c>
      <c r="F198" s="29" t="s">
        <v>13</v>
      </c>
      <c r="G198" s="29" t="s">
        <v>15</v>
      </c>
      <c r="H198" s="51" t="s">
        <v>4617</v>
      </c>
    </row>
    <row r="199">
      <c r="A199" s="28">
        <v>197.0</v>
      </c>
      <c r="B199" s="29" t="s">
        <v>1948</v>
      </c>
      <c r="C199" s="29" t="s">
        <v>13</v>
      </c>
      <c r="D199" s="29">
        <v>8.1659048E7</v>
      </c>
      <c r="E199" s="29" t="s">
        <v>13</v>
      </c>
      <c r="F199" s="29" t="s">
        <v>13</v>
      </c>
      <c r="G199" s="29" t="s">
        <v>13</v>
      </c>
      <c r="H199" s="51" t="s">
        <v>4617</v>
      </c>
    </row>
    <row r="200">
      <c r="A200" s="28">
        <v>198.0</v>
      </c>
      <c r="B200" s="29" t="s">
        <v>1949</v>
      </c>
      <c r="C200" s="29" t="s">
        <v>13</v>
      </c>
      <c r="D200" s="29">
        <v>5913883.0</v>
      </c>
      <c r="E200" s="29" t="s">
        <v>13</v>
      </c>
      <c r="F200" s="29" t="s">
        <v>13</v>
      </c>
      <c r="G200" s="29" t="s">
        <v>1729</v>
      </c>
      <c r="H200" s="51" t="s">
        <v>4617</v>
      </c>
    </row>
    <row r="201">
      <c r="A201" s="28">
        <v>199.0</v>
      </c>
      <c r="B201" s="29" t="s">
        <v>1950</v>
      </c>
      <c r="C201" s="29" t="s">
        <v>13</v>
      </c>
      <c r="D201" s="29">
        <v>3.2654924E7</v>
      </c>
      <c r="E201" s="29" t="s">
        <v>13</v>
      </c>
      <c r="F201" s="29" t="s">
        <v>13</v>
      </c>
      <c r="G201" s="29" t="s">
        <v>1729</v>
      </c>
      <c r="H201" s="51" t="s">
        <v>4617</v>
      </c>
    </row>
    <row r="202">
      <c r="A202" s="28">
        <v>200.0</v>
      </c>
      <c r="B202" s="29" t="s">
        <v>1951</v>
      </c>
      <c r="C202" s="29" t="s">
        <v>13</v>
      </c>
      <c r="D202" s="29" t="s">
        <v>14</v>
      </c>
      <c r="E202" s="29" t="s">
        <v>13</v>
      </c>
      <c r="F202" s="29" t="s">
        <v>13</v>
      </c>
      <c r="G202" s="29" t="s">
        <v>15</v>
      </c>
      <c r="H202" s="51" t="s">
        <v>4617</v>
      </c>
    </row>
    <row r="203">
      <c r="A203" s="28">
        <v>201.0</v>
      </c>
      <c r="B203" s="29" t="s">
        <v>1952</v>
      </c>
      <c r="C203" s="29" t="s">
        <v>1731</v>
      </c>
      <c r="D203" s="29">
        <v>1.3574764E8</v>
      </c>
      <c r="E203" s="29" t="s">
        <v>13</v>
      </c>
      <c r="F203" s="29" t="s">
        <v>1731</v>
      </c>
      <c r="G203" s="29" t="s">
        <v>1731</v>
      </c>
      <c r="H203" s="51" t="s">
        <v>4617</v>
      </c>
    </row>
    <row r="204">
      <c r="A204" s="28">
        <v>202.0</v>
      </c>
      <c r="B204" s="29" t="s">
        <v>1953</v>
      </c>
      <c r="C204" s="29">
        <v>10.0</v>
      </c>
      <c r="D204" s="29" t="s">
        <v>13</v>
      </c>
      <c r="E204" s="29" t="s">
        <v>13</v>
      </c>
      <c r="F204" s="29" t="s">
        <v>13</v>
      </c>
      <c r="G204" s="29" t="s">
        <v>1804</v>
      </c>
      <c r="H204" s="51" t="s">
        <v>4617</v>
      </c>
    </row>
    <row r="205">
      <c r="A205" s="28">
        <v>203.0</v>
      </c>
      <c r="B205" s="29" t="s">
        <v>1954</v>
      </c>
      <c r="C205" s="29" t="s">
        <v>13</v>
      </c>
      <c r="D205" s="29">
        <v>1.9659867E8</v>
      </c>
      <c r="E205" s="29" t="s">
        <v>13</v>
      </c>
      <c r="F205" s="29" t="s">
        <v>13</v>
      </c>
      <c r="G205" s="29" t="s">
        <v>13</v>
      </c>
      <c r="H205" s="51" t="s">
        <v>4617</v>
      </c>
    </row>
    <row r="206">
      <c r="A206" s="28">
        <v>204.0</v>
      </c>
      <c r="B206" s="29" t="s">
        <v>1955</v>
      </c>
      <c r="C206" s="29" t="s">
        <v>13</v>
      </c>
      <c r="D206" s="29">
        <v>2856590.0</v>
      </c>
      <c r="E206" s="29" t="s">
        <v>13</v>
      </c>
      <c r="F206" s="29" t="s">
        <v>13</v>
      </c>
      <c r="G206" s="29" t="s">
        <v>13</v>
      </c>
      <c r="H206" s="51" t="s">
        <v>4617</v>
      </c>
    </row>
    <row r="207">
      <c r="A207" s="28">
        <v>205.0</v>
      </c>
      <c r="B207" s="29" t="s">
        <v>1956</v>
      </c>
      <c r="C207" s="29" t="s">
        <v>13</v>
      </c>
      <c r="D207" s="29">
        <v>1.4424783E8</v>
      </c>
      <c r="E207" s="29" t="s">
        <v>13</v>
      </c>
      <c r="F207" s="29" t="s">
        <v>13</v>
      </c>
      <c r="G207" s="29" t="s">
        <v>13</v>
      </c>
      <c r="H207" s="51" t="s">
        <v>4617</v>
      </c>
    </row>
    <row r="208">
      <c r="A208" s="28">
        <v>206.0</v>
      </c>
      <c r="B208" s="29" t="s">
        <v>1957</v>
      </c>
      <c r="C208" s="29" t="s">
        <v>13</v>
      </c>
      <c r="D208" s="29">
        <v>3.2781459E8</v>
      </c>
      <c r="E208" s="29" t="s">
        <v>13</v>
      </c>
      <c r="F208" s="29" t="s">
        <v>13</v>
      </c>
      <c r="G208" s="29" t="s">
        <v>13</v>
      </c>
      <c r="H208" s="51" t="s">
        <v>4617</v>
      </c>
    </row>
    <row r="209">
      <c r="A209" s="28">
        <v>207.0</v>
      </c>
      <c r="B209" s="29" t="s">
        <v>1957</v>
      </c>
      <c r="C209" s="29" t="s">
        <v>1731</v>
      </c>
      <c r="D209" s="29">
        <v>3.2281459E8</v>
      </c>
      <c r="E209" s="29" t="s">
        <v>13</v>
      </c>
      <c r="F209" s="29" t="s">
        <v>1731</v>
      </c>
      <c r="G209" s="29" t="s">
        <v>1731</v>
      </c>
      <c r="H209" s="51" t="s">
        <v>4617</v>
      </c>
    </row>
    <row r="210">
      <c r="A210" s="28">
        <v>208.0</v>
      </c>
      <c r="B210" s="29" t="s">
        <v>1958</v>
      </c>
      <c r="C210" s="29" t="s">
        <v>13</v>
      </c>
      <c r="D210" s="29">
        <v>8.2230906E8</v>
      </c>
      <c r="E210" s="29" t="s">
        <v>13</v>
      </c>
      <c r="F210" s="29" t="s">
        <v>13</v>
      </c>
      <c r="G210" s="29" t="s">
        <v>13</v>
      </c>
      <c r="H210" s="51" t="s">
        <v>4617</v>
      </c>
    </row>
    <row r="211">
      <c r="A211" s="28">
        <v>209.0</v>
      </c>
      <c r="B211" s="29" t="s">
        <v>1959</v>
      </c>
      <c r="C211" s="29" t="s">
        <v>13</v>
      </c>
      <c r="D211" s="29" t="s">
        <v>14</v>
      </c>
      <c r="E211" s="29" t="s">
        <v>13</v>
      </c>
      <c r="F211" s="29" t="s">
        <v>13</v>
      </c>
      <c r="G211" s="29" t="s">
        <v>15</v>
      </c>
      <c r="H211" s="51" t="s">
        <v>4617</v>
      </c>
    </row>
    <row r="212">
      <c r="A212" s="28">
        <v>210.0</v>
      </c>
      <c r="B212" s="29" t="s">
        <v>1960</v>
      </c>
      <c r="C212" s="29" t="s">
        <v>13</v>
      </c>
      <c r="D212" s="29">
        <v>3.3423811E7</v>
      </c>
      <c r="E212" s="29" t="s">
        <v>13</v>
      </c>
      <c r="F212" s="29" t="s">
        <v>13</v>
      </c>
      <c r="G212" s="29" t="s">
        <v>13</v>
      </c>
      <c r="H212" s="51" t="s">
        <v>4617</v>
      </c>
    </row>
    <row r="213">
      <c r="A213" s="28">
        <v>211.0</v>
      </c>
      <c r="B213" s="29" t="s">
        <v>1961</v>
      </c>
      <c r="C213" s="29" t="s">
        <v>13</v>
      </c>
      <c r="D213" s="29">
        <v>3.254342E8</v>
      </c>
      <c r="E213" s="29" t="s">
        <v>13</v>
      </c>
      <c r="F213" s="29" t="s">
        <v>13</v>
      </c>
      <c r="G213" s="29" t="s">
        <v>13</v>
      </c>
      <c r="H213" s="51" t="s">
        <v>4617</v>
      </c>
    </row>
    <row r="214">
      <c r="A214" s="28">
        <v>212.0</v>
      </c>
      <c r="B214" s="29" t="s">
        <v>1961</v>
      </c>
      <c r="C214" s="29" t="s">
        <v>13</v>
      </c>
      <c r="D214" s="29">
        <v>3.254342E7</v>
      </c>
      <c r="E214" s="29" t="s">
        <v>13</v>
      </c>
      <c r="F214" s="29" t="s">
        <v>13</v>
      </c>
      <c r="G214" s="29" t="s">
        <v>13</v>
      </c>
      <c r="H214" s="51" t="s">
        <v>4617</v>
      </c>
    </row>
    <row r="215">
      <c r="A215" s="28">
        <v>213.0</v>
      </c>
      <c r="B215" s="29" t="s">
        <v>1962</v>
      </c>
      <c r="C215" s="29" t="s">
        <v>13</v>
      </c>
      <c r="D215" s="29">
        <v>1.7755829E7</v>
      </c>
      <c r="E215" s="29" t="s">
        <v>13</v>
      </c>
      <c r="F215" s="29" t="s">
        <v>13</v>
      </c>
      <c r="G215" s="29" t="s">
        <v>13</v>
      </c>
      <c r="H215" s="51" t="s">
        <v>4617</v>
      </c>
    </row>
    <row r="216">
      <c r="A216" s="28">
        <v>214.0</v>
      </c>
      <c r="B216" s="29" t="s">
        <v>1962</v>
      </c>
      <c r="C216" s="29" t="s">
        <v>13</v>
      </c>
      <c r="D216" s="29">
        <v>2.2761609E7</v>
      </c>
      <c r="E216" s="29" t="s">
        <v>13</v>
      </c>
      <c r="F216" s="29" t="s">
        <v>13</v>
      </c>
      <c r="G216" s="29" t="s">
        <v>1729</v>
      </c>
      <c r="H216" s="51" t="s">
        <v>4617</v>
      </c>
    </row>
    <row r="217">
      <c r="A217" s="28">
        <v>215.0</v>
      </c>
      <c r="B217" s="29" t="s">
        <v>1963</v>
      </c>
      <c r="C217" s="29" t="s">
        <v>13</v>
      </c>
      <c r="D217" s="29">
        <v>2.7377514E7</v>
      </c>
      <c r="E217" s="29" t="s">
        <v>13</v>
      </c>
      <c r="F217" s="29" t="s">
        <v>13</v>
      </c>
      <c r="G217" s="29" t="s">
        <v>13</v>
      </c>
      <c r="H217" s="51" t="s">
        <v>4617</v>
      </c>
    </row>
    <row r="218">
      <c r="A218" s="28">
        <v>216.0</v>
      </c>
      <c r="B218" s="29" t="s">
        <v>1964</v>
      </c>
      <c r="C218" s="29" t="s">
        <v>13</v>
      </c>
      <c r="D218" s="29">
        <v>5613119.0</v>
      </c>
      <c r="E218" s="29" t="s">
        <v>13</v>
      </c>
      <c r="F218" s="29" t="s">
        <v>13</v>
      </c>
      <c r="G218" s="29" t="s">
        <v>13</v>
      </c>
      <c r="H218" s="51" t="s">
        <v>4617</v>
      </c>
    </row>
    <row r="219">
      <c r="A219" s="28">
        <v>217.0</v>
      </c>
      <c r="B219" s="29" t="s">
        <v>1965</v>
      </c>
      <c r="C219" s="29" t="s">
        <v>13</v>
      </c>
      <c r="D219" s="29" t="s">
        <v>14</v>
      </c>
      <c r="E219" s="29" t="s">
        <v>13</v>
      </c>
      <c r="F219" s="29" t="s">
        <v>13</v>
      </c>
      <c r="G219" s="29" t="s">
        <v>15</v>
      </c>
      <c r="H219" s="51" t="s">
        <v>4617</v>
      </c>
    </row>
    <row r="220">
      <c r="A220" s="28">
        <v>218.0</v>
      </c>
      <c r="B220" s="29" t="s">
        <v>1966</v>
      </c>
      <c r="C220" s="29" t="s">
        <v>13</v>
      </c>
      <c r="D220" s="29" t="s">
        <v>14</v>
      </c>
      <c r="E220" s="29" t="s">
        <v>13</v>
      </c>
      <c r="F220" s="29" t="s">
        <v>13</v>
      </c>
      <c r="G220" s="29" t="s">
        <v>15</v>
      </c>
      <c r="H220" s="51" t="s">
        <v>4617</v>
      </c>
    </row>
    <row r="221">
      <c r="A221" s="28">
        <v>219.0</v>
      </c>
      <c r="B221" s="29" t="s">
        <v>1967</v>
      </c>
      <c r="C221" s="29" t="s">
        <v>13</v>
      </c>
      <c r="D221" s="29">
        <v>3.3423811E8</v>
      </c>
      <c r="E221" s="29" t="s">
        <v>13</v>
      </c>
      <c r="F221" s="29" t="s">
        <v>13</v>
      </c>
      <c r="G221" s="29" t="s">
        <v>13</v>
      </c>
      <c r="H221" s="51" t="s">
        <v>4617</v>
      </c>
    </row>
    <row r="222">
      <c r="A222" s="28">
        <v>220.0</v>
      </c>
      <c r="B222" s="29" t="s">
        <v>1968</v>
      </c>
      <c r="C222" s="29" t="s">
        <v>13</v>
      </c>
      <c r="D222" s="29" t="s">
        <v>14</v>
      </c>
      <c r="E222" s="29" t="s">
        <v>13</v>
      </c>
      <c r="F222" s="29" t="s">
        <v>13</v>
      </c>
      <c r="G222" s="29" t="s">
        <v>15</v>
      </c>
      <c r="H222" s="51" t="s">
        <v>4617</v>
      </c>
    </row>
    <row r="223">
      <c r="A223" s="28">
        <v>221.0</v>
      </c>
      <c r="B223" s="29" t="s">
        <v>1969</v>
      </c>
      <c r="C223" s="29">
        <v>9.0</v>
      </c>
      <c r="D223" s="29" t="s">
        <v>13</v>
      </c>
      <c r="E223" s="29" t="s">
        <v>13</v>
      </c>
      <c r="F223" s="29" t="s">
        <v>13</v>
      </c>
      <c r="G223" s="29" t="s">
        <v>1804</v>
      </c>
      <c r="H223" s="51" t="s">
        <v>4617</v>
      </c>
    </row>
    <row r="224">
      <c r="A224" s="28">
        <v>222.0</v>
      </c>
      <c r="B224" s="29" t="s">
        <v>1970</v>
      </c>
      <c r="C224" s="29" t="s">
        <v>13</v>
      </c>
      <c r="D224" s="29" t="s">
        <v>13</v>
      </c>
      <c r="E224" s="29" t="s">
        <v>13</v>
      </c>
      <c r="F224" s="29" t="s">
        <v>13</v>
      </c>
      <c r="G224" s="29" t="s">
        <v>1971</v>
      </c>
      <c r="H224" s="51" t="s">
        <v>4617</v>
      </c>
    </row>
    <row r="225">
      <c r="A225" s="28">
        <v>223.0</v>
      </c>
      <c r="B225" s="29" t="s">
        <v>1972</v>
      </c>
      <c r="C225" s="29" t="s">
        <v>13</v>
      </c>
      <c r="D225" s="29" t="s">
        <v>1973</v>
      </c>
      <c r="E225" s="29" t="s">
        <v>13</v>
      </c>
      <c r="F225" s="29" t="s">
        <v>13</v>
      </c>
      <c r="G225" s="29" t="s">
        <v>15</v>
      </c>
      <c r="H225" s="51" t="s">
        <v>4617</v>
      </c>
    </row>
    <row r="226">
      <c r="A226" s="28">
        <v>224.0</v>
      </c>
      <c r="B226" s="29" t="s">
        <v>1974</v>
      </c>
      <c r="C226" s="29" t="s">
        <v>13</v>
      </c>
      <c r="D226" s="29">
        <v>3.1428533E8</v>
      </c>
      <c r="E226" s="29" t="s">
        <v>13</v>
      </c>
      <c r="F226" s="29" t="s">
        <v>13</v>
      </c>
      <c r="G226" s="29" t="s">
        <v>13</v>
      </c>
      <c r="H226" s="51" t="s">
        <v>4617</v>
      </c>
    </row>
    <row r="227">
      <c r="A227" s="28">
        <v>225.0</v>
      </c>
      <c r="B227" s="29" t="s">
        <v>1975</v>
      </c>
      <c r="C227" s="29" t="s">
        <v>13</v>
      </c>
      <c r="D227" s="29" t="s">
        <v>13</v>
      </c>
      <c r="E227" s="29" t="s">
        <v>13</v>
      </c>
      <c r="F227" s="29" t="s">
        <v>13</v>
      </c>
      <c r="G227" s="29" t="s">
        <v>1976</v>
      </c>
      <c r="H227" s="51" t="s">
        <v>4617</v>
      </c>
    </row>
    <row r="228">
      <c r="A228" s="28">
        <v>226.0</v>
      </c>
      <c r="B228" s="29" t="s">
        <v>1977</v>
      </c>
      <c r="C228" s="29" t="s">
        <v>13</v>
      </c>
      <c r="D228" s="29" t="s">
        <v>13</v>
      </c>
      <c r="E228" s="29" t="s">
        <v>13</v>
      </c>
      <c r="F228" s="29" t="s">
        <v>13</v>
      </c>
      <c r="G228" s="29" t="s">
        <v>1742</v>
      </c>
      <c r="H228" s="51" t="s">
        <v>4617</v>
      </c>
    </row>
    <row r="229">
      <c r="A229" s="28">
        <v>227.0</v>
      </c>
      <c r="B229" s="29" t="s">
        <v>1978</v>
      </c>
      <c r="C229" s="29" t="s">
        <v>13</v>
      </c>
      <c r="D229" s="29" t="s">
        <v>13</v>
      </c>
      <c r="E229" s="29" t="s">
        <v>13</v>
      </c>
      <c r="F229" s="29" t="s">
        <v>13</v>
      </c>
      <c r="G229" s="29" t="s">
        <v>1742</v>
      </c>
      <c r="H229" s="51" t="s">
        <v>4617</v>
      </c>
    </row>
    <row r="230">
      <c r="A230" s="28">
        <v>228.0</v>
      </c>
      <c r="B230" s="29" t="s">
        <v>1979</v>
      </c>
      <c r="C230" s="29" t="s">
        <v>13</v>
      </c>
      <c r="D230" s="29">
        <v>2.0291328E7</v>
      </c>
      <c r="E230" s="29" t="s">
        <v>13</v>
      </c>
      <c r="F230" s="29" t="s">
        <v>13</v>
      </c>
      <c r="G230" s="29" t="s">
        <v>1729</v>
      </c>
      <c r="H230" s="51" t="s">
        <v>4617</v>
      </c>
    </row>
    <row r="231">
      <c r="A231" s="28">
        <v>229.0</v>
      </c>
      <c r="B231" s="29" t="s">
        <v>1980</v>
      </c>
      <c r="C231" s="29" t="s">
        <v>13</v>
      </c>
      <c r="D231" s="29" t="s">
        <v>14</v>
      </c>
      <c r="E231" s="29" t="s">
        <v>13</v>
      </c>
      <c r="F231" s="29" t="s">
        <v>13</v>
      </c>
      <c r="G231" s="29" t="s">
        <v>15</v>
      </c>
      <c r="H231" s="51" t="s">
        <v>4617</v>
      </c>
    </row>
    <row r="232">
      <c r="A232" s="28">
        <v>230.0</v>
      </c>
      <c r="B232" s="29" t="s">
        <v>1981</v>
      </c>
      <c r="C232" s="29" t="s">
        <v>13</v>
      </c>
      <c r="D232" s="29" t="s">
        <v>14</v>
      </c>
      <c r="E232" s="29" t="s">
        <v>13</v>
      </c>
      <c r="F232" s="29" t="s">
        <v>13</v>
      </c>
      <c r="G232" s="29" t="s">
        <v>15</v>
      </c>
      <c r="H232" s="51" t="s">
        <v>4617</v>
      </c>
    </row>
    <row r="233">
      <c r="A233" s="28">
        <v>231.0</v>
      </c>
      <c r="B233" s="29" t="s">
        <v>1982</v>
      </c>
      <c r="C233" s="29" t="s">
        <v>13</v>
      </c>
      <c r="D233" s="29">
        <v>1.8749225E7</v>
      </c>
      <c r="E233" s="29" t="s">
        <v>13</v>
      </c>
      <c r="F233" s="29" t="s">
        <v>13</v>
      </c>
      <c r="G233" s="29" t="s">
        <v>13</v>
      </c>
      <c r="H233" s="51" t="s">
        <v>4617</v>
      </c>
    </row>
    <row r="234">
      <c r="A234" s="28">
        <v>232.0</v>
      </c>
      <c r="B234" s="29" t="s">
        <v>1983</v>
      </c>
      <c r="C234" s="29" t="s">
        <v>13</v>
      </c>
      <c r="D234" s="29">
        <v>2.6019884E7</v>
      </c>
      <c r="E234" s="29" t="s">
        <v>13</v>
      </c>
      <c r="F234" s="29" t="s">
        <v>13</v>
      </c>
      <c r="G234" s="29" t="s">
        <v>13</v>
      </c>
      <c r="H234" s="51" t="s">
        <v>4617</v>
      </c>
    </row>
    <row r="235">
      <c r="A235" s="28">
        <v>233.0</v>
      </c>
      <c r="B235" s="29" t="s">
        <v>1984</v>
      </c>
      <c r="C235" s="29" t="s">
        <v>1731</v>
      </c>
      <c r="D235" s="29">
        <v>1.8749225E8</v>
      </c>
      <c r="E235" s="29" t="s">
        <v>13</v>
      </c>
      <c r="F235" s="29" t="s">
        <v>1731</v>
      </c>
      <c r="G235" s="29" t="s">
        <v>1731</v>
      </c>
      <c r="H235" s="51" t="s">
        <v>4617</v>
      </c>
    </row>
    <row r="236">
      <c r="A236" s="28">
        <v>234.0</v>
      </c>
      <c r="B236" s="29" t="s">
        <v>1985</v>
      </c>
      <c r="C236" s="29" t="s">
        <v>13</v>
      </c>
      <c r="D236" s="29" t="s">
        <v>1986</v>
      </c>
      <c r="E236" s="29" t="s">
        <v>13</v>
      </c>
      <c r="F236" s="29" t="s">
        <v>13</v>
      </c>
      <c r="G236" s="29" t="s">
        <v>15</v>
      </c>
      <c r="H236" s="51" t="s">
        <v>4617</v>
      </c>
    </row>
    <row r="237">
      <c r="A237" s="28">
        <v>235.0</v>
      </c>
      <c r="B237" s="29" t="s">
        <v>1987</v>
      </c>
      <c r="C237" s="29" t="s">
        <v>13</v>
      </c>
      <c r="D237" s="29">
        <v>1.7709218E7</v>
      </c>
      <c r="E237" s="29" t="s">
        <v>13</v>
      </c>
      <c r="F237" s="29" t="s">
        <v>13</v>
      </c>
      <c r="G237" s="29" t="s">
        <v>13</v>
      </c>
      <c r="H237" s="51" t="s">
        <v>4617</v>
      </c>
    </row>
    <row r="238">
      <c r="A238" s="28">
        <v>236.0</v>
      </c>
      <c r="B238" s="29" t="s">
        <v>1988</v>
      </c>
      <c r="C238" s="29" t="s">
        <v>13</v>
      </c>
      <c r="D238" s="29">
        <v>1.8814839E7</v>
      </c>
      <c r="E238" s="29" t="s">
        <v>13</v>
      </c>
      <c r="F238" s="29" t="s">
        <v>13</v>
      </c>
      <c r="G238" s="29" t="s">
        <v>13</v>
      </c>
      <c r="H238" s="51" t="s">
        <v>4617</v>
      </c>
    </row>
    <row r="239">
      <c r="A239" s="28">
        <v>237.0</v>
      </c>
      <c r="B239" s="29" t="s">
        <v>1989</v>
      </c>
      <c r="C239" s="29" t="s">
        <v>13</v>
      </c>
      <c r="D239" s="29" t="s">
        <v>13</v>
      </c>
      <c r="E239" s="29" t="s">
        <v>13</v>
      </c>
      <c r="F239" s="29" t="s">
        <v>13</v>
      </c>
      <c r="G239" s="29" t="s">
        <v>1742</v>
      </c>
      <c r="H239" s="51" t="s">
        <v>4617</v>
      </c>
    </row>
    <row r="240">
      <c r="A240" s="28">
        <v>238.0</v>
      </c>
      <c r="B240" s="29" t="s">
        <v>1990</v>
      </c>
      <c r="C240" s="29" t="s">
        <v>13</v>
      </c>
      <c r="D240" s="29" t="s">
        <v>14</v>
      </c>
      <c r="E240" s="29" t="s">
        <v>13</v>
      </c>
      <c r="F240" s="29" t="s">
        <v>13</v>
      </c>
      <c r="G240" s="29" t="s">
        <v>15</v>
      </c>
      <c r="H240" s="51" t="s">
        <v>4617</v>
      </c>
    </row>
    <row r="241">
      <c r="A241" s="28">
        <v>239.0</v>
      </c>
      <c r="B241" s="29" t="s">
        <v>1991</v>
      </c>
      <c r="C241" s="29" t="s">
        <v>13</v>
      </c>
      <c r="D241" s="29" t="s">
        <v>14</v>
      </c>
      <c r="E241" s="29" t="s">
        <v>13</v>
      </c>
      <c r="F241" s="29" t="s">
        <v>13</v>
      </c>
      <c r="G241" s="29" t="s">
        <v>15</v>
      </c>
      <c r="H241" s="51" t="s">
        <v>4617</v>
      </c>
    </row>
    <row r="242">
      <c r="A242" s="28">
        <v>240.0</v>
      </c>
      <c r="B242" s="29" t="s">
        <v>1992</v>
      </c>
      <c r="C242" s="29" t="s">
        <v>1726</v>
      </c>
      <c r="D242" s="29" t="s">
        <v>13</v>
      </c>
      <c r="E242" s="29" t="s">
        <v>13</v>
      </c>
      <c r="F242" s="29" t="s">
        <v>13</v>
      </c>
      <c r="G242" s="29" t="s">
        <v>452</v>
      </c>
      <c r="H242" s="51" t="s">
        <v>4617</v>
      </c>
    </row>
    <row r="243">
      <c r="A243" s="28">
        <v>241.0</v>
      </c>
      <c r="B243" s="29" t="s">
        <v>1180</v>
      </c>
      <c r="C243" s="29">
        <v>42.0</v>
      </c>
      <c r="D243" s="29" t="s">
        <v>14</v>
      </c>
      <c r="E243" s="29" t="s">
        <v>13</v>
      </c>
      <c r="F243" s="29" t="s">
        <v>13</v>
      </c>
      <c r="G243" s="29" t="s">
        <v>1993</v>
      </c>
      <c r="H243" s="51" t="s">
        <v>4617</v>
      </c>
    </row>
    <row r="244">
      <c r="A244" s="28">
        <v>242.0</v>
      </c>
      <c r="B244" s="29" t="s">
        <v>1994</v>
      </c>
      <c r="C244" s="29" t="s">
        <v>13</v>
      </c>
      <c r="D244" s="29" t="s">
        <v>13</v>
      </c>
      <c r="E244" s="29" t="s">
        <v>13</v>
      </c>
      <c r="F244" s="29" t="s">
        <v>13</v>
      </c>
      <c r="G244" s="29" t="s">
        <v>1742</v>
      </c>
      <c r="H244" s="51" t="s">
        <v>4617</v>
      </c>
    </row>
    <row r="245">
      <c r="A245" s="28">
        <v>243.0</v>
      </c>
      <c r="B245" s="29" t="s">
        <v>1995</v>
      </c>
      <c r="C245" s="29" t="s">
        <v>1731</v>
      </c>
      <c r="D245" s="29">
        <v>1.7709218E8</v>
      </c>
      <c r="E245" s="29" t="s">
        <v>13</v>
      </c>
      <c r="F245" s="29" t="s">
        <v>1731</v>
      </c>
      <c r="G245" s="29" t="s">
        <v>1731</v>
      </c>
      <c r="H245" s="51" t="s">
        <v>4617</v>
      </c>
    </row>
    <row r="246">
      <c r="A246" s="28">
        <v>244.0</v>
      </c>
      <c r="B246" s="29" t="s">
        <v>1996</v>
      </c>
      <c r="C246" s="29" t="s">
        <v>13</v>
      </c>
      <c r="D246" s="29">
        <v>2.9701695E7</v>
      </c>
      <c r="E246" s="29" t="s">
        <v>13</v>
      </c>
      <c r="F246" s="29" t="s">
        <v>13</v>
      </c>
      <c r="G246" s="29" t="s">
        <v>13</v>
      </c>
      <c r="H246" s="51" t="s">
        <v>4617</v>
      </c>
    </row>
    <row r="247">
      <c r="A247" s="28">
        <v>245.0</v>
      </c>
      <c r="B247" s="29" t="s">
        <v>1997</v>
      </c>
      <c r="C247" s="29" t="s">
        <v>13</v>
      </c>
      <c r="D247" s="29" t="s">
        <v>13</v>
      </c>
      <c r="E247" s="29" t="s">
        <v>13</v>
      </c>
      <c r="F247" s="29" t="s">
        <v>13</v>
      </c>
      <c r="G247" s="29" t="s">
        <v>1742</v>
      </c>
      <c r="H247" s="51" t="s">
        <v>4617</v>
      </c>
    </row>
    <row r="248">
      <c r="A248" s="28">
        <v>246.0</v>
      </c>
      <c r="B248" s="29" t="s">
        <v>1997</v>
      </c>
      <c r="C248" s="29">
        <v>13.0</v>
      </c>
      <c r="D248" s="29" t="s">
        <v>13</v>
      </c>
      <c r="E248" s="29" t="s">
        <v>13</v>
      </c>
      <c r="F248" s="29" t="s">
        <v>13</v>
      </c>
      <c r="G248" s="29" t="s">
        <v>1729</v>
      </c>
      <c r="H248" s="51" t="s">
        <v>4617</v>
      </c>
    </row>
    <row r="249">
      <c r="A249" s="28">
        <v>247.0</v>
      </c>
      <c r="B249" s="29" t="s">
        <v>1998</v>
      </c>
      <c r="C249" s="29">
        <v>32.0</v>
      </c>
      <c r="D249" s="29" t="s">
        <v>13</v>
      </c>
      <c r="E249" s="29" t="s">
        <v>13</v>
      </c>
      <c r="F249" s="29" t="s">
        <v>13</v>
      </c>
      <c r="G249" s="29" t="s">
        <v>1742</v>
      </c>
      <c r="H249" s="51" t="s">
        <v>4617</v>
      </c>
    </row>
    <row r="250">
      <c r="A250" s="28">
        <v>248.0</v>
      </c>
      <c r="B250" s="29" t="s">
        <v>1999</v>
      </c>
      <c r="C250" s="29" t="s">
        <v>13</v>
      </c>
      <c r="D250" s="29">
        <v>1.5615565E7</v>
      </c>
      <c r="E250" s="29" t="s">
        <v>13</v>
      </c>
      <c r="F250" s="29" t="s">
        <v>13</v>
      </c>
      <c r="G250" s="29" t="s">
        <v>1729</v>
      </c>
      <c r="H250" s="51" t="s">
        <v>4617</v>
      </c>
    </row>
    <row r="251">
      <c r="A251" s="28">
        <v>249.0</v>
      </c>
      <c r="B251" s="29" t="s">
        <v>2000</v>
      </c>
      <c r="C251" s="29" t="s">
        <v>13</v>
      </c>
      <c r="D251" s="29" t="s">
        <v>14</v>
      </c>
      <c r="E251" s="29" t="s">
        <v>13</v>
      </c>
      <c r="F251" s="29" t="s">
        <v>13</v>
      </c>
      <c r="G251" s="29" t="s">
        <v>15</v>
      </c>
      <c r="H251" s="51" t="s">
        <v>4617</v>
      </c>
    </row>
    <row r="252">
      <c r="A252" s="28">
        <v>250.0</v>
      </c>
      <c r="B252" s="29" t="s">
        <v>2001</v>
      </c>
      <c r="C252" s="29" t="s">
        <v>13</v>
      </c>
      <c r="D252" s="29">
        <v>2.646824E7</v>
      </c>
      <c r="E252" s="29" t="s">
        <v>13</v>
      </c>
      <c r="F252" s="29" t="s">
        <v>13</v>
      </c>
      <c r="G252" s="29" t="s">
        <v>13</v>
      </c>
      <c r="H252" s="51" t="s">
        <v>4617</v>
      </c>
    </row>
    <row r="253">
      <c r="A253" s="28">
        <v>251.0</v>
      </c>
      <c r="B253" s="29" t="s">
        <v>2001</v>
      </c>
      <c r="C253" s="29" t="s">
        <v>13</v>
      </c>
      <c r="D253" s="29">
        <v>2.646824E8</v>
      </c>
      <c r="E253" s="29" t="s">
        <v>13</v>
      </c>
      <c r="F253" s="29" t="s">
        <v>13</v>
      </c>
      <c r="G253" s="29" t="s">
        <v>13</v>
      </c>
      <c r="H253" s="51" t="s">
        <v>4617</v>
      </c>
    </row>
    <row r="254">
      <c r="A254" s="28">
        <v>252.0</v>
      </c>
      <c r="B254" s="29" t="s">
        <v>2002</v>
      </c>
      <c r="C254" s="29">
        <v>37.0</v>
      </c>
      <c r="D254" s="29" t="s">
        <v>13</v>
      </c>
      <c r="E254" s="29" t="s">
        <v>13</v>
      </c>
      <c r="F254" s="29" t="s">
        <v>13</v>
      </c>
      <c r="G254" s="29" t="s">
        <v>13</v>
      </c>
      <c r="H254" s="51" t="s">
        <v>4617</v>
      </c>
    </row>
    <row r="255">
      <c r="A255" s="28">
        <v>253.0</v>
      </c>
      <c r="B255" s="29" t="s">
        <v>2003</v>
      </c>
      <c r="C255" s="29" t="s">
        <v>13</v>
      </c>
      <c r="D255" s="29" t="s">
        <v>14</v>
      </c>
      <c r="E255" s="29" t="s">
        <v>13</v>
      </c>
      <c r="F255" s="29" t="s">
        <v>13</v>
      </c>
      <c r="G255" s="29" t="s">
        <v>15</v>
      </c>
      <c r="H255" s="51" t="s">
        <v>4617</v>
      </c>
    </row>
    <row r="256">
      <c r="A256" s="28">
        <v>254.0</v>
      </c>
      <c r="B256" s="29" t="s">
        <v>2003</v>
      </c>
      <c r="C256" s="29" t="s">
        <v>13</v>
      </c>
      <c r="D256" s="29" t="s">
        <v>14</v>
      </c>
      <c r="E256" s="29" t="s">
        <v>13</v>
      </c>
      <c r="F256" s="29" t="s">
        <v>13</v>
      </c>
      <c r="G256" s="29" t="s">
        <v>15</v>
      </c>
      <c r="H256" s="51" t="s">
        <v>4617</v>
      </c>
    </row>
    <row r="257">
      <c r="A257" s="28">
        <v>255.0</v>
      </c>
      <c r="B257" s="29" t="s">
        <v>2004</v>
      </c>
      <c r="C257" s="29" t="s">
        <v>13</v>
      </c>
      <c r="D257" s="29">
        <v>2.2916224E8</v>
      </c>
      <c r="E257" s="29" t="s">
        <v>13</v>
      </c>
      <c r="F257" s="29" t="s">
        <v>13</v>
      </c>
      <c r="G257" s="29" t="s">
        <v>1748</v>
      </c>
      <c r="H257" s="51" t="s">
        <v>4617</v>
      </c>
    </row>
    <row r="258">
      <c r="A258" s="28">
        <v>256.0</v>
      </c>
      <c r="B258" s="29" t="s">
        <v>2005</v>
      </c>
      <c r="C258" s="29" t="s">
        <v>13</v>
      </c>
      <c r="D258" s="29" t="s">
        <v>2006</v>
      </c>
      <c r="E258" s="29" t="s">
        <v>13</v>
      </c>
      <c r="F258" s="29" t="s">
        <v>13</v>
      </c>
      <c r="G258" s="29" t="s">
        <v>15</v>
      </c>
      <c r="H258" s="51" t="s">
        <v>4617</v>
      </c>
    </row>
    <row r="259">
      <c r="A259" s="28">
        <v>257.0</v>
      </c>
      <c r="B259" s="29" t="s">
        <v>2007</v>
      </c>
      <c r="C259" s="29" t="s">
        <v>13</v>
      </c>
      <c r="D259" s="29" t="s">
        <v>14</v>
      </c>
      <c r="E259" s="29" t="s">
        <v>13</v>
      </c>
      <c r="F259" s="29" t="s">
        <v>13</v>
      </c>
      <c r="G259" s="29" t="s">
        <v>15</v>
      </c>
      <c r="H259" s="51" t="s">
        <v>4617</v>
      </c>
    </row>
    <row r="260">
      <c r="A260" s="28">
        <v>258.0</v>
      </c>
      <c r="B260" s="29" t="s">
        <v>2008</v>
      </c>
      <c r="C260" s="29" t="s">
        <v>1731</v>
      </c>
      <c r="D260" s="29">
        <v>2.3936261E8</v>
      </c>
      <c r="E260" s="29" t="s">
        <v>13</v>
      </c>
      <c r="F260" s="29" t="s">
        <v>1731</v>
      </c>
      <c r="G260" s="29" t="s">
        <v>1731</v>
      </c>
      <c r="H260" s="51" t="s">
        <v>4617</v>
      </c>
    </row>
    <row r="261">
      <c r="A261" s="28">
        <v>259.0</v>
      </c>
      <c r="B261" s="29" t="s">
        <v>2008</v>
      </c>
      <c r="C261" s="29" t="s">
        <v>13</v>
      </c>
      <c r="D261" s="29">
        <v>2.3926261E7</v>
      </c>
      <c r="E261" s="29" t="s">
        <v>13</v>
      </c>
      <c r="F261" s="29" t="s">
        <v>13</v>
      </c>
      <c r="G261" s="29" t="s">
        <v>13</v>
      </c>
      <c r="H261" s="51" t="s">
        <v>4617</v>
      </c>
    </row>
    <row r="262">
      <c r="A262" s="28">
        <v>260.0</v>
      </c>
      <c r="B262" s="29" t="s">
        <v>2009</v>
      </c>
      <c r="C262" s="29">
        <v>40.0</v>
      </c>
      <c r="D262" s="29" t="s">
        <v>13</v>
      </c>
      <c r="E262" s="29" t="s">
        <v>13</v>
      </c>
      <c r="F262" s="29" t="s">
        <v>13</v>
      </c>
      <c r="G262" s="29" t="s">
        <v>1742</v>
      </c>
      <c r="H262" s="51" t="s">
        <v>4617</v>
      </c>
    </row>
    <row r="263">
      <c r="A263" s="28">
        <v>261.0</v>
      </c>
      <c r="B263" s="29" t="s">
        <v>2010</v>
      </c>
      <c r="C263" s="29" t="s">
        <v>13</v>
      </c>
      <c r="D263" s="29" t="s">
        <v>14</v>
      </c>
      <c r="E263" s="29" t="s">
        <v>13</v>
      </c>
      <c r="F263" s="29" t="s">
        <v>13</v>
      </c>
      <c r="G263" s="29" t="s">
        <v>15</v>
      </c>
      <c r="H263" s="51" t="s">
        <v>4617</v>
      </c>
    </row>
    <row r="264">
      <c r="A264" s="28">
        <v>262.0</v>
      </c>
      <c r="B264" s="29" t="s">
        <v>2011</v>
      </c>
      <c r="C264" s="29" t="s">
        <v>13</v>
      </c>
      <c r="D264" s="29" t="s">
        <v>2012</v>
      </c>
      <c r="E264" s="29" t="s">
        <v>13</v>
      </c>
      <c r="F264" s="29" t="s">
        <v>13</v>
      </c>
      <c r="G264" s="29" t="s">
        <v>15</v>
      </c>
      <c r="H264" s="51" t="s">
        <v>4617</v>
      </c>
    </row>
    <row r="265">
      <c r="A265" s="28">
        <v>263.0</v>
      </c>
      <c r="B265" s="29" t="s">
        <v>2013</v>
      </c>
      <c r="C265" s="29" t="s">
        <v>13</v>
      </c>
      <c r="D265" s="29" t="s">
        <v>13</v>
      </c>
      <c r="E265" s="29" t="s">
        <v>13</v>
      </c>
      <c r="F265" s="29" t="s">
        <v>13</v>
      </c>
      <c r="G265" s="29" t="s">
        <v>2014</v>
      </c>
      <c r="H265" s="51" t="s">
        <v>4617</v>
      </c>
    </row>
    <row r="266">
      <c r="A266" s="28">
        <v>264.0</v>
      </c>
      <c r="B266" s="29" t="s">
        <v>2015</v>
      </c>
      <c r="C266" s="29" t="s">
        <v>13</v>
      </c>
      <c r="D266" s="29">
        <v>2.8447519E7</v>
      </c>
      <c r="E266" s="29" t="s">
        <v>13</v>
      </c>
      <c r="F266" s="29" t="s">
        <v>13</v>
      </c>
      <c r="G266" s="29" t="s">
        <v>13</v>
      </c>
      <c r="H266" s="51" t="s">
        <v>4617</v>
      </c>
    </row>
    <row r="267">
      <c r="A267" s="28">
        <v>265.0</v>
      </c>
      <c r="B267" s="29" t="s">
        <v>2015</v>
      </c>
      <c r="C267" s="29" t="s">
        <v>13</v>
      </c>
      <c r="D267" s="29">
        <v>2.8747519E8</v>
      </c>
      <c r="E267" s="29" t="s">
        <v>13</v>
      </c>
      <c r="F267" s="29" t="s">
        <v>13</v>
      </c>
      <c r="G267" s="29" t="s">
        <v>13</v>
      </c>
      <c r="H267" s="51" t="s">
        <v>4617</v>
      </c>
    </row>
    <row r="268">
      <c r="A268" s="28">
        <v>266.0</v>
      </c>
      <c r="B268" s="29" t="s">
        <v>2016</v>
      </c>
      <c r="C268" s="29" t="s">
        <v>13</v>
      </c>
      <c r="D268" s="29">
        <v>3.6091784E8</v>
      </c>
      <c r="E268" s="29" t="s">
        <v>13</v>
      </c>
      <c r="F268" s="29" t="s">
        <v>13</v>
      </c>
      <c r="G268" s="29" t="s">
        <v>1748</v>
      </c>
      <c r="H268" s="51" t="s">
        <v>4617</v>
      </c>
    </row>
    <row r="269">
      <c r="A269" s="28">
        <v>267.0</v>
      </c>
      <c r="B269" s="29" t="s">
        <v>2017</v>
      </c>
      <c r="C269" s="29" t="s">
        <v>13</v>
      </c>
      <c r="D269" s="29">
        <v>1.9796311E7</v>
      </c>
      <c r="E269" s="29" t="s">
        <v>13</v>
      </c>
      <c r="F269" s="29" t="s">
        <v>13</v>
      </c>
      <c r="G269" s="29" t="s">
        <v>1729</v>
      </c>
      <c r="H269" s="51" t="s">
        <v>4617</v>
      </c>
    </row>
    <row r="270">
      <c r="A270" s="28">
        <v>268.0</v>
      </c>
      <c r="B270" s="29" t="s">
        <v>2018</v>
      </c>
      <c r="C270" s="29" t="s">
        <v>13</v>
      </c>
      <c r="D270" s="29">
        <v>4636722.0</v>
      </c>
      <c r="E270" s="29" t="s">
        <v>13</v>
      </c>
      <c r="F270" s="29" t="s">
        <v>13</v>
      </c>
      <c r="G270" s="29" t="s">
        <v>13</v>
      </c>
      <c r="H270" s="51" t="s">
        <v>4617</v>
      </c>
    </row>
    <row r="271">
      <c r="A271" s="28">
        <v>269.0</v>
      </c>
      <c r="B271" s="29" t="s">
        <v>2019</v>
      </c>
      <c r="C271" s="29" t="s">
        <v>13</v>
      </c>
      <c r="D271" s="29" t="s">
        <v>14</v>
      </c>
      <c r="E271" s="29" t="s">
        <v>13</v>
      </c>
      <c r="F271" s="29" t="s">
        <v>13</v>
      </c>
      <c r="G271" s="29" t="s">
        <v>1897</v>
      </c>
      <c r="H271" s="51" t="s">
        <v>4617</v>
      </c>
    </row>
    <row r="272">
      <c r="A272" s="28">
        <v>270.0</v>
      </c>
      <c r="B272" s="29" t="s">
        <v>2020</v>
      </c>
      <c r="C272" s="29">
        <v>46.0</v>
      </c>
      <c r="D272" s="29" t="s">
        <v>13</v>
      </c>
      <c r="E272" s="29" t="s">
        <v>13</v>
      </c>
      <c r="F272" s="29" t="s">
        <v>13</v>
      </c>
      <c r="G272" s="29" t="s">
        <v>2021</v>
      </c>
      <c r="H272" s="51" t="s">
        <v>4617</v>
      </c>
    </row>
    <row r="273">
      <c r="A273" s="28">
        <v>271.0</v>
      </c>
      <c r="B273" s="29" t="s">
        <v>2022</v>
      </c>
      <c r="C273" s="29" t="s">
        <v>13</v>
      </c>
      <c r="D273" s="29" t="s">
        <v>2023</v>
      </c>
      <c r="E273" s="29" t="s">
        <v>13</v>
      </c>
      <c r="F273" s="29" t="s">
        <v>13</v>
      </c>
      <c r="G273" s="29" t="s">
        <v>15</v>
      </c>
      <c r="H273" s="51" t="s">
        <v>4617</v>
      </c>
    </row>
    <row r="274">
      <c r="A274" s="28">
        <v>272.0</v>
      </c>
      <c r="B274" s="29" t="s">
        <v>2024</v>
      </c>
      <c r="C274" s="29" t="s">
        <v>13</v>
      </c>
      <c r="D274" s="29">
        <v>3.2976229E7</v>
      </c>
      <c r="E274" s="29" t="s">
        <v>13</v>
      </c>
      <c r="F274" s="29" t="s">
        <v>13</v>
      </c>
      <c r="G274" s="29" t="s">
        <v>13</v>
      </c>
      <c r="H274" s="51" t="s">
        <v>4617</v>
      </c>
    </row>
    <row r="275">
      <c r="A275" s="28">
        <v>273.0</v>
      </c>
      <c r="B275" s="29" t="s">
        <v>2025</v>
      </c>
      <c r="C275" s="29" t="s">
        <v>13</v>
      </c>
      <c r="D275" s="29" t="s">
        <v>13</v>
      </c>
      <c r="E275" s="29" t="s">
        <v>13</v>
      </c>
      <c r="F275" s="29" t="s">
        <v>13</v>
      </c>
      <c r="G275" s="29" t="s">
        <v>2026</v>
      </c>
      <c r="H275" s="51" t="s">
        <v>4617</v>
      </c>
    </row>
    <row r="276">
      <c r="A276" s="28">
        <v>274.0</v>
      </c>
      <c r="B276" s="29" t="s">
        <v>2027</v>
      </c>
      <c r="C276" s="29" t="s">
        <v>13</v>
      </c>
      <c r="D276" s="29">
        <v>3.2359883E8</v>
      </c>
      <c r="E276" s="29" t="s">
        <v>13</v>
      </c>
      <c r="F276" s="29" t="s">
        <v>13</v>
      </c>
      <c r="G276" s="29" t="s">
        <v>13</v>
      </c>
      <c r="H276" s="51" t="s">
        <v>4617</v>
      </c>
    </row>
    <row r="277">
      <c r="A277" s="28">
        <v>275.0</v>
      </c>
      <c r="B277" s="29" t="s">
        <v>2028</v>
      </c>
      <c r="C277" s="29" t="s">
        <v>13</v>
      </c>
      <c r="D277" s="29">
        <v>3.2359883E7</v>
      </c>
      <c r="E277" s="29" t="s">
        <v>13</v>
      </c>
      <c r="F277" s="29" t="s">
        <v>13</v>
      </c>
      <c r="G277" s="29" t="s">
        <v>13</v>
      </c>
      <c r="H277" s="51" t="s">
        <v>4617</v>
      </c>
    </row>
    <row r="278">
      <c r="A278" s="28">
        <v>276.0</v>
      </c>
      <c r="B278" s="29" t="s">
        <v>2029</v>
      </c>
      <c r="C278" s="29" t="s">
        <v>13</v>
      </c>
      <c r="D278" s="29" t="s">
        <v>14</v>
      </c>
      <c r="E278" s="29" t="s">
        <v>13</v>
      </c>
      <c r="F278" s="29" t="s">
        <v>13</v>
      </c>
      <c r="G278" s="29" t="s">
        <v>15</v>
      </c>
      <c r="H278" s="51" t="s">
        <v>4617</v>
      </c>
    </row>
    <row r="279">
      <c r="A279" s="28">
        <v>277.0</v>
      </c>
      <c r="B279" s="29" t="s">
        <v>2030</v>
      </c>
      <c r="C279" s="29" t="s">
        <v>13</v>
      </c>
      <c r="D279" s="29">
        <v>2.9701695E8</v>
      </c>
      <c r="E279" s="29" t="s">
        <v>13</v>
      </c>
      <c r="F279" s="29" t="s">
        <v>13</v>
      </c>
      <c r="G279" s="29" t="s">
        <v>1923</v>
      </c>
      <c r="H279" s="51" t="s">
        <v>4617</v>
      </c>
    </row>
    <row r="280">
      <c r="A280" s="28">
        <v>278.0</v>
      </c>
      <c r="B280" s="29" t="s">
        <v>2031</v>
      </c>
      <c r="C280" s="29" t="s">
        <v>13</v>
      </c>
      <c r="D280" s="29">
        <v>4.718019E7</v>
      </c>
      <c r="E280" s="29" t="s">
        <v>13</v>
      </c>
      <c r="F280" s="29" t="s">
        <v>13</v>
      </c>
      <c r="G280" s="29" t="s">
        <v>1748</v>
      </c>
      <c r="H280" s="51" t="s">
        <v>4617</v>
      </c>
    </row>
    <row r="281">
      <c r="A281" s="28">
        <v>279.0</v>
      </c>
      <c r="B281" s="29" t="s">
        <v>2032</v>
      </c>
      <c r="C281" s="29">
        <v>10.0</v>
      </c>
      <c r="D281" s="29" t="s">
        <v>13</v>
      </c>
      <c r="E281" s="29" t="s">
        <v>13</v>
      </c>
      <c r="F281" s="29" t="s">
        <v>13</v>
      </c>
      <c r="G281" s="29" t="s">
        <v>13</v>
      </c>
      <c r="H281" s="51" t="s">
        <v>4617</v>
      </c>
    </row>
    <row r="282">
      <c r="A282" s="28">
        <v>280.0</v>
      </c>
      <c r="B282" s="29" t="s">
        <v>2033</v>
      </c>
      <c r="C282" s="29" t="s">
        <v>13</v>
      </c>
      <c r="D282" s="29" t="s">
        <v>14</v>
      </c>
      <c r="E282" s="29" t="s">
        <v>13</v>
      </c>
      <c r="F282" s="29" t="s">
        <v>13</v>
      </c>
      <c r="G282" s="29" t="s">
        <v>1897</v>
      </c>
      <c r="H282" s="51" t="s">
        <v>4617</v>
      </c>
    </row>
    <row r="283">
      <c r="A283" s="28">
        <v>281.0</v>
      </c>
      <c r="B283" s="29" t="s">
        <v>2034</v>
      </c>
      <c r="C283" s="29">
        <v>13.0</v>
      </c>
      <c r="D283" s="29" t="s">
        <v>13</v>
      </c>
      <c r="E283" s="29" t="s">
        <v>13</v>
      </c>
      <c r="F283" s="29" t="s">
        <v>13</v>
      </c>
      <c r="G283" s="29" t="s">
        <v>1826</v>
      </c>
      <c r="H283" s="51" t="s">
        <v>4617</v>
      </c>
    </row>
    <row r="284">
      <c r="A284" s="28">
        <v>282.0</v>
      </c>
      <c r="B284" s="29" t="s">
        <v>2035</v>
      </c>
      <c r="C284" s="29">
        <v>12.0</v>
      </c>
      <c r="D284" s="29" t="s">
        <v>13</v>
      </c>
      <c r="E284" s="29" t="s">
        <v>13</v>
      </c>
      <c r="F284" s="29" t="s">
        <v>13</v>
      </c>
      <c r="G284" s="29" t="s">
        <v>1804</v>
      </c>
      <c r="H284" s="51" t="s">
        <v>4617</v>
      </c>
    </row>
    <row r="285">
      <c r="A285" s="28">
        <v>283.0</v>
      </c>
      <c r="B285" s="29" t="s">
        <v>2036</v>
      </c>
      <c r="C285" s="29" t="s">
        <v>13</v>
      </c>
      <c r="D285" s="29">
        <v>8.2230906E7</v>
      </c>
      <c r="E285" s="29" t="s">
        <v>13</v>
      </c>
      <c r="F285" s="29" t="s">
        <v>13</v>
      </c>
      <c r="G285" s="29" t="s">
        <v>13</v>
      </c>
      <c r="H285" s="51" t="s">
        <v>4617</v>
      </c>
    </row>
    <row r="286">
      <c r="A286" s="28">
        <v>284.0</v>
      </c>
      <c r="B286" s="29" t="s">
        <v>2037</v>
      </c>
      <c r="C286" s="29" t="s">
        <v>13</v>
      </c>
      <c r="D286" s="29" t="s">
        <v>14</v>
      </c>
      <c r="E286" s="29" t="s">
        <v>13</v>
      </c>
      <c r="F286" s="29" t="s">
        <v>13</v>
      </c>
      <c r="G286" s="29" t="s">
        <v>15</v>
      </c>
      <c r="H286" s="51" t="s">
        <v>4617</v>
      </c>
    </row>
    <row r="287">
      <c r="A287" s="28">
        <v>285.0</v>
      </c>
      <c r="B287" s="29" t="s">
        <v>2038</v>
      </c>
      <c r="C287" s="29" t="s">
        <v>1731</v>
      </c>
      <c r="D287" s="29">
        <v>2.8942519E8</v>
      </c>
      <c r="E287" s="29" t="s">
        <v>13</v>
      </c>
      <c r="F287" s="29" t="s">
        <v>1731</v>
      </c>
      <c r="G287" s="29" t="s">
        <v>1731</v>
      </c>
      <c r="H287" s="51" t="s">
        <v>4617</v>
      </c>
    </row>
    <row r="288">
      <c r="A288" s="28">
        <v>286.0</v>
      </c>
      <c r="B288" s="29" t="s">
        <v>2039</v>
      </c>
      <c r="C288" s="29" t="s">
        <v>13</v>
      </c>
      <c r="D288" s="29">
        <v>1.7755829E8</v>
      </c>
      <c r="E288" s="29" t="s">
        <v>13</v>
      </c>
      <c r="F288" s="29" t="s">
        <v>13</v>
      </c>
      <c r="G288" s="29" t="s">
        <v>13</v>
      </c>
      <c r="H288" s="51" t="s">
        <v>4617</v>
      </c>
    </row>
    <row r="289">
      <c r="A289" s="28">
        <v>287.0</v>
      </c>
      <c r="B289" s="29" t="s">
        <v>2039</v>
      </c>
      <c r="C289" s="29" t="s">
        <v>1731</v>
      </c>
      <c r="D289" s="29">
        <v>1.7355829E8</v>
      </c>
      <c r="E289" s="29" t="s">
        <v>13</v>
      </c>
      <c r="F289" s="29" t="s">
        <v>1731</v>
      </c>
      <c r="G289" s="29" t="s">
        <v>1731</v>
      </c>
      <c r="H289" s="51" t="s">
        <v>4617</v>
      </c>
    </row>
    <row r="290">
      <c r="A290" s="28">
        <v>288.0</v>
      </c>
      <c r="B290" s="29" t="s">
        <v>2040</v>
      </c>
      <c r="C290" s="29" t="s">
        <v>13</v>
      </c>
      <c r="D290" s="29">
        <v>2.7044236E8</v>
      </c>
      <c r="E290" s="29" t="s">
        <v>13</v>
      </c>
      <c r="F290" s="29" t="s">
        <v>13</v>
      </c>
      <c r="G290" s="29" t="s">
        <v>13</v>
      </c>
      <c r="H290" s="51" t="s">
        <v>4617</v>
      </c>
    </row>
    <row r="291">
      <c r="A291" s="28">
        <v>289.0</v>
      </c>
      <c r="B291" s="29" t="s">
        <v>2041</v>
      </c>
      <c r="C291" s="29" t="s">
        <v>1731</v>
      </c>
      <c r="D291" s="29">
        <v>1.1688834E8</v>
      </c>
      <c r="E291" s="29" t="s">
        <v>13</v>
      </c>
      <c r="F291" s="29" t="s">
        <v>1731</v>
      </c>
      <c r="G291" s="29" t="s">
        <v>1731</v>
      </c>
      <c r="H291" s="51" t="s">
        <v>4617</v>
      </c>
    </row>
    <row r="292">
      <c r="A292" s="28">
        <v>290.0</v>
      </c>
      <c r="B292" s="29" t="s">
        <v>2041</v>
      </c>
      <c r="C292" s="29" t="s">
        <v>13</v>
      </c>
      <c r="D292" s="29">
        <v>1.1638834E8</v>
      </c>
      <c r="E292" s="29" t="s">
        <v>13</v>
      </c>
      <c r="F292" s="29" t="s">
        <v>13</v>
      </c>
      <c r="G292" s="29" t="s">
        <v>13</v>
      </c>
      <c r="H292" s="51" t="s">
        <v>4617</v>
      </c>
    </row>
    <row r="293">
      <c r="A293" s="28">
        <v>291.0</v>
      </c>
      <c r="B293" s="29" t="s">
        <v>2042</v>
      </c>
      <c r="C293" s="29" t="s">
        <v>1731</v>
      </c>
      <c r="D293" s="29">
        <v>3.683421E7</v>
      </c>
      <c r="E293" s="29" t="s">
        <v>13</v>
      </c>
      <c r="F293" s="29" t="s">
        <v>1731</v>
      </c>
      <c r="G293" s="29" t="s">
        <v>1731</v>
      </c>
      <c r="H293" s="51" t="s">
        <v>4617</v>
      </c>
    </row>
    <row r="294">
      <c r="A294" s="28">
        <v>292.0</v>
      </c>
      <c r="B294" s="29" t="s">
        <v>2043</v>
      </c>
      <c r="C294" s="29" t="s">
        <v>13</v>
      </c>
      <c r="D294" s="29" t="s">
        <v>13</v>
      </c>
      <c r="E294" s="29" t="s">
        <v>13</v>
      </c>
      <c r="F294" s="29" t="s">
        <v>13</v>
      </c>
      <c r="G294" s="29" t="s">
        <v>2044</v>
      </c>
      <c r="H294" s="51" t="s">
        <v>4617</v>
      </c>
    </row>
    <row r="295">
      <c r="A295" s="28">
        <v>293.0</v>
      </c>
      <c r="B295" s="29" t="s">
        <v>2045</v>
      </c>
      <c r="C295" s="29" t="s">
        <v>13</v>
      </c>
      <c r="D295" s="29">
        <v>2.7377514E8</v>
      </c>
      <c r="E295" s="29" t="s">
        <v>13</v>
      </c>
      <c r="F295" s="29" t="s">
        <v>13</v>
      </c>
      <c r="G295" s="29" t="s">
        <v>13</v>
      </c>
      <c r="H295" s="51" t="s">
        <v>4617</v>
      </c>
    </row>
    <row r="296">
      <c r="A296" s="28">
        <v>294.0</v>
      </c>
      <c r="B296" s="29" t="s">
        <v>2046</v>
      </c>
      <c r="C296" s="29" t="s">
        <v>13</v>
      </c>
      <c r="D296" s="29" t="s">
        <v>13</v>
      </c>
      <c r="E296" s="29" t="s">
        <v>13</v>
      </c>
      <c r="F296" s="29" t="s">
        <v>13</v>
      </c>
      <c r="G296" s="29" t="s">
        <v>1742</v>
      </c>
      <c r="H296" s="51" t="s">
        <v>4617</v>
      </c>
    </row>
    <row r="297">
      <c r="A297" s="28">
        <v>295.0</v>
      </c>
      <c r="B297" s="29" t="s">
        <v>2047</v>
      </c>
      <c r="C297" s="29">
        <v>1.0</v>
      </c>
      <c r="D297" s="29" t="s">
        <v>13</v>
      </c>
      <c r="E297" s="29" t="s">
        <v>13</v>
      </c>
      <c r="F297" s="29" t="s">
        <v>13</v>
      </c>
      <c r="G297" s="29" t="s">
        <v>2048</v>
      </c>
      <c r="H297" s="51" t="s">
        <v>4617</v>
      </c>
    </row>
    <row r="298">
      <c r="A298" s="28">
        <v>296.0</v>
      </c>
      <c r="B298" s="29" t="s">
        <v>2049</v>
      </c>
      <c r="C298" s="29" t="s">
        <v>13</v>
      </c>
      <c r="D298" s="29" t="s">
        <v>14</v>
      </c>
      <c r="E298" s="29" t="s">
        <v>13</v>
      </c>
      <c r="F298" s="29" t="s">
        <v>13</v>
      </c>
      <c r="G298" s="29" t="s">
        <v>15</v>
      </c>
      <c r="H298" s="51" t="s">
        <v>4617</v>
      </c>
    </row>
    <row r="299">
      <c r="A299" s="28">
        <v>297.0</v>
      </c>
      <c r="B299" s="29" t="s">
        <v>2049</v>
      </c>
      <c r="C299" s="29" t="s">
        <v>13</v>
      </c>
      <c r="D299" s="29" t="s">
        <v>14</v>
      </c>
      <c r="E299" s="29" t="s">
        <v>13</v>
      </c>
      <c r="F299" s="29" t="s">
        <v>13</v>
      </c>
      <c r="G299" s="29" t="s">
        <v>15</v>
      </c>
      <c r="H299" s="51" t="s">
        <v>4617</v>
      </c>
    </row>
    <row r="300">
      <c r="A300" s="28">
        <v>298.0</v>
      </c>
      <c r="B300" s="29" t="s">
        <v>2050</v>
      </c>
      <c r="C300" s="29" t="s">
        <v>13</v>
      </c>
      <c r="D300" s="29" t="s">
        <v>14</v>
      </c>
      <c r="E300" s="29" t="s">
        <v>13</v>
      </c>
      <c r="F300" s="29" t="s">
        <v>13</v>
      </c>
      <c r="G300" s="29" t="s">
        <v>15</v>
      </c>
      <c r="H300" s="51" t="s">
        <v>4617</v>
      </c>
    </row>
    <row r="301">
      <c r="A301" s="28">
        <v>299.0</v>
      </c>
      <c r="B301" s="29" t="s">
        <v>2051</v>
      </c>
      <c r="C301" s="29" t="s">
        <v>13</v>
      </c>
      <c r="D301" s="29" t="s">
        <v>14</v>
      </c>
      <c r="E301" s="29" t="s">
        <v>13</v>
      </c>
      <c r="F301" s="29" t="s">
        <v>13</v>
      </c>
      <c r="G301" s="29" t="s">
        <v>15</v>
      </c>
      <c r="H301" s="51" t="s">
        <v>4617</v>
      </c>
    </row>
    <row r="302">
      <c r="A302" s="28">
        <v>300.0</v>
      </c>
      <c r="B302" s="29" t="s">
        <v>2052</v>
      </c>
      <c r="C302" s="29" t="s">
        <v>13</v>
      </c>
      <c r="D302" s="29">
        <v>2.2916224E7</v>
      </c>
      <c r="E302" s="29" t="s">
        <v>13</v>
      </c>
      <c r="F302" s="29" t="s">
        <v>13</v>
      </c>
      <c r="G302" s="29" t="s">
        <v>13</v>
      </c>
      <c r="H302" s="51" t="s">
        <v>4617</v>
      </c>
    </row>
    <row r="303">
      <c r="A303" s="28">
        <v>301.0</v>
      </c>
      <c r="B303" s="29" t="s">
        <v>2053</v>
      </c>
      <c r="C303" s="29" t="s">
        <v>13</v>
      </c>
      <c r="D303" s="29" t="s">
        <v>2054</v>
      </c>
      <c r="E303" s="29" t="s">
        <v>13</v>
      </c>
      <c r="F303" s="29" t="s">
        <v>13</v>
      </c>
      <c r="G303" s="29" t="s">
        <v>15</v>
      </c>
      <c r="H303" s="51" t="s">
        <v>4617</v>
      </c>
    </row>
    <row r="304">
      <c r="A304" s="28">
        <v>302.0</v>
      </c>
      <c r="B304" s="29" t="s">
        <v>2055</v>
      </c>
      <c r="C304" s="29">
        <v>6.0</v>
      </c>
      <c r="D304" s="29" t="s">
        <v>13</v>
      </c>
      <c r="E304" s="29" t="s">
        <v>13</v>
      </c>
      <c r="F304" s="29" t="s">
        <v>13</v>
      </c>
      <c r="G304" s="29" t="s">
        <v>1787</v>
      </c>
      <c r="H304" s="51" t="s">
        <v>4617</v>
      </c>
    </row>
    <row r="305">
      <c r="A305" s="28">
        <v>303.0</v>
      </c>
      <c r="B305" s="29" t="s">
        <v>2056</v>
      </c>
      <c r="C305" s="29">
        <v>8.0</v>
      </c>
      <c r="D305" s="29" t="s">
        <v>13</v>
      </c>
      <c r="E305" s="29" t="s">
        <v>13</v>
      </c>
      <c r="F305" s="29" t="s">
        <v>13</v>
      </c>
      <c r="G305" s="29" t="s">
        <v>1787</v>
      </c>
      <c r="H305" s="51" t="s">
        <v>4617</v>
      </c>
    </row>
    <row r="306">
      <c r="A306" s="28">
        <v>304.0</v>
      </c>
      <c r="B306" s="29" t="s">
        <v>2057</v>
      </c>
      <c r="C306" s="29" t="s">
        <v>13</v>
      </c>
      <c r="D306" s="29">
        <v>3.4800366E8</v>
      </c>
      <c r="E306" s="29" t="s">
        <v>13</v>
      </c>
      <c r="F306" s="29" t="s">
        <v>13</v>
      </c>
      <c r="G306" s="29" t="s">
        <v>13</v>
      </c>
      <c r="H306" s="51" t="s">
        <v>4617</v>
      </c>
    </row>
    <row r="307">
      <c r="A307" s="28">
        <v>305.0</v>
      </c>
      <c r="B307" s="29" t="s">
        <v>2058</v>
      </c>
      <c r="C307" s="29">
        <v>3.0</v>
      </c>
      <c r="D307" s="29" t="s">
        <v>13</v>
      </c>
      <c r="E307" s="29" t="s">
        <v>13</v>
      </c>
      <c r="F307" s="29" t="s">
        <v>13</v>
      </c>
      <c r="G307" s="29" t="s">
        <v>2059</v>
      </c>
      <c r="H307" s="51" t="s">
        <v>4617</v>
      </c>
    </row>
    <row r="308">
      <c r="A308" s="28">
        <v>306.0</v>
      </c>
      <c r="B308" s="29" t="s">
        <v>2060</v>
      </c>
      <c r="C308" s="29" t="s">
        <v>13</v>
      </c>
      <c r="D308" s="29" t="s">
        <v>13</v>
      </c>
      <c r="E308" s="29" t="s">
        <v>13</v>
      </c>
      <c r="F308" s="29" t="s">
        <v>13</v>
      </c>
      <c r="G308" s="29" t="s">
        <v>1903</v>
      </c>
      <c r="H308" s="51" t="s">
        <v>4617</v>
      </c>
    </row>
    <row r="309">
      <c r="A309" s="28">
        <v>307.0</v>
      </c>
      <c r="B309" s="29" t="s">
        <v>2061</v>
      </c>
      <c r="C309" s="29">
        <v>80.0</v>
      </c>
      <c r="D309" s="29" t="s">
        <v>13</v>
      </c>
      <c r="E309" s="29" t="s">
        <v>13</v>
      </c>
      <c r="F309" s="29" t="s">
        <v>13</v>
      </c>
      <c r="G309" s="29" t="s">
        <v>2062</v>
      </c>
      <c r="H309" s="51" t="s">
        <v>4617</v>
      </c>
    </row>
    <row r="310">
      <c r="A310" s="28">
        <v>308.0</v>
      </c>
      <c r="B310" s="29" t="s">
        <v>2063</v>
      </c>
      <c r="C310" s="29">
        <v>53.0</v>
      </c>
      <c r="D310" s="29" t="s">
        <v>13</v>
      </c>
      <c r="E310" s="29" t="s">
        <v>13</v>
      </c>
      <c r="F310" s="29" t="s">
        <v>13</v>
      </c>
      <c r="G310" s="29" t="s">
        <v>1903</v>
      </c>
      <c r="H310" s="51" t="s">
        <v>4617</v>
      </c>
    </row>
    <row r="311">
      <c r="A311" s="28">
        <v>309.0</v>
      </c>
      <c r="B311" s="29" t="s">
        <v>2064</v>
      </c>
      <c r="C311" s="29" t="s">
        <v>13</v>
      </c>
      <c r="D311" s="29" t="s">
        <v>14</v>
      </c>
      <c r="E311" s="29" t="s">
        <v>13</v>
      </c>
      <c r="F311" s="29" t="s">
        <v>13</v>
      </c>
      <c r="G311" s="29" t="s">
        <v>15</v>
      </c>
      <c r="H311" s="51" t="s">
        <v>4617</v>
      </c>
    </row>
    <row r="312">
      <c r="A312" s="28">
        <v>310.0</v>
      </c>
      <c r="B312" s="29" t="s">
        <v>2065</v>
      </c>
      <c r="C312" s="29" t="s">
        <v>13</v>
      </c>
      <c r="D312" s="29" t="s">
        <v>14</v>
      </c>
      <c r="E312" s="29" t="s">
        <v>13</v>
      </c>
      <c r="F312" s="29" t="s">
        <v>13</v>
      </c>
      <c r="G312" s="29" t="s">
        <v>15</v>
      </c>
      <c r="H312" s="51" t="s">
        <v>4617</v>
      </c>
    </row>
    <row r="313">
      <c r="A313" s="28">
        <v>311.0</v>
      </c>
      <c r="B313" s="29" t="s">
        <v>2066</v>
      </c>
      <c r="C313" s="29">
        <v>42.0</v>
      </c>
      <c r="D313" s="29" t="s">
        <v>13</v>
      </c>
      <c r="E313" s="29" t="s">
        <v>13</v>
      </c>
      <c r="F313" s="29" t="s">
        <v>13</v>
      </c>
      <c r="G313" s="29" t="s">
        <v>1742</v>
      </c>
      <c r="H313" s="51" t="s">
        <v>4617</v>
      </c>
    </row>
    <row r="314">
      <c r="A314" s="28">
        <v>312.0</v>
      </c>
      <c r="B314" s="29" t="s">
        <v>2067</v>
      </c>
      <c r="C314" s="29" t="s">
        <v>13</v>
      </c>
      <c r="D314" s="29" t="s">
        <v>14</v>
      </c>
      <c r="E314" s="29" t="s">
        <v>13</v>
      </c>
      <c r="F314" s="29" t="s">
        <v>13</v>
      </c>
      <c r="G314" s="29" t="s">
        <v>15</v>
      </c>
      <c r="H314" s="51" t="s">
        <v>4617</v>
      </c>
    </row>
    <row r="315">
      <c r="A315" s="28">
        <v>313.0</v>
      </c>
      <c r="B315" s="29" t="s">
        <v>2068</v>
      </c>
      <c r="C315" s="29" t="s">
        <v>13</v>
      </c>
      <c r="D315" s="29" t="s">
        <v>13</v>
      </c>
      <c r="E315" s="29" t="s">
        <v>13</v>
      </c>
      <c r="F315" s="29" t="s">
        <v>13</v>
      </c>
      <c r="G315" s="29" t="s">
        <v>2069</v>
      </c>
      <c r="H315" s="51" t="s">
        <v>4617</v>
      </c>
    </row>
    <row r="316">
      <c r="A316" s="28">
        <v>314.0</v>
      </c>
      <c r="B316" s="29" t="s">
        <v>2068</v>
      </c>
      <c r="C316" s="29" t="s">
        <v>13</v>
      </c>
      <c r="D316" s="29" t="s">
        <v>13</v>
      </c>
      <c r="E316" s="29" t="s">
        <v>13</v>
      </c>
      <c r="F316" s="29" t="s">
        <v>13</v>
      </c>
      <c r="G316" s="29" t="s">
        <v>1907</v>
      </c>
      <c r="H316" s="51" t="s">
        <v>4617</v>
      </c>
    </row>
    <row r="317">
      <c r="A317" s="28">
        <v>315.0</v>
      </c>
      <c r="B317" s="29" t="s">
        <v>2070</v>
      </c>
      <c r="C317" s="29" t="s">
        <v>13</v>
      </c>
      <c r="D317" s="29">
        <v>1.5541666E7</v>
      </c>
      <c r="E317" s="29" t="s">
        <v>13</v>
      </c>
      <c r="F317" s="29" t="s">
        <v>13</v>
      </c>
      <c r="G317" s="29" t="s">
        <v>13</v>
      </c>
      <c r="H317" s="51" t="s">
        <v>4617</v>
      </c>
    </row>
    <row r="318">
      <c r="A318" s="91">
        <v>316.0</v>
      </c>
      <c r="B318" s="29" t="s">
        <v>2071</v>
      </c>
      <c r="C318" s="29" t="s">
        <v>13</v>
      </c>
      <c r="D318" s="29" t="s">
        <v>13</v>
      </c>
      <c r="E318" s="29" t="s">
        <v>13</v>
      </c>
      <c r="F318" s="29" t="s">
        <v>13</v>
      </c>
      <c r="G318" s="29" t="s">
        <v>1742</v>
      </c>
      <c r="H318" s="51" t="s">
        <v>4617</v>
      </c>
    </row>
    <row r="319">
      <c r="A319" s="28">
        <v>317.0</v>
      </c>
      <c r="B319" s="29" t="s">
        <v>2072</v>
      </c>
      <c r="C319" s="29" t="s">
        <v>13</v>
      </c>
      <c r="D319" s="29" t="s">
        <v>14</v>
      </c>
      <c r="E319" s="29" t="s">
        <v>13</v>
      </c>
      <c r="F319" s="29" t="s">
        <v>13</v>
      </c>
      <c r="G319" s="29" t="s">
        <v>15</v>
      </c>
      <c r="H319" s="51" t="s">
        <v>4617</v>
      </c>
    </row>
    <row r="320">
      <c r="A320" s="28">
        <v>318.0</v>
      </c>
      <c r="B320" s="29" t="s">
        <v>2073</v>
      </c>
      <c r="C320" s="29" t="s">
        <v>13</v>
      </c>
      <c r="D320" s="29" t="s">
        <v>13</v>
      </c>
      <c r="E320" s="29" t="s">
        <v>13</v>
      </c>
      <c r="F320" s="29" t="s">
        <v>13</v>
      </c>
      <c r="G320" s="29" t="s">
        <v>2074</v>
      </c>
      <c r="H320" s="51" t="s">
        <v>4617</v>
      </c>
    </row>
    <row r="321">
      <c r="A321" s="28">
        <v>319.0</v>
      </c>
      <c r="B321" s="29" t="s">
        <v>2075</v>
      </c>
      <c r="C321" s="29" t="s">
        <v>13</v>
      </c>
      <c r="D321" s="29">
        <v>1.364187E7</v>
      </c>
      <c r="E321" s="29" t="s">
        <v>13</v>
      </c>
      <c r="F321" s="29" t="s">
        <v>13</v>
      </c>
      <c r="G321" s="29" t="s">
        <v>13</v>
      </c>
      <c r="H321" s="51" t="s">
        <v>4617</v>
      </c>
    </row>
    <row r="322">
      <c r="A322" s="28">
        <v>320.0</v>
      </c>
      <c r="B322" s="29" t="s">
        <v>2075</v>
      </c>
      <c r="C322" s="29" t="s">
        <v>13</v>
      </c>
      <c r="D322" s="29">
        <v>1.364187E8</v>
      </c>
      <c r="E322" s="29" t="s">
        <v>13</v>
      </c>
      <c r="F322" s="29" t="s">
        <v>13</v>
      </c>
      <c r="G322" s="29" t="s">
        <v>13</v>
      </c>
      <c r="H322" s="51" t="s">
        <v>4617</v>
      </c>
    </row>
    <row r="323">
      <c r="A323" s="28">
        <v>321.0</v>
      </c>
      <c r="B323" s="29" t="s">
        <v>2076</v>
      </c>
      <c r="C323" s="29" t="s">
        <v>13</v>
      </c>
      <c r="D323" s="29">
        <v>1.2115323E7</v>
      </c>
      <c r="E323" s="29" t="s">
        <v>13</v>
      </c>
      <c r="F323" s="29" t="s">
        <v>13</v>
      </c>
      <c r="G323" s="29" t="s">
        <v>13</v>
      </c>
      <c r="H323" s="51" t="s">
        <v>4617</v>
      </c>
    </row>
    <row r="324">
      <c r="A324" s="28">
        <v>322.0</v>
      </c>
      <c r="B324" s="29" t="s">
        <v>2077</v>
      </c>
      <c r="C324" s="29" t="s">
        <v>13</v>
      </c>
      <c r="D324" s="29">
        <v>1.4312752E8</v>
      </c>
      <c r="E324" s="29" t="s">
        <v>13</v>
      </c>
      <c r="F324" s="29" t="s">
        <v>13</v>
      </c>
      <c r="G324" s="29" t="s">
        <v>13</v>
      </c>
      <c r="H324" s="51" t="s">
        <v>4617</v>
      </c>
    </row>
    <row r="325">
      <c r="A325" s="28">
        <v>323.0</v>
      </c>
      <c r="B325" s="29" t="s">
        <v>2078</v>
      </c>
      <c r="C325" s="29">
        <v>14.0</v>
      </c>
      <c r="D325" s="29" t="s">
        <v>14</v>
      </c>
      <c r="E325" s="29" t="s">
        <v>13</v>
      </c>
      <c r="F325" s="29" t="s">
        <v>13</v>
      </c>
      <c r="G325" s="29" t="s">
        <v>15</v>
      </c>
      <c r="H325" s="51" t="s">
        <v>4617</v>
      </c>
    </row>
    <row r="326">
      <c r="A326" s="28">
        <v>324.0</v>
      </c>
      <c r="B326" s="29" t="s">
        <v>2079</v>
      </c>
      <c r="C326" s="29" t="s">
        <v>13</v>
      </c>
      <c r="D326" s="29" t="s">
        <v>14</v>
      </c>
      <c r="E326" s="29" t="s">
        <v>13</v>
      </c>
      <c r="F326" s="29" t="s">
        <v>13</v>
      </c>
      <c r="G326" s="29" t="s">
        <v>15</v>
      </c>
      <c r="H326" s="51" t="s">
        <v>4617</v>
      </c>
    </row>
    <row r="327">
      <c r="A327" s="28">
        <v>325.0</v>
      </c>
      <c r="B327" s="29" t="s">
        <v>2080</v>
      </c>
      <c r="C327" s="29" t="s">
        <v>13</v>
      </c>
      <c r="D327" s="29" t="s">
        <v>14</v>
      </c>
      <c r="E327" s="29" t="s">
        <v>13</v>
      </c>
      <c r="F327" s="29" t="s">
        <v>13</v>
      </c>
      <c r="G327" s="29" t="s">
        <v>15</v>
      </c>
      <c r="H327" s="51" t="s">
        <v>4617</v>
      </c>
    </row>
    <row r="328">
      <c r="A328" s="28">
        <v>326.0</v>
      </c>
      <c r="B328" s="29" t="s">
        <v>2081</v>
      </c>
      <c r="C328" s="29">
        <v>10.0</v>
      </c>
      <c r="D328" s="29" t="s">
        <v>13</v>
      </c>
      <c r="E328" s="29" t="s">
        <v>13</v>
      </c>
      <c r="F328" s="29" t="s">
        <v>13</v>
      </c>
      <c r="G328" s="29" t="s">
        <v>2082</v>
      </c>
      <c r="H328" s="51" t="s">
        <v>4617</v>
      </c>
    </row>
    <row r="329">
      <c r="A329" s="28">
        <v>327.0</v>
      </c>
      <c r="B329" s="29" t="s">
        <v>2083</v>
      </c>
      <c r="C329" s="29" t="s">
        <v>13</v>
      </c>
      <c r="D329" s="29">
        <v>5.613119E7</v>
      </c>
      <c r="E329" s="29" t="s">
        <v>13</v>
      </c>
      <c r="F329" s="29" t="s">
        <v>13</v>
      </c>
      <c r="G329" s="29" t="s">
        <v>13</v>
      </c>
      <c r="H329" s="51" t="s">
        <v>4617</v>
      </c>
    </row>
    <row r="330">
      <c r="A330" s="28">
        <v>328.0</v>
      </c>
      <c r="B330" s="29" t="s">
        <v>2084</v>
      </c>
      <c r="C330" s="29" t="s">
        <v>13</v>
      </c>
      <c r="D330" s="29">
        <v>1.5541666E8</v>
      </c>
      <c r="E330" s="29" t="s">
        <v>13</v>
      </c>
      <c r="F330" s="29" t="s">
        <v>13</v>
      </c>
      <c r="G330" s="29" t="s">
        <v>13</v>
      </c>
      <c r="H330" s="51" t="s">
        <v>4617</v>
      </c>
    </row>
    <row r="331">
      <c r="A331" s="28">
        <v>329.0</v>
      </c>
      <c r="B331" s="29" t="s">
        <v>2085</v>
      </c>
      <c r="C331" s="29">
        <v>67.0</v>
      </c>
      <c r="D331" s="29" t="s">
        <v>13</v>
      </c>
      <c r="E331" s="29" t="s">
        <v>13</v>
      </c>
      <c r="F331" s="29" t="s">
        <v>13</v>
      </c>
      <c r="G331" s="29" t="s">
        <v>1903</v>
      </c>
      <c r="H331" s="51" t="s">
        <v>4617</v>
      </c>
    </row>
    <row r="332">
      <c r="A332" s="28">
        <v>330.0</v>
      </c>
      <c r="B332" s="29" t="s">
        <v>2086</v>
      </c>
      <c r="C332" s="29">
        <v>4.0</v>
      </c>
      <c r="D332" s="29" t="s">
        <v>13</v>
      </c>
      <c r="E332" s="29" t="s">
        <v>13</v>
      </c>
      <c r="F332" s="29" t="s">
        <v>13</v>
      </c>
      <c r="G332" s="29" t="s">
        <v>2087</v>
      </c>
      <c r="H332" s="51" t="s">
        <v>4617</v>
      </c>
    </row>
    <row r="333">
      <c r="A333" s="91">
        <v>331.0</v>
      </c>
      <c r="B333" s="29" t="s">
        <v>2088</v>
      </c>
      <c r="C333" s="29" t="s">
        <v>13</v>
      </c>
      <c r="D333" s="29" t="s">
        <v>14</v>
      </c>
      <c r="E333" s="29" t="s">
        <v>13</v>
      </c>
      <c r="F333" s="29" t="s">
        <v>13</v>
      </c>
      <c r="G333" s="29" t="s">
        <v>15</v>
      </c>
      <c r="H333" s="51" t="s">
        <v>4617</v>
      </c>
    </row>
    <row r="334">
      <c r="A334" s="28">
        <v>332.0</v>
      </c>
      <c r="B334" s="29" t="s">
        <v>2089</v>
      </c>
      <c r="C334" s="29">
        <v>10.0</v>
      </c>
      <c r="D334" s="29" t="s">
        <v>13</v>
      </c>
      <c r="E334" s="29" t="s">
        <v>13</v>
      </c>
      <c r="F334" s="29" t="s">
        <v>13</v>
      </c>
      <c r="G334" s="29" t="s">
        <v>1826</v>
      </c>
      <c r="H334" s="51" t="s">
        <v>4617</v>
      </c>
    </row>
    <row r="335">
      <c r="A335" s="28">
        <v>333.0</v>
      </c>
      <c r="B335" s="29" t="s">
        <v>2090</v>
      </c>
      <c r="C335" s="29" t="s">
        <v>13</v>
      </c>
      <c r="D335" s="29" t="s">
        <v>14</v>
      </c>
      <c r="E335" s="29" t="s">
        <v>13</v>
      </c>
      <c r="F335" s="29" t="s">
        <v>13</v>
      </c>
      <c r="G335" s="29" t="s">
        <v>15</v>
      </c>
      <c r="H335" s="51" t="s">
        <v>4617</v>
      </c>
    </row>
    <row r="336">
      <c r="A336" s="28">
        <v>334.0</v>
      </c>
      <c r="B336" s="29" t="s">
        <v>2091</v>
      </c>
      <c r="C336" s="29" t="s">
        <v>13</v>
      </c>
      <c r="D336" s="29">
        <v>1.8814839E8</v>
      </c>
      <c r="E336" s="29" t="s">
        <v>13</v>
      </c>
      <c r="F336" s="29" t="s">
        <v>13</v>
      </c>
      <c r="G336" s="29" t="s">
        <v>13</v>
      </c>
      <c r="H336" s="51" t="s">
        <v>4617</v>
      </c>
    </row>
    <row r="337">
      <c r="A337" s="28">
        <v>335.0</v>
      </c>
      <c r="B337" s="29" t="s">
        <v>2091</v>
      </c>
      <c r="C337" s="29" t="s">
        <v>1731</v>
      </c>
      <c r="D337" s="29">
        <v>1.9814839E8</v>
      </c>
      <c r="E337" s="29" t="s">
        <v>13</v>
      </c>
      <c r="F337" s="29" t="s">
        <v>1731</v>
      </c>
      <c r="G337" s="29" t="s">
        <v>1731</v>
      </c>
      <c r="H337" s="51" t="s">
        <v>4617</v>
      </c>
    </row>
    <row r="338">
      <c r="A338" s="28">
        <v>336.0</v>
      </c>
      <c r="B338" s="29" t="s">
        <v>2092</v>
      </c>
      <c r="C338" s="29" t="s">
        <v>13</v>
      </c>
      <c r="D338" s="29">
        <v>2967230.0</v>
      </c>
      <c r="E338" s="29" t="s">
        <v>13</v>
      </c>
      <c r="F338" s="29" t="s">
        <v>13</v>
      </c>
      <c r="G338" s="29" t="s">
        <v>1748</v>
      </c>
      <c r="H338" s="51" t="s">
        <v>4617</v>
      </c>
    </row>
    <row r="339">
      <c r="A339" s="28">
        <v>337.0</v>
      </c>
      <c r="B339" s="29" t="s">
        <v>2092</v>
      </c>
      <c r="C339" s="29" t="s">
        <v>1731</v>
      </c>
      <c r="D339" s="29">
        <v>2.967223E7</v>
      </c>
      <c r="E339" s="29" t="s">
        <v>13</v>
      </c>
      <c r="F339" s="29" t="s">
        <v>1731</v>
      </c>
      <c r="G339" s="29" t="s">
        <v>1731</v>
      </c>
      <c r="H339" s="51" t="s">
        <v>4617</v>
      </c>
    </row>
    <row r="340">
      <c r="A340" s="28">
        <v>338.0</v>
      </c>
      <c r="B340" s="29" t="s">
        <v>2093</v>
      </c>
      <c r="C340" s="29" t="s">
        <v>13</v>
      </c>
      <c r="D340" s="29" t="s">
        <v>2094</v>
      </c>
      <c r="E340" s="29" t="s">
        <v>13</v>
      </c>
      <c r="F340" s="29" t="s">
        <v>13</v>
      </c>
      <c r="G340" s="29" t="s">
        <v>15</v>
      </c>
      <c r="H340" s="51" t="s">
        <v>4617</v>
      </c>
    </row>
    <row r="341">
      <c r="A341" s="28">
        <v>339.0</v>
      </c>
      <c r="B341" s="29" t="s">
        <v>749</v>
      </c>
      <c r="C341" s="29" t="s">
        <v>13</v>
      </c>
      <c r="D341" s="29">
        <v>4.1498435E7</v>
      </c>
      <c r="E341" s="29" t="s">
        <v>13</v>
      </c>
      <c r="F341" s="29" t="s">
        <v>13</v>
      </c>
      <c r="G341" s="29" t="s">
        <v>13</v>
      </c>
      <c r="H341" s="51" t="s">
        <v>4617</v>
      </c>
    </row>
    <row r="342">
      <c r="A342" s="28">
        <v>340.0</v>
      </c>
      <c r="B342" s="29" t="s">
        <v>749</v>
      </c>
      <c r="C342" s="29" t="s">
        <v>13</v>
      </c>
      <c r="D342" s="29">
        <v>4.498435E7</v>
      </c>
      <c r="E342" s="29" t="s">
        <v>13</v>
      </c>
      <c r="F342" s="29" t="s">
        <v>13</v>
      </c>
      <c r="G342" s="29" t="s">
        <v>13</v>
      </c>
      <c r="H342" s="51" t="s">
        <v>4617</v>
      </c>
    </row>
    <row r="343">
      <c r="A343" s="28">
        <v>341.0</v>
      </c>
      <c r="B343" s="29" t="s">
        <v>2095</v>
      </c>
      <c r="C343" s="29" t="s">
        <v>13</v>
      </c>
      <c r="D343" s="29">
        <v>1.0384289E7</v>
      </c>
      <c r="E343" s="29" t="s">
        <v>13</v>
      </c>
      <c r="F343" s="29" t="s">
        <v>13</v>
      </c>
      <c r="G343" s="29" t="s">
        <v>1748</v>
      </c>
      <c r="H343" s="51" t="s">
        <v>4617</v>
      </c>
    </row>
    <row r="344">
      <c r="A344" s="28">
        <v>342.0</v>
      </c>
      <c r="B344" s="29" t="s">
        <v>2096</v>
      </c>
      <c r="C344" s="29" t="s">
        <v>13</v>
      </c>
      <c r="D344" s="29">
        <v>1.8384289E8</v>
      </c>
      <c r="E344" s="29" t="s">
        <v>13</v>
      </c>
      <c r="F344" s="29" t="s">
        <v>13</v>
      </c>
      <c r="G344" s="29" t="s">
        <v>1847</v>
      </c>
      <c r="H344" s="51" t="s">
        <v>4617</v>
      </c>
    </row>
    <row r="345">
      <c r="A345" s="28">
        <v>343.0</v>
      </c>
      <c r="B345" s="29" t="s">
        <v>2097</v>
      </c>
      <c r="C345" s="29" t="s">
        <v>13</v>
      </c>
      <c r="D345" s="29">
        <v>6.049995E7</v>
      </c>
      <c r="E345" s="29" t="s">
        <v>13</v>
      </c>
      <c r="F345" s="29" t="s">
        <v>13</v>
      </c>
      <c r="G345" s="29" t="s">
        <v>1748</v>
      </c>
      <c r="H345" s="51" t="s">
        <v>4617</v>
      </c>
    </row>
    <row r="346">
      <c r="A346" s="28">
        <v>344.0</v>
      </c>
      <c r="B346" s="29" t="s">
        <v>2098</v>
      </c>
      <c r="C346" s="29">
        <v>49.0</v>
      </c>
      <c r="D346" s="29" t="s">
        <v>13</v>
      </c>
      <c r="E346" s="29" t="s">
        <v>13</v>
      </c>
      <c r="F346" s="29" t="s">
        <v>13</v>
      </c>
      <c r="G346" s="29" t="s">
        <v>2099</v>
      </c>
      <c r="H346" s="51" t="s">
        <v>4617</v>
      </c>
    </row>
    <row r="347">
      <c r="A347" s="28">
        <v>345.0</v>
      </c>
      <c r="B347" s="29" t="s">
        <v>2100</v>
      </c>
      <c r="C347" s="29" t="s">
        <v>13</v>
      </c>
      <c r="D347" s="29">
        <v>2.8100561E7</v>
      </c>
      <c r="E347" s="29" t="s">
        <v>13</v>
      </c>
      <c r="F347" s="29" t="s">
        <v>13</v>
      </c>
      <c r="G347" s="29" t="s">
        <v>13</v>
      </c>
      <c r="H347" s="51" t="s">
        <v>4617</v>
      </c>
    </row>
    <row r="348">
      <c r="A348" s="28">
        <v>346.0</v>
      </c>
      <c r="B348" s="29" t="s">
        <v>2100</v>
      </c>
      <c r="C348" s="29" t="s">
        <v>13</v>
      </c>
      <c r="D348" s="29">
        <v>2.8100561E8</v>
      </c>
      <c r="E348" s="29" t="s">
        <v>13</v>
      </c>
      <c r="F348" s="29" t="s">
        <v>13</v>
      </c>
      <c r="G348" s="29" t="s">
        <v>13</v>
      </c>
      <c r="H348" s="51" t="s">
        <v>4617</v>
      </c>
    </row>
    <row r="349">
      <c r="A349" s="28">
        <v>347.0</v>
      </c>
      <c r="B349" s="29" t="s">
        <v>2101</v>
      </c>
      <c r="C349" s="29" t="s">
        <v>13</v>
      </c>
      <c r="D349" s="29">
        <v>6.059288E7</v>
      </c>
      <c r="E349" s="29" t="s">
        <v>13</v>
      </c>
      <c r="F349" s="29" t="s">
        <v>13</v>
      </c>
      <c r="G349" s="29" t="s">
        <v>13</v>
      </c>
      <c r="H349" s="51" t="s">
        <v>4617</v>
      </c>
    </row>
    <row r="350">
      <c r="A350" s="28">
        <v>348.0</v>
      </c>
      <c r="B350" s="29" t="s">
        <v>2101</v>
      </c>
      <c r="C350" s="29" t="s">
        <v>1731</v>
      </c>
      <c r="D350" s="29">
        <v>6.639288E7</v>
      </c>
      <c r="E350" s="29" t="s">
        <v>13</v>
      </c>
      <c r="F350" s="29" t="s">
        <v>1731</v>
      </c>
      <c r="G350" s="29" t="s">
        <v>1731</v>
      </c>
      <c r="H350" s="51" t="s">
        <v>4617</v>
      </c>
    </row>
    <row r="351">
      <c r="A351" s="28">
        <v>349.0</v>
      </c>
      <c r="B351" s="29" t="s">
        <v>2102</v>
      </c>
      <c r="C351" s="29" t="s">
        <v>13</v>
      </c>
      <c r="D351" s="29">
        <v>2.5025734E8</v>
      </c>
      <c r="E351" s="29" t="s">
        <v>13</v>
      </c>
      <c r="F351" s="29" t="s">
        <v>13</v>
      </c>
      <c r="G351" s="29" t="s">
        <v>1748</v>
      </c>
      <c r="H351" s="51" t="s">
        <v>4617</v>
      </c>
    </row>
    <row r="352">
      <c r="A352" s="28">
        <v>350.0</v>
      </c>
      <c r="B352" s="29" t="s">
        <v>2102</v>
      </c>
      <c r="C352" s="29" t="s">
        <v>1731</v>
      </c>
      <c r="D352" s="29">
        <v>2.3025734E8</v>
      </c>
      <c r="E352" s="29" t="s">
        <v>13</v>
      </c>
      <c r="F352" s="29" t="s">
        <v>1731</v>
      </c>
      <c r="G352" s="29" t="s">
        <v>1731</v>
      </c>
      <c r="H352" s="51" t="s">
        <v>4617</v>
      </c>
    </row>
    <row r="353">
      <c r="A353" s="28">
        <v>351.0</v>
      </c>
      <c r="B353" s="29" t="s">
        <v>2103</v>
      </c>
      <c r="C353" s="29" t="s">
        <v>13</v>
      </c>
      <c r="D353" s="29" t="s">
        <v>14</v>
      </c>
      <c r="E353" s="29" t="s">
        <v>13</v>
      </c>
      <c r="F353" s="29" t="s">
        <v>13</v>
      </c>
      <c r="G353" s="29" t="s">
        <v>2104</v>
      </c>
      <c r="H353" s="51" t="s">
        <v>4617</v>
      </c>
    </row>
    <row r="354">
      <c r="A354" s="28">
        <v>352.0</v>
      </c>
      <c r="B354" s="29" t="s">
        <v>2105</v>
      </c>
      <c r="C354" s="29" t="s">
        <v>13</v>
      </c>
      <c r="D354" s="29">
        <v>1.9102824E8</v>
      </c>
      <c r="E354" s="29" t="s">
        <v>13</v>
      </c>
      <c r="F354" s="29" t="s">
        <v>13</v>
      </c>
      <c r="G354" s="29" t="s">
        <v>13</v>
      </c>
      <c r="H354" s="51" t="s">
        <v>4617</v>
      </c>
    </row>
    <row r="355">
      <c r="A355" s="28">
        <v>353.0</v>
      </c>
      <c r="B355" s="29" t="s">
        <v>2106</v>
      </c>
      <c r="C355" s="29" t="s">
        <v>13</v>
      </c>
      <c r="D355" s="29">
        <v>1.0576899E8</v>
      </c>
      <c r="E355" s="29" t="s">
        <v>13</v>
      </c>
      <c r="F355" s="29" t="s">
        <v>13</v>
      </c>
      <c r="G355" s="29" t="s">
        <v>13</v>
      </c>
      <c r="H355" s="51" t="s">
        <v>4617</v>
      </c>
    </row>
    <row r="356">
      <c r="A356" s="28">
        <v>354.0</v>
      </c>
      <c r="B356" s="29" t="s">
        <v>2106</v>
      </c>
      <c r="C356" s="29" t="s">
        <v>1731</v>
      </c>
      <c r="D356" s="29">
        <v>1.0576999E8</v>
      </c>
      <c r="E356" s="29" t="s">
        <v>13</v>
      </c>
      <c r="F356" s="29" t="s">
        <v>1731</v>
      </c>
      <c r="G356" s="29" t="s">
        <v>1731</v>
      </c>
      <c r="H356" s="51" t="s">
        <v>4617</v>
      </c>
    </row>
    <row r="357">
      <c r="A357" s="28">
        <v>355.0</v>
      </c>
      <c r="B357" s="29" t="s">
        <v>2107</v>
      </c>
      <c r="C357" s="29">
        <v>21.0</v>
      </c>
      <c r="D357" s="29" t="s">
        <v>13</v>
      </c>
      <c r="E357" s="29" t="s">
        <v>13</v>
      </c>
      <c r="F357" s="29" t="s">
        <v>13</v>
      </c>
      <c r="G357" s="29" t="s">
        <v>1742</v>
      </c>
      <c r="H357" s="51" t="s">
        <v>4617</v>
      </c>
    </row>
    <row r="358">
      <c r="A358" s="28">
        <v>356.0</v>
      </c>
      <c r="B358" s="29" t="s">
        <v>2107</v>
      </c>
      <c r="C358" s="29">
        <v>21.0</v>
      </c>
      <c r="D358" s="29" t="s">
        <v>13</v>
      </c>
      <c r="E358" s="29" t="s">
        <v>13</v>
      </c>
      <c r="F358" s="29" t="s">
        <v>13</v>
      </c>
      <c r="G358" s="29" t="s">
        <v>1903</v>
      </c>
      <c r="H358" s="51" t="s">
        <v>4617</v>
      </c>
    </row>
    <row r="359">
      <c r="A359" s="28">
        <v>357.0</v>
      </c>
      <c r="B359" s="29" t="s">
        <v>2108</v>
      </c>
      <c r="C359" s="29">
        <v>30.0</v>
      </c>
      <c r="D359" s="29" t="s">
        <v>13</v>
      </c>
      <c r="E359" s="29" t="s">
        <v>13</v>
      </c>
      <c r="F359" s="29" t="s">
        <v>13</v>
      </c>
      <c r="G359" s="29" t="s">
        <v>1752</v>
      </c>
      <c r="H359" s="51" t="s">
        <v>4617</v>
      </c>
    </row>
    <row r="360">
      <c r="A360" s="28">
        <v>358.0</v>
      </c>
      <c r="B360" s="29" t="s">
        <v>2109</v>
      </c>
      <c r="C360" s="29" t="s">
        <v>13</v>
      </c>
      <c r="D360" s="29" t="s">
        <v>13</v>
      </c>
      <c r="E360" s="29" t="s">
        <v>13</v>
      </c>
      <c r="F360" s="29" t="s">
        <v>13</v>
      </c>
      <c r="G360" s="29" t="s">
        <v>13</v>
      </c>
      <c r="H360" s="51" t="s">
        <v>4617</v>
      </c>
    </row>
    <row r="361">
      <c r="A361" s="28">
        <v>359.0</v>
      </c>
      <c r="B361" s="29" t="s">
        <v>2110</v>
      </c>
      <c r="C361" s="29">
        <v>8.0</v>
      </c>
      <c r="D361" s="29" t="s">
        <v>13</v>
      </c>
      <c r="E361" s="29" t="s">
        <v>13</v>
      </c>
      <c r="F361" s="29" t="s">
        <v>13</v>
      </c>
      <c r="G361" s="29" t="s">
        <v>2111</v>
      </c>
      <c r="H361" s="51" t="s">
        <v>4617</v>
      </c>
    </row>
    <row r="362">
      <c r="A362" s="28">
        <v>360.0</v>
      </c>
      <c r="B362" s="29" t="s">
        <v>2112</v>
      </c>
      <c r="C362" s="29" t="s">
        <v>13</v>
      </c>
      <c r="D362" s="29" t="s">
        <v>13</v>
      </c>
      <c r="E362" s="29" t="s">
        <v>13</v>
      </c>
      <c r="F362" s="29" t="s">
        <v>13</v>
      </c>
      <c r="G362" s="29" t="s">
        <v>1742</v>
      </c>
      <c r="H362" s="51" t="s">
        <v>4617</v>
      </c>
    </row>
    <row r="363">
      <c r="A363" s="28">
        <v>361.0</v>
      </c>
      <c r="B363" s="29" t="s">
        <v>2113</v>
      </c>
      <c r="C363" s="29" t="s">
        <v>13</v>
      </c>
      <c r="D363" s="29">
        <v>1.0576899E7</v>
      </c>
      <c r="E363" s="29" t="s">
        <v>13</v>
      </c>
      <c r="F363" s="29" t="s">
        <v>13</v>
      </c>
      <c r="G363" s="29" t="s">
        <v>13</v>
      </c>
      <c r="H363" s="51" t="s">
        <v>4617</v>
      </c>
    </row>
    <row r="364">
      <c r="A364" s="28">
        <v>362.0</v>
      </c>
      <c r="B364" s="29" t="s">
        <v>2114</v>
      </c>
      <c r="C364" s="29" t="s">
        <v>13</v>
      </c>
      <c r="D364" s="29" t="s">
        <v>14</v>
      </c>
      <c r="E364" s="29" t="s">
        <v>13</v>
      </c>
      <c r="F364" s="29" t="s">
        <v>13</v>
      </c>
      <c r="G364" s="29" t="s">
        <v>15</v>
      </c>
      <c r="H364" s="51" t="s">
        <v>4617</v>
      </c>
    </row>
    <row r="365">
      <c r="A365" s="28">
        <v>363.0</v>
      </c>
      <c r="B365" s="29" t="s">
        <v>2115</v>
      </c>
      <c r="C365" s="29" t="s">
        <v>13</v>
      </c>
      <c r="D365" s="29" t="s">
        <v>14</v>
      </c>
      <c r="E365" s="29" t="s">
        <v>13</v>
      </c>
      <c r="F365" s="29" t="s">
        <v>13</v>
      </c>
      <c r="G365" s="29" t="s">
        <v>15</v>
      </c>
      <c r="H365" s="51" t="s">
        <v>4617</v>
      </c>
    </row>
    <row r="366">
      <c r="A366" s="28">
        <v>364.0</v>
      </c>
      <c r="B366" s="29" t="s">
        <v>2115</v>
      </c>
      <c r="C366" s="29" t="s">
        <v>13</v>
      </c>
      <c r="D366" s="29" t="s">
        <v>14</v>
      </c>
      <c r="E366" s="29" t="s">
        <v>13</v>
      </c>
      <c r="F366" s="29" t="s">
        <v>13</v>
      </c>
      <c r="G366" s="29" t="s">
        <v>15</v>
      </c>
      <c r="H366" s="51" t="s">
        <v>4617</v>
      </c>
    </row>
    <row r="367">
      <c r="A367" s="28">
        <v>365.0</v>
      </c>
      <c r="B367" s="29" t="s">
        <v>2116</v>
      </c>
      <c r="C367" s="29" t="s">
        <v>13</v>
      </c>
      <c r="D367" s="29">
        <v>1.9367804E7</v>
      </c>
      <c r="E367" s="29" t="s">
        <v>13</v>
      </c>
      <c r="F367" s="29" t="s">
        <v>13</v>
      </c>
      <c r="G367" s="29" t="s">
        <v>13</v>
      </c>
      <c r="H367" s="51" t="s">
        <v>4617</v>
      </c>
    </row>
    <row r="368">
      <c r="A368" s="28">
        <v>366.0</v>
      </c>
      <c r="B368" s="29" t="s">
        <v>2117</v>
      </c>
      <c r="C368" s="29" t="s">
        <v>13</v>
      </c>
      <c r="D368" s="29">
        <v>6.692167E7</v>
      </c>
      <c r="E368" s="29" t="s">
        <v>13</v>
      </c>
      <c r="F368" s="29" t="s">
        <v>13</v>
      </c>
      <c r="G368" s="29" t="s">
        <v>1817</v>
      </c>
      <c r="H368" s="51" t="s">
        <v>4617</v>
      </c>
    </row>
    <row r="369">
      <c r="A369" s="28">
        <v>367.0</v>
      </c>
      <c r="B369" s="29" t="s">
        <v>2118</v>
      </c>
      <c r="C369" s="29" t="s">
        <v>13</v>
      </c>
      <c r="D369" s="29">
        <v>6092167.0</v>
      </c>
      <c r="E369" s="29" t="s">
        <v>13</v>
      </c>
      <c r="F369" s="29" t="s">
        <v>13</v>
      </c>
      <c r="G369" s="29" t="s">
        <v>13</v>
      </c>
      <c r="H369" s="51" t="s">
        <v>4617</v>
      </c>
    </row>
    <row r="370">
      <c r="A370" s="28">
        <v>368.0</v>
      </c>
      <c r="B370" s="29" t="s">
        <v>2119</v>
      </c>
      <c r="C370" s="29" t="s">
        <v>1731</v>
      </c>
      <c r="D370" s="29">
        <v>1.1914021E8</v>
      </c>
      <c r="E370" s="29" t="s">
        <v>13</v>
      </c>
      <c r="F370" s="29" t="s">
        <v>1731</v>
      </c>
      <c r="G370" s="29" t="s">
        <v>1731</v>
      </c>
      <c r="H370" s="51" t="s">
        <v>4617</v>
      </c>
    </row>
    <row r="371">
      <c r="A371" s="28">
        <v>369.0</v>
      </c>
      <c r="B371" s="29" t="s">
        <v>2120</v>
      </c>
      <c r="C371" s="29" t="s">
        <v>13</v>
      </c>
      <c r="D371" s="29">
        <v>1.4194021E8</v>
      </c>
      <c r="E371" s="29" t="s">
        <v>13</v>
      </c>
      <c r="F371" s="29" t="s">
        <v>13</v>
      </c>
      <c r="G371" s="29" t="s">
        <v>13</v>
      </c>
      <c r="H371" s="51" t="s">
        <v>4617</v>
      </c>
    </row>
    <row r="372">
      <c r="A372" s="28">
        <v>370.0</v>
      </c>
      <c r="B372" s="29" t="s">
        <v>2121</v>
      </c>
      <c r="C372" s="29">
        <v>3.0</v>
      </c>
      <c r="D372" s="29" t="s">
        <v>13</v>
      </c>
      <c r="E372" s="29" t="s">
        <v>13</v>
      </c>
      <c r="F372" s="29" t="s">
        <v>13</v>
      </c>
      <c r="G372" s="29" t="s">
        <v>2122</v>
      </c>
      <c r="H372" s="51" t="s">
        <v>4617</v>
      </c>
    </row>
    <row r="373">
      <c r="A373" s="28">
        <v>371.0</v>
      </c>
      <c r="B373" s="29" t="s">
        <v>2123</v>
      </c>
      <c r="C373" s="29">
        <v>13.0</v>
      </c>
      <c r="D373" s="29" t="s">
        <v>13</v>
      </c>
      <c r="E373" s="29" t="s">
        <v>13</v>
      </c>
      <c r="F373" s="29" t="s">
        <v>13</v>
      </c>
      <c r="G373" s="29" t="s">
        <v>13</v>
      </c>
      <c r="H373" s="51" t="s">
        <v>4617</v>
      </c>
    </row>
    <row r="374">
      <c r="A374" s="28">
        <v>372.0</v>
      </c>
      <c r="B374" s="29" t="s">
        <v>2124</v>
      </c>
      <c r="C374" s="29">
        <v>6.0</v>
      </c>
      <c r="D374" s="29" t="s">
        <v>13</v>
      </c>
      <c r="E374" s="29" t="s">
        <v>13</v>
      </c>
      <c r="F374" s="29" t="s">
        <v>13</v>
      </c>
      <c r="G374" s="29" t="s">
        <v>13</v>
      </c>
      <c r="H374" s="51" t="s">
        <v>4617</v>
      </c>
    </row>
    <row r="375">
      <c r="A375" s="28">
        <v>373.0</v>
      </c>
      <c r="B375" s="29" t="s">
        <v>2125</v>
      </c>
      <c r="C375" s="29" t="s">
        <v>13</v>
      </c>
      <c r="D375" s="29" t="s">
        <v>13</v>
      </c>
      <c r="E375" s="29" t="s">
        <v>13</v>
      </c>
      <c r="F375" s="29" t="s">
        <v>13</v>
      </c>
      <c r="G375" s="29" t="s">
        <v>2126</v>
      </c>
      <c r="H375" s="51" t="s">
        <v>4617</v>
      </c>
    </row>
    <row r="376">
      <c r="A376" s="28">
        <v>374.0</v>
      </c>
      <c r="B376" s="29" t="s">
        <v>2127</v>
      </c>
      <c r="C376" s="29">
        <v>28.0</v>
      </c>
      <c r="D376" s="29">
        <v>2.6968781E7</v>
      </c>
      <c r="E376" s="29" t="s">
        <v>13</v>
      </c>
      <c r="F376" s="29" t="s">
        <v>13</v>
      </c>
      <c r="G376" s="29" t="s">
        <v>13</v>
      </c>
      <c r="H376" s="51" t="s">
        <v>4617</v>
      </c>
    </row>
    <row r="377">
      <c r="A377" s="28">
        <v>375.0</v>
      </c>
      <c r="B377" s="29" t="s">
        <v>2128</v>
      </c>
      <c r="C377" s="29" t="s">
        <v>13</v>
      </c>
      <c r="D377" s="29" t="s">
        <v>13</v>
      </c>
      <c r="E377" s="29" t="s">
        <v>13</v>
      </c>
      <c r="F377" s="29" t="s">
        <v>13</v>
      </c>
      <c r="G377" s="29" t="s">
        <v>1742</v>
      </c>
      <c r="H377" s="51" t="s">
        <v>4617</v>
      </c>
    </row>
    <row r="378">
      <c r="A378" s="28">
        <v>376.0</v>
      </c>
      <c r="B378" s="29" t="s">
        <v>2129</v>
      </c>
      <c r="C378" s="29" t="s">
        <v>13</v>
      </c>
      <c r="D378" s="29">
        <v>1.5249932E7</v>
      </c>
      <c r="E378" s="29" t="s">
        <v>13</v>
      </c>
      <c r="F378" s="29" t="s">
        <v>13</v>
      </c>
      <c r="G378" s="29" t="s">
        <v>1729</v>
      </c>
      <c r="H378" s="51" t="s">
        <v>4617</v>
      </c>
    </row>
    <row r="379">
      <c r="A379" s="28">
        <v>377.0</v>
      </c>
      <c r="B379" s="29" t="s">
        <v>2130</v>
      </c>
      <c r="C379" s="29">
        <v>20.0</v>
      </c>
      <c r="D379" s="29">
        <v>3.1291319E7</v>
      </c>
      <c r="E379" s="29" t="s">
        <v>13</v>
      </c>
      <c r="F379" s="29" t="s">
        <v>13</v>
      </c>
      <c r="G379" s="29" t="s">
        <v>13</v>
      </c>
      <c r="H379" s="51" t="s">
        <v>4617</v>
      </c>
    </row>
    <row r="380">
      <c r="A380" s="28">
        <v>378.0</v>
      </c>
      <c r="B380" s="29" t="s">
        <v>2131</v>
      </c>
      <c r="C380" s="29" t="s">
        <v>13</v>
      </c>
      <c r="D380" s="29">
        <v>285659.0</v>
      </c>
      <c r="E380" s="29" t="s">
        <v>13</v>
      </c>
      <c r="F380" s="29" t="s">
        <v>13</v>
      </c>
      <c r="G380" s="29" t="s">
        <v>2132</v>
      </c>
      <c r="H380" s="51" t="s">
        <v>4617</v>
      </c>
    </row>
    <row r="381">
      <c r="A381" s="28">
        <v>379.0</v>
      </c>
      <c r="B381" s="29" t="s">
        <v>2133</v>
      </c>
      <c r="C381" s="29" t="s">
        <v>13</v>
      </c>
      <c r="D381" s="29" t="s">
        <v>14</v>
      </c>
      <c r="E381" s="29" t="s">
        <v>13</v>
      </c>
      <c r="F381" s="29" t="s">
        <v>13</v>
      </c>
      <c r="G381" s="29" t="s">
        <v>15</v>
      </c>
      <c r="H381" s="51" t="s">
        <v>4617</v>
      </c>
    </row>
    <row r="382">
      <c r="A382" s="28">
        <v>380.0</v>
      </c>
      <c r="B382" s="29" t="s">
        <v>2133</v>
      </c>
      <c r="C382" s="29" t="s">
        <v>13</v>
      </c>
      <c r="D382" s="29" t="s">
        <v>14</v>
      </c>
      <c r="E382" s="29" t="s">
        <v>13</v>
      </c>
      <c r="F382" s="29" t="s">
        <v>13</v>
      </c>
      <c r="G382" s="29" t="s">
        <v>15</v>
      </c>
      <c r="H382" s="51" t="s">
        <v>4617</v>
      </c>
    </row>
    <row r="383">
      <c r="A383" s="28">
        <v>381.0</v>
      </c>
      <c r="B383" s="29" t="s">
        <v>2134</v>
      </c>
      <c r="C383" s="29" t="s">
        <v>13</v>
      </c>
      <c r="D383" s="29">
        <v>2.9565365E7</v>
      </c>
      <c r="E383" s="29" t="s">
        <v>13</v>
      </c>
      <c r="F383" s="29" t="s">
        <v>13</v>
      </c>
      <c r="G383" s="29" t="s">
        <v>13</v>
      </c>
      <c r="H383" s="51" t="s">
        <v>4617</v>
      </c>
    </row>
    <row r="384">
      <c r="A384" s="28">
        <v>382.0</v>
      </c>
      <c r="B384" s="29" t="s">
        <v>2135</v>
      </c>
      <c r="C384" s="29" t="s">
        <v>13</v>
      </c>
      <c r="D384" s="29" t="s">
        <v>2136</v>
      </c>
      <c r="E384" s="29" t="s">
        <v>13</v>
      </c>
      <c r="F384" s="29" t="s">
        <v>13</v>
      </c>
      <c r="G384" s="29" t="s">
        <v>15</v>
      </c>
      <c r="H384" s="51" t="s">
        <v>4617</v>
      </c>
    </row>
    <row r="385">
      <c r="A385" s="28">
        <v>383.0</v>
      </c>
      <c r="B385" s="29" t="s">
        <v>2137</v>
      </c>
      <c r="C385" s="29">
        <v>5.0</v>
      </c>
      <c r="D385" s="29" t="s">
        <v>13</v>
      </c>
      <c r="E385" s="29" t="s">
        <v>13</v>
      </c>
      <c r="F385" s="29" t="s">
        <v>13</v>
      </c>
      <c r="G385" s="29" t="s">
        <v>452</v>
      </c>
      <c r="H385" s="51" t="s">
        <v>4617</v>
      </c>
    </row>
    <row r="386">
      <c r="A386" s="28">
        <v>384.0</v>
      </c>
      <c r="B386" s="29" t="s">
        <v>2138</v>
      </c>
      <c r="C386" s="29" t="s">
        <v>13</v>
      </c>
      <c r="D386" s="29" t="s">
        <v>14</v>
      </c>
      <c r="E386" s="29" t="s">
        <v>13</v>
      </c>
      <c r="F386" s="29" t="s">
        <v>13</v>
      </c>
      <c r="G386" s="29" t="s">
        <v>15</v>
      </c>
      <c r="H386" s="51" t="s">
        <v>4617</v>
      </c>
    </row>
    <row r="387">
      <c r="A387" s="28">
        <v>385.0</v>
      </c>
      <c r="B387" s="29" t="s">
        <v>2139</v>
      </c>
      <c r="C387" s="29" t="s">
        <v>13</v>
      </c>
      <c r="D387" s="29" t="s">
        <v>13</v>
      </c>
      <c r="E387" s="29" t="s">
        <v>13</v>
      </c>
      <c r="F387" s="29" t="s">
        <v>13</v>
      </c>
      <c r="G387" s="29" t="s">
        <v>2140</v>
      </c>
      <c r="H387" s="51" t="s">
        <v>4617</v>
      </c>
    </row>
    <row r="388">
      <c r="A388" s="28">
        <v>386.0</v>
      </c>
      <c r="B388" s="29" t="s">
        <v>2141</v>
      </c>
      <c r="C388" s="29" t="s">
        <v>13</v>
      </c>
      <c r="D388" s="29" t="s">
        <v>13</v>
      </c>
      <c r="E388" s="29" t="s">
        <v>13</v>
      </c>
      <c r="F388" s="29" t="s">
        <v>13</v>
      </c>
      <c r="G388" s="29" t="s">
        <v>2142</v>
      </c>
      <c r="H388" s="51" t="s">
        <v>4617</v>
      </c>
    </row>
    <row r="389">
      <c r="A389" s="28">
        <v>387.0</v>
      </c>
      <c r="B389" s="29" t="s">
        <v>2143</v>
      </c>
      <c r="C389" s="29" t="s">
        <v>13</v>
      </c>
      <c r="D389" s="29" t="s">
        <v>14</v>
      </c>
      <c r="E389" s="29" t="s">
        <v>13</v>
      </c>
      <c r="F389" s="29" t="s">
        <v>13</v>
      </c>
      <c r="G389" s="29" t="s">
        <v>15</v>
      </c>
      <c r="H389" s="51" t="s">
        <v>4617</v>
      </c>
    </row>
    <row r="390">
      <c r="A390" s="28">
        <v>388.0</v>
      </c>
      <c r="B390" s="29" t="s">
        <v>2144</v>
      </c>
      <c r="C390" s="29" t="s">
        <v>13</v>
      </c>
      <c r="D390" s="29" t="s">
        <v>13</v>
      </c>
      <c r="E390" s="29" t="s">
        <v>13</v>
      </c>
      <c r="F390" s="29" t="s">
        <v>13</v>
      </c>
      <c r="G390" s="29" t="s">
        <v>1742</v>
      </c>
      <c r="H390" s="51" t="s">
        <v>4617</v>
      </c>
    </row>
    <row r="391">
      <c r="A391" s="28">
        <v>389.0</v>
      </c>
      <c r="B391" s="29" t="s">
        <v>2145</v>
      </c>
      <c r="C391" s="29">
        <v>6.0</v>
      </c>
      <c r="D391" s="29" t="s">
        <v>13</v>
      </c>
      <c r="E391" s="29" t="s">
        <v>13</v>
      </c>
      <c r="F391" s="29" t="s">
        <v>13</v>
      </c>
      <c r="G391" s="29" t="s">
        <v>1804</v>
      </c>
      <c r="H391" s="51" t="s">
        <v>4617</v>
      </c>
    </row>
    <row r="392">
      <c r="A392" s="28">
        <v>390.0</v>
      </c>
      <c r="B392" s="29" t="s">
        <v>2146</v>
      </c>
      <c r="C392" s="29" t="s">
        <v>13</v>
      </c>
      <c r="D392" s="29" t="s">
        <v>14</v>
      </c>
      <c r="E392" s="29" t="s">
        <v>13</v>
      </c>
      <c r="F392" s="29" t="s">
        <v>13</v>
      </c>
      <c r="G392" s="29" t="s">
        <v>15</v>
      </c>
      <c r="H392" s="51" t="s">
        <v>4617</v>
      </c>
    </row>
    <row r="393">
      <c r="A393" s="28">
        <v>391.0</v>
      </c>
      <c r="B393" s="29" t="s">
        <v>2147</v>
      </c>
      <c r="C393" s="29">
        <v>11.0</v>
      </c>
      <c r="D393" s="29" t="s">
        <v>13</v>
      </c>
      <c r="E393" s="29" t="s">
        <v>13</v>
      </c>
      <c r="F393" s="29" t="s">
        <v>13</v>
      </c>
      <c r="G393" s="29" t="s">
        <v>2148</v>
      </c>
      <c r="H393" s="51" t="s">
        <v>4617</v>
      </c>
    </row>
    <row r="394">
      <c r="A394" s="28">
        <v>392.0</v>
      </c>
      <c r="B394" s="29" t="s">
        <v>2149</v>
      </c>
      <c r="C394" s="29">
        <v>11.0</v>
      </c>
      <c r="D394" s="29" t="s">
        <v>13</v>
      </c>
      <c r="E394" s="29" t="s">
        <v>13</v>
      </c>
      <c r="F394" s="29" t="s">
        <v>13</v>
      </c>
      <c r="G394" s="29" t="s">
        <v>1930</v>
      </c>
      <c r="H394" s="51" t="s">
        <v>4617</v>
      </c>
    </row>
    <row r="395">
      <c r="A395" s="28">
        <v>393.0</v>
      </c>
      <c r="B395" s="29" t="s">
        <v>2150</v>
      </c>
      <c r="C395" s="29" t="s">
        <v>13</v>
      </c>
      <c r="D395" s="29">
        <v>2.7399207E7</v>
      </c>
      <c r="E395" s="29" t="s">
        <v>13</v>
      </c>
      <c r="F395" s="29" t="s">
        <v>13</v>
      </c>
      <c r="G395" s="29" t="s">
        <v>1826</v>
      </c>
      <c r="H395" s="51" t="s">
        <v>4617</v>
      </c>
    </row>
    <row r="396">
      <c r="A396" s="28">
        <v>394.0</v>
      </c>
      <c r="B396" s="29" t="s">
        <v>2151</v>
      </c>
      <c r="C396" s="29">
        <v>17.0</v>
      </c>
      <c r="D396" s="29" t="s">
        <v>13</v>
      </c>
      <c r="E396" s="29" t="s">
        <v>13</v>
      </c>
      <c r="F396" s="29" t="s">
        <v>13</v>
      </c>
      <c r="G396" s="29" t="s">
        <v>2152</v>
      </c>
      <c r="H396" s="51" t="s">
        <v>4617</v>
      </c>
    </row>
    <row r="397">
      <c r="A397" s="28">
        <v>395.0</v>
      </c>
      <c r="B397" s="29" t="s">
        <v>2153</v>
      </c>
      <c r="C397" s="29" t="s">
        <v>13</v>
      </c>
      <c r="D397" s="29" t="s">
        <v>14</v>
      </c>
      <c r="E397" s="29" t="s">
        <v>13</v>
      </c>
      <c r="F397" s="29" t="s">
        <v>13</v>
      </c>
      <c r="G397" s="29" t="s">
        <v>15</v>
      </c>
      <c r="H397" s="51" t="s">
        <v>4617</v>
      </c>
    </row>
    <row r="398">
      <c r="A398" s="28">
        <v>396.0</v>
      </c>
      <c r="B398" s="29" t="s">
        <v>410</v>
      </c>
      <c r="C398" s="29">
        <v>13.0</v>
      </c>
      <c r="D398" s="29" t="s">
        <v>13</v>
      </c>
      <c r="E398" s="29" t="s">
        <v>13</v>
      </c>
      <c r="F398" s="29" t="s">
        <v>13</v>
      </c>
      <c r="G398" s="29" t="s">
        <v>1800</v>
      </c>
      <c r="H398" s="51" t="s">
        <v>4617</v>
      </c>
    </row>
    <row r="399">
      <c r="A399" s="28">
        <v>397.0</v>
      </c>
      <c r="B399" s="29" t="s">
        <v>2154</v>
      </c>
      <c r="C399" s="29" t="s">
        <v>13</v>
      </c>
      <c r="D399" s="29">
        <v>3.4054588E7</v>
      </c>
      <c r="E399" s="29" t="s">
        <v>13</v>
      </c>
      <c r="F399" s="29" t="s">
        <v>13</v>
      </c>
      <c r="G399" s="29" t="s">
        <v>13</v>
      </c>
      <c r="H399" s="51" t="s">
        <v>4617</v>
      </c>
    </row>
    <row r="400">
      <c r="A400" s="28">
        <v>398.0</v>
      </c>
      <c r="B400" s="29" t="s">
        <v>2155</v>
      </c>
      <c r="C400" s="29" t="s">
        <v>13</v>
      </c>
      <c r="D400" s="29" t="s">
        <v>14</v>
      </c>
      <c r="E400" s="29" t="s">
        <v>13</v>
      </c>
      <c r="F400" s="29" t="s">
        <v>13</v>
      </c>
      <c r="G400" s="29" t="s">
        <v>2156</v>
      </c>
      <c r="H400" s="51" t="s">
        <v>4617</v>
      </c>
    </row>
    <row r="401">
      <c r="A401" s="28">
        <v>399.0</v>
      </c>
      <c r="B401" s="29" t="s">
        <v>2157</v>
      </c>
      <c r="C401" s="29" t="s">
        <v>13</v>
      </c>
      <c r="D401" s="29">
        <v>1.7158021E8</v>
      </c>
      <c r="E401" s="29" t="s">
        <v>13</v>
      </c>
      <c r="F401" s="29" t="s">
        <v>13</v>
      </c>
      <c r="G401" s="29" t="s">
        <v>1748</v>
      </c>
      <c r="H401" s="51" t="s">
        <v>4617</v>
      </c>
    </row>
    <row r="402">
      <c r="A402" s="28">
        <v>400.0</v>
      </c>
      <c r="B402" s="29" t="s">
        <v>2158</v>
      </c>
      <c r="C402" s="29" t="s">
        <v>13</v>
      </c>
      <c r="D402" s="29">
        <v>1.9734177E7</v>
      </c>
      <c r="E402" s="29" t="s">
        <v>13</v>
      </c>
      <c r="F402" s="29" t="s">
        <v>13</v>
      </c>
      <c r="G402" s="29" t="s">
        <v>13</v>
      </c>
      <c r="H402" s="51" t="s">
        <v>4617</v>
      </c>
    </row>
    <row r="403">
      <c r="A403" s="28">
        <v>401.0</v>
      </c>
      <c r="B403" s="29" t="s">
        <v>2159</v>
      </c>
      <c r="C403" s="29" t="s">
        <v>13</v>
      </c>
      <c r="D403" s="29" t="s">
        <v>14</v>
      </c>
      <c r="E403" s="29" t="s">
        <v>13</v>
      </c>
      <c r="F403" s="29" t="s">
        <v>13</v>
      </c>
      <c r="G403" s="29" t="s">
        <v>2160</v>
      </c>
      <c r="H403" s="51" t="s">
        <v>4617</v>
      </c>
    </row>
    <row r="404">
      <c r="A404" s="28">
        <v>402.0</v>
      </c>
      <c r="B404" s="29" t="s">
        <v>2161</v>
      </c>
      <c r="C404" s="29">
        <v>13.0</v>
      </c>
      <c r="D404" s="29" t="s">
        <v>13</v>
      </c>
      <c r="E404" s="29" t="s">
        <v>13</v>
      </c>
      <c r="F404" s="29" t="s">
        <v>13</v>
      </c>
      <c r="G404" s="29" t="s">
        <v>1742</v>
      </c>
      <c r="H404" s="51" t="s">
        <v>4617</v>
      </c>
    </row>
    <row r="405">
      <c r="A405" s="28">
        <v>403.0</v>
      </c>
      <c r="B405" s="29" t="s">
        <v>2162</v>
      </c>
      <c r="C405" s="29" t="s">
        <v>13</v>
      </c>
      <c r="D405" s="29" t="s">
        <v>13</v>
      </c>
      <c r="E405" s="29" t="s">
        <v>13</v>
      </c>
      <c r="F405" s="29" t="s">
        <v>13</v>
      </c>
      <c r="G405" s="29" t="s">
        <v>1742</v>
      </c>
      <c r="H405" s="51" t="s">
        <v>4617</v>
      </c>
    </row>
    <row r="406">
      <c r="A406" s="28">
        <v>404.0</v>
      </c>
      <c r="B406" s="29" t="s">
        <v>2163</v>
      </c>
      <c r="C406" s="29" t="s">
        <v>13</v>
      </c>
      <c r="D406" s="29" t="s">
        <v>13</v>
      </c>
      <c r="E406" s="29" t="s">
        <v>13</v>
      </c>
      <c r="F406" s="29" t="s">
        <v>13</v>
      </c>
      <c r="G406" s="29" t="s">
        <v>1742</v>
      </c>
      <c r="H406" s="51" t="s">
        <v>4617</v>
      </c>
    </row>
    <row r="407">
      <c r="A407" s="28">
        <v>405.0</v>
      </c>
      <c r="B407" s="29" t="s">
        <v>2164</v>
      </c>
      <c r="C407" s="29" t="s">
        <v>13</v>
      </c>
      <c r="D407" s="29" t="s">
        <v>14</v>
      </c>
      <c r="E407" s="29" t="s">
        <v>13</v>
      </c>
      <c r="F407" s="29" t="s">
        <v>13</v>
      </c>
      <c r="G407" s="29" t="s">
        <v>15</v>
      </c>
      <c r="H407" s="51" t="s">
        <v>4617</v>
      </c>
    </row>
    <row r="408">
      <c r="A408" s="28">
        <v>406.0</v>
      </c>
      <c r="B408" s="29" t="s">
        <v>2165</v>
      </c>
      <c r="C408" s="29" t="s">
        <v>13</v>
      </c>
      <c r="D408" s="29" t="s">
        <v>14</v>
      </c>
      <c r="E408" s="29" t="s">
        <v>13</v>
      </c>
      <c r="F408" s="29" t="s">
        <v>13</v>
      </c>
      <c r="G408" s="29" t="s">
        <v>2166</v>
      </c>
      <c r="H408" s="51" t="s">
        <v>4617</v>
      </c>
    </row>
    <row r="409">
      <c r="A409" s="28">
        <v>407.0</v>
      </c>
      <c r="B409" s="29" t="s">
        <v>2167</v>
      </c>
      <c r="C409" s="29" t="s">
        <v>13</v>
      </c>
      <c r="D409" s="29" t="s">
        <v>2168</v>
      </c>
      <c r="E409" s="29" t="s">
        <v>13</v>
      </c>
      <c r="F409" s="29" t="s">
        <v>13</v>
      </c>
      <c r="G409" s="29" t="s">
        <v>15</v>
      </c>
      <c r="H409" s="51" t="s">
        <v>4617</v>
      </c>
    </row>
    <row r="410">
      <c r="A410" s="28">
        <v>408.0</v>
      </c>
      <c r="B410" s="29" t="s">
        <v>2169</v>
      </c>
      <c r="C410" s="29" t="s">
        <v>13</v>
      </c>
      <c r="D410" s="29" t="s">
        <v>13</v>
      </c>
      <c r="E410" s="29" t="s">
        <v>13</v>
      </c>
      <c r="F410" s="29" t="s">
        <v>13</v>
      </c>
      <c r="G410" s="29" t="s">
        <v>2170</v>
      </c>
      <c r="H410" s="51" t="s">
        <v>4617</v>
      </c>
    </row>
    <row r="411">
      <c r="A411" s="28">
        <v>409.0</v>
      </c>
      <c r="B411" s="29" t="s">
        <v>2171</v>
      </c>
      <c r="C411" s="29" t="s">
        <v>13</v>
      </c>
      <c r="D411" s="29">
        <v>2.976836E7</v>
      </c>
      <c r="E411" s="29" t="s">
        <v>13</v>
      </c>
      <c r="F411" s="29" t="s">
        <v>13</v>
      </c>
      <c r="G411" s="29" t="s">
        <v>13</v>
      </c>
      <c r="H411" s="51" t="s">
        <v>4617</v>
      </c>
    </row>
    <row r="412">
      <c r="A412" s="28">
        <v>410.0</v>
      </c>
      <c r="B412" s="29" t="s">
        <v>2172</v>
      </c>
      <c r="C412" s="29" t="s">
        <v>13</v>
      </c>
      <c r="D412" s="29" t="s">
        <v>2173</v>
      </c>
      <c r="E412" s="29" t="s">
        <v>13</v>
      </c>
      <c r="F412" s="29" t="s">
        <v>13</v>
      </c>
      <c r="G412" s="29" t="s">
        <v>15</v>
      </c>
      <c r="H412" s="51" t="s">
        <v>4617</v>
      </c>
    </row>
    <row r="413">
      <c r="A413" s="28">
        <v>411.0</v>
      </c>
      <c r="B413" s="29" t="s">
        <v>2174</v>
      </c>
      <c r="C413" s="29" t="s">
        <v>13</v>
      </c>
      <c r="D413" s="29">
        <v>2.976836E8</v>
      </c>
      <c r="E413" s="29" t="s">
        <v>13</v>
      </c>
      <c r="F413" s="29" t="s">
        <v>13</v>
      </c>
      <c r="G413" s="29" t="s">
        <v>13</v>
      </c>
      <c r="H413" s="51" t="s">
        <v>4617</v>
      </c>
    </row>
    <row r="414">
      <c r="A414" s="28">
        <v>412.0</v>
      </c>
      <c r="B414" s="29" t="s">
        <v>2175</v>
      </c>
      <c r="C414" s="29">
        <v>23.0</v>
      </c>
      <c r="D414" s="29" t="s">
        <v>13</v>
      </c>
      <c r="E414" s="29" t="s">
        <v>13</v>
      </c>
      <c r="F414" s="29" t="s">
        <v>13</v>
      </c>
      <c r="G414" s="29" t="s">
        <v>1903</v>
      </c>
      <c r="H414" s="51" t="s">
        <v>4617</v>
      </c>
    </row>
    <row r="415">
      <c r="A415" s="28">
        <v>413.0</v>
      </c>
      <c r="B415" s="29" t="s">
        <v>2176</v>
      </c>
      <c r="C415" s="29">
        <v>0.0</v>
      </c>
      <c r="D415" s="29" t="s">
        <v>13</v>
      </c>
      <c r="E415" s="29" t="s">
        <v>13</v>
      </c>
      <c r="F415" s="29" t="s">
        <v>13</v>
      </c>
      <c r="G415" s="29" t="s">
        <v>2177</v>
      </c>
      <c r="H415" s="51" t="s">
        <v>4617</v>
      </c>
    </row>
    <row r="416">
      <c r="A416" s="28">
        <v>414.0</v>
      </c>
      <c r="B416" s="29" t="s">
        <v>162</v>
      </c>
      <c r="C416" s="29" t="s">
        <v>13</v>
      </c>
      <c r="D416" s="29">
        <v>2.5025734E7</v>
      </c>
      <c r="E416" s="29" t="s">
        <v>13</v>
      </c>
      <c r="F416" s="29" t="s">
        <v>13</v>
      </c>
      <c r="G416" s="29" t="s">
        <v>13</v>
      </c>
      <c r="H416" s="51" t="s">
        <v>4617</v>
      </c>
    </row>
    <row r="417">
      <c r="A417" s="28">
        <v>415.0</v>
      </c>
      <c r="B417" s="29" t="s">
        <v>2178</v>
      </c>
      <c r="C417" s="29" t="s">
        <v>13</v>
      </c>
      <c r="D417" s="29" t="s">
        <v>13</v>
      </c>
      <c r="E417" s="29" t="s">
        <v>13</v>
      </c>
      <c r="F417" s="29" t="s">
        <v>13</v>
      </c>
      <c r="G417" s="29" t="s">
        <v>2179</v>
      </c>
      <c r="H417" s="51" t="s">
        <v>4617</v>
      </c>
    </row>
    <row r="418">
      <c r="A418" s="28">
        <v>416.0</v>
      </c>
      <c r="B418" s="29" t="s">
        <v>2180</v>
      </c>
      <c r="C418" s="29" t="s">
        <v>13</v>
      </c>
      <c r="D418" s="29">
        <v>2.9565096E7</v>
      </c>
      <c r="E418" s="29" t="s">
        <v>13</v>
      </c>
      <c r="F418" s="29" t="s">
        <v>13</v>
      </c>
      <c r="G418" s="29" t="s">
        <v>13</v>
      </c>
      <c r="H418" s="51" t="s">
        <v>4617</v>
      </c>
    </row>
    <row r="419">
      <c r="A419" s="28">
        <v>417.0</v>
      </c>
      <c r="B419" s="29" t="s">
        <v>2180</v>
      </c>
      <c r="C419" s="29" t="s">
        <v>13</v>
      </c>
      <c r="D419" s="29">
        <v>5.965096E7</v>
      </c>
      <c r="E419" s="29" t="s">
        <v>13</v>
      </c>
      <c r="F419" s="29" t="s">
        <v>13</v>
      </c>
      <c r="G419" s="29" t="s">
        <v>1847</v>
      </c>
      <c r="H419" s="51" t="s">
        <v>4617</v>
      </c>
    </row>
    <row r="420">
      <c r="A420" s="28">
        <v>418.0</v>
      </c>
      <c r="B420" s="29" t="s">
        <v>2181</v>
      </c>
      <c r="C420" s="29">
        <v>96.0</v>
      </c>
      <c r="D420" s="29" t="s">
        <v>13</v>
      </c>
      <c r="E420" s="29" t="s">
        <v>13</v>
      </c>
      <c r="F420" s="29" t="s">
        <v>13</v>
      </c>
      <c r="G420" s="29" t="s">
        <v>1903</v>
      </c>
      <c r="H420" s="51" t="s">
        <v>4617</v>
      </c>
    </row>
    <row r="421">
      <c r="A421" s="28">
        <v>419.0</v>
      </c>
      <c r="B421" s="29" t="s">
        <v>2182</v>
      </c>
      <c r="C421" s="29" t="s">
        <v>13</v>
      </c>
      <c r="D421" s="29" t="s">
        <v>14</v>
      </c>
      <c r="E421" s="29" t="s">
        <v>13</v>
      </c>
      <c r="F421" s="29" t="s">
        <v>13</v>
      </c>
      <c r="G421" s="29" t="s">
        <v>15</v>
      </c>
      <c r="H421" s="51" t="s">
        <v>4617</v>
      </c>
    </row>
    <row r="422">
      <c r="A422" s="28">
        <v>420.0</v>
      </c>
      <c r="B422" s="29" t="s">
        <v>2183</v>
      </c>
      <c r="C422" s="29" t="s">
        <v>13</v>
      </c>
      <c r="D422" s="29">
        <v>3.4588981E7</v>
      </c>
      <c r="E422" s="29" t="s">
        <v>13</v>
      </c>
      <c r="F422" s="29" t="s">
        <v>13</v>
      </c>
      <c r="G422" s="29" t="s">
        <v>13</v>
      </c>
      <c r="H422" s="51" t="s">
        <v>4617</v>
      </c>
    </row>
    <row r="423">
      <c r="A423" s="28">
        <v>421.0</v>
      </c>
      <c r="B423" s="29" t="s">
        <v>2184</v>
      </c>
      <c r="C423" s="29" t="s">
        <v>13</v>
      </c>
      <c r="D423" s="29" t="s">
        <v>2185</v>
      </c>
      <c r="E423" s="29" t="s">
        <v>13</v>
      </c>
      <c r="F423" s="29" t="s">
        <v>13</v>
      </c>
      <c r="G423" s="29" t="s">
        <v>15</v>
      </c>
      <c r="H423" s="51" t="s">
        <v>4617</v>
      </c>
    </row>
    <row r="424">
      <c r="A424" s="28">
        <v>422.0</v>
      </c>
      <c r="B424" s="29" t="s">
        <v>2186</v>
      </c>
      <c r="C424" s="29" t="s">
        <v>13</v>
      </c>
      <c r="D424" s="29">
        <v>2.8285779E7</v>
      </c>
      <c r="E424" s="29" t="s">
        <v>13</v>
      </c>
      <c r="F424" s="29" t="s">
        <v>13</v>
      </c>
      <c r="G424" s="29" t="s">
        <v>13</v>
      </c>
      <c r="H424" s="51" t="s">
        <v>4617</v>
      </c>
    </row>
    <row r="425">
      <c r="A425" s="28">
        <v>423.0</v>
      </c>
      <c r="B425" s="29" t="s">
        <v>2187</v>
      </c>
      <c r="C425" s="29" t="s">
        <v>13</v>
      </c>
      <c r="D425" s="29" t="s">
        <v>2188</v>
      </c>
      <c r="E425" s="29" t="s">
        <v>13</v>
      </c>
      <c r="F425" s="29" t="s">
        <v>13</v>
      </c>
      <c r="G425" s="29" t="s">
        <v>15</v>
      </c>
      <c r="H425" s="51" t="s">
        <v>4617</v>
      </c>
    </row>
    <row r="426">
      <c r="A426" s="28">
        <v>424.0</v>
      </c>
      <c r="B426" s="29" t="s">
        <v>2189</v>
      </c>
      <c r="C426" s="29" t="s">
        <v>13</v>
      </c>
      <c r="D426" s="29" t="s">
        <v>13</v>
      </c>
      <c r="E426" s="29" t="s">
        <v>13</v>
      </c>
      <c r="F426" s="29" t="s">
        <v>13</v>
      </c>
      <c r="G426" s="29" t="s">
        <v>1742</v>
      </c>
      <c r="H426" s="51" t="s">
        <v>4617</v>
      </c>
    </row>
    <row r="427">
      <c r="A427" s="28">
        <v>425.0</v>
      </c>
      <c r="B427" s="29" t="s">
        <v>2190</v>
      </c>
      <c r="C427" s="29" t="s">
        <v>13</v>
      </c>
      <c r="D427" s="29" t="s">
        <v>14</v>
      </c>
      <c r="E427" s="29" t="s">
        <v>13</v>
      </c>
      <c r="F427" s="29" t="s">
        <v>13</v>
      </c>
      <c r="G427" s="29" t="s">
        <v>15</v>
      </c>
      <c r="H427" s="51" t="s">
        <v>4617</v>
      </c>
    </row>
    <row r="428">
      <c r="A428" s="28">
        <v>426.0</v>
      </c>
      <c r="B428" s="29" t="s">
        <v>2191</v>
      </c>
      <c r="C428" s="29">
        <v>40.0</v>
      </c>
      <c r="D428" s="29">
        <v>1.7475718E7</v>
      </c>
      <c r="E428" s="29" t="s">
        <v>13</v>
      </c>
      <c r="F428" s="29" t="s">
        <v>13</v>
      </c>
      <c r="G428" s="29" t="s">
        <v>13</v>
      </c>
      <c r="H428" s="51" t="s">
        <v>4617</v>
      </c>
    </row>
    <row r="429">
      <c r="A429" s="28">
        <v>427.0</v>
      </c>
      <c r="B429" s="29" t="s">
        <v>2192</v>
      </c>
      <c r="C429" s="29" t="s">
        <v>1731</v>
      </c>
      <c r="D429" s="29">
        <v>1.5341666E8</v>
      </c>
      <c r="E429" s="29" t="s">
        <v>13</v>
      </c>
      <c r="F429" s="29" t="s">
        <v>1731</v>
      </c>
      <c r="G429" s="29" t="s">
        <v>1731</v>
      </c>
      <c r="H429" s="51" t="s">
        <v>4617</v>
      </c>
    </row>
    <row r="430">
      <c r="A430" s="28">
        <v>428.0</v>
      </c>
      <c r="B430" s="29" t="s">
        <v>2193</v>
      </c>
      <c r="C430" s="29">
        <v>5.0</v>
      </c>
      <c r="D430" s="29" t="s">
        <v>13</v>
      </c>
      <c r="E430" s="29" t="s">
        <v>13</v>
      </c>
      <c r="F430" s="29" t="s">
        <v>13</v>
      </c>
      <c r="G430" s="29" t="s">
        <v>13</v>
      </c>
      <c r="H430" s="51" t="s">
        <v>4617</v>
      </c>
    </row>
    <row r="431">
      <c r="A431" s="28">
        <v>429.0</v>
      </c>
      <c r="B431" s="29" t="s">
        <v>2194</v>
      </c>
      <c r="C431" s="29" t="s">
        <v>13</v>
      </c>
      <c r="D431" s="29">
        <v>2.9565365E8</v>
      </c>
      <c r="E431" s="29" t="s">
        <v>13</v>
      </c>
      <c r="F431" s="29" t="s">
        <v>13</v>
      </c>
      <c r="G431" s="29" t="s">
        <v>13</v>
      </c>
      <c r="H431" s="51" t="s">
        <v>4617</v>
      </c>
    </row>
    <row r="432">
      <c r="A432" s="28">
        <v>430.0</v>
      </c>
      <c r="B432" s="29" t="s">
        <v>2195</v>
      </c>
      <c r="C432" s="29" t="s">
        <v>13</v>
      </c>
      <c r="D432" s="29">
        <v>3.0072743E7</v>
      </c>
      <c r="E432" s="29" t="s">
        <v>13</v>
      </c>
      <c r="F432" s="29" t="s">
        <v>13</v>
      </c>
      <c r="G432" s="29" t="s">
        <v>13</v>
      </c>
      <c r="H432" s="51" t="s">
        <v>4617</v>
      </c>
    </row>
    <row r="433">
      <c r="A433" s="28">
        <v>431.0</v>
      </c>
      <c r="B433" s="29" t="s">
        <v>2196</v>
      </c>
      <c r="C433" s="29" t="s">
        <v>1731</v>
      </c>
      <c r="D433" s="29">
        <v>1.846204E8</v>
      </c>
      <c r="E433" s="29" t="s">
        <v>13</v>
      </c>
      <c r="F433" s="29" t="s">
        <v>1731</v>
      </c>
      <c r="G433" s="29" t="s">
        <v>1731</v>
      </c>
      <c r="H433" s="51" t="s">
        <v>4617</v>
      </c>
    </row>
    <row r="434">
      <c r="A434" s="28">
        <v>432.0</v>
      </c>
      <c r="B434" s="29" t="s">
        <v>2197</v>
      </c>
      <c r="C434" s="29" t="s">
        <v>1731</v>
      </c>
      <c r="D434" s="29">
        <v>2.5337514E8</v>
      </c>
      <c r="E434" s="29" t="s">
        <v>13</v>
      </c>
      <c r="F434" s="29" t="s">
        <v>1731</v>
      </c>
      <c r="G434" s="29" t="s">
        <v>1731</v>
      </c>
      <c r="H434" s="51" t="s">
        <v>4617</v>
      </c>
    </row>
    <row r="435">
      <c r="A435" s="28">
        <v>433.0</v>
      </c>
      <c r="B435" s="29" t="s">
        <v>2198</v>
      </c>
      <c r="C435" s="29" t="s">
        <v>13</v>
      </c>
      <c r="D435" s="29">
        <v>9416493.0</v>
      </c>
      <c r="E435" s="29" t="s">
        <v>13</v>
      </c>
      <c r="F435" s="29" t="s">
        <v>13</v>
      </c>
      <c r="G435" s="29" t="s">
        <v>13</v>
      </c>
      <c r="H435" s="51" t="s">
        <v>4617</v>
      </c>
    </row>
    <row r="436">
      <c r="A436" s="28">
        <v>434.0</v>
      </c>
      <c r="B436" s="29" t="s">
        <v>1613</v>
      </c>
      <c r="C436" s="29" t="s">
        <v>13</v>
      </c>
      <c r="D436" s="29">
        <v>4281217.0</v>
      </c>
      <c r="E436" s="29" t="s">
        <v>13</v>
      </c>
      <c r="F436" s="29" t="s">
        <v>13</v>
      </c>
      <c r="G436" s="29" t="s">
        <v>13</v>
      </c>
      <c r="H436" s="51" t="s">
        <v>4617</v>
      </c>
    </row>
    <row r="437">
      <c r="A437" s="28">
        <v>435.0</v>
      </c>
      <c r="B437" s="29" t="s">
        <v>2199</v>
      </c>
      <c r="C437" s="29" t="s">
        <v>13</v>
      </c>
      <c r="D437" s="29" t="s">
        <v>14</v>
      </c>
      <c r="E437" s="29" t="s">
        <v>13</v>
      </c>
      <c r="F437" s="29" t="s">
        <v>13</v>
      </c>
      <c r="G437" s="29" t="s">
        <v>15</v>
      </c>
      <c r="H437" s="51" t="s">
        <v>4617</v>
      </c>
    </row>
    <row r="438">
      <c r="A438" s="28">
        <v>436.0</v>
      </c>
      <c r="B438" s="29" t="s">
        <v>2200</v>
      </c>
      <c r="C438" s="29" t="s">
        <v>13</v>
      </c>
      <c r="D438" s="29" t="s">
        <v>14</v>
      </c>
      <c r="E438" s="29" t="s">
        <v>13</v>
      </c>
      <c r="F438" s="29" t="s">
        <v>13</v>
      </c>
      <c r="G438" s="29" t="s">
        <v>15</v>
      </c>
      <c r="H438" s="51" t="s">
        <v>4617</v>
      </c>
    </row>
    <row r="439">
      <c r="A439" s="28">
        <v>437.0</v>
      </c>
      <c r="B439" s="29" t="s">
        <v>1269</v>
      </c>
      <c r="C439" s="29" t="s">
        <v>13</v>
      </c>
      <c r="D439" s="29" t="s">
        <v>13</v>
      </c>
      <c r="E439" s="29" t="s">
        <v>13</v>
      </c>
      <c r="F439" s="29" t="s">
        <v>13</v>
      </c>
      <c r="G439" s="29" t="s">
        <v>2201</v>
      </c>
      <c r="H439" s="51" t="s">
        <v>4617</v>
      </c>
    </row>
    <row r="440">
      <c r="A440" s="28">
        <v>438.0</v>
      </c>
      <c r="B440" s="29" t="s">
        <v>2202</v>
      </c>
      <c r="C440" s="29" t="s">
        <v>13</v>
      </c>
      <c r="D440" s="29" t="s">
        <v>13</v>
      </c>
      <c r="E440" s="29" t="s">
        <v>13</v>
      </c>
      <c r="F440" s="29" t="s">
        <v>13</v>
      </c>
      <c r="G440" s="29" t="s">
        <v>13</v>
      </c>
      <c r="H440" s="51" t="s">
        <v>4617</v>
      </c>
    </row>
    <row r="441">
      <c r="A441" s="28">
        <v>439.0</v>
      </c>
      <c r="B441" s="29" t="s">
        <v>2203</v>
      </c>
      <c r="C441" s="29" t="s">
        <v>13</v>
      </c>
      <c r="D441" s="29">
        <v>2.7006264E8</v>
      </c>
      <c r="E441" s="29" t="s">
        <v>13</v>
      </c>
      <c r="F441" s="29" t="s">
        <v>13</v>
      </c>
      <c r="G441" s="29" t="s">
        <v>13</v>
      </c>
      <c r="H441" s="51" t="s">
        <v>4617</v>
      </c>
    </row>
    <row r="442">
      <c r="A442" s="28">
        <v>440.0</v>
      </c>
      <c r="B442" s="29" t="s">
        <v>2204</v>
      </c>
      <c r="C442" s="29" t="s">
        <v>13</v>
      </c>
      <c r="D442" s="29">
        <v>2.6647295E7</v>
      </c>
      <c r="E442" s="29" t="s">
        <v>13</v>
      </c>
      <c r="F442" s="29" t="s">
        <v>13</v>
      </c>
      <c r="G442" s="29" t="s">
        <v>1729</v>
      </c>
      <c r="H442" s="51" t="s">
        <v>4617</v>
      </c>
    </row>
    <row r="443">
      <c r="A443" s="28">
        <v>441.0</v>
      </c>
      <c r="B443" s="29" t="s">
        <v>2205</v>
      </c>
      <c r="C443" s="29" t="s">
        <v>13</v>
      </c>
      <c r="D443" s="29">
        <v>1.4312852E8</v>
      </c>
      <c r="E443" s="29" t="s">
        <v>13</v>
      </c>
      <c r="F443" s="29" t="s">
        <v>13</v>
      </c>
      <c r="G443" s="29" t="s">
        <v>13</v>
      </c>
      <c r="H443" s="51" t="s">
        <v>4617</v>
      </c>
    </row>
    <row r="444">
      <c r="A444" s="28">
        <v>442.0</v>
      </c>
      <c r="B444" s="29" t="s">
        <v>2206</v>
      </c>
      <c r="C444" s="29" t="s">
        <v>13</v>
      </c>
      <c r="D444" s="29" t="s">
        <v>14</v>
      </c>
      <c r="E444" s="29" t="s">
        <v>13</v>
      </c>
      <c r="F444" s="29" t="s">
        <v>13</v>
      </c>
      <c r="G444" s="29" t="s">
        <v>15</v>
      </c>
      <c r="H444" s="51" t="s">
        <v>4617</v>
      </c>
    </row>
    <row r="445">
      <c r="A445" s="28">
        <v>443.0</v>
      </c>
      <c r="B445" s="29" t="s">
        <v>2207</v>
      </c>
      <c r="C445" s="29" t="s">
        <v>13</v>
      </c>
      <c r="D445" s="29" t="s">
        <v>14</v>
      </c>
      <c r="E445" s="29" t="s">
        <v>13</v>
      </c>
      <c r="F445" s="29" t="s">
        <v>13</v>
      </c>
      <c r="G445" s="29" t="s">
        <v>15</v>
      </c>
      <c r="H445" s="51" t="s">
        <v>4617</v>
      </c>
    </row>
    <row r="446">
      <c r="A446" s="28">
        <v>444.0</v>
      </c>
      <c r="B446" s="29" t="s">
        <v>2208</v>
      </c>
      <c r="C446" s="29" t="s">
        <v>2209</v>
      </c>
      <c r="D446" s="29" t="s">
        <v>13</v>
      </c>
      <c r="E446" s="29" t="s">
        <v>13</v>
      </c>
      <c r="F446" s="29" t="s">
        <v>13</v>
      </c>
      <c r="G446" s="29" t="s">
        <v>452</v>
      </c>
      <c r="H446" s="51" t="s">
        <v>4617</v>
      </c>
    </row>
    <row r="447">
      <c r="A447" s="38">
        <v>445.0</v>
      </c>
      <c r="B447" s="38" t="s">
        <v>2210</v>
      </c>
      <c r="C447" s="38" t="s">
        <v>13</v>
      </c>
      <c r="D447" s="38" t="s">
        <v>13</v>
      </c>
      <c r="E447" s="38" t="s">
        <v>13</v>
      </c>
      <c r="F447" s="38" t="s">
        <v>13</v>
      </c>
      <c r="G447" s="38" t="s">
        <v>1742</v>
      </c>
      <c r="H447" s="51" t="s">
        <v>4617</v>
      </c>
    </row>
    <row r="448">
      <c r="A448" s="38">
        <v>446.0</v>
      </c>
      <c r="B448" s="38" t="s">
        <v>2211</v>
      </c>
      <c r="C448" s="38" t="s">
        <v>13</v>
      </c>
      <c r="D448" s="38">
        <v>3.3645919E7</v>
      </c>
      <c r="E448" s="38" t="s">
        <v>13</v>
      </c>
      <c r="F448" s="38" t="s">
        <v>13</v>
      </c>
      <c r="G448" s="38" t="s">
        <v>1729</v>
      </c>
      <c r="H448" s="51" t="s">
        <v>4617</v>
      </c>
    </row>
    <row r="449">
      <c r="A449" s="38">
        <v>447.0</v>
      </c>
      <c r="B449" s="38" t="s">
        <v>2212</v>
      </c>
      <c r="C449" s="38">
        <v>12.0</v>
      </c>
      <c r="D449" s="38" t="s">
        <v>13</v>
      </c>
      <c r="E449" s="38" t="s">
        <v>13</v>
      </c>
      <c r="F449" s="38" t="s">
        <v>13</v>
      </c>
      <c r="G449" s="38" t="s">
        <v>1787</v>
      </c>
      <c r="H449" s="51" t="s">
        <v>4617</v>
      </c>
    </row>
    <row r="450">
      <c r="A450" s="38">
        <v>448.0</v>
      </c>
      <c r="B450" s="38" t="s">
        <v>2213</v>
      </c>
      <c r="C450" s="38"/>
      <c r="D450" s="38" t="s">
        <v>14</v>
      </c>
      <c r="E450" s="38"/>
      <c r="F450" s="38"/>
      <c r="G450" s="38" t="s">
        <v>15</v>
      </c>
      <c r="H450" s="51" t="s">
        <v>4617</v>
      </c>
    </row>
    <row r="451">
      <c r="A451" s="38">
        <v>449.0</v>
      </c>
      <c r="B451" s="38" t="s">
        <v>2214</v>
      </c>
      <c r="C451" s="38" t="s">
        <v>13</v>
      </c>
      <c r="D451" s="38">
        <v>4.163469E7</v>
      </c>
      <c r="E451" s="38" t="s">
        <v>13</v>
      </c>
      <c r="F451" s="38" t="s">
        <v>13</v>
      </c>
      <c r="G451" s="38" t="s">
        <v>13</v>
      </c>
      <c r="H451" s="51" t="s">
        <v>4617</v>
      </c>
    </row>
    <row r="452">
      <c r="A452" s="38">
        <v>450.0</v>
      </c>
      <c r="B452" s="38" t="s">
        <v>2214</v>
      </c>
      <c r="C452" s="38" t="s">
        <v>13</v>
      </c>
      <c r="D452" s="38">
        <v>4.1634669E7</v>
      </c>
      <c r="E452" s="38" t="s">
        <v>13</v>
      </c>
      <c r="F452" s="38" t="s">
        <v>13</v>
      </c>
      <c r="G452" s="38" t="s">
        <v>13</v>
      </c>
      <c r="H452" s="51" t="s">
        <v>4617</v>
      </c>
    </row>
    <row r="453">
      <c r="A453" s="38">
        <v>451.0</v>
      </c>
      <c r="B453" s="38" t="s">
        <v>2215</v>
      </c>
      <c r="C453" s="38" t="s">
        <v>13</v>
      </c>
      <c r="D453" s="38">
        <v>5199652.0</v>
      </c>
      <c r="E453" s="38" t="s">
        <v>13</v>
      </c>
      <c r="F453" s="38" t="s">
        <v>13</v>
      </c>
      <c r="G453" s="38" t="s">
        <v>13</v>
      </c>
      <c r="H453" s="51" t="s">
        <v>4617</v>
      </c>
    </row>
    <row r="454">
      <c r="A454" s="38">
        <v>452.0</v>
      </c>
      <c r="B454" s="38" t="s">
        <v>2216</v>
      </c>
      <c r="C454" s="38" t="s">
        <v>13</v>
      </c>
      <c r="D454" s="38" t="s">
        <v>13</v>
      </c>
      <c r="E454" s="38" t="s">
        <v>13</v>
      </c>
      <c r="F454" s="38" t="s">
        <v>13</v>
      </c>
      <c r="G454" s="38" t="s">
        <v>1742</v>
      </c>
      <c r="H454" s="51" t="s">
        <v>4617</v>
      </c>
    </row>
    <row r="455">
      <c r="A455" s="38">
        <v>453.0</v>
      </c>
      <c r="B455" s="38" t="s">
        <v>2217</v>
      </c>
      <c r="C455" s="38"/>
      <c r="D455" s="38"/>
      <c r="E455" s="38"/>
      <c r="F455" s="38"/>
      <c r="G455" s="38" t="s">
        <v>1835</v>
      </c>
      <c r="H455" s="51" t="s">
        <v>4617</v>
      </c>
    </row>
    <row r="456">
      <c r="A456" s="38">
        <v>454.0</v>
      </c>
      <c r="B456" s="38" t="s">
        <v>2218</v>
      </c>
      <c r="C456" s="38" t="s">
        <v>13</v>
      </c>
      <c r="D456" s="38" t="s">
        <v>13</v>
      </c>
      <c r="E456" s="38" t="s">
        <v>13</v>
      </c>
      <c r="F456" s="38" t="s">
        <v>13</v>
      </c>
      <c r="G456" s="38" t="s">
        <v>1742</v>
      </c>
      <c r="H456" s="51" t="s">
        <v>4617</v>
      </c>
    </row>
    <row r="457">
      <c r="A457" s="38">
        <v>455.0</v>
      </c>
      <c r="B457" s="38" t="s">
        <v>2219</v>
      </c>
      <c r="C457" s="38" t="s">
        <v>13</v>
      </c>
      <c r="D457" s="38">
        <v>2.6327366E7</v>
      </c>
      <c r="E457" s="38" t="s">
        <v>13</v>
      </c>
      <c r="F457" s="38" t="s">
        <v>13</v>
      </c>
      <c r="G457" s="38" t="s">
        <v>13</v>
      </c>
      <c r="H457" s="51" t="s">
        <v>4617</v>
      </c>
    </row>
    <row r="458">
      <c r="A458" s="38">
        <v>456.0</v>
      </c>
      <c r="B458" s="38" t="s">
        <v>2220</v>
      </c>
      <c r="C458" s="38" t="s">
        <v>1731</v>
      </c>
      <c r="D458" s="38">
        <v>2.6327366E8</v>
      </c>
      <c r="E458" s="38" t="s">
        <v>13</v>
      </c>
      <c r="F458" s="38" t="s">
        <v>1731</v>
      </c>
      <c r="G458" s="38" t="s">
        <v>1731</v>
      </c>
      <c r="H458" s="51" t="s">
        <v>4617</v>
      </c>
    </row>
    <row r="459">
      <c r="A459" s="38">
        <v>457.0</v>
      </c>
      <c r="B459" s="38" t="s">
        <v>2221</v>
      </c>
      <c r="C459" s="38"/>
      <c r="D459" s="38" t="s">
        <v>2222</v>
      </c>
      <c r="E459" s="38"/>
      <c r="F459" s="38"/>
      <c r="G459" s="38" t="s">
        <v>15</v>
      </c>
      <c r="H459" s="51" t="s">
        <v>4617</v>
      </c>
    </row>
    <row r="460">
      <c r="A460" s="38">
        <v>458.0</v>
      </c>
      <c r="B460" s="38" t="s">
        <v>2223</v>
      </c>
      <c r="D460" s="38" t="s">
        <v>14</v>
      </c>
      <c r="E460" s="38"/>
      <c r="F460" s="38"/>
      <c r="G460" s="38" t="s">
        <v>15</v>
      </c>
      <c r="H460" s="51" t="s">
        <v>4617</v>
      </c>
    </row>
    <row r="461">
      <c r="A461" s="38">
        <v>459.0</v>
      </c>
      <c r="B461" s="38" t="s">
        <v>2224</v>
      </c>
      <c r="C461" s="38" t="s">
        <v>13</v>
      </c>
      <c r="D461" s="38" t="s">
        <v>13</v>
      </c>
      <c r="E461" s="38" t="s">
        <v>13</v>
      </c>
      <c r="F461" s="38" t="s">
        <v>13</v>
      </c>
      <c r="G461" s="38" t="s">
        <v>13</v>
      </c>
      <c r="H461" s="51" t="s">
        <v>4617</v>
      </c>
    </row>
    <row r="462">
      <c r="A462" s="38">
        <v>460.0</v>
      </c>
      <c r="B462" s="38" t="s">
        <v>2225</v>
      </c>
      <c r="C462" s="38"/>
      <c r="D462" s="38" t="s">
        <v>14</v>
      </c>
      <c r="E462" s="38"/>
      <c r="F462" s="38"/>
      <c r="G462" s="38" t="s">
        <v>15</v>
      </c>
      <c r="H462" s="51" t="s">
        <v>4617</v>
      </c>
    </row>
    <row r="463">
      <c r="A463" s="38">
        <v>461.0</v>
      </c>
      <c r="B463" s="38" t="s">
        <v>2225</v>
      </c>
      <c r="C463" s="38"/>
      <c r="D463" s="38" t="s">
        <v>14</v>
      </c>
      <c r="E463" s="38"/>
      <c r="F463" s="38"/>
      <c r="G463" s="38" t="s">
        <v>15</v>
      </c>
      <c r="H463" s="51" t="s">
        <v>4617</v>
      </c>
    </row>
    <row r="464">
      <c r="A464" s="38">
        <v>462.0</v>
      </c>
      <c r="B464" s="38" t="s">
        <v>2226</v>
      </c>
      <c r="C464" s="38" t="s">
        <v>13</v>
      </c>
      <c r="D464" s="38">
        <v>6.4488239E7</v>
      </c>
      <c r="E464" s="38" t="s">
        <v>13</v>
      </c>
      <c r="F464" s="38" t="s">
        <v>13</v>
      </c>
      <c r="G464" s="38" t="s">
        <v>13</v>
      </c>
      <c r="H464" s="51" t="s">
        <v>4617</v>
      </c>
    </row>
    <row r="465">
      <c r="A465" s="38">
        <v>463.0</v>
      </c>
      <c r="B465" s="38" t="s">
        <v>2227</v>
      </c>
      <c r="C465" s="38" t="s">
        <v>13</v>
      </c>
      <c r="D465" s="38" t="s">
        <v>13</v>
      </c>
      <c r="E465" s="38" t="s">
        <v>13</v>
      </c>
      <c r="F465" s="38" t="s">
        <v>13</v>
      </c>
      <c r="G465" s="38" t="s">
        <v>1907</v>
      </c>
      <c r="H465" s="51" t="s">
        <v>4617</v>
      </c>
    </row>
    <row r="466">
      <c r="A466" s="38">
        <v>464.0</v>
      </c>
      <c r="B466" s="38" t="s">
        <v>2228</v>
      </c>
      <c r="C466" s="38"/>
      <c r="D466" s="38" t="s">
        <v>2229</v>
      </c>
      <c r="E466" s="38"/>
      <c r="F466" s="38"/>
      <c r="G466" s="38" t="s">
        <v>15</v>
      </c>
      <c r="H466" s="51" t="s">
        <v>4617</v>
      </c>
    </row>
    <row r="467">
      <c r="A467" s="38">
        <v>465.0</v>
      </c>
      <c r="B467" s="38" t="s">
        <v>2230</v>
      </c>
      <c r="C467" s="38">
        <v>12.0</v>
      </c>
      <c r="D467" s="38"/>
      <c r="E467" s="38"/>
      <c r="F467" s="38"/>
      <c r="G467" s="38" t="s">
        <v>1800</v>
      </c>
      <c r="H467" s="51" t="s">
        <v>4617</v>
      </c>
    </row>
    <row r="468">
      <c r="A468" s="38">
        <v>466.0</v>
      </c>
      <c r="B468" s="38" t="s">
        <v>2231</v>
      </c>
      <c r="C468" s="38"/>
      <c r="D468" s="38" t="s">
        <v>14</v>
      </c>
      <c r="E468" s="38"/>
      <c r="F468" s="38"/>
      <c r="G468" s="38" t="s">
        <v>15</v>
      </c>
      <c r="H468" s="51" t="s">
        <v>4617</v>
      </c>
    </row>
    <row r="469">
      <c r="A469" s="38">
        <v>467.0</v>
      </c>
      <c r="B469" s="38" t="s">
        <v>2232</v>
      </c>
      <c r="C469" s="38" t="s">
        <v>13</v>
      </c>
      <c r="D469" s="38">
        <v>3.8834721E8</v>
      </c>
      <c r="E469" s="38" t="s">
        <v>13</v>
      </c>
      <c r="F469" s="38" t="s">
        <v>13</v>
      </c>
      <c r="G469" s="38" t="s">
        <v>1817</v>
      </c>
      <c r="H469" s="51" t="s">
        <v>4617</v>
      </c>
    </row>
    <row r="470">
      <c r="A470" s="38">
        <v>468.0</v>
      </c>
      <c r="B470" s="38" t="s">
        <v>2232</v>
      </c>
      <c r="C470" s="38" t="s">
        <v>13</v>
      </c>
      <c r="D470" s="38">
        <v>3883421.0</v>
      </c>
      <c r="E470" s="38" t="s">
        <v>13</v>
      </c>
      <c r="F470" s="38" t="s">
        <v>13</v>
      </c>
      <c r="G470" s="38" t="s">
        <v>13</v>
      </c>
      <c r="H470" s="51" t="s">
        <v>4617</v>
      </c>
    </row>
    <row r="471">
      <c r="A471" s="38">
        <v>469.0</v>
      </c>
      <c r="B471" s="38" t="s">
        <v>2233</v>
      </c>
      <c r="C471" s="38"/>
      <c r="D471" s="38" t="s">
        <v>2234</v>
      </c>
      <c r="E471" s="38"/>
      <c r="F471" s="38"/>
      <c r="G471" s="38" t="s">
        <v>15</v>
      </c>
      <c r="H471" s="51" t="s">
        <v>4617</v>
      </c>
    </row>
    <row r="472">
      <c r="A472" s="38">
        <v>470.0</v>
      </c>
      <c r="B472" s="38" t="s">
        <v>2235</v>
      </c>
      <c r="C472" s="38" t="s">
        <v>13</v>
      </c>
      <c r="D472" s="38">
        <v>6405488.0</v>
      </c>
      <c r="E472" s="38" t="s">
        <v>13</v>
      </c>
      <c r="F472" s="38" t="s">
        <v>13</v>
      </c>
      <c r="G472" s="38" t="s">
        <v>13</v>
      </c>
      <c r="H472" s="51" t="s">
        <v>4617</v>
      </c>
    </row>
    <row r="473">
      <c r="A473" s="38">
        <v>471.0</v>
      </c>
      <c r="B473" s="38" t="s">
        <v>2236</v>
      </c>
      <c r="C473" s="38"/>
      <c r="D473" s="38" t="s">
        <v>14</v>
      </c>
      <c r="E473" s="38"/>
      <c r="F473" s="38"/>
      <c r="G473" s="38" t="s">
        <v>15</v>
      </c>
      <c r="H473" s="51" t="s">
        <v>4617</v>
      </c>
    </row>
    <row r="474">
      <c r="A474" s="38">
        <v>472.0</v>
      </c>
      <c r="B474" s="38" t="s">
        <v>2237</v>
      </c>
      <c r="C474" s="38">
        <v>1.0</v>
      </c>
      <c r="D474" s="38" t="s">
        <v>13</v>
      </c>
      <c r="E474" s="38" t="s">
        <v>13</v>
      </c>
      <c r="F474" s="38" t="s">
        <v>13</v>
      </c>
      <c r="G474" s="38" t="s">
        <v>452</v>
      </c>
      <c r="H474" s="51" t="s">
        <v>4617</v>
      </c>
    </row>
    <row r="475">
      <c r="A475" s="38">
        <v>473.0</v>
      </c>
      <c r="B475" s="38" t="s">
        <v>2238</v>
      </c>
      <c r="C475" s="38"/>
      <c r="D475" s="38" t="s">
        <v>14</v>
      </c>
      <c r="E475" s="38"/>
      <c r="F475" s="38"/>
      <c r="G475" s="38" t="s">
        <v>15</v>
      </c>
      <c r="H475" s="51" t="s">
        <v>4617</v>
      </c>
    </row>
    <row r="476">
      <c r="A476" s="38">
        <v>474.0</v>
      </c>
      <c r="B476" s="38" t="s">
        <v>2239</v>
      </c>
      <c r="C476" s="38"/>
      <c r="D476" s="38" t="s">
        <v>2240</v>
      </c>
      <c r="E476" s="38"/>
      <c r="F476" s="38"/>
      <c r="G476" s="38" t="s">
        <v>15</v>
      </c>
      <c r="H476" s="51" t="s">
        <v>4617</v>
      </c>
    </row>
    <row r="477">
      <c r="A477" s="38">
        <v>475.0</v>
      </c>
      <c r="B477" s="38" t="s">
        <v>2241</v>
      </c>
      <c r="C477" s="38">
        <v>3.0</v>
      </c>
      <c r="D477" s="38" t="s">
        <v>13</v>
      </c>
      <c r="E477" s="38" t="s">
        <v>13</v>
      </c>
      <c r="F477" s="38" t="s">
        <v>13</v>
      </c>
      <c r="G477" s="38" t="s">
        <v>1826</v>
      </c>
      <c r="H477" s="51" t="s">
        <v>4617</v>
      </c>
    </row>
    <row r="478">
      <c r="A478" s="38">
        <v>476.0</v>
      </c>
      <c r="B478" s="38" t="s">
        <v>2242</v>
      </c>
      <c r="C478" s="38">
        <v>2.0</v>
      </c>
      <c r="D478" s="38" t="s">
        <v>13</v>
      </c>
      <c r="E478" s="38" t="s">
        <v>13</v>
      </c>
      <c r="F478" s="38" t="s">
        <v>13</v>
      </c>
      <c r="G478" s="38" t="s">
        <v>1804</v>
      </c>
      <c r="H478" s="51" t="s">
        <v>4617</v>
      </c>
    </row>
    <row r="479">
      <c r="A479" s="38">
        <v>477.0</v>
      </c>
      <c r="B479" s="38" t="s">
        <v>1291</v>
      </c>
      <c r="C479" s="38"/>
      <c r="D479" s="38" t="s">
        <v>14</v>
      </c>
      <c r="E479" s="38"/>
      <c r="F479" s="38"/>
      <c r="G479" s="38" t="s">
        <v>15</v>
      </c>
      <c r="H479" s="51" t="s">
        <v>4617</v>
      </c>
    </row>
    <row r="480">
      <c r="A480" s="38">
        <v>478.0</v>
      </c>
      <c r="B480" s="38" t="s">
        <v>2243</v>
      </c>
      <c r="C480" s="38"/>
      <c r="D480" s="38" t="s">
        <v>14</v>
      </c>
      <c r="E480" s="38"/>
      <c r="F480" s="38"/>
      <c r="G480" s="38" t="s">
        <v>15</v>
      </c>
      <c r="H480" s="51" t="s">
        <v>4617</v>
      </c>
    </row>
    <row r="481">
      <c r="A481" s="38">
        <v>479.0</v>
      </c>
      <c r="B481" s="38" t="s">
        <v>2244</v>
      </c>
      <c r="C481" s="38">
        <v>1.0</v>
      </c>
      <c r="D481" s="38" t="s">
        <v>13</v>
      </c>
      <c r="E481" s="38" t="s">
        <v>13</v>
      </c>
      <c r="F481" s="38" t="s">
        <v>13</v>
      </c>
      <c r="G481" s="38" t="s">
        <v>452</v>
      </c>
      <c r="H481" s="51" t="s">
        <v>4617</v>
      </c>
    </row>
    <row r="482">
      <c r="A482" s="38">
        <v>480.0</v>
      </c>
      <c r="B482" s="38" t="s">
        <v>2245</v>
      </c>
      <c r="C482" s="38"/>
      <c r="D482" s="38"/>
      <c r="E482" s="38"/>
      <c r="F482" s="38"/>
      <c r="G482" s="38" t="s">
        <v>2246</v>
      </c>
      <c r="H482" s="51" t="s">
        <v>4617</v>
      </c>
    </row>
    <row r="483">
      <c r="A483" s="38">
        <v>481.0</v>
      </c>
      <c r="B483" s="38" t="s">
        <v>2247</v>
      </c>
      <c r="C483" s="38" t="s">
        <v>13</v>
      </c>
      <c r="D483" s="38" t="s">
        <v>13</v>
      </c>
      <c r="E483" s="38" t="s">
        <v>13</v>
      </c>
      <c r="F483" s="38" t="s">
        <v>13</v>
      </c>
      <c r="G483" s="38" t="s">
        <v>1742</v>
      </c>
      <c r="H483" s="51" t="s">
        <v>4617</v>
      </c>
    </row>
    <row r="484">
      <c r="A484" s="38">
        <v>482.0</v>
      </c>
      <c r="B484" s="38" t="s">
        <v>2248</v>
      </c>
      <c r="C484" s="38"/>
      <c r="D484" s="38" t="s">
        <v>2249</v>
      </c>
      <c r="E484" s="38"/>
      <c r="F484" s="38"/>
      <c r="G484" s="38" t="s">
        <v>15</v>
      </c>
      <c r="H484" s="51" t="s">
        <v>4617</v>
      </c>
    </row>
    <row r="485">
      <c r="A485" s="38">
        <v>483.0</v>
      </c>
      <c r="B485" s="38" t="s">
        <v>2250</v>
      </c>
      <c r="C485" s="38"/>
      <c r="D485" s="38" t="s">
        <v>14</v>
      </c>
      <c r="E485" s="38"/>
      <c r="F485" s="38"/>
      <c r="G485" s="38" t="s">
        <v>15</v>
      </c>
      <c r="H485" s="51" t="s">
        <v>4617</v>
      </c>
    </row>
    <row r="486">
      <c r="A486" s="38">
        <v>484.0</v>
      </c>
      <c r="B486" s="38" t="s">
        <v>2251</v>
      </c>
      <c r="C486" s="38" t="s">
        <v>13</v>
      </c>
      <c r="D486" s="38">
        <v>3.3020891E7</v>
      </c>
      <c r="E486" s="38" t="s">
        <v>13</v>
      </c>
      <c r="F486" s="38" t="s">
        <v>13</v>
      </c>
      <c r="G486" s="38" t="s">
        <v>13</v>
      </c>
      <c r="H486" s="51" t="s">
        <v>4617</v>
      </c>
    </row>
    <row r="487">
      <c r="A487" s="38">
        <v>485.0</v>
      </c>
      <c r="B487" s="38" t="s">
        <v>2252</v>
      </c>
      <c r="C487" s="38"/>
      <c r="D487" s="38" t="s">
        <v>14</v>
      </c>
      <c r="E487" s="38"/>
      <c r="F487" s="38"/>
      <c r="G487" s="38" t="s">
        <v>15</v>
      </c>
      <c r="H487" s="51" t="s">
        <v>4617</v>
      </c>
    </row>
    <row r="488">
      <c r="A488" s="38">
        <v>486.0</v>
      </c>
      <c r="B488" s="38" t="s">
        <v>2253</v>
      </c>
      <c r="C488" s="38" t="s">
        <v>13</v>
      </c>
      <c r="D488" s="38">
        <v>2.945823E7</v>
      </c>
      <c r="E488" s="38" t="s">
        <v>13</v>
      </c>
      <c r="F488" s="38" t="s">
        <v>13</v>
      </c>
      <c r="G488" s="38" t="s">
        <v>13</v>
      </c>
      <c r="H488" s="51" t="s">
        <v>4617</v>
      </c>
    </row>
    <row r="489">
      <c r="A489" s="38">
        <v>487.0</v>
      </c>
      <c r="B489" s="38" t="s">
        <v>2254</v>
      </c>
      <c r="C489" s="38"/>
      <c r="D489" s="38" t="s">
        <v>14</v>
      </c>
      <c r="E489" s="38"/>
      <c r="F489" s="38"/>
      <c r="G489" s="38" t="s">
        <v>15</v>
      </c>
      <c r="H489" s="51" t="s">
        <v>4617</v>
      </c>
    </row>
    <row r="490">
      <c r="A490" s="38">
        <v>488.0</v>
      </c>
      <c r="B490" s="38" t="s">
        <v>2255</v>
      </c>
      <c r="C490" s="38"/>
      <c r="D490" s="38" t="s">
        <v>14</v>
      </c>
      <c r="E490" s="38"/>
      <c r="F490" s="38"/>
      <c r="G490" s="38" t="s">
        <v>15</v>
      </c>
      <c r="H490" s="51" t="s">
        <v>4617</v>
      </c>
    </row>
    <row r="491">
      <c r="A491" s="38">
        <v>489.0</v>
      </c>
      <c r="B491" s="38" t="s">
        <v>2256</v>
      </c>
      <c r="C491" s="38">
        <v>5.0</v>
      </c>
      <c r="D491" s="38" t="s">
        <v>13</v>
      </c>
      <c r="E491" s="38" t="s">
        <v>13</v>
      </c>
      <c r="F491" s="38" t="s">
        <v>13</v>
      </c>
      <c r="G491" s="38" t="s">
        <v>452</v>
      </c>
      <c r="H491" s="51" t="s">
        <v>4617</v>
      </c>
    </row>
    <row r="492">
      <c r="A492" s="38">
        <v>490.0</v>
      </c>
      <c r="B492" s="38" t="s">
        <v>2257</v>
      </c>
      <c r="C492" s="38">
        <v>35.0</v>
      </c>
      <c r="D492" s="38" t="s">
        <v>13</v>
      </c>
      <c r="E492" s="38" t="s">
        <v>13</v>
      </c>
      <c r="F492" s="38" t="s">
        <v>13</v>
      </c>
      <c r="G492" s="38" t="s">
        <v>2258</v>
      </c>
      <c r="H492" s="51" t="s">
        <v>4617</v>
      </c>
    </row>
    <row r="493">
      <c r="A493" s="38">
        <v>491.0</v>
      </c>
      <c r="B493" s="38" t="s">
        <v>2259</v>
      </c>
      <c r="C493" s="38"/>
      <c r="D493" s="38" t="s">
        <v>14</v>
      </c>
      <c r="E493" s="38"/>
      <c r="F493" s="38"/>
      <c r="G493" s="38" t="s">
        <v>15</v>
      </c>
      <c r="H493" s="51" t="s">
        <v>4617</v>
      </c>
    </row>
    <row r="494">
      <c r="A494" s="38">
        <v>492.0</v>
      </c>
      <c r="B494" s="38" t="s">
        <v>2260</v>
      </c>
      <c r="C494" s="38">
        <v>41.0</v>
      </c>
      <c r="D494" s="38"/>
      <c r="E494" s="38"/>
      <c r="F494" s="38"/>
      <c r="G494" s="38" t="s">
        <v>2261</v>
      </c>
      <c r="H494" s="51" t="s">
        <v>4617</v>
      </c>
    </row>
    <row r="495">
      <c r="A495" s="38">
        <v>493.0</v>
      </c>
      <c r="B495" s="38" t="s">
        <v>2262</v>
      </c>
      <c r="C495" s="38" t="s">
        <v>13</v>
      </c>
      <c r="D495" s="38" t="s">
        <v>13</v>
      </c>
      <c r="E495" s="38" t="s">
        <v>13</v>
      </c>
      <c r="F495" s="38" t="s">
        <v>13</v>
      </c>
      <c r="G495" s="38" t="s">
        <v>1742</v>
      </c>
      <c r="H495" s="51" t="s">
        <v>4617</v>
      </c>
    </row>
    <row r="496">
      <c r="A496" s="38">
        <v>494.0</v>
      </c>
      <c r="B496" s="38" t="s">
        <v>2263</v>
      </c>
      <c r="C496" s="38" t="s">
        <v>13</v>
      </c>
      <c r="D496" s="38">
        <v>6059288.0</v>
      </c>
      <c r="E496" s="38" t="s">
        <v>13</v>
      </c>
      <c r="F496" s="38" t="s">
        <v>13</v>
      </c>
      <c r="G496" s="38" t="s">
        <v>13</v>
      </c>
      <c r="H496" s="51" t="s">
        <v>4617</v>
      </c>
    </row>
    <row r="497">
      <c r="A497" s="38">
        <v>495.0</v>
      </c>
      <c r="B497" s="38" t="s">
        <v>2264</v>
      </c>
      <c r="C497" s="38" t="s">
        <v>13</v>
      </c>
      <c r="D497" s="38" t="s">
        <v>13</v>
      </c>
      <c r="E497" s="38" t="s">
        <v>13</v>
      </c>
      <c r="F497" s="38" t="s">
        <v>13</v>
      </c>
      <c r="G497" s="38" t="s">
        <v>1826</v>
      </c>
      <c r="H497" s="51" t="s">
        <v>4617</v>
      </c>
    </row>
    <row r="498">
      <c r="A498" s="38">
        <v>496.0</v>
      </c>
      <c r="B498" s="38" t="s">
        <v>2265</v>
      </c>
      <c r="C498" s="38" t="s">
        <v>13</v>
      </c>
      <c r="D498" s="38">
        <v>1.342289E8</v>
      </c>
      <c r="E498" s="38" t="s">
        <v>13</v>
      </c>
      <c r="F498" s="38" t="s">
        <v>13</v>
      </c>
      <c r="G498" s="38" t="s">
        <v>13</v>
      </c>
      <c r="H498" s="51" t="s">
        <v>4617</v>
      </c>
    </row>
    <row r="499">
      <c r="A499" s="38">
        <v>497.0</v>
      </c>
      <c r="B499" s="38" t="s">
        <v>2266</v>
      </c>
      <c r="C499" s="38" t="s">
        <v>1731</v>
      </c>
      <c r="D499" s="38">
        <v>3.2865296E8</v>
      </c>
      <c r="E499" s="38" t="s">
        <v>13</v>
      </c>
      <c r="F499" s="38" t="s">
        <v>1731</v>
      </c>
      <c r="G499" s="38" t="s">
        <v>2267</v>
      </c>
      <c r="H499" s="51" t="s">
        <v>4617</v>
      </c>
    </row>
    <row r="500">
      <c r="A500" s="38">
        <v>498.0</v>
      </c>
      <c r="B500" s="38" t="s">
        <v>2268</v>
      </c>
      <c r="C500" s="38" t="s">
        <v>13</v>
      </c>
      <c r="D500" s="38">
        <v>1.342289E7</v>
      </c>
      <c r="E500" s="38" t="s">
        <v>13</v>
      </c>
      <c r="F500" s="38" t="s">
        <v>13</v>
      </c>
      <c r="G500" s="38" t="s">
        <v>13</v>
      </c>
      <c r="H500" s="51" t="s">
        <v>4617</v>
      </c>
    </row>
    <row r="501">
      <c r="A501" s="38">
        <v>499.0</v>
      </c>
      <c r="B501" s="38" t="s">
        <v>2269</v>
      </c>
      <c r="C501" s="38" t="s">
        <v>13</v>
      </c>
      <c r="D501" s="38">
        <v>1.8461886E7</v>
      </c>
      <c r="E501" s="38" t="s">
        <v>13</v>
      </c>
      <c r="F501" s="38" t="s">
        <v>13</v>
      </c>
      <c r="G501" s="38" t="s">
        <v>13</v>
      </c>
      <c r="H501" s="51" t="s">
        <v>4617</v>
      </c>
    </row>
    <row r="502">
      <c r="A502" s="38">
        <v>500.0</v>
      </c>
      <c r="B502" s="38" t="s">
        <v>2270</v>
      </c>
      <c r="C502" s="38" t="s">
        <v>13</v>
      </c>
      <c r="D502" s="38">
        <v>1.8461886E8</v>
      </c>
      <c r="E502" s="38" t="s">
        <v>13</v>
      </c>
      <c r="F502" s="38" t="s">
        <v>13</v>
      </c>
      <c r="G502" s="38" t="s">
        <v>13</v>
      </c>
      <c r="H502" s="51" t="s">
        <v>4617</v>
      </c>
    </row>
    <row r="503">
      <c r="A503" s="38">
        <v>501.0</v>
      </c>
      <c r="B503" s="38" t="s">
        <v>2271</v>
      </c>
      <c r="C503" s="38" t="s">
        <v>13</v>
      </c>
      <c r="D503" s="38">
        <v>6121988.0</v>
      </c>
      <c r="E503" s="38" t="s">
        <v>13</v>
      </c>
      <c r="F503" s="38" t="s">
        <v>13</v>
      </c>
      <c r="G503" s="38" t="s">
        <v>1729</v>
      </c>
      <c r="H503" s="51" t="s">
        <v>4617</v>
      </c>
    </row>
    <row r="504">
      <c r="A504" s="38">
        <v>502.0</v>
      </c>
      <c r="B504" s="38" t="s">
        <v>2272</v>
      </c>
      <c r="C504" s="38">
        <v>10.0</v>
      </c>
      <c r="D504" s="38"/>
      <c r="E504" s="38"/>
      <c r="F504" s="38"/>
      <c r="G504" s="38" t="s">
        <v>2273</v>
      </c>
      <c r="H504" s="51" t="s">
        <v>4617</v>
      </c>
    </row>
    <row r="505">
      <c r="A505" s="38">
        <v>503.0</v>
      </c>
      <c r="B505" s="38" t="s">
        <v>2274</v>
      </c>
      <c r="C505" s="38" t="s">
        <v>13</v>
      </c>
      <c r="D505" s="38" t="s">
        <v>13</v>
      </c>
      <c r="E505" s="38" t="s">
        <v>13</v>
      </c>
      <c r="F505" s="38" t="s">
        <v>13</v>
      </c>
      <c r="G505" s="38" t="s">
        <v>1742</v>
      </c>
      <c r="H505" s="51" t="s">
        <v>4617</v>
      </c>
    </row>
    <row r="506">
      <c r="A506" s="38">
        <v>504.0</v>
      </c>
      <c r="B506" s="38" t="s">
        <v>2275</v>
      </c>
      <c r="C506" s="38" t="s">
        <v>13</v>
      </c>
      <c r="D506" s="38">
        <v>2.7006264E7</v>
      </c>
      <c r="E506" s="38" t="s">
        <v>13</v>
      </c>
      <c r="F506" s="38" t="s">
        <v>13</v>
      </c>
      <c r="G506" s="38" t="s">
        <v>13</v>
      </c>
      <c r="H506" s="51" t="s">
        <v>4617</v>
      </c>
    </row>
    <row r="507">
      <c r="A507" s="38">
        <v>505.0</v>
      </c>
      <c r="B507" s="38" t="s">
        <v>2276</v>
      </c>
      <c r="C507" s="38"/>
      <c r="D507" s="38" t="s">
        <v>14</v>
      </c>
      <c r="E507" s="38"/>
      <c r="F507" s="38"/>
      <c r="G507" s="38" t="s">
        <v>15</v>
      </c>
      <c r="H507" s="51" t="s">
        <v>4617</v>
      </c>
    </row>
    <row r="508">
      <c r="A508" s="38">
        <v>506.0</v>
      </c>
      <c r="B508" s="38" t="s">
        <v>2277</v>
      </c>
      <c r="C508" s="38">
        <v>10.0</v>
      </c>
      <c r="D508" s="38"/>
      <c r="E508" s="38"/>
      <c r="F508" s="38"/>
      <c r="G508" s="38" t="s">
        <v>2278</v>
      </c>
      <c r="H508" s="51" t="s">
        <v>4617</v>
      </c>
    </row>
    <row r="509">
      <c r="A509" s="38">
        <v>507.0</v>
      </c>
      <c r="B509" s="38" t="s">
        <v>2279</v>
      </c>
      <c r="C509" s="38">
        <v>10.0</v>
      </c>
      <c r="D509" s="38" t="s">
        <v>13</v>
      </c>
      <c r="E509" s="38" t="s">
        <v>13</v>
      </c>
      <c r="F509" s="38" t="s">
        <v>13</v>
      </c>
      <c r="G509" s="38" t="s">
        <v>1826</v>
      </c>
      <c r="H509" s="51" t="s">
        <v>4617</v>
      </c>
    </row>
    <row r="510">
      <c r="A510" s="38">
        <v>508.0</v>
      </c>
      <c r="B510" s="38" t="s">
        <v>2280</v>
      </c>
      <c r="C510" s="38">
        <v>10.0</v>
      </c>
      <c r="D510" s="38" t="s">
        <v>14</v>
      </c>
      <c r="E510" s="38"/>
      <c r="F510" s="38"/>
      <c r="G510" s="38" t="s">
        <v>2281</v>
      </c>
      <c r="H510" s="51" t="s">
        <v>4617</v>
      </c>
    </row>
    <row r="511">
      <c r="A511" s="38">
        <v>509.0</v>
      </c>
      <c r="B511" s="38" t="s">
        <v>2282</v>
      </c>
      <c r="C511" s="38">
        <v>10.0</v>
      </c>
      <c r="D511" s="38" t="s">
        <v>13</v>
      </c>
      <c r="E511" s="38" t="s">
        <v>13</v>
      </c>
      <c r="F511" s="38" t="s">
        <v>13</v>
      </c>
      <c r="G511" s="38" t="s">
        <v>13</v>
      </c>
      <c r="H511" s="51" t="s">
        <v>4617</v>
      </c>
    </row>
    <row r="512">
      <c r="A512" s="38">
        <v>510.0</v>
      </c>
      <c r="B512" s="38" t="s">
        <v>2283</v>
      </c>
      <c r="C512" s="38">
        <v>34.0</v>
      </c>
      <c r="D512" s="38"/>
      <c r="E512" s="38"/>
      <c r="F512" s="38"/>
      <c r="G512" s="38" t="s">
        <v>1752</v>
      </c>
      <c r="H512" s="51" t="s">
        <v>4617</v>
      </c>
    </row>
    <row r="513">
      <c r="A513" s="38">
        <v>511.0</v>
      </c>
      <c r="B513" s="38" t="s">
        <v>2284</v>
      </c>
      <c r="C513" s="38">
        <v>10.0</v>
      </c>
      <c r="D513" s="38" t="s">
        <v>13</v>
      </c>
      <c r="E513" s="38" t="s">
        <v>13</v>
      </c>
      <c r="F513" s="38" t="s">
        <v>13</v>
      </c>
      <c r="G513" s="38" t="s">
        <v>1804</v>
      </c>
      <c r="H513" s="51" t="s">
        <v>4617</v>
      </c>
    </row>
    <row r="514">
      <c r="A514" s="38">
        <v>512.0</v>
      </c>
      <c r="B514" s="38" t="s">
        <v>2284</v>
      </c>
      <c r="C514" s="38">
        <v>10.0</v>
      </c>
      <c r="D514" s="38" t="s">
        <v>13</v>
      </c>
      <c r="E514" s="38"/>
      <c r="F514" s="38"/>
      <c r="G514" s="38" t="s">
        <v>2285</v>
      </c>
      <c r="H514" s="51" t="s">
        <v>4617</v>
      </c>
    </row>
    <row r="515">
      <c r="A515" s="38">
        <v>513.0</v>
      </c>
      <c r="B515" s="38" t="s">
        <v>2286</v>
      </c>
      <c r="C515" s="38"/>
      <c r="D515" s="38" t="s">
        <v>2287</v>
      </c>
      <c r="E515" s="38"/>
      <c r="F515" s="38"/>
      <c r="G515" s="38" t="s">
        <v>15</v>
      </c>
      <c r="H515" s="51" t="s">
        <v>4617</v>
      </c>
    </row>
    <row r="516">
      <c r="A516" s="38">
        <v>514.0</v>
      </c>
      <c r="B516" s="38" t="s">
        <v>2288</v>
      </c>
      <c r="C516" s="38"/>
      <c r="D516" s="38"/>
      <c r="E516" s="38"/>
      <c r="F516" s="38"/>
      <c r="G516" s="38" t="s">
        <v>2289</v>
      </c>
      <c r="H516" s="51" t="s">
        <v>4617</v>
      </c>
    </row>
    <row r="517">
      <c r="A517" s="38">
        <v>515.0</v>
      </c>
      <c r="B517" s="38" t="s">
        <v>2290</v>
      </c>
      <c r="C517" s="38"/>
      <c r="D517" s="38" t="s">
        <v>2291</v>
      </c>
      <c r="E517" s="38"/>
      <c r="F517" s="38"/>
      <c r="G517" s="38" t="s">
        <v>15</v>
      </c>
      <c r="H517" s="51" t="s">
        <v>4617</v>
      </c>
    </row>
    <row r="518">
      <c r="A518" s="38">
        <v>516.0</v>
      </c>
      <c r="B518" s="38" t="s">
        <v>2292</v>
      </c>
      <c r="C518" s="38">
        <v>55.0</v>
      </c>
      <c r="D518" s="38">
        <v>2.0048909E7</v>
      </c>
      <c r="E518" s="38" t="s">
        <v>13</v>
      </c>
      <c r="F518" s="38" t="s">
        <v>13</v>
      </c>
      <c r="G518" s="38" t="s">
        <v>13</v>
      </c>
      <c r="H518" s="51" t="s">
        <v>4617</v>
      </c>
    </row>
    <row r="519">
      <c r="A519" s="38">
        <v>517.0</v>
      </c>
      <c r="B519" s="38" t="s">
        <v>2293</v>
      </c>
      <c r="C519" s="38" t="s">
        <v>13</v>
      </c>
      <c r="D519" s="38">
        <v>3.6091784E7</v>
      </c>
      <c r="E519" s="38" t="s">
        <v>13</v>
      </c>
      <c r="F519" s="38" t="s">
        <v>13</v>
      </c>
      <c r="G519" s="38" t="s">
        <v>13</v>
      </c>
      <c r="H519" s="51" t="s">
        <v>4617</v>
      </c>
    </row>
    <row r="520">
      <c r="A520" s="38">
        <v>518.0</v>
      </c>
      <c r="B520" s="38" t="s">
        <v>2294</v>
      </c>
      <c r="C520" s="38"/>
      <c r="D520" s="38" t="s">
        <v>2295</v>
      </c>
      <c r="E520" s="38"/>
      <c r="F520" s="38"/>
      <c r="G520" s="38" t="s">
        <v>15</v>
      </c>
      <c r="H520" s="51" t="s">
        <v>4617</v>
      </c>
    </row>
    <row r="521">
      <c r="A521" s="38">
        <v>519.0</v>
      </c>
      <c r="B521" s="38" t="s">
        <v>2296</v>
      </c>
      <c r="C521" s="38" t="s">
        <v>13</v>
      </c>
      <c r="D521" s="38" t="s">
        <v>13</v>
      </c>
      <c r="E521" s="38" t="s">
        <v>13</v>
      </c>
      <c r="F521" s="38" t="s">
        <v>13</v>
      </c>
      <c r="G521" s="38" t="s">
        <v>13</v>
      </c>
      <c r="H521" s="51" t="s">
        <v>4617</v>
      </c>
    </row>
    <row r="522">
      <c r="A522" s="38">
        <v>520.0</v>
      </c>
      <c r="B522" s="38" t="s">
        <v>2297</v>
      </c>
      <c r="C522" s="38"/>
      <c r="D522" s="38" t="s">
        <v>14</v>
      </c>
      <c r="E522" s="38"/>
      <c r="F522" s="38"/>
      <c r="G522" s="38" t="s">
        <v>2281</v>
      </c>
      <c r="H522" s="51" t="s">
        <v>4617</v>
      </c>
    </row>
    <row r="523">
      <c r="A523" s="38">
        <v>521.0</v>
      </c>
      <c r="B523" s="38" t="s">
        <v>2298</v>
      </c>
      <c r="C523" s="38" t="s">
        <v>13</v>
      </c>
      <c r="D523" s="38">
        <v>1.4424783E7</v>
      </c>
      <c r="E523" s="38" t="s">
        <v>13</v>
      </c>
      <c r="F523" s="38" t="s">
        <v>13</v>
      </c>
      <c r="G523" s="38" t="s">
        <v>13</v>
      </c>
      <c r="H523" s="51" t="s">
        <v>4617</v>
      </c>
    </row>
    <row r="524">
      <c r="A524" s="38">
        <v>522.0</v>
      </c>
      <c r="B524" s="38" t="s">
        <v>2299</v>
      </c>
      <c r="C524" s="38">
        <v>25.0</v>
      </c>
      <c r="D524" s="38"/>
      <c r="E524" s="38"/>
      <c r="F524" s="38"/>
      <c r="G524" s="38" t="s">
        <v>2300</v>
      </c>
      <c r="H524" s="51" t="s">
        <v>4617</v>
      </c>
    </row>
    <row r="525">
      <c r="A525" s="38">
        <v>523.0</v>
      </c>
      <c r="B525" s="38" t="s">
        <v>2301</v>
      </c>
      <c r="C525" s="38"/>
      <c r="D525" s="38" t="s">
        <v>14</v>
      </c>
      <c r="E525" s="38"/>
      <c r="F525" s="38"/>
      <c r="G525" s="38" t="s">
        <v>15</v>
      </c>
      <c r="H525" s="51" t="s">
        <v>4617</v>
      </c>
    </row>
    <row r="526">
      <c r="A526" s="38">
        <v>524.0</v>
      </c>
      <c r="B526" s="38" t="s">
        <v>2302</v>
      </c>
      <c r="C526" s="38">
        <v>9.0</v>
      </c>
      <c r="D526" s="38" t="s">
        <v>13</v>
      </c>
      <c r="E526" s="38" t="s">
        <v>13</v>
      </c>
      <c r="F526" s="38" t="s">
        <v>13</v>
      </c>
      <c r="G526" s="38" t="s">
        <v>452</v>
      </c>
      <c r="H526" s="51" t="s">
        <v>4617</v>
      </c>
    </row>
    <row r="527">
      <c r="A527" s="38">
        <v>525.0</v>
      </c>
      <c r="B527" s="38" t="s">
        <v>2303</v>
      </c>
      <c r="C527" s="38"/>
      <c r="D527" s="38" t="s">
        <v>14</v>
      </c>
      <c r="E527" s="38"/>
      <c r="F527" s="38"/>
      <c r="G527" s="38" t="s">
        <v>15</v>
      </c>
      <c r="H527" s="51" t="s">
        <v>4617</v>
      </c>
    </row>
    <row r="528">
      <c r="A528" s="38">
        <v>526.0</v>
      </c>
      <c r="B528" s="38" t="s">
        <v>2304</v>
      </c>
      <c r="C528" s="38">
        <v>9.0</v>
      </c>
      <c r="D528" s="38" t="s">
        <v>13</v>
      </c>
      <c r="E528" s="38" t="s">
        <v>13</v>
      </c>
      <c r="F528" s="38" t="s">
        <v>13</v>
      </c>
      <c r="G528" s="38" t="s">
        <v>2305</v>
      </c>
      <c r="H528" s="51" t="s">
        <v>4617</v>
      </c>
    </row>
    <row r="529">
      <c r="A529" s="38">
        <v>527.0</v>
      </c>
      <c r="B529" s="38" t="s">
        <v>2306</v>
      </c>
      <c r="C529" s="38">
        <v>3.0</v>
      </c>
      <c r="D529" s="38" t="s">
        <v>13</v>
      </c>
      <c r="E529" s="38" t="s">
        <v>13</v>
      </c>
      <c r="F529" s="38" t="s">
        <v>13</v>
      </c>
      <c r="G529" s="38" t="s">
        <v>1826</v>
      </c>
      <c r="H529" s="51" t="s">
        <v>4617</v>
      </c>
    </row>
    <row r="530">
      <c r="A530" s="38">
        <v>528.0</v>
      </c>
      <c r="B530" s="38" t="s">
        <v>2307</v>
      </c>
      <c r="C530" s="38"/>
      <c r="D530" s="38" t="s">
        <v>14</v>
      </c>
      <c r="E530" s="38"/>
      <c r="F530" s="38"/>
      <c r="G530" s="38" t="s">
        <v>15</v>
      </c>
      <c r="H530" s="51" t="s">
        <v>4617</v>
      </c>
    </row>
    <row r="531">
      <c r="A531" s="38">
        <v>529.0</v>
      </c>
      <c r="B531" s="38" t="s">
        <v>2308</v>
      </c>
      <c r="C531" s="38">
        <v>1.0</v>
      </c>
      <c r="D531" s="38" t="s">
        <v>13</v>
      </c>
      <c r="E531" s="38" t="s">
        <v>13</v>
      </c>
      <c r="F531" s="38" t="s">
        <v>13</v>
      </c>
      <c r="G531" s="38" t="s">
        <v>2309</v>
      </c>
      <c r="H531" s="51" t="s">
        <v>4617</v>
      </c>
    </row>
    <row r="532">
      <c r="A532" s="38">
        <v>530.0</v>
      </c>
      <c r="B532" s="38" t="s">
        <v>2310</v>
      </c>
      <c r="C532" s="38"/>
      <c r="D532" s="38"/>
      <c r="E532" s="38"/>
      <c r="F532" s="38"/>
      <c r="G532" s="38" t="s">
        <v>2311</v>
      </c>
      <c r="H532" s="51" t="s">
        <v>4617</v>
      </c>
    </row>
    <row r="533">
      <c r="A533" s="38">
        <v>531.0</v>
      </c>
      <c r="B533" s="38" t="s">
        <v>2312</v>
      </c>
      <c r="C533" s="38"/>
      <c r="D533" s="38"/>
      <c r="E533" s="38"/>
      <c r="F533" s="38"/>
      <c r="G533" s="38" t="s">
        <v>2313</v>
      </c>
      <c r="H533" s="51" t="s">
        <v>4617</v>
      </c>
    </row>
    <row r="534">
      <c r="A534" s="38">
        <v>532.0</v>
      </c>
      <c r="B534" s="38" t="s">
        <v>2314</v>
      </c>
      <c r="C534" s="38"/>
      <c r="D534" s="38"/>
      <c r="E534" s="38"/>
      <c r="F534" s="38"/>
      <c r="G534" s="38" t="s">
        <v>2315</v>
      </c>
      <c r="H534" s="51" t="s">
        <v>4617</v>
      </c>
    </row>
    <row r="535">
      <c r="A535" s="38">
        <v>533.0</v>
      </c>
      <c r="B535" s="38" t="s">
        <v>2316</v>
      </c>
      <c r="C535" s="38">
        <v>5.0</v>
      </c>
      <c r="D535" s="38" t="s">
        <v>13</v>
      </c>
      <c r="E535" s="38" t="s">
        <v>13</v>
      </c>
      <c r="F535" s="38" t="s">
        <v>13</v>
      </c>
      <c r="G535" s="38" t="s">
        <v>1826</v>
      </c>
      <c r="H535" s="51" t="s">
        <v>4617</v>
      </c>
    </row>
    <row r="536">
      <c r="A536" s="38">
        <v>534.0</v>
      </c>
      <c r="B536" s="38" t="s">
        <v>2317</v>
      </c>
      <c r="C536" s="38"/>
      <c r="D536" s="38" t="s">
        <v>14</v>
      </c>
      <c r="E536" s="38"/>
      <c r="F536" s="38"/>
      <c r="G536" s="38" t="s">
        <v>2318</v>
      </c>
      <c r="H536" s="51" t="s">
        <v>4617</v>
      </c>
    </row>
    <row r="537">
      <c r="A537" s="38">
        <v>535.0</v>
      </c>
      <c r="B537" s="38" t="s">
        <v>2319</v>
      </c>
      <c r="C537" s="38" t="s">
        <v>13</v>
      </c>
      <c r="D537" s="38">
        <v>2.956705E7</v>
      </c>
      <c r="E537" s="38" t="s">
        <v>13</v>
      </c>
      <c r="F537" s="38" t="s">
        <v>13</v>
      </c>
      <c r="G537" s="38" t="s">
        <v>1729</v>
      </c>
      <c r="H537" s="51" t="s">
        <v>4617</v>
      </c>
    </row>
    <row r="538">
      <c r="A538" s="38">
        <v>536.0</v>
      </c>
      <c r="B538" s="38" t="s">
        <v>2320</v>
      </c>
      <c r="C538" s="38">
        <v>18.0</v>
      </c>
      <c r="D538" s="38" t="s">
        <v>13</v>
      </c>
      <c r="E538" s="38" t="s">
        <v>13</v>
      </c>
      <c r="F538" s="38" t="s">
        <v>13</v>
      </c>
      <c r="G538" s="38" t="s">
        <v>13</v>
      </c>
      <c r="H538" s="51" t="s">
        <v>4617</v>
      </c>
    </row>
    <row r="539">
      <c r="A539" s="38">
        <v>537.0</v>
      </c>
      <c r="B539" s="38" t="s">
        <v>1025</v>
      </c>
      <c r="C539" s="38" t="s">
        <v>2321</v>
      </c>
      <c r="D539" s="38" t="s">
        <v>13</v>
      </c>
      <c r="E539" s="38" t="s">
        <v>13</v>
      </c>
      <c r="F539" s="38" t="s">
        <v>13</v>
      </c>
      <c r="G539" s="38" t="s">
        <v>13</v>
      </c>
      <c r="H539" s="51" t="s">
        <v>4617</v>
      </c>
    </row>
    <row r="540">
      <c r="A540" s="38">
        <v>538.0</v>
      </c>
      <c r="B540" s="38" t="s">
        <v>2322</v>
      </c>
      <c r="C540" s="38" t="s">
        <v>13</v>
      </c>
      <c r="D540" s="38">
        <v>1.9659867E7</v>
      </c>
      <c r="E540" s="38" t="s">
        <v>13</v>
      </c>
      <c r="F540" s="38" t="s">
        <v>13</v>
      </c>
      <c r="G540" s="38" t="s">
        <v>13</v>
      </c>
      <c r="H540" s="51" t="s">
        <v>4617</v>
      </c>
    </row>
    <row r="541">
      <c r="A541" s="38">
        <v>539.0</v>
      </c>
      <c r="B541" s="38" t="s">
        <v>2323</v>
      </c>
      <c r="C541" s="38" t="s">
        <v>13</v>
      </c>
      <c r="D541" s="38">
        <v>4.493435E7</v>
      </c>
      <c r="E541" s="38" t="s">
        <v>13</v>
      </c>
      <c r="F541" s="38" t="s">
        <v>13</v>
      </c>
      <c r="G541" s="38" t="s">
        <v>13</v>
      </c>
      <c r="H541" s="51" t="s">
        <v>4617</v>
      </c>
    </row>
    <row r="542">
      <c r="A542" s="38">
        <v>540.0</v>
      </c>
      <c r="B542" s="38" t="s">
        <v>2324</v>
      </c>
      <c r="C542" s="38" t="s">
        <v>1731</v>
      </c>
      <c r="D542" s="38">
        <v>3.272083E7</v>
      </c>
      <c r="E542" s="38" t="s">
        <v>13</v>
      </c>
      <c r="F542" s="38" t="s">
        <v>1731</v>
      </c>
      <c r="G542" s="38" t="s">
        <v>1731</v>
      </c>
      <c r="H542" s="51" t="s">
        <v>4617</v>
      </c>
    </row>
    <row r="543">
      <c r="A543" s="38">
        <v>541.0</v>
      </c>
      <c r="B543" s="38" t="s">
        <v>2324</v>
      </c>
      <c r="C543" s="38" t="s">
        <v>13</v>
      </c>
      <c r="D543" s="38">
        <v>1.2717087E8</v>
      </c>
      <c r="E543" s="38" t="s">
        <v>13</v>
      </c>
      <c r="F543" s="38" t="s">
        <v>13</v>
      </c>
      <c r="G543" s="38" t="s">
        <v>13</v>
      </c>
      <c r="H543" s="51" t="s">
        <v>4617</v>
      </c>
    </row>
    <row r="544">
      <c r="A544" s="38">
        <v>542.0</v>
      </c>
      <c r="B544" s="38" t="s">
        <v>2325</v>
      </c>
      <c r="C544" s="38">
        <v>8.0</v>
      </c>
      <c r="D544" s="38" t="s">
        <v>13</v>
      </c>
      <c r="E544" s="38" t="s">
        <v>13</v>
      </c>
      <c r="F544" s="38" t="s">
        <v>13</v>
      </c>
      <c r="G544" s="38" t="s">
        <v>1787</v>
      </c>
      <c r="H544" s="51" t="s">
        <v>4617</v>
      </c>
    </row>
    <row r="545">
      <c r="A545" s="38">
        <v>543.0</v>
      </c>
      <c r="B545" s="38" t="s">
        <v>2326</v>
      </c>
      <c r="C545" s="38">
        <v>13.0</v>
      </c>
      <c r="D545" s="38" t="s">
        <v>13</v>
      </c>
      <c r="E545" s="38" t="s">
        <v>13</v>
      </c>
      <c r="F545" s="38" t="s">
        <v>13</v>
      </c>
      <c r="G545" s="38" t="s">
        <v>1804</v>
      </c>
      <c r="H545" s="51" t="s">
        <v>4617</v>
      </c>
    </row>
    <row r="546">
      <c r="A546" s="38">
        <v>544.0</v>
      </c>
      <c r="B546" s="38" t="s">
        <v>2327</v>
      </c>
      <c r="C546" s="38" t="s">
        <v>13</v>
      </c>
      <c r="D546" s="38" t="s">
        <v>13</v>
      </c>
      <c r="E546" s="38" t="s">
        <v>13</v>
      </c>
      <c r="F546" s="38" t="s">
        <v>13</v>
      </c>
      <c r="G546" s="38" t="s">
        <v>1742</v>
      </c>
      <c r="H546" s="51" t="s">
        <v>4617</v>
      </c>
    </row>
    <row r="547">
      <c r="A547" s="38">
        <v>545.0</v>
      </c>
      <c r="B547" s="38" t="s">
        <v>2328</v>
      </c>
      <c r="C547" s="38">
        <v>23.0</v>
      </c>
      <c r="D547" s="38"/>
      <c r="E547" s="38"/>
      <c r="F547" s="38"/>
      <c r="G547" s="38" t="s">
        <v>2329</v>
      </c>
      <c r="H547" s="51" t="s">
        <v>4617</v>
      </c>
    </row>
    <row r="548">
      <c r="A548" s="38">
        <v>546.0</v>
      </c>
      <c r="B548" s="38" t="s">
        <v>2330</v>
      </c>
      <c r="C548" s="38">
        <v>4.0</v>
      </c>
      <c r="D548" s="38"/>
      <c r="E548" s="38"/>
      <c r="F548" s="38"/>
      <c r="G548" s="38" t="s">
        <v>2331</v>
      </c>
      <c r="H548" s="51" t="s">
        <v>4617</v>
      </c>
    </row>
    <row r="549">
      <c r="A549" s="38">
        <v>547.0</v>
      </c>
      <c r="B549" s="38" t="s">
        <v>2332</v>
      </c>
      <c r="C549" s="38"/>
      <c r="D549" s="38"/>
      <c r="E549" s="38"/>
      <c r="F549" s="38"/>
      <c r="G549" s="38" t="s">
        <v>2333</v>
      </c>
      <c r="H549" s="51" t="s">
        <v>4617</v>
      </c>
    </row>
    <row r="550">
      <c r="A550" s="38">
        <v>548.0</v>
      </c>
      <c r="B550" s="38" t="s">
        <v>2334</v>
      </c>
      <c r="C550" s="38" t="s">
        <v>13</v>
      </c>
      <c r="D550" s="38" t="s">
        <v>13</v>
      </c>
      <c r="E550" s="38" t="s">
        <v>13</v>
      </c>
      <c r="F550" s="38" t="s">
        <v>13</v>
      </c>
      <c r="G550" s="38" t="s">
        <v>1742</v>
      </c>
      <c r="H550" s="51" t="s">
        <v>4617</v>
      </c>
    </row>
    <row r="551">
      <c r="A551" s="38">
        <v>549.0</v>
      </c>
      <c r="B551" s="38" t="s">
        <v>2335</v>
      </c>
      <c r="D551" s="38" t="s">
        <v>14</v>
      </c>
      <c r="E551" s="38"/>
      <c r="F551" s="38"/>
      <c r="G551" s="38" t="s">
        <v>15</v>
      </c>
      <c r="H551" s="51" t="s">
        <v>4617</v>
      </c>
    </row>
    <row r="552">
      <c r="A552" s="38">
        <v>550.0</v>
      </c>
      <c r="B552" s="38" t="s">
        <v>2336</v>
      </c>
      <c r="C552" s="38">
        <v>9.0</v>
      </c>
      <c r="D552" s="38"/>
      <c r="E552" s="38"/>
      <c r="F552" s="38"/>
      <c r="G552" s="38" t="s">
        <v>2337</v>
      </c>
      <c r="H552" s="51" t="s">
        <v>4617</v>
      </c>
    </row>
    <row r="553">
      <c r="A553" s="38">
        <v>551.0</v>
      </c>
      <c r="B553" s="38" t="s">
        <v>2338</v>
      </c>
      <c r="C553" s="38">
        <v>10.0</v>
      </c>
      <c r="D553" s="38" t="s">
        <v>13</v>
      </c>
      <c r="E553" s="38" t="s">
        <v>13</v>
      </c>
      <c r="F553" s="38" t="s">
        <v>13</v>
      </c>
      <c r="G553" s="38" t="s">
        <v>13</v>
      </c>
      <c r="H553" s="51" t="s">
        <v>4617</v>
      </c>
    </row>
    <row r="554">
      <c r="A554" s="38">
        <v>552.0</v>
      </c>
      <c r="B554" s="38" t="s">
        <v>2339</v>
      </c>
      <c r="C554" s="38" t="s">
        <v>13</v>
      </c>
      <c r="D554" s="38">
        <v>3.3020891E8</v>
      </c>
      <c r="E554" s="38" t="s">
        <v>13</v>
      </c>
      <c r="F554" s="38" t="s">
        <v>13</v>
      </c>
      <c r="G554" s="38" t="s">
        <v>13</v>
      </c>
      <c r="H554" s="51" t="s">
        <v>4617</v>
      </c>
    </row>
    <row r="555">
      <c r="A555" s="38">
        <v>553.0</v>
      </c>
      <c r="B555" s="38" t="s">
        <v>2340</v>
      </c>
      <c r="C555" s="38"/>
      <c r="D555" s="38"/>
      <c r="E555" s="38"/>
      <c r="F555" s="38"/>
      <c r="G555" s="38" t="s">
        <v>2315</v>
      </c>
      <c r="H555" s="51" t="s">
        <v>4617</v>
      </c>
    </row>
    <row r="556">
      <c r="A556" s="38">
        <v>554.0</v>
      </c>
      <c r="B556" s="38" t="s">
        <v>2341</v>
      </c>
      <c r="C556" s="38" t="s">
        <v>13</v>
      </c>
      <c r="D556" s="38">
        <v>3.4518879E7</v>
      </c>
      <c r="E556" s="38" t="s">
        <v>13</v>
      </c>
      <c r="F556" s="38" t="s">
        <v>13</v>
      </c>
      <c r="G556" s="38" t="s">
        <v>13</v>
      </c>
      <c r="H556" s="51" t="s">
        <v>4617</v>
      </c>
    </row>
    <row r="557">
      <c r="A557" s="38">
        <v>555.0</v>
      </c>
      <c r="B557" s="38" t="s">
        <v>2342</v>
      </c>
      <c r="C557" s="38"/>
      <c r="D557" s="38" t="s">
        <v>14</v>
      </c>
      <c r="E557" s="38"/>
      <c r="F557" s="38"/>
      <c r="G557" s="38" t="s">
        <v>15</v>
      </c>
      <c r="H557" s="51" t="s">
        <v>4617</v>
      </c>
    </row>
    <row r="558">
      <c r="A558" s="38">
        <v>556.0</v>
      </c>
      <c r="B558" s="38" t="s">
        <v>2343</v>
      </c>
      <c r="C558" s="38" t="s">
        <v>13</v>
      </c>
      <c r="D558" s="38">
        <v>1.1638321E8</v>
      </c>
      <c r="E558" s="38" t="s">
        <v>13</v>
      </c>
      <c r="F558" s="38" t="s">
        <v>13</v>
      </c>
      <c r="G558" s="38" t="s">
        <v>13</v>
      </c>
      <c r="H558" s="51" t="s">
        <v>4617</v>
      </c>
    </row>
    <row r="559">
      <c r="A559" s="38">
        <v>557.0</v>
      </c>
      <c r="B559" s="38" t="s">
        <v>2344</v>
      </c>
      <c r="C559" s="38">
        <v>5.0</v>
      </c>
      <c r="D559" s="38"/>
      <c r="E559" s="38"/>
      <c r="F559" s="38"/>
      <c r="G559" s="38" t="s">
        <v>2345</v>
      </c>
      <c r="H559" s="51" t="s">
        <v>4617</v>
      </c>
    </row>
    <row r="560">
      <c r="A560" s="38">
        <v>558.0</v>
      </c>
      <c r="B560" s="38" t="s">
        <v>2346</v>
      </c>
      <c r="C560" s="38">
        <v>57.0</v>
      </c>
      <c r="D560" s="38" t="s">
        <v>13</v>
      </c>
      <c r="E560" s="38" t="s">
        <v>13</v>
      </c>
      <c r="F560" s="38" t="s">
        <v>13</v>
      </c>
      <c r="G560" s="38" t="s">
        <v>2347</v>
      </c>
      <c r="H560" s="51" t="s">
        <v>4617</v>
      </c>
    </row>
    <row r="561">
      <c r="A561" s="38">
        <v>559.0</v>
      </c>
      <c r="B561" s="38" t="s">
        <v>2348</v>
      </c>
      <c r="C561" s="38" t="s">
        <v>13</v>
      </c>
      <c r="D561" s="38" t="s">
        <v>13</v>
      </c>
      <c r="E561" s="38" t="s">
        <v>13</v>
      </c>
      <c r="F561" s="38" t="s">
        <v>13</v>
      </c>
      <c r="G561" s="38" t="s">
        <v>1742</v>
      </c>
      <c r="H561" s="51" t="s">
        <v>4617</v>
      </c>
    </row>
    <row r="562">
      <c r="A562" s="38">
        <v>560.0</v>
      </c>
      <c r="B562" s="38" t="s">
        <v>2349</v>
      </c>
      <c r="C562" s="38"/>
      <c r="D562" s="38"/>
      <c r="E562" s="38"/>
      <c r="F562" s="38"/>
      <c r="G562" s="38" t="s">
        <v>2350</v>
      </c>
      <c r="H562" s="51" t="s">
        <v>4617</v>
      </c>
    </row>
    <row r="563">
      <c r="A563" s="38">
        <v>561.0</v>
      </c>
      <c r="B563" s="38" t="s">
        <v>2351</v>
      </c>
      <c r="C563" s="38">
        <v>10.0</v>
      </c>
      <c r="D563" s="38" t="s">
        <v>13</v>
      </c>
      <c r="E563" s="38" t="s">
        <v>13</v>
      </c>
      <c r="F563" s="38" t="s">
        <v>13</v>
      </c>
      <c r="G563" s="38" t="s">
        <v>2352</v>
      </c>
      <c r="H563" s="51" t="s">
        <v>4617</v>
      </c>
    </row>
    <row r="564">
      <c r="A564" s="38">
        <v>562.0</v>
      </c>
      <c r="B564" s="38" t="s">
        <v>2353</v>
      </c>
      <c r="C564" s="38" t="s">
        <v>13</v>
      </c>
      <c r="D564" s="38">
        <v>6.904629E7</v>
      </c>
      <c r="E564" s="38" t="s">
        <v>13</v>
      </c>
      <c r="F564" s="38" t="s">
        <v>13</v>
      </c>
      <c r="G564" s="38" t="s">
        <v>1748</v>
      </c>
      <c r="H564" s="51" t="s">
        <v>4617</v>
      </c>
    </row>
    <row r="565">
      <c r="A565" s="38">
        <v>563.0</v>
      </c>
      <c r="B565" s="38" t="s">
        <v>2354</v>
      </c>
      <c r="C565" s="38" t="s">
        <v>13</v>
      </c>
      <c r="D565" s="38">
        <v>6904629.0</v>
      </c>
      <c r="E565" s="38" t="s">
        <v>13</v>
      </c>
      <c r="F565" s="38" t="s">
        <v>13</v>
      </c>
      <c r="G565" s="38" t="s">
        <v>13</v>
      </c>
      <c r="H565" s="51" t="s">
        <v>4617</v>
      </c>
    </row>
    <row r="566">
      <c r="A566" s="38">
        <v>564.0</v>
      </c>
      <c r="B566" s="38" t="s">
        <v>2354</v>
      </c>
      <c r="C566" s="38" t="s">
        <v>13</v>
      </c>
      <c r="D566" s="38" t="s">
        <v>13</v>
      </c>
      <c r="E566" s="38" t="s">
        <v>13</v>
      </c>
      <c r="F566" s="38" t="s">
        <v>13</v>
      </c>
      <c r="G566" s="38" t="s">
        <v>1742</v>
      </c>
      <c r="H566" s="51" t="s">
        <v>4617</v>
      </c>
    </row>
    <row r="567">
      <c r="A567" s="38">
        <v>565.0</v>
      </c>
      <c r="B567" s="38" t="s">
        <v>2355</v>
      </c>
      <c r="C567" s="38"/>
      <c r="D567" s="38" t="s">
        <v>14</v>
      </c>
      <c r="E567" s="38"/>
      <c r="F567" s="38"/>
      <c r="G567" s="38" t="s">
        <v>15</v>
      </c>
      <c r="H567" s="51" t="s">
        <v>4617</v>
      </c>
    </row>
    <row r="568">
      <c r="A568" s="38">
        <v>566.0</v>
      </c>
      <c r="B568" s="38" t="s">
        <v>2356</v>
      </c>
      <c r="C568" s="38" t="s">
        <v>13</v>
      </c>
      <c r="D568" s="38" t="s">
        <v>13</v>
      </c>
      <c r="E568" s="38" t="s">
        <v>13</v>
      </c>
      <c r="F568" s="38" t="s">
        <v>13</v>
      </c>
      <c r="G568" s="38" t="s">
        <v>1742</v>
      </c>
      <c r="H568" s="51" t="s">
        <v>4617</v>
      </c>
    </row>
    <row r="569">
      <c r="A569" s="38">
        <v>567.0</v>
      </c>
      <c r="B569" s="38" t="s">
        <v>2357</v>
      </c>
      <c r="C569" s="38" t="s">
        <v>13</v>
      </c>
      <c r="D569" s="38" t="s">
        <v>13</v>
      </c>
      <c r="E569" s="38" t="s">
        <v>13</v>
      </c>
      <c r="F569" s="38" t="s">
        <v>13</v>
      </c>
      <c r="G569" s="38" t="s">
        <v>1742</v>
      </c>
      <c r="H569" s="51" t="s">
        <v>4617</v>
      </c>
    </row>
    <row r="570">
      <c r="A570" s="38">
        <v>568.0</v>
      </c>
      <c r="B570" s="38" t="s">
        <v>2358</v>
      </c>
      <c r="C570" s="38"/>
      <c r="D570" s="38" t="s">
        <v>14</v>
      </c>
      <c r="E570" s="38"/>
      <c r="F570" s="38"/>
      <c r="G570" s="38" t="s">
        <v>15</v>
      </c>
      <c r="H570" s="51" t="s">
        <v>4617</v>
      </c>
    </row>
    <row r="571">
      <c r="A571" s="38">
        <v>569.0</v>
      </c>
      <c r="B571" s="38" t="s">
        <v>2359</v>
      </c>
      <c r="C571" s="38" t="s">
        <v>13</v>
      </c>
      <c r="D571" s="38">
        <v>2.3241059E7</v>
      </c>
      <c r="E571" s="38" t="s">
        <v>13</v>
      </c>
      <c r="F571" s="38" t="s">
        <v>13</v>
      </c>
      <c r="G571" s="38" t="s">
        <v>13</v>
      </c>
      <c r="H571" s="51" t="s">
        <v>4617</v>
      </c>
    </row>
    <row r="572">
      <c r="A572" s="38">
        <v>570.0</v>
      </c>
      <c r="B572" s="38" t="s">
        <v>2360</v>
      </c>
      <c r="C572" s="38" t="s">
        <v>13</v>
      </c>
      <c r="D572" s="38" t="s">
        <v>13</v>
      </c>
      <c r="E572" s="38" t="s">
        <v>13</v>
      </c>
      <c r="F572" s="38" t="s">
        <v>13</v>
      </c>
      <c r="G572" s="38" t="s">
        <v>13</v>
      </c>
      <c r="H572" s="51" t="s">
        <v>4617</v>
      </c>
    </row>
    <row r="573">
      <c r="A573" s="38">
        <v>571.0</v>
      </c>
      <c r="B573" s="38" t="s">
        <v>2361</v>
      </c>
      <c r="C573" s="38" t="s">
        <v>13</v>
      </c>
      <c r="D573" s="38">
        <v>2945823.0</v>
      </c>
      <c r="E573" s="38" t="s">
        <v>13</v>
      </c>
      <c r="F573" s="38" t="s">
        <v>13</v>
      </c>
      <c r="G573" s="38" t="s">
        <v>2362</v>
      </c>
      <c r="H573" s="51" t="s">
        <v>4617</v>
      </c>
    </row>
    <row r="574">
      <c r="A574" s="38">
        <v>572.0</v>
      </c>
      <c r="B574" s="38" t="s">
        <v>2363</v>
      </c>
      <c r="C574" s="38"/>
      <c r="D574" s="38" t="s">
        <v>14</v>
      </c>
      <c r="E574" s="38"/>
      <c r="F574" s="38"/>
      <c r="G574" s="38" t="s">
        <v>2364</v>
      </c>
      <c r="H574" s="51" t="s">
        <v>4617</v>
      </c>
    </row>
    <row r="575">
      <c r="A575" s="38">
        <v>573.0</v>
      </c>
      <c r="B575" s="38" t="s">
        <v>2365</v>
      </c>
      <c r="C575" s="38" t="s">
        <v>13</v>
      </c>
      <c r="D575" s="38">
        <v>2.6372024E7</v>
      </c>
      <c r="E575" s="38" t="s">
        <v>13</v>
      </c>
      <c r="F575" s="38" t="s">
        <v>13</v>
      </c>
      <c r="G575" s="38" t="s">
        <v>13</v>
      </c>
      <c r="H575" s="51" t="s">
        <v>4617</v>
      </c>
    </row>
    <row r="576">
      <c r="A576" s="38">
        <v>574.0</v>
      </c>
      <c r="B576" s="38" t="s">
        <v>2366</v>
      </c>
      <c r="C576" s="38" t="s">
        <v>13</v>
      </c>
      <c r="D576" s="38" t="s">
        <v>13</v>
      </c>
      <c r="E576" s="38" t="s">
        <v>13</v>
      </c>
      <c r="F576" s="38" t="s">
        <v>13</v>
      </c>
      <c r="G576" s="38" t="s">
        <v>1742</v>
      </c>
      <c r="H576" s="51" t="s">
        <v>4617</v>
      </c>
    </row>
    <row r="577">
      <c r="A577" s="38">
        <v>575.0</v>
      </c>
      <c r="B577" s="38" t="s">
        <v>2367</v>
      </c>
      <c r="C577" s="38"/>
      <c r="D577" s="38"/>
      <c r="E577" s="38"/>
      <c r="F577" s="38"/>
      <c r="G577" s="38" t="s">
        <v>2368</v>
      </c>
      <c r="H577" s="51" t="s">
        <v>4617</v>
      </c>
    </row>
    <row r="578">
      <c r="A578" s="38">
        <v>576.0</v>
      </c>
      <c r="B578" s="38" t="s">
        <v>2369</v>
      </c>
      <c r="C578" s="38"/>
      <c r="D578" s="38"/>
      <c r="E578" s="38"/>
      <c r="F578" s="38"/>
      <c r="G578" s="38" t="s">
        <v>2370</v>
      </c>
      <c r="H578" s="51" t="s">
        <v>4617</v>
      </c>
    </row>
    <row r="579">
      <c r="A579" s="38">
        <v>577.0</v>
      </c>
      <c r="B579" s="38" t="s">
        <v>2371</v>
      </c>
      <c r="C579" s="38">
        <v>14.0</v>
      </c>
      <c r="D579" s="38" t="s">
        <v>13</v>
      </c>
      <c r="E579" s="38" t="s">
        <v>13</v>
      </c>
      <c r="F579" s="38" t="s">
        <v>13</v>
      </c>
      <c r="G579" s="38" t="s">
        <v>1742</v>
      </c>
      <c r="H579" s="51" t="s">
        <v>4617</v>
      </c>
    </row>
    <row r="580">
      <c r="A580" s="38">
        <v>578.0</v>
      </c>
      <c r="B580" s="38" t="s">
        <v>2372</v>
      </c>
      <c r="C580" s="38">
        <v>14.0</v>
      </c>
      <c r="D580" s="38" t="s">
        <v>13</v>
      </c>
      <c r="E580" s="38" t="s">
        <v>13</v>
      </c>
      <c r="F580" s="38" t="s">
        <v>13</v>
      </c>
      <c r="G580" s="38" t="s">
        <v>1742</v>
      </c>
      <c r="H580" s="51" t="s">
        <v>4617</v>
      </c>
    </row>
    <row r="581">
      <c r="A581" s="38">
        <v>579.0</v>
      </c>
      <c r="B581" s="38" t="s">
        <v>2373</v>
      </c>
      <c r="C581" s="38">
        <v>9.0</v>
      </c>
      <c r="D581" s="38" t="s">
        <v>13</v>
      </c>
      <c r="E581" s="38" t="s">
        <v>13</v>
      </c>
      <c r="F581" s="38" t="s">
        <v>13</v>
      </c>
      <c r="G581" s="38" t="s">
        <v>2374</v>
      </c>
      <c r="H581" s="51" t="s">
        <v>4617</v>
      </c>
    </row>
    <row r="582">
      <c r="A582" s="38">
        <v>580.0</v>
      </c>
      <c r="B582" s="38" t="s">
        <v>2375</v>
      </c>
      <c r="C582" s="38" t="s">
        <v>13</v>
      </c>
      <c r="D582" s="38">
        <v>4718019.0</v>
      </c>
      <c r="E582" s="38" t="s">
        <v>13</v>
      </c>
      <c r="F582" s="38" t="s">
        <v>13</v>
      </c>
      <c r="G582" s="38" t="s">
        <v>13</v>
      </c>
      <c r="H582" s="51" t="s">
        <v>4617</v>
      </c>
    </row>
    <row r="583">
      <c r="A583" s="38">
        <v>581.0</v>
      </c>
      <c r="B583" s="38" t="s">
        <v>2376</v>
      </c>
      <c r="C583" s="38"/>
      <c r="D583" s="38" t="s">
        <v>14</v>
      </c>
      <c r="E583" s="38"/>
      <c r="F583" s="38"/>
      <c r="G583" s="38" t="s">
        <v>15</v>
      </c>
      <c r="H583" s="51" t="s">
        <v>4617</v>
      </c>
    </row>
    <row r="584">
      <c r="A584" s="38">
        <v>582.0</v>
      </c>
      <c r="B584" s="38" t="s">
        <v>2377</v>
      </c>
      <c r="C584" s="38" t="s">
        <v>13</v>
      </c>
      <c r="D584" s="38">
        <v>1.5141012E7</v>
      </c>
      <c r="E584" s="38" t="s">
        <v>13</v>
      </c>
      <c r="F584" s="38" t="s">
        <v>13</v>
      </c>
      <c r="G584" s="38" t="s">
        <v>1729</v>
      </c>
      <c r="H584" s="51" t="s">
        <v>4617</v>
      </c>
    </row>
    <row r="585">
      <c r="A585" s="38">
        <v>583.0</v>
      </c>
      <c r="B585" s="38" t="s">
        <v>2378</v>
      </c>
      <c r="C585" s="38">
        <v>24.0</v>
      </c>
      <c r="D585" s="38" t="s">
        <v>13</v>
      </c>
      <c r="E585" s="38" t="s">
        <v>13</v>
      </c>
      <c r="F585" s="38" t="s">
        <v>13</v>
      </c>
      <c r="G585" s="38" t="s">
        <v>1742</v>
      </c>
      <c r="H585" s="51" t="s">
        <v>4617</v>
      </c>
    </row>
    <row r="586">
      <c r="A586" s="38">
        <v>584.0</v>
      </c>
      <c r="B586" s="38" t="s">
        <v>2379</v>
      </c>
      <c r="C586" s="38" t="s">
        <v>13</v>
      </c>
      <c r="D586" s="38">
        <v>1.2113971E7</v>
      </c>
      <c r="E586" s="38" t="s">
        <v>13</v>
      </c>
      <c r="F586" s="38" t="s">
        <v>13</v>
      </c>
      <c r="G586" s="38" t="s">
        <v>1729</v>
      </c>
      <c r="H586" s="51" t="s">
        <v>4617</v>
      </c>
    </row>
    <row r="587">
      <c r="A587" s="38">
        <v>585.0</v>
      </c>
      <c r="B587" s="38" t="s">
        <v>2380</v>
      </c>
      <c r="C587" s="38"/>
      <c r="D587" s="38" t="s">
        <v>14</v>
      </c>
      <c r="E587" s="38"/>
      <c r="F587" s="38"/>
      <c r="G587" s="38" t="s">
        <v>15</v>
      </c>
      <c r="H587" s="51" t="s">
        <v>4617</v>
      </c>
    </row>
    <row r="588">
      <c r="A588" s="38">
        <v>586.0</v>
      </c>
      <c r="B588" s="38" t="s">
        <v>245</v>
      </c>
      <c r="C588" s="38"/>
      <c r="D588" s="38"/>
      <c r="E588" s="38"/>
      <c r="F588" s="38"/>
      <c r="G588" s="38" t="s">
        <v>2370</v>
      </c>
      <c r="H588" s="51" t="s">
        <v>4617</v>
      </c>
    </row>
    <row r="589">
      <c r="A589" s="38">
        <v>587.0</v>
      </c>
      <c r="B589" s="38" t="s">
        <v>2381</v>
      </c>
      <c r="C589" s="38" t="s">
        <v>13</v>
      </c>
      <c r="D589" s="38" t="s">
        <v>13</v>
      </c>
      <c r="E589" s="38" t="s">
        <v>13</v>
      </c>
      <c r="F589" s="38" t="s">
        <v>13</v>
      </c>
      <c r="G589" s="38" t="s">
        <v>1742</v>
      </c>
      <c r="H589" s="51" t="s">
        <v>4617</v>
      </c>
    </row>
    <row r="590">
      <c r="A590" s="38">
        <v>588.0</v>
      </c>
      <c r="B590" s="38" t="s">
        <v>2382</v>
      </c>
      <c r="C590" s="38" t="s">
        <v>13</v>
      </c>
      <c r="D590" s="38">
        <v>2.8544619E8</v>
      </c>
      <c r="E590" s="38" t="s">
        <v>13</v>
      </c>
      <c r="F590" s="38" t="s">
        <v>13</v>
      </c>
      <c r="G590" s="38" t="s">
        <v>1748</v>
      </c>
      <c r="H590" s="51" t="s">
        <v>4617</v>
      </c>
    </row>
    <row r="591">
      <c r="A591" s="38">
        <v>589.0</v>
      </c>
      <c r="B591" s="38" t="s">
        <v>2383</v>
      </c>
      <c r="C591" s="38" t="s">
        <v>13</v>
      </c>
      <c r="D591" s="38">
        <v>1.3574764E7</v>
      </c>
      <c r="E591" s="38" t="s">
        <v>13</v>
      </c>
      <c r="F591" s="38" t="s">
        <v>13</v>
      </c>
      <c r="G591" s="38" t="s">
        <v>13</v>
      </c>
      <c r="H591" s="51" t="s">
        <v>4617</v>
      </c>
    </row>
    <row r="592">
      <c r="A592" s="38">
        <v>590.0</v>
      </c>
      <c r="B592" s="38" t="s">
        <v>2383</v>
      </c>
      <c r="C592" s="38" t="s">
        <v>1731</v>
      </c>
      <c r="D592" s="38">
        <v>1.3374754E8</v>
      </c>
      <c r="E592" s="38" t="s">
        <v>13</v>
      </c>
      <c r="F592" s="38" t="s">
        <v>1731</v>
      </c>
      <c r="G592" s="38" t="s">
        <v>1731</v>
      </c>
      <c r="H592" s="51" t="s">
        <v>4617</v>
      </c>
    </row>
    <row r="593">
      <c r="A593" s="38">
        <v>591.0</v>
      </c>
      <c r="B593" s="38" t="s">
        <v>2383</v>
      </c>
      <c r="C593" s="38" t="s">
        <v>13</v>
      </c>
      <c r="D593" s="38">
        <v>1.3374764E8</v>
      </c>
      <c r="E593" s="38" t="s">
        <v>13</v>
      </c>
      <c r="F593" s="38" t="s">
        <v>13</v>
      </c>
      <c r="G593" s="38" t="s">
        <v>13</v>
      </c>
      <c r="H593" s="51" t="s">
        <v>4617</v>
      </c>
    </row>
    <row r="594">
      <c r="A594" s="38">
        <v>592.0</v>
      </c>
      <c r="B594" s="38" t="s">
        <v>2384</v>
      </c>
      <c r="C594" s="38" t="s">
        <v>13</v>
      </c>
      <c r="D594" s="38">
        <v>1.3374764E7</v>
      </c>
      <c r="E594" s="38" t="s">
        <v>13</v>
      </c>
      <c r="F594" s="38" t="s">
        <v>13</v>
      </c>
      <c r="G594" s="38" t="s">
        <v>13</v>
      </c>
      <c r="H594" s="51" t="s">
        <v>4617</v>
      </c>
    </row>
    <row r="595">
      <c r="A595" s="38">
        <v>593.0</v>
      </c>
      <c r="B595" s="38" t="s">
        <v>2385</v>
      </c>
      <c r="C595" s="38"/>
      <c r="D595" s="38"/>
      <c r="E595" s="38"/>
      <c r="F595" s="38"/>
      <c r="G595" s="38" t="s">
        <v>2386</v>
      </c>
      <c r="H595" s="51" t="s">
        <v>4617</v>
      </c>
    </row>
    <row r="596">
      <c r="A596" s="38">
        <v>594.0</v>
      </c>
      <c r="B596" s="38" t="s">
        <v>2387</v>
      </c>
      <c r="C596" s="38"/>
      <c r="D596" s="38" t="s">
        <v>14</v>
      </c>
      <c r="E596" s="38"/>
      <c r="F596" s="38"/>
      <c r="G596" s="38" t="s">
        <v>15</v>
      </c>
      <c r="H596" s="51" t="s">
        <v>4617</v>
      </c>
    </row>
    <row r="597">
      <c r="A597" s="38">
        <v>595.0</v>
      </c>
      <c r="B597" s="38" t="s">
        <v>2388</v>
      </c>
      <c r="C597" s="38" t="s">
        <v>13</v>
      </c>
      <c r="D597" s="38">
        <v>1.7856045E7</v>
      </c>
      <c r="E597" s="38" t="s">
        <v>13</v>
      </c>
      <c r="F597" s="38" t="s">
        <v>13</v>
      </c>
      <c r="G597" s="38" t="s">
        <v>13</v>
      </c>
      <c r="H597" s="51" t="s">
        <v>4617</v>
      </c>
    </row>
    <row r="598">
      <c r="A598" s="38">
        <v>596.0</v>
      </c>
      <c r="B598" s="38" t="s">
        <v>2389</v>
      </c>
      <c r="C598" s="38"/>
      <c r="D598" s="38"/>
      <c r="E598" s="38"/>
      <c r="F598" s="38"/>
      <c r="G598" s="38" t="s">
        <v>2390</v>
      </c>
      <c r="H598" s="51" t="s">
        <v>4617</v>
      </c>
    </row>
    <row r="599">
      <c r="A599" s="38">
        <v>597.0</v>
      </c>
      <c r="B599" s="38" t="s">
        <v>2391</v>
      </c>
      <c r="C599" s="38">
        <v>11.0</v>
      </c>
      <c r="D599" s="38" t="s">
        <v>13</v>
      </c>
      <c r="E599" s="38" t="s">
        <v>13</v>
      </c>
      <c r="F599" s="38" t="s">
        <v>13</v>
      </c>
      <c r="G599" s="38" t="s">
        <v>1804</v>
      </c>
      <c r="H599" s="51" t="s">
        <v>4617</v>
      </c>
    </row>
    <row r="600">
      <c r="A600" s="38">
        <v>598.0</v>
      </c>
      <c r="B600" s="38" t="s">
        <v>2392</v>
      </c>
      <c r="C600" s="38">
        <v>11.0</v>
      </c>
      <c r="D600" s="38" t="s">
        <v>13</v>
      </c>
      <c r="E600" s="38" t="s">
        <v>13</v>
      </c>
      <c r="F600" s="38" t="s">
        <v>13</v>
      </c>
      <c r="G600" s="38" t="s">
        <v>452</v>
      </c>
      <c r="H600" s="51" t="s">
        <v>4617</v>
      </c>
    </row>
    <row r="601">
      <c r="A601" s="38">
        <v>599.0</v>
      </c>
      <c r="B601" s="38" t="s">
        <v>2393</v>
      </c>
      <c r="C601" s="38" t="s">
        <v>13</v>
      </c>
      <c r="D601" s="38">
        <v>1.1517536E8</v>
      </c>
      <c r="E601" s="38" t="s">
        <v>13</v>
      </c>
      <c r="F601" s="38" t="s">
        <v>13</v>
      </c>
      <c r="G601" s="38" t="s">
        <v>13</v>
      </c>
      <c r="H601" s="51" t="s">
        <v>4617</v>
      </c>
    </row>
    <row r="602">
      <c r="A602" s="38">
        <v>600.0</v>
      </c>
      <c r="B602" s="38" t="s">
        <v>2394</v>
      </c>
      <c r="C602" s="38" t="s">
        <v>1731</v>
      </c>
      <c r="D602" s="38">
        <v>3.10451588E9</v>
      </c>
      <c r="E602" s="38" t="s">
        <v>13</v>
      </c>
      <c r="F602" s="38" t="s">
        <v>1731</v>
      </c>
      <c r="G602" s="38" t="s">
        <v>1731</v>
      </c>
      <c r="H602" s="51" t="s">
        <v>4617</v>
      </c>
    </row>
    <row r="603">
      <c r="A603" s="38">
        <v>601.0</v>
      </c>
      <c r="B603" s="38" t="s">
        <v>2395</v>
      </c>
      <c r="C603" s="38" t="s">
        <v>13</v>
      </c>
      <c r="D603" s="38">
        <v>3.4054588E8</v>
      </c>
      <c r="E603" s="38" t="s">
        <v>13</v>
      </c>
      <c r="F603" s="38" t="s">
        <v>13</v>
      </c>
      <c r="G603" s="38" t="s">
        <v>13</v>
      </c>
      <c r="H603" s="51" t="s">
        <v>4617</v>
      </c>
    </row>
    <row r="604">
      <c r="A604" s="38">
        <v>602.0</v>
      </c>
      <c r="B604" s="38" t="s">
        <v>2396</v>
      </c>
      <c r="C604" s="38"/>
      <c r="D604" s="38" t="s">
        <v>14</v>
      </c>
      <c r="E604" s="38"/>
      <c r="F604" s="38"/>
      <c r="G604" s="38" t="s">
        <v>15</v>
      </c>
      <c r="H604" s="51" t="s">
        <v>4617</v>
      </c>
    </row>
    <row r="605">
      <c r="A605" s="38">
        <v>603.0</v>
      </c>
      <c r="B605" s="38" t="s">
        <v>2397</v>
      </c>
      <c r="C605" s="38" t="s">
        <v>13</v>
      </c>
      <c r="D605" s="38">
        <v>1.2717087E7</v>
      </c>
      <c r="E605" s="38" t="s">
        <v>13</v>
      </c>
      <c r="F605" s="38" t="s">
        <v>13</v>
      </c>
      <c r="G605" s="38" t="s">
        <v>13</v>
      </c>
      <c r="H605" s="51" t="s">
        <v>4617</v>
      </c>
    </row>
    <row r="606">
      <c r="A606" s="38">
        <v>604.0</v>
      </c>
      <c r="B606" s="38" t="s">
        <v>2398</v>
      </c>
      <c r="D606" s="38" t="s">
        <v>14</v>
      </c>
      <c r="E606" s="38"/>
      <c r="F606" s="38"/>
      <c r="G606" s="38" t="s">
        <v>15</v>
      </c>
      <c r="H606" s="51" t="s">
        <v>4617</v>
      </c>
    </row>
    <row r="607">
      <c r="A607" s="38">
        <v>605.0</v>
      </c>
      <c r="B607" s="38" t="s">
        <v>2399</v>
      </c>
      <c r="C607" s="38">
        <v>8.0</v>
      </c>
      <c r="D607" s="38" t="s">
        <v>13</v>
      </c>
      <c r="E607" s="38" t="s">
        <v>13</v>
      </c>
      <c r="F607" s="38" t="s">
        <v>13</v>
      </c>
      <c r="G607" s="38" t="s">
        <v>1826</v>
      </c>
      <c r="H607" s="51" t="s">
        <v>4617</v>
      </c>
    </row>
    <row r="608">
      <c r="A608" s="38">
        <v>606.0</v>
      </c>
      <c r="B608" s="38" t="s">
        <v>2400</v>
      </c>
      <c r="C608" s="38">
        <v>7.0</v>
      </c>
      <c r="D608" s="38" t="s">
        <v>14</v>
      </c>
      <c r="E608" s="38"/>
      <c r="F608" s="38"/>
      <c r="G608" s="38" t="s">
        <v>2401</v>
      </c>
      <c r="H608" s="51" t="s">
        <v>4617</v>
      </c>
    </row>
    <row r="609">
      <c r="A609" s="38">
        <v>607.0</v>
      </c>
      <c r="B609" s="38" t="s">
        <v>2402</v>
      </c>
      <c r="C609" s="38">
        <v>3.0</v>
      </c>
      <c r="D609" s="38"/>
      <c r="E609" s="38"/>
      <c r="F609" s="38"/>
      <c r="G609" s="38" t="s">
        <v>2403</v>
      </c>
      <c r="H609" s="51" t="s">
        <v>4617</v>
      </c>
    </row>
    <row r="610">
      <c r="A610" s="38">
        <v>608.0</v>
      </c>
      <c r="B610" s="38" t="s">
        <v>2404</v>
      </c>
      <c r="C610" s="38" t="s">
        <v>1731</v>
      </c>
      <c r="D610" s="38">
        <v>3.3332603E8</v>
      </c>
      <c r="E610" s="38" t="s">
        <v>13</v>
      </c>
      <c r="F610" s="38" t="s">
        <v>1731</v>
      </c>
      <c r="G610" s="38" t="s">
        <v>2267</v>
      </c>
      <c r="H610" s="51" t="s">
        <v>4617</v>
      </c>
    </row>
    <row r="611">
      <c r="A611" s="38">
        <v>609.0</v>
      </c>
      <c r="B611" s="38" t="s">
        <v>2405</v>
      </c>
      <c r="C611" s="38">
        <v>24.0</v>
      </c>
      <c r="D611" s="38"/>
      <c r="E611" s="38"/>
      <c r="F611" s="38"/>
      <c r="G611" s="38" t="s">
        <v>1903</v>
      </c>
      <c r="H611" s="51" t="s">
        <v>4617</v>
      </c>
    </row>
    <row r="612">
      <c r="A612" s="38">
        <v>610.0</v>
      </c>
      <c r="B612" s="38" t="s">
        <v>2406</v>
      </c>
      <c r="C612" s="38"/>
      <c r="D612" s="38" t="s">
        <v>2407</v>
      </c>
      <c r="E612" s="38"/>
      <c r="F612" s="38"/>
      <c r="G612" s="38" t="s">
        <v>15</v>
      </c>
      <c r="H612" s="51" t="s">
        <v>4617</v>
      </c>
    </row>
    <row r="613">
      <c r="A613" s="38">
        <v>611.0</v>
      </c>
      <c r="B613" s="38" t="s">
        <v>2408</v>
      </c>
      <c r="C613" s="38" t="s">
        <v>13</v>
      </c>
      <c r="D613" s="38">
        <v>1.6125101E8</v>
      </c>
      <c r="E613" s="38" t="s">
        <v>13</v>
      </c>
      <c r="F613" s="38" t="s">
        <v>13</v>
      </c>
      <c r="G613" s="38" t="s">
        <v>13</v>
      </c>
      <c r="H613" s="51" t="s">
        <v>4617</v>
      </c>
    </row>
    <row r="614">
      <c r="A614" s="38">
        <v>612.0</v>
      </c>
      <c r="B614" s="38" t="s">
        <v>2409</v>
      </c>
      <c r="C614" s="38" t="s">
        <v>1731</v>
      </c>
      <c r="D614" s="38">
        <v>1.9367864E8</v>
      </c>
      <c r="E614" s="38" t="s">
        <v>13</v>
      </c>
      <c r="F614" s="38" t="s">
        <v>1731</v>
      </c>
      <c r="G614" s="38" t="s">
        <v>2267</v>
      </c>
      <c r="H614" s="51" t="s">
        <v>4617</v>
      </c>
    </row>
    <row r="615">
      <c r="A615" s="38">
        <v>613.0</v>
      </c>
      <c r="B615" s="38" t="s">
        <v>2410</v>
      </c>
      <c r="C615" s="38" t="s">
        <v>1731</v>
      </c>
      <c r="D615" s="38">
        <v>1.2363837E8</v>
      </c>
      <c r="E615" s="38" t="s">
        <v>13</v>
      </c>
      <c r="F615" s="38" t="s">
        <v>1731</v>
      </c>
      <c r="G615" s="38" t="s">
        <v>1731</v>
      </c>
      <c r="H615" s="51" t="s">
        <v>4617</v>
      </c>
    </row>
    <row r="616">
      <c r="A616" s="38">
        <v>614.0</v>
      </c>
      <c r="B616" s="38" t="s">
        <v>2411</v>
      </c>
      <c r="C616" s="38" t="s">
        <v>13</v>
      </c>
      <c r="D616" s="38">
        <v>3.1760907E8</v>
      </c>
      <c r="E616" s="38" t="s">
        <v>13</v>
      </c>
      <c r="F616" s="38" t="s">
        <v>13</v>
      </c>
      <c r="G616" s="38" t="s">
        <v>1748</v>
      </c>
      <c r="H616" s="51" t="s">
        <v>4617</v>
      </c>
    </row>
    <row r="617">
      <c r="A617" s="38">
        <v>615.0</v>
      </c>
      <c r="B617" s="38" t="s">
        <v>2412</v>
      </c>
      <c r="C617" s="38"/>
      <c r="D617" s="38" t="s">
        <v>14</v>
      </c>
      <c r="E617" s="38"/>
      <c r="F617" s="38"/>
      <c r="G617" s="38" t="s">
        <v>15</v>
      </c>
      <c r="H617" s="51" t="s">
        <v>4617</v>
      </c>
    </row>
    <row r="618">
      <c r="A618" s="38">
        <v>616.0</v>
      </c>
      <c r="B618" s="38" t="s">
        <v>2413</v>
      </c>
      <c r="C618" s="38"/>
      <c r="D618" s="38" t="s">
        <v>14</v>
      </c>
      <c r="E618" s="38"/>
      <c r="F618" s="38"/>
      <c r="G618" s="38" t="s">
        <v>2414</v>
      </c>
      <c r="H618" s="51" t="s">
        <v>4617</v>
      </c>
    </row>
    <row r="619">
      <c r="A619" s="38">
        <v>617.0</v>
      </c>
      <c r="B619" s="38" t="s">
        <v>2415</v>
      </c>
      <c r="C619" s="38" t="s">
        <v>13</v>
      </c>
      <c r="D619" s="38">
        <v>2.405878E8</v>
      </c>
      <c r="E619" s="38" t="s">
        <v>13</v>
      </c>
      <c r="F619" s="38" t="s">
        <v>13</v>
      </c>
      <c r="G619" s="38" t="s">
        <v>1847</v>
      </c>
      <c r="H619" s="51" t="s">
        <v>4617</v>
      </c>
    </row>
    <row r="620">
      <c r="A620" s="38">
        <v>618.0</v>
      </c>
      <c r="B620" s="38" t="s">
        <v>2416</v>
      </c>
      <c r="C620" s="38" t="s">
        <v>13</v>
      </c>
      <c r="D620" s="38">
        <v>2.405878E7</v>
      </c>
      <c r="E620" s="38" t="s">
        <v>13</v>
      </c>
      <c r="F620" s="38" t="s">
        <v>13</v>
      </c>
      <c r="G620" s="38" t="s">
        <v>13</v>
      </c>
      <c r="H620" s="51" t="s">
        <v>4617</v>
      </c>
    </row>
    <row r="621">
      <c r="A621" s="38">
        <v>619.0</v>
      </c>
      <c r="B621" s="38" t="s">
        <v>2417</v>
      </c>
      <c r="C621" s="38" t="s">
        <v>13</v>
      </c>
      <c r="D621" s="38">
        <v>1.0384289E8</v>
      </c>
      <c r="E621" s="38" t="s">
        <v>13</v>
      </c>
      <c r="F621" s="38" t="s">
        <v>13</v>
      </c>
      <c r="G621" s="38" t="s">
        <v>13</v>
      </c>
      <c r="H621" s="51" t="s">
        <v>4617</v>
      </c>
    </row>
    <row r="622">
      <c r="A622" s="38">
        <v>620.0</v>
      </c>
      <c r="B622" s="38" t="s">
        <v>2418</v>
      </c>
      <c r="C622" s="38"/>
      <c r="D622" s="38" t="s">
        <v>14</v>
      </c>
      <c r="E622" s="38"/>
      <c r="F622" s="38"/>
      <c r="G622" s="38" t="s">
        <v>15</v>
      </c>
      <c r="H622" s="51" t="s">
        <v>4617</v>
      </c>
    </row>
    <row r="623">
      <c r="A623" s="38">
        <v>621.0</v>
      </c>
      <c r="B623" s="38" t="s">
        <v>2419</v>
      </c>
      <c r="C623" s="38" t="s">
        <v>13</v>
      </c>
      <c r="D623" s="38">
        <v>3.1948173E8</v>
      </c>
      <c r="E623" s="38" t="s">
        <v>13</v>
      </c>
      <c r="F623" s="38" t="s">
        <v>13</v>
      </c>
      <c r="G623" s="38" t="s">
        <v>13</v>
      </c>
      <c r="H623" s="51" t="s">
        <v>4617</v>
      </c>
    </row>
    <row r="624">
      <c r="A624" s="38">
        <v>622.0</v>
      </c>
      <c r="B624" s="38" t="s">
        <v>2420</v>
      </c>
      <c r="C624" s="38" t="s">
        <v>1731</v>
      </c>
      <c r="D624" s="38">
        <v>2.5812328E8</v>
      </c>
      <c r="E624" s="38" t="s">
        <v>13</v>
      </c>
      <c r="F624" s="38" t="s">
        <v>1731</v>
      </c>
      <c r="G624" s="38" t="s">
        <v>1731</v>
      </c>
      <c r="H624" s="51" t="s">
        <v>4617</v>
      </c>
    </row>
    <row r="625">
      <c r="A625" s="38">
        <v>623.0</v>
      </c>
      <c r="B625" s="38" t="s">
        <v>2421</v>
      </c>
      <c r="C625" s="38" t="s">
        <v>13</v>
      </c>
      <c r="D625" s="38">
        <v>2.5872328E8</v>
      </c>
      <c r="E625" s="38" t="s">
        <v>13</v>
      </c>
      <c r="F625" s="38" t="s">
        <v>13</v>
      </c>
      <c r="G625" s="38" t="s">
        <v>13</v>
      </c>
      <c r="H625" s="51" t="s">
        <v>4617</v>
      </c>
    </row>
    <row r="626">
      <c r="A626" s="38">
        <v>624.0</v>
      </c>
      <c r="B626" s="38" t="s">
        <v>2422</v>
      </c>
      <c r="C626" s="38" t="s">
        <v>13</v>
      </c>
      <c r="D626" s="38">
        <v>3.0072743E8</v>
      </c>
      <c r="E626" s="38" t="s">
        <v>13</v>
      </c>
      <c r="F626" s="38" t="s">
        <v>13</v>
      </c>
      <c r="G626" s="38" t="s">
        <v>13</v>
      </c>
      <c r="H626" s="51" t="s">
        <v>4617</v>
      </c>
    </row>
    <row r="627">
      <c r="A627" s="38">
        <v>625.0</v>
      </c>
      <c r="B627" s="38" t="s">
        <v>2423</v>
      </c>
      <c r="C627" s="38">
        <v>3.0</v>
      </c>
      <c r="D627" s="38" t="s">
        <v>13</v>
      </c>
      <c r="E627" s="38" t="s">
        <v>13</v>
      </c>
      <c r="F627" s="38" t="s">
        <v>13</v>
      </c>
      <c r="G627" s="38" t="s">
        <v>13</v>
      </c>
      <c r="H627" s="51" t="s">
        <v>4617</v>
      </c>
    </row>
    <row r="628">
      <c r="A628" s="38">
        <v>626.0</v>
      </c>
      <c r="B628" s="38" t="s">
        <v>2424</v>
      </c>
      <c r="C628" s="38"/>
      <c r="D628" s="38" t="s">
        <v>14</v>
      </c>
      <c r="E628" s="38"/>
      <c r="F628" s="38"/>
      <c r="G628" s="79" t="s">
        <v>2425</v>
      </c>
      <c r="H628" s="51" t="s">
        <v>4617</v>
      </c>
    </row>
    <row r="629">
      <c r="A629" s="38">
        <v>627.0</v>
      </c>
      <c r="B629" s="38" t="s">
        <v>2426</v>
      </c>
      <c r="C629" s="38" t="s">
        <v>13</v>
      </c>
      <c r="D629" s="38">
        <v>5.199693E7</v>
      </c>
      <c r="E629" s="38" t="s">
        <v>13</v>
      </c>
      <c r="F629" s="38" t="s">
        <v>13</v>
      </c>
      <c r="G629" s="38" t="s">
        <v>13</v>
      </c>
      <c r="H629" s="51" t="s">
        <v>4617</v>
      </c>
    </row>
    <row r="630">
      <c r="A630" s="38">
        <v>628.0</v>
      </c>
      <c r="B630" s="38" t="s">
        <v>2427</v>
      </c>
      <c r="C630" s="38">
        <v>1.0</v>
      </c>
      <c r="D630" s="38" t="s">
        <v>13</v>
      </c>
      <c r="E630" s="38" t="s">
        <v>13</v>
      </c>
      <c r="F630" s="38" t="s">
        <v>13</v>
      </c>
      <c r="G630" s="38" t="s">
        <v>13</v>
      </c>
      <c r="H630" s="51" t="s">
        <v>4617</v>
      </c>
    </row>
    <row r="631">
      <c r="A631" s="38">
        <v>629.0</v>
      </c>
      <c r="B631" s="38" t="s">
        <v>2428</v>
      </c>
      <c r="C631" s="38" t="s">
        <v>13</v>
      </c>
      <c r="D631" s="38">
        <v>5.199652E7</v>
      </c>
      <c r="E631" s="38" t="s">
        <v>13</v>
      </c>
      <c r="F631" s="38" t="s">
        <v>13</v>
      </c>
      <c r="G631" s="38" t="s">
        <v>1748</v>
      </c>
      <c r="H631" s="51" t="s">
        <v>4617</v>
      </c>
    </row>
    <row r="632">
      <c r="A632" s="38">
        <v>630.0</v>
      </c>
      <c r="B632" s="38" t="s">
        <v>2429</v>
      </c>
      <c r="C632" s="38">
        <v>1.0</v>
      </c>
      <c r="D632" s="38" t="s">
        <v>13</v>
      </c>
      <c r="E632" s="38" t="s">
        <v>13</v>
      </c>
      <c r="F632" s="38" t="s">
        <v>13</v>
      </c>
      <c r="G632" s="38" t="s">
        <v>452</v>
      </c>
      <c r="H632" s="51" t="s">
        <v>4617</v>
      </c>
    </row>
    <row r="633">
      <c r="A633" s="38">
        <v>631.0</v>
      </c>
      <c r="B633" s="38" t="s">
        <v>2430</v>
      </c>
      <c r="C633" s="38" t="s">
        <v>1731</v>
      </c>
      <c r="D633" s="38">
        <v>6.4488239E8</v>
      </c>
      <c r="E633" s="38" t="s">
        <v>13</v>
      </c>
      <c r="F633" s="38" t="s">
        <v>1731</v>
      </c>
      <c r="G633" s="38" t="s">
        <v>1731</v>
      </c>
      <c r="H633" s="51" t="s">
        <v>4617</v>
      </c>
    </row>
    <row r="634">
      <c r="A634" s="38">
        <v>632.0</v>
      </c>
      <c r="B634" s="38" t="s">
        <v>2430</v>
      </c>
      <c r="C634" s="38" t="s">
        <v>13</v>
      </c>
      <c r="D634" s="38">
        <v>6.448839E7</v>
      </c>
      <c r="E634" s="38" t="s">
        <v>13</v>
      </c>
      <c r="F634" s="38" t="s">
        <v>13</v>
      </c>
      <c r="G634" s="38" t="s">
        <v>13</v>
      </c>
      <c r="H634" s="51" t="s">
        <v>4617</v>
      </c>
    </row>
    <row r="635">
      <c r="A635" s="38">
        <v>633.0</v>
      </c>
      <c r="B635" s="38" t="s">
        <v>2431</v>
      </c>
      <c r="C635" s="38" t="s">
        <v>13</v>
      </c>
      <c r="D635" s="38">
        <v>3883440.0</v>
      </c>
      <c r="E635" s="38" t="s">
        <v>13</v>
      </c>
      <c r="F635" s="38" t="s">
        <v>13</v>
      </c>
      <c r="G635" s="38" t="s">
        <v>2069</v>
      </c>
      <c r="H635" s="51" t="s">
        <v>4617</v>
      </c>
    </row>
    <row r="636">
      <c r="A636" s="38">
        <v>634.0</v>
      </c>
      <c r="B636" s="38" t="s">
        <v>2431</v>
      </c>
      <c r="C636" s="38" t="s">
        <v>13</v>
      </c>
      <c r="D636" s="38">
        <v>3.883421E7</v>
      </c>
      <c r="E636" s="38" t="s">
        <v>13</v>
      </c>
      <c r="F636" s="38" t="s">
        <v>13</v>
      </c>
      <c r="G636" s="38" t="s">
        <v>13</v>
      </c>
      <c r="H636" s="51" t="s">
        <v>4617</v>
      </c>
    </row>
    <row r="637">
      <c r="A637" s="38">
        <v>635.0</v>
      </c>
      <c r="B637" s="38" t="s">
        <v>2432</v>
      </c>
      <c r="C637" s="38" t="s">
        <v>13</v>
      </c>
      <c r="D637" s="38">
        <v>2.6372024E8</v>
      </c>
      <c r="E637" s="38" t="s">
        <v>13</v>
      </c>
      <c r="F637" s="38" t="s">
        <v>13</v>
      </c>
      <c r="G637" s="38" t="s">
        <v>13</v>
      </c>
      <c r="H637" s="51" t="s">
        <v>4617</v>
      </c>
    </row>
    <row r="638">
      <c r="A638" s="38">
        <v>636.0</v>
      </c>
      <c r="B638" s="38" t="s">
        <v>2433</v>
      </c>
      <c r="C638" s="38" t="s">
        <v>13</v>
      </c>
      <c r="D638" s="38" t="s">
        <v>13</v>
      </c>
      <c r="E638" s="38" t="s">
        <v>13</v>
      </c>
      <c r="F638" s="38" t="s">
        <v>13</v>
      </c>
      <c r="G638" s="38" t="s">
        <v>1742</v>
      </c>
      <c r="H638" s="51" t="s">
        <v>4617</v>
      </c>
    </row>
    <row r="639">
      <c r="A639" s="38">
        <v>637.0</v>
      </c>
      <c r="B639" s="38" t="s">
        <v>2434</v>
      </c>
      <c r="C639" s="38" t="s">
        <v>13</v>
      </c>
      <c r="D639" s="38" t="s">
        <v>13</v>
      </c>
      <c r="E639" s="38" t="s">
        <v>13</v>
      </c>
      <c r="F639" s="38" t="s">
        <v>13</v>
      </c>
      <c r="G639" s="38" t="s">
        <v>1742</v>
      </c>
      <c r="H639" s="51" t="s">
        <v>4617</v>
      </c>
    </row>
    <row r="640">
      <c r="A640" s="38">
        <v>638.0</v>
      </c>
      <c r="B640" s="38" t="s">
        <v>2435</v>
      </c>
      <c r="C640" s="38" t="s">
        <v>13</v>
      </c>
      <c r="D640" s="38">
        <v>1.5544792E7</v>
      </c>
      <c r="E640" s="38" t="s">
        <v>13</v>
      </c>
      <c r="F640" s="38" t="s">
        <v>13</v>
      </c>
      <c r="G640" s="38" t="s">
        <v>1729</v>
      </c>
      <c r="H640" s="51" t="s">
        <v>4617</v>
      </c>
    </row>
    <row r="641">
      <c r="A641" s="38">
        <v>639.0</v>
      </c>
      <c r="B641" s="38" t="s">
        <v>2436</v>
      </c>
      <c r="C641" s="38" t="s">
        <v>13</v>
      </c>
      <c r="D641" s="38">
        <v>2.7044236E7</v>
      </c>
      <c r="E641" s="38" t="s">
        <v>13</v>
      </c>
      <c r="F641" s="38" t="s">
        <v>13</v>
      </c>
      <c r="G641" s="38" t="s">
        <v>13</v>
      </c>
      <c r="H641" s="51" t="s">
        <v>4617</v>
      </c>
    </row>
    <row r="642">
      <c r="A642" s="38">
        <v>640.0</v>
      </c>
      <c r="B642" s="38" t="s">
        <v>2437</v>
      </c>
      <c r="C642" s="38" t="s">
        <v>13</v>
      </c>
      <c r="D642" s="38">
        <v>6.092167E7</v>
      </c>
      <c r="E642" s="38" t="s">
        <v>13</v>
      </c>
      <c r="F642" s="38" t="s">
        <v>13</v>
      </c>
      <c r="G642" s="38" t="s">
        <v>13</v>
      </c>
      <c r="H642" s="51" t="s">
        <v>4617</v>
      </c>
    </row>
    <row r="643">
      <c r="A643" s="38">
        <v>641.0</v>
      </c>
      <c r="B643" s="38" t="s">
        <v>2437</v>
      </c>
      <c r="C643" s="38" t="s">
        <v>1731</v>
      </c>
      <c r="D643" s="38">
        <v>6.0921617E8</v>
      </c>
      <c r="E643" s="38" t="s">
        <v>13</v>
      </c>
      <c r="F643" s="38" t="s">
        <v>1731</v>
      </c>
      <c r="G643" s="38" t="s">
        <v>1731</v>
      </c>
      <c r="H643" s="51" t="s">
        <v>4617</v>
      </c>
    </row>
    <row r="644">
      <c r="A644" s="4"/>
      <c r="B644" s="4"/>
      <c r="C644" s="4"/>
      <c r="D644" s="4"/>
      <c r="E644" s="4"/>
      <c r="F644" s="4"/>
      <c r="G644" s="4"/>
    </row>
    <row r="645">
      <c r="A645" s="51">
        <v>1.0</v>
      </c>
      <c r="B645" s="60" t="s">
        <v>3696</v>
      </c>
      <c r="C645" s="60" t="s">
        <v>4618</v>
      </c>
      <c r="D645" s="60">
        <v>1.5615565E7</v>
      </c>
      <c r="E645" s="62" t="s">
        <v>4619</v>
      </c>
      <c r="F645" s="60" t="s">
        <v>3428</v>
      </c>
      <c r="H645" s="60" t="s">
        <v>4620</v>
      </c>
      <c r="I645" s="63">
        <v>0.875</v>
      </c>
      <c r="J645" s="61"/>
      <c r="K645" s="57"/>
    </row>
    <row r="646">
      <c r="A646" s="51">
        <v>2.0</v>
      </c>
      <c r="B646" s="60" t="s">
        <v>3427</v>
      </c>
      <c r="C646" s="64"/>
      <c r="D646" s="61"/>
      <c r="E646" s="62" t="s">
        <v>4619</v>
      </c>
      <c r="F646" s="60" t="s">
        <v>3428</v>
      </c>
      <c r="H646" s="60" t="s">
        <v>4620</v>
      </c>
      <c r="I646" s="63">
        <v>0.875</v>
      </c>
      <c r="J646" s="61"/>
      <c r="K646" s="57"/>
    </row>
    <row r="647">
      <c r="A647" s="51">
        <v>3.0</v>
      </c>
      <c r="B647" s="60" t="s">
        <v>3430</v>
      </c>
      <c r="C647" s="60" t="s">
        <v>3431</v>
      </c>
      <c r="D647" s="61"/>
      <c r="E647" s="62" t="s">
        <v>4619</v>
      </c>
      <c r="F647" s="60" t="s">
        <v>3428</v>
      </c>
      <c r="H647" s="60" t="s">
        <v>4620</v>
      </c>
      <c r="I647" s="63">
        <v>0.875</v>
      </c>
      <c r="J647" s="61"/>
      <c r="K647" s="57"/>
    </row>
    <row r="648">
      <c r="A648" s="51">
        <v>4.0</v>
      </c>
      <c r="B648" s="60" t="s">
        <v>3432</v>
      </c>
      <c r="C648" s="60" t="s">
        <v>3433</v>
      </c>
      <c r="D648" s="61"/>
      <c r="E648" s="62" t="s">
        <v>4619</v>
      </c>
      <c r="F648" s="60" t="s">
        <v>3428</v>
      </c>
      <c r="H648" s="60" t="s">
        <v>4620</v>
      </c>
      <c r="I648" s="63">
        <v>0.875</v>
      </c>
      <c r="J648" s="61"/>
      <c r="K648" s="57"/>
    </row>
    <row r="649">
      <c r="A649" s="51">
        <v>5.0</v>
      </c>
      <c r="B649" s="60" t="s">
        <v>3434</v>
      </c>
      <c r="C649" s="60" t="s">
        <v>3435</v>
      </c>
      <c r="D649" s="61"/>
      <c r="E649" s="62" t="s">
        <v>4619</v>
      </c>
      <c r="F649" s="60" t="s">
        <v>3428</v>
      </c>
      <c r="H649" s="60" t="s">
        <v>4620</v>
      </c>
      <c r="I649" s="63"/>
      <c r="J649" s="61"/>
      <c r="K649" s="57"/>
    </row>
    <row r="650">
      <c r="A650" s="51">
        <v>6.0</v>
      </c>
      <c r="B650" s="60" t="s">
        <v>3436</v>
      </c>
      <c r="C650" s="60" t="s">
        <v>3437</v>
      </c>
      <c r="D650" s="61"/>
      <c r="E650" s="62" t="s">
        <v>4619</v>
      </c>
      <c r="F650" s="60" t="s">
        <v>3428</v>
      </c>
      <c r="H650" s="60" t="s">
        <v>4620</v>
      </c>
      <c r="I650" s="63">
        <v>0.875</v>
      </c>
      <c r="J650" s="61"/>
      <c r="K650" s="57"/>
    </row>
    <row r="651">
      <c r="A651" s="51">
        <v>7.0</v>
      </c>
      <c r="B651" s="60" t="s">
        <v>3438</v>
      </c>
      <c r="C651" s="60" t="s">
        <v>3439</v>
      </c>
      <c r="D651" s="61"/>
      <c r="E651" s="62" t="s">
        <v>4619</v>
      </c>
      <c r="F651" s="60" t="s">
        <v>3428</v>
      </c>
      <c r="H651" s="60" t="s">
        <v>4620</v>
      </c>
      <c r="I651" s="63">
        <v>0.875</v>
      </c>
      <c r="J651" s="61"/>
      <c r="K651" s="57"/>
    </row>
    <row r="652">
      <c r="A652" s="51">
        <v>8.0</v>
      </c>
      <c r="B652" s="60" t="s">
        <v>3440</v>
      </c>
      <c r="C652" s="60" t="s">
        <v>3441</v>
      </c>
      <c r="D652" s="61"/>
      <c r="E652" s="62" t="s">
        <v>4619</v>
      </c>
      <c r="F652" s="60" t="s">
        <v>3428</v>
      </c>
      <c r="H652" s="60" t="s">
        <v>4620</v>
      </c>
      <c r="I652" s="63">
        <v>0.875</v>
      </c>
      <c r="J652" s="61"/>
      <c r="K652" s="57"/>
    </row>
    <row r="653">
      <c r="A653" s="51">
        <v>9.0</v>
      </c>
      <c r="B653" s="60" t="s">
        <v>3442</v>
      </c>
      <c r="C653" s="60" t="s">
        <v>3443</v>
      </c>
      <c r="D653" s="61"/>
      <c r="E653" s="62" t="s">
        <v>4619</v>
      </c>
      <c r="F653" s="60" t="s">
        <v>3428</v>
      </c>
      <c r="H653" s="60" t="s">
        <v>4620</v>
      </c>
      <c r="I653" s="63">
        <v>0.875</v>
      </c>
      <c r="J653" s="61"/>
      <c r="K653" s="57"/>
    </row>
    <row r="654">
      <c r="A654" s="51">
        <v>10.0</v>
      </c>
      <c r="B654" s="62" t="s">
        <v>3444</v>
      </c>
      <c r="C654" s="64"/>
      <c r="D654" s="61"/>
      <c r="E654" s="62" t="s">
        <v>4619</v>
      </c>
      <c r="F654" s="60" t="s">
        <v>3428</v>
      </c>
      <c r="H654" s="60" t="s">
        <v>4620</v>
      </c>
      <c r="I654" s="63">
        <v>0.875</v>
      </c>
      <c r="J654" s="61"/>
      <c r="K654" s="57"/>
    </row>
    <row r="655">
      <c r="A655" s="51">
        <v>11.0</v>
      </c>
      <c r="B655" s="60" t="s">
        <v>3445</v>
      </c>
      <c r="C655" s="60" t="s">
        <v>3439</v>
      </c>
      <c r="D655" s="61"/>
      <c r="E655" s="62" t="s">
        <v>4619</v>
      </c>
      <c r="F655" s="60" t="s">
        <v>3428</v>
      </c>
      <c r="H655" s="60" t="s">
        <v>4620</v>
      </c>
      <c r="I655" s="63">
        <v>0.875</v>
      </c>
      <c r="J655" s="61"/>
      <c r="K655" s="57"/>
    </row>
    <row r="656">
      <c r="A656" s="51">
        <v>12.0</v>
      </c>
      <c r="B656" s="60" t="s">
        <v>3446</v>
      </c>
      <c r="C656" s="60" t="s">
        <v>3447</v>
      </c>
      <c r="D656" s="61"/>
      <c r="E656" s="62" t="s">
        <v>4619</v>
      </c>
      <c r="F656" s="60" t="s">
        <v>3428</v>
      </c>
      <c r="H656" s="60" t="s">
        <v>4620</v>
      </c>
      <c r="I656" s="63">
        <v>0.875</v>
      </c>
      <c r="J656" s="61"/>
      <c r="K656" s="57"/>
    </row>
    <row r="657">
      <c r="A657" s="51">
        <v>13.0</v>
      </c>
      <c r="B657" s="60" t="s">
        <v>3448</v>
      </c>
      <c r="C657" s="60" t="s">
        <v>3449</v>
      </c>
      <c r="D657" s="61"/>
      <c r="E657" s="62" t="s">
        <v>4619</v>
      </c>
      <c r="F657" s="60" t="s">
        <v>3428</v>
      </c>
      <c r="H657" s="60" t="s">
        <v>4620</v>
      </c>
      <c r="I657" s="63">
        <v>0.875</v>
      </c>
      <c r="J657" s="61"/>
      <c r="K657" s="57"/>
    </row>
    <row r="658">
      <c r="A658" s="51">
        <v>14.0</v>
      </c>
      <c r="B658" s="60" t="s">
        <v>3561</v>
      </c>
      <c r="C658" s="60" t="s">
        <v>3562</v>
      </c>
      <c r="D658" s="61"/>
      <c r="E658" s="62" t="s">
        <v>4619</v>
      </c>
      <c r="F658" s="60" t="s">
        <v>3428</v>
      </c>
      <c r="H658" s="60" t="s">
        <v>4620</v>
      </c>
      <c r="I658" s="63">
        <v>0.875</v>
      </c>
      <c r="J658" s="61"/>
      <c r="K658" s="57"/>
    </row>
    <row r="659">
      <c r="A659" s="51">
        <v>15.0</v>
      </c>
      <c r="B659" s="60" t="s">
        <v>3450</v>
      </c>
      <c r="C659" s="60" t="s">
        <v>3451</v>
      </c>
      <c r="D659" s="61"/>
      <c r="E659" s="62" t="s">
        <v>4619</v>
      </c>
      <c r="F659" s="60" t="s">
        <v>3428</v>
      </c>
      <c r="H659" s="60" t="s">
        <v>4620</v>
      </c>
      <c r="I659" s="63">
        <v>0.875</v>
      </c>
      <c r="J659" s="61"/>
      <c r="K659" s="57"/>
    </row>
    <row r="660">
      <c r="A660" s="51">
        <v>16.0</v>
      </c>
      <c r="B660" s="60" t="s">
        <v>3452</v>
      </c>
      <c r="C660" s="60" t="s">
        <v>3453</v>
      </c>
      <c r="D660" s="61"/>
      <c r="E660" s="62" t="s">
        <v>4619</v>
      </c>
      <c r="F660" s="60" t="s">
        <v>3428</v>
      </c>
      <c r="H660" s="60" t="s">
        <v>4620</v>
      </c>
      <c r="I660" s="63">
        <v>0.875</v>
      </c>
      <c r="J660" s="61"/>
      <c r="K660" s="57"/>
    </row>
    <row r="661">
      <c r="A661" s="51">
        <v>17.0</v>
      </c>
      <c r="B661" s="60" t="s">
        <v>3545</v>
      </c>
      <c r="C661" s="64"/>
      <c r="D661" s="61"/>
      <c r="E661" s="62" t="s">
        <v>4619</v>
      </c>
      <c r="F661" s="60" t="s">
        <v>3428</v>
      </c>
      <c r="H661" s="60" t="s">
        <v>4620</v>
      </c>
      <c r="I661" s="63">
        <v>0.875</v>
      </c>
      <c r="J661" s="61"/>
      <c r="K661" s="57"/>
    </row>
    <row r="662">
      <c r="A662" s="51">
        <v>18.0</v>
      </c>
      <c r="B662" s="60" t="s">
        <v>3454</v>
      </c>
      <c r="C662" s="60" t="s">
        <v>3455</v>
      </c>
      <c r="D662" s="61"/>
      <c r="E662" s="62" t="s">
        <v>4619</v>
      </c>
      <c r="F662" s="60" t="s">
        <v>3428</v>
      </c>
      <c r="H662" s="60" t="s">
        <v>4620</v>
      </c>
      <c r="I662" s="63">
        <v>0.875</v>
      </c>
      <c r="J662" s="61"/>
      <c r="K662" s="57"/>
    </row>
    <row r="663">
      <c r="A663" s="51">
        <v>19.0</v>
      </c>
      <c r="B663" s="60" t="s">
        <v>3456</v>
      </c>
      <c r="C663" s="60" t="s">
        <v>3431</v>
      </c>
      <c r="D663" s="61"/>
      <c r="E663" s="62" t="s">
        <v>4619</v>
      </c>
      <c r="F663" s="60" t="s">
        <v>3428</v>
      </c>
      <c r="H663" s="60" t="s">
        <v>4620</v>
      </c>
      <c r="I663" s="63">
        <v>0.875</v>
      </c>
      <c r="J663" s="61"/>
      <c r="K663" s="57"/>
    </row>
    <row r="664">
      <c r="A664" s="51">
        <v>20.0</v>
      </c>
      <c r="B664" s="60" t="s">
        <v>3457</v>
      </c>
      <c r="C664" s="61"/>
      <c r="D664" s="64"/>
      <c r="E664" s="62" t="s">
        <v>4619</v>
      </c>
      <c r="F664" s="60" t="s">
        <v>3428</v>
      </c>
      <c r="H664" s="60" t="s">
        <v>4620</v>
      </c>
      <c r="I664" s="63">
        <v>0.875</v>
      </c>
      <c r="J664" s="60" t="s">
        <v>3458</v>
      </c>
      <c r="K664" s="57"/>
    </row>
    <row r="665">
      <c r="A665" s="51">
        <v>21.0</v>
      </c>
      <c r="B665" s="60" t="s">
        <v>3571</v>
      </c>
      <c r="C665" s="61"/>
      <c r="D665" s="64"/>
      <c r="E665" s="62" t="s">
        <v>4619</v>
      </c>
      <c r="F665" s="60" t="s">
        <v>3428</v>
      </c>
      <c r="H665" s="60" t="s">
        <v>4620</v>
      </c>
      <c r="I665" s="63">
        <v>0.875</v>
      </c>
      <c r="J665" s="60" t="s">
        <v>3468</v>
      </c>
      <c r="K665" s="57"/>
    </row>
    <row r="666">
      <c r="A666" s="51">
        <v>22.0</v>
      </c>
      <c r="B666" s="60" t="s">
        <v>3459</v>
      </c>
      <c r="C666" s="64"/>
      <c r="D666" s="60" t="s">
        <v>3460</v>
      </c>
      <c r="E666" s="62" t="s">
        <v>4619</v>
      </c>
      <c r="F666" s="60" t="s">
        <v>3428</v>
      </c>
      <c r="H666" s="60" t="s">
        <v>4620</v>
      </c>
      <c r="I666" s="63">
        <v>0.875</v>
      </c>
      <c r="J666" s="60" t="s">
        <v>3461</v>
      </c>
      <c r="K666" s="57"/>
    </row>
    <row r="667">
      <c r="A667" s="51">
        <v>23.0</v>
      </c>
      <c r="B667" s="60" t="s">
        <v>3462</v>
      </c>
      <c r="C667" s="61"/>
      <c r="D667" s="64"/>
      <c r="E667" s="62" t="s">
        <v>4619</v>
      </c>
      <c r="F667" s="60" t="s">
        <v>3428</v>
      </c>
      <c r="H667" s="60" t="s">
        <v>4620</v>
      </c>
      <c r="I667" s="63">
        <v>0.875</v>
      </c>
      <c r="J667" s="60" t="s">
        <v>3463</v>
      </c>
      <c r="K667" s="57"/>
    </row>
    <row r="668">
      <c r="A668" s="51">
        <v>24.0</v>
      </c>
      <c r="B668" s="60" t="s">
        <v>3464</v>
      </c>
      <c r="C668" s="61"/>
      <c r="D668" s="64"/>
      <c r="E668" s="62" t="s">
        <v>4619</v>
      </c>
      <c r="F668" s="60" t="s">
        <v>3428</v>
      </c>
      <c r="H668" s="60" t="s">
        <v>4620</v>
      </c>
      <c r="I668" s="63">
        <v>0.875</v>
      </c>
      <c r="J668" s="60" t="s">
        <v>3465</v>
      </c>
      <c r="K668" s="57"/>
    </row>
    <row r="669">
      <c r="A669" s="51">
        <v>25.0</v>
      </c>
      <c r="B669" s="60" t="s">
        <v>3466</v>
      </c>
      <c r="C669" s="61"/>
      <c r="D669" s="64"/>
      <c r="E669" s="62" t="s">
        <v>4619</v>
      </c>
      <c r="F669" s="60" t="s">
        <v>3428</v>
      </c>
      <c r="H669" s="60" t="s">
        <v>4620</v>
      </c>
      <c r="I669" s="63">
        <v>0.875</v>
      </c>
      <c r="J669" s="60" t="s">
        <v>3465</v>
      </c>
      <c r="K669" s="57"/>
    </row>
    <row r="670">
      <c r="A670" s="51">
        <v>26.0</v>
      </c>
      <c r="B670" s="60" t="s">
        <v>3467</v>
      </c>
      <c r="C670" s="61"/>
      <c r="D670" s="64"/>
      <c r="E670" s="62" t="s">
        <v>4619</v>
      </c>
      <c r="F670" s="60" t="s">
        <v>3428</v>
      </c>
      <c r="H670" s="60" t="s">
        <v>4620</v>
      </c>
      <c r="I670" s="63">
        <v>0.875</v>
      </c>
      <c r="J670" s="60" t="s">
        <v>3468</v>
      </c>
      <c r="K670" s="57"/>
    </row>
    <row r="671">
      <c r="A671" s="51">
        <v>27.0</v>
      </c>
      <c r="B671" s="60" t="s">
        <v>3711</v>
      </c>
      <c r="C671" s="61"/>
      <c r="D671" s="64"/>
      <c r="E671" s="62" t="s">
        <v>4619</v>
      </c>
      <c r="F671" s="60" t="s">
        <v>3428</v>
      </c>
      <c r="H671" s="60" t="s">
        <v>4620</v>
      </c>
      <c r="I671" s="63">
        <v>0.875</v>
      </c>
      <c r="J671" s="60" t="s">
        <v>3465</v>
      </c>
      <c r="K671" s="57"/>
    </row>
    <row r="672">
      <c r="A672" s="51">
        <v>28.0</v>
      </c>
      <c r="B672" s="60" t="s">
        <v>3469</v>
      </c>
      <c r="C672" s="61"/>
      <c r="D672" s="64"/>
      <c r="E672" s="62" t="s">
        <v>4619</v>
      </c>
      <c r="F672" s="60" t="s">
        <v>3428</v>
      </c>
      <c r="H672" s="60" t="s">
        <v>4620</v>
      </c>
      <c r="I672" s="63">
        <v>0.875</v>
      </c>
      <c r="J672" s="60" t="s">
        <v>3465</v>
      </c>
      <c r="K672" s="57"/>
    </row>
    <row r="673">
      <c r="A673" s="51">
        <v>29.0</v>
      </c>
      <c r="B673" s="60" t="s">
        <v>3690</v>
      </c>
      <c r="C673" s="61"/>
      <c r="D673" s="64"/>
      <c r="E673" s="62" t="s">
        <v>4619</v>
      </c>
      <c r="F673" s="60" t="s">
        <v>3428</v>
      </c>
      <c r="H673" s="60" t="s">
        <v>4620</v>
      </c>
      <c r="I673" s="63">
        <v>0.875</v>
      </c>
      <c r="J673" s="60" t="s">
        <v>3475</v>
      </c>
      <c r="K673" s="57"/>
    </row>
    <row r="674">
      <c r="A674" s="51">
        <v>30.0</v>
      </c>
      <c r="B674" s="60" t="s">
        <v>3470</v>
      </c>
      <c r="C674" s="61"/>
      <c r="D674" s="64"/>
      <c r="E674" s="62" t="s">
        <v>4619</v>
      </c>
      <c r="F674" s="60" t="s">
        <v>3428</v>
      </c>
      <c r="H674" s="60" t="s">
        <v>4620</v>
      </c>
      <c r="I674" s="63">
        <v>0.875</v>
      </c>
      <c r="J674" s="60" t="s">
        <v>3471</v>
      </c>
      <c r="K674" s="57"/>
    </row>
    <row r="675">
      <c r="A675" s="51">
        <v>31.0</v>
      </c>
      <c r="B675" s="60" t="s">
        <v>3472</v>
      </c>
      <c r="C675" s="61"/>
      <c r="D675" s="64"/>
      <c r="E675" s="62" t="s">
        <v>4619</v>
      </c>
      <c r="F675" s="60" t="s">
        <v>3428</v>
      </c>
      <c r="H675" s="60" t="s">
        <v>4620</v>
      </c>
      <c r="I675" s="63">
        <v>0.875</v>
      </c>
      <c r="J675" s="60" t="s">
        <v>3473</v>
      </c>
      <c r="K675" s="57"/>
    </row>
    <row r="676">
      <c r="A676" s="51">
        <v>32.0</v>
      </c>
      <c r="B676" s="60" t="s">
        <v>3474</v>
      </c>
      <c r="C676" s="61"/>
      <c r="D676" s="64"/>
      <c r="E676" s="62" t="s">
        <v>4619</v>
      </c>
      <c r="F676" s="60" t="s">
        <v>3428</v>
      </c>
      <c r="H676" s="60" t="s">
        <v>4620</v>
      </c>
      <c r="I676" s="63">
        <v>0.875</v>
      </c>
      <c r="J676" s="60" t="s">
        <v>3475</v>
      </c>
      <c r="K676" s="57"/>
    </row>
    <row r="677">
      <c r="A677" s="51">
        <v>33.0</v>
      </c>
      <c r="B677" s="60" t="s">
        <v>3476</v>
      </c>
      <c r="C677" s="61"/>
      <c r="D677" s="64"/>
      <c r="E677" s="62" t="s">
        <v>4619</v>
      </c>
      <c r="F677" s="60" t="s">
        <v>3428</v>
      </c>
      <c r="H677" s="60" t="s">
        <v>4620</v>
      </c>
      <c r="I677" s="63">
        <v>0.875</v>
      </c>
      <c r="J677" s="60" t="s">
        <v>3473</v>
      </c>
      <c r="K677" s="57"/>
    </row>
    <row r="678">
      <c r="A678" s="51">
        <v>34.0</v>
      </c>
      <c r="B678" s="60" t="s">
        <v>3477</v>
      </c>
      <c r="C678" s="61"/>
      <c r="D678" s="64"/>
      <c r="E678" s="62" t="s">
        <v>4619</v>
      </c>
      <c r="F678" s="60" t="s">
        <v>3428</v>
      </c>
      <c r="H678" s="60" t="s">
        <v>4620</v>
      </c>
      <c r="I678" s="63">
        <v>0.875</v>
      </c>
      <c r="J678" s="60" t="s">
        <v>3478</v>
      </c>
      <c r="K678" s="57"/>
    </row>
    <row r="679">
      <c r="A679" s="51">
        <v>35.0</v>
      </c>
      <c r="B679" s="60" t="s">
        <v>3699</v>
      </c>
      <c r="C679" s="61"/>
      <c r="D679" s="64"/>
      <c r="E679" s="62" t="s">
        <v>4619</v>
      </c>
      <c r="F679" s="60" t="s">
        <v>3428</v>
      </c>
      <c r="H679" s="60" t="s">
        <v>4620</v>
      </c>
      <c r="I679" s="63">
        <v>0.875</v>
      </c>
      <c r="J679" s="60" t="s">
        <v>4621</v>
      </c>
      <c r="K679" s="57"/>
    </row>
    <row r="680">
      <c r="A680" s="51">
        <v>36.0</v>
      </c>
      <c r="B680" s="60" t="s">
        <v>3476</v>
      </c>
      <c r="C680" s="64"/>
      <c r="D680" s="60" t="s">
        <v>3629</v>
      </c>
      <c r="E680" s="62" t="s">
        <v>4619</v>
      </c>
      <c r="F680" s="60" t="s">
        <v>3428</v>
      </c>
      <c r="H680" s="60" t="s">
        <v>4620</v>
      </c>
      <c r="I680" s="63">
        <v>0.875</v>
      </c>
      <c r="J680" s="61"/>
      <c r="K680" s="57"/>
    </row>
    <row r="681">
      <c r="A681" s="51">
        <v>37.0</v>
      </c>
      <c r="B681" s="60" t="s">
        <v>3479</v>
      </c>
      <c r="C681" s="61"/>
      <c r="D681" s="64"/>
      <c r="E681" s="62" t="s">
        <v>4619</v>
      </c>
      <c r="F681" s="60" t="s">
        <v>3428</v>
      </c>
      <c r="H681" s="60" t="s">
        <v>4620</v>
      </c>
      <c r="I681" s="63">
        <v>0.875</v>
      </c>
      <c r="J681" s="60" t="s">
        <v>3480</v>
      </c>
      <c r="K681" s="57"/>
    </row>
    <row r="682">
      <c r="A682" s="51">
        <v>38.0</v>
      </c>
      <c r="B682" s="60" t="s">
        <v>3481</v>
      </c>
      <c r="C682" s="61"/>
      <c r="D682" s="64"/>
      <c r="E682" s="62" t="s">
        <v>4619</v>
      </c>
      <c r="F682" s="60" t="s">
        <v>3428</v>
      </c>
      <c r="H682" s="60" t="s">
        <v>4620</v>
      </c>
      <c r="I682" s="63">
        <v>0.875</v>
      </c>
      <c r="J682" s="60" t="s">
        <v>3475</v>
      </c>
      <c r="K682" s="57"/>
    </row>
    <row r="683">
      <c r="A683" s="51">
        <v>39.0</v>
      </c>
      <c r="B683" s="60" t="s">
        <v>3482</v>
      </c>
      <c r="C683" s="61"/>
      <c r="D683" s="64"/>
      <c r="E683" s="62" t="s">
        <v>4619</v>
      </c>
      <c r="F683" s="60" t="s">
        <v>3428</v>
      </c>
      <c r="H683" s="60" t="s">
        <v>4620</v>
      </c>
      <c r="I683" s="63">
        <v>0.875</v>
      </c>
      <c r="J683" s="60" t="s">
        <v>3475</v>
      </c>
      <c r="K683" s="57"/>
    </row>
    <row r="684">
      <c r="A684" s="51">
        <v>40.0</v>
      </c>
      <c r="B684" s="60" t="s">
        <v>3483</v>
      </c>
      <c r="C684" s="61"/>
      <c r="D684" s="64"/>
      <c r="E684" s="62" t="s">
        <v>4619</v>
      </c>
      <c r="F684" s="60" t="s">
        <v>3428</v>
      </c>
      <c r="H684" s="60" t="s">
        <v>4620</v>
      </c>
      <c r="I684" s="63">
        <v>0.875</v>
      </c>
      <c r="J684" s="60" t="s">
        <v>3484</v>
      </c>
      <c r="K684" s="57"/>
    </row>
    <row r="685">
      <c r="A685" s="51">
        <v>41.0</v>
      </c>
      <c r="B685" s="60" t="s">
        <v>3485</v>
      </c>
      <c r="C685" s="61"/>
      <c r="D685" s="64"/>
      <c r="E685" s="62" t="s">
        <v>4619</v>
      </c>
      <c r="F685" s="60" t="s">
        <v>3428</v>
      </c>
      <c r="H685" s="60" t="s">
        <v>4620</v>
      </c>
      <c r="I685" s="63">
        <v>0.875</v>
      </c>
      <c r="J685" s="60" t="s">
        <v>3486</v>
      </c>
      <c r="K685" s="57"/>
    </row>
    <row r="686">
      <c r="A686" s="51">
        <v>42.0</v>
      </c>
      <c r="B686" s="60" t="s">
        <v>3487</v>
      </c>
      <c r="C686" s="61"/>
      <c r="D686" s="64"/>
      <c r="E686" s="62" t="s">
        <v>4619</v>
      </c>
      <c r="F686" s="60" t="s">
        <v>3428</v>
      </c>
      <c r="H686" s="60" t="s">
        <v>4620</v>
      </c>
      <c r="I686" s="63">
        <v>0.875</v>
      </c>
      <c r="J686" s="60" t="s">
        <v>3488</v>
      </c>
      <c r="K686" s="57"/>
    </row>
    <row r="687">
      <c r="A687" s="51">
        <v>43.0</v>
      </c>
      <c r="B687" s="60" t="s">
        <v>3489</v>
      </c>
      <c r="C687" s="61"/>
      <c r="D687" s="64"/>
      <c r="E687" s="62" t="s">
        <v>4619</v>
      </c>
      <c r="F687" s="60" t="s">
        <v>3428</v>
      </c>
      <c r="H687" s="60" t="s">
        <v>4620</v>
      </c>
      <c r="I687" s="63">
        <v>0.875</v>
      </c>
      <c r="J687" s="60" t="s">
        <v>3490</v>
      </c>
      <c r="K687" s="57"/>
    </row>
    <row r="688">
      <c r="A688" s="51">
        <v>44.0</v>
      </c>
      <c r="B688" s="60" t="s">
        <v>3491</v>
      </c>
      <c r="C688" s="61"/>
      <c r="D688" s="64"/>
      <c r="E688" s="62" t="s">
        <v>4619</v>
      </c>
      <c r="F688" s="60" t="s">
        <v>3428</v>
      </c>
      <c r="H688" s="60" t="s">
        <v>4620</v>
      </c>
      <c r="I688" s="63">
        <v>0.875</v>
      </c>
      <c r="J688" s="60" t="s">
        <v>3492</v>
      </c>
      <c r="K688" s="57"/>
    </row>
    <row r="689">
      <c r="A689" s="51">
        <v>45.0</v>
      </c>
      <c r="B689" s="60" t="s">
        <v>3493</v>
      </c>
      <c r="C689" s="61"/>
      <c r="D689" s="64"/>
      <c r="E689" s="62" t="s">
        <v>4619</v>
      </c>
      <c r="F689" s="60" t="s">
        <v>3428</v>
      </c>
      <c r="H689" s="60" t="s">
        <v>4620</v>
      </c>
      <c r="I689" s="63">
        <v>0.875</v>
      </c>
      <c r="J689" s="60" t="s">
        <v>3490</v>
      </c>
      <c r="K689" s="57"/>
    </row>
    <row r="690">
      <c r="A690" s="51">
        <v>46.0</v>
      </c>
      <c r="B690" s="60" t="s">
        <v>3494</v>
      </c>
      <c r="C690" s="61"/>
      <c r="D690" s="64"/>
      <c r="E690" s="62" t="s">
        <v>4619</v>
      </c>
      <c r="F690" s="60" t="s">
        <v>3428</v>
      </c>
      <c r="H690" s="60" t="s">
        <v>4620</v>
      </c>
      <c r="I690" s="63">
        <v>0.875</v>
      </c>
      <c r="J690" s="60" t="s">
        <v>3495</v>
      </c>
      <c r="K690" s="57"/>
    </row>
    <row r="691">
      <c r="A691" s="51">
        <v>47.0</v>
      </c>
      <c r="B691" s="60" t="s">
        <v>3496</v>
      </c>
      <c r="C691" s="61"/>
      <c r="D691" s="64"/>
      <c r="E691" s="62" t="s">
        <v>4619</v>
      </c>
      <c r="F691" s="60" t="s">
        <v>3428</v>
      </c>
      <c r="H691" s="60" t="s">
        <v>4620</v>
      </c>
      <c r="I691" s="63">
        <v>0.875</v>
      </c>
      <c r="J691" s="60" t="s">
        <v>2681</v>
      </c>
      <c r="K691" s="57"/>
    </row>
    <row r="692">
      <c r="A692" s="51">
        <v>48.0</v>
      </c>
      <c r="B692" s="60" t="s">
        <v>3497</v>
      </c>
      <c r="C692" s="61"/>
      <c r="D692" s="64"/>
      <c r="E692" s="62" t="s">
        <v>4619</v>
      </c>
      <c r="F692" s="60" t="s">
        <v>3428</v>
      </c>
      <c r="H692" s="60" t="s">
        <v>4620</v>
      </c>
      <c r="I692" s="63">
        <v>0.875</v>
      </c>
      <c r="J692" s="60" t="s">
        <v>3475</v>
      </c>
      <c r="K692" s="57"/>
    </row>
    <row r="693">
      <c r="A693" s="51">
        <v>49.0</v>
      </c>
      <c r="B693" s="60" t="s">
        <v>3498</v>
      </c>
      <c r="C693" s="61"/>
      <c r="D693" s="64"/>
      <c r="E693" s="62" t="s">
        <v>4619</v>
      </c>
      <c r="F693" s="60" t="s">
        <v>3428</v>
      </c>
      <c r="H693" s="60" t="s">
        <v>4620</v>
      </c>
      <c r="I693" s="63">
        <v>0.875</v>
      </c>
      <c r="J693" s="60" t="s">
        <v>3499</v>
      </c>
      <c r="K693" s="57"/>
    </row>
    <row r="694">
      <c r="A694" s="51">
        <v>50.0</v>
      </c>
      <c r="B694" s="60" t="s">
        <v>3500</v>
      </c>
      <c r="C694" s="61"/>
      <c r="D694" s="64"/>
      <c r="E694" s="62" t="s">
        <v>4619</v>
      </c>
      <c r="F694" s="60" t="s">
        <v>3428</v>
      </c>
      <c r="H694" s="60" t="s">
        <v>4620</v>
      </c>
      <c r="I694" s="63">
        <v>0.875</v>
      </c>
      <c r="J694" s="60" t="s">
        <v>3501</v>
      </c>
      <c r="K694" s="57"/>
    </row>
    <row r="695">
      <c r="A695" s="51">
        <v>51.0</v>
      </c>
      <c r="B695" s="60" t="s">
        <v>3436</v>
      </c>
      <c r="C695" s="64"/>
      <c r="D695" s="60" t="s">
        <v>3629</v>
      </c>
      <c r="E695" s="62" t="s">
        <v>4619</v>
      </c>
      <c r="F695" s="60" t="s">
        <v>3428</v>
      </c>
      <c r="H695" s="60" t="s">
        <v>4620</v>
      </c>
      <c r="I695" s="63">
        <v>0.875</v>
      </c>
      <c r="J695" s="60" t="s">
        <v>3468</v>
      </c>
      <c r="K695" s="57"/>
    </row>
    <row r="696">
      <c r="A696" s="51">
        <v>52.0</v>
      </c>
      <c r="B696" s="60" t="s">
        <v>3502</v>
      </c>
      <c r="C696" s="61"/>
      <c r="D696" s="64"/>
      <c r="E696" s="62" t="s">
        <v>4619</v>
      </c>
      <c r="F696" s="60" t="s">
        <v>3428</v>
      </c>
      <c r="H696" s="60" t="s">
        <v>4620</v>
      </c>
      <c r="I696" s="63">
        <v>0.875</v>
      </c>
      <c r="J696" s="60" t="s">
        <v>3501</v>
      </c>
      <c r="K696" s="57"/>
    </row>
    <row r="697">
      <c r="A697" s="51">
        <v>53.0</v>
      </c>
      <c r="B697" s="60" t="s">
        <v>3503</v>
      </c>
      <c r="C697" s="61"/>
      <c r="D697" s="64"/>
      <c r="E697" s="62" t="s">
        <v>4619</v>
      </c>
      <c r="F697" s="60" t="s">
        <v>3428</v>
      </c>
      <c r="H697" s="60" t="s">
        <v>4620</v>
      </c>
      <c r="I697" s="63">
        <v>0.875</v>
      </c>
      <c r="J697" s="60" t="s">
        <v>2681</v>
      </c>
      <c r="K697" s="57"/>
    </row>
    <row r="698">
      <c r="A698" s="51">
        <v>54.0</v>
      </c>
      <c r="B698" s="60" t="s">
        <v>3504</v>
      </c>
      <c r="C698" s="61"/>
      <c r="D698" s="64"/>
      <c r="E698" s="62" t="s">
        <v>4619</v>
      </c>
      <c r="F698" s="60" t="s">
        <v>3428</v>
      </c>
      <c r="H698" s="60" t="s">
        <v>4620</v>
      </c>
      <c r="I698" s="63">
        <v>0.875</v>
      </c>
      <c r="J698" s="60" t="s">
        <v>3505</v>
      </c>
      <c r="K698" s="57"/>
    </row>
    <row r="699">
      <c r="A699" s="51">
        <v>55.0</v>
      </c>
      <c r="B699" s="60" t="s">
        <v>3506</v>
      </c>
      <c r="C699" s="61"/>
      <c r="D699" s="64"/>
      <c r="E699" s="62" t="s">
        <v>4619</v>
      </c>
      <c r="F699" s="60" t="s">
        <v>3428</v>
      </c>
      <c r="H699" s="60" t="s">
        <v>4620</v>
      </c>
      <c r="I699" s="63">
        <v>0.875</v>
      </c>
      <c r="J699" s="60" t="s">
        <v>2681</v>
      </c>
      <c r="K699" s="57"/>
    </row>
    <row r="700">
      <c r="A700" s="51">
        <v>56.0</v>
      </c>
      <c r="B700" s="60" t="s">
        <v>3507</v>
      </c>
      <c r="C700" s="61"/>
      <c r="D700" s="64"/>
      <c r="E700" s="62" t="s">
        <v>4619</v>
      </c>
      <c r="F700" s="60" t="s">
        <v>3428</v>
      </c>
      <c r="H700" s="60" t="s">
        <v>4620</v>
      </c>
      <c r="I700" s="63">
        <v>0.875</v>
      </c>
      <c r="J700" s="60" t="s">
        <v>3475</v>
      </c>
      <c r="K700" s="57"/>
    </row>
    <row r="701">
      <c r="A701" s="51">
        <v>57.0</v>
      </c>
      <c r="B701" s="60" t="s">
        <v>3508</v>
      </c>
      <c r="C701" s="61"/>
      <c r="D701" s="64"/>
      <c r="E701" s="62" t="s">
        <v>4619</v>
      </c>
      <c r="F701" s="60" t="s">
        <v>3428</v>
      </c>
      <c r="H701" s="60" t="s">
        <v>4620</v>
      </c>
      <c r="I701" s="63">
        <v>0.875</v>
      </c>
      <c r="J701" s="60" t="s">
        <v>3509</v>
      </c>
      <c r="K701" s="57"/>
    </row>
    <row r="702">
      <c r="A702" s="51">
        <v>58.0</v>
      </c>
      <c r="B702" s="60" t="s">
        <v>3510</v>
      </c>
      <c r="C702" s="61"/>
      <c r="D702" s="64"/>
      <c r="E702" s="62" t="s">
        <v>4619</v>
      </c>
      <c r="F702" s="60" t="s">
        <v>3428</v>
      </c>
      <c r="H702" s="60" t="s">
        <v>4620</v>
      </c>
      <c r="I702" s="63">
        <v>0.875</v>
      </c>
      <c r="J702" s="60" t="s">
        <v>3509</v>
      </c>
      <c r="K702" s="57"/>
    </row>
    <row r="703">
      <c r="A703" s="51">
        <v>59.0</v>
      </c>
      <c r="B703" s="60" t="s">
        <v>3511</v>
      </c>
      <c r="C703" s="61"/>
      <c r="D703" s="64"/>
      <c r="E703" s="62" t="s">
        <v>4619</v>
      </c>
      <c r="F703" s="60" t="s">
        <v>3428</v>
      </c>
      <c r="H703" s="60" t="s">
        <v>4620</v>
      </c>
      <c r="I703" s="63">
        <v>0.875</v>
      </c>
      <c r="J703" s="60" t="s">
        <v>3512</v>
      </c>
      <c r="K703" s="60" t="s">
        <v>2681</v>
      </c>
    </row>
    <row r="704">
      <c r="A704" s="51">
        <v>60.0</v>
      </c>
      <c r="B704" s="60" t="s">
        <v>3513</v>
      </c>
      <c r="C704" s="61"/>
      <c r="D704" s="64"/>
      <c r="E704" s="62" t="s">
        <v>4619</v>
      </c>
      <c r="F704" s="60" t="s">
        <v>3428</v>
      </c>
      <c r="H704" s="60" t="s">
        <v>4620</v>
      </c>
      <c r="I704" s="63">
        <v>0.875</v>
      </c>
      <c r="J704" s="60" t="s">
        <v>3514</v>
      </c>
      <c r="K704" s="60" t="s">
        <v>2681</v>
      </c>
    </row>
    <row r="705">
      <c r="A705" s="51">
        <v>61.0</v>
      </c>
      <c r="B705" s="60" t="s">
        <v>3515</v>
      </c>
      <c r="C705" s="61"/>
      <c r="D705" s="64"/>
      <c r="E705" s="62" t="s">
        <v>4619</v>
      </c>
      <c r="F705" s="60" t="s">
        <v>3428</v>
      </c>
      <c r="H705" s="60" t="s">
        <v>4620</v>
      </c>
      <c r="I705" s="63">
        <v>0.875</v>
      </c>
      <c r="J705" s="60" t="s">
        <v>3468</v>
      </c>
      <c r="K705" s="60" t="s">
        <v>2681</v>
      </c>
    </row>
    <row r="706">
      <c r="A706" s="51">
        <v>62.0</v>
      </c>
      <c r="B706" s="60" t="s">
        <v>3516</v>
      </c>
      <c r="C706" s="61"/>
      <c r="D706" s="64"/>
      <c r="E706" s="62" t="s">
        <v>4619</v>
      </c>
      <c r="F706" s="60" t="s">
        <v>3428</v>
      </c>
      <c r="H706" s="60" t="s">
        <v>4620</v>
      </c>
      <c r="I706" s="63">
        <v>0.875</v>
      </c>
      <c r="J706" s="60" t="s">
        <v>3458</v>
      </c>
      <c r="K706" s="60" t="s">
        <v>2681</v>
      </c>
    </row>
    <row r="707">
      <c r="A707" s="51">
        <v>63.0</v>
      </c>
      <c r="B707" s="60" t="s">
        <v>3517</v>
      </c>
      <c r="C707" s="61"/>
      <c r="D707" s="64"/>
      <c r="E707" s="62" t="s">
        <v>4619</v>
      </c>
      <c r="F707" s="60" t="s">
        <v>3428</v>
      </c>
      <c r="H707" s="60" t="s">
        <v>4620</v>
      </c>
      <c r="I707" s="63">
        <v>0.875</v>
      </c>
      <c r="J707" s="60" t="s">
        <v>3518</v>
      </c>
      <c r="K707" s="60" t="s">
        <v>2681</v>
      </c>
    </row>
    <row r="708">
      <c r="A708" s="51">
        <v>64.0</v>
      </c>
      <c r="B708" s="60" t="s">
        <v>3506</v>
      </c>
      <c r="C708" s="61"/>
      <c r="D708" s="64"/>
      <c r="E708" s="62" t="s">
        <v>4619</v>
      </c>
      <c r="F708" s="60" t="s">
        <v>3428</v>
      </c>
      <c r="H708" s="60" t="s">
        <v>4620</v>
      </c>
      <c r="I708" s="63">
        <v>0.875</v>
      </c>
      <c r="J708" s="60" t="s">
        <v>3468</v>
      </c>
      <c r="K708" s="60" t="s">
        <v>2681</v>
      </c>
    </row>
    <row r="709">
      <c r="A709" s="51">
        <v>65.0</v>
      </c>
      <c r="B709" s="60" t="s">
        <v>3519</v>
      </c>
      <c r="C709" s="61"/>
      <c r="D709" s="64"/>
      <c r="E709" s="62" t="s">
        <v>4619</v>
      </c>
      <c r="F709" s="60" t="s">
        <v>3428</v>
      </c>
      <c r="H709" s="60" t="s">
        <v>4620</v>
      </c>
      <c r="I709" s="63">
        <v>0.875</v>
      </c>
      <c r="J709" s="60" t="s">
        <v>3520</v>
      </c>
      <c r="K709" s="60" t="s">
        <v>2681</v>
      </c>
    </row>
    <row r="710">
      <c r="A710" s="51">
        <v>66.0</v>
      </c>
      <c r="B710" s="60" t="s">
        <v>3661</v>
      </c>
      <c r="C710" s="61"/>
      <c r="D710" s="64"/>
      <c r="E710" s="62" t="s">
        <v>4619</v>
      </c>
      <c r="F710" s="60" t="s">
        <v>3428</v>
      </c>
      <c r="H710" s="60" t="s">
        <v>4620</v>
      </c>
      <c r="I710" s="63">
        <v>0.875</v>
      </c>
      <c r="J710" s="60" t="s">
        <v>3468</v>
      </c>
      <c r="K710" s="57"/>
    </row>
    <row r="711">
      <c r="A711" s="51">
        <v>67.0</v>
      </c>
      <c r="B711" s="60" t="s">
        <v>3521</v>
      </c>
      <c r="C711" s="61"/>
      <c r="D711" s="64"/>
      <c r="E711" s="62" t="s">
        <v>4619</v>
      </c>
      <c r="F711" s="60" t="s">
        <v>3428</v>
      </c>
      <c r="H711" s="60" t="s">
        <v>4620</v>
      </c>
      <c r="I711" s="63">
        <v>0.875</v>
      </c>
      <c r="J711" s="60" t="s">
        <v>1748</v>
      </c>
      <c r="K711" s="57"/>
    </row>
    <row r="712">
      <c r="A712" s="51">
        <v>68.0</v>
      </c>
      <c r="B712" s="60" t="s">
        <v>3522</v>
      </c>
      <c r="C712" s="61"/>
      <c r="D712" s="64"/>
      <c r="E712" s="62" t="s">
        <v>4619</v>
      </c>
      <c r="F712" s="60" t="s">
        <v>3428</v>
      </c>
      <c r="H712" s="60" t="s">
        <v>4620</v>
      </c>
      <c r="I712" s="63">
        <v>0.875</v>
      </c>
      <c r="J712" s="60" t="s">
        <v>1748</v>
      </c>
      <c r="K712" s="57"/>
    </row>
    <row r="713">
      <c r="A713" s="51">
        <v>69.0</v>
      </c>
      <c r="B713" s="60" t="s">
        <v>3523</v>
      </c>
      <c r="C713" s="60" t="s">
        <v>3524</v>
      </c>
      <c r="D713" s="64"/>
      <c r="E713" s="62" t="s">
        <v>4619</v>
      </c>
      <c r="F713" s="60" t="s">
        <v>3428</v>
      </c>
      <c r="H713" s="60" t="s">
        <v>4620</v>
      </c>
      <c r="I713" s="63">
        <v>0.875</v>
      </c>
      <c r="J713" s="60" t="s">
        <v>1748</v>
      </c>
      <c r="K713" s="57"/>
    </row>
    <row r="714">
      <c r="A714" s="51">
        <v>70.0</v>
      </c>
      <c r="B714" s="60" t="s">
        <v>3525</v>
      </c>
      <c r="C714" s="61"/>
      <c r="D714" s="64"/>
      <c r="E714" s="62" t="s">
        <v>4619</v>
      </c>
      <c r="F714" s="60" t="s">
        <v>3428</v>
      </c>
      <c r="H714" s="60" t="s">
        <v>4620</v>
      </c>
      <c r="I714" s="63">
        <v>0.875</v>
      </c>
      <c r="J714" s="60" t="s">
        <v>1748</v>
      </c>
      <c r="K714" s="57"/>
    </row>
    <row r="715">
      <c r="A715" s="51">
        <v>71.0</v>
      </c>
      <c r="B715" s="60" t="s">
        <v>3526</v>
      </c>
      <c r="C715" s="61"/>
      <c r="D715" s="64"/>
      <c r="E715" s="62" t="s">
        <v>4619</v>
      </c>
      <c r="F715" s="60" t="s">
        <v>3428</v>
      </c>
      <c r="H715" s="60" t="s">
        <v>4620</v>
      </c>
      <c r="I715" s="63">
        <v>0.875</v>
      </c>
      <c r="J715" s="60" t="s">
        <v>3527</v>
      </c>
      <c r="K715" s="57"/>
    </row>
    <row r="716">
      <c r="A716" s="51">
        <v>72.0</v>
      </c>
      <c r="B716" s="60" t="s">
        <v>3528</v>
      </c>
      <c r="C716" s="61"/>
      <c r="D716" s="64"/>
      <c r="E716" s="62" t="s">
        <v>4619</v>
      </c>
      <c r="F716" s="60" t="s">
        <v>3428</v>
      </c>
      <c r="H716" s="60" t="s">
        <v>4620</v>
      </c>
      <c r="I716" s="63">
        <v>0.875</v>
      </c>
      <c r="J716" s="60" t="s">
        <v>3529</v>
      </c>
      <c r="K716" s="57"/>
    </row>
    <row r="717">
      <c r="A717" s="51">
        <v>73.0</v>
      </c>
      <c r="B717" s="60" t="s">
        <v>3530</v>
      </c>
      <c r="C717" s="61"/>
      <c r="D717" s="64"/>
      <c r="E717" s="62" t="s">
        <v>4619</v>
      </c>
      <c r="F717" s="60" t="s">
        <v>3428</v>
      </c>
      <c r="H717" s="60" t="s">
        <v>4620</v>
      </c>
      <c r="I717" s="63">
        <v>0.875</v>
      </c>
      <c r="J717" s="61"/>
      <c r="K717" s="57"/>
    </row>
    <row r="718">
      <c r="A718" s="51">
        <v>74.0</v>
      </c>
      <c r="B718" s="60" t="s">
        <v>3531</v>
      </c>
      <c r="C718" s="61"/>
      <c r="D718" s="64"/>
      <c r="E718" s="62" t="s">
        <v>4619</v>
      </c>
      <c r="F718" s="60" t="s">
        <v>3428</v>
      </c>
      <c r="H718" s="60" t="s">
        <v>4620</v>
      </c>
      <c r="I718" s="63">
        <v>0.875</v>
      </c>
      <c r="J718" s="61"/>
      <c r="K718" s="57"/>
    </row>
    <row r="719">
      <c r="A719" s="51">
        <v>75.0</v>
      </c>
      <c r="B719" s="60" t="s">
        <v>3532</v>
      </c>
      <c r="C719" s="61"/>
      <c r="D719" s="64"/>
      <c r="E719" s="62" t="s">
        <v>4619</v>
      </c>
      <c r="F719" s="60" t="s">
        <v>3428</v>
      </c>
      <c r="H719" s="60" t="s">
        <v>4620</v>
      </c>
      <c r="I719" s="63">
        <v>0.875</v>
      </c>
      <c r="J719" s="61"/>
      <c r="K719" s="57"/>
    </row>
    <row r="720">
      <c r="A720" s="51">
        <v>76.0</v>
      </c>
      <c r="B720" s="60" t="s">
        <v>3533</v>
      </c>
      <c r="C720" s="61"/>
      <c r="D720" s="64"/>
      <c r="E720" s="62" t="s">
        <v>4619</v>
      </c>
      <c r="F720" s="60" t="s">
        <v>3428</v>
      </c>
      <c r="H720" s="60" t="s">
        <v>4620</v>
      </c>
      <c r="I720" s="63">
        <v>0.875</v>
      </c>
      <c r="J720" s="61"/>
      <c r="K720" s="57"/>
    </row>
    <row r="721">
      <c r="A721" s="51">
        <v>77.0</v>
      </c>
      <c r="B721" s="60" t="s">
        <v>3534</v>
      </c>
      <c r="C721" s="61"/>
      <c r="D721" s="61"/>
      <c r="E721" s="62" t="s">
        <v>4619</v>
      </c>
      <c r="F721" s="60" t="s">
        <v>3428</v>
      </c>
      <c r="H721" s="60" t="s">
        <v>4620</v>
      </c>
      <c r="I721" s="63">
        <v>0.875</v>
      </c>
      <c r="J721" s="61"/>
      <c r="K721" s="57"/>
    </row>
    <row r="722">
      <c r="A722" s="51">
        <v>78.0</v>
      </c>
      <c r="B722" s="60" t="s">
        <v>3535</v>
      </c>
      <c r="C722" s="61"/>
      <c r="D722" s="61"/>
      <c r="E722" s="62" t="s">
        <v>4619</v>
      </c>
      <c r="F722" s="60" t="s">
        <v>3428</v>
      </c>
      <c r="H722" s="60" t="s">
        <v>4620</v>
      </c>
      <c r="I722" s="63">
        <v>0.875</v>
      </c>
      <c r="J722" s="61"/>
      <c r="K722" s="57"/>
    </row>
    <row r="723">
      <c r="A723" s="51">
        <v>79.0</v>
      </c>
      <c r="B723" s="60" t="s">
        <v>3536</v>
      </c>
      <c r="C723" s="64"/>
      <c r="D723" s="60">
        <v>1.0514238E7</v>
      </c>
      <c r="E723" s="62" t="s">
        <v>4619</v>
      </c>
      <c r="F723" s="60" t="s">
        <v>3428</v>
      </c>
      <c r="H723" s="60" t="s">
        <v>4620</v>
      </c>
      <c r="I723" s="63">
        <v>0.875</v>
      </c>
      <c r="J723" s="60" t="s">
        <v>3537</v>
      </c>
      <c r="K723" s="57"/>
    </row>
    <row r="724">
      <c r="A724" s="51">
        <v>80.0</v>
      </c>
      <c r="B724" s="60" t="s">
        <v>3538</v>
      </c>
      <c r="C724" s="64"/>
      <c r="D724" s="60">
        <v>3.6929034E7</v>
      </c>
      <c r="E724" s="62" t="s">
        <v>4619</v>
      </c>
      <c r="F724" s="60" t="s">
        <v>3428</v>
      </c>
      <c r="H724" s="60" t="s">
        <v>4620</v>
      </c>
      <c r="I724" s="63">
        <v>0.875</v>
      </c>
      <c r="J724" s="60" t="s">
        <v>3539</v>
      </c>
      <c r="K724" s="57"/>
    </row>
    <row r="725">
      <c r="A725" s="51">
        <v>81.0</v>
      </c>
      <c r="B725" s="60" t="s">
        <v>3540</v>
      </c>
      <c r="C725" s="60" t="s">
        <v>3541</v>
      </c>
      <c r="D725" s="64"/>
      <c r="E725" s="62" t="s">
        <v>1742</v>
      </c>
      <c r="F725" s="60" t="s">
        <v>3428</v>
      </c>
      <c r="H725" s="60" t="s">
        <v>4620</v>
      </c>
      <c r="I725" s="63">
        <v>0.5416666666666666</v>
      </c>
      <c r="J725" s="60" t="s">
        <v>3542</v>
      </c>
      <c r="K725" s="60" t="s">
        <v>2681</v>
      </c>
    </row>
    <row r="726">
      <c r="A726" s="51">
        <v>82.0</v>
      </c>
      <c r="B726" s="60" t="s">
        <v>3543</v>
      </c>
      <c r="C726" s="60" t="s">
        <v>3453</v>
      </c>
      <c r="D726" s="64"/>
      <c r="E726" s="62" t="s">
        <v>1742</v>
      </c>
      <c r="F726" s="60" t="s">
        <v>3428</v>
      </c>
      <c r="H726" s="60" t="s">
        <v>4620</v>
      </c>
      <c r="I726" s="63">
        <v>0.5416666666666666</v>
      </c>
      <c r="J726" s="60" t="s">
        <v>3544</v>
      </c>
      <c r="K726" s="60" t="s">
        <v>2681</v>
      </c>
    </row>
    <row r="727">
      <c r="A727" s="51">
        <v>83.0</v>
      </c>
      <c r="B727" s="60" t="s">
        <v>3545</v>
      </c>
      <c r="C727" s="61"/>
      <c r="D727" s="64"/>
      <c r="E727" s="62" t="s">
        <v>1742</v>
      </c>
      <c r="F727" s="60" t="s">
        <v>3428</v>
      </c>
      <c r="H727" s="60" t="s">
        <v>4620</v>
      </c>
      <c r="I727" s="63">
        <v>0.5416666666666666</v>
      </c>
      <c r="J727" s="60" t="s">
        <v>3468</v>
      </c>
      <c r="K727" s="60" t="s">
        <v>2681</v>
      </c>
    </row>
    <row r="728">
      <c r="A728" s="51">
        <v>84.0</v>
      </c>
      <c r="B728" s="60" t="s">
        <v>3546</v>
      </c>
      <c r="C728" s="60" t="s">
        <v>3547</v>
      </c>
      <c r="D728" s="61"/>
      <c r="E728" s="62" t="s">
        <v>1742</v>
      </c>
      <c r="F728" s="60" t="s">
        <v>3428</v>
      </c>
      <c r="H728" s="60" t="s">
        <v>4620</v>
      </c>
      <c r="I728" s="63">
        <v>0.5416666666666666</v>
      </c>
      <c r="J728" s="64"/>
      <c r="K728" s="60" t="s">
        <v>2681</v>
      </c>
    </row>
    <row r="729">
      <c r="A729" s="51">
        <v>85.0</v>
      </c>
      <c r="B729" s="60" t="s">
        <v>3548</v>
      </c>
      <c r="C729" s="60" t="s">
        <v>3549</v>
      </c>
      <c r="D729" s="64"/>
      <c r="E729" s="62" t="s">
        <v>1742</v>
      </c>
      <c r="F729" s="60" t="s">
        <v>3428</v>
      </c>
      <c r="H729" s="60" t="s">
        <v>4620</v>
      </c>
      <c r="I729" s="63">
        <v>0.5416666666666666</v>
      </c>
      <c r="J729" s="60" t="s">
        <v>3550</v>
      </c>
      <c r="K729" s="60" t="s">
        <v>2681</v>
      </c>
    </row>
    <row r="730">
      <c r="A730" s="51">
        <v>86.0</v>
      </c>
      <c r="B730" s="60" t="s">
        <v>3551</v>
      </c>
      <c r="C730" s="60" t="s">
        <v>3552</v>
      </c>
      <c r="D730" s="64"/>
      <c r="E730" s="62" t="s">
        <v>1742</v>
      </c>
      <c r="F730" s="60" t="s">
        <v>3428</v>
      </c>
      <c r="H730" s="60" t="s">
        <v>4620</v>
      </c>
      <c r="I730" s="63">
        <v>0.5416666666666666</v>
      </c>
      <c r="J730" s="64"/>
      <c r="K730" s="60" t="s">
        <v>2681</v>
      </c>
    </row>
    <row r="731">
      <c r="A731" s="51">
        <v>87.0</v>
      </c>
      <c r="B731" s="60" t="s">
        <v>3553</v>
      </c>
      <c r="C731" s="60" t="s">
        <v>2321</v>
      </c>
      <c r="D731" s="64"/>
      <c r="E731" s="62" t="s">
        <v>1742</v>
      </c>
      <c r="F731" s="60" t="s">
        <v>3428</v>
      </c>
      <c r="H731" s="60" t="s">
        <v>4620</v>
      </c>
      <c r="I731" s="63">
        <v>0.5416666666666666</v>
      </c>
      <c r="J731" s="60" t="s">
        <v>3554</v>
      </c>
      <c r="K731" s="60" t="s">
        <v>3575</v>
      </c>
    </row>
    <row r="732">
      <c r="A732" s="51">
        <v>88.0</v>
      </c>
      <c r="B732" s="60" t="s">
        <v>3555</v>
      </c>
      <c r="C732" s="60" t="s">
        <v>3556</v>
      </c>
      <c r="D732" s="64"/>
      <c r="E732" s="62" t="s">
        <v>1742</v>
      </c>
      <c r="F732" s="60" t="s">
        <v>3428</v>
      </c>
      <c r="H732" s="60" t="s">
        <v>4620</v>
      </c>
      <c r="I732" s="63">
        <v>0.5416666666666666</v>
      </c>
      <c r="J732" s="64"/>
      <c r="K732" s="60" t="s">
        <v>2681</v>
      </c>
    </row>
    <row r="733">
      <c r="A733" s="51">
        <v>89.0</v>
      </c>
      <c r="B733" s="60" t="s">
        <v>3557</v>
      </c>
      <c r="C733" s="61"/>
      <c r="D733" s="64"/>
      <c r="E733" s="62" t="s">
        <v>1742</v>
      </c>
      <c r="F733" s="60" t="s">
        <v>3428</v>
      </c>
      <c r="H733" s="60" t="s">
        <v>4620</v>
      </c>
      <c r="I733" s="63">
        <v>0.5416666666666666</v>
      </c>
      <c r="J733" s="64"/>
      <c r="K733" s="60" t="s">
        <v>2681</v>
      </c>
    </row>
    <row r="734">
      <c r="A734" s="51">
        <v>90.0</v>
      </c>
      <c r="B734" s="60" t="s">
        <v>3599</v>
      </c>
      <c r="C734" s="60" t="s">
        <v>4622</v>
      </c>
      <c r="D734" s="64"/>
      <c r="E734" s="62" t="s">
        <v>1742</v>
      </c>
      <c r="F734" s="60" t="s">
        <v>3428</v>
      </c>
      <c r="H734" s="60" t="s">
        <v>4620</v>
      </c>
      <c r="I734" s="63">
        <v>0.5416666666666666</v>
      </c>
      <c r="J734" s="60" t="s">
        <v>3560</v>
      </c>
      <c r="K734" s="60" t="s">
        <v>2681</v>
      </c>
    </row>
    <row r="735">
      <c r="A735" s="51">
        <v>91.0</v>
      </c>
      <c r="B735" s="60" t="s">
        <v>3558</v>
      </c>
      <c r="C735" s="60" t="s">
        <v>3559</v>
      </c>
      <c r="D735" s="64"/>
      <c r="E735" s="62" t="s">
        <v>1742</v>
      </c>
      <c r="F735" s="60" t="s">
        <v>3428</v>
      </c>
      <c r="H735" s="60" t="s">
        <v>4620</v>
      </c>
      <c r="I735" s="63">
        <v>0.5416666666666666</v>
      </c>
      <c r="J735" s="60" t="s">
        <v>3560</v>
      </c>
      <c r="K735" s="60" t="s">
        <v>2681</v>
      </c>
    </row>
    <row r="736">
      <c r="A736" s="51">
        <v>92.0</v>
      </c>
      <c r="B736" s="60" t="s">
        <v>3561</v>
      </c>
      <c r="C736" s="60" t="s">
        <v>3562</v>
      </c>
      <c r="D736" s="64"/>
      <c r="E736" s="62" t="s">
        <v>1742</v>
      </c>
      <c r="F736" s="60" t="s">
        <v>3428</v>
      </c>
      <c r="H736" s="60" t="s">
        <v>4620</v>
      </c>
      <c r="I736" s="63">
        <v>0.5416666666666666</v>
      </c>
      <c r="J736" s="64"/>
      <c r="K736" s="60" t="s">
        <v>2681</v>
      </c>
    </row>
    <row r="737">
      <c r="A737" s="51">
        <v>93.0</v>
      </c>
      <c r="B737" s="60" t="s">
        <v>3563</v>
      </c>
      <c r="C737" s="60" t="s">
        <v>3564</v>
      </c>
      <c r="D737" s="64"/>
      <c r="E737" s="62" t="s">
        <v>1742</v>
      </c>
      <c r="F737" s="60" t="s">
        <v>3428</v>
      </c>
      <c r="H737" s="60" t="s">
        <v>4620</v>
      </c>
      <c r="I737" s="63">
        <v>0.5416666666666666</v>
      </c>
      <c r="J737" s="64"/>
      <c r="K737" s="60" t="s">
        <v>2681</v>
      </c>
    </row>
    <row r="738">
      <c r="A738" s="51">
        <v>94.0</v>
      </c>
      <c r="B738" s="60" t="s">
        <v>3565</v>
      </c>
      <c r="C738" s="60" t="s">
        <v>3566</v>
      </c>
      <c r="D738" s="64"/>
      <c r="E738" s="62" t="s">
        <v>1742</v>
      </c>
      <c r="F738" s="60" t="s">
        <v>3428</v>
      </c>
      <c r="H738" s="60" t="s">
        <v>4620</v>
      </c>
      <c r="I738" s="63">
        <v>0.5416666666666666</v>
      </c>
      <c r="J738" s="64"/>
      <c r="K738" s="60" t="s">
        <v>2681</v>
      </c>
    </row>
    <row r="739">
      <c r="A739" s="51">
        <v>95.0</v>
      </c>
      <c r="B739" s="60" t="s">
        <v>3567</v>
      </c>
      <c r="C739" s="64"/>
      <c r="D739" s="60" t="s">
        <v>3568</v>
      </c>
      <c r="E739" s="62" t="s">
        <v>3569</v>
      </c>
      <c r="F739" s="60" t="s">
        <v>3428</v>
      </c>
      <c r="H739" s="60" t="s">
        <v>4620</v>
      </c>
      <c r="I739" s="63">
        <v>0.5416666666666666</v>
      </c>
      <c r="J739" s="61"/>
      <c r="K739" s="61"/>
    </row>
    <row r="740">
      <c r="A740" s="51">
        <v>96.0</v>
      </c>
      <c r="B740" s="60" t="s">
        <v>3570</v>
      </c>
      <c r="C740" s="64"/>
      <c r="D740" s="60">
        <v>3.4518879E7</v>
      </c>
      <c r="E740" s="62" t="s">
        <v>3569</v>
      </c>
      <c r="F740" s="60" t="s">
        <v>3428</v>
      </c>
      <c r="H740" s="60" t="s">
        <v>4620</v>
      </c>
      <c r="I740" s="63">
        <v>0.5416666666666666</v>
      </c>
      <c r="J740" s="61"/>
      <c r="K740" s="61"/>
    </row>
    <row r="741">
      <c r="A741" s="51">
        <v>97.0</v>
      </c>
      <c r="B741" s="60" t="s">
        <v>3571</v>
      </c>
      <c r="C741" s="64"/>
      <c r="D741" s="60">
        <v>3.4054588E7</v>
      </c>
      <c r="E741" s="62" t="s">
        <v>3569</v>
      </c>
      <c r="F741" s="60" t="s">
        <v>3428</v>
      </c>
      <c r="H741" s="60" t="s">
        <v>4620</v>
      </c>
      <c r="I741" s="63">
        <v>0.5416666666666666</v>
      </c>
      <c r="J741" s="61"/>
      <c r="K741" s="61"/>
    </row>
    <row r="742">
      <c r="A742" s="51">
        <v>98.0</v>
      </c>
      <c r="B742" s="60" t="s">
        <v>3572</v>
      </c>
      <c r="C742" s="64"/>
      <c r="D742" s="60">
        <v>2.8747519E7</v>
      </c>
      <c r="E742" s="62" t="s">
        <v>3569</v>
      </c>
      <c r="F742" s="60" t="s">
        <v>3428</v>
      </c>
      <c r="H742" s="60" t="s">
        <v>4620</v>
      </c>
      <c r="I742" s="63">
        <v>0.5416666666666666</v>
      </c>
      <c r="J742" s="61"/>
      <c r="K742" s="61"/>
    </row>
    <row r="743">
      <c r="A743" s="51">
        <v>99.0</v>
      </c>
      <c r="B743" s="60" t="s">
        <v>3573</v>
      </c>
      <c r="C743" s="64"/>
      <c r="D743" s="60" t="s">
        <v>3574</v>
      </c>
      <c r="E743" s="62" t="s">
        <v>3569</v>
      </c>
      <c r="F743" s="60" t="s">
        <v>3428</v>
      </c>
      <c r="H743" s="60" t="s">
        <v>4620</v>
      </c>
      <c r="I743" s="63">
        <v>0.5416666666666666</v>
      </c>
      <c r="J743" s="61"/>
      <c r="K743" s="61"/>
    </row>
    <row r="744">
      <c r="A744" s="51">
        <v>100.0</v>
      </c>
      <c r="B744" s="60" t="s">
        <v>3576</v>
      </c>
      <c r="C744" s="64"/>
      <c r="D744" s="60">
        <v>2.646824E7</v>
      </c>
      <c r="E744" s="62" t="s">
        <v>3569</v>
      </c>
      <c r="F744" s="60" t="s">
        <v>3428</v>
      </c>
      <c r="H744" s="60" t="s">
        <v>4620</v>
      </c>
      <c r="I744" s="63">
        <v>0.5416666666666666</v>
      </c>
      <c r="J744" s="61"/>
      <c r="K744" s="61"/>
    </row>
    <row r="745">
      <c r="A745" s="51">
        <v>101.0</v>
      </c>
      <c r="B745" s="60" t="s">
        <v>3577</v>
      </c>
      <c r="C745" s="64"/>
      <c r="D745" s="60">
        <v>2.6019884E7</v>
      </c>
      <c r="E745" s="62" t="s">
        <v>3569</v>
      </c>
      <c r="F745" s="60" t="s">
        <v>3428</v>
      </c>
      <c r="H745" s="60" t="s">
        <v>4620</v>
      </c>
      <c r="I745" s="63">
        <v>0.5416666666666666</v>
      </c>
      <c r="J745" s="61"/>
      <c r="K745" s="61"/>
    </row>
    <row r="746">
      <c r="A746" s="51">
        <v>102.0</v>
      </c>
      <c r="B746" s="60" t="s">
        <v>3578</v>
      </c>
      <c r="C746" s="64"/>
      <c r="D746" s="60">
        <v>3.254342E7</v>
      </c>
      <c r="E746" s="62" t="s">
        <v>3569</v>
      </c>
      <c r="F746" s="60" t="s">
        <v>3428</v>
      </c>
      <c r="H746" s="60" t="s">
        <v>4620</v>
      </c>
      <c r="I746" s="63">
        <v>0.5416666666666666</v>
      </c>
      <c r="J746" s="61"/>
      <c r="K746" s="61"/>
    </row>
    <row r="747">
      <c r="A747" s="51">
        <v>103.0</v>
      </c>
      <c r="B747" s="60" t="s">
        <v>3579</v>
      </c>
      <c r="C747" s="64"/>
      <c r="D747" s="60">
        <v>3.2781459E7</v>
      </c>
      <c r="E747" s="62" t="s">
        <v>3569</v>
      </c>
      <c r="F747" s="60" t="s">
        <v>3428</v>
      </c>
      <c r="H747" s="60" t="s">
        <v>4620</v>
      </c>
      <c r="I747" s="63">
        <v>0.5416666666666666</v>
      </c>
      <c r="J747" s="61"/>
      <c r="K747" s="61"/>
    </row>
    <row r="748">
      <c r="A748" s="51">
        <v>104.0</v>
      </c>
      <c r="B748" s="60" t="s">
        <v>3580</v>
      </c>
      <c r="C748" s="64"/>
      <c r="D748" s="60">
        <v>3.3232603E7</v>
      </c>
      <c r="E748" s="62" t="s">
        <v>3569</v>
      </c>
      <c r="F748" s="60" t="s">
        <v>3428</v>
      </c>
      <c r="H748" s="60" t="s">
        <v>4620</v>
      </c>
      <c r="I748" s="63">
        <v>0.5416666666666666</v>
      </c>
      <c r="J748" s="61"/>
      <c r="K748" s="61"/>
    </row>
    <row r="749">
      <c r="A749" s="51">
        <v>105.0</v>
      </c>
      <c r="B749" s="60" t="s">
        <v>3581</v>
      </c>
      <c r="C749" s="64"/>
      <c r="D749" s="60">
        <v>3.3423811E7</v>
      </c>
      <c r="E749" s="62" t="s">
        <v>3569</v>
      </c>
      <c r="F749" s="60" t="s">
        <v>3428</v>
      </c>
      <c r="H749" s="60" t="s">
        <v>4620</v>
      </c>
      <c r="I749" s="63">
        <v>0.5416666666666666</v>
      </c>
      <c r="J749" s="61"/>
      <c r="K749" s="61"/>
    </row>
    <row r="750">
      <c r="A750" s="51">
        <v>106.0</v>
      </c>
      <c r="B750" s="60" t="s">
        <v>3606</v>
      </c>
      <c r="C750" s="64"/>
      <c r="D750" s="60">
        <v>1.0384289E7</v>
      </c>
      <c r="E750" s="62" t="s">
        <v>3569</v>
      </c>
      <c r="F750" s="60" t="s">
        <v>3428</v>
      </c>
      <c r="H750" s="60" t="s">
        <v>4620</v>
      </c>
      <c r="I750" s="63">
        <v>0.5416666666666666</v>
      </c>
      <c r="J750" s="61"/>
      <c r="K750" s="61"/>
    </row>
    <row r="751">
      <c r="A751" s="51">
        <v>107.0</v>
      </c>
      <c r="B751" s="60" t="s">
        <v>3582</v>
      </c>
      <c r="C751" s="64"/>
      <c r="D751" s="60">
        <v>296723.0</v>
      </c>
      <c r="E751" s="62" t="s">
        <v>3569</v>
      </c>
      <c r="F751" s="60" t="s">
        <v>3428</v>
      </c>
      <c r="H751" s="60" t="s">
        <v>4620</v>
      </c>
      <c r="I751" s="63">
        <v>0.5416666666666666</v>
      </c>
      <c r="J751" s="61"/>
      <c r="K751" s="61"/>
    </row>
    <row r="752">
      <c r="A752" s="51">
        <v>108.0</v>
      </c>
      <c r="B752" s="60" t="s">
        <v>3583</v>
      </c>
      <c r="C752" s="64"/>
      <c r="D752" s="60">
        <v>2.2916224E7</v>
      </c>
      <c r="E752" s="62" t="s">
        <v>3569</v>
      </c>
      <c r="F752" s="60" t="s">
        <v>3428</v>
      </c>
      <c r="H752" s="60" t="s">
        <v>4620</v>
      </c>
      <c r="I752" s="63">
        <v>0.5416666666666666</v>
      </c>
      <c r="J752" s="61"/>
      <c r="K752" s="61"/>
    </row>
    <row r="753">
      <c r="A753" s="51">
        <v>109.0</v>
      </c>
      <c r="B753" s="60" t="s">
        <v>3584</v>
      </c>
      <c r="C753" s="64"/>
      <c r="D753" s="60">
        <v>1.9734177E7</v>
      </c>
      <c r="E753" s="62" t="s">
        <v>3569</v>
      </c>
      <c r="F753" s="60" t="s">
        <v>3428</v>
      </c>
      <c r="H753" s="60" t="s">
        <v>4620</v>
      </c>
      <c r="I753" s="63">
        <v>0.5416666666666666</v>
      </c>
      <c r="J753" s="61"/>
      <c r="K753" s="61"/>
    </row>
    <row r="754">
      <c r="A754" s="51">
        <v>110.0</v>
      </c>
      <c r="B754" s="60" t="s">
        <v>3608</v>
      </c>
      <c r="C754" s="64"/>
      <c r="D754" s="60">
        <v>5199652.0</v>
      </c>
      <c r="E754" s="62" t="s">
        <v>3569</v>
      </c>
      <c r="F754" s="60" t="s">
        <v>3428</v>
      </c>
      <c r="H754" s="60" t="s">
        <v>4620</v>
      </c>
      <c r="I754" s="63">
        <v>0.5416666666666666</v>
      </c>
      <c r="J754" s="61"/>
      <c r="K754" s="61"/>
    </row>
    <row r="755">
      <c r="A755" s="51">
        <v>111.0</v>
      </c>
      <c r="B755" s="60" t="s">
        <v>3585</v>
      </c>
      <c r="C755" s="64"/>
      <c r="D755" s="60">
        <v>1.8814839E7</v>
      </c>
      <c r="E755" s="62" t="s">
        <v>3569</v>
      </c>
      <c r="F755" s="60" t="s">
        <v>3428</v>
      </c>
      <c r="H755" s="60" t="s">
        <v>4620</v>
      </c>
      <c r="I755" s="63">
        <v>0.5416666666666666</v>
      </c>
      <c r="J755" s="61"/>
      <c r="K755" s="61"/>
    </row>
    <row r="756">
      <c r="A756" s="51">
        <v>112.0</v>
      </c>
      <c r="B756" s="60" t="s">
        <v>3586</v>
      </c>
      <c r="C756" s="64"/>
      <c r="D756" s="60">
        <v>2.6327913E7</v>
      </c>
      <c r="E756" s="62" t="s">
        <v>3569</v>
      </c>
      <c r="F756" s="60" t="s">
        <v>3428</v>
      </c>
      <c r="H756" s="60" t="s">
        <v>4620</v>
      </c>
      <c r="I756" s="63">
        <v>0.5416666666666666</v>
      </c>
      <c r="J756" s="61"/>
      <c r="K756" s="61"/>
    </row>
    <row r="757">
      <c r="A757" s="51">
        <v>113.0</v>
      </c>
      <c r="B757" s="60" t="s">
        <v>3587</v>
      </c>
      <c r="C757" s="64"/>
      <c r="D757" s="60">
        <v>2.9565365E7</v>
      </c>
      <c r="E757" s="62" t="s">
        <v>3569</v>
      </c>
      <c r="F757" s="60" t="s">
        <v>3428</v>
      </c>
      <c r="H757" s="60" t="s">
        <v>4620</v>
      </c>
      <c r="I757" s="63">
        <v>0.5416666666666666</v>
      </c>
      <c r="J757" s="61"/>
      <c r="K757" s="61"/>
    </row>
    <row r="758">
      <c r="A758" s="51">
        <v>114.0</v>
      </c>
      <c r="B758" s="60" t="s">
        <v>3588</v>
      </c>
      <c r="C758" s="64"/>
      <c r="D758" s="60">
        <v>3.2359883E7</v>
      </c>
      <c r="E758" s="62" t="s">
        <v>3569</v>
      </c>
      <c r="F758" s="60" t="s">
        <v>3428</v>
      </c>
      <c r="H758" s="60" t="s">
        <v>4620</v>
      </c>
      <c r="I758" s="63">
        <v>0.5416666666666666</v>
      </c>
      <c r="J758" s="61"/>
      <c r="K758" s="61"/>
    </row>
    <row r="759">
      <c r="A759" s="51">
        <v>115.0</v>
      </c>
      <c r="B759" s="60" t="s">
        <v>3589</v>
      </c>
      <c r="C759" s="64"/>
      <c r="D759" s="60">
        <v>1.3374764E7</v>
      </c>
      <c r="E759" s="62" t="s">
        <v>3569</v>
      </c>
      <c r="F759" s="60" t="s">
        <v>3428</v>
      </c>
      <c r="H759" s="60" t="s">
        <v>4620</v>
      </c>
      <c r="I759" s="63">
        <v>0.5416666666666666</v>
      </c>
      <c r="J759" s="61"/>
      <c r="K759" s="61"/>
    </row>
    <row r="760">
      <c r="A760" s="51">
        <v>116.0</v>
      </c>
      <c r="B760" s="60" t="s">
        <v>3590</v>
      </c>
      <c r="C760" s="64"/>
      <c r="D760" s="60">
        <v>6059288.0</v>
      </c>
      <c r="E760" s="62" t="s">
        <v>3569</v>
      </c>
      <c r="F760" s="60" t="s">
        <v>3428</v>
      </c>
      <c r="H760" s="60" t="s">
        <v>4620</v>
      </c>
      <c r="I760" s="63">
        <v>0.5416666666666666</v>
      </c>
      <c r="J760" s="61"/>
      <c r="K760" s="61"/>
    </row>
    <row r="761">
      <c r="A761" s="51">
        <v>117.0</v>
      </c>
      <c r="B761" s="60" t="s">
        <v>3591</v>
      </c>
      <c r="C761" s="64"/>
      <c r="D761" s="60">
        <v>2.7377514E7</v>
      </c>
      <c r="E761" s="62" t="s">
        <v>3569</v>
      </c>
      <c r="F761" s="60" t="s">
        <v>3428</v>
      </c>
      <c r="H761" s="60" t="s">
        <v>4620</v>
      </c>
      <c r="I761" s="63">
        <v>0.5416666666666666</v>
      </c>
      <c r="J761" s="61"/>
      <c r="K761" s="61"/>
    </row>
    <row r="762">
      <c r="A762" s="51">
        <v>118.0</v>
      </c>
      <c r="B762" s="60" t="s">
        <v>3592</v>
      </c>
      <c r="C762" s="64"/>
      <c r="D762" s="60">
        <v>2.3926261E7</v>
      </c>
      <c r="E762" s="62" t="s">
        <v>3569</v>
      </c>
      <c r="F762" s="60" t="s">
        <v>3428</v>
      </c>
      <c r="H762" s="60" t="s">
        <v>4620</v>
      </c>
      <c r="I762" s="63">
        <v>0.5416666666666666</v>
      </c>
      <c r="J762" s="61"/>
      <c r="K762" s="61"/>
    </row>
    <row r="763">
      <c r="A763" s="51">
        <v>119.0</v>
      </c>
      <c r="B763" s="60" t="s">
        <v>3593</v>
      </c>
      <c r="C763" s="64"/>
      <c r="D763" s="60">
        <v>1.9367804E7</v>
      </c>
      <c r="E763" s="62" t="s">
        <v>3569</v>
      </c>
      <c r="F763" s="60" t="s">
        <v>3428</v>
      </c>
      <c r="H763" s="60" t="s">
        <v>4620</v>
      </c>
      <c r="I763" s="63">
        <v>0.5416666666666666</v>
      </c>
      <c r="J763" s="61"/>
      <c r="K763" s="61"/>
    </row>
    <row r="764">
      <c r="A764" s="51">
        <v>120.0</v>
      </c>
      <c r="B764" s="60" t="s">
        <v>3594</v>
      </c>
      <c r="C764" s="64"/>
      <c r="D764" s="60">
        <v>1.5541666E7</v>
      </c>
      <c r="E764" s="62" t="s">
        <v>3569</v>
      </c>
      <c r="F764" s="60" t="s">
        <v>3428</v>
      </c>
      <c r="H764" s="60" t="s">
        <v>4620</v>
      </c>
      <c r="I764" s="63">
        <v>0.5416666666666666</v>
      </c>
      <c r="J764" s="61"/>
      <c r="K764" s="61"/>
    </row>
    <row r="765">
      <c r="A765" s="51">
        <v>121.0</v>
      </c>
      <c r="B765" s="60" t="s">
        <v>3595</v>
      </c>
      <c r="C765" s="64"/>
      <c r="D765" s="60">
        <v>1.364187E7</v>
      </c>
      <c r="E765" s="62" t="s">
        <v>3569</v>
      </c>
      <c r="F765" s="60" t="s">
        <v>3428</v>
      </c>
      <c r="H765" s="60" t="s">
        <v>4620</v>
      </c>
      <c r="I765" s="63">
        <v>0.5416666666666666</v>
      </c>
      <c r="J765" s="61"/>
      <c r="K765" s="61"/>
    </row>
    <row r="766">
      <c r="A766" s="51">
        <v>122.0</v>
      </c>
      <c r="B766" s="60" t="s">
        <v>3596</v>
      </c>
      <c r="C766" s="64"/>
      <c r="D766" s="60">
        <v>1.6310014E7</v>
      </c>
      <c r="E766" s="62" t="s">
        <v>3569</v>
      </c>
      <c r="F766" s="60" t="s">
        <v>3428</v>
      </c>
      <c r="H766" s="60" t="s">
        <v>4620</v>
      </c>
      <c r="I766" s="63">
        <v>0.5416666666666666</v>
      </c>
      <c r="J766" s="61"/>
      <c r="K766" s="61"/>
    </row>
    <row r="767">
      <c r="A767" s="51">
        <v>123.0</v>
      </c>
      <c r="B767" s="60" t="s">
        <v>3597</v>
      </c>
      <c r="C767" s="64"/>
      <c r="D767" s="60">
        <v>3.1428533E7</v>
      </c>
      <c r="E767" s="62" t="s">
        <v>3569</v>
      </c>
      <c r="F767" s="60" t="s">
        <v>3428</v>
      </c>
      <c r="H767" s="60" t="s">
        <v>4620</v>
      </c>
      <c r="I767" s="63">
        <v>0.5416666666666666</v>
      </c>
      <c r="J767" s="61"/>
      <c r="K767" s="61"/>
    </row>
    <row r="768">
      <c r="A768" s="51">
        <v>124.0</v>
      </c>
      <c r="B768" s="60" t="s">
        <v>3598</v>
      </c>
      <c r="C768" s="64"/>
      <c r="D768" s="60">
        <v>3.3020891E7</v>
      </c>
      <c r="E768" s="62" t="s">
        <v>3569</v>
      </c>
      <c r="F768" s="60" t="s">
        <v>3428</v>
      </c>
      <c r="H768" s="60" t="s">
        <v>4620</v>
      </c>
      <c r="I768" s="63">
        <v>0.5416666666666666</v>
      </c>
      <c r="J768" s="61"/>
      <c r="K768" s="61"/>
    </row>
    <row r="769">
      <c r="A769" s="51">
        <v>125.0</v>
      </c>
      <c r="B769" s="60" t="s">
        <v>3599</v>
      </c>
      <c r="C769" s="64"/>
      <c r="D769" s="60">
        <v>1.3717087E7</v>
      </c>
      <c r="E769" s="62" t="s">
        <v>3569</v>
      </c>
      <c r="F769" s="60" t="s">
        <v>3428</v>
      </c>
      <c r="H769" s="60" t="s">
        <v>4620</v>
      </c>
      <c r="I769" s="63">
        <v>0.5416666666666666</v>
      </c>
      <c r="J769" s="61"/>
      <c r="K769" s="61"/>
    </row>
    <row r="770">
      <c r="A770" s="51">
        <v>126.0</v>
      </c>
      <c r="B770" s="60" t="s">
        <v>3600</v>
      </c>
      <c r="C770" s="64"/>
      <c r="D770" s="60">
        <v>9416493.0</v>
      </c>
      <c r="E770" s="62" t="s">
        <v>3569</v>
      </c>
      <c r="F770" s="60" t="s">
        <v>3428</v>
      </c>
      <c r="H770" s="60" t="s">
        <v>4620</v>
      </c>
      <c r="I770" s="63">
        <v>0.5416666666666666</v>
      </c>
      <c r="J770" s="61"/>
      <c r="K770" s="61"/>
    </row>
    <row r="771">
      <c r="A771" s="51">
        <v>127.0</v>
      </c>
      <c r="B771" s="60" t="s">
        <v>3601</v>
      </c>
      <c r="C771" s="64"/>
      <c r="D771" s="60">
        <v>1.4312752E7</v>
      </c>
      <c r="E771" s="62" t="s">
        <v>3569</v>
      </c>
      <c r="F771" s="60" t="s">
        <v>3428</v>
      </c>
      <c r="H771" s="60" t="s">
        <v>4620</v>
      </c>
      <c r="I771" s="63">
        <v>0.5416666666666666</v>
      </c>
      <c r="J771" s="61"/>
      <c r="K771" s="61"/>
    </row>
    <row r="772">
      <c r="A772" s="51">
        <v>128.0</v>
      </c>
      <c r="B772" s="60" t="s">
        <v>3602</v>
      </c>
      <c r="C772" s="64"/>
      <c r="D772" s="60" t="s">
        <v>3574</v>
      </c>
      <c r="E772" s="62" t="s">
        <v>3569</v>
      </c>
      <c r="F772" s="60" t="s">
        <v>3428</v>
      </c>
      <c r="H772" s="60" t="s">
        <v>4620</v>
      </c>
      <c r="I772" s="63">
        <v>0.5416666666666666</v>
      </c>
      <c r="J772" s="61"/>
      <c r="K772" s="61"/>
    </row>
    <row r="773">
      <c r="A773" s="51">
        <v>129.0</v>
      </c>
      <c r="B773" s="60" t="s">
        <v>3603</v>
      </c>
      <c r="C773" s="64"/>
      <c r="D773" s="60" t="s">
        <v>3574</v>
      </c>
      <c r="E773" s="62" t="s">
        <v>3569</v>
      </c>
      <c r="F773" s="60" t="s">
        <v>3428</v>
      </c>
      <c r="H773" s="60" t="s">
        <v>4620</v>
      </c>
      <c r="I773" s="63">
        <v>0.5416666666666666</v>
      </c>
      <c r="J773" s="61"/>
      <c r="K773" s="61"/>
    </row>
    <row r="774">
      <c r="A774" s="51">
        <v>130.0</v>
      </c>
      <c r="B774" s="60" t="s">
        <v>3604</v>
      </c>
      <c r="C774" s="64"/>
      <c r="D774" s="60">
        <v>4163469.0</v>
      </c>
      <c r="E774" s="62" t="s">
        <v>3569</v>
      </c>
      <c r="F774" s="60" t="s">
        <v>3428</v>
      </c>
      <c r="H774" s="60" t="s">
        <v>4620</v>
      </c>
      <c r="I774" s="63">
        <v>0.5416666666666666</v>
      </c>
      <c r="J774" s="61"/>
      <c r="K774" s="61"/>
    </row>
    <row r="775">
      <c r="A775" s="51">
        <v>131.0</v>
      </c>
      <c r="B775" s="60" t="s">
        <v>3605</v>
      </c>
      <c r="C775" s="64"/>
      <c r="D775" s="60">
        <v>1.342289E7</v>
      </c>
      <c r="E775" s="62" t="s">
        <v>3569</v>
      </c>
      <c r="F775" s="60" t="s">
        <v>3428</v>
      </c>
      <c r="H775" s="60" t="s">
        <v>4620</v>
      </c>
      <c r="I775" s="63">
        <v>0.5416666666666666</v>
      </c>
      <c r="J775" s="61"/>
      <c r="K775" s="61"/>
    </row>
    <row r="776">
      <c r="A776" s="51">
        <v>132.0</v>
      </c>
      <c r="B776" s="60" t="s">
        <v>3606</v>
      </c>
      <c r="C776" s="64"/>
      <c r="D776" s="60">
        <v>1.8384289E7</v>
      </c>
      <c r="E776" s="62" t="s">
        <v>1748</v>
      </c>
      <c r="F776" s="60" t="s">
        <v>3428</v>
      </c>
      <c r="H776" s="60" t="s">
        <v>4620</v>
      </c>
      <c r="I776" s="63">
        <v>0.5416666666666666</v>
      </c>
      <c r="J776" s="61"/>
      <c r="K776" s="61"/>
    </row>
    <row r="777">
      <c r="A777" s="51">
        <v>133.0</v>
      </c>
      <c r="B777" s="60" t="s">
        <v>3607</v>
      </c>
      <c r="C777" s="64"/>
      <c r="D777" s="60">
        <v>296723.0</v>
      </c>
      <c r="E777" s="62" t="s">
        <v>1748</v>
      </c>
      <c r="F777" s="60" t="s">
        <v>3428</v>
      </c>
      <c r="H777" s="60" t="s">
        <v>4620</v>
      </c>
      <c r="I777" s="63">
        <v>0.5416666666666666</v>
      </c>
      <c r="J777" s="61"/>
      <c r="K777" s="61"/>
    </row>
    <row r="778">
      <c r="A778" s="51">
        <v>134.0</v>
      </c>
      <c r="B778" s="60" t="s">
        <v>3583</v>
      </c>
      <c r="C778" s="64"/>
      <c r="D778" s="60">
        <v>2.2916224E7</v>
      </c>
      <c r="E778" s="62" t="s">
        <v>1748</v>
      </c>
      <c r="F778" s="60" t="s">
        <v>3428</v>
      </c>
      <c r="H778" s="60" t="s">
        <v>4620</v>
      </c>
      <c r="I778" s="63">
        <v>0.5416666666666666</v>
      </c>
      <c r="J778" s="61"/>
      <c r="K778" s="61"/>
    </row>
    <row r="779">
      <c r="A779" s="51">
        <v>135.0</v>
      </c>
      <c r="B779" s="60" t="s">
        <v>3584</v>
      </c>
      <c r="C779" s="64"/>
      <c r="D779" s="60">
        <v>1.9734177E7</v>
      </c>
      <c r="E779" s="62" t="s">
        <v>1748</v>
      </c>
      <c r="F779" s="60" t="s">
        <v>3428</v>
      </c>
      <c r="H779" s="60" t="s">
        <v>4620</v>
      </c>
      <c r="I779" s="63">
        <v>0.5416666666666666</v>
      </c>
      <c r="J779" s="61"/>
      <c r="K779" s="61"/>
    </row>
    <row r="780">
      <c r="A780" s="51">
        <v>136.0</v>
      </c>
      <c r="B780" s="60" t="s">
        <v>3608</v>
      </c>
      <c r="C780" s="64"/>
      <c r="D780" s="60">
        <v>5199652.0</v>
      </c>
      <c r="E780" s="62" t="s">
        <v>1748</v>
      </c>
      <c r="F780" s="60" t="s">
        <v>3428</v>
      </c>
      <c r="H780" s="60" t="s">
        <v>4620</v>
      </c>
      <c r="I780" s="63">
        <v>0.5416666666666666</v>
      </c>
      <c r="J780" s="61"/>
      <c r="K780" s="61"/>
    </row>
    <row r="781">
      <c r="A781" s="51">
        <v>137.0</v>
      </c>
      <c r="B781" s="60" t="s">
        <v>3609</v>
      </c>
      <c r="C781" s="64"/>
      <c r="D781" s="60">
        <v>2.5699054E7</v>
      </c>
      <c r="E781" s="62" t="s">
        <v>1748</v>
      </c>
      <c r="F781" s="60" t="s">
        <v>3428</v>
      </c>
      <c r="H781" s="60" t="s">
        <v>4620</v>
      </c>
      <c r="I781" s="63">
        <v>0.5416666666666666</v>
      </c>
      <c r="J781" s="61"/>
      <c r="K781" s="61"/>
    </row>
    <row r="782">
      <c r="A782" s="51">
        <v>138.0</v>
      </c>
      <c r="B782" s="60" t="s">
        <v>3610</v>
      </c>
      <c r="C782" s="64"/>
      <c r="D782" s="60">
        <v>6904629.0</v>
      </c>
      <c r="E782" s="62" t="s">
        <v>1748</v>
      </c>
      <c r="F782" s="60" t="s">
        <v>3428</v>
      </c>
      <c r="H782" s="60" t="s">
        <v>4620</v>
      </c>
      <c r="I782" s="63">
        <v>0.5416666666666666</v>
      </c>
      <c r="J782" s="61"/>
      <c r="K782" s="61"/>
    </row>
    <row r="783">
      <c r="A783" s="51">
        <v>139.0</v>
      </c>
      <c r="B783" s="60" t="s">
        <v>3611</v>
      </c>
      <c r="C783" s="64"/>
      <c r="D783" s="60">
        <v>2.405878E7</v>
      </c>
      <c r="E783" s="62" t="s">
        <v>1748</v>
      </c>
      <c r="F783" s="60" t="s">
        <v>3428</v>
      </c>
      <c r="H783" s="60" t="s">
        <v>4620</v>
      </c>
      <c r="I783" s="63">
        <v>0.5416666666666666</v>
      </c>
      <c r="J783" s="61"/>
      <c r="K783" s="61"/>
    </row>
    <row r="784">
      <c r="A784" s="51">
        <v>140.0</v>
      </c>
      <c r="B784" s="60" t="s">
        <v>3612</v>
      </c>
      <c r="C784" s="64"/>
      <c r="D784" s="60">
        <v>6049995.0</v>
      </c>
      <c r="E784" s="62" t="s">
        <v>1748</v>
      </c>
      <c r="F784" s="60" t="s">
        <v>3428</v>
      </c>
      <c r="H784" s="60" t="s">
        <v>4620</v>
      </c>
      <c r="I784" s="63">
        <v>0.5416666666666666</v>
      </c>
      <c r="J784" s="61"/>
      <c r="K784" s="61"/>
    </row>
    <row r="785">
      <c r="A785" s="51">
        <v>141.0</v>
      </c>
      <c r="B785" s="60" t="s">
        <v>3613</v>
      </c>
      <c r="C785" s="64"/>
      <c r="D785" s="60">
        <v>2.8544619E7</v>
      </c>
      <c r="E785" s="62" t="s">
        <v>1748</v>
      </c>
      <c r="F785" s="60" t="s">
        <v>3428</v>
      </c>
      <c r="H785" s="60" t="s">
        <v>4620</v>
      </c>
      <c r="I785" s="63">
        <v>0.5416666666666666</v>
      </c>
      <c r="J785" s="61"/>
      <c r="K785" s="61"/>
    </row>
    <row r="786">
      <c r="A786" s="51">
        <v>142.0</v>
      </c>
      <c r="B786" s="60" t="s">
        <v>3614</v>
      </c>
      <c r="C786" s="64"/>
      <c r="D786" s="60">
        <v>3.4588981E7</v>
      </c>
      <c r="E786" s="62" t="s">
        <v>1748</v>
      </c>
      <c r="F786" s="60" t="s">
        <v>3428</v>
      </c>
      <c r="H786" s="60" t="s">
        <v>4620</v>
      </c>
      <c r="I786" s="63">
        <v>0.5416666666666666</v>
      </c>
      <c r="J786" s="61"/>
      <c r="K786" s="61"/>
    </row>
    <row r="787">
      <c r="A787" s="51">
        <v>143.0</v>
      </c>
      <c r="B787" s="60" t="s">
        <v>3615</v>
      </c>
      <c r="C787" s="64"/>
      <c r="D787" s="60">
        <v>5965096.0</v>
      </c>
      <c r="E787" s="62" t="s">
        <v>1748</v>
      </c>
      <c r="F787" s="60" t="s">
        <v>3428</v>
      </c>
      <c r="H787" s="60" t="s">
        <v>4620</v>
      </c>
      <c r="I787" s="63">
        <v>0.5416666666666666</v>
      </c>
      <c r="J787" s="61"/>
      <c r="K787" s="61"/>
    </row>
    <row r="788">
      <c r="A788" s="51">
        <v>144.0</v>
      </c>
      <c r="B788" s="60" t="s">
        <v>3616</v>
      </c>
      <c r="C788" s="64"/>
      <c r="D788" s="60">
        <v>1.7158021E7</v>
      </c>
      <c r="E788" s="62" t="s">
        <v>1748</v>
      </c>
      <c r="F788" s="60" t="s">
        <v>3428</v>
      </c>
      <c r="H788" s="60" t="s">
        <v>4620</v>
      </c>
      <c r="I788" s="63">
        <v>0.5416666666666666</v>
      </c>
      <c r="J788" s="61"/>
      <c r="K788" s="61"/>
    </row>
    <row r="789">
      <c r="A789" s="51">
        <v>145.0</v>
      </c>
      <c r="B789" s="60" t="s">
        <v>3617</v>
      </c>
      <c r="C789" s="64"/>
      <c r="D789" s="60">
        <v>2.5025734E7</v>
      </c>
      <c r="E789" s="62" t="s">
        <v>1748</v>
      </c>
      <c r="F789" s="60" t="s">
        <v>3428</v>
      </c>
      <c r="H789" s="60" t="s">
        <v>4620</v>
      </c>
      <c r="I789" s="63">
        <v>0.5416666666666666</v>
      </c>
      <c r="J789" s="61"/>
      <c r="K789" s="61"/>
    </row>
    <row r="790">
      <c r="A790" s="51">
        <v>146.0</v>
      </c>
      <c r="B790" s="60" t="s">
        <v>3618</v>
      </c>
      <c r="C790" s="64"/>
      <c r="D790" s="60">
        <v>3.6091784E7</v>
      </c>
      <c r="E790" s="62" t="s">
        <v>1748</v>
      </c>
      <c r="F790" s="60" t="s">
        <v>3428</v>
      </c>
      <c r="H790" s="60" t="s">
        <v>4620</v>
      </c>
      <c r="I790" s="63">
        <v>0.5416666666666666</v>
      </c>
      <c r="J790" s="61"/>
      <c r="K790" s="61"/>
    </row>
    <row r="791">
      <c r="A791" s="51">
        <v>147.0</v>
      </c>
      <c r="B791" s="60" t="s">
        <v>3619</v>
      </c>
      <c r="C791" s="64"/>
      <c r="D791" s="60">
        <v>4718019.0</v>
      </c>
      <c r="E791" s="62" t="s">
        <v>1748</v>
      </c>
      <c r="F791" s="60" t="s">
        <v>3428</v>
      </c>
      <c r="H791" s="60" t="s">
        <v>4620</v>
      </c>
      <c r="I791" s="63">
        <v>0.5416666666666666</v>
      </c>
      <c r="J791" s="61"/>
      <c r="K791" s="61"/>
    </row>
    <row r="792">
      <c r="A792" s="51">
        <v>148.0</v>
      </c>
      <c r="B792" s="60" t="s">
        <v>3620</v>
      </c>
      <c r="C792" s="64"/>
      <c r="D792" s="60">
        <v>1.2115323E7</v>
      </c>
      <c r="E792" s="62" t="s">
        <v>1748</v>
      </c>
      <c r="F792" s="60" t="s">
        <v>3428</v>
      </c>
      <c r="H792" s="60" t="s">
        <v>4620</v>
      </c>
      <c r="I792" s="63">
        <v>0.5416666666666666</v>
      </c>
      <c r="J792" s="61"/>
      <c r="K792" s="61"/>
    </row>
    <row r="793">
      <c r="A793" s="51">
        <v>149.0</v>
      </c>
      <c r="B793" s="60" t="s">
        <v>3621</v>
      </c>
      <c r="C793" s="64"/>
      <c r="D793" s="60">
        <v>3.1760907E7</v>
      </c>
      <c r="E793" s="62" t="s">
        <v>1748</v>
      </c>
      <c r="F793" s="60" t="s">
        <v>3428</v>
      </c>
      <c r="H793" s="60" t="s">
        <v>4620</v>
      </c>
      <c r="I793" s="63">
        <v>0.5416666666666666</v>
      </c>
      <c r="J793" s="61"/>
      <c r="K793" s="61"/>
    </row>
    <row r="794">
      <c r="A794" s="51">
        <v>150.0</v>
      </c>
      <c r="B794" s="60" t="s">
        <v>3622</v>
      </c>
      <c r="C794" s="64"/>
      <c r="D794" s="60">
        <v>8.146247E7</v>
      </c>
      <c r="E794" s="62" t="s">
        <v>1748</v>
      </c>
      <c r="F794" s="60" t="s">
        <v>3428</v>
      </c>
      <c r="H794" s="60" t="s">
        <v>4620</v>
      </c>
      <c r="I794" s="63">
        <v>0.5416666666666666</v>
      </c>
      <c r="J794" s="61"/>
      <c r="K794" s="61"/>
    </row>
    <row r="795">
      <c r="A795" s="51">
        <v>151.0</v>
      </c>
      <c r="B795" s="60" t="s">
        <v>3623</v>
      </c>
      <c r="C795" s="64"/>
      <c r="D795" s="60">
        <v>2.7374286E7</v>
      </c>
      <c r="E795" s="62" t="s">
        <v>1748</v>
      </c>
      <c r="F795" s="60" t="s">
        <v>3428</v>
      </c>
      <c r="H795" s="60" t="s">
        <v>4620</v>
      </c>
      <c r="I795" s="63">
        <v>0.5416666666666666</v>
      </c>
      <c r="J795" s="61"/>
      <c r="K795" s="61"/>
    </row>
    <row r="796">
      <c r="A796" s="51">
        <v>152.0</v>
      </c>
      <c r="B796" s="60" t="s">
        <v>3624</v>
      </c>
      <c r="C796" s="64"/>
      <c r="D796" s="60">
        <v>1.7709218E7</v>
      </c>
      <c r="E796" s="62" t="s">
        <v>1748</v>
      </c>
      <c r="F796" s="60" t="s">
        <v>3428</v>
      </c>
      <c r="H796" s="60" t="s">
        <v>4620</v>
      </c>
      <c r="I796" s="63">
        <v>0.5416666666666666</v>
      </c>
      <c r="J796" s="61"/>
      <c r="K796" s="61"/>
    </row>
    <row r="797">
      <c r="A797" s="51">
        <v>153.0</v>
      </c>
      <c r="B797" s="60" t="s">
        <v>3645</v>
      </c>
      <c r="C797" s="64"/>
      <c r="D797" s="60">
        <v>2945823.0</v>
      </c>
      <c r="E797" s="62" t="s">
        <v>3569</v>
      </c>
      <c r="F797" s="60" t="s">
        <v>3428</v>
      </c>
      <c r="H797" s="60" t="s">
        <v>4620</v>
      </c>
      <c r="I797" s="63">
        <v>0.5416666666666666</v>
      </c>
      <c r="J797" s="61"/>
      <c r="K797" s="61"/>
    </row>
    <row r="798">
      <c r="A798" s="51">
        <v>154.0</v>
      </c>
      <c r="B798" s="60" t="s">
        <v>3646</v>
      </c>
      <c r="C798" s="64"/>
      <c r="D798" s="60">
        <v>1.6125101E7</v>
      </c>
      <c r="E798" s="62" t="s">
        <v>3569</v>
      </c>
      <c r="F798" s="60" t="s">
        <v>3428</v>
      </c>
      <c r="H798" s="60" t="s">
        <v>4620</v>
      </c>
      <c r="I798" s="63">
        <v>0.5416666666666666</v>
      </c>
      <c r="J798" s="61"/>
      <c r="K798" s="61"/>
    </row>
    <row r="799">
      <c r="A799" s="51">
        <v>155.0</v>
      </c>
      <c r="B799" s="60" t="s">
        <v>3625</v>
      </c>
      <c r="C799" s="64"/>
      <c r="D799" s="60">
        <v>2.814377E7</v>
      </c>
      <c r="E799" s="62" t="s">
        <v>3569</v>
      </c>
      <c r="F799" s="60" t="s">
        <v>3428</v>
      </c>
      <c r="H799" s="60" t="s">
        <v>4620</v>
      </c>
      <c r="I799" s="63">
        <v>0.5416666666666666</v>
      </c>
      <c r="J799" s="61"/>
      <c r="K799" s="61"/>
    </row>
    <row r="800">
      <c r="A800" s="51">
        <v>156.0</v>
      </c>
      <c r="B800" s="60" t="s">
        <v>3647</v>
      </c>
      <c r="C800" s="64"/>
      <c r="D800" s="60">
        <v>285659.0</v>
      </c>
      <c r="E800" s="62" t="s">
        <v>3569</v>
      </c>
      <c r="F800" s="60" t="s">
        <v>3428</v>
      </c>
      <c r="H800" s="60" t="s">
        <v>4620</v>
      </c>
      <c r="I800" s="63">
        <v>0.5416666666666666</v>
      </c>
      <c r="J800" s="61"/>
      <c r="K800" s="61"/>
    </row>
    <row r="801">
      <c r="A801" s="51">
        <v>157.0</v>
      </c>
      <c r="B801" s="60" t="s">
        <v>3508</v>
      </c>
      <c r="C801" s="64"/>
      <c r="D801" s="60">
        <v>4636722.0</v>
      </c>
      <c r="E801" s="62" t="s">
        <v>3569</v>
      </c>
      <c r="F801" s="60" t="s">
        <v>3428</v>
      </c>
      <c r="H801" s="60" t="s">
        <v>4620</v>
      </c>
      <c r="I801" s="63">
        <v>0.5416666666666666</v>
      </c>
      <c r="J801" s="61"/>
      <c r="K801" s="61"/>
    </row>
    <row r="802">
      <c r="A802" s="51">
        <v>158.0</v>
      </c>
      <c r="B802" s="60" t="s">
        <v>3626</v>
      </c>
      <c r="C802" s="64"/>
      <c r="D802" s="60">
        <v>1.9659867E7</v>
      </c>
      <c r="E802" s="62" t="s">
        <v>3569</v>
      </c>
      <c r="F802" s="60" t="s">
        <v>3428</v>
      </c>
      <c r="H802" s="60" t="s">
        <v>4620</v>
      </c>
      <c r="I802" s="63">
        <v>0.5416666666666666</v>
      </c>
      <c r="J802" s="61"/>
      <c r="K802" s="61"/>
    </row>
    <row r="803">
      <c r="A803" s="51">
        <v>159.0</v>
      </c>
      <c r="B803" s="60" t="s">
        <v>3648</v>
      </c>
      <c r="C803" s="64"/>
      <c r="D803" s="60">
        <v>3.4800366E7</v>
      </c>
      <c r="E803" s="62" t="s">
        <v>3569</v>
      </c>
      <c r="F803" s="60" t="s">
        <v>3428</v>
      </c>
      <c r="H803" s="60" t="s">
        <v>4620</v>
      </c>
      <c r="I803" s="63">
        <v>0.5416666666666666</v>
      </c>
      <c r="J803" s="61"/>
      <c r="K803" s="61"/>
    </row>
    <row r="804">
      <c r="A804" s="51">
        <v>160.0</v>
      </c>
      <c r="B804" s="60" t="s">
        <v>3627</v>
      </c>
      <c r="C804" s="64"/>
      <c r="D804" s="60">
        <v>6405488.0</v>
      </c>
      <c r="E804" s="62" t="s">
        <v>3569</v>
      </c>
      <c r="F804" s="60" t="s">
        <v>3428</v>
      </c>
      <c r="H804" s="60" t="s">
        <v>4620</v>
      </c>
      <c r="I804" s="63">
        <v>0.5416666666666666</v>
      </c>
      <c r="J804" s="61"/>
      <c r="K804" s="61"/>
    </row>
    <row r="805">
      <c r="A805" s="51">
        <v>161.0</v>
      </c>
      <c r="B805" s="60" t="s">
        <v>3649</v>
      </c>
      <c r="C805" s="64"/>
      <c r="D805" s="60">
        <v>2.7006264E7</v>
      </c>
      <c r="E805" s="62" t="s">
        <v>3569</v>
      </c>
      <c r="F805" s="60" t="s">
        <v>3428</v>
      </c>
      <c r="H805" s="60" t="s">
        <v>4620</v>
      </c>
      <c r="I805" s="63">
        <v>0.5416666666666666</v>
      </c>
      <c r="J805" s="61"/>
      <c r="K805" s="61"/>
    </row>
    <row r="806">
      <c r="A806" s="51">
        <v>162.0</v>
      </c>
      <c r="B806" s="60" t="s">
        <v>3628</v>
      </c>
      <c r="C806" s="64"/>
      <c r="D806" s="60">
        <v>2.814377E7</v>
      </c>
      <c r="E806" s="62" t="s">
        <v>3569</v>
      </c>
      <c r="F806" s="60" t="s">
        <v>3428</v>
      </c>
      <c r="H806" s="60" t="s">
        <v>4620</v>
      </c>
      <c r="I806" s="63">
        <v>0.5416666666666666</v>
      </c>
      <c r="J806" s="60" t="s">
        <v>3629</v>
      </c>
      <c r="K806" s="61"/>
    </row>
    <row r="807">
      <c r="A807" s="51">
        <v>163.0</v>
      </c>
      <c r="B807" s="60" t="s">
        <v>3630</v>
      </c>
      <c r="C807" s="64"/>
      <c r="D807" s="60">
        <v>3883421.0</v>
      </c>
      <c r="E807" s="62" t="s">
        <v>3569</v>
      </c>
      <c r="F807" s="60" t="s">
        <v>3428</v>
      </c>
      <c r="H807" s="60" t="s">
        <v>4620</v>
      </c>
      <c r="I807" s="63">
        <v>0.5416666666666666</v>
      </c>
      <c r="J807" s="61"/>
      <c r="K807" s="61"/>
    </row>
    <row r="808">
      <c r="A808" s="51">
        <v>164.0</v>
      </c>
      <c r="B808" s="60" t="s">
        <v>3631</v>
      </c>
      <c r="C808" s="64"/>
      <c r="D808" s="60">
        <v>1.7856045E7</v>
      </c>
      <c r="E808" s="62" t="s">
        <v>3569</v>
      </c>
      <c r="F808" s="60" t="s">
        <v>3428</v>
      </c>
      <c r="H808" s="60" t="s">
        <v>4620</v>
      </c>
      <c r="I808" s="63">
        <v>0.5416666666666666</v>
      </c>
      <c r="J808" s="61"/>
      <c r="K808" s="61"/>
    </row>
    <row r="809">
      <c r="A809" s="51">
        <v>165.0</v>
      </c>
      <c r="B809" s="60" t="s">
        <v>3632</v>
      </c>
      <c r="C809" s="64"/>
      <c r="D809" s="60">
        <v>2.0003134E7</v>
      </c>
      <c r="E809" s="62" t="s">
        <v>3569</v>
      </c>
      <c r="F809" s="60" t="s">
        <v>3428</v>
      </c>
      <c r="H809" s="60" t="s">
        <v>4620</v>
      </c>
      <c r="I809" s="63">
        <v>0.5416666666666666</v>
      </c>
      <c r="J809" s="61"/>
      <c r="K809" s="61"/>
    </row>
    <row r="810">
      <c r="A810" s="51">
        <v>166.0</v>
      </c>
      <c r="B810" s="60" t="s">
        <v>3633</v>
      </c>
      <c r="C810" s="64"/>
      <c r="D810" s="60">
        <v>2.7044236E7</v>
      </c>
      <c r="E810" s="62" t="s">
        <v>3569</v>
      </c>
      <c r="F810" s="60" t="s">
        <v>3428</v>
      </c>
      <c r="H810" s="60" t="s">
        <v>4620</v>
      </c>
      <c r="I810" s="63">
        <v>0.5416666666666666</v>
      </c>
      <c r="J810" s="61"/>
      <c r="K810" s="61"/>
    </row>
    <row r="811">
      <c r="A811" s="51">
        <v>167.0</v>
      </c>
      <c r="B811" s="60" t="s">
        <v>3634</v>
      </c>
      <c r="C811" s="64"/>
      <c r="D811" s="60">
        <v>3.0170626E7</v>
      </c>
      <c r="E811" s="62" t="s">
        <v>3569</v>
      </c>
      <c r="F811" s="60" t="s">
        <v>3428</v>
      </c>
      <c r="H811" s="60" t="s">
        <v>4620</v>
      </c>
      <c r="I811" s="63">
        <v>0.5416666666666666</v>
      </c>
      <c r="J811" s="61"/>
      <c r="K811" s="61"/>
    </row>
    <row r="812">
      <c r="A812" s="51">
        <v>168.0</v>
      </c>
      <c r="B812" s="60" t="s">
        <v>3635</v>
      </c>
      <c r="C812" s="64"/>
      <c r="D812" s="60">
        <v>2.9701695E7</v>
      </c>
      <c r="E812" s="62" t="s">
        <v>3569</v>
      </c>
      <c r="F812" s="60" t="s">
        <v>3428</v>
      </c>
      <c r="H812" s="60" t="s">
        <v>4620</v>
      </c>
      <c r="I812" s="63">
        <v>0.5416666666666666</v>
      </c>
      <c r="J812" s="61"/>
      <c r="K812" s="61"/>
    </row>
    <row r="813">
      <c r="A813" s="51">
        <v>169.0</v>
      </c>
      <c r="B813" s="60" t="s">
        <v>3636</v>
      </c>
      <c r="C813" s="64"/>
      <c r="D813" s="60">
        <v>3.2976229E7</v>
      </c>
      <c r="E813" s="62" t="s">
        <v>3569</v>
      </c>
      <c r="F813" s="60" t="s">
        <v>3428</v>
      </c>
      <c r="H813" s="60" t="s">
        <v>4620</v>
      </c>
      <c r="I813" s="63">
        <v>0.5416666666666666</v>
      </c>
      <c r="J813" s="61"/>
      <c r="K813" s="61"/>
    </row>
    <row r="814">
      <c r="A814" s="51">
        <v>170.0</v>
      </c>
      <c r="B814" s="60" t="s">
        <v>3637</v>
      </c>
      <c r="C814" s="64"/>
      <c r="D814" s="60" t="s">
        <v>3574</v>
      </c>
      <c r="E814" s="62" t="s">
        <v>3569</v>
      </c>
      <c r="F814" s="60" t="s">
        <v>3428</v>
      </c>
      <c r="H814" s="60" t="s">
        <v>4620</v>
      </c>
      <c r="I814" s="63">
        <v>0.5416666666666666</v>
      </c>
      <c r="J814" s="61"/>
      <c r="K814" s="61"/>
    </row>
    <row r="815">
      <c r="A815" s="51">
        <v>171.0</v>
      </c>
      <c r="B815" s="60" t="s">
        <v>3638</v>
      </c>
      <c r="C815" s="64"/>
      <c r="D815" s="60">
        <v>2.3241059E7</v>
      </c>
      <c r="E815" s="62" t="s">
        <v>3569</v>
      </c>
      <c r="F815" s="60" t="s">
        <v>3428</v>
      </c>
      <c r="H815" s="60" t="s">
        <v>4620</v>
      </c>
      <c r="I815" s="63">
        <v>0.5416666666666666</v>
      </c>
      <c r="J815" s="61"/>
      <c r="K815" s="61"/>
    </row>
    <row r="816">
      <c r="A816" s="51">
        <v>172.0</v>
      </c>
      <c r="B816" s="60" t="s">
        <v>3639</v>
      </c>
      <c r="C816" s="64"/>
      <c r="D816" s="60">
        <v>3.0072743E7</v>
      </c>
      <c r="E816" s="62" t="s">
        <v>3569</v>
      </c>
      <c r="F816" s="60" t="s">
        <v>3428</v>
      </c>
      <c r="H816" s="60" t="s">
        <v>4620</v>
      </c>
      <c r="I816" s="63">
        <v>0.5416666666666666</v>
      </c>
      <c r="J816" s="61"/>
      <c r="K816" s="61"/>
    </row>
    <row r="817">
      <c r="A817" s="51">
        <v>173.0</v>
      </c>
      <c r="B817" s="60" t="s">
        <v>3640</v>
      </c>
      <c r="C817" s="64"/>
      <c r="D817" s="60">
        <v>8.2230906E7</v>
      </c>
      <c r="E817" s="62" t="s">
        <v>3569</v>
      </c>
      <c r="F817" s="60" t="s">
        <v>3428</v>
      </c>
      <c r="H817" s="60" t="s">
        <v>4620</v>
      </c>
      <c r="I817" s="63">
        <v>0.5416666666666666</v>
      </c>
      <c r="J817" s="61"/>
      <c r="K817" s="61"/>
    </row>
    <row r="818">
      <c r="A818" s="51">
        <v>174.0</v>
      </c>
      <c r="B818" s="60" t="s">
        <v>3641</v>
      </c>
      <c r="C818" s="64"/>
      <c r="D818" s="60">
        <v>6092167.0</v>
      </c>
      <c r="E818" s="62" t="s">
        <v>3569</v>
      </c>
      <c r="F818" s="60" t="s">
        <v>3428</v>
      </c>
      <c r="H818" s="60" t="s">
        <v>4620</v>
      </c>
      <c r="I818" s="63">
        <v>0.5416666666666666</v>
      </c>
      <c r="J818" s="61"/>
      <c r="K818" s="61"/>
    </row>
    <row r="819">
      <c r="A819" s="51">
        <v>175.0</v>
      </c>
      <c r="B819" s="60" t="s">
        <v>3642</v>
      </c>
      <c r="C819" s="64"/>
      <c r="D819" s="60">
        <v>2.6327366E7</v>
      </c>
      <c r="E819" s="62" t="s">
        <v>3569</v>
      </c>
      <c r="F819" s="60" t="s">
        <v>3428</v>
      </c>
      <c r="H819" s="60" t="s">
        <v>4620</v>
      </c>
      <c r="I819" s="63">
        <v>0.5416666666666666</v>
      </c>
      <c r="J819" s="61"/>
      <c r="K819" s="61"/>
    </row>
    <row r="820">
      <c r="A820" s="51">
        <v>176.0</v>
      </c>
      <c r="B820" s="60" t="s">
        <v>3643</v>
      </c>
      <c r="C820" s="64"/>
      <c r="D820" s="60">
        <v>1.0576803E7</v>
      </c>
      <c r="E820" s="62" t="s">
        <v>3569</v>
      </c>
      <c r="F820" s="60" t="s">
        <v>3428</v>
      </c>
      <c r="H820" s="60" t="s">
        <v>4620</v>
      </c>
      <c r="I820" s="63">
        <v>0.5416666666666666</v>
      </c>
      <c r="J820" s="61"/>
      <c r="K820" s="61"/>
    </row>
    <row r="821">
      <c r="A821" s="51">
        <v>177.0</v>
      </c>
      <c r="B821" s="60" t="s">
        <v>3644</v>
      </c>
      <c r="C821" s="64"/>
      <c r="D821" s="60">
        <v>1.7856045E7</v>
      </c>
      <c r="E821" s="62" t="s">
        <v>3569</v>
      </c>
      <c r="F821" s="60" t="s">
        <v>3428</v>
      </c>
      <c r="H821" s="60" t="s">
        <v>4620</v>
      </c>
      <c r="I821" s="63">
        <v>0.5416666666666666</v>
      </c>
      <c r="J821" s="61"/>
      <c r="K821" s="61"/>
    </row>
    <row r="822">
      <c r="A822" s="51">
        <v>178.0</v>
      </c>
      <c r="B822" s="60" t="s">
        <v>3632</v>
      </c>
      <c r="C822" s="64"/>
      <c r="D822" s="60">
        <v>2.0003134E7</v>
      </c>
      <c r="E822" s="62" t="s">
        <v>3569</v>
      </c>
      <c r="F822" s="60" t="s">
        <v>3428</v>
      </c>
      <c r="H822" s="60" t="s">
        <v>4620</v>
      </c>
      <c r="I822" s="63">
        <v>0.5416666666666666</v>
      </c>
      <c r="J822" s="61"/>
      <c r="K822" s="61"/>
    </row>
    <row r="823">
      <c r="A823" s="51">
        <v>179.0</v>
      </c>
      <c r="B823" s="60" t="s">
        <v>3645</v>
      </c>
      <c r="C823" s="64"/>
      <c r="D823" s="60">
        <v>2945823.0</v>
      </c>
      <c r="E823" s="62" t="s">
        <v>3569</v>
      </c>
      <c r="F823" s="60" t="s">
        <v>3428</v>
      </c>
      <c r="H823" s="60" t="s">
        <v>4620</v>
      </c>
      <c r="I823" s="63">
        <v>0.5416666666666666</v>
      </c>
      <c r="J823" s="61"/>
      <c r="K823" s="61"/>
    </row>
    <row r="824">
      <c r="A824" s="51">
        <v>180.0</v>
      </c>
      <c r="B824" s="60" t="s">
        <v>3646</v>
      </c>
      <c r="C824" s="64"/>
      <c r="D824" s="60">
        <v>1.6125101E7</v>
      </c>
      <c r="E824" s="62" t="s">
        <v>3569</v>
      </c>
      <c r="F824" s="60" t="s">
        <v>3428</v>
      </c>
      <c r="H824" s="60" t="s">
        <v>4620</v>
      </c>
      <c r="I824" s="63">
        <v>0.5416666666666666</v>
      </c>
      <c r="J824" s="61"/>
      <c r="K824" s="61"/>
    </row>
    <row r="825">
      <c r="A825" s="51">
        <v>181.0</v>
      </c>
      <c r="B825" s="60" t="s">
        <v>3625</v>
      </c>
      <c r="C825" s="64"/>
      <c r="D825" s="60">
        <v>2.814377E7</v>
      </c>
      <c r="E825" s="62" t="s">
        <v>3569</v>
      </c>
      <c r="F825" s="60" t="s">
        <v>3428</v>
      </c>
      <c r="H825" s="60" t="s">
        <v>4620</v>
      </c>
      <c r="I825" s="63">
        <v>0.5416666666666666</v>
      </c>
      <c r="J825" s="61"/>
      <c r="K825" s="61"/>
    </row>
    <row r="826">
      <c r="A826" s="51">
        <v>182.0</v>
      </c>
      <c r="B826" s="60" t="s">
        <v>3647</v>
      </c>
      <c r="C826" s="64"/>
      <c r="D826" s="60">
        <v>285659.0</v>
      </c>
      <c r="E826" s="62" t="s">
        <v>3569</v>
      </c>
      <c r="F826" s="60" t="s">
        <v>3428</v>
      </c>
      <c r="H826" s="60" t="s">
        <v>4620</v>
      </c>
      <c r="I826" s="63">
        <v>0.5416666666666666</v>
      </c>
      <c r="J826" s="61"/>
      <c r="K826" s="61"/>
    </row>
    <row r="827">
      <c r="A827" s="51">
        <v>183.0</v>
      </c>
      <c r="B827" s="60" t="s">
        <v>3508</v>
      </c>
      <c r="C827" s="64"/>
      <c r="D827" s="60">
        <v>4636722.0</v>
      </c>
      <c r="E827" s="62" t="s">
        <v>3569</v>
      </c>
      <c r="F827" s="60" t="s">
        <v>3428</v>
      </c>
      <c r="H827" s="60" t="s">
        <v>4620</v>
      </c>
      <c r="I827" s="63">
        <v>0.5416666666666666</v>
      </c>
      <c r="J827" s="61"/>
      <c r="K827" s="61"/>
    </row>
    <row r="828">
      <c r="A828" s="51">
        <v>184.0</v>
      </c>
      <c r="B828" s="60" t="s">
        <v>3626</v>
      </c>
      <c r="C828" s="64"/>
      <c r="D828" s="60">
        <v>1.9659867E7</v>
      </c>
      <c r="E828" s="62" t="s">
        <v>3569</v>
      </c>
      <c r="F828" s="60" t="s">
        <v>3428</v>
      </c>
      <c r="H828" s="60" t="s">
        <v>4620</v>
      </c>
      <c r="I828" s="63">
        <v>0.5416666666666666</v>
      </c>
      <c r="J828" s="61"/>
      <c r="K828" s="61"/>
    </row>
    <row r="829">
      <c r="A829" s="51">
        <v>185.0</v>
      </c>
      <c r="B829" s="60" t="s">
        <v>3648</v>
      </c>
      <c r="C829" s="64"/>
      <c r="D829" s="60">
        <v>3.4800366E7</v>
      </c>
      <c r="E829" s="62" t="s">
        <v>3569</v>
      </c>
      <c r="F829" s="60" t="s">
        <v>3428</v>
      </c>
      <c r="H829" s="60" t="s">
        <v>4620</v>
      </c>
      <c r="I829" s="63">
        <v>0.5416666666666666</v>
      </c>
      <c r="J829" s="61"/>
      <c r="K829" s="61"/>
    </row>
    <row r="830">
      <c r="A830" s="51">
        <v>186.0</v>
      </c>
      <c r="B830" s="60" t="s">
        <v>3627</v>
      </c>
      <c r="C830" s="64"/>
      <c r="D830" s="60">
        <v>6405488.0</v>
      </c>
      <c r="E830" s="62" t="s">
        <v>3569</v>
      </c>
      <c r="F830" s="60" t="s">
        <v>3428</v>
      </c>
      <c r="H830" s="60" t="s">
        <v>4620</v>
      </c>
      <c r="I830" s="63">
        <v>0.5416666666666666</v>
      </c>
      <c r="J830" s="61"/>
      <c r="K830" s="61"/>
    </row>
    <row r="831">
      <c r="A831" s="51">
        <v>187.0</v>
      </c>
      <c r="B831" s="60" t="s">
        <v>3649</v>
      </c>
      <c r="C831" s="64"/>
      <c r="D831" s="60">
        <v>2.7006264E7</v>
      </c>
      <c r="E831" s="62" t="s">
        <v>3569</v>
      </c>
      <c r="F831" s="60" t="s">
        <v>3428</v>
      </c>
      <c r="H831" s="60" t="s">
        <v>4620</v>
      </c>
      <c r="I831" s="63">
        <v>0.5416666666666666</v>
      </c>
      <c r="J831" s="61"/>
      <c r="K831" s="61"/>
    </row>
    <row r="832">
      <c r="A832" s="51">
        <v>188.0</v>
      </c>
      <c r="B832" s="60" t="s">
        <v>3625</v>
      </c>
      <c r="C832" s="64"/>
      <c r="D832" s="60">
        <v>2.814377E7</v>
      </c>
      <c r="E832" s="62" t="s">
        <v>3569</v>
      </c>
      <c r="F832" s="60" t="s">
        <v>3428</v>
      </c>
      <c r="H832" s="60" t="s">
        <v>4620</v>
      </c>
      <c r="I832" s="63">
        <v>0.5416666666666666</v>
      </c>
      <c r="J832" s="60" t="s">
        <v>3629</v>
      </c>
      <c r="K832" s="61"/>
    </row>
    <row r="833">
      <c r="A833" s="51">
        <v>189.0</v>
      </c>
      <c r="B833" s="60" t="s">
        <v>3650</v>
      </c>
      <c r="C833" s="64"/>
      <c r="D833" s="60">
        <v>3883421.0</v>
      </c>
      <c r="E833" s="62" t="s">
        <v>3569</v>
      </c>
      <c r="F833" s="60" t="s">
        <v>3428</v>
      </c>
      <c r="H833" s="60" t="s">
        <v>4620</v>
      </c>
      <c r="I833" s="63">
        <v>0.5416666666666666</v>
      </c>
      <c r="J833" s="61"/>
      <c r="K833" s="61"/>
    </row>
    <row r="834">
      <c r="A834" s="51">
        <v>190.0</v>
      </c>
      <c r="B834" s="60" t="s">
        <v>3651</v>
      </c>
      <c r="C834" s="64"/>
      <c r="D834" s="60">
        <v>1.2763837E7</v>
      </c>
      <c r="E834" s="62" t="s">
        <v>3569</v>
      </c>
      <c r="F834" s="60" t="s">
        <v>3428</v>
      </c>
      <c r="H834" s="60" t="s">
        <v>4620</v>
      </c>
      <c r="I834" s="63">
        <v>0.5416666666666666</v>
      </c>
      <c r="J834" s="61"/>
      <c r="K834" s="61"/>
    </row>
    <row r="835">
      <c r="A835" s="51">
        <v>191.0</v>
      </c>
      <c r="B835" s="60" t="s">
        <v>3652</v>
      </c>
      <c r="C835" s="60" t="s">
        <v>3653</v>
      </c>
      <c r="D835" s="61"/>
      <c r="E835" s="62" t="s">
        <v>3569</v>
      </c>
      <c r="F835" s="60" t="s">
        <v>3428</v>
      </c>
      <c r="H835" s="60" t="s">
        <v>4620</v>
      </c>
      <c r="I835" s="63">
        <v>0.5416666666666666</v>
      </c>
      <c r="J835" s="61"/>
      <c r="K835" s="61"/>
    </row>
    <row r="836">
      <c r="A836" s="51">
        <v>192.0</v>
      </c>
      <c r="B836" s="60" t="s">
        <v>3654</v>
      </c>
      <c r="C836" s="64"/>
      <c r="D836" s="60">
        <v>3.2865296E7</v>
      </c>
      <c r="E836" s="62" t="s">
        <v>3569</v>
      </c>
      <c r="F836" s="60" t="s">
        <v>3428</v>
      </c>
      <c r="H836" s="60" t="s">
        <v>4620</v>
      </c>
      <c r="I836" s="63">
        <v>0.5416666666666666</v>
      </c>
      <c r="J836" s="61"/>
      <c r="K836" s="61"/>
    </row>
    <row r="837">
      <c r="A837" s="51">
        <v>193.0</v>
      </c>
      <c r="B837" s="60" t="s">
        <v>3655</v>
      </c>
      <c r="C837" s="64"/>
      <c r="D837" s="60">
        <v>1.8749225E7</v>
      </c>
      <c r="E837" s="62" t="s">
        <v>3569</v>
      </c>
      <c r="F837" s="60" t="s">
        <v>3428</v>
      </c>
      <c r="H837" s="60" t="s">
        <v>4620</v>
      </c>
      <c r="I837" s="63">
        <v>0.5416666666666666</v>
      </c>
      <c r="J837" s="61"/>
      <c r="K837" s="61"/>
    </row>
    <row r="838">
      <c r="A838" s="51">
        <v>194.0</v>
      </c>
      <c r="B838" s="60" t="s">
        <v>3656</v>
      </c>
      <c r="C838" s="64"/>
      <c r="D838" s="60">
        <v>2.976836E7</v>
      </c>
      <c r="E838" s="62" t="s">
        <v>3569</v>
      </c>
      <c r="F838" s="60" t="s">
        <v>3428</v>
      </c>
      <c r="H838" s="60" t="s">
        <v>4620</v>
      </c>
      <c r="I838" s="63">
        <v>0.5416666666666666</v>
      </c>
      <c r="J838" s="61"/>
      <c r="K838" s="61"/>
    </row>
    <row r="839">
      <c r="A839" s="51">
        <v>195.0</v>
      </c>
      <c r="B839" s="60" t="s">
        <v>3657</v>
      </c>
      <c r="C839" s="64"/>
      <c r="D839" s="60">
        <v>2.7044236E7</v>
      </c>
      <c r="E839" s="62" t="s">
        <v>3569</v>
      </c>
      <c r="F839" s="60" t="s">
        <v>3428</v>
      </c>
      <c r="H839" s="60" t="s">
        <v>4620</v>
      </c>
      <c r="I839" s="63">
        <v>0.5416666666666666</v>
      </c>
      <c r="J839" s="61"/>
      <c r="K839" s="61"/>
    </row>
    <row r="840">
      <c r="A840" s="51">
        <v>196.0</v>
      </c>
      <c r="B840" s="60" t="s">
        <v>3658</v>
      </c>
      <c r="C840" s="64"/>
      <c r="D840" s="60">
        <v>2.6372024E7</v>
      </c>
      <c r="E840" s="62" t="s">
        <v>3569</v>
      </c>
      <c r="F840" s="60" t="s">
        <v>3428</v>
      </c>
      <c r="H840" s="60" t="s">
        <v>4620</v>
      </c>
      <c r="I840" s="63">
        <v>0.5416666666666666</v>
      </c>
      <c r="J840" s="61"/>
      <c r="K840" s="61"/>
    </row>
    <row r="841">
      <c r="A841" s="51">
        <v>197.0</v>
      </c>
      <c r="B841" s="60" t="s">
        <v>3659</v>
      </c>
      <c r="C841" s="64"/>
      <c r="D841" s="60">
        <v>2.8285779E7</v>
      </c>
      <c r="E841" s="62" t="s">
        <v>3569</v>
      </c>
      <c r="F841" s="60" t="s">
        <v>3428</v>
      </c>
      <c r="H841" s="60" t="s">
        <v>4620</v>
      </c>
      <c r="I841" s="63">
        <v>0.5416666666666666</v>
      </c>
      <c r="J841" s="61"/>
      <c r="K841" s="61"/>
    </row>
    <row r="842">
      <c r="A842" s="51">
        <v>198.0</v>
      </c>
      <c r="B842" s="60" t="s">
        <v>3660</v>
      </c>
      <c r="C842" s="64"/>
      <c r="D842" s="60">
        <v>1.1517536E7</v>
      </c>
      <c r="E842" s="62" t="s">
        <v>3569</v>
      </c>
      <c r="F842" s="60" t="s">
        <v>3428</v>
      </c>
      <c r="H842" s="60" t="s">
        <v>4620</v>
      </c>
      <c r="I842" s="63">
        <v>0.5416666666666666</v>
      </c>
      <c r="J842" s="61"/>
      <c r="K842" s="61"/>
    </row>
    <row r="843">
      <c r="A843" s="51">
        <v>199.0</v>
      </c>
      <c r="B843" s="60" t="s">
        <v>3661</v>
      </c>
      <c r="C843" s="64"/>
      <c r="D843" s="60">
        <v>2.8100561E7</v>
      </c>
      <c r="E843" s="62" t="s">
        <v>3569</v>
      </c>
      <c r="F843" s="60" t="s">
        <v>3428</v>
      </c>
      <c r="H843" s="60" t="s">
        <v>4620</v>
      </c>
      <c r="I843" s="63">
        <v>0.5416666666666666</v>
      </c>
      <c r="J843" s="61"/>
      <c r="K843" s="61"/>
    </row>
    <row r="844">
      <c r="A844" s="51">
        <v>200.0</v>
      </c>
      <c r="B844" s="60" t="s">
        <v>3662</v>
      </c>
      <c r="C844" s="64"/>
      <c r="D844" s="60">
        <v>1.4194021E7</v>
      </c>
      <c r="E844" s="62" t="s">
        <v>3569</v>
      </c>
      <c r="F844" s="60" t="s">
        <v>3428</v>
      </c>
      <c r="H844" s="60" t="s">
        <v>4620</v>
      </c>
      <c r="I844" s="63">
        <v>0.5416666666666666</v>
      </c>
      <c r="J844" s="61"/>
      <c r="K844" s="61"/>
    </row>
    <row r="845">
      <c r="A845" s="51">
        <v>201.0</v>
      </c>
      <c r="B845" s="60" t="s">
        <v>3663</v>
      </c>
      <c r="C845" s="64"/>
      <c r="D845" s="60">
        <v>1.8461886E7</v>
      </c>
      <c r="E845" s="62" t="s">
        <v>3569</v>
      </c>
      <c r="F845" s="60" t="s">
        <v>3428</v>
      </c>
      <c r="H845" s="60" t="s">
        <v>4620</v>
      </c>
      <c r="I845" s="63">
        <v>0.5416666666666666</v>
      </c>
      <c r="J845" s="61"/>
      <c r="K845" s="61"/>
    </row>
    <row r="846">
      <c r="A846" s="51">
        <v>202.0</v>
      </c>
      <c r="B846" s="60" t="s">
        <v>3664</v>
      </c>
      <c r="C846" s="64"/>
      <c r="D846" s="60">
        <v>3.0678485E7</v>
      </c>
      <c r="E846" s="62" t="s">
        <v>3569</v>
      </c>
      <c r="F846" s="60" t="s">
        <v>3428</v>
      </c>
      <c r="H846" s="60" t="s">
        <v>4620</v>
      </c>
      <c r="I846" s="63">
        <v>0.5416666666666666</v>
      </c>
      <c r="J846" s="61"/>
      <c r="K846" s="61"/>
    </row>
    <row r="847">
      <c r="A847" s="51">
        <v>203.0</v>
      </c>
      <c r="B847" s="60" t="s">
        <v>3665</v>
      </c>
      <c r="C847" s="64"/>
      <c r="D847" s="60">
        <v>1.9102824E7</v>
      </c>
      <c r="E847" s="62" t="s">
        <v>3569</v>
      </c>
      <c r="F847" s="60" t="s">
        <v>3428</v>
      </c>
      <c r="H847" s="60" t="s">
        <v>4620</v>
      </c>
      <c r="I847" s="63">
        <v>0.5416666666666666</v>
      </c>
      <c r="J847" s="61"/>
      <c r="K847" s="61"/>
    </row>
    <row r="848">
      <c r="A848" s="51">
        <v>204.0</v>
      </c>
      <c r="B848" s="60" t="s">
        <v>3666</v>
      </c>
      <c r="C848" s="64"/>
      <c r="D848" s="60">
        <v>5613119.0</v>
      </c>
      <c r="E848" s="62" t="s">
        <v>3569</v>
      </c>
      <c r="F848" s="60" t="s">
        <v>3428</v>
      </c>
      <c r="H848" s="60" t="s">
        <v>4620</v>
      </c>
      <c r="I848" s="63">
        <v>0.5416666666666666</v>
      </c>
      <c r="J848" s="61"/>
      <c r="K848" s="61"/>
    </row>
    <row r="849">
      <c r="A849" s="51">
        <v>205.0</v>
      </c>
      <c r="B849" s="60" t="s">
        <v>3667</v>
      </c>
      <c r="C849" s="64"/>
      <c r="D849" s="60">
        <v>1.4424783E7</v>
      </c>
      <c r="E849" s="62" t="s">
        <v>3569</v>
      </c>
      <c r="F849" s="60" t="s">
        <v>3428</v>
      </c>
      <c r="H849" s="60" t="s">
        <v>4620</v>
      </c>
      <c r="I849" s="63">
        <v>0.5416666666666666</v>
      </c>
      <c r="J849" s="61"/>
      <c r="K849" s="61"/>
    </row>
    <row r="850">
      <c r="A850" s="51">
        <v>206.0</v>
      </c>
      <c r="B850" s="60" t="s">
        <v>3668</v>
      </c>
      <c r="C850" s="64"/>
      <c r="D850" s="60">
        <v>8.1659048E7</v>
      </c>
      <c r="E850" s="62" t="s">
        <v>3569</v>
      </c>
      <c r="F850" s="60" t="s">
        <v>3428</v>
      </c>
      <c r="H850" s="60" t="s">
        <v>4620</v>
      </c>
      <c r="I850" s="63">
        <v>0.5416666666666666</v>
      </c>
      <c r="J850" s="61"/>
      <c r="K850" s="61"/>
    </row>
    <row r="851">
      <c r="A851" s="51">
        <v>207.0</v>
      </c>
      <c r="B851" s="60" t="s">
        <v>3669</v>
      </c>
      <c r="C851" s="64"/>
      <c r="D851" s="60">
        <v>6448839.0</v>
      </c>
      <c r="E851" s="62" t="s">
        <v>3569</v>
      </c>
      <c r="F851" s="60" t="s">
        <v>3428</v>
      </c>
      <c r="H851" s="60" t="s">
        <v>4620</v>
      </c>
      <c r="I851" s="63">
        <v>0.5416666666666666</v>
      </c>
      <c r="J851" s="61"/>
      <c r="K851" s="61"/>
    </row>
    <row r="852">
      <c r="A852" s="51">
        <v>208.0</v>
      </c>
      <c r="B852" s="60" t="s">
        <v>3670</v>
      </c>
      <c r="C852" s="64"/>
      <c r="D852" s="60">
        <v>1.206008E7</v>
      </c>
      <c r="E852" s="62" t="s">
        <v>3569</v>
      </c>
      <c r="F852" s="60" t="s">
        <v>3428</v>
      </c>
      <c r="H852" s="60" t="s">
        <v>4620</v>
      </c>
      <c r="I852" s="63">
        <v>0.5416666666666666</v>
      </c>
      <c r="J852" s="61"/>
      <c r="K852" s="61"/>
    </row>
    <row r="853">
      <c r="A853" s="51">
        <v>209.0</v>
      </c>
      <c r="B853" s="60" t="s">
        <v>3671</v>
      </c>
      <c r="C853" s="64"/>
      <c r="D853" s="60">
        <v>2.5872328E7</v>
      </c>
      <c r="E853" s="62" t="s">
        <v>3569</v>
      </c>
      <c r="F853" s="60" t="s">
        <v>3428</v>
      </c>
      <c r="H853" s="60" t="s">
        <v>4620</v>
      </c>
      <c r="I853" s="63">
        <v>0.5416666666666666</v>
      </c>
      <c r="J853" s="61"/>
      <c r="K853" s="61"/>
    </row>
    <row r="854">
      <c r="A854" s="51">
        <v>210.0</v>
      </c>
      <c r="B854" s="60" t="s">
        <v>3672</v>
      </c>
      <c r="C854" s="64"/>
      <c r="D854" s="60">
        <v>3.1948173E7</v>
      </c>
      <c r="E854" s="62" t="s">
        <v>3569</v>
      </c>
      <c r="F854" s="60" t="s">
        <v>3428</v>
      </c>
      <c r="H854" s="60" t="s">
        <v>4620</v>
      </c>
      <c r="I854" s="63">
        <v>0.5416666666666666</v>
      </c>
      <c r="J854" s="61"/>
      <c r="K854" s="61"/>
    </row>
    <row r="855">
      <c r="A855" s="51">
        <v>211.0</v>
      </c>
      <c r="B855" s="60" t="s">
        <v>3673</v>
      </c>
      <c r="C855" s="64"/>
      <c r="D855" s="60">
        <v>1.1638321E7</v>
      </c>
      <c r="E855" s="62" t="s">
        <v>3569</v>
      </c>
      <c r="F855" s="60" t="s">
        <v>3428</v>
      </c>
      <c r="H855" s="60" t="s">
        <v>4620</v>
      </c>
      <c r="I855" s="63">
        <v>0.5416666666666666</v>
      </c>
      <c r="J855" s="61"/>
      <c r="K855" s="61"/>
    </row>
    <row r="856">
      <c r="A856" s="51">
        <v>212.0</v>
      </c>
      <c r="B856" s="60" t="s">
        <v>3674</v>
      </c>
      <c r="C856" s="64"/>
      <c r="D856" s="60">
        <v>1.1688834E7</v>
      </c>
      <c r="E856" s="62" t="s">
        <v>3569</v>
      </c>
      <c r="F856" s="60" t="s">
        <v>3428</v>
      </c>
      <c r="H856" s="60" t="s">
        <v>4620</v>
      </c>
      <c r="I856" s="63">
        <v>0.5416666666666666</v>
      </c>
      <c r="J856" s="61"/>
      <c r="K856" s="61"/>
    </row>
    <row r="857">
      <c r="A857" s="51">
        <v>213.0</v>
      </c>
      <c r="B857" s="60" t="s">
        <v>3675</v>
      </c>
      <c r="C857" s="64"/>
      <c r="D857" s="60">
        <v>5199693.0</v>
      </c>
      <c r="E857" s="62" t="s">
        <v>3569</v>
      </c>
      <c r="F857" s="60" t="s">
        <v>3428</v>
      </c>
      <c r="H857" s="60" t="s">
        <v>4620</v>
      </c>
      <c r="I857" s="63">
        <v>0.5416666666666666</v>
      </c>
      <c r="J857" s="61"/>
      <c r="K857" s="61"/>
    </row>
    <row r="858">
      <c r="A858" s="51">
        <v>214.0</v>
      </c>
      <c r="B858" s="60" t="s">
        <v>3676</v>
      </c>
      <c r="C858" s="64"/>
      <c r="D858" s="60">
        <v>4281217.0</v>
      </c>
      <c r="E858" s="62" t="s">
        <v>3569</v>
      </c>
      <c r="F858" s="60" t="s">
        <v>3428</v>
      </c>
      <c r="H858" s="60" t="s">
        <v>4620</v>
      </c>
      <c r="I858" s="63">
        <v>0.5416666666666666</v>
      </c>
      <c r="J858" s="61"/>
      <c r="K858" s="61"/>
    </row>
    <row r="859">
      <c r="A859" s="51">
        <v>215.0</v>
      </c>
      <c r="B859" s="60" t="s">
        <v>3677</v>
      </c>
      <c r="C859" s="64"/>
      <c r="D859" s="60">
        <v>1.0576899E7</v>
      </c>
      <c r="E859" s="62" t="s">
        <v>3569</v>
      </c>
      <c r="F859" s="60" t="s">
        <v>3428</v>
      </c>
      <c r="H859" s="60" t="s">
        <v>4620</v>
      </c>
      <c r="I859" s="63">
        <v>0.5416666666666666</v>
      </c>
      <c r="J859" s="61"/>
      <c r="K859" s="61"/>
    </row>
    <row r="860">
      <c r="A860" s="51">
        <v>216.0</v>
      </c>
      <c r="B860" s="60" t="s">
        <v>3678</v>
      </c>
      <c r="C860" s="64"/>
      <c r="D860" s="60">
        <v>1.7755829E7</v>
      </c>
      <c r="E860" s="62" t="s">
        <v>3569</v>
      </c>
      <c r="F860" s="60" t="s">
        <v>3428</v>
      </c>
      <c r="H860" s="60" t="s">
        <v>4620</v>
      </c>
      <c r="I860" s="63">
        <v>0.5416666666666666</v>
      </c>
      <c r="J860" s="61"/>
      <c r="K860" s="61"/>
    </row>
    <row r="861">
      <c r="A861" s="51">
        <v>217.0</v>
      </c>
      <c r="B861" s="60" t="s">
        <v>3679</v>
      </c>
      <c r="C861" s="64"/>
      <c r="D861" s="60">
        <v>3.2654924E7</v>
      </c>
      <c r="E861" s="62" t="s">
        <v>3680</v>
      </c>
      <c r="F861" s="60" t="s">
        <v>3428</v>
      </c>
      <c r="H861" s="60" t="s">
        <v>4620</v>
      </c>
      <c r="I861" s="63">
        <v>0.5416666666666666</v>
      </c>
      <c r="J861" s="61"/>
      <c r="K861" s="61"/>
    </row>
    <row r="862">
      <c r="A862" s="51">
        <v>218.0</v>
      </c>
      <c r="B862" s="60" t="s">
        <v>3681</v>
      </c>
      <c r="C862" s="64"/>
      <c r="D862" s="60">
        <v>5913883.0</v>
      </c>
      <c r="E862" s="62" t="s">
        <v>3680</v>
      </c>
      <c r="F862" s="60" t="s">
        <v>3428</v>
      </c>
      <c r="H862" s="60" t="s">
        <v>4620</v>
      </c>
      <c r="I862" s="63">
        <v>0.5416666666666666</v>
      </c>
      <c r="J862" s="61"/>
      <c r="K862" s="61"/>
    </row>
    <row r="863">
      <c r="A863" s="51">
        <v>219.0</v>
      </c>
      <c r="B863" s="60" t="s">
        <v>3682</v>
      </c>
      <c r="C863" s="64"/>
      <c r="D863" s="60">
        <v>2.0291328E7</v>
      </c>
      <c r="E863" s="62" t="s">
        <v>3680</v>
      </c>
      <c r="F863" s="60" t="s">
        <v>3428</v>
      </c>
      <c r="H863" s="60" t="s">
        <v>4620</v>
      </c>
      <c r="I863" s="63">
        <v>0.5416666666666666</v>
      </c>
      <c r="J863" s="61"/>
      <c r="K863" s="61"/>
    </row>
    <row r="864">
      <c r="A864" s="51">
        <v>220.0</v>
      </c>
      <c r="B864" s="60" t="s">
        <v>3683</v>
      </c>
      <c r="C864" s="64"/>
      <c r="D864" s="60">
        <v>6121988.0</v>
      </c>
      <c r="E864" s="62" t="s">
        <v>3680</v>
      </c>
      <c r="F864" s="60" t="s">
        <v>3428</v>
      </c>
      <c r="H864" s="60" t="s">
        <v>4620</v>
      </c>
      <c r="I864" s="63">
        <v>0.5416666666666666</v>
      </c>
      <c r="J864" s="61"/>
      <c r="K864" s="61"/>
    </row>
    <row r="865">
      <c r="A865" s="51">
        <v>221.0</v>
      </c>
      <c r="B865" s="60" t="s">
        <v>3684</v>
      </c>
      <c r="C865" s="64"/>
      <c r="D865" s="60">
        <v>1.2113971E7</v>
      </c>
      <c r="E865" s="62" t="s">
        <v>3680</v>
      </c>
      <c r="F865" s="60" t="s">
        <v>3428</v>
      </c>
      <c r="H865" s="60" t="s">
        <v>4620</v>
      </c>
      <c r="I865" s="63">
        <v>0.5416666666666666</v>
      </c>
      <c r="J865" s="61"/>
      <c r="K865" s="61"/>
    </row>
    <row r="866">
      <c r="A866" s="51">
        <v>222.0</v>
      </c>
      <c r="B866" s="60" t="s">
        <v>3685</v>
      </c>
      <c r="C866" s="60" t="s">
        <v>3443</v>
      </c>
      <c r="D866" s="61"/>
      <c r="E866" s="62" t="s">
        <v>3680</v>
      </c>
      <c r="F866" s="60" t="s">
        <v>3428</v>
      </c>
      <c r="H866" s="60" t="s">
        <v>4620</v>
      </c>
      <c r="I866" s="63">
        <v>0.5416666666666666</v>
      </c>
      <c r="J866" s="61"/>
      <c r="K866" s="61"/>
    </row>
    <row r="867">
      <c r="A867" s="51">
        <v>223.0</v>
      </c>
      <c r="B867" s="60" t="s">
        <v>3686</v>
      </c>
      <c r="C867" s="64"/>
      <c r="D867" s="60">
        <v>1.5544792E7</v>
      </c>
      <c r="E867" s="62" t="s">
        <v>3680</v>
      </c>
      <c r="F867" s="60" t="s">
        <v>3428</v>
      </c>
      <c r="H867" s="60" t="s">
        <v>4620</v>
      </c>
      <c r="I867" s="63">
        <v>0.5416666666666666</v>
      </c>
      <c r="J867" s="61"/>
      <c r="K867" s="61"/>
    </row>
    <row r="868">
      <c r="A868" s="51">
        <v>224.0</v>
      </c>
      <c r="B868" s="60" t="s">
        <v>3687</v>
      </c>
      <c r="C868" s="64"/>
      <c r="D868" s="60">
        <v>2.6647295E7</v>
      </c>
      <c r="E868" s="62" t="s">
        <v>3680</v>
      </c>
      <c r="F868" s="60" t="s">
        <v>3428</v>
      </c>
      <c r="H868" s="60" t="s">
        <v>4620</v>
      </c>
      <c r="I868" s="63">
        <v>0.5416666666666666</v>
      </c>
      <c r="J868" s="61"/>
      <c r="K868" s="61"/>
    </row>
    <row r="869">
      <c r="A869" s="51">
        <v>225.0</v>
      </c>
      <c r="B869" s="60" t="s">
        <v>3688</v>
      </c>
      <c r="C869" s="64"/>
      <c r="D869" s="60">
        <v>1.5249932E7</v>
      </c>
      <c r="E869" s="62" t="s">
        <v>3680</v>
      </c>
      <c r="F869" s="60" t="s">
        <v>3428</v>
      </c>
      <c r="H869" s="60" t="s">
        <v>4620</v>
      </c>
      <c r="I869" s="63">
        <v>0.5416666666666666</v>
      </c>
      <c r="J869" s="61"/>
      <c r="K869" s="61"/>
    </row>
    <row r="870">
      <c r="A870" s="51">
        <v>226.0</v>
      </c>
      <c r="B870" s="60" t="s">
        <v>3689</v>
      </c>
      <c r="C870" s="64"/>
      <c r="D870" s="60">
        <v>3.1290288E7</v>
      </c>
      <c r="E870" s="62" t="s">
        <v>3680</v>
      </c>
      <c r="F870" s="60" t="s">
        <v>3428</v>
      </c>
      <c r="H870" s="60" t="s">
        <v>4620</v>
      </c>
      <c r="I870" s="63">
        <v>0.5416666666666666</v>
      </c>
      <c r="J870" s="61"/>
      <c r="K870" s="61"/>
    </row>
    <row r="871">
      <c r="A871" s="51">
        <v>227.0</v>
      </c>
      <c r="B871" s="60" t="s">
        <v>3690</v>
      </c>
      <c r="C871" s="64"/>
      <c r="D871" s="60">
        <v>6225765.0</v>
      </c>
      <c r="E871" s="62" t="s">
        <v>3680</v>
      </c>
      <c r="F871" s="60" t="s">
        <v>3428</v>
      </c>
      <c r="H871" s="60" t="s">
        <v>4620</v>
      </c>
      <c r="I871" s="63">
        <v>0.5416666666666666</v>
      </c>
      <c r="J871" s="61"/>
      <c r="K871" s="61"/>
    </row>
    <row r="872">
      <c r="A872" s="51">
        <v>228.0</v>
      </c>
      <c r="B872" s="60" t="s">
        <v>3691</v>
      </c>
      <c r="C872" s="64"/>
      <c r="D872" s="60">
        <v>1.9796311E7</v>
      </c>
      <c r="E872" s="62" t="s">
        <v>3680</v>
      </c>
      <c r="F872" s="60" t="s">
        <v>3428</v>
      </c>
      <c r="H872" s="60" t="s">
        <v>4620</v>
      </c>
      <c r="I872" s="63">
        <v>0.5416666666666666</v>
      </c>
      <c r="J872" s="61"/>
      <c r="K872" s="61"/>
    </row>
    <row r="873">
      <c r="A873" s="51">
        <v>229.0</v>
      </c>
      <c r="B873" s="60" t="s">
        <v>3692</v>
      </c>
      <c r="C873" s="64"/>
      <c r="D873" s="60">
        <v>2.7399207E7</v>
      </c>
      <c r="E873" s="62" t="s">
        <v>3680</v>
      </c>
      <c r="F873" s="60" t="s">
        <v>3428</v>
      </c>
      <c r="H873" s="60" t="s">
        <v>4620</v>
      </c>
      <c r="I873" s="63">
        <v>0.5416666666666666</v>
      </c>
      <c r="J873" s="61"/>
      <c r="K873" s="61"/>
    </row>
    <row r="874">
      <c r="A874" s="51">
        <v>230.0</v>
      </c>
      <c r="B874" s="60" t="s">
        <v>3693</v>
      </c>
      <c r="C874" s="64"/>
      <c r="D874" s="60" t="s">
        <v>3694</v>
      </c>
      <c r="E874" s="62" t="s">
        <v>3680</v>
      </c>
      <c r="F874" s="60" t="s">
        <v>3428</v>
      </c>
      <c r="H874" s="60" t="s">
        <v>4620</v>
      </c>
      <c r="I874" s="63">
        <v>0.5416666666666666</v>
      </c>
      <c r="J874" s="61"/>
      <c r="K874" s="61"/>
    </row>
    <row r="875">
      <c r="A875" s="51">
        <v>231.0</v>
      </c>
      <c r="B875" s="60" t="s">
        <v>3678</v>
      </c>
      <c r="C875" s="64"/>
      <c r="D875" s="60">
        <v>2.2761609E7</v>
      </c>
      <c r="E875" s="62" t="s">
        <v>3680</v>
      </c>
      <c r="F875" s="60" t="s">
        <v>3428</v>
      </c>
      <c r="H875" s="60" t="s">
        <v>4620</v>
      </c>
      <c r="I875" s="63">
        <v>0.5416666666666666</v>
      </c>
      <c r="J875" s="61"/>
      <c r="K875" s="61"/>
    </row>
    <row r="876">
      <c r="A876" s="51">
        <v>232.0</v>
      </c>
      <c r="B876" s="60" t="s">
        <v>3695</v>
      </c>
      <c r="C876" s="64"/>
      <c r="D876" s="60">
        <v>1.0583198E7</v>
      </c>
      <c r="E876" s="62" t="s">
        <v>3680</v>
      </c>
      <c r="F876" s="60" t="s">
        <v>3428</v>
      </c>
      <c r="H876" s="60" t="s">
        <v>4620</v>
      </c>
      <c r="I876" s="63">
        <v>0.5416666666666666</v>
      </c>
      <c r="J876" s="61"/>
      <c r="K876" s="61"/>
    </row>
    <row r="877">
      <c r="A877" s="51">
        <v>233.0</v>
      </c>
      <c r="B877" s="60" t="s">
        <v>3696</v>
      </c>
      <c r="C877" s="60" t="s">
        <v>3697</v>
      </c>
      <c r="D877" s="60">
        <v>1.5615565E7</v>
      </c>
      <c r="E877" s="62" t="s">
        <v>3680</v>
      </c>
      <c r="F877" s="60" t="s">
        <v>3428</v>
      </c>
      <c r="H877" s="60" t="s">
        <v>4620</v>
      </c>
      <c r="I877" s="63">
        <v>0.5416666666666666</v>
      </c>
      <c r="J877" s="60" t="s">
        <v>3698</v>
      </c>
      <c r="K877" s="61"/>
    </row>
    <row r="878">
      <c r="A878" s="51">
        <v>234.0</v>
      </c>
      <c r="B878" s="60" t="s">
        <v>3699</v>
      </c>
      <c r="C878" s="64"/>
      <c r="D878" s="60">
        <v>3.3645919E7</v>
      </c>
      <c r="E878" s="62" t="s">
        <v>3680</v>
      </c>
      <c r="F878" s="60" t="s">
        <v>3428</v>
      </c>
      <c r="H878" s="60" t="s">
        <v>4620</v>
      </c>
      <c r="I878" s="63">
        <v>0.5416666666666666</v>
      </c>
      <c r="J878" s="60" t="s">
        <v>3700</v>
      </c>
      <c r="K878" s="61"/>
    </row>
    <row r="879">
      <c r="A879" s="51">
        <v>235.0</v>
      </c>
      <c r="B879" s="60" t="s">
        <v>3701</v>
      </c>
      <c r="C879" s="64"/>
      <c r="D879" s="60">
        <v>3.4055886E7</v>
      </c>
      <c r="E879" s="62" t="s">
        <v>3680</v>
      </c>
      <c r="F879" s="60" t="s">
        <v>3428</v>
      </c>
      <c r="H879" s="60" t="s">
        <v>4620</v>
      </c>
      <c r="I879" s="63">
        <v>0.5416666666666666</v>
      </c>
      <c r="J879" s="61"/>
      <c r="K879" s="61"/>
    </row>
    <row r="880">
      <c r="A880" s="51">
        <v>236.0</v>
      </c>
      <c r="B880" s="60" t="s">
        <v>3702</v>
      </c>
      <c r="C880" s="64"/>
      <c r="D880" s="60">
        <v>2.956705E7</v>
      </c>
      <c r="E880" s="62" t="s">
        <v>3680</v>
      </c>
      <c r="F880" s="60" t="s">
        <v>3428</v>
      </c>
      <c r="H880" s="60" t="s">
        <v>4620</v>
      </c>
      <c r="I880" s="63">
        <v>0.5416666666666666</v>
      </c>
      <c r="J880" s="61"/>
      <c r="K880" s="61"/>
    </row>
    <row r="881">
      <c r="A881" s="51">
        <v>237.0</v>
      </c>
      <c r="B881" s="60" t="s">
        <v>3703</v>
      </c>
      <c r="C881" s="60" t="s">
        <v>3704</v>
      </c>
      <c r="D881" s="60">
        <v>2.6968781E7</v>
      </c>
      <c r="E881" s="62" t="s">
        <v>3680</v>
      </c>
      <c r="F881" s="60" t="s">
        <v>3428</v>
      </c>
      <c r="H881" s="60" t="s">
        <v>4620</v>
      </c>
      <c r="I881" s="63">
        <v>0.5416666666666666</v>
      </c>
      <c r="J881" s="61"/>
      <c r="K881" s="61"/>
    </row>
    <row r="882">
      <c r="A882" s="51">
        <v>238.0</v>
      </c>
      <c r="B882" s="60" t="s">
        <v>3705</v>
      </c>
      <c r="C882" s="60" t="s">
        <v>3706</v>
      </c>
      <c r="D882" s="60" t="s">
        <v>3707</v>
      </c>
      <c r="E882" s="62" t="s">
        <v>3680</v>
      </c>
      <c r="F882" s="60" t="s">
        <v>3428</v>
      </c>
      <c r="H882" s="60" t="s">
        <v>4620</v>
      </c>
      <c r="I882" s="63">
        <v>0.5416666666666666</v>
      </c>
      <c r="J882" s="61"/>
      <c r="K882" s="61"/>
    </row>
    <row r="883">
      <c r="A883" s="51">
        <v>239.0</v>
      </c>
      <c r="B883" s="60" t="s">
        <v>3708</v>
      </c>
      <c r="C883" s="60" t="s">
        <v>3439</v>
      </c>
      <c r="D883" s="60">
        <v>1.7475718E7</v>
      </c>
      <c r="E883" s="62" t="s">
        <v>3680</v>
      </c>
      <c r="F883" s="60" t="s">
        <v>3428</v>
      </c>
      <c r="H883" s="60" t="s">
        <v>4620</v>
      </c>
      <c r="I883" s="63">
        <v>0.5416666666666666</v>
      </c>
      <c r="J883" s="61"/>
      <c r="K883" s="61"/>
    </row>
    <row r="884">
      <c r="A884" s="51">
        <v>240.0</v>
      </c>
      <c r="B884" s="60" t="s">
        <v>3709</v>
      </c>
      <c r="C884" s="64"/>
      <c r="D884" s="60" t="s">
        <v>3710</v>
      </c>
      <c r="E884" s="62" t="s">
        <v>3680</v>
      </c>
      <c r="F884" s="60" t="s">
        <v>3428</v>
      </c>
      <c r="H884" s="60" t="s">
        <v>4620</v>
      </c>
      <c r="I884" s="63">
        <v>0.5416666666666666</v>
      </c>
      <c r="J884" s="61"/>
      <c r="K884" s="61"/>
    </row>
    <row r="885">
      <c r="A885" s="51">
        <v>241.0</v>
      </c>
      <c r="B885" s="60" t="s">
        <v>3711</v>
      </c>
      <c r="C885" s="60" t="s">
        <v>3712</v>
      </c>
      <c r="D885" s="60" t="s">
        <v>3713</v>
      </c>
      <c r="E885" s="62" t="s">
        <v>3680</v>
      </c>
      <c r="F885" s="60" t="s">
        <v>3428</v>
      </c>
      <c r="H885" s="60" t="s">
        <v>4620</v>
      </c>
      <c r="I885" s="63">
        <v>0.5416666666666666</v>
      </c>
      <c r="J885" s="61"/>
      <c r="K885" s="61"/>
    </row>
    <row r="886">
      <c r="A886" s="51">
        <v>242.0</v>
      </c>
      <c r="B886" s="60" t="s">
        <v>3714</v>
      </c>
      <c r="C886" s="60" t="s">
        <v>3559</v>
      </c>
      <c r="D886" s="61"/>
      <c r="E886" s="62" t="s">
        <v>3680</v>
      </c>
      <c r="F886" s="60" t="s">
        <v>3428</v>
      </c>
      <c r="H886" s="60" t="s">
        <v>4620</v>
      </c>
      <c r="I886" s="63">
        <v>0.5416666666666666</v>
      </c>
      <c r="J886" s="61"/>
      <c r="K886" s="61"/>
    </row>
    <row r="887">
      <c r="A887" s="51">
        <v>243.0</v>
      </c>
      <c r="B887" s="60" t="s">
        <v>3715</v>
      </c>
      <c r="C887" s="60" t="s">
        <v>3716</v>
      </c>
      <c r="D887" s="61"/>
      <c r="E887" s="62" t="s">
        <v>3717</v>
      </c>
      <c r="F887" s="60" t="s">
        <v>3428</v>
      </c>
      <c r="H887" s="60" t="s">
        <v>4620</v>
      </c>
      <c r="I887" s="63">
        <v>0.5416666666666666</v>
      </c>
      <c r="J887" s="61"/>
      <c r="K887" s="61"/>
    </row>
    <row r="888">
      <c r="A888" s="51">
        <v>244.0</v>
      </c>
      <c r="B888" s="60" t="s">
        <v>3718</v>
      </c>
      <c r="C888" s="60" t="s">
        <v>3719</v>
      </c>
      <c r="D888" s="61"/>
      <c r="E888" s="62" t="s">
        <v>3717</v>
      </c>
      <c r="F888" s="60" t="s">
        <v>3428</v>
      </c>
      <c r="H888" s="60" t="s">
        <v>4620</v>
      </c>
      <c r="I888" s="63">
        <v>0.5416666666666666</v>
      </c>
      <c r="J888" s="61"/>
      <c r="K888" s="61"/>
    </row>
    <row r="889">
      <c r="A889" s="51">
        <v>245.0</v>
      </c>
      <c r="B889" s="60" t="s">
        <v>3720</v>
      </c>
      <c r="C889" s="60" t="s">
        <v>3721</v>
      </c>
      <c r="D889" s="61"/>
      <c r="E889" s="62" t="s">
        <v>3717</v>
      </c>
      <c r="F889" s="60" t="s">
        <v>3428</v>
      </c>
      <c r="H889" s="60" t="s">
        <v>4620</v>
      </c>
      <c r="I889" s="63">
        <v>0.5416666666666666</v>
      </c>
      <c r="J889" s="60" t="s">
        <v>3722</v>
      </c>
      <c r="K889" s="61"/>
    </row>
    <row r="890">
      <c r="A890" s="51">
        <v>246.0</v>
      </c>
      <c r="B890" s="60" t="s">
        <v>3723</v>
      </c>
      <c r="C890" s="60" t="s">
        <v>3721</v>
      </c>
      <c r="D890" s="61"/>
      <c r="E890" s="62" t="s">
        <v>3717</v>
      </c>
      <c r="F890" s="60" t="s">
        <v>3428</v>
      </c>
      <c r="H890" s="60" t="s">
        <v>4620</v>
      </c>
      <c r="I890" s="63">
        <v>0.5416666666666666</v>
      </c>
      <c r="J890" s="61"/>
      <c r="K890" s="61"/>
    </row>
    <row r="891">
      <c r="A891" s="51">
        <v>247.0</v>
      </c>
      <c r="B891" s="60" t="s">
        <v>3724</v>
      </c>
      <c r="C891" s="60" t="s">
        <v>3719</v>
      </c>
      <c r="D891" s="61"/>
      <c r="E891" s="62" t="s">
        <v>3717</v>
      </c>
      <c r="F891" s="60" t="s">
        <v>3428</v>
      </c>
      <c r="H891" s="60" t="s">
        <v>4620</v>
      </c>
      <c r="I891" s="63">
        <v>0.5416666666666666</v>
      </c>
      <c r="J891" s="60" t="s">
        <v>3722</v>
      </c>
      <c r="K891" s="61"/>
    </row>
    <row r="892">
      <c r="A892" s="51">
        <v>248.0</v>
      </c>
      <c r="B892" s="60" t="s">
        <v>3725</v>
      </c>
      <c r="C892" s="60" t="s">
        <v>3721</v>
      </c>
      <c r="D892" s="61"/>
      <c r="E892" s="62" t="s">
        <v>3717</v>
      </c>
      <c r="F892" s="60" t="s">
        <v>3428</v>
      </c>
      <c r="H892" s="60" t="s">
        <v>4620</v>
      </c>
      <c r="I892" s="63">
        <v>0.5416666666666666</v>
      </c>
      <c r="J892" s="61"/>
      <c r="K892" s="61"/>
    </row>
    <row r="893">
      <c r="A893" s="51">
        <v>249.0</v>
      </c>
      <c r="B893" s="60" t="s">
        <v>3726</v>
      </c>
      <c r="C893" s="60" t="s">
        <v>3716</v>
      </c>
      <c r="D893" s="61"/>
      <c r="E893" s="62" t="s">
        <v>3717</v>
      </c>
      <c r="F893" s="60" t="s">
        <v>3428</v>
      </c>
      <c r="H893" s="60" t="s">
        <v>4620</v>
      </c>
      <c r="I893" s="63">
        <v>0.5416666666666666</v>
      </c>
      <c r="J893" s="61"/>
      <c r="K893" s="61"/>
    </row>
    <row r="894">
      <c r="A894" s="51">
        <v>250.0</v>
      </c>
      <c r="B894" s="60" t="s">
        <v>3727</v>
      </c>
      <c r="C894" s="60" t="s">
        <v>3728</v>
      </c>
      <c r="D894" s="61"/>
      <c r="E894" s="62" t="s">
        <v>3717</v>
      </c>
      <c r="F894" s="60" t="s">
        <v>3428</v>
      </c>
      <c r="H894" s="60" t="s">
        <v>4620</v>
      </c>
      <c r="I894" s="63">
        <v>0.5416666666666666</v>
      </c>
      <c r="J894" s="61"/>
      <c r="K894" s="61"/>
    </row>
    <row r="895">
      <c r="A895" s="51">
        <v>251.0</v>
      </c>
      <c r="B895" s="60" t="s">
        <v>3729</v>
      </c>
      <c r="C895" s="60" t="s">
        <v>3431</v>
      </c>
      <c r="D895" s="61"/>
      <c r="E895" s="62" t="s">
        <v>3717</v>
      </c>
      <c r="F895" s="60" t="s">
        <v>3428</v>
      </c>
      <c r="H895" s="60" t="s">
        <v>4620</v>
      </c>
      <c r="I895" s="63">
        <v>0.5416666666666666</v>
      </c>
      <c r="J895" s="61"/>
      <c r="K895" s="61"/>
    </row>
    <row r="896">
      <c r="A896" s="51">
        <v>252.0</v>
      </c>
      <c r="B896" s="60" t="s">
        <v>3730</v>
      </c>
      <c r="C896" s="61"/>
      <c r="D896" s="61"/>
      <c r="E896" s="62" t="s">
        <v>3717</v>
      </c>
      <c r="F896" s="60" t="s">
        <v>3428</v>
      </c>
      <c r="H896" s="60" t="s">
        <v>4620</v>
      </c>
      <c r="I896" s="63">
        <v>0.5416666666666666</v>
      </c>
      <c r="J896" s="60" t="s">
        <v>3722</v>
      </c>
      <c r="K896" s="61"/>
    </row>
    <row r="897">
      <c r="A897" s="51">
        <v>253.0</v>
      </c>
      <c r="B897" s="60" t="s">
        <v>3731</v>
      </c>
      <c r="C897" s="60" t="s">
        <v>3719</v>
      </c>
      <c r="D897" s="61"/>
      <c r="E897" s="62" t="s">
        <v>3717</v>
      </c>
      <c r="F897" s="60" t="s">
        <v>3428</v>
      </c>
      <c r="H897" s="60" t="s">
        <v>4620</v>
      </c>
      <c r="I897" s="63">
        <v>0.5416666666666666</v>
      </c>
      <c r="J897" s="60"/>
      <c r="K897" s="60" t="s">
        <v>330</v>
      </c>
    </row>
    <row r="898">
      <c r="A898" s="51">
        <v>254.0</v>
      </c>
      <c r="B898" s="60" t="s">
        <v>3732</v>
      </c>
      <c r="C898" s="60" t="s">
        <v>3719</v>
      </c>
      <c r="D898" s="61"/>
      <c r="E898" s="62" t="s">
        <v>3717</v>
      </c>
      <c r="F898" s="60" t="s">
        <v>3428</v>
      </c>
      <c r="H898" s="60" t="s">
        <v>4620</v>
      </c>
      <c r="I898" s="63">
        <v>0.5416666666666666</v>
      </c>
      <c r="J898" s="60"/>
      <c r="K898" s="60" t="s">
        <v>330</v>
      </c>
    </row>
    <row r="899">
      <c r="A899" s="51">
        <v>255.0</v>
      </c>
      <c r="B899" s="60" t="s">
        <v>3733</v>
      </c>
      <c r="C899" s="60" t="s">
        <v>3719</v>
      </c>
      <c r="D899" s="61"/>
      <c r="E899" s="62" t="s">
        <v>3717</v>
      </c>
      <c r="F899" s="60" t="s">
        <v>3428</v>
      </c>
      <c r="H899" s="60" t="s">
        <v>4620</v>
      </c>
      <c r="I899" s="63">
        <v>0.5416666666666666</v>
      </c>
      <c r="J899" s="60"/>
      <c r="K899" s="60" t="s">
        <v>330</v>
      </c>
    </row>
    <row r="900">
      <c r="A900" s="51">
        <v>256.0</v>
      </c>
      <c r="B900" s="60" t="s">
        <v>3734</v>
      </c>
      <c r="C900" s="60" t="s">
        <v>3721</v>
      </c>
      <c r="D900" s="61"/>
      <c r="E900" s="62" t="s">
        <v>3717</v>
      </c>
      <c r="F900" s="60" t="s">
        <v>3428</v>
      </c>
      <c r="H900" s="60" t="s">
        <v>4620</v>
      </c>
      <c r="I900" s="63">
        <v>0.5416666666666666</v>
      </c>
      <c r="J900" s="60"/>
      <c r="K900" s="60" t="s">
        <v>330</v>
      </c>
    </row>
    <row r="901">
      <c r="A901" s="51">
        <v>257.0</v>
      </c>
      <c r="B901" s="60" t="s">
        <v>3735</v>
      </c>
      <c r="C901" s="60" t="s">
        <v>3719</v>
      </c>
      <c r="D901" s="61"/>
      <c r="E901" s="62" t="s">
        <v>3717</v>
      </c>
      <c r="F901" s="60" t="s">
        <v>3428</v>
      </c>
      <c r="H901" s="60" t="s">
        <v>4620</v>
      </c>
      <c r="I901" s="63">
        <v>0.5416666666666666</v>
      </c>
      <c r="J901" s="60"/>
      <c r="K901" s="60" t="s">
        <v>330</v>
      </c>
    </row>
    <row r="902">
      <c r="A902" s="51">
        <v>258.0</v>
      </c>
      <c r="B902" s="60" t="s">
        <v>3736</v>
      </c>
      <c r="C902" s="60" t="s">
        <v>3737</v>
      </c>
      <c r="D902" s="61"/>
      <c r="E902" s="62" t="s">
        <v>3717</v>
      </c>
      <c r="F902" s="60" t="s">
        <v>3428</v>
      </c>
      <c r="H902" s="60" t="s">
        <v>4620</v>
      </c>
      <c r="I902" s="63">
        <v>0.5416666666666666</v>
      </c>
      <c r="J902" s="60"/>
      <c r="K902" s="60" t="s">
        <v>330</v>
      </c>
    </row>
    <row r="903">
      <c r="A903" s="51">
        <v>259.0</v>
      </c>
      <c r="B903" s="60" t="s">
        <v>3738</v>
      </c>
      <c r="C903" s="60" t="s">
        <v>3739</v>
      </c>
      <c r="D903" s="61"/>
      <c r="E903" s="62" t="s">
        <v>3717</v>
      </c>
      <c r="F903" s="60" t="s">
        <v>3428</v>
      </c>
      <c r="H903" s="60" t="s">
        <v>4620</v>
      </c>
      <c r="I903" s="63">
        <v>0.5416666666666666</v>
      </c>
      <c r="J903" s="60"/>
      <c r="K903" s="60" t="s">
        <v>330</v>
      </c>
    </row>
    <row r="904">
      <c r="A904" s="51">
        <v>260.0</v>
      </c>
      <c r="B904" s="60" t="s">
        <v>3740</v>
      </c>
      <c r="C904" s="60" t="s">
        <v>3721</v>
      </c>
      <c r="D904" s="61"/>
      <c r="E904" s="62" t="s">
        <v>3717</v>
      </c>
      <c r="F904" s="60" t="s">
        <v>3428</v>
      </c>
      <c r="H904" s="60" t="s">
        <v>4620</v>
      </c>
      <c r="I904" s="63">
        <v>0.5416666666666666</v>
      </c>
      <c r="J904" s="60"/>
      <c r="K904" s="60" t="s">
        <v>330</v>
      </c>
    </row>
    <row r="905">
      <c r="A905" s="51">
        <v>261.0</v>
      </c>
      <c r="B905" s="60" t="s">
        <v>3741</v>
      </c>
      <c r="C905" s="60" t="s">
        <v>3721</v>
      </c>
      <c r="D905" s="61"/>
      <c r="E905" s="62" t="s">
        <v>3717</v>
      </c>
      <c r="F905" s="60" t="s">
        <v>3428</v>
      </c>
      <c r="H905" s="60" t="s">
        <v>4620</v>
      </c>
      <c r="I905" s="63">
        <v>0.5416666666666666</v>
      </c>
      <c r="J905" s="60"/>
      <c r="K905" s="60" t="s">
        <v>330</v>
      </c>
    </row>
    <row r="906">
      <c r="A906" s="51">
        <v>262.0</v>
      </c>
      <c r="B906" s="60" t="s">
        <v>3742</v>
      </c>
      <c r="C906" s="60" t="s">
        <v>3721</v>
      </c>
      <c r="D906" s="61"/>
      <c r="E906" s="62" t="s">
        <v>3717</v>
      </c>
      <c r="F906" s="60" t="s">
        <v>3428</v>
      </c>
      <c r="H906" s="60" t="s">
        <v>4620</v>
      </c>
      <c r="I906" s="63">
        <v>0.5416666666666666</v>
      </c>
      <c r="J906" s="60"/>
      <c r="K906" s="60" t="s">
        <v>330</v>
      </c>
    </row>
    <row r="907">
      <c r="A907" s="51">
        <v>263.0</v>
      </c>
      <c r="B907" s="60" t="s">
        <v>3743</v>
      </c>
      <c r="C907" s="60" t="s">
        <v>3739</v>
      </c>
      <c r="D907" s="61"/>
      <c r="E907" s="62" t="s">
        <v>3717</v>
      </c>
      <c r="F907" s="60" t="s">
        <v>3428</v>
      </c>
      <c r="H907" s="60" t="s">
        <v>4620</v>
      </c>
      <c r="I907" s="63">
        <v>0.5416666666666666</v>
      </c>
      <c r="J907" s="60"/>
      <c r="K907" s="60" t="s">
        <v>330</v>
      </c>
    </row>
    <row r="908">
      <c r="A908" s="51">
        <v>264.0</v>
      </c>
      <c r="B908" s="60" t="s">
        <v>3744</v>
      </c>
      <c r="C908" s="60" t="s">
        <v>3739</v>
      </c>
      <c r="D908" s="61"/>
      <c r="E908" s="62" t="s">
        <v>3717</v>
      </c>
      <c r="F908" s="60" t="s">
        <v>3428</v>
      </c>
      <c r="H908" s="60" t="s">
        <v>4620</v>
      </c>
      <c r="I908" s="63">
        <v>0.5416666666666666</v>
      </c>
      <c r="J908" s="60"/>
      <c r="K908" s="60" t="s">
        <v>330</v>
      </c>
    </row>
    <row r="909">
      <c r="A909" s="51">
        <v>265.0</v>
      </c>
      <c r="B909" s="60" t="s">
        <v>3745</v>
      </c>
      <c r="C909" s="60" t="s">
        <v>3721</v>
      </c>
      <c r="D909" s="61"/>
      <c r="E909" s="62" t="s">
        <v>3717</v>
      </c>
      <c r="F909" s="60" t="s">
        <v>3428</v>
      </c>
      <c r="H909" s="60" t="s">
        <v>4620</v>
      </c>
      <c r="I909" s="63">
        <v>0.5416666666666666</v>
      </c>
      <c r="J909" s="60"/>
      <c r="K909" s="60" t="s">
        <v>330</v>
      </c>
    </row>
    <row r="910">
      <c r="A910" s="51">
        <v>266.0</v>
      </c>
      <c r="B910" s="60" t="s">
        <v>3746</v>
      </c>
      <c r="C910" s="60" t="s">
        <v>3721</v>
      </c>
      <c r="D910" s="61"/>
      <c r="E910" s="62" t="s">
        <v>3717</v>
      </c>
      <c r="F910" s="60" t="s">
        <v>3428</v>
      </c>
      <c r="H910" s="60" t="s">
        <v>4620</v>
      </c>
      <c r="I910" s="63">
        <v>0.5416666666666666</v>
      </c>
      <c r="J910" s="60"/>
      <c r="K910" s="60" t="s">
        <v>330</v>
      </c>
    </row>
    <row r="911">
      <c r="A911" s="51">
        <v>267.0</v>
      </c>
      <c r="B911" s="60" t="s">
        <v>3747</v>
      </c>
      <c r="C911" s="60" t="s">
        <v>3443</v>
      </c>
      <c r="D911" s="61"/>
      <c r="E911" s="62" t="s">
        <v>3717</v>
      </c>
      <c r="F911" s="60" t="s">
        <v>3428</v>
      </c>
      <c r="H911" s="60" t="s">
        <v>4620</v>
      </c>
      <c r="I911" s="63">
        <v>0.5416666666666666</v>
      </c>
      <c r="J911" s="60"/>
      <c r="K911" s="60" t="s">
        <v>330</v>
      </c>
    </row>
    <row r="912">
      <c r="A912" s="51">
        <v>268.0</v>
      </c>
      <c r="B912" s="60" t="s">
        <v>3748</v>
      </c>
      <c r="C912" s="60" t="s">
        <v>3721</v>
      </c>
      <c r="D912" s="61"/>
      <c r="E912" s="62" t="s">
        <v>3717</v>
      </c>
      <c r="F912" s="60" t="s">
        <v>3428</v>
      </c>
      <c r="H912" s="60" t="s">
        <v>4620</v>
      </c>
      <c r="I912" s="63">
        <v>0.5416666666666666</v>
      </c>
      <c r="J912" s="60"/>
      <c r="K912" s="60" t="s">
        <v>330</v>
      </c>
    </row>
    <row r="913">
      <c r="A913" s="51">
        <v>269.0</v>
      </c>
      <c r="B913" s="60" t="s">
        <v>3749</v>
      </c>
      <c r="C913" s="60" t="s">
        <v>3750</v>
      </c>
      <c r="D913" s="61"/>
      <c r="E913" s="62" t="s">
        <v>3717</v>
      </c>
      <c r="F913" s="60" t="s">
        <v>3428</v>
      </c>
      <c r="H913" s="60" t="s">
        <v>4620</v>
      </c>
      <c r="I913" s="63">
        <v>0.5416666666666666</v>
      </c>
      <c r="J913" s="60"/>
      <c r="K913" s="60" t="s">
        <v>330</v>
      </c>
    </row>
    <row r="914">
      <c r="A914" s="51">
        <v>270.0</v>
      </c>
      <c r="B914" s="60" t="s">
        <v>3751</v>
      </c>
      <c r="C914" s="60" t="s">
        <v>3716</v>
      </c>
      <c r="D914" s="61"/>
      <c r="E914" s="62" t="s">
        <v>3717</v>
      </c>
      <c r="F914" s="60" t="s">
        <v>3428</v>
      </c>
      <c r="H914" s="60" t="s">
        <v>4620</v>
      </c>
      <c r="I914" s="63">
        <v>0.5416666666666666</v>
      </c>
      <c r="J914" s="60"/>
      <c r="K914" s="60" t="s">
        <v>330</v>
      </c>
    </row>
    <row r="915">
      <c r="A915" s="51">
        <v>271.0</v>
      </c>
      <c r="B915" s="60" t="s">
        <v>3752</v>
      </c>
      <c r="C915" s="60" t="s">
        <v>3753</v>
      </c>
      <c r="D915" s="61"/>
      <c r="E915" s="62" t="s">
        <v>3717</v>
      </c>
      <c r="F915" s="60" t="s">
        <v>3428</v>
      </c>
      <c r="H915" s="60" t="s">
        <v>4620</v>
      </c>
      <c r="I915" s="63">
        <v>0.5416666666666666</v>
      </c>
      <c r="J915" s="60"/>
      <c r="K915" s="60" t="s">
        <v>330</v>
      </c>
    </row>
    <row r="916">
      <c r="A916" s="51">
        <v>272.0</v>
      </c>
      <c r="B916" s="60" t="s">
        <v>3754</v>
      </c>
      <c r="C916" s="60" t="s">
        <v>3728</v>
      </c>
      <c r="D916" s="61"/>
      <c r="E916" s="62" t="s">
        <v>3717</v>
      </c>
      <c r="F916" s="60" t="s">
        <v>3428</v>
      </c>
      <c r="H916" s="60" t="s">
        <v>4620</v>
      </c>
      <c r="I916" s="63">
        <v>0.5416666666666666</v>
      </c>
      <c r="J916" s="60"/>
      <c r="K916" s="60" t="s">
        <v>330</v>
      </c>
    </row>
    <row r="917">
      <c r="A917" s="51">
        <v>273.0</v>
      </c>
      <c r="B917" s="60" t="s">
        <v>3755</v>
      </c>
      <c r="C917" s="61"/>
      <c r="D917" s="61"/>
      <c r="E917" s="62" t="s">
        <v>3756</v>
      </c>
      <c r="F917" s="60" t="s">
        <v>3428</v>
      </c>
      <c r="H917" s="60" t="s">
        <v>4620</v>
      </c>
      <c r="I917" s="63">
        <v>0.5416666666666666</v>
      </c>
      <c r="J917" s="64"/>
      <c r="K917" s="60" t="s">
        <v>3783</v>
      </c>
    </row>
    <row r="918">
      <c r="A918" s="51">
        <v>274.0</v>
      </c>
      <c r="B918" s="60" t="s">
        <v>3757</v>
      </c>
      <c r="C918" s="61"/>
      <c r="D918" s="61"/>
      <c r="E918" s="62" t="s">
        <v>3756</v>
      </c>
      <c r="F918" s="60" t="s">
        <v>3428</v>
      </c>
      <c r="H918" s="60" t="s">
        <v>4620</v>
      </c>
      <c r="I918" s="63">
        <v>0.5416666666666666</v>
      </c>
      <c r="J918" s="64"/>
      <c r="K918" s="60" t="s">
        <v>3785</v>
      </c>
    </row>
    <row r="919">
      <c r="A919" s="51">
        <v>275.0</v>
      </c>
      <c r="B919" s="60" t="s">
        <v>3758</v>
      </c>
      <c r="C919" s="61"/>
      <c r="D919" s="61"/>
      <c r="E919" s="62" t="s">
        <v>3756</v>
      </c>
      <c r="F919" s="60" t="s">
        <v>3428</v>
      </c>
      <c r="H919" s="60" t="s">
        <v>4620</v>
      </c>
      <c r="I919" s="63">
        <v>0.5416666666666666</v>
      </c>
      <c r="J919" s="64"/>
      <c r="K919" s="60" t="s">
        <v>3787</v>
      </c>
    </row>
    <row r="920">
      <c r="A920" s="51">
        <v>276.0</v>
      </c>
      <c r="B920" s="60" t="s">
        <v>3759</v>
      </c>
      <c r="C920" s="61"/>
      <c r="D920" s="61"/>
      <c r="E920" s="62" t="s">
        <v>3756</v>
      </c>
      <c r="F920" s="60" t="s">
        <v>3428</v>
      </c>
      <c r="H920" s="60" t="s">
        <v>4620</v>
      </c>
      <c r="I920" s="63">
        <v>0.5416666666666666</v>
      </c>
      <c r="J920" s="64"/>
      <c r="K920" s="60" t="s">
        <v>3789</v>
      </c>
    </row>
    <row r="921">
      <c r="A921" s="51">
        <v>277.0</v>
      </c>
      <c r="B921" s="60" t="s">
        <v>3760</v>
      </c>
      <c r="C921" s="61"/>
      <c r="D921" s="61"/>
      <c r="E921" s="62" t="s">
        <v>3756</v>
      </c>
      <c r="F921" s="60" t="s">
        <v>3428</v>
      </c>
      <c r="H921" s="60" t="s">
        <v>4620</v>
      </c>
      <c r="I921" s="63">
        <v>0.5416666666666666</v>
      </c>
      <c r="J921" s="64"/>
      <c r="K921" s="60" t="s">
        <v>3791</v>
      </c>
    </row>
    <row r="922">
      <c r="A922" s="51">
        <v>278.0</v>
      </c>
      <c r="B922" s="60" t="s">
        <v>3761</v>
      </c>
      <c r="C922" s="61"/>
      <c r="D922" s="61"/>
      <c r="E922" s="62" t="s">
        <v>3756</v>
      </c>
      <c r="F922" s="60" t="s">
        <v>3428</v>
      </c>
      <c r="H922" s="60" t="s">
        <v>4620</v>
      </c>
      <c r="I922" s="63">
        <v>0.5416666666666666</v>
      </c>
      <c r="J922" s="64"/>
      <c r="K922" s="60" t="s">
        <v>972</v>
      </c>
    </row>
    <row r="923">
      <c r="A923" s="51">
        <v>279.0</v>
      </c>
      <c r="B923" s="60" t="s">
        <v>3762</v>
      </c>
      <c r="C923" s="61"/>
      <c r="D923" s="61"/>
      <c r="E923" s="62" t="s">
        <v>3756</v>
      </c>
      <c r="F923" s="60" t="s">
        <v>3428</v>
      </c>
      <c r="H923" s="60" t="s">
        <v>4620</v>
      </c>
      <c r="I923" s="63">
        <v>0.5416666666666666</v>
      </c>
      <c r="J923" s="64"/>
      <c r="K923" s="60" t="s">
        <v>972</v>
      </c>
    </row>
    <row r="924">
      <c r="A924" s="51">
        <v>280.0</v>
      </c>
      <c r="B924" s="60" t="s">
        <v>3763</v>
      </c>
      <c r="C924" s="61"/>
      <c r="D924" s="61"/>
      <c r="E924" s="62" t="s">
        <v>3756</v>
      </c>
      <c r="F924" s="60" t="s">
        <v>3428</v>
      </c>
      <c r="H924" s="60" t="s">
        <v>4620</v>
      </c>
      <c r="I924" s="63">
        <v>0.5416666666666666</v>
      </c>
      <c r="J924" s="64"/>
      <c r="K924" s="60" t="s">
        <v>3795</v>
      </c>
    </row>
    <row r="925">
      <c r="A925" s="51">
        <v>281.0</v>
      </c>
      <c r="B925" s="60" t="s">
        <v>3764</v>
      </c>
      <c r="C925" s="61"/>
      <c r="D925" s="61"/>
      <c r="E925" s="62" t="s">
        <v>3756</v>
      </c>
      <c r="F925" s="60" t="s">
        <v>3428</v>
      </c>
      <c r="H925" s="60" t="s">
        <v>4620</v>
      </c>
      <c r="I925" s="63">
        <v>0.5416666666666666</v>
      </c>
      <c r="J925" s="64"/>
      <c r="K925" s="60" t="s">
        <v>1441</v>
      </c>
    </row>
    <row r="926">
      <c r="A926" s="51">
        <v>282.0</v>
      </c>
      <c r="B926" s="60" t="s">
        <v>3765</v>
      </c>
      <c r="C926" s="61"/>
      <c r="D926" s="61"/>
      <c r="E926" s="62" t="s">
        <v>3756</v>
      </c>
      <c r="F926" s="60" t="s">
        <v>3428</v>
      </c>
      <c r="H926" s="60" t="s">
        <v>4620</v>
      </c>
      <c r="I926" s="63">
        <v>0.5416666666666666</v>
      </c>
      <c r="J926" s="64"/>
      <c r="K926" s="60" t="s">
        <v>330</v>
      </c>
    </row>
    <row r="927">
      <c r="A927" s="51">
        <v>283.0</v>
      </c>
      <c r="B927" s="60" t="s">
        <v>3766</v>
      </c>
      <c r="C927" s="61"/>
      <c r="D927" s="61"/>
      <c r="E927" s="62" t="s">
        <v>3756</v>
      </c>
      <c r="F927" s="60" t="s">
        <v>3428</v>
      </c>
      <c r="H927" s="60" t="s">
        <v>4620</v>
      </c>
      <c r="I927" s="63">
        <v>0.5416666666666666</v>
      </c>
      <c r="J927" s="64"/>
      <c r="K927" s="60" t="s">
        <v>3799</v>
      </c>
    </row>
    <row r="928">
      <c r="A928" s="51">
        <v>284.0</v>
      </c>
      <c r="B928" s="60" t="s">
        <v>3767</v>
      </c>
      <c r="C928" s="61"/>
      <c r="D928" s="61"/>
      <c r="E928" s="62" t="s">
        <v>3756</v>
      </c>
      <c r="F928" s="60" t="s">
        <v>3428</v>
      </c>
      <c r="H928" s="60" t="s">
        <v>4620</v>
      </c>
      <c r="I928" s="63">
        <v>0.5416666666666666</v>
      </c>
      <c r="J928" s="64"/>
      <c r="K928" s="60" t="s">
        <v>330</v>
      </c>
    </row>
    <row r="929">
      <c r="A929" s="51">
        <v>285.0</v>
      </c>
      <c r="B929" s="60" t="s">
        <v>3768</v>
      </c>
      <c r="C929" s="61"/>
      <c r="D929" s="61"/>
      <c r="E929" s="62" t="s">
        <v>3756</v>
      </c>
      <c r="F929" s="60" t="s">
        <v>3428</v>
      </c>
      <c r="H929" s="60" t="s">
        <v>4620</v>
      </c>
      <c r="I929" s="63">
        <v>0.5416666666666666</v>
      </c>
      <c r="J929" s="64"/>
      <c r="K929" s="60" t="s">
        <v>330</v>
      </c>
    </row>
    <row r="930">
      <c r="A930" s="51">
        <v>286.0</v>
      </c>
      <c r="B930" s="60" t="s">
        <v>3769</v>
      </c>
      <c r="C930" s="61"/>
      <c r="D930" s="61"/>
      <c r="E930" s="62" t="s">
        <v>3756</v>
      </c>
      <c r="F930" s="60" t="s">
        <v>3428</v>
      </c>
      <c r="H930" s="60" t="s">
        <v>4620</v>
      </c>
      <c r="I930" s="63">
        <v>0.5416666666666666</v>
      </c>
      <c r="J930" s="64"/>
      <c r="K930" s="60" t="s">
        <v>330</v>
      </c>
    </row>
    <row r="931">
      <c r="A931" s="51">
        <v>287.0</v>
      </c>
      <c r="B931" s="60" t="s">
        <v>3770</v>
      </c>
      <c r="C931" s="61"/>
      <c r="D931" s="61"/>
      <c r="E931" s="62" t="s">
        <v>3756</v>
      </c>
      <c r="F931" s="60" t="s">
        <v>3428</v>
      </c>
      <c r="H931" s="60" t="s">
        <v>4620</v>
      </c>
      <c r="I931" s="63">
        <v>0.5416666666666666</v>
      </c>
      <c r="J931" s="64"/>
      <c r="K931" s="60" t="s">
        <v>3804</v>
      </c>
    </row>
    <row r="932">
      <c r="A932" s="51">
        <v>288.0</v>
      </c>
      <c r="B932" s="60" t="s">
        <v>3771</v>
      </c>
      <c r="C932" s="61"/>
      <c r="D932" s="61"/>
      <c r="E932" s="62" t="s">
        <v>3756</v>
      </c>
      <c r="F932" s="60" t="s">
        <v>3428</v>
      </c>
      <c r="H932" s="60" t="s">
        <v>4620</v>
      </c>
      <c r="I932" s="63">
        <v>0.5416666666666666</v>
      </c>
      <c r="J932" s="64"/>
      <c r="K932" s="60" t="s">
        <v>330</v>
      </c>
    </row>
    <row r="933">
      <c r="A933" s="51">
        <v>289.0</v>
      </c>
      <c r="B933" s="60" t="s">
        <v>3772</v>
      </c>
      <c r="C933" s="61"/>
      <c r="D933" s="61"/>
      <c r="E933" s="62" t="s">
        <v>3756</v>
      </c>
      <c r="F933" s="60" t="s">
        <v>3428</v>
      </c>
      <c r="H933" s="60" t="s">
        <v>4620</v>
      </c>
      <c r="I933" s="63">
        <v>0.5416666666666666</v>
      </c>
      <c r="J933" s="64"/>
      <c r="K933" s="60" t="s">
        <v>330</v>
      </c>
    </row>
    <row r="934">
      <c r="A934" s="51">
        <v>290.0</v>
      </c>
      <c r="B934" s="60" t="s">
        <v>3773</v>
      </c>
      <c r="C934" s="61"/>
      <c r="D934" s="61"/>
      <c r="E934" s="62" t="s">
        <v>3756</v>
      </c>
      <c r="F934" s="60" t="s">
        <v>3428</v>
      </c>
      <c r="H934" s="60" t="s">
        <v>4620</v>
      </c>
      <c r="I934" s="63">
        <v>0.5416666666666666</v>
      </c>
      <c r="J934" s="64"/>
      <c r="K934" s="60" t="s">
        <v>330</v>
      </c>
    </row>
    <row r="935">
      <c r="A935" s="51">
        <v>291.0</v>
      </c>
      <c r="B935" s="60" t="s">
        <v>3774</v>
      </c>
      <c r="C935" s="61"/>
      <c r="D935" s="61"/>
      <c r="E935" s="62" t="s">
        <v>3756</v>
      </c>
      <c r="F935" s="60" t="s">
        <v>3428</v>
      </c>
      <c r="H935" s="60" t="s">
        <v>4620</v>
      </c>
      <c r="I935" s="63">
        <v>0.5416666666666666</v>
      </c>
      <c r="J935" s="64"/>
      <c r="K935" s="60" t="s">
        <v>330</v>
      </c>
    </row>
    <row r="936">
      <c r="A936" s="51">
        <v>292.0</v>
      </c>
      <c r="B936" s="60" t="s">
        <v>3775</v>
      </c>
      <c r="C936" s="61"/>
      <c r="D936" s="61"/>
      <c r="E936" s="62" t="s">
        <v>3756</v>
      </c>
      <c r="F936" s="60" t="s">
        <v>3428</v>
      </c>
      <c r="H936" s="60" t="s">
        <v>4620</v>
      </c>
      <c r="I936" s="63">
        <v>0.5416666666666666</v>
      </c>
      <c r="J936" s="64"/>
      <c r="K936" s="60" t="s">
        <v>2860</v>
      </c>
    </row>
    <row r="937">
      <c r="A937" s="51">
        <v>293.0</v>
      </c>
      <c r="B937" s="60" t="s">
        <v>3776</v>
      </c>
      <c r="C937" s="61"/>
      <c r="D937" s="61"/>
      <c r="E937" s="62" t="s">
        <v>3756</v>
      </c>
      <c r="F937" s="60" t="s">
        <v>3428</v>
      </c>
      <c r="H937" s="60" t="s">
        <v>4620</v>
      </c>
      <c r="I937" s="63">
        <v>0.5416666666666666</v>
      </c>
      <c r="J937" s="64"/>
      <c r="K937" s="60" t="s">
        <v>330</v>
      </c>
    </row>
    <row r="938">
      <c r="A938" s="51">
        <v>294.0</v>
      </c>
      <c r="B938" s="60" t="s">
        <v>3777</v>
      </c>
      <c r="C938" s="61"/>
      <c r="D938" s="61"/>
      <c r="E938" s="62" t="s">
        <v>3756</v>
      </c>
      <c r="F938" s="60" t="s">
        <v>3428</v>
      </c>
      <c r="H938" s="60" t="s">
        <v>4620</v>
      </c>
      <c r="I938" s="63">
        <v>0.5416666666666666</v>
      </c>
      <c r="J938" s="64"/>
      <c r="K938" s="60" t="s">
        <v>3812</v>
      </c>
    </row>
    <row r="939">
      <c r="A939" s="51">
        <v>295.0</v>
      </c>
      <c r="B939" s="60" t="s">
        <v>3778</v>
      </c>
      <c r="C939" s="61"/>
      <c r="D939" s="61"/>
      <c r="E939" s="62" t="s">
        <v>3756</v>
      </c>
      <c r="F939" s="60" t="s">
        <v>3428</v>
      </c>
      <c r="H939" s="60" t="s">
        <v>4620</v>
      </c>
      <c r="I939" s="63">
        <v>0.5416666666666666</v>
      </c>
      <c r="J939" s="64"/>
      <c r="K939" s="60" t="s">
        <v>330</v>
      </c>
    </row>
    <row r="940">
      <c r="A940" s="51">
        <v>296.0</v>
      </c>
      <c r="B940" s="60" t="s">
        <v>3779</v>
      </c>
      <c r="C940" s="61"/>
      <c r="D940" s="61"/>
      <c r="E940" s="62" t="s">
        <v>3756</v>
      </c>
      <c r="F940" s="60" t="s">
        <v>3428</v>
      </c>
      <c r="H940" s="60" t="s">
        <v>4620</v>
      </c>
      <c r="I940" s="63">
        <v>0.5416666666666666</v>
      </c>
      <c r="J940" s="64"/>
      <c r="K940" s="60" t="s">
        <v>314</v>
      </c>
    </row>
    <row r="941">
      <c r="A941" s="51">
        <v>297.0</v>
      </c>
      <c r="B941" s="60" t="s">
        <v>3780</v>
      </c>
      <c r="C941" s="61"/>
      <c r="D941" s="61"/>
      <c r="E941" s="62" t="s">
        <v>3756</v>
      </c>
      <c r="F941" s="60" t="s">
        <v>3428</v>
      </c>
      <c r="H941" s="60" t="s">
        <v>4620</v>
      </c>
      <c r="I941" s="63">
        <v>0.5416666666666666</v>
      </c>
      <c r="J941" s="64"/>
      <c r="K941" s="60" t="s">
        <v>1468</v>
      </c>
    </row>
    <row r="942">
      <c r="A942" s="51">
        <v>298.0</v>
      </c>
      <c r="B942" s="60" t="s">
        <v>3781</v>
      </c>
      <c r="C942" s="61"/>
      <c r="D942" s="61"/>
      <c r="E942" s="62" t="s">
        <v>3756</v>
      </c>
      <c r="F942" s="60" t="s">
        <v>3428</v>
      </c>
      <c r="H942" s="60" t="s">
        <v>4620</v>
      </c>
      <c r="I942" s="63">
        <v>0.5416666666666666</v>
      </c>
      <c r="J942" s="64"/>
      <c r="K942" s="60" t="s">
        <v>330</v>
      </c>
    </row>
    <row r="943">
      <c r="A943" s="51">
        <v>299.0</v>
      </c>
      <c r="B943" s="60" t="s">
        <v>3782</v>
      </c>
      <c r="C943" s="61"/>
      <c r="D943" s="61"/>
      <c r="E943" s="62" t="s">
        <v>3756</v>
      </c>
      <c r="F943" s="60" t="s">
        <v>3428</v>
      </c>
      <c r="H943" s="60" t="s">
        <v>4620</v>
      </c>
      <c r="I943" s="63">
        <v>0.5416666666666666</v>
      </c>
      <c r="J943" s="64"/>
      <c r="K943" s="60"/>
    </row>
    <row r="944">
      <c r="A944" s="51">
        <v>300.0</v>
      </c>
      <c r="B944" s="60" t="s">
        <v>3784</v>
      </c>
      <c r="C944" s="61"/>
      <c r="D944" s="61"/>
      <c r="E944" s="62" t="s">
        <v>3756</v>
      </c>
      <c r="F944" s="60" t="s">
        <v>3428</v>
      </c>
      <c r="H944" s="60" t="s">
        <v>4620</v>
      </c>
      <c r="I944" s="63">
        <v>0.5416666666666666</v>
      </c>
      <c r="J944" s="64"/>
      <c r="K944" s="60"/>
    </row>
    <row r="945">
      <c r="A945" s="51">
        <v>301.0</v>
      </c>
      <c r="B945" s="60" t="s">
        <v>3786</v>
      </c>
      <c r="C945" s="61"/>
      <c r="D945" s="61"/>
      <c r="E945" s="62" t="s">
        <v>3756</v>
      </c>
      <c r="F945" s="60" t="s">
        <v>3428</v>
      </c>
      <c r="H945" s="60" t="s">
        <v>4620</v>
      </c>
      <c r="I945" s="63">
        <v>0.5416666666666666</v>
      </c>
      <c r="J945" s="64"/>
      <c r="K945" s="60"/>
    </row>
    <row r="946">
      <c r="A946" s="51">
        <v>302.0</v>
      </c>
      <c r="B946" s="60" t="s">
        <v>3788</v>
      </c>
      <c r="C946" s="61"/>
      <c r="D946" s="61"/>
      <c r="E946" s="62" t="s">
        <v>3756</v>
      </c>
      <c r="F946" s="60" t="s">
        <v>3428</v>
      </c>
      <c r="H946" s="60" t="s">
        <v>4620</v>
      </c>
      <c r="I946" s="63">
        <v>0.5416666666666666</v>
      </c>
      <c r="J946" s="64"/>
      <c r="K946" s="60"/>
    </row>
    <row r="947">
      <c r="A947" s="51">
        <v>303.0</v>
      </c>
      <c r="B947" s="60" t="s">
        <v>3790</v>
      </c>
      <c r="C947" s="61"/>
      <c r="D947" s="61"/>
      <c r="E947" s="62" t="s">
        <v>3756</v>
      </c>
      <c r="F947" s="60" t="s">
        <v>3428</v>
      </c>
      <c r="H947" s="60" t="s">
        <v>4620</v>
      </c>
      <c r="I947" s="63">
        <v>0.5416666666666666</v>
      </c>
      <c r="J947" s="64"/>
      <c r="K947" s="60"/>
    </row>
    <row r="948">
      <c r="A948" s="51">
        <v>304.0</v>
      </c>
      <c r="B948" s="60" t="s">
        <v>3792</v>
      </c>
      <c r="C948" s="61"/>
      <c r="D948" s="61"/>
      <c r="E948" s="62" t="s">
        <v>3756</v>
      </c>
      <c r="F948" s="60" t="s">
        <v>3428</v>
      </c>
      <c r="H948" s="60" t="s">
        <v>4620</v>
      </c>
      <c r="I948" s="63">
        <v>0.5416666666666666</v>
      </c>
      <c r="J948" s="64"/>
      <c r="K948" s="60"/>
    </row>
    <row r="949">
      <c r="A949" s="51">
        <v>305.0</v>
      </c>
      <c r="B949" s="60" t="s">
        <v>3793</v>
      </c>
      <c r="C949" s="61"/>
      <c r="D949" s="61"/>
      <c r="E949" s="62" t="s">
        <v>3756</v>
      </c>
      <c r="F949" s="60" t="s">
        <v>3428</v>
      </c>
      <c r="H949" s="60" t="s">
        <v>4620</v>
      </c>
      <c r="I949" s="63">
        <v>0.5416666666666666</v>
      </c>
      <c r="J949" s="64"/>
      <c r="K949" s="60"/>
    </row>
    <row r="950">
      <c r="A950" s="51">
        <v>306.0</v>
      </c>
      <c r="B950" s="60" t="s">
        <v>3794</v>
      </c>
      <c r="C950" s="61"/>
      <c r="D950" s="61"/>
      <c r="E950" s="62" t="s">
        <v>3756</v>
      </c>
      <c r="F950" s="60" t="s">
        <v>3428</v>
      </c>
      <c r="H950" s="60" t="s">
        <v>4620</v>
      </c>
      <c r="I950" s="63">
        <v>0.5416666666666666</v>
      </c>
      <c r="J950" s="64"/>
      <c r="K950" s="60"/>
    </row>
    <row r="951">
      <c r="A951" s="51">
        <v>307.0</v>
      </c>
      <c r="B951" s="60" t="s">
        <v>3796</v>
      </c>
      <c r="C951" s="61"/>
      <c r="D951" s="61"/>
      <c r="E951" s="62" t="s">
        <v>3756</v>
      </c>
      <c r="F951" s="60" t="s">
        <v>3428</v>
      </c>
      <c r="H951" s="60" t="s">
        <v>4620</v>
      </c>
      <c r="I951" s="63">
        <v>0.5416666666666666</v>
      </c>
      <c r="J951" s="64"/>
      <c r="K951" s="60"/>
    </row>
    <row r="952">
      <c r="A952" s="51">
        <v>308.0</v>
      </c>
      <c r="B952" s="60" t="s">
        <v>3797</v>
      </c>
      <c r="C952" s="61"/>
      <c r="D952" s="61"/>
      <c r="E952" s="62" t="s">
        <v>3756</v>
      </c>
      <c r="F952" s="60" t="s">
        <v>3428</v>
      </c>
      <c r="H952" s="60" t="s">
        <v>4620</v>
      </c>
      <c r="I952" s="63">
        <v>0.5416666666666666</v>
      </c>
      <c r="J952" s="64"/>
      <c r="K952" s="60"/>
    </row>
    <row r="953">
      <c r="A953" s="51">
        <v>309.0</v>
      </c>
      <c r="B953" s="60" t="s">
        <v>3798</v>
      </c>
      <c r="C953" s="61"/>
      <c r="D953" s="61"/>
      <c r="E953" s="62" t="s">
        <v>3756</v>
      </c>
      <c r="F953" s="60" t="s">
        <v>3428</v>
      </c>
      <c r="H953" s="60" t="s">
        <v>4620</v>
      </c>
      <c r="I953" s="63">
        <v>0.5416666666666666</v>
      </c>
      <c r="J953" s="64"/>
      <c r="K953" s="60"/>
    </row>
    <row r="954">
      <c r="A954" s="51">
        <v>310.0</v>
      </c>
      <c r="B954" s="60" t="s">
        <v>3800</v>
      </c>
      <c r="C954" s="61"/>
      <c r="D954" s="61"/>
      <c r="E954" s="62" t="s">
        <v>3756</v>
      </c>
      <c r="F954" s="60" t="s">
        <v>3428</v>
      </c>
      <c r="H954" s="60" t="s">
        <v>4620</v>
      </c>
      <c r="I954" s="63">
        <v>0.5416666666666666</v>
      </c>
      <c r="J954" s="64"/>
      <c r="K954" s="60"/>
    </row>
    <row r="955">
      <c r="A955" s="51">
        <v>311.0</v>
      </c>
      <c r="B955" s="60" t="s">
        <v>3801</v>
      </c>
      <c r="C955" s="61"/>
      <c r="D955" s="61"/>
      <c r="E955" s="62" t="s">
        <v>3756</v>
      </c>
      <c r="F955" s="60" t="s">
        <v>3428</v>
      </c>
      <c r="H955" s="60" t="s">
        <v>4620</v>
      </c>
      <c r="I955" s="63">
        <v>0.5416666666666666</v>
      </c>
      <c r="J955" s="64"/>
      <c r="K955" s="60"/>
    </row>
    <row r="956">
      <c r="A956" s="51">
        <v>312.0</v>
      </c>
      <c r="B956" s="60" t="s">
        <v>3802</v>
      </c>
      <c r="C956" s="61"/>
      <c r="D956" s="61"/>
      <c r="E956" s="62" t="s">
        <v>3756</v>
      </c>
      <c r="F956" s="60" t="s">
        <v>3428</v>
      </c>
      <c r="H956" s="60" t="s">
        <v>4620</v>
      </c>
      <c r="I956" s="63">
        <v>0.5416666666666666</v>
      </c>
      <c r="J956" s="64"/>
      <c r="K956" s="60"/>
    </row>
    <row r="957">
      <c r="A957" s="51">
        <v>313.0</v>
      </c>
      <c r="B957" s="60" t="s">
        <v>3803</v>
      </c>
      <c r="C957" s="61"/>
      <c r="D957" s="61"/>
      <c r="E957" s="62" t="s">
        <v>3756</v>
      </c>
      <c r="F957" s="60" t="s">
        <v>3428</v>
      </c>
      <c r="H957" s="60" t="s">
        <v>4620</v>
      </c>
      <c r="I957" s="63">
        <v>0.5416666666666666</v>
      </c>
      <c r="J957" s="64"/>
      <c r="K957" s="60"/>
    </row>
    <row r="958">
      <c r="A958" s="51">
        <v>314.0</v>
      </c>
      <c r="B958" s="60" t="s">
        <v>3805</v>
      </c>
      <c r="C958" s="61"/>
      <c r="D958" s="61"/>
      <c r="E958" s="62" t="s">
        <v>3756</v>
      </c>
      <c r="F958" s="60" t="s">
        <v>3428</v>
      </c>
      <c r="H958" s="60" t="s">
        <v>4620</v>
      </c>
      <c r="I958" s="63">
        <v>0.5416666666666666</v>
      </c>
      <c r="J958" s="64"/>
      <c r="K958" s="60"/>
    </row>
    <row r="959">
      <c r="A959" s="51">
        <v>315.0</v>
      </c>
      <c r="B959" s="60" t="s">
        <v>3742</v>
      </c>
      <c r="C959" s="61"/>
      <c r="D959" s="61"/>
      <c r="E959" s="62" t="s">
        <v>3756</v>
      </c>
      <c r="F959" s="60" t="s">
        <v>3428</v>
      </c>
      <c r="H959" s="60" t="s">
        <v>4620</v>
      </c>
      <c r="I959" s="63">
        <v>0.5416666666666666</v>
      </c>
      <c r="J959" s="64"/>
      <c r="K959" s="60"/>
    </row>
    <row r="960">
      <c r="A960" s="51">
        <v>316.0</v>
      </c>
      <c r="B960" s="60" t="s">
        <v>3806</v>
      </c>
      <c r="C960" s="61"/>
      <c r="D960" s="61"/>
      <c r="E960" s="62" t="s">
        <v>3756</v>
      </c>
      <c r="F960" s="60" t="s">
        <v>3428</v>
      </c>
      <c r="H960" s="60" t="s">
        <v>4620</v>
      </c>
      <c r="I960" s="63">
        <v>0.5416666666666666</v>
      </c>
      <c r="J960" s="64"/>
      <c r="K960" s="60"/>
    </row>
    <row r="961">
      <c r="A961" s="51">
        <v>317.0</v>
      </c>
      <c r="B961" s="60" t="s">
        <v>3807</v>
      </c>
      <c r="C961" s="61"/>
      <c r="D961" s="61"/>
      <c r="E961" s="62" t="s">
        <v>3756</v>
      </c>
      <c r="F961" s="60" t="s">
        <v>3428</v>
      </c>
      <c r="H961" s="60" t="s">
        <v>4620</v>
      </c>
      <c r="I961" s="63">
        <v>0.5416666666666666</v>
      </c>
      <c r="J961" s="64"/>
      <c r="K961" s="60"/>
    </row>
    <row r="962">
      <c r="A962" s="51">
        <v>318.0</v>
      </c>
      <c r="B962" s="60" t="s">
        <v>3808</v>
      </c>
      <c r="C962" s="61"/>
      <c r="D962" s="61"/>
      <c r="E962" s="62" t="s">
        <v>3756</v>
      </c>
      <c r="F962" s="60" t="s">
        <v>3428</v>
      </c>
      <c r="H962" s="60" t="s">
        <v>4620</v>
      </c>
      <c r="I962" s="63">
        <v>0.5416666666666666</v>
      </c>
      <c r="J962" s="64"/>
      <c r="K962" s="60"/>
    </row>
    <row r="963">
      <c r="A963" s="51">
        <v>319.0</v>
      </c>
      <c r="B963" s="60" t="s">
        <v>3809</v>
      </c>
      <c r="C963" s="61"/>
      <c r="D963" s="61"/>
      <c r="E963" s="62" t="s">
        <v>3756</v>
      </c>
      <c r="F963" s="60" t="s">
        <v>3428</v>
      </c>
      <c r="H963" s="60" t="s">
        <v>4620</v>
      </c>
      <c r="I963" s="63">
        <v>0.5416666666666666</v>
      </c>
      <c r="J963" s="64"/>
      <c r="K963" s="60"/>
    </row>
    <row r="964">
      <c r="A964" s="51">
        <v>320.0</v>
      </c>
      <c r="B964" s="60" t="s">
        <v>3810</v>
      </c>
      <c r="C964" s="61"/>
      <c r="D964" s="61"/>
      <c r="E964" s="62" t="s">
        <v>3756</v>
      </c>
      <c r="F964" s="60" t="s">
        <v>3428</v>
      </c>
      <c r="H964" s="60" t="s">
        <v>4620</v>
      </c>
      <c r="I964" s="63">
        <v>0.5416666666666666</v>
      </c>
      <c r="J964" s="64"/>
      <c r="K964" s="60"/>
    </row>
    <row r="965">
      <c r="A965" s="51">
        <v>321.0</v>
      </c>
      <c r="B965" s="60" t="s">
        <v>3811</v>
      </c>
      <c r="C965" s="61"/>
      <c r="D965" s="61"/>
      <c r="E965" s="62" t="s">
        <v>3756</v>
      </c>
      <c r="F965" s="60" t="s">
        <v>3428</v>
      </c>
      <c r="H965" s="60" t="s">
        <v>4620</v>
      </c>
      <c r="I965" s="63">
        <v>0.5416666666666666</v>
      </c>
      <c r="J965" s="64"/>
      <c r="K965" s="60"/>
    </row>
    <row r="966">
      <c r="A966" s="51">
        <v>322.0</v>
      </c>
      <c r="B966" s="60" t="s">
        <v>3813</v>
      </c>
      <c r="C966" s="61"/>
      <c r="D966" s="61"/>
      <c r="E966" s="62" t="s">
        <v>3756</v>
      </c>
      <c r="F966" s="60" t="s">
        <v>3428</v>
      </c>
      <c r="H966" s="60" t="s">
        <v>4620</v>
      </c>
      <c r="I966" s="63">
        <v>0.5416666666666666</v>
      </c>
      <c r="J966" s="64"/>
      <c r="K966" s="60"/>
    </row>
    <row r="967">
      <c r="A967" s="51">
        <v>323.0</v>
      </c>
      <c r="B967" s="60" t="s">
        <v>3814</v>
      </c>
      <c r="C967" s="61"/>
      <c r="D967" s="61"/>
      <c r="E967" s="62" t="s">
        <v>3756</v>
      </c>
      <c r="F967" s="60" t="s">
        <v>3428</v>
      </c>
      <c r="H967" s="60" t="s">
        <v>4620</v>
      </c>
      <c r="I967" s="63">
        <v>0.5416666666666666</v>
      </c>
      <c r="J967" s="64"/>
      <c r="K967" s="60"/>
    </row>
    <row r="968">
      <c r="A968" s="51">
        <v>324.0</v>
      </c>
      <c r="B968" s="60" t="s">
        <v>3815</v>
      </c>
      <c r="C968" s="61"/>
      <c r="D968" s="61"/>
      <c r="E968" s="62" t="s">
        <v>3756</v>
      </c>
      <c r="F968" s="60" t="s">
        <v>3428</v>
      </c>
      <c r="H968" s="60" t="s">
        <v>4620</v>
      </c>
      <c r="I968" s="63">
        <v>0.5416666666666666</v>
      </c>
      <c r="J968" s="64"/>
      <c r="K968" s="60"/>
    </row>
    <row r="969">
      <c r="A969" s="51">
        <v>325.0</v>
      </c>
      <c r="B969" s="60" t="s">
        <v>3816</v>
      </c>
      <c r="C969" s="61"/>
      <c r="D969" s="61"/>
      <c r="E969" s="62" t="s">
        <v>3756</v>
      </c>
      <c r="F969" s="60" t="s">
        <v>3428</v>
      </c>
      <c r="H969" s="60" t="s">
        <v>4620</v>
      </c>
      <c r="I969" s="63">
        <v>0.5416666666666666</v>
      </c>
      <c r="J969" s="64"/>
      <c r="K969" s="60"/>
    </row>
    <row r="970">
      <c r="A970" s="51">
        <v>326.0</v>
      </c>
      <c r="B970" s="60" t="s">
        <v>3817</v>
      </c>
      <c r="C970" s="61"/>
      <c r="D970" s="61"/>
      <c r="E970" s="62" t="s">
        <v>3756</v>
      </c>
      <c r="F970" s="60" t="s">
        <v>3428</v>
      </c>
      <c r="H970" s="60" t="s">
        <v>4620</v>
      </c>
      <c r="I970" s="63">
        <v>0.5416666666666666</v>
      </c>
      <c r="J970" s="64"/>
      <c r="K970" s="60"/>
    </row>
    <row r="971">
      <c r="A971" s="51">
        <v>327.0</v>
      </c>
      <c r="B971" s="60" t="s">
        <v>3818</v>
      </c>
      <c r="C971" s="61"/>
      <c r="D971" s="61"/>
      <c r="E971" s="62" t="s">
        <v>3756</v>
      </c>
      <c r="F971" s="60" t="s">
        <v>3428</v>
      </c>
      <c r="H971" s="60" t="s">
        <v>4620</v>
      </c>
      <c r="I971" s="63">
        <v>0.5416666666666666</v>
      </c>
      <c r="J971" s="64"/>
      <c r="K971" s="60"/>
    </row>
    <row r="972">
      <c r="A972" s="51">
        <v>328.0</v>
      </c>
      <c r="B972" s="60" t="s">
        <v>3819</v>
      </c>
      <c r="C972" s="61"/>
      <c r="D972" s="61"/>
      <c r="E972" s="62" t="s">
        <v>3756</v>
      </c>
      <c r="F972" s="60" t="s">
        <v>3428</v>
      </c>
      <c r="H972" s="60" t="s">
        <v>4620</v>
      </c>
      <c r="I972" s="63">
        <v>0.5416666666666666</v>
      </c>
      <c r="J972" s="64"/>
      <c r="K972" s="60"/>
    </row>
    <row r="973">
      <c r="A973" s="51">
        <v>329.0</v>
      </c>
      <c r="B973" s="60" t="s">
        <v>3820</v>
      </c>
      <c r="C973" s="61"/>
      <c r="D973" s="61"/>
      <c r="E973" s="62" t="s">
        <v>3756</v>
      </c>
      <c r="F973" s="60" t="s">
        <v>3428</v>
      </c>
      <c r="H973" s="60" t="s">
        <v>4620</v>
      </c>
      <c r="I973" s="63">
        <v>0.5416666666666666</v>
      </c>
      <c r="J973" s="64"/>
      <c r="K973" s="60"/>
    </row>
    <row r="974">
      <c r="A974" s="51">
        <v>330.0</v>
      </c>
      <c r="B974" s="60" t="s">
        <v>3821</v>
      </c>
      <c r="C974" s="61"/>
      <c r="D974" s="61"/>
      <c r="E974" s="62" t="s">
        <v>3756</v>
      </c>
      <c r="F974" s="60" t="s">
        <v>3428</v>
      </c>
      <c r="H974" s="60" t="s">
        <v>4620</v>
      </c>
      <c r="I974" s="63">
        <v>0.5416666666666666</v>
      </c>
      <c r="J974" s="64"/>
      <c r="K974" s="60"/>
    </row>
    <row r="975">
      <c r="A975" s="51">
        <v>331.0</v>
      </c>
      <c r="B975" s="60" t="s">
        <v>3822</v>
      </c>
      <c r="C975" s="61"/>
      <c r="D975" s="61"/>
      <c r="E975" s="62" t="s">
        <v>3756</v>
      </c>
      <c r="F975" s="60" t="s">
        <v>3428</v>
      </c>
      <c r="H975" s="60" t="s">
        <v>4620</v>
      </c>
      <c r="I975" s="63">
        <v>0.5416666666666666</v>
      </c>
      <c r="J975" s="64"/>
      <c r="K975" s="60"/>
    </row>
    <row r="976">
      <c r="A976" s="51">
        <v>332.0</v>
      </c>
      <c r="B976" s="60" t="s">
        <v>3823</v>
      </c>
      <c r="C976" s="61"/>
      <c r="D976" s="61"/>
      <c r="E976" s="62" t="s">
        <v>3756</v>
      </c>
      <c r="F976" s="60" t="s">
        <v>3428</v>
      </c>
      <c r="H976" s="60" t="s">
        <v>4620</v>
      </c>
      <c r="I976" s="63">
        <v>0.5416666666666666</v>
      </c>
      <c r="J976" s="64"/>
      <c r="K976" s="60"/>
    </row>
    <row r="977">
      <c r="A977" s="51">
        <v>333.0</v>
      </c>
      <c r="B977" s="60" t="s">
        <v>3824</v>
      </c>
      <c r="C977" s="61"/>
      <c r="D977" s="61"/>
      <c r="E977" s="62" t="s">
        <v>3756</v>
      </c>
      <c r="F977" s="60" t="s">
        <v>3428</v>
      </c>
      <c r="H977" s="60" t="s">
        <v>4620</v>
      </c>
      <c r="I977" s="63">
        <v>0.5416666666666666</v>
      </c>
      <c r="J977" s="64"/>
      <c r="K977" s="60"/>
    </row>
    <row r="978">
      <c r="A978" s="51">
        <v>334.0</v>
      </c>
      <c r="B978" s="60" t="s">
        <v>3825</v>
      </c>
      <c r="C978" s="61"/>
      <c r="D978" s="61"/>
      <c r="E978" s="62" t="s">
        <v>3756</v>
      </c>
      <c r="F978" s="60" t="s">
        <v>3428</v>
      </c>
      <c r="H978" s="60" t="s">
        <v>4620</v>
      </c>
      <c r="I978" s="63">
        <v>0.5416666666666666</v>
      </c>
      <c r="J978" s="64"/>
      <c r="K978" s="60"/>
    </row>
    <row r="979">
      <c r="A979" s="51">
        <v>335.0</v>
      </c>
      <c r="B979" s="60" t="s">
        <v>3826</v>
      </c>
      <c r="C979" s="61"/>
      <c r="D979" s="61"/>
      <c r="E979" s="62" t="s">
        <v>3756</v>
      </c>
      <c r="F979" s="60" t="s">
        <v>3428</v>
      </c>
      <c r="H979" s="60" t="s">
        <v>4620</v>
      </c>
      <c r="I979" s="63">
        <v>0.5416666666666666</v>
      </c>
      <c r="J979" s="64"/>
      <c r="K979" s="60"/>
    </row>
    <row r="980">
      <c r="A980" s="51">
        <v>336.0</v>
      </c>
      <c r="B980" s="60" t="s">
        <v>3827</v>
      </c>
      <c r="C980" s="61"/>
      <c r="D980" s="61"/>
      <c r="E980" s="62" t="s">
        <v>3756</v>
      </c>
      <c r="F980" s="60" t="s">
        <v>3428</v>
      </c>
      <c r="H980" s="60" t="s">
        <v>4620</v>
      </c>
      <c r="I980" s="63">
        <v>0.5416666666666666</v>
      </c>
      <c r="J980" s="64"/>
      <c r="K980" s="60"/>
    </row>
    <row r="981">
      <c r="A981" s="51">
        <v>337.0</v>
      </c>
      <c r="B981" s="60" t="s">
        <v>3828</v>
      </c>
      <c r="C981" s="61"/>
      <c r="D981" s="61"/>
      <c r="E981" s="62" t="s">
        <v>3756</v>
      </c>
      <c r="F981" s="60" t="s">
        <v>3428</v>
      </c>
      <c r="H981" s="60" t="s">
        <v>4620</v>
      </c>
      <c r="I981" s="63">
        <v>0.5416666666666666</v>
      </c>
      <c r="J981" s="64"/>
      <c r="K981" s="60"/>
    </row>
    <row r="982">
      <c r="A982" s="51">
        <v>338.0</v>
      </c>
      <c r="B982" s="60" t="s">
        <v>3829</v>
      </c>
      <c r="C982" s="61"/>
      <c r="D982" s="61"/>
      <c r="E982" s="62" t="s">
        <v>3756</v>
      </c>
      <c r="F982" s="60" t="s">
        <v>3428</v>
      </c>
      <c r="H982" s="60" t="s">
        <v>4620</v>
      </c>
      <c r="I982" s="63">
        <v>0.5416666666666666</v>
      </c>
      <c r="J982" s="64"/>
      <c r="K982" s="60"/>
    </row>
    <row r="983">
      <c r="A983" s="51">
        <v>339.0</v>
      </c>
      <c r="B983" s="60" t="s">
        <v>3830</v>
      </c>
      <c r="C983" s="61"/>
      <c r="D983" s="61"/>
      <c r="E983" s="62" t="s">
        <v>3756</v>
      </c>
      <c r="F983" s="60" t="s">
        <v>3428</v>
      </c>
      <c r="H983" s="60" t="s">
        <v>4620</v>
      </c>
      <c r="I983" s="63">
        <v>0.5416666666666666</v>
      </c>
      <c r="J983" s="64"/>
      <c r="K983" s="60"/>
    </row>
    <row r="984">
      <c r="A984" s="51">
        <v>340.0</v>
      </c>
      <c r="B984" s="60" t="s">
        <v>3831</v>
      </c>
      <c r="C984" s="61"/>
      <c r="D984" s="61"/>
      <c r="E984" s="62" t="s">
        <v>3756</v>
      </c>
      <c r="F984" s="60" t="s">
        <v>3428</v>
      </c>
      <c r="H984" s="60" t="s">
        <v>4620</v>
      </c>
      <c r="I984" s="63">
        <v>0.5416666666666666</v>
      </c>
      <c r="J984" s="64"/>
      <c r="K984" s="60"/>
    </row>
    <row r="985">
      <c r="A985" s="51">
        <v>341.0</v>
      </c>
      <c r="B985" s="60" t="s">
        <v>3832</v>
      </c>
      <c r="C985" s="61"/>
      <c r="D985" s="61"/>
      <c r="E985" s="62" t="s">
        <v>3756</v>
      </c>
      <c r="F985" s="60" t="s">
        <v>3428</v>
      </c>
      <c r="H985" s="60" t="s">
        <v>4620</v>
      </c>
      <c r="I985" s="63">
        <v>0.5416666666666666</v>
      </c>
      <c r="J985" s="64"/>
      <c r="K985" s="60"/>
    </row>
    <row r="986">
      <c r="A986" s="51">
        <v>342.0</v>
      </c>
      <c r="B986" s="60" t="s">
        <v>3833</v>
      </c>
      <c r="C986" s="61"/>
      <c r="D986" s="61"/>
      <c r="E986" s="62" t="s">
        <v>3756</v>
      </c>
      <c r="F986" s="60" t="s">
        <v>3428</v>
      </c>
      <c r="H986" s="60" t="s">
        <v>4620</v>
      </c>
      <c r="I986" s="63">
        <v>0.5416666666666666</v>
      </c>
      <c r="J986" s="64"/>
      <c r="K986" s="60"/>
    </row>
    <row r="987">
      <c r="A987" s="51">
        <v>343.0</v>
      </c>
      <c r="B987" s="60" t="s">
        <v>3834</v>
      </c>
      <c r="C987" s="61"/>
      <c r="D987" s="61"/>
      <c r="E987" s="62" t="s">
        <v>3756</v>
      </c>
      <c r="F987" s="60" t="s">
        <v>3428</v>
      </c>
      <c r="H987" s="60" t="s">
        <v>4620</v>
      </c>
      <c r="I987" s="63">
        <v>0.5416666666666666</v>
      </c>
      <c r="J987" s="64"/>
      <c r="K987" s="60"/>
    </row>
    <row r="988">
      <c r="A988" s="51">
        <v>344.0</v>
      </c>
      <c r="B988" s="60" t="s">
        <v>3835</v>
      </c>
      <c r="C988" s="61"/>
      <c r="D988" s="61"/>
      <c r="E988" s="62" t="s">
        <v>3756</v>
      </c>
      <c r="F988" s="60" t="s">
        <v>3428</v>
      </c>
      <c r="H988" s="60" t="s">
        <v>4620</v>
      </c>
      <c r="I988" s="63">
        <v>0.5416666666666666</v>
      </c>
      <c r="J988" s="64"/>
      <c r="K988" s="60"/>
    </row>
    <row r="989">
      <c r="A989" s="51">
        <v>345.0</v>
      </c>
      <c r="B989" s="60" t="s">
        <v>3836</v>
      </c>
      <c r="C989" s="61"/>
      <c r="D989" s="61"/>
      <c r="E989" s="62" t="s">
        <v>3756</v>
      </c>
      <c r="F989" s="60" t="s">
        <v>3428</v>
      </c>
      <c r="H989" s="60" t="s">
        <v>4620</v>
      </c>
      <c r="I989" s="63">
        <v>0.5416666666666666</v>
      </c>
      <c r="J989" s="64"/>
      <c r="K989" s="60"/>
    </row>
    <row r="990">
      <c r="A990" s="51">
        <v>346.0</v>
      </c>
      <c r="B990" s="60" t="s">
        <v>3837</v>
      </c>
      <c r="C990" s="61"/>
      <c r="D990" s="61"/>
      <c r="E990" s="62" t="s">
        <v>3756</v>
      </c>
      <c r="F990" s="60" t="s">
        <v>3428</v>
      </c>
      <c r="H990" s="60" t="s">
        <v>4620</v>
      </c>
      <c r="I990" s="63">
        <v>0.5416666666666666</v>
      </c>
      <c r="J990" s="64"/>
      <c r="K990" s="60"/>
    </row>
    <row r="991">
      <c r="A991" s="51">
        <v>347.0</v>
      </c>
      <c r="B991" s="60" t="s">
        <v>3838</v>
      </c>
      <c r="C991" s="61"/>
      <c r="D991" s="61"/>
      <c r="E991" s="62" t="s">
        <v>3756</v>
      </c>
      <c r="F991" s="60" t="s">
        <v>3428</v>
      </c>
      <c r="H991" s="60" t="s">
        <v>4620</v>
      </c>
      <c r="I991" s="63">
        <v>0.5416666666666666</v>
      </c>
      <c r="J991" s="64"/>
      <c r="K991" s="60"/>
    </row>
    <row r="992">
      <c r="A992" s="51">
        <v>348.0</v>
      </c>
      <c r="B992" s="60" t="s">
        <v>3839</v>
      </c>
      <c r="C992" s="61"/>
      <c r="D992" s="61"/>
      <c r="E992" s="62" t="s">
        <v>3756</v>
      </c>
      <c r="F992" s="60" t="s">
        <v>3428</v>
      </c>
      <c r="H992" s="60" t="s">
        <v>4620</v>
      </c>
      <c r="I992" s="63">
        <v>0.5416666666666666</v>
      </c>
      <c r="J992" s="64"/>
      <c r="K992" s="60"/>
    </row>
    <row r="993">
      <c r="A993" s="51">
        <v>349.0</v>
      </c>
      <c r="B993" s="60" t="s">
        <v>3840</v>
      </c>
      <c r="C993" s="61"/>
      <c r="D993" s="61"/>
      <c r="E993" s="62" t="s">
        <v>3756</v>
      </c>
      <c r="F993" s="60" t="s">
        <v>3428</v>
      </c>
      <c r="H993" s="60" t="s">
        <v>4620</v>
      </c>
      <c r="I993" s="63">
        <v>0.5416666666666666</v>
      </c>
      <c r="J993" s="64"/>
      <c r="K993" s="60"/>
    </row>
    <row r="994">
      <c r="A994" s="51">
        <v>350.0</v>
      </c>
      <c r="B994" s="60" t="s">
        <v>3841</v>
      </c>
      <c r="C994" s="61"/>
      <c r="D994" s="61"/>
      <c r="E994" s="62" t="s">
        <v>3756</v>
      </c>
      <c r="F994" s="60" t="s">
        <v>3428</v>
      </c>
      <c r="H994" s="60" t="s">
        <v>4620</v>
      </c>
      <c r="I994" s="63">
        <v>0.5416666666666666</v>
      </c>
      <c r="J994" s="64"/>
      <c r="K994" s="60"/>
    </row>
    <row r="995">
      <c r="A995" s="51">
        <v>351.0</v>
      </c>
      <c r="B995" s="60" t="s">
        <v>3842</v>
      </c>
      <c r="C995" s="61"/>
      <c r="D995" s="61"/>
      <c r="E995" s="62" t="s">
        <v>3756</v>
      </c>
      <c r="F995" s="60" t="s">
        <v>3428</v>
      </c>
      <c r="H995" s="60" t="s">
        <v>4620</v>
      </c>
      <c r="I995" s="63">
        <v>0.5416666666666666</v>
      </c>
      <c r="J995" s="64"/>
      <c r="K995" s="60"/>
    </row>
    <row r="996">
      <c r="A996" s="51">
        <v>352.0</v>
      </c>
      <c r="B996" s="60" t="s">
        <v>3843</v>
      </c>
      <c r="C996" s="61"/>
      <c r="D996" s="61"/>
      <c r="E996" s="62" t="s">
        <v>3756</v>
      </c>
      <c r="F996" s="60" t="s">
        <v>3428</v>
      </c>
      <c r="H996" s="60" t="s">
        <v>4620</v>
      </c>
      <c r="I996" s="63">
        <v>0.5416666666666666</v>
      </c>
      <c r="J996" s="64"/>
      <c r="K996" s="60"/>
    </row>
    <row r="997">
      <c r="A997" s="51">
        <v>353.0</v>
      </c>
      <c r="B997" s="60" t="s">
        <v>3844</v>
      </c>
      <c r="C997" s="61"/>
      <c r="D997" s="61"/>
      <c r="E997" s="62" t="s">
        <v>3756</v>
      </c>
      <c r="F997" s="60" t="s">
        <v>3428</v>
      </c>
      <c r="H997" s="60" t="s">
        <v>4620</v>
      </c>
      <c r="I997" s="63">
        <v>0.5416666666666666</v>
      </c>
      <c r="J997" s="64"/>
      <c r="K997" s="60"/>
    </row>
    <row r="998">
      <c r="A998" s="51">
        <v>354.0</v>
      </c>
      <c r="B998" s="60" t="s">
        <v>3845</v>
      </c>
      <c r="C998" s="61"/>
      <c r="D998" s="61"/>
      <c r="E998" s="62" t="s">
        <v>3756</v>
      </c>
      <c r="F998" s="60" t="s">
        <v>3428</v>
      </c>
      <c r="H998" s="60" t="s">
        <v>4620</v>
      </c>
      <c r="I998" s="63">
        <v>0.5416666666666666</v>
      </c>
      <c r="J998" s="64"/>
      <c r="K998" s="60"/>
    </row>
    <row r="999">
      <c r="A999" s="51">
        <v>355.0</v>
      </c>
      <c r="B999" s="60" t="s">
        <v>3846</v>
      </c>
      <c r="C999" s="61"/>
      <c r="D999" s="61"/>
      <c r="E999" s="62" t="s">
        <v>3847</v>
      </c>
      <c r="F999" s="60" t="s">
        <v>3428</v>
      </c>
      <c r="H999" s="60" t="s">
        <v>4620</v>
      </c>
      <c r="I999" s="63">
        <v>0.5416666666666666</v>
      </c>
      <c r="J999" s="64"/>
      <c r="K999" s="60" t="s">
        <v>330</v>
      </c>
    </row>
    <row r="1000">
      <c r="A1000" s="51">
        <v>356.0</v>
      </c>
      <c r="B1000" s="60" t="s">
        <v>3848</v>
      </c>
      <c r="C1000" s="61"/>
      <c r="D1000" s="61"/>
      <c r="E1000" s="62" t="s">
        <v>3847</v>
      </c>
      <c r="F1000" s="60" t="s">
        <v>3428</v>
      </c>
      <c r="H1000" s="60" t="s">
        <v>4620</v>
      </c>
      <c r="I1000" s="63">
        <v>0.5416666666666666</v>
      </c>
      <c r="J1000" s="64"/>
      <c r="K1000" s="60" t="s">
        <v>330</v>
      </c>
    </row>
    <row r="1001">
      <c r="A1001" s="51">
        <v>357.0</v>
      </c>
      <c r="B1001" s="60" t="s">
        <v>3849</v>
      </c>
      <c r="C1001" s="61"/>
      <c r="D1001" s="61"/>
      <c r="E1001" s="62" t="s">
        <v>3847</v>
      </c>
      <c r="F1001" s="60" t="s">
        <v>3428</v>
      </c>
      <c r="H1001" s="60" t="s">
        <v>4620</v>
      </c>
      <c r="I1001" s="63">
        <v>0.5416666666666666</v>
      </c>
      <c r="J1001" s="64"/>
      <c r="K1001" s="60" t="s">
        <v>330</v>
      </c>
    </row>
    <row r="1002">
      <c r="A1002" s="51">
        <v>358.0</v>
      </c>
      <c r="B1002" s="60" t="s">
        <v>3850</v>
      </c>
      <c r="C1002" s="61"/>
      <c r="D1002" s="61"/>
      <c r="E1002" s="62" t="s">
        <v>3847</v>
      </c>
      <c r="F1002" s="60" t="s">
        <v>3428</v>
      </c>
      <c r="H1002" s="60" t="s">
        <v>4620</v>
      </c>
      <c r="I1002" s="63">
        <v>0.5416666666666666</v>
      </c>
      <c r="J1002" s="64"/>
      <c r="K1002" s="60" t="s">
        <v>3878</v>
      </c>
    </row>
    <row r="1003">
      <c r="A1003" s="51">
        <v>359.0</v>
      </c>
      <c r="B1003" s="60" t="s">
        <v>3851</v>
      </c>
      <c r="C1003" s="61"/>
      <c r="D1003" s="61"/>
      <c r="E1003" s="62" t="s">
        <v>3847</v>
      </c>
      <c r="F1003" s="60" t="s">
        <v>3428</v>
      </c>
      <c r="H1003" s="60" t="s">
        <v>4620</v>
      </c>
      <c r="I1003" s="63">
        <v>0.5416666666666666</v>
      </c>
      <c r="J1003" s="64"/>
      <c r="K1003" s="60" t="s">
        <v>1126</v>
      </c>
    </row>
    <row r="1004">
      <c r="A1004" s="51">
        <v>360.0</v>
      </c>
      <c r="B1004" s="60" t="s">
        <v>3852</v>
      </c>
      <c r="C1004" s="61"/>
      <c r="D1004" s="61"/>
      <c r="E1004" s="62" t="s">
        <v>3847</v>
      </c>
      <c r="F1004" s="60" t="s">
        <v>3428</v>
      </c>
      <c r="H1004" s="60" t="s">
        <v>4620</v>
      </c>
      <c r="I1004" s="63">
        <v>0.5416666666666666</v>
      </c>
      <c r="J1004" s="64"/>
      <c r="K1004" s="60" t="s">
        <v>1088</v>
      </c>
    </row>
    <row r="1005">
      <c r="A1005" s="51">
        <v>361.0</v>
      </c>
      <c r="B1005" s="60" t="s">
        <v>3853</v>
      </c>
      <c r="C1005" s="61"/>
      <c r="D1005" s="61"/>
      <c r="E1005" s="62" t="s">
        <v>3847</v>
      </c>
      <c r="F1005" s="60" t="s">
        <v>3428</v>
      </c>
      <c r="H1005" s="60" t="s">
        <v>4620</v>
      </c>
      <c r="I1005" s="63">
        <v>0.5416666666666666</v>
      </c>
      <c r="J1005" s="64"/>
      <c r="K1005" s="60" t="s">
        <v>986</v>
      </c>
    </row>
    <row r="1006">
      <c r="A1006" s="51">
        <v>362.0</v>
      </c>
      <c r="B1006" s="60" t="s">
        <v>3854</v>
      </c>
      <c r="C1006" s="61"/>
      <c r="D1006" s="61"/>
      <c r="E1006" s="62" t="s">
        <v>3847</v>
      </c>
      <c r="F1006" s="60" t="s">
        <v>3428</v>
      </c>
      <c r="H1006" s="60" t="s">
        <v>4620</v>
      </c>
      <c r="I1006" s="63">
        <v>0.5416666666666666</v>
      </c>
      <c r="J1006" s="64"/>
      <c r="K1006" s="60" t="s">
        <v>330</v>
      </c>
    </row>
    <row r="1007">
      <c r="A1007" s="51">
        <v>363.0</v>
      </c>
      <c r="B1007" s="60" t="s">
        <v>3855</v>
      </c>
      <c r="C1007" s="61"/>
      <c r="D1007" s="61"/>
      <c r="E1007" s="62" t="s">
        <v>3847</v>
      </c>
      <c r="F1007" s="60" t="s">
        <v>3428</v>
      </c>
      <c r="H1007" s="60" t="s">
        <v>4620</v>
      </c>
      <c r="I1007" s="63">
        <v>0.5416666666666666</v>
      </c>
      <c r="J1007" s="64"/>
      <c r="K1007" s="60" t="s">
        <v>330</v>
      </c>
    </row>
    <row r="1008">
      <c r="A1008" s="51">
        <v>364.0</v>
      </c>
      <c r="B1008" s="60" t="s">
        <v>3856</v>
      </c>
      <c r="C1008" s="61"/>
      <c r="D1008" s="61"/>
      <c r="E1008" s="62" t="s">
        <v>3847</v>
      </c>
      <c r="F1008" s="60" t="s">
        <v>3428</v>
      </c>
      <c r="H1008" s="60" t="s">
        <v>4620</v>
      </c>
      <c r="I1008" s="63">
        <v>0.5416666666666666</v>
      </c>
      <c r="J1008" s="64"/>
      <c r="K1008" s="60" t="s">
        <v>3885</v>
      </c>
    </row>
    <row r="1009">
      <c r="A1009" s="51">
        <v>365.0</v>
      </c>
      <c r="B1009" s="60" t="s">
        <v>3857</v>
      </c>
      <c r="C1009" s="61"/>
      <c r="D1009" s="61"/>
      <c r="E1009" s="62" t="s">
        <v>3847</v>
      </c>
      <c r="F1009" s="60" t="s">
        <v>3428</v>
      </c>
      <c r="H1009" s="60" t="s">
        <v>4620</v>
      </c>
      <c r="I1009" s="63">
        <v>0.5416666666666666</v>
      </c>
      <c r="J1009" s="64"/>
      <c r="K1009" s="60" t="s">
        <v>1126</v>
      </c>
    </row>
    <row r="1010">
      <c r="A1010" s="51">
        <v>366.0</v>
      </c>
      <c r="B1010" s="60" t="s">
        <v>3858</v>
      </c>
      <c r="C1010" s="61"/>
      <c r="D1010" s="61"/>
      <c r="E1010" s="62" t="s">
        <v>3847</v>
      </c>
      <c r="F1010" s="60" t="s">
        <v>3428</v>
      </c>
      <c r="H1010" s="60" t="s">
        <v>4620</v>
      </c>
      <c r="I1010" s="63">
        <v>0.5416666666666666</v>
      </c>
      <c r="J1010" s="64"/>
      <c r="K1010" s="60" t="s">
        <v>330</v>
      </c>
    </row>
    <row r="1011">
      <c r="A1011" s="51">
        <v>367.0</v>
      </c>
      <c r="B1011" s="60" t="s">
        <v>3859</v>
      </c>
      <c r="C1011" s="61"/>
      <c r="D1011" s="61"/>
      <c r="E1011" s="62" t="s">
        <v>3847</v>
      </c>
      <c r="F1011" s="60" t="s">
        <v>3428</v>
      </c>
      <c r="H1011" s="60" t="s">
        <v>4620</v>
      </c>
      <c r="I1011" s="63">
        <v>0.5416666666666666</v>
      </c>
      <c r="J1011" s="64"/>
      <c r="K1011" s="60" t="s">
        <v>3889</v>
      </c>
    </row>
    <row r="1012">
      <c r="A1012" s="51">
        <v>368.0</v>
      </c>
      <c r="B1012" s="60" t="s">
        <v>3860</v>
      </c>
      <c r="C1012" s="61"/>
      <c r="D1012" s="61"/>
      <c r="E1012" s="62" t="s">
        <v>3847</v>
      </c>
      <c r="F1012" s="60" t="s">
        <v>3428</v>
      </c>
      <c r="H1012" s="60" t="s">
        <v>4620</v>
      </c>
      <c r="I1012" s="63">
        <v>0.5416666666666666</v>
      </c>
      <c r="J1012" s="64"/>
      <c r="K1012" s="60" t="s">
        <v>330</v>
      </c>
    </row>
    <row r="1013">
      <c r="A1013" s="51">
        <v>369.0</v>
      </c>
      <c r="B1013" s="60" t="s">
        <v>3861</v>
      </c>
      <c r="C1013" s="61"/>
      <c r="D1013" s="61"/>
      <c r="E1013" s="62" t="s">
        <v>3847</v>
      </c>
      <c r="F1013" s="60" t="s">
        <v>3428</v>
      </c>
      <c r="H1013" s="60" t="s">
        <v>4620</v>
      </c>
      <c r="I1013" s="63">
        <v>0.5416666666666666</v>
      </c>
      <c r="J1013" s="64"/>
      <c r="K1013" s="60" t="s">
        <v>2860</v>
      </c>
    </row>
    <row r="1014">
      <c r="A1014" s="51">
        <v>370.0</v>
      </c>
      <c r="B1014" s="60" t="s">
        <v>3862</v>
      </c>
      <c r="C1014" s="61"/>
      <c r="D1014" s="61"/>
      <c r="E1014" s="62" t="s">
        <v>3847</v>
      </c>
      <c r="F1014" s="60" t="s">
        <v>3428</v>
      </c>
      <c r="H1014" s="60" t="s">
        <v>4620</v>
      </c>
      <c r="I1014" s="63">
        <v>0.5416666666666666</v>
      </c>
      <c r="J1014" s="64"/>
      <c r="K1014" s="60" t="s">
        <v>3893</v>
      </c>
    </row>
    <row r="1015">
      <c r="A1015" s="51">
        <v>371.0</v>
      </c>
      <c r="B1015" s="60" t="s">
        <v>3863</v>
      </c>
      <c r="C1015" s="61"/>
      <c r="D1015" s="61"/>
      <c r="E1015" s="62" t="s">
        <v>3847</v>
      </c>
      <c r="F1015" s="60" t="s">
        <v>3428</v>
      </c>
      <c r="H1015" s="60" t="s">
        <v>4620</v>
      </c>
      <c r="I1015" s="63">
        <v>0.5416666666666666</v>
      </c>
      <c r="J1015" s="64"/>
      <c r="K1015" s="60" t="s">
        <v>330</v>
      </c>
    </row>
    <row r="1016">
      <c r="A1016" s="51">
        <v>372.0</v>
      </c>
      <c r="B1016" s="60" t="s">
        <v>3864</v>
      </c>
      <c r="C1016" s="61"/>
      <c r="D1016" s="61"/>
      <c r="E1016" s="62" t="s">
        <v>3847</v>
      </c>
      <c r="F1016" s="60" t="s">
        <v>3428</v>
      </c>
      <c r="H1016" s="60" t="s">
        <v>4620</v>
      </c>
      <c r="I1016" s="63">
        <v>0.5416666666666666</v>
      </c>
      <c r="J1016" s="64"/>
      <c r="K1016" s="60" t="s">
        <v>3079</v>
      </c>
    </row>
    <row r="1017">
      <c r="A1017" s="51">
        <v>373.0</v>
      </c>
      <c r="B1017" s="60" t="s">
        <v>3865</v>
      </c>
      <c r="C1017" s="61"/>
      <c r="D1017" s="61"/>
      <c r="E1017" s="62" t="s">
        <v>3847</v>
      </c>
      <c r="F1017" s="60" t="s">
        <v>3428</v>
      </c>
      <c r="H1017" s="60" t="s">
        <v>4620</v>
      </c>
      <c r="I1017" s="63">
        <v>0.5416666666666666</v>
      </c>
      <c r="J1017" s="64"/>
      <c r="K1017" s="60" t="s">
        <v>330</v>
      </c>
    </row>
    <row r="1018">
      <c r="A1018" s="51">
        <v>374.0</v>
      </c>
      <c r="B1018" s="60" t="s">
        <v>3866</v>
      </c>
      <c r="C1018" s="61"/>
      <c r="D1018" s="61"/>
      <c r="E1018" s="62" t="s">
        <v>3847</v>
      </c>
      <c r="F1018" s="60" t="s">
        <v>3428</v>
      </c>
      <c r="H1018" s="60" t="s">
        <v>4620</v>
      </c>
      <c r="I1018" s="63">
        <v>0.5416666666666666</v>
      </c>
      <c r="J1018" s="64"/>
      <c r="K1018" s="60" t="s">
        <v>3898</v>
      </c>
    </row>
    <row r="1019">
      <c r="A1019" s="51">
        <v>375.0</v>
      </c>
      <c r="B1019" s="60" t="s">
        <v>3867</v>
      </c>
      <c r="C1019" s="61"/>
      <c r="D1019" s="61"/>
      <c r="E1019" s="62" t="s">
        <v>3847</v>
      </c>
      <c r="F1019" s="60" t="s">
        <v>3428</v>
      </c>
      <c r="H1019" s="60" t="s">
        <v>4620</v>
      </c>
      <c r="I1019" s="63">
        <v>0.5416666666666666</v>
      </c>
      <c r="J1019" s="64"/>
      <c r="K1019" s="60" t="s">
        <v>3795</v>
      </c>
    </row>
    <row r="1020">
      <c r="A1020" s="51">
        <v>376.0</v>
      </c>
      <c r="B1020" s="60" t="s">
        <v>3868</v>
      </c>
      <c r="C1020" s="61"/>
      <c r="D1020" s="61"/>
      <c r="E1020" s="62" t="s">
        <v>3847</v>
      </c>
      <c r="F1020" s="60" t="s">
        <v>3428</v>
      </c>
      <c r="H1020" s="60" t="s">
        <v>4620</v>
      </c>
      <c r="I1020" s="63">
        <v>0.5416666666666666</v>
      </c>
      <c r="J1020" s="64"/>
      <c r="K1020" s="60" t="s">
        <v>3901</v>
      </c>
    </row>
    <row r="1021">
      <c r="A1021" s="51">
        <v>377.0</v>
      </c>
      <c r="B1021" s="60" t="s">
        <v>3869</v>
      </c>
      <c r="C1021" s="61"/>
      <c r="D1021" s="61"/>
      <c r="E1021" s="62" t="s">
        <v>3847</v>
      </c>
      <c r="F1021" s="60" t="s">
        <v>3428</v>
      </c>
      <c r="H1021" s="60" t="s">
        <v>4620</v>
      </c>
      <c r="I1021" s="63">
        <v>0.5416666666666666</v>
      </c>
      <c r="J1021" s="64"/>
      <c r="K1021" s="60" t="s">
        <v>330</v>
      </c>
    </row>
    <row r="1022">
      <c r="A1022" s="51">
        <v>378.0</v>
      </c>
      <c r="B1022" s="60" t="s">
        <v>3870</v>
      </c>
      <c r="C1022" s="61"/>
      <c r="D1022" s="61"/>
      <c r="E1022" s="62" t="s">
        <v>3847</v>
      </c>
      <c r="F1022" s="60" t="s">
        <v>3428</v>
      </c>
      <c r="H1022" s="60" t="s">
        <v>4620</v>
      </c>
      <c r="I1022" s="63">
        <v>0.5416666666666666</v>
      </c>
      <c r="J1022" s="64"/>
      <c r="K1022" s="60" t="s">
        <v>3904</v>
      </c>
    </row>
    <row r="1023">
      <c r="A1023" s="51">
        <v>379.0</v>
      </c>
      <c r="B1023" s="60" t="s">
        <v>3871</v>
      </c>
      <c r="C1023" s="61"/>
      <c r="D1023" s="61"/>
      <c r="E1023" s="62" t="s">
        <v>3847</v>
      </c>
      <c r="F1023" s="60" t="s">
        <v>3428</v>
      </c>
      <c r="H1023" s="60" t="s">
        <v>4620</v>
      </c>
      <c r="I1023" s="63">
        <v>0.5416666666666666</v>
      </c>
      <c r="J1023" s="64"/>
      <c r="K1023" s="60" t="s">
        <v>3906</v>
      </c>
    </row>
    <row r="1024">
      <c r="A1024" s="51">
        <v>380.0</v>
      </c>
      <c r="B1024" s="60" t="s">
        <v>3872</v>
      </c>
      <c r="C1024" s="61"/>
      <c r="D1024" s="61"/>
      <c r="E1024" s="62" t="s">
        <v>3847</v>
      </c>
      <c r="F1024" s="60" t="s">
        <v>3428</v>
      </c>
      <c r="H1024" s="60" t="s">
        <v>4620</v>
      </c>
      <c r="I1024" s="63">
        <v>0.5416666666666666</v>
      </c>
      <c r="J1024" s="64"/>
      <c r="K1024" s="60" t="s">
        <v>3908</v>
      </c>
    </row>
    <row r="1025">
      <c r="A1025" s="51">
        <v>381.0</v>
      </c>
      <c r="B1025" s="60" t="s">
        <v>3873</v>
      </c>
      <c r="C1025" s="61"/>
      <c r="D1025" s="61"/>
      <c r="E1025" s="62" t="s">
        <v>3847</v>
      </c>
      <c r="F1025" s="60" t="s">
        <v>3428</v>
      </c>
      <c r="H1025" s="60" t="s">
        <v>4620</v>
      </c>
      <c r="I1025" s="63">
        <v>0.5416666666666666</v>
      </c>
      <c r="J1025" s="64"/>
      <c r="K1025" s="60" t="s">
        <v>3910</v>
      </c>
    </row>
    <row r="1026">
      <c r="A1026" s="51">
        <v>382.0</v>
      </c>
      <c r="B1026" s="60" t="s">
        <v>3874</v>
      </c>
      <c r="C1026" s="61"/>
      <c r="D1026" s="61"/>
      <c r="E1026" s="62" t="s">
        <v>3847</v>
      </c>
      <c r="F1026" s="60" t="s">
        <v>3428</v>
      </c>
      <c r="H1026" s="60" t="s">
        <v>4620</v>
      </c>
      <c r="I1026" s="63">
        <v>0.5416666666666666</v>
      </c>
      <c r="J1026" s="64"/>
      <c r="K1026" s="60" t="s">
        <v>3912</v>
      </c>
    </row>
    <row r="1027">
      <c r="A1027" s="51">
        <v>383.0</v>
      </c>
      <c r="B1027" s="60" t="s">
        <v>3875</v>
      </c>
      <c r="C1027" s="61"/>
      <c r="D1027" s="61"/>
      <c r="E1027" s="62" t="s">
        <v>3847</v>
      </c>
      <c r="F1027" s="60" t="s">
        <v>3428</v>
      </c>
      <c r="H1027" s="60" t="s">
        <v>4620</v>
      </c>
      <c r="I1027" s="63">
        <v>0.5416666666666666</v>
      </c>
      <c r="J1027" s="64"/>
      <c r="K1027" s="60" t="s">
        <v>3910</v>
      </c>
    </row>
    <row r="1028">
      <c r="A1028" s="51">
        <v>384.0</v>
      </c>
      <c r="B1028" s="60" t="s">
        <v>3876</v>
      </c>
      <c r="C1028" s="61"/>
      <c r="D1028" s="61"/>
      <c r="E1028" s="62" t="s">
        <v>3847</v>
      </c>
      <c r="F1028" s="60" t="s">
        <v>3428</v>
      </c>
      <c r="H1028" s="60" t="s">
        <v>4620</v>
      </c>
      <c r="I1028" s="63">
        <v>0.5416666666666666</v>
      </c>
      <c r="J1028" s="64"/>
      <c r="K1028" s="60" t="s">
        <v>1088</v>
      </c>
    </row>
    <row r="1029">
      <c r="A1029" s="51">
        <v>385.0</v>
      </c>
      <c r="B1029" s="60" t="s">
        <v>3877</v>
      </c>
      <c r="C1029" s="61"/>
      <c r="D1029" s="61"/>
      <c r="E1029" s="62" t="s">
        <v>3847</v>
      </c>
      <c r="F1029" s="60" t="s">
        <v>3428</v>
      </c>
      <c r="H1029" s="60" t="s">
        <v>4620</v>
      </c>
      <c r="I1029" s="63">
        <v>0.5416666666666666</v>
      </c>
      <c r="J1029" s="64"/>
      <c r="K1029" s="60" t="s">
        <v>330</v>
      </c>
    </row>
    <row r="1030">
      <c r="A1030" s="51">
        <v>386.0</v>
      </c>
      <c r="B1030" s="60" t="s">
        <v>3879</v>
      </c>
      <c r="C1030" s="61"/>
      <c r="D1030" s="61"/>
      <c r="E1030" s="62" t="s">
        <v>3847</v>
      </c>
      <c r="F1030" s="60" t="s">
        <v>3428</v>
      </c>
      <c r="H1030" s="60" t="s">
        <v>4620</v>
      </c>
      <c r="I1030" s="63">
        <v>0.5416666666666666</v>
      </c>
      <c r="J1030" s="64"/>
      <c r="K1030" s="60" t="s">
        <v>330</v>
      </c>
    </row>
    <row r="1031">
      <c r="A1031" s="51">
        <v>387.0</v>
      </c>
      <c r="B1031" s="60" t="s">
        <v>3880</v>
      </c>
      <c r="C1031" s="61"/>
      <c r="D1031" s="61"/>
      <c r="E1031" s="62" t="s">
        <v>3847</v>
      </c>
      <c r="F1031" s="60" t="s">
        <v>3428</v>
      </c>
      <c r="H1031" s="60" t="s">
        <v>4620</v>
      </c>
      <c r="I1031" s="63">
        <v>0.5416666666666666</v>
      </c>
      <c r="J1031" s="64"/>
      <c r="K1031" s="60" t="s">
        <v>330</v>
      </c>
    </row>
    <row r="1032">
      <c r="A1032" s="51">
        <v>388.0</v>
      </c>
      <c r="B1032" s="60" t="s">
        <v>3881</v>
      </c>
      <c r="C1032" s="61"/>
      <c r="D1032" s="61"/>
      <c r="E1032" s="62" t="s">
        <v>3847</v>
      </c>
      <c r="F1032" s="60" t="s">
        <v>3428</v>
      </c>
      <c r="H1032" s="60" t="s">
        <v>4620</v>
      </c>
      <c r="I1032" s="63">
        <v>0.5416666666666666</v>
      </c>
      <c r="J1032" s="64"/>
      <c r="K1032" s="60" t="s">
        <v>330</v>
      </c>
    </row>
    <row r="1033">
      <c r="A1033" s="51">
        <v>389.0</v>
      </c>
      <c r="B1033" s="60" t="s">
        <v>3882</v>
      </c>
      <c r="C1033" s="61"/>
      <c r="D1033" s="61"/>
      <c r="E1033" s="62" t="s">
        <v>3847</v>
      </c>
      <c r="F1033" s="60" t="s">
        <v>3428</v>
      </c>
      <c r="H1033" s="60" t="s">
        <v>4620</v>
      </c>
      <c r="I1033" s="63">
        <v>0.5416666666666666</v>
      </c>
      <c r="J1033" s="64"/>
      <c r="K1033" s="60" t="s">
        <v>3920</v>
      </c>
    </row>
    <row r="1034">
      <c r="A1034" s="51">
        <v>390.0</v>
      </c>
      <c r="B1034" s="60" t="s">
        <v>3883</v>
      </c>
      <c r="C1034" s="61"/>
      <c r="D1034" s="61"/>
      <c r="E1034" s="62" t="s">
        <v>3847</v>
      </c>
      <c r="F1034" s="60" t="s">
        <v>3428</v>
      </c>
      <c r="H1034" s="60" t="s">
        <v>4620</v>
      </c>
      <c r="I1034" s="63">
        <v>0.5416666666666666</v>
      </c>
      <c r="J1034" s="64"/>
      <c r="K1034" s="60" t="s">
        <v>3922</v>
      </c>
    </row>
    <row r="1035">
      <c r="A1035" s="51">
        <v>391.0</v>
      </c>
      <c r="B1035" s="60" t="s">
        <v>3884</v>
      </c>
      <c r="C1035" s="61"/>
      <c r="D1035" s="61"/>
      <c r="E1035" s="62" t="s">
        <v>3847</v>
      </c>
      <c r="F1035" s="60" t="s">
        <v>3428</v>
      </c>
      <c r="H1035" s="60" t="s">
        <v>4620</v>
      </c>
      <c r="I1035" s="63">
        <v>0.5416666666666666</v>
      </c>
      <c r="J1035" s="64"/>
      <c r="K1035" s="60" t="s">
        <v>3924</v>
      </c>
    </row>
    <row r="1036">
      <c r="A1036" s="51">
        <v>392.0</v>
      </c>
      <c r="B1036" s="60" t="s">
        <v>3886</v>
      </c>
      <c r="C1036" s="61"/>
      <c r="D1036" s="61"/>
      <c r="E1036" s="62" t="s">
        <v>3847</v>
      </c>
      <c r="F1036" s="60" t="s">
        <v>3428</v>
      </c>
      <c r="H1036" s="60" t="s">
        <v>4620</v>
      </c>
      <c r="I1036" s="63">
        <v>0.5416666666666666</v>
      </c>
      <c r="J1036" s="64"/>
      <c r="K1036" s="60" t="s">
        <v>3910</v>
      </c>
    </row>
    <row r="1037">
      <c r="A1037" s="51">
        <v>393.0</v>
      </c>
      <c r="B1037" s="60" t="s">
        <v>3887</v>
      </c>
      <c r="C1037" s="61"/>
      <c r="D1037" s="61"/>
      <c r="E1037" s="62" t="s">
        <v>3847</v>
      </c>
      <c r="F1037" s="60" t="s">
        <v>3428</v>
      </c>
      <c r="H1037" s="60" t="s">
        <v>4620</v>
      </c>
      <c r="I1037" s="63">
        <v>0.5416666666666666</v>
      </c>
      <c r="J1037" s="64"/>
      <c r="K1037" s="60" t="s">
        <v>3910</v>
      </c>
    </row>
    <row r="1038">
      <c r="A1038" s="51">
        <v>394.0</v>
      </c>
      <c r="B1038" s="60" t="s">
        <v>3888</v>
      </c>
      <c r="C1038" s="61"/>
      <c r="D1038" s="61"/>
      <c r="E1038" s="62" t="s">
        <v>3847</v>
      </c>
      <c r="F1038" s="60" t="s">
        <v>3428</v>
      </c>
      <c r="H1038" s="60" t="s">
        <v>4620</v>
      </c>
      <c r="I1038" s="63">
        <v>0.5416666666666666</v>
      </c>
      <c r="J1038" s="64"/>
      <c r="K1038" s="60" t="s">
        <v>3928</v>
      </c>
    </row>
    <row r="1039">
      <c r="A1039" s="51">
        <v>395.0</v>
      </c>
      <c r="B1039" s="60" t="s">
        <v>3890</v>
      </c>
      <c r="C1039" s="61"/>
      <c r="D1039" s="61"/>
      <c r="E1039" s="62" t="s">
        <v>3847</v>
      </c>
      <c r="F1039" s="60" t="s">
        <v>3428</v>
      </c>
      <c r="H1039" s="60" t="s">
        <v>4620</v>
      </c>
      <c r="I1039" s="63">
        <v>0.5416666666666666</v>
      </c>
      <c r="J1039" s="64"/>
      <c r="K1039" s="60" t="s">
        <v>3930</v>
      </c>
    </row>
    <row r="1040">
      <c r="A1040" s="51">
        <v>396.0</v>
      </c>
      <c r="B1040" s="60" t="s">
        <v>3891</v>
      </c>
      <c r="C1040" s="61"/>
      <c r="D1040" s="61"/>
      <c r="E1040" s="62" t="s">
        <v>3847</v>
      </c>
      <c r="F1040" s="60" t="s">
        <v>3428</v>
      </c>
      <c r="H1040" s="60" t="s">
        <v>4620</v>
      </c>
      <c r="I1040" s="63">
        <v>0.5416666666666666</v>
      </c>
      <c r="J1040" s="64"/>
      <c r="K1040" s="60" t="s">
        <v>330</v>
      </c>
    </row>
    <row r="1041">
      <c r="A1041" s="51">
        <v>397.0</v>
      </c>
      <c r="B1041" s="60" t="s">
        <v>3892</v>
      </c>
      <c r="C1041" s="61"/>
      <c r="D1041" s="61"/>
      <c r="E1041" s="62" t="s">
        <v>3847</v>
      </c>
      <c r="F1041" s="60" t="s">
        <v>3428</v>
      </c>
      <c r="H1041" s="60" t="s">
        <v>4620</v>
      </c>
      <c r="I1041" s="63">
        <v>0.5416666666666666</v>
      </c>
      <c r="J1041" s="64"/>
      <c r="K1041" s="60" t="s">
        <v>3933</v>
      </c>
    </row>
    <row r="1042">
      <c r="A1042" s="51">
        <v>398.0</v>
      </c>
      <c r="B1042" s="60" t="s">
        <v>3894</v>
      </c>
      <c r="C1042" s="61"/>
      <c r="D1042" s="61"/>
      <c r="E1042" s="62" t="s">
        <v>3847</v>
      </c>
      <c r="F1042" s="60" t="s">
        <v>3428</v>
      </c>
      <c r="H1042" s="60" t="s">
        <v>4620</v>
      </c>
      <c r="I1042" s="63">
        <v>0.5416666666666666</v>
      </c>
      <c r="J1042" s="64"/>
      <c r="K1042" s="60" t="s">
        <v>3908</v>
      </c>
    </row>
    <row r="1043">
      <c r="A1043" s="51">
        <v>399.0</v>
      </c>
      <c r="B1043" s="60" t="s">
        <v>3895</v>
      </c>
      <c r="C1043" s="61"/>
      <c r="D1043" s="61"/>
      <c r="E1043" s="62" t="s">
        <v>3847</v>
      </c>
      <c r="F1043" s="60" t="s">
        <v>3428</v>
      </c>
      <c r="H1043" s="60" t="s">
        <v>4620</v>
      </c>
      <c r="I1043" s="63">
        <v>0.5416666666666666</v>
      </c>
      <c r="J1043" s="64"/>
      <c r="K1043" s="60" t="s">
        <v>3933</v>
      </c>
    </row>
    <row r="1044">
      <c r="A1044" s="51">
        <v>400.0</v>
      </c>
      <c r="B1044" s="60" t="s">
        <v>3896</v>
      </c>
      <c r="C1044" s="61"/>
      <c r="D1044" s="61"/>
      <c r="E1044" s="62" t="s">
        <v>3847</v>
      </c>
      <c r="F1044" s="60" t="s">
        <v>3428</v>
      </c>
      <c r="H1044" s="60" t="s">
        <v>4620</v>
      </c>
      <c r="I1044" s="63">
        <v>0.5416666666666666</v>
      </c>
      <c r="J1044" s="64"/>
      <c r="K1044" s="60" t="s">
        <v>2861</v>
      </c>
    </row>
    <row r="1045">
      <c r="A1045" s="51">
        <v>401.0</v>
      </c>
      <c r="B1045" s="60" t="s">
        <v>3897</v>
      </c>
      <c r="C1045" s="61"/>
      <c r="D1045" s="61"/>
      <c r="E1045" s="62" t="s">
        <v>3847</v>
      </c>
      <c r="F1045" s="60" t="s">
        <v>3428</v>
      </c>
      <c r="H1045" s="60" t="s">
        <v>4620</v>
      </c>
      <c r="I1045" s="63">
        <v>0.5416666666666666</v>
      </c>
      <c r="J1045" s="64"/>
      <c r="K1045" s="60" t="s">
        <v>3928</v>
      </c>
    </row>
    <row r="1046">
      <c r="A1046" s="51">
        <v>402.0</v>
      </c>
      <c r="B1046" s="60" t="s">
        <v>3899</v>
      </c>
      <c r="C1046" s="61"/>
      <c r="D1046" s="61"/>
      <c r="E1046" s="62" t="s">
        <v>3847</v>
      </c>
      <c r="F1046" s="60" t="s">
        <v>3428</v>
      </c>
      <c r="H1046" s="60" t="s">
        <v>4620</v>
      </c>
      <c r="I1046" s="63">
        <v>0.5416666666666666</v>
      </c>
      <c r="J1046" s="64"/>
      <c r="K1046" s="60" t="s">
        <v>3910</v>
      </c>
    </row>
    <row r="1047">
      <c r="A1047" s="51">
        <v>403.0</v>
      </c>
      <c r="B1047" s="60" t="s">
        <v>3900</v>
      </c>
      <c r="C1047" s="61"/>
      <c r="D1047" s="61"/>
      <c r="E1047" s="62" t="s">
        <v>3847</v>
      </c>
      <c r="F1047" s="60" t="s">
        <v>3428</v>
      </c>
      <c r="H1047" s="60" t="s">
        <v>4620</v>
      </c>
      <c r="I1047" s="63">
        <v>0.5416666666666666</v>
      </c>
      <c r="J1047" s="64"/>
      <c r="K1047" s="60" t="s">
        <v>993</v>
      </c>
    </row>
    <row r="1048">
      <c r="A1048" s="51">
        <v>404.0</v>
      </c>
      <c r="B1048" s="60" t="s">
        <v>3902</v>
      </c>
      <c r="C1048" s="61"/>
      <c r="D1048" s="61"/>
      <c r="E1048" s="62" t="s">
        <v>3847</v>
      </c>
      <c r="F1048" s="60" t="s">
        <v>3428</v>
      </c>
      <c r="H1048" s="60" t="s">
        <v>4620</v>
      </c>
      <c r="I1048" s="63">
        <v>0.5416666666666666</v>
      </c>
      <c r="J1048" s="64"/>
      <c r="K1048" s="60" t="s">
        <v>3933</v>
      </c>
    </row>
    <row r="1049">
      <c r="A1049" s="51">
        <v>405.0</v>
      </c>
      <c r="B1049" s="60" t="s">
        <v>3903</v>
      </c>
      <c r="C1049" s="61"/>
      <c r="D1049" s="61"/>
      <c r="E1049" s="62" t="s">
        <v>3847</v>
      </c>
      <c r="F1049" s="60" t="s">
        <v>3428</v>
      </c>
      <c r="H1049" s="60" t="s">
        <v>4620</v>
      </c>
      <c r="I1049" s="63">
        <v>0.5416666666666666</v>
      </c>
      <c r="J1049" s="64"/>
      <c r="K1049" s="60" t="s">
        <v>3942</v>
      </c>
    </row>
    <row r="1050">
      <c r="A1050" s="51">
        <v>406.0</v>
      </c>
      <c r="B1050" s="60" t="s">
        <v>3905</v>
      </c>
      <c r="C1050" s="61"/>
      <c r="D1050" s="61"/>
      <c r="E1050" s="62" t="s">
        <v>3847</v>
      </c>
      <c r="F1050" s="60" t="s">
        <v>3428</v>
      </c>
      <c r="H1050" s="60" t="s">
        <v>4620</v>
      </c>
      <c r="I1050" s="63">
        <v>0.5416666666666666</v>
      </c>
      <c r="J1050" s="64"/>
      <c r="K1050" s="60" t="s">
        <v>375</v>
      </c>
    </row>
    <row r="1051">
      <c r="A1051" s="51">
        <v>407.0</v>
      </c>
      <c r="B1051" s="60" t="s">
        <v>3907</v>
      </c>
      <c r="C1051" s="61"/>
      <c r="D1051" s="61"/>
      <c r="E1051" s="62" t="s">
        <v>3847</v>
      </c>
      <c r="F1051" s="60" t="s">
        <v>3428</v>
      </c>
      <c r="H1051" s="60" t="s">
        <v>4620</v>
      </c>
      <c r="I1051" s="63">
        <v>0.5416666666666666</v>
      </c>
      <c r="J1051" s="64"/>
      <c r="K1051" s="60" t="s">
        <v>3787</v>
      </c>
    </row>
    <row r="1052">
      <c r="A1052" s="51">
        <v>408.0</v>
      </c>
      <c r="B1052" s="60" t="s">
        <v>3909</v>
      </c>
      <c r="C1052" s="61"/>
      <c r="D1052" s="61"/>
      <c r="E1052" s="62" t="s">
        <v>3847</v>
      </c>
      <c r="F1052" s="60" t="s">
        <v>3428</v>
      </c>
      <c r="H1052" s="60" t="s">
        <v>4620</v>
      </c>
      <c r="I1052" s="63">
        <v>0.5416666666666666</v>
      </c>
      <c r="J1052" s="64"/>
      <c r="K1052" s="60" t="s">
        <v>3928</v>
      </c>
    </row>
    <row r="1053">
      <c r="A1053" s="51">
        <v>409.0</v>
      </c>
      <c r="B1053" s="60" t="s">
        <v>3911</v>
      </c>
      <c r="C1053" s="61"/>
      <c r="D1053" s="61"/>
      <c r="E1053" s="62" t="s">
        <v>3847</v>
      </c>
      <c r="F1053" s="60" t="s">
        <v>3428</v>
      </c>
      <c r="H1053" s="60" t="s">
        <v>4620</v>
      </c>
      <c r="I1053" s="63">
        <v>0.5416666666666666</v>
      </c>
      <c r="J1053" s="64"/>
      <c r="K1053" s="60" t="s">
        <v>375</v>
      </c>
    </row>
    <row r="1054">
      <c r="A1054" s="51">
        <v>410.0</v>
      </c>
      <c r="B1054" s="60" t="s">
        <v>3913</v>
      </c>
      <c r="C1054" s="61"/>
      <c r="D1054" s="61"/>
      <c r="E1054" s="62" t="s">
        <v>3847</v>
      </c>
      <c r="F1054" s="60" t="s">
        <v>3428</v>
      </c>
      <c r="H1054" s="60" t="s">
        <v>4620</v>
      </c>
      <c r="I1054" s="63">
        <v>0.5416666666666666</v>
      </c>
      <c r="J1054" s="64"/>
      <c r="K1054" s="60" t="s">
        <v>3948</v>
      </c>
    </row>
    <row r="1055">
      <c r="A1055" s="51">
        <v>411.0</v>
      </c>
      <c r="B1055" s="60" t="s">
        <v>3914</v>
      </c>
      <c r="C1055" s="61"/>
      <c r="D1055" s="61"/>
      <c r="E1055" s="62" t="s">
        <v>3847</v>
      </c>
      <c r="F1055" s="60" t="s">
        <v>3428</v>
      </c>
      <c r="H1055" s="60" t="s">
        <v>4620</v>
      </c>
      <c r="I1055" s="63">
        <v>0.5416666666666666</v>
      </c>
      <c r="J1055" s="64"/>
      <c r="K1055" s="60" t="s">
        <v>3908</v>
      </c>
    </row>
    <row r="1056">
      <c r="A1056" s="51">
        <v>412.0</v>
      </c>
      <c r="B1056" s="60" t="s">
        <v>3915</v>
      </c>
      <c r="C1056" s="61"/>
      <c r="D1056" s="61"/>
      <c r="E1056" s="62" t="s">
        <v>3847</v>
      </c>
      <c r="F1056" s="60" t="s">
        <v>3428</v>
      </c>
      <c r="H1056" s="60" t="s">
        <v>4620</v>
      </c>
      <c r="I1056" s="63">
        <v>0.5416666666666666</v>
      </c>
      <c r="J1056" s="64"/>
      <c r="K1056" s="60" t="s">
        <v>3951</v>
      </c>
    </row>
    <row r="1057">
      <c r="A1057" s="51">
        <v>413.0</v>
      </c>
      <c r="B1057" s="60" t="s">
        <v>3916</v>
      </c>
      <c r="C1057" s="61"/>
      <c r="D1057" s="61"/>
      <c r="E1057" s="62" t="s">
        <v>3847</v>
      </c>
      <c r="F1057" s="60" t="s">
        <v>3428</v>
      </c>
      <c r="H1057" s="60" t="s">
        <v>4620</v>
      </c>
      <c r="I1057" s="63">
        <v>0.5416666666666666</v>
      </c>
      <c r="J1057" s="64"/>
      <c r="K1057" s="60" t="s">
        <v>330</v>
      </c>
    </row>
    <row r="1058">
      <c r="A1058" s="51">
        <v>414.0</v>
      </c>
      <c r="B1058" s="60" t="s">
        <v>3917</v>
      </c>
      <c r="C1058" s="61"/>
      <c r="D1058" s="61"/>
      <c r="E1058" s="62" t="s">
        <v>3847</v>
      </c>
      <c r="F1058" s="60" t="s">
        <v>3428</v>
      </c>
      <c r="H1058" s="60" t="s">
        <v>4620</v>
      </c>
      <c r="I1058" s="63">
        <v>0.5416666666666666</v>
      </c>
      <c r="J1058" s="64"/>
      <c r="K1058" s="60" t="s">
        <v>2861</v>
      </c>
    </row>
    <row r="1059">
      <c r="A1059" s="51">
        <v>415.0</v>
      </c>
      <c r="B1059" s="60" t="s">
        <v>3918</v>
      </c>
      <c r="C1059" s="61"/>
      <c r="D1059" s="61"/>
      <c r="E1059" s="62" t="s">
        <v>3847</v>
      </c>
      <c r="F1059" s="60" t="s">
        <v>3428</v>
      </c>
      <c r="H1059" s="60" t="s">
        <v>4620</v>
      </c>
      <c r="I1059" s="63">
        <v>0.5416666666666666</v>
      </c>
      <c r="J1059" s="64"/>
      <c r="K1059" s="60" t="s">
        <v>3955</v>
      </c>
    </row>
    <row r="1060">
      <c r="A1060" s="51">
        <v>416.0</v>
      </c>
      <c r="B1060" s="60" t="s">
        <v>3919</v>
      </c>
      <c r="C1060" s="61"/>
      <c r="D1060" s="61"/>
      <c r="E1060" s="62" t="s">
        <v>3847</v>
      </c>
      <c r="F1060" s="60" t="s">
        <v>3428</v>
      </c>
      <c r="H1060" s="60" t="s">
        <v>4620</v>
      </c>
      <c r="I1060" s="63">
        <v>0.5416666666666666</v>
      </c>
      <c r="J1060" s="64"/>
      <c r="K1060" s="60" t="s">
        <v>330</v>
      </c>
    </row>
    <row r="1061">
      <c r="A1061" s="51">
        <v>417.0</v>
      </c>
      <c r="B1061" s="60" t="s">
        <v>3921</v>
      </c>
      <c r="C1061" s="61"/>
      <c r="D1061" s="61"/>
      <c r="E1061" s="62" t="s">
        <v>3847</v>
      </c>
      <c r="F1061" s="60" t="s">
        <v>3428</v>
      </c>
      <c r="H1061" s="60" t="s">
        <v>4620</v>
      </c>
      <c r="I1061" s="63">
        <v>0.5416666666666666</v>
      </c>
      <c r="J1061" s="64"/>
      <c r="K1061" s="60" t="s">
        <v>3958</v>
      </c>
    </row>
    <row r="1062">
      <c r="A1062" s="51">
        <v>418.0</v>
      </c>
      <c r="B1062" s="60" t="s">
        <v>3923</v>
      </c>
      <c r="C1062" s="61"/>
      <c r="D1062" s="61"/>
      <c r="E1062" s="62" t="s">
        <v>3847</v>
      </c>
      <c r="F1062" s="60" t="s">
        <v>3428</v>
      </c>
      <c r="H1062" s="60" t="s">
        <v>4620</v>
      </c>
      <c r="I1062" s="63">
        <v>0.5416666666666666</v>
      </c>
      <c r="J1062" s="64"/>
      <c r="K1062" s="60" t="s">
        <v>3908</v>
      </c>
    </row>
    <row r="1063">
      <c r="A1063" s="51">
        <v>419.0</v>
      </c>
      <c r="B1063" s="60" t="s">
        <v>3925</v>
      </c>
      <c r="C1063" s="61"/>
      <c r="D1063" s="61"/>
      <c r="E1063" s="62" t="s">
        <v>3847</v>
      </c>
      <c r="F1063" s="60" t="s">
        <v>3428</v>
      </c>
      <c r="H1063" s="60" t="s">
        <v>4620</v>
      </c>
      <c r="I1063" s="63">
        <v>0.5416666666666666</v>
      </c>
      <c r="J1063" s="64"/>
      <c r="K1063" s="60" t="s">
        <v>330</v>
      </c>
    </row>
    <row r="1064">
      <c r="A1064" s="51">
        <v>420.0</v>
      </c>
      <c r="B1064" s="60" t="s">
        <v>3926</v>
      </c>
      <c r="C1064" s="61"/>
      <c r="D1064" s="61"/>
      <c r="E1064" s="62" t="s">
        <v>3847</v>
      </c>
      <c r="F1064" s="60" t="s">
        <v>3428</v>
      </c>
      <c r="H1064" s="60" t="s">
        <v>4620</v>
      </c>
      <c r="I1064" s="63">
        <v>0.5416666666666666</v>
      </c>
      <c r="J1064" s="64"/>
      <c r="K1064" s="60" t="s">
        <v>330</v>
      </c>
    </row>
    <row r="1065">
      <c r="A1065" s="51">
        <v>421.0</v>
      </c>
      <c r="B1065" s="60" t="s">
        <v>3927</v>
      </c>
      <c r="C1065" s="61"/>
      <c r="D1065" s="61"/>
      <c r="E1065" s="62" t="s">
        <v>3847</v>
      </c>
      <c r="F1065" s="60" t="s">
        <v>3428</v>
      </c>
      <c r="H1065" s="60" t="s">
        <v>4620</v>
      </c>
      <c r="I1065" s="63">
        <v>0.5416666666666666</v>
      </c>
      <c r="J1065" s="64"/>
      <c r="K1065" s="60" t="s">
        <v>330</v>
      </c>
    </row>
    <row r="1066">
      <c r="A1066" s="51">
        <v>422.0</v>
      </c>
      <c r="B1066" s="60" t="s">
        <v>3929</v>
      </c>
      <c r="C1066" s="61"/>
      <c r="D1066" s="61"/>
      <c r="E1066" s="62" t="s">
        <v>3847</v>
      </c>
      <c r="F1066" s="60" t="s">
        <v>3428</v>
      </c>
      <c r="H1066" s="60" t="s">
        <v>4620</v>
      </c>
      <c r="I1066" s="63">
        <v>0.5416666666666666</v>
      </c>
      <c r="J1066" s="64"/>
      <c r="K1066" s="60" t="s">
        <v>330</v>
      </c>
    </row>
    <row r="1067">
      <c r="A1067" s="51">
        <v>423.0</v>
      </c>
      <c r="B1067" s="60" t="s">
        <v>3931</v>
      </c>
      <c r="C1067" s="61"/>
      <c r="D1067" s="61"/>
      <c r="E1067" s="62" t="s">
        <v>3847</v>
      </c>
      <c r="F1067" s="60" t="s">
        <v>3428</v>
      </c>
      <c r="H1067" s="60" t="s">
        <v>4620</v>
      </c>
      <c r="I1067" s="63">
        <v>0.5416666666666666</v>
      </c>
      <c r="J1067" s="64"/>
      <c r="K1067" s="60" t="s">
        <v>330</v>
      </c>
    </row>
    <row r="1068">
      <c r="A1068" s="51">
        <v>424.0</v>
      </c>
      <c r="B1068" s="60" t="s">
        <v>3932</v>
      </c>
      <c r="C1068" s="61"/>
      <c r="D1068" s="61"/>
      <c r="E1068" s="62" t="s">
        <v>3847</v>
      </c>
      <c r="F1068" s="60" t="s">
        <v>3428</v>
      </c>
      <c r="H1068" s="60" t="s">
        <v>4620</v>
      </c>
      <c r="I1068" s="63">
        <v>0.5416666666666666</v>
      </c>
      <c r="J1068" s="64"/>
      <c r="K1068" s="60" t="s">
        <v>330</v>
      </c>
    </row>
    <row r="1069">
      <c r="A1069" s="51">
        <v>425.0</v>
      </c>
      <c r="B1069" s="60" t="s">
        <v>3934</v>
      </c>
      <c r="C1069" s="61"/>
      <c r="D1069" s="61"/>
      <c r="E1069" s="62" t="s">
        <v>3847</v>
      </c>
      <c r="F1069" s="60" t="s">
        <v>3428</v>
      </c>
      <c r="H1069" s="60" t="s">
        <v>4620</v>
      </c>
      <c r="I1069" s="63">
        <v>0.5416666666666666</v>
      </c>
      <c r="J1069" s="64"/>
      <c r="K1069" s="60" t="s">
        <v>330</v>
      </c>
    </row>
    <row r="1070">
      <c r="A1070" s="51">
        <v>426.0</v>
      </c>
      <c r="B1070" s="60" t="s">
        <v>3935</v>
      </c>
      <c r="C1070" s="61"/>
      <c r="D1070" s="61"/>
      <c r="E1070" s="62" t="s">
        <v>3847</v>
      </c>
      <c r="F1070" s="60" t="s">
        <v>3428</v>
      </c>
      <c r="H1070" s="60" t="s">
        <v>4620</v>
      </c>
      <c r="I1070" s="63">
        <v>0.5416666666666666</v>
      </c>
      <c r="J1070" s="64"/>
      <c r="K1070" s="60" t="s">
        <v>330</v>
      </c>
    </row>
    <row r="1071">
      <c r="A1071" s="51">
        <v>427.0</v>
      </c>
      <c r="B1071" s="60" t="s">
        <v>3936</v>
      </c>
      <c r="C1071" s="61"/>
      <c r="D1071" s="61"/>
      <c r="E1071" s="62" t="s">
        <v>3847</v>
      </c>
      <c r="F1071" s="60" t="s">
        <v>3428</v>
      </c>
      <c r="H1071" s="60" t="s">
        <v>4620</v>
      </c>
      <c r="I1071" s="63">
        <v>0.5416666666666666</v>
      </c>
      <c r="J1071" s="64"/>
      <c r="K1071" s="60" t="s">
        <v>3969</v>
      </c>
    </row>
    <row r="1072">
      <c r="A1072" s="51">
        <v>428.0</v>
      </c>
      <c r="B1072" s="60" t="s">
        <v>3937</v>
      </c>
      <c r="C1072" s="61"/>
      <c r="D1072" s="61"/>
      <c r="E1072" s="62" t="s">
        <v>3847</v>
      </c>
      <c r="F1072" s="60" t="s">
        <v>3428</v>
      </c>
      <c r="H1072" s="60" t="s">
        <v>4620</v>
      </c>
      <c r="I1072" s="63">
        <v>0.5416666666666666</v>
      </c>
      <c r="J1072" s="64"/>
      <c r="K1072" s="60" t="s">
        <v>3971</v>
      </c>
    </row>
    <row r="1073">
      <c r="A1073" s="51">
        <v>429.0</v>
      </c>
      <c r="B1073" s="60" t="s">
        <v>3938</v>
      </c>
      <c r="C1073" s="61"/>
      <c r="D1073" s="61"/>
      <c r="E1073" s="62" t="s">
        <v>3847</v>
      </c>
      <c r="F1073" s="60" t="s">
        <v>3428</v>
      </c>
      <c r="H1073" s="60" t="s">
        <v>4620</v>
      </c>
      <c r="I1073" s="63">
        <v>0.5416666666666666</v>
      </c>
      <c r="J1073" s="64"/>
      <c r="K1073" s="60" t="s">
        <v>3898</v>
      </c>
    </row>
    <row r="1074">
      <c r="A1074" s="51">
        <v>430.0</v>
      </c>
      <c r="B1074" s="60" t="s">
        <v>3939</v>
      </c>
      <c r="C1074" s="61"/>
      <c r="D1074" s="61"/>
      <c r="E1074" s="62" t="s">
        <v>3847</v>
      </c>
      <c r="F1074" s="60" t="s">
        <v>3428</v>
      </c>
      <c r="H1074" s="60" t="s">
        <v>4620</v>
      </c>
      <c r="I1074" s="63">
        <v>0.5416666666666666</v>
      </c>
      <c r="J1074" s="64"/>
      <c r="K1074" s="60" t="s">
        <v>330</v>
      </c>
    </row>
    <row r="1075">
      <c r="A1075" s="51">
        <v>431.0</v>
      </c>
      <c r="B1075" s="60" t="s">
        <v>3940</v>
      </c>
      <c r="C1075" s="61"/>
      <c r="D1075" s="61"/>
      <c r="E1075" s="62" t="s">
        <v>3847</v>
      </c>
      <c r="F1075" s="60" t="s">
        <v>3428</v>
      </c>
      <c r="H1075" s="60" t="s">
        <v>4620</v>
      </c>
      <c r="I1075" s="63">
        <v>0.5416666666666666</v>
      </c>
      <c r="J1075" s="64"/>
      <c r="K1075" s="60" t="s">
        <v>330</v>
      </c>
    </row>
    <row r="1076">
      <c r="A1076" s="51">
        <v>432.0</v>
      </c>
      <c r="B1076" s="60" t="s">
        <v>3941</v>
      </c>
      <c r="C1076" s="61"/>
      <c r="D1076" s="61"/>
      <c r="E1076" s="62" t="s">
        <v>3847</v>
      </c>
      <c r="F1076" s="60" t="s">
        <v>3428</v>
      </c>
      <c r="H1076" s="60" t="s">
        <v>4620</v>
      </c>
      <c r="I1076" s="63">
        <v>0.5416666666666666</v>
      </c>
      <c r="J1076" s="64"/>
      <c r="K1076" s="60" t="s">
        <v>330</v>
      </c>
    </row>
    <row r="1077">
      <c r="A1077" s="51">
        <v>433.0</v>
      </c>
      <c r="B1077" s="60" t="s">
        <v>3943</v>
      </c>
      <c r="C1077" s="61"/>
      <c r="D1077" s="61"/>
      <c r="E1077" s="62" t="s">
        <v>3847</v>
      </c>
      <c r="F1077" s="60" t="s">
        <v>3428</v>
      </c>
      <c r="H1077" s="60" t="s">
        <v>4620</v>
      </c>
      <c r="I1077" s="63">
        <v>0.5416666666666666</v>
      </c>
      <c r="J1077" s="64"/>
      <c r="K1077" s="60" t="s">
        <v>330</v>
      </c>
    </row>
    <row r="1078">
      <c r="A1078" s="51">
        <v>434.0</v>
      </c>
      <c r="B1078" s="60" t="s">
        <v>3944</v>
      </c>
      <c r="C1078" s="61"/>
      <c r="D1078" s="61"/>
      <c r="E1078" s="62" t="s">
        <v>3847</v>
      </c>
      <c r="F1078" s="60" t="s">
        <v>3428</v>
      </c>
      <c r="H1078" s="60" t="s">
        <v>4620</v>
      </c>
      <c r="I1078" s="63">
        <v>0.5416666666666666</v>
      </c>
      <c r="J1078" s="64"/>
      <c r="K1078" s="60" t="s">
        <v>3978</v>
      </c>
    </row>
    <row r="1079">
      <c r="A1079" s="51">
        <v>435.0</v>
      </c>
      <c r="B1079" s="60" t="s">
        <v>3945</v>
      </c>
      <c r="C1079" s="61"/>
      <c r="D1079" s="61"/>
      <c r="E1079" s="62" t="s">
        <v>3847</v>
      </c>
      <c r="F1079" s="60" t="s">
        <v>3428</v>
      </c>
      <c r="H1079" s="60" t="s">
        <v>4620</v>
      </c>
      <c r="I1079" s="63">
        <v>0.5416666666666666</v>
      </c>
      <c r="J1079" s="64"/>
      <c r="K1079" s="60" t="s">
        <v>3898</v>
      </c>
    </row>
    <row r="1080">
      <c r="A1080" s="51">
        <v>436.0</v>
      </c>
      <c r="B1080" s="60" t="s">
        <v>3946</v>
      </c>
      <c r="C1080" s="61"/>
      <c r="D1080" s="61"/>
      <c r="E1080" s="62" t="s">
        <v>3847</v>
      </c>
      <c r="F1080" s="60" t="s">
        <v>3428</v>
      </c>
      <c r="H1080" s="60" t="s">
        <v>4620</v>
      </c>
      <c r="I1080" s="63">
        <v>0.5416666666666666</v>
      </c>
      <c r="J1080" s="64"/>
      <c r="K1080" s="60" t="s">
        <v>3951</v>
      </c>
    </row>
    <row r="1081">
      <c r="A1081" s="51">
        <v>437.0</v>
      </c>
      <c r="B1081" s="60" t="s">
        <v>3947</v>
      </c>
      <c r="C1081" s="61"/>
      <c r="D1081" s="61"/>
      <c r="E1081" s="62" t="s">
        <v>3847</v>
      </c>
      <c r="F1081" s="60" t="s">
        <v>3428</v>
      </c>
      <c r="H1081" s="60" t="s">
        <v>4620</v>
      </c>
      <c r="I1081" s="63">
        <v>0.5416666666666666</v>
      </c>
      <c r="J1081" s="64"/>
      <c r="K1081" s="60" t="s">
        <v>3982</v>
      </c>
    </row>
    <row r="1082">
      <c r="A1082" s="51">
        <v>438.0</v>
      </c>
      <c r="B1082" s="60" t="s">
        <v>3949</v>
      </c>
      <c r="C1082" s="61"/>
      <c r="D1082" s="61"/>
      <c r="E1082" s="62" t="s">
        <v>3847</v>
      </c>
      <c r="F1082" s="60" t="s">
        <v>3428</v>
      </c>
      <c r="H1082" s="60" t="s">
        <v>4620</v>
      </c>
      <c r="I1082" s="63">
        <v>0.5416666666666666</v>
      </c>
      <c r="J1082" s="64"/>
      <c r="K1082" s="60" t="s">
        <v>330</v>
      </c>
    </row>
    <row r="1083">
      <c r="A1083" s="51">
        <v>439.0</v>
      </c>
      <c r="B1083" s="60" t="s">
        <v>3950</v>
      </c>
      <c r="C1083" s="61"/>
      <c r="D1083" s="61"/>
      <c r="E1083" s="62" t="s">
        <v>3847</v>
      </c>
      <c r="F1083" s="60" t="s">
        <v>3428</v>
      </c>
      <c r="H1083" s="60" t="s">
        <v>4620</v>
      </c>
      <c r="I1083" s="63">
        <v>0.5416666666666666</v>
      </c>
      <c r="J1083" s="64"/>
      <c r="K1083" s="60" t="s">
        <v>3985</v>
      </c>
    </row>
    <row r="1084">
      <c r="A1084" s="51">
        <v>440.0</v>
      </c>
      <c r="B1084" s="60" t="s">
        <v>3952</v>
      </c>
      <c r="C1084" s="61"/>
      <c r="D1084" s="61"/>
      <c r="E1084" s="62" t="s">
        <v>3847</v>
      </c>
      <c r="F1084" s="60" t="s">
        <v>3428</v>
      </c>
      <c r="H1084" s="60" t="s">
        <v>4620</v>
      </c>
      <c r="I1084" s="63">
        <v>0.5416666666666666</v>
      </c>
      <c r="J1084" s="64"/>
      <c r="K1084" s="60" t="s">
        <v>3987</v>
      </c>
    </row>
    <row r="1085">
      <c r="A1085" s="51">
        <v>441.0</v>
      </c>
      <c r="B1085" s="60" t="s">
        <v>3953</v>
      </c>
      <c r="C1085" s="61"/>
      <c r="D1085" s="61"/>
      <c r="E1085" s="62" t="s">
        <v>3847</v>
      </c>
      <c r="F1085" s="60" t="s">
        <v>3428</v>
      </c>
      <c r="H1085" s="60" t="s">
        <v>4620</v>
      </c>
      <c r="I1085" s="63">
        <v>0.5416666666666666</v>
      </c>
      <c r="J1085" s="64"/>
      <c r="K1085" s="60" t="s">
        <v>3987</v>
      </c>
    </row>
    <row r="1086">
      <c r="A1086" s="51">
        <v>442.0</v>
      </c>
      <c r="B1086" s="60" t="s">
        <v>3954</v>
      </c>
      <c r="C1086" s="61"/>
      <c r="D1086" s="61"/>
      <c r="E1086" s="62" t="s">
        <v>3847</v>
      </c>
      <c r="F1086" s="60" t="s">
        <v>3428</v>
      </c>
      <c r="H1086" s="60" t="s">
        <v>4620</v>
      </c>
      <c r="I1086" s="63">
        <v>0.5416666666666666</v>
      </c>
      <c r="J1086" s="64"/>
      <c r="K1086" s="60" t="s">
        <v>1126</v>
      </c>
    </row>
    <row r="1087">
      <c r="A1087" s="51">
        <v>443.0</v>
      </c>
      <c r="B1087" s="60" t="s">
        <v>3956</v>
      </c>
      <c r="C1087" s="61"/>
      <c r="D1087" s="61"/>
      <c r="E1087" s="62" t="s">
        <v>3847</v>
      </c>
      <c r="F1087" s="60" t="s">
        <v>3428</v>
      </c>
      <c r="H1087" s="60" t="s">
        <v>4620</v>
      </c>
      <c r="I1087" s="63">
        <v>0.5416666666666666</v>
      </c>
      <c r="J1087" s="64"/>
      <c r="K1087" s="60" t="s">
        <v>3991</v>
      </c>
    </row>
    <row r="1088">
      <c r="A1088" s="51">
        <v>444.0</v>
      </c>
      <c r="B1088" s="60" t="s">
        <v>3957</v>
      </c>
      <c r="C1088" s="61"/>
      <c r="D1088" s="61"/>
      <c r="E1088" s="62" t="s">
        <v>3847</v>
      </c>
      <c r="F1088" s="60" t="s">
        <v>3428</v>
      </c>
      <c r="H1088" s="60" t="s">
        <v>4620</v>
      </c>
      <c r="I1088" s="63">
        <v>0.5416666666666666</v>
      </c>
      <c r="J1088" s="64"/>
      <c r="K1088" s="60" t="s">
        <v>3993</v>
      </c>
    </row>
    <row r="1089">
      <c r="A1089" s="51">
        <v>445.0</v>
      </c>
      <c r="B1089" s="60" t="s">
        <v>3959</v>
      </c>
      <c r="C1089" s="61"/>
      <c r="D1089" s="61"/>
      <c r="E1089" s="62" t="s">
        <v>3847</v>
      </c>
      <c r="F1089" s="60" t="s">
        <v>3428</v>
      </c>
      <c r="H1089" s="60" t="s">
        <v>4620</v>
      </c>
      <c r="I1089" s="63">
        <v>0.5416666666666666</v>
      </c>
      <c r="J1089" s="64"/>
      <c r="K1089" s="60" t="s">
        <v>3995</v>
      </c>
    </row>
    <row r="1090">
      <c r="A1090" s="51">
        <v>446.0</v>
      </c>
      <c r="B1090" s="60" t="s">
        <v>3960</v>
      </c>
      <c r="C1090" s="61"/>
      <c r="D1090" s="61"/>
      <c r="E1090" s="62" t="s">
        <v>3847</v>
      </c>
      <c r="F1090" s="60" t="s">
        <v>3428</v>
      </c>
      <c r="H1090" s="60" t="s">
        <v>4620</v>
      </c>
      <c r="I1090" s="63">
        <v>0.5416666666666666</v>
      </c>
      <c r="J1090" s="64"/>
      <c r="K1090" s="60" t="s">
        <v>3997</v>
      </c>
    </row>
    <row r="1091">
      <c r="A1091" s="51">
        <v>447.0</v>
      </c>
      <c r="B1091" s="60" t="s">
        <v>3961</v>
      </c>
      <c r="C1091" s="61"/>
      <c r="D1091" s="61"/>
      <c r="E1091" s="62" t="s">
        <v>3847</v>
      </c>
      <c r="F1091" s="60" t="s">
        <v>3428</v>
      </c>
      <c r="H1091" s="60" t="s">
        <v>4620</v>
      </c>
      <c r="I1091" s="63">
        <v>0.5416666666666666</v>
      </c>
      <c r="J1091" s="64"/>
      <c r="K1091" s="60" t="s">
        <v>3999</v>
      </c>
    </row>
    <row r="1092">
      <c r="A1092" s="51">
        <v>448.0</v>
      </c>
      <c r="B1092" s="60" t="s">
        <v>3962</v>
      </c>
      <c r="C1092" s="61"/>
      <c r="D1092" s="61"/>
      <c r="E1092" s="62" t="s">
        <v>3847</v>
      </c>
      <c r="F1092" s="60" t="s">
        <v>3428</v>
      </c>
      <c r="H1092" s="60" t="s">
        <v>4620</v>
      </c>
      <c r="I1092" s="63">
        <v>0.5416666666666666</v>
      </c>
      <c r="J1092" s="64"/>
      <c r="K1092" s="60" t="s">
        <v>4001</v>
      </c>
    </row>
    <row r="1093">
      <c r="A1093" s="51">
        <v>449.0</v>
      </c>
      <c r="B1093" s="60" t="s">
        <v>3963</v>
      </c>
      <c r="C1093" s="61"/>
      <c r="D1093" s="61"/>
      <c r="E1093" s="62" t="s">
        <v>3847</v>
      </c>
      <c r="F1093" s="60" t="s">
        <v>3428</v>
      </c>
      <c r="H1093" s="60" t="s">
        <v>4620</v>
      </c>
      <c r="I1093" s="63">
        <v>0.5416666666666666</v>
      </c>
      <c r="J1093" s="64"/>
      <c r="K1093" s="60" t="s">
        <v>3933</v>
      </c>
    </row>
    <row r="1094">
      <c r="A1094" s="51">
        <v>450.0</v>
      </c>
      <c r="B1094" s="60" t="s">
        <v>3964</v>
      </c>
      <c r="C1094" s="61"/>
      <c r="D1094" s="61"/>
      <c r="E1094" s="62" t="s">
        <v>3847</v>
      </c>
      <c r="F1094" s="60" t="s">
        <v>3428</v>
      </c>
      <c r="H1094" s="60" t="s">
        <v>4620</v>
      </c>
      <c r="I1094" s="63">
        <v>0.5416666666666666</v>
      </c>
      <c r="J1094" s="64"/>
      <c r="K1094" s="60" t="s">
        <v>4004</v>
      </c>
    </row>
    <row r="1095">
      <c r="A1095" s="51">
        <v>451.0</v>
      </c>
      <c r="B1095" s="60" t="s">
        <v>3965</v>
      </c>
      <c r="C1095" s="61"/>
      <c r="D1095" s="61"/>
      <c r="E1095" s="62" t="s">
        <v>3847</v>
      </c>
      <c r="F1095" s="60" t="s">
        <v>3428</v>
      </c>
      <c r="H1095" s="60" t="s">
        <v>4620</v>
      </c>
      <c r="I1095" s="63">
        <v>0.5416666666666666</v>
      </c>
      <c r="J1095" s="64"/>
      <c r="K1095" s="60" t="s">
        <v>3787</v>
      </c>
    </row>
    <row r="1096">
      <c r="A1096" s="51">
        <v>452.0</v>
      </c>
      <c r="B1096" s="60" t="s">
        <v>3966</v>
      </c>
      <c r="C1096" s="61"/>
      <c r="D1096" s="61"/>
      <c r="E1096" s="62" t="s">
        <v>3847</v>
      </c>
      <c r="F1096" s="60" t="s">
        <v>3428</v>
      </c>
      <c r="H1096" s="60" t="s">
        <v>4620</v>
      </c>
      <c r="I1096" s="63">
        <v>0.5416666666666666</v>
      </c>
      <c r="J1096" s="64"/>
      <c r="K1096" s="60" t="s">
        <v>3787</v>
      </c>
    </row>
    <row r="1097">
      <c r="A1097" s="51">
        <v>453.0</v>
      </c>
      <c r="B1097" s="60" t="s">
        <v>3967</v>
      </c>
      <c r="C1097" s="61"/>
      <c r="D1097" s="61"/>
      <c r="E1097" s="62" t="s">
        <v>3847</v>
      </c>
      <c r="F1097" s="60" t="s">
        <v>3428</v>
      </c>
      <c r="H1097" s="60" t="s">
        <v>4620</v>
      </c>
      <c r="I1097" s="63">
        <v>0.5416666666666666</v>
      </c>
      <c r="J1097" s="64"/>
      <c r="K1097" s="60" t="s">
        <v>330</v>
      </c>
    </row>
    <row r="1098">
      <c r="A1098" s="51">
        <v>454.0</v>
      </c>
      <c r="B1098" s="60" t="s">
        <v>3968</v>
      </c>
      <c r="C1098" s="61"/>
      <c r="D1098" s="61"/>
      <c r="E1098" s="62" t="s">
        <v>3847</v>
      </c>
      <c r="F1098" s="60" t="s">
        <v>3428</v>
      </c>
      <c r="H1098" s="60" t="s">
        <v>4620</v>
      </c>
      <c r="I1098" s="63">
        <v>0.5416666666666666</v>
      </c>
      <c r="J1098" s="64"/>
      <c r="K1098" s="60" t="s">
        <v>4009</v>
      </c>
    </row>
    <row r="1099">
      <c r="A1099" s="51">
        <v>455.0</v>
      </c>
      <c r="B1099" s="60" t="s">
        <v>3970</v>
      </c>
      <c r="C1099" s="61"/>
      <c r="D1099" s="61"/>
      <c r="E1099" s="62" t="s">
        <v>3847</v>
      </c>
      <c r="F1099" s="60" t="s">
        <v>3428</v>
      </c>
      <c r="H1099" s="60" t="s">
        <v>4620</v>
      </c>
      <c r="I1099" s="63">
        <v>0.5416666666666666</v>
      </c>
      <c r="J1099" s="64"/>
      <c r="K1099" s="60" t="s">
        <v>330</v>
      </c>
    </row>
    <row r="1100">
      <c r="A1100" s="51">
        <v>456.0</v>
      </c>
      <c r="B1100" s="60" t="s">
        <v>3972</v>
      </c>
      <c r="C1100" s="61"/>
      <c r="D1100" s="61"/>
      <c r="E1100" s="62" t="s">
        <v>3847</v>
      </c>
      <c r="F1100" s="60" t="s">
        <v>3428</v>
      </c>
      <c r="H1100" s="60" t="s">
        <v>4620</v>
      </c>
      <c r="I1100" s="63">
        <v>0.5416666666666666</v>
      </c>
      <c r="J1100" s="64"/>
      <c r="K1100" s="60" t="s">
        <v>4012</v>
      </c>
    </row>
    <row r="1101">
      <c r="A1101" s="51">
        <v>457.0</v>
      </c>
      <c r="B1101" s="60" t="s">
        <v>3973</v>
      </c>
      <c r="C1101" s="61"/>
      <c r="D1101" s="61"/>
      <c r="E1101" s="62" t="s">
        <v>3847</v>
      </c>
      <c r="F1101" s="60" t="s">
        <v>3428</v>
      </c>
      <c r="H1101" s="60" t="s">
        <v>4620</v>
      </c>
      <c r="I1101" s="63">
        <v>0.5416666666666666</v>
      </c>
      <c r="J1101" s="64"/>
      <c r="K1101" s="60" t="s">
        <v>330</v>
      </c>
    </row>
    <row r="1102">
      <c r="A1102" s="51">
        <v>458.0</v>
      </c>
      <c r="B1102" s="60" t="s">
        <v>3974</v>
      </c>
      <c r="C1102" s="61"/>
      <c r="D1102" s="61"/>
      <c r="E1102" s="62" t="s">
        <v>3847</v>
      </c>
      <c r="F1102" s="60" t="s">
        <v>3428</v>
      </c>
      <c r="H1102" s="60" t="s">
        <v>4620</v>
      </c>
      <c r="I1102" s="63">
        <v>0.5416666666666666</v>
      </c>
      <c r="J1102" s="64"/>
      <c r="K1102" s="60" t="s">
        <v>3898</v>
      </c>
    </row>
    <row r="1103">
      <c r="A1103" s="51">
        <v>459.0</v>
      </c>
      <c r="B1103" s="60" t="s">
        <v>3975</v>
      </c>
      <c r="C1103" s="61"/>
      <c r="D1103" s="61"/>
      <c r="E1103" s="62" t="s">
        <v>3847</v>
      </c>
      <c r="F1103" s="60" t="s">
        <v>3428</v>
      </c>
      <c r="H1103" s="60" t="s">
        <v>4620</v>
      </c>
      <c r="I1103" s="63">
        <v>0.5416666666666666</v>
      </c>
      <c r="J1103" s="64"/>
      <c r="K1103" s="60" t="s">
        <v>4623</v>
      </c>
    </row>
    <row r="1104">
      <c r="A1104" s="51">
        <v>460.0</v>
      </c>
      <c r="B1104" s="60" t="s">
        <v>3976</v>
      </c>
      <c r="C1104" s="61"/>
      <c r="D1104" s="61"/>
      <c r="E1104" s="62" t="s">
        <v>3847</v>
      </c>
      <c r="F1104" s="60" t="s">
        <v>3428</v>
      </c>
      <c r="H1104" s="60" t="s">
        <v>4620</v>
      </c>
      <c r="I1104" s="63">
        <v>0.5416666666666666</v>
      </c>
      <c r="J1104" s="64"/>
      <c r="K1104" s="60" t="s">
        <v>330</v>
      </c>
    </row>
    <row r="1105">
      <c r="A1105" s="51">
        <v>461.0</v>
      </c>
      <c r="B1105" s="60" t="s">
        <v>3977</v>
      </c>
      <c r="C1105" s="61"/>
      <c r="D1105" s="61"/>
      <c r="E1105" s="62" t="s">
        <v>3847</v>
      </c>
      <c r="F1105" s="60" t="s">
        <v>3428</v>
      </c>
      <c r="H1105" s="60" t="s">
        <v>4620</v>
      </c>
      <c r="I1105" s="63">
        <v>0.5416666666666666</v>
      </c>
      <c r="J1105" s="64"/>
      <c r="K1105" s="60" t="s">
        <v>330</v>
      </c>
    </row>
    <row r="1106">
      <c r="A1106" s="51">
        <v>462.0</v>
      </c>
      <c r="B1106" s="60" t="s">
        <v>3979</v>
      </c>
      <c r="C1106" s="61"/>
      <c r="D1106" s="61"/>
      <c r="E1106" s="62" t="s">
        <v>3847</v>
      </c>
      <c r="F1106" s="60" t="s">
        <v>3428</v>
      </c>
      <c r="H1106" s="60" t="s">
        <v>4620</v>
      </c>
      <c r="I1106" s="63">
        <v>0.5416666666666666</v>
      </c>
      <c r="J1106" s="64"/>
      <c r="K1106" s="60" t="s">
        <v>330</v>
      </c>
    </row>
    <row r="1107">
      <c r="A1107" s="51">
        <v>463.0</v>
      </c>
      <c r="B1107" s="60" t="s">
        <v>3980</v>
      </c>
      <c r="C1107" s="61"/>
      <c r="D1107" s="61"/>
      <c r="E1107" s="62" t="s">
        <v>3847</v>
      </c>
      <c r="F1107" s="60" t="s">
        <v>3428</v>
      </c>
      <c r="H1107" s="60" t="s">
        <v>4620</v>
      </c>
      <c r="I1107" s="63">
        <v>0.5416666666666666</v>
      </c>
      <c r="J1107" s="64"/>
      <c r="K1107" s="60" t="s">
        <v>330</v>
      </c>
    </row>
    <row r="1108">
      <c r="A1108" s="51">
        <v>464.0</v>
      </c>
      <c r="B1108" s="60" t="s">
        <v>3865</v>
      </c>
      <c r="C1108" s="61"/>
      <c r="D1108" s="61"/>
      <c r="E1108" s="62" t="s">
        <v>3847</v>
      </c>
      <c r="F1108" s="60" t="s">
        <v>3428</v>
      </c>
      <c r="H1108" s="60" t="s">
        <v>4620</v>
      </c>
      <c r="I1108" s="63">
        <v>0.5416666666666666</v>
      </c>
      <c r="J1108" s="64"/>
      <c r="K1108" s="60" t="s">
        <v>3898</v>
      </c>
    </row>
    <row r="1109">
      <c r="A1109" s="51">
        <v>465.0</v>
      </c>
      <c r="B1109" s="60" t="s">
        <v>3981</v>
      </c>
      <c r="C1109" s="61"/>
      <c r="D1109" s="61"/>
      <c r="E1109" s="62" t="s">
        <v>3847</v>
      </c>
      <c r="F1109" s="60" t="s">
        <v>3428</v>
      </c>
      <c r="H1109" s="60" t="s">
        <v>4620</v>
      </c>
      <c r="I1109" s="63">
        <v>0.5416666666666666</v>
      </c>
      <c r="J1109" s="64"/>
      <c r="K1109" s="60" t="s">
        <v>4624</v>
      </c>
    </row>
    <row r="1110">
      <c r="A1110" s="51">
        <v>466.0</v>
      </c>
      <c r="B1110" s="60" t="s">
        <v>3983</v>
      </c>
      <c r="C1110" s="61"/>
      <c r="D1110" s="61"/>
      <c r="E1110" s="62" t="s">
        <v>3847</v>
      </c>
      <c r="F1110" s="60" t="s">
        <v>3428</v>
      </c>
      <c r="H1110" s="60" t="s">
        <v>4620</v>
      </c>
      <c r="I1110" s="63">
        <v>0.5416666666666666</v>
      </c>
      <c r="J1110" s="64"/>
      <c r="K1110" s="60" t="s">
        <v>4624</v>
      </c>
    </row>
    <row r="1111">
      <c r="A1111" s="51">
        <v>467.0</v>
      </c>
      <c r="B1111" s="60" t="s">
        <v>3984</v>
      </c>
      <c r="C1111" s="61"/>
      <c r="D1111" s="61"/>
      <c r="E1111" s="62" t="s">
        <v>3847</v>
      </c>
      <c r="F1111" s="60" t="s">
        <v>3428</v>
      </c>
      <c r="H1111" s="60" t="s">
        <v>4620</v>
      </c>
      <c r="I1111" s="63">
        <v>0.5416666666666666</v>
      </c>
      <c r="J1111" s="64"/>
      <c r="K1111" s="60" t="s">
        <v>4625</v>
      </c>
    </row>
    <row r="1112">
      <c r="A1112" s="51">
        <v>468.0</v>
      </c>
      <c r="B1112" s="60" t="s">
        <v>3986</v>
      </c>
      <c r="C1112" s="61"/>
      <c r="D1112" s="61"/>
      <c r="E1112" s="62" t="s">
        <v>3847</v>
      </c>
      <c r="F1112" s="60" t="s">
        <v>3428</v>
      </c>
      <c r="H1112" s="60" t="s">
        <v>4620</v>
      </c>
      <c r="I1112" s="63">
        <v>0.5416666666666666</v>
      </c>
      <c r="J1112" s="64"/>
      <c r="K1112" s="60" t="s">
        <v>4626</v>
      </c>
    </row>
    <row r="1113">
      <c r="A1113" s="51">
        <v>469.0</v>
      </c>
      <c r="B1113" s="60" t="s">
        <v>3988</v>
      </c>
      <c r="C1113" s="61"/>
      <c r="D1113" s="61"/>
      <c r="E1113" s="62" t="s">
        <v>3847</v>
      </c>
      <c r="F1113" s="60" t="s">
        <v>3428</v>
      </c>
      <c r="H1113" s="60" t="s">
        <v>4620</v>
      </c>
      <c r="I1113" s="63">
        <v>0.5416666666666666</v>
      </c>
      <c r="J1113" s="64"/>
      <c r="K1113" s="60" t="s">
        <v>330</v>
      </c>
    </row>
    <row r="1114">
      <c r="A1114" s="51">
        <v>470.0</v>
      </c>
      <c r="B1114" s="60" t="s">
        <v>3989</v>
      </c>
      <c r="C1114" s="61"/>
      <c r="D1114" s="61"/>
      <c r="E1114" s="62" t="s">
        <v>3847</v>
      </c>
      <c r="F1114" s="60" t="s">
        <v>3428</v>
      </c>
      <c r="H1114" s="60" t="s">
        <v>4620</v>
      </c>
      <c r="I1114" s="63">
        <v>0.5416666666666666</v>
      </c>
      <c r="J1114" s="64"/>
      <c r="K1114" s="60" t="s">
        <v>330</v>
      </c>
    </row>
    <row r="1115">
      <c r="A1115" s="51">
        <v>471.0</v>
      </c>
      <c r="B1115" s="60" t="s">
        <v>3990</v>
      </c>
      <c r="C1115" s="61"/>
      <c r="D1115" s="61"/>
      <c r="E1115" s="62" t="s">
        <v>3847</v>
      </c>
      <c r="F1115" s="60" t="s">
        <v>3428</v>
      </c>
      <c r="H1115" s="60" t="s">
        <v>4620</v>
      </c>
      <c r="I1115" s="63">
        <v>0.5416666666666666</v>
      </c>
      <c r="J1115" s="64"/>
      <c r="K1115" s="60" t="s">
        <v>4623</v>
      </c>
    </row>
    <row r="1116">
      <c r="A1116" s="51">
        <v>472.0</v>
      </c>
      <c r="B1116" s="60" t="s">
        <v>3992</v>
      </c>
      <c r="C1116" s="61"/>
      <c r="D1116" s="61"/>
      <c r="E1116" s="62" t="s">
        <v>3847</v>
      </c>
      <c r="F1116" s="60" t="s">
        <v>3428</v>
      </c>
      <c r="H1116" s="60" t="s">
        <v>4620</v>
      </c>
      <c r="I1116" s="63">
        <v>0.5416666666666666</v>
      </c>
      <c r="J1116" s="64"/>
      <c r="K1116" s="60" t="s">
        <v>3898</v>
      </c>
    </row>
    <row r="1117">
      <c r="A1117" s="51">
        <v>473.0</v>
      </c>
      <c r="B1117" s="60" t="s">
        <v>3994</v>
      </c>
      <c r="C1117" s="61"/>
      <c r="D1117" s="61"/>
      <c r="E1117" s="62" t="s">
        <v>3847</v>
      </c>
      <c r="F1117" s="60" t="s">
        <v>3428</v>
      </c>
      <c r="H1117" s="60" t="s">
        <v>4620</v>
      </c>
      <c r="I1117" s="63">
        <v>0.5416666666666666</v>
      </c>
      <c r="J1117" s="64"/>
      <c r="K1117" s="60" t="s">
        <v>4626</v>
      </c>
    </row>
    <row r="1118">
      <c r="A1118" s="51">
        <v>474.0</v>
      </c>
      <c r="B1118" s="60" t="s">
        <v>3996</v>
      </c>
      <c r="C1118" s="61"/>
      <c r="D1118" s="61"/>
      <c r="E1118" s="62" t="s">
        <v>3847</v>
      </c>
      <c r="F1118" s="60" t="s">
        <v>3428</v>
      </c>
      <c r="H1118" s="60" t="s">
        <v>4620</v>
      </c>
      <c r="I1118" s="63">
        <v>0.5416666666666666</v>
      </c>
      <c r="J1118" s="64"/>
      <c r="K1118" s="60" t="s">
        <v>4626</v>
      </c>
    </row>
    <row r="1119">
      <c r="A1119" s="51">
        <v>475.0</v>
      </c>
      <c r="B1119" s="60" t="s">
        <v>3998</v>
      </c>
      <c r="C1119" s="61"/>
      <c r="D1119" s="61"/>
      <c r="E1119" s="62" t="s">
        <v>3847</v>
      </c>
      <c r="F1119" s="60" t="s">
        <v>3428</v>
      </c>
      <c r="H1119" s="60" t="s">
        <v>4620</v>
      </c>
      <c r="I1119" s="63">
        <v>0.5416666666666666</v>
      </c>
      <c r="J1119" s="64"/>
      <c r="K1119" s="60" t="s">
        <v>4627</v>
      </c>
    </row>
    <row r="1120">
      <c r="A1120" s="51">
        <v>476.0</v>
      </c>
      <c r="B1120" s="60" t="s">
        <v>4000</v>
      </c>
      <c r="C1120" s="61"/>
      <c r="D1120" s="61"/>
      <c r="E1120" s="62" t="s">
        <v>3847</v>
      </c>
      <c r="F1120" s="60" t="s">
        <v>3428</v>
      </c>
      <c r="H1120" s="60" t="s">
        <v>4620</v>
      </c>
      <c r="I1120" s="63">
        <v>0.5416666666666666</v>
      </c>
      <c r="J1120" s="64"/>
      <c r="K1120" s="60" t="s">
        <v>330</v>
      </c>
    </row>
    <row r="1121">
      <c r="A1121" s="51">
        <v>477.0</v>
      </c>
      <c r="B1121" s="60" t="s">
        <v>4002</v>
      </c>
      <c r="C1121" s="61"/>
      <c r="D1121" s="61"/>
      <c r="E1121" s="62" t="s">
        <v>3847</v>
      </c>
      <c r="F1121" s="60" t="s">
        <v>3428</v>
      </c>
      <c r="H1121" s="60" t="s">
        <v>4620</v>
      </c>
      <c r="I1121" s="63">
        <v>0.5416666666666666</v>
      </c>
      <c r="J1121" s="64"/>
      <c r="K1121" s="60" t="s">
        <v>4626</v>
      </c>
    </row>
    <row r="1122">
      <c r="A1122" s="51">
        <v>478.0</v>
      </c>
      <c r="B1122" s="60" t="s">
        <v>4003</v>
      </c>
      <c r="C1122" s="61"/>
      <c r="D1122" s="61"/>
      <c r="E1122" s="62" t="s">
        <v>3847</v>
      </c>
      <c r="F1122" s="60" t="s">
        <v>3428</v>
      </c>
      <c r="H1122" s="60" t="s">
        <v>4620</v>
      </c>
      <c r="I1122" s="63">
        <v>0.5416666666666666</v>
      </c>
      <c r="J1122" s="64"/>
      <c r="K1122" s="60" t="s">
        <v>330</v>
      </c>
    </row>
    <row r="1123">
      <c r="A1123" s="51">
        <v>479.0</v>
      </c>
      <c r="B1123" s="60" t="s">
        <v>4005</v>
      </c>
      <c r="C1123" s="61"/>
      <c r="D1123" s="61"/>
      <c r="E1123" s="62" t="s">
        <v>3847</v>
      </c>
      <c r="F1123" s="60" t="s">
        <v>3428</v>
      </c>
      <c r="H1123" s="60" t="s">
        <v>4620</v>
      </c>
      <c r="I1123" s="63">
        <v>0.5416666666666666</v>
      </c>
      <c r="J1123" s="64"/>
      <c r="K1123" s="60" t="s">
        <v>330</v>
      </c>
    </row>
    <row r="1124">
      <c r="A1124" s="51">
        <v>480.0</v>
      </c>
      <c r="B1124" s="60" t="s">
        <v>4006</v>
      </c>
      <c r="C1124" s="61"/>
      <c r="D1124" s="61"/>
      <c r="E1124" s="62" t="s">
        <v>3847</v>
      </c>
      <c r="F1124" s="60" t="s">
        <v>3428</v>
      </c>
      <c r="H1124" s="60" t="s">
        <v>4620</v>
      </c>
      <c r="I1124" s="63">
        <v>0.5416666666666666</v>
      </c>
      <c r="J1124" s="64"/>
      <c r="K1124" s="60" t="s">
        <v>4624</v>
      </c>
    </row>
    <row r="1125">
      <c r="A1125" s="51">
        <v>481.0</v>
      </c>
      <c r="B1125" s="60" t="s">
        <v>4007</v>
      </c>
      <c r="C1125" s="61"/>
      <c r="D1125" s="61"/>
      <c r="E1125" s="62" t="s">
        <v>3847</v>
      </c>
      <c r="F1125" s="60" t="s">
        <v>3428</v>
      </c>
      <c r="H1125" s="60" t="s">
        <v>4620</v>
      </c>
      <c r="I1125" s="63">
        <v>0.5416666666666666</v>
      </c>
      <c r="J1125" s="64"/>
      <c r="K1125" s="60" t="s">
        <v>4624</v>
      </c>
    </row>
    <row r="1126">
      <c r="A1126" s="51">
        <v>482.0</v>
      </c>
      <c r="B1126" s="60" t="s">
        <v>4008</v>
      </c>
      <c r="C1126" s="61"/>
      <c r="D1126" s="61"/>
      <c r="E1126" s="62" t="s">
        <v>3847</v>
      </c>
      <c r="F1126" s="60" t="s">
        <v>3428</v>
      </c>
      <c r="H1126" s="60" t="s">
        <v>4620</v>
      </c>
      <c r="I1126" s="63">
        <v>0.5416666666666666</v>
      </c>
      <c r="J1126" s="64"/>
      <c r="K1126" s="60" t="s">
        <v>4624</v>
      </c>
    </row>
    <row r="1127">
      <c r="A1127" s="51">
        <v>483.0</v>
      </c>
      <c r="B1127" s="60" t="s">
        <v>4010</v>
      </c>
      <c r="C1127" s="61"/>
      <c r="D1127" s="61"/>
      <c r="E1127" s="62" t="s">
        <v>3847</v>
      </c>
      <c r="F1127" s="60" t="s">
        <v>3428</v>
      </c>
      <c r="H1127" s="60" t="s">
        <v>4620</v>
      </c>
      <c r="I1127" s="63">
        <v>0.5416666666666666</v>
      </c>
      <c r="J1127" s="64"/>
      <c r="K1127" s="60" t="s">
        <v>4628</v>
      </c>
    </row>
    <row r="1128">
      <c r="A1128" s="51">
        <v>484.0</v>
      </c>
      <c r="B1128" s="60" t="s">
        <v>4011</v>
      </c>
      <c r="C1128" s="61"/>
      <c r="D1128" s="61"/>
      <c r="E1128" s="62" t="s">
        <v>3847</v>
      </c>
      <c r="F1128" s="60" t="s">
        <v>3428</v>
      </c>
      <c r="H1128" s="60" t="s">
        <v>4620</v>
      </c>
      <c r="I1128" s="63">
        <v>0.5416666666666666</v>
      </c>
      <c r="J1128" s="64"/>
      <c r="K1128" s="60" t="s">
        <v>1126</v>
      </c>
    </row>
    <row r="1129">
      <c r="A1129" s="51"/>
      <c r="B1129" s="60"/>
      <c r="C1129" s="61"/>
      <c r="D1129" s="61"/>
      <c r="E1129" s="62"/>
      <c r="F1129" s="60"/>
      <c r="H1129" s="60"/>
      <c r="I1129" s="63"/>
      <c r="J1129" s="64"/>
      <c r="K1129" s="60"/>
    </row>
    <row r="1130">
      <c r="A1130" s="67">
        <v>1.0</v>
      </c>
      <c r="B1130" s="60" t="s">
        <v>3730</v>
      </c>
      <c r="C1130" s="60" t="s">
        <v>1126</v>
      </c>
      <c r="D1130" s="60" t="s">
        <v>3739</v>
      </c>
      <c r="E1130" s="64"/>
      <c r="H1130" s="60"/>
      <c r="I1130" s="63"/>
      <c r="J1130" s="64"/>
      <c r="K1130" s="60"/>
    </row>
    <row r="1131">
      <c r="A1131" s="67">
        <v>2.0</v>
      </c>
      <c r="B1131" s="60" t="s">
        <v>4629</v>
      </c>
      <c r="C1131" s="60" t="s">
        <v>1088</v>
      </c>
      <c r="D1131" s="60" t="s">
        <v>3750</v>
      </c>
      <c r="E1131" s="64"/>
      <c r="H1131" s="60"/>
      <c r="I1131" s="63"/>
      <c r="J1131" s="64"/>
      <c r="K1131" s="60"/>
    </row>
    <row r="1132">
      <c r="A1132" s="67">
        <v>3.0</v>
      </c>
      <c r="B1132" s="60" t="s">
        <v>4630</v>
      </c>
      <c r="C1132" s="60" t="s">
        <v>1126</v>
      </c>
      <c r="D1132" s="60" t="s">
        <v>3716</v>
      </c>
      <c r="E1132" s="64"/>
      <c r="H1132" s="60"/>
      <c r="I1132" s="63"/>
      <c r="J1132" s="64"/>
      <c r="K1132" s="60"/>
    </row>
    <row r="1133">
      <c r="A1133" s="67">
        <v>4.0</v>
      </c>
      <c r="B1133" s="60" t="s">
        <v>4631</v>
      </c>
      <c r="C1133" s="60" t="s">
        <v>330</v>
      </c>
      <c r="D1133" s="60" t="s">
        <v>4632</v>
      </c>
      <c r="E1133" s="60" t="s">
        <v>4633</v>
      </c>
      <c r="H1133" s="60"/>
      <c r="I1133" s="63"/>
      <c r="J1133" s="64"/>
      <c r="K1133" s="60"/>
    </row>
    <row r="1134">
      <c r="A1134" s="67">
        <v>5.0</v>
      </c>
      <c r="B1134" s="60" t="s">
        <v>4634</v>
      </c>
      <c r="C1134" s="60" t="s">
        <v>1126</v>
      </c>
      <c r="D1134" s="60" t="s">
        <v>3719</v>
      </c>
      <c r="E1134" s="60" t="s">
        <v>4633</v>
      </c>
      <c r="H1134" s="60"/>
      <c r="I1134" s="63"/>
      <c r="J1134" s="64"/>
      <c r="K1134" s="60"/>
    </row>
    <row r="1135">
      <c r="A1135" s="67">
        <v>6.0</v>
      </c>
      <c r="B1135" s="60" t="s">
        <v>4635</v>
      </c>
      <c r="C1135" s="60" t="s">
        <v>1126</v>
      </c>
      <c r="D1135" s="60" t="s">
        <v>4636</v>
      </c>
      <c r="E1135" s="60" t="s">
        <v>4633</v>
      </c>
      <c r="H1135" s="60"/>
      <c r="I1135" s="63"/>
      <c r="J1135" s="64"/>
      <c r="K1135" s="60"/>
    </row>
    <row r="1136">
      <c r="A1136" s="67">
        <v>7.0</v>
      </c>
      <c r="B1136" s="60" t="s">
        <v>4637</v>
      </c>
      <c r="C1136" s="60" t="s">
        <v>330</v>
      </c>
      <c r="D1136" s="60" t="s">
        <v>3721</v>
      </c>
      <c r="E1136" s="64"/>
      <c r="H1136" s="60"/>
      <c r="I1136" s="63"/>
      <c r="J1136" s="64"/>
      <c r="K1136" s="60"/>
    </row>
    <row r="1137">
      <c r="A1137" s="67">
        <v>8.0</v>
      </c>
      <c r="B1137" s="60" t="s">
        <v>4638</v>
      </c>
      <c r="C1137" s="60" t="s">
        <v>375</v>
      </c>
      <c r="D1137" s="60" t="s">
        <v>3721</v>
      </c>
      <c r="E1137" s="64"/>
      <c r="H1137" s="60"/>
      <c r="I1137" s="63"/>
      <c r="J1137" s="64"/>
      <c r="K1137" s="60"/>
    </row>
    <row r="1138">
      <c r="A1138" s="67">
        <v>9.0</v>
      </c>
      <c r="B1138" s="60" t="s">
        <v>4639</v>
      </c>
      <c r="C1138" s="60" t="s">
        <v>330</v>
      </c>
      <c r="D1138" s="60" t="s">
        <v>3721</v>
      </c>
      <c r="E1138" s="64"/>
      <c r="H1138" s="60"/>
      <c r="I1138" s="63"/>
      <c r="J1138" s="64"/>
      <c r="K1138" s="60"/>
    </row>
    <row r="1139">
      <c r="A1139" s="67">
        <v>10.0</v>
      </c>
      <c r="B1139" s="60" t="s">
        <v>4640</v>
      </c>
      <c r="C1139" s="60" t="s">
        <v>1088</v>
      </c>
      <c r="D1139" s="60" t="s">
        <v>3719</v>
      </c>
      <c r="E1139" s="60" t="s">
        <v>4350</v>
      </c>
      <c r="H1139" s="60"/>
      <c r="I1139" s="63"/>
      <c r="J1139" s="64"/>
      <c r="K1139" s="60"/>
    </row>
    <row r="1140">
      <c r="A1140" s="67">
        <v>11.0</v>
      </c>
      <c r="B1140" s="60" t="s">
        <v>4641</v>
      </c>
      <c r="C1140" s="60" t="s">
        <v>375</v>
      </c>
      <c r="D1140" s="60" t="s">
        <v>3721</v>
      </c>
      <c r="E1140" s="64"/>
      <c r="H1140" s="60"/>
      <c r="I1140" s="63"/>
      <c r="J1140" s="64"/>
      <c r="K1140" s="60"/>
    </row>
    <row r="1141">
      <c r="A1141" s="67">
        <v>12.0</v>
      </c>
      <c r="B1141" s="60" t="s">
        <v>4642</v>
      </c>
      <c r="C1141" s="60" t="s">
        <v>375</v>
      </c>
      <c r="D1141" s="60" t="s">
        <v>4643</v>
      </c>
      <c r="E1141" s="60" t="s">
        <v>4633</v>
      </c>
      <c r="H1141" s="60"/>
      <c r="I1141" s="63"/>
      <c r="J1141" s="64"/>
      <c r="K1141" s="60"/>
    </row>
    <row r="1142">
      <c r="A1142" s="67">
        <v>13.0</v>
      </c>
      <c r="B1142" s="60" t="s">
        <v>4644</v>
      </c>
      <c r="C1142" s="60" t="s">
        <v>4645</v>
      </c>
      <c r="D1142" s="60" t="s">
        <v>3739</v>
      </c>
      <c r="E1142" s="64"/>
      <c r="H1142" s="60"/>
      <c r="I1142" s="63"/>
      <c r="J1142" s="64"/>
      <c r="K1142" s="60"/>
    </row>
    <row r="1143">
      <c r="A1143" s="67">
        <v>14.0</v>
      </c>
      <c r="B1143" s="60" t="s">
        <v>4646</v>
      </c>
      <c r="C1143" s="60" t="s">
        <v>330</v>
      </c>
      <c r="D1143" s="60" t="s">
        <v>3728</v>
      </c>
      <c r="E1143" s="64"/>
      <c r="H1143" s="60"/>
      <c r="I1143" s="63"/>
      <c r="J1143" s="64"/>
      <c r="K1143" s="60"/>
    </row>
    <row r="1144">
      <c r="A1144" s="67">
        <v>15.0</v>
      </c>
      <c r="B1144" s="60" t="s">
        <v>4647</v>
      </c>
      <c r="C1144" s="60" t="s">
        <v>330</v>
      </c>
      <c r="D1144" s="60" t="s">
        <v>3750</v>
      </c>
      <c r="E1144" s="64"/>
      <c r="H1144" s="60"/>
      <c r="I1144" s="63"/>
      <c r="J1144" s="64"/>
      <c r="K1144" s="60"/>
    </row>
    <row r="1145">
      <c r="A1145" s="67">
        <v>16.0</v>
      </c>
      <c r="B1145" s="60" t="s">
        <v>4648</v>
      </c>
      <c r="C1145" s="60" t="s">
        <v>330</v>
      </c>
      <c r="D1145" s="60" t="s">
        <v>3739</v>
      </c>
      <c r="E1145" s="64"/>
      <c r="H1145" s="60"/>
      <c r="I1145" s="63"/>
      <c r="J1145" s="64"/>
      <c r="K1145" s="60"/>
    </row>
    <row r="1146">
      <c r="A1146" s="67">
        <v>17.0</v>
      </c>
      <c r="B1146" s="60" t="s">
        <v>4649</v>
      </c>
      <c r="C1146" s="60" t="s">
        <v>330</v>
      </c>
      <c r="D1146" s="60" t="s">
        <v>3721</v>
      </c>
      <c r="E1146" s="64"/>
      <c r="H1146" s="60"/>
      <c r="I1146" s="63"/>
      <c r="J1146" s="64"/>
      <c r="K1146" s="60"/>
    </row>
    <row r="1147">
      <c r="A1147" s="67">
        <v>18.0</v>
      </c>
      <c r="B1147" s="60" t="s">
        <v>4650</v>
      </c>
      <c r="C1147" s="60" t="s">
        <v>375</v>
      </c>
      <c r="D1147" s="60" t="s">
        <v>3721</v>
      </c>
      <c r="E1147" s="64"/>
      <c r="H1147" s="60"/>
      <c r="I1147" s="63"/>
      <c r="J1147" s="64"/>
      <c r="K1147" s="60"/>
    </row>
    <row r="1148">
      <c r="A1148" s="67">
        <v>19.0</v>
      </c>
      <c r="B1148" s="60" t="s">
        <v>4651</v>
      </c>
      <c r="C1148" s="60" t="s">
        <v>330</v>
      </c>
      <c r="D1148" s="60" t="s">
        <v>3739</v>
      </c>
      <c r="E1148" s="64"/>
      <c r="H1148" s="60"/>
      <c r="I1148" s="63"/>
      <c r="J1148" s="64"/>
      <c r="K1148" s="60"/>
    </row>
    <row r="1149">
      <c r="A1149" s="67">
        <v>20.0</v>
      </c>
      <c r="B1149" s="60" t="s">
        <v>4652</v>
      </c>
      <c r="C1149" s="60" t="s">
        <v>330</v>
      </c>
      <c r="D1149" s="60" t="s">
        <v>3753</v>
      </c>
      <c r="E1149" s="64"/>
      <c r="H1149" s="60"/>
      <c r="I1149" s="63"/>
      <c r="J1149" s="64"/>
      <c r="K1149" s="60"/>
    </row>
    <row r="1150">
      <c r="A1150" s="67">
        <v>21.0</v>
      </c>
      <c r="B1150" s="60" t="s">
        <v>4653</v>
      </c>
      <c r="C1150" s="60" t="s">
        <v>330</v>
      </c>
      <c r="D1150" s="60" t="s">
        <v>4636</v>
      </c>
      <c r="E1150" s="64"/>
      <c r="H1150" s="60"/>
      <c r="I1150" s="63"/>
      <c r="J1150" s="64"/>
      <c r="K1150" s="60"/>
    </row>
    <row r="1151">
      <c r="A1151" s="67">
        <v>22.0</v>
      </c>
      <c r="B1151" s="60" t="s">
        <v>4654</v>
      </c>
      <c r="C1151" s="61"/>
      <c r="D1151" s="60" t="s">
        <v>4655</v>
      </c>
      <c r="E1151" s="64"/>
      <c r="H1151" s="60"/>
      <c r="I1151" s="63"/>
      <c r="J1151" s="64"/>
      <c r="K1151" s="60"/>
    </row>
    <row r="1152">
      <c r="A1152" s="67">
        <v>23.0</v>
      </c>
      <c r="B1152" s="60" t="s">
        <v>4656</v>
      </c>
      <c r="C1152" s="61"/>
      <c r="D1152" s="60" t="s">
        <v>3728</v>
      </c>
      <c r="E1152" s="64"/>
      <c r="H1152" s="60"/>
      <c r="I1152" s="63"/>
      <c r="J1152" s="64"/>
      <c r="K1152" s="60"/>
    </row>
    <row r="1153">
      <c r="A1153" s="67">
        <v>24.0</v>
      </c>
      <c r="B1153" s="60" t="s">
        <v>4657</v>
      </c>
      <c r="C1153" s="61"/>
      <c r="D1153" s="60" t="s">
        <v>3753</v>
      </c>
      <c r="E1153" s="64"/>
      <c r="H1153" s="60"/>
      <c r="I1153" s="63"/>
      <c r="J1153" s="64"/>
      <c r="K1153" s="60"/>
    </row>
    <row r="1154">
      <c r="A1154" s="67">
        <v>25.0</v>
      </c>
      <c r="B1154" s="60" t="s">
        <v>4658</v>
      </c>
      <c r="C1154" s="61"/>
      <c r="D1154" s="60" t="s">
        <v>3719</v>
      </c>
      <c r="E1154" s="64"/>
      <c r="H1154" s="60"/>
      <c r="I1154" s="63"/>
      <c r="J1154" s="64"/>
      <c r="K1154" s="60"/>
    </row>
    <row r="1155">
      <c r="A1155" s="67">
        <v>26.0</v>
      </c>
      <c r="B1155" s="60" t="s">
        <v>4659</v>
      </c>
      <c r="C1155" s="61"/>
      <c r="D1155" s="60" t="s">
        <v>4655</v>
      </c>
      <c r="E1155" s="64"/>
      <c r="H1155" s="60"/>
      <c r="I1155" s="63"/>
      <c r="J1155" s="64"/>
      <c r="K1155" s="60"/>
    </row>
    <row r="1156">
      <c r="A1156" s="51"/>
      <c r="B1156" s="60"/>
      <c r="C1156" s="61"/>
      <c r="D1156" s="61"/>
      <c r="E1156" s="62"/>
      <c r="F1156" s="60"/>
      <c r="H1156" s="60"/>
      <c r="I1156" s="63"/>
      <c r="J1156" s="64"/>
      <c r="K1156" s="60"/>
    </row>
    <row r="1157">
      <c r="A1157" s="51"/>
      <c r="B1157" s="60"/>
      <c r="C1157" s="61"/>
      <c r="D1157" s="61"/>
      <c r="E1157" s="62"/>
      <c r="F1157" s="60"/>
      <c r="H1157" s="60"/>
      <c r="I1157" s="63"/>
      <c r="J1157" s="64"/>
      <c r="K1157" s="60"/>
    </row>
    <row r="1158">
      <c r="A1158" s="51"/>
      <c r="B1158" s="60"/>
      <c r="C1158" s="61"/>
      <c r="D1158" s="61"/>
      <c r="E1158" s="62"/>
      <c r="F1158" s="60"/>
      <c r="H1158" s="60"/>
      <c r="I1158" s="63"/>
      <c r="J1158" s="64"/>
      <c r="K1158" s="60"/>
    </row>
    <row r="1159">
      <c r="A1159" s="51"/>
      <c r="B1159" s="60"/>
      <c r="C1159" s="61"/>
      <c r="D1159" s="61"/>
      <c r="E1159" s="62"/>
      <c r="F1159" s="60"/>
      <c r="H1159" s="60"/>
      <c r="I1159" s="63"/>
      <c r="J1159" s="64"/>
      <c r="K1159" s="60"/>
    </row>
    <row r="1160">
      <c r="A1160" s="51"/>
      <c r="B1160" s="60"/>
      <c r="C1160" s="61"/>
      <c r="D1160" s="61"/>
      <c r="E1160" s="62"/>
      <c r="F1160" s="60"/>
      <c r="H1160" s="60"/>
      <c r="I1160" s="63"/>
      <c r="J1160" s="64"/>
      <c r="K1160" s="60"/>
    </row>
    <row r="1161">
      <c r="A1161" s="51"/>
      <c r="B1161" s="60"/>
      <c r="C1161" s="61"/>
      <c r="D1161" s="61"/>
      <c r="E1161" s="62"/>
      <c r="F1161" s="60"/>
      <c r="H1161" s="60"/>
      <c r="I1161" s="63"/>
      <c r="J1161" s="64"/>
      <c r="K1161" s="60"/>
    </row>
    <row r="1162">
      <c r="A1162" s="51"/>
      <c r="B1162" s="60"/>
      <c r="C1162" s="61"/>
      <c r="D1162" s="61"/>
      <c r="E1162" s="62"/>
      <c r="F1162" s="60"/>
      <c r="H1162" s="60"/>
      <c r="I1162" s="63"/>
      <c r="J1162" s="64"/>
      <c r="K1162" s="60"/>
    </row>
    <row r="1163">
      <c r="A1163" s="51"/>
      <c r="B1163" s="60"/>
      <c r="C1163" s="61"/>
      <c r="D1163" s="61"/>
      <c r="E1163" s="62"/>
      <c r="F1163" s="60"/>
      <c r="H1163" s="60"/>
      <c r="I1163" s="63"/>
      <c r="J1163" s="64"/>
      <c r="K1163" s="60"/>
    </row>
    <row r="1164">
      <c r="A1164" s="51"/>
      <c r="B1164" s="60"/>
      <c r="C1164" s="61"/>
      <c r="D1164" s="61"/>
      <c r="E1164" s="62"/>
      <c r="F1164" s="60"/>
      <c r="H1164" s="60"/>
      <c r="I1164" s="63"/>
      <c r="J1164" s="64"/>
      <c r="K1164" s="60"/>
    </row>
    <row r="1165">
      <c r="A1165" s="51"/>
      <c r="B1165" s="60"/>
      <c r="C1165" s="61"/>
      <c r="D1165" s="61"/>
      <c r="E1165" s="62"/>
      <c r="F1165" s="60"/>
      <c r="H1165" s="60"/>
      <c r="I1165" s="63"/>
      <c r="J1165" s="64"/>
      <c r="K1165" s="60"/>
    </row>
    <row r="1166">
      <c r="A1166" s="51"/>
      <c r="B1166" s="60"/>
      <c r="C1166" s="61"/>
      <c r="D1166" s="61"/>
      <c r="E1166" s="62"/>
      <c r="F1166" s="60"/>
      <c r="H1166" s="60"/>
      <c r="I1166" s="63"/>
      <c r="J1166" s="64"/>
      <c r="K1166" s="60"/>
    </row>
    <row r="1167">
      <c r="A1167" s="51"/>
      <c r="B1167" s="60"/>
      <c r="C1167" s="61"/>
      <c r="D1167" s="61"/>
      <c r="E1167" s="62"/>
      <c r="F1167" s="60"/>
      <c r="H1167" s="60"/>
      <c r="I1167" s="63"/>
      <c r="J1167" s="64"/>
      <c r="K1167" s="60"/>
    </row>
    <row r="1168">
      <c r="A1168" s="51"/>
      <c r="B1168" s="60"/>
      <c r="C1168" s="61"/>
      <c r="D1168" s="61"/>
      <c r="E1168" s="62"/>
      <c r="F1168" s="60"/>
      <c r="H1168" s="60"/>
      <c r="I1168" s="63"/>
      <c r="J1168" s="64"/>
      <c r="K1168" s="60"/>
    </row>
    <row r="1169">
      <c r="A1169" s="51"/>
      <c r="B1169" s="60"/>
      <c r="C1169" s="61"/>
      <c r="D1169" s="61"/>
      <c r="E1169" s="62"/>
      <c r="F1169" s="60"/>
      <c r="H1169" s="60"/>
      <c r="I1169" s="63"/>
      <c r="J1169" s="64"/>
      <c r="K1169" s="60"/>
    </row>
    <row r="1170">
      <c r="A1170" s="51"/>
      <c r="B1170" s="60"/>
      <c r="C1170" s="61"/>
      <c r="D1170" s="61"/>
      <c r="E1170" s="62"/>
      <c r="F1170" s="60"/>
      <c r="H1170" s="60"/>
      <c r="I1170" s="63"/>
      <c r="J1170" s="64"/>
      <c r="K1170" s="60"/>
    </row>
    <row r="1171">
      <c r="A1171" s="51"/>
      <c r="B1171" s="60"/>
      <c r="C1171" s="61"/>
      <c r="D1171" s="61"/>
      <c r="E1171" s="62"/>
      <c r="F1171" s="60"/>
      <c r="H1171" s="60"/>
      <c r="I1171" s="63"/>
      <c r="J1171" s="64"/>
      <c r="K1171" s="60"/>
    </row>
    <row r="1172">
      <c r="A1172" s="51"/>
      <c r="B1172" s="60"/>
      <c r="C1172" s="61"/>
      <c r="D1172" s="61"/>
      <c r="E1172" s="62"/>
      <c r="F1172" s="60"/>
      <c r="H1172" s="60"/>
      <c r="I1172" s="63"/>
      <c r="J1172" s="64"/>
      <c r="K1172" s="60"/>
    </row>
    <row r="1173">
      <c r="A1173" s="51"/>
      <c r="B1173" s="60"/>
      <c r="C1173" s="61"/>
      <c r="D1173" s="61"/>
      <c r="E1173" s="62"/>
      <c r="F1173" s="60"/>
      <c r="H1173" s="60"/>
      <c r="I1173" s="63"/>
      <c r="J1173" s="64"/>
      <c r="K1173" s="60"/>
    </row>
    <row r="1174">
      <c r="A1174" s="51"/>
      <c r="B1174" s="60"/>
      <c r="C1174" s="61"/>
      <c r="D1174" s="61"/>
      <c r="E1174" s="62"/>
      <c r="F1174" s="60"/>
      <c r="H1174" s="60"/>
      <c r="I1174" s="63"/>
      <c r="J1174" s="64"/>
      <c r="K1174" s="60"/>
    </row>
    <row r="1175">
      <c r="A1175" s="51"/>
      <c r="B1175" s="60"/>
      <c r="C1175" s="61"/>
      <c r="D1175" s="61"/>
      <c r="E1175" s="62"/>
      <c r="F1175" s="60"/>
      <c r="H1175" s="60"/>
      <c r="I1175" s="63"/>
      <c r="J1175" s="64"/>
      <c r="K1175" s="60"/>
    </row>
    <row r="1176">
      <c r="A1176" s="51"/>
      <c r="B1176" s="60"/>
      <c r="C1176" s="61"/>
      <c r="D1176" s="61"/>
      <c r="E1176" s="62"/>
      <c r="F1176" s="60"/>
      <c r="H1176" s="60"/>
      <c r="I1176" s="63"/>
      <c r="J1176" s="64"/>
      <c r="K1176" s="60"/>
    </row>
    <row r="1177">
      <c r="A1177" s="51"/>
      <c r="B1177" s="60"/>
      <c r="C1177" s="61"/>
      <c r="D1177" s="61"/>
      <c r="E1177" s="62"/>
      <c r="F1177" s="60"/>
      <c r="H1177" s="60"/>
      <c r="I1177" s="63"/>
      <c r="J1177" s="64"/>
      <c r="K1177" s="60"/>
    </row>
    <row r="1178">
      <c r="A1178" s="51"/>
      <c r="B1178" s="60"/>
      <c r="C1178" s="61"/>
      <c r="D1178" s="61"/>
      <c r="E1178" s="62"/>
      <c r="F1178" s="60"/>
      <c r="H1178" s="60"/>
      <c r="I1178" s="63"/>
      <c r="J1178" s="64"/>
      <c r="K1178" s="60"/>
    </row>
    <row r="1179">
      <c r="A1179" s="51"/>
      <c r="B1179" s="60"/>
      <c r="C1179" s="61"/>
      <c r="D1179" s="61"/>
      <c r="E1179" s="62"/>
      <c r="F1179" s="60"/>
      <c r="H1179" s="60"/>
      <c r="I1179" s="63"/>
      <c r="J1179" s="64"/>
      <c r="K1179" s="60"/>
    </row>
    <row r="1180">
      <c r="A1180" s="51"/>
      <c r="B1180" s="60"/>
      <c r="C1180" s="61"/>
      <c r="D1180" s="61"/>
      <c r="E1180" s="62"/>
      <c r="F1180" s="60"/>
      <c r="H1180" s="60"/>
      <c r="I1180" s="63"/>
      <c r="J1180" s="64"/>
      <c r="K1180" s="60"/>
    </row>
    <row r="1181">
      <c r="A1181" s="51"/>
      <c r="B1181" s="60"/>
      <c r="C1181" s="61"/>
      <c r="D1181" s="61"/>
      <c r="E1181" s="62"/>
      <c r="F1181" s="60"/>
      <c r="H1181" s="60"/>
      <c r="I1181" s="63"/>
      <c r="J1181" s="64"/>
      <c r="K1181" s="60"/>
    </row>
    <row r="1182">
      <c r="A1182" s="51"/>
      <c r="B1182" s="60"/>
      <c r="C1182" s="61"/>
      <c r="D1182" s="61"/>
      <c r="E1182" s="62"/>
      <c r="F1182" s="60"/>
      <c r="H1182" s="60"/>
      <c r="I1182" s="63"/>
      <c r="J1182" s="64"/>
      <c r="K1182" s="60"/>
    </row>
    <row r="1183">
      <c r="A1183" s="51"/>
      <c r="B1183" s="60"/>
      <c r="C1183" s="61"/>
      <c r="D1183" s="61"/>
      <c r="E1183" s="62"/>
      <c r="F1183" s="60"/>
      <c r="H1183" s="60"/>
      <c r="I1183" s="63"/>
      <c r="J1183" s="64"/>
      <c r="K1183" s="60"/>
    </row>
    <row r="1184">
      <c r="A1184" s="51"/>
      <c r="B1184" s="60"/>
      <c r="C1184" s="61"/>
      <c r="D1184" s="61"/>
      <c r="E1184" s="62"/>
      <c r="F1184" s="60"/>
      <c r="H1184" s="60"/>
      <c r="I1184" s="63"/>
      <c r="J1184" s="64"/>
      <c r="K1184" s="60"/>
    </row>
    <row r="1185">
      <c r="A1185" s="51"/>
      <c r="B1185" s="60"/>
      <c r="C1185" s="61"/>
      <c r="D1185" s="61"/>
      <c r="E1185" s="62"/>
      <c r="F1185" s="60"/>
      <c r="H1185" s="60"/>
      <c r="I1185" s="63"/>
      <c r="J1185" s="64"/>
      <c r="K1185" s="60"/>
    </row>
    <row r="1186">
      <c r="A1186" s="51"/>
      <c r="B1186" s="60"/>
      <c r="C1186" s="61"/>
      <c r="D1186" s="61"/>
      <c r="E1186" s="62"/>
      <c r="F1186" s="60"/>
      <c r="H1186" s="60"/>
      <c r="I1186" s="63"/>
      <c r="J1186" s="64"/>
      <c r="K1186" s="60"/>
    </row>
    <row r="1187">
      <c r="A1187" s="51"/>
      <c r="B1187" s="60"/>
      <c r="C1187" s="61"/>
      <c r="D1187" s="61"/>
      <c r="E1187" s="62"/>
      <c r="F1187" s="60"/>
      <c r="H1187" s="60"/>
      <c r="I1187" s="63"/>
      <c r="J1187" s="64"/>
      <c r="K1187" s="60"/>
    </row>
    <row r="1188">
      <c r="A1188" s="51"/>
      <c r="B1188" s="60"/>
      <c r="C1188" s="61"/>
      <c r="D1188" s="61"/>
      <c r="E1188" s="62"/>
      <c r="F1188" s="60"/>
      <c r="H1188" s="60"/>
      <c r="I1188" s="63"/>
      <c r="J1188" s="64"/>
      <c r="K1188" s="60"/>
    </row>
    <row r="1189">
      <c r="A1189" s="51"/>
      <c r="B1189" s="60"/>
      <c r="C1189" s="61"/>
      <c r="D1189" s="61"/>
      <c r="E1189" s="62"/>
      <c r="F1189" s="60"/>
      <c r="H1189" s="60"/>
      <c r="I1189" s="63"/>
      <c r="J1189" s="64"/>
      <c r="K1189" s="60"/>
    </row>
    <row r="1190">
      <c r="A1190" s="51"/>
      <c r="B1190" s="60"/>
      <c r="C1190" s="61"/>
      <c r="D1190" s="61"/>
      <c r="E1190" s="62"/>
      <c r="F1190" s="60"/>
      <c r="H1190" s="60"/>
      <c r="I1190" s="63"/>
      <c r="J1190" s="64"/>
      <c r="K1190" s="60"/>
    </row>
    <row r="1191">
      <c r="A1191" s="51"/>
      <c r="B1191" s="60"/>
      <c r="C1191" s="61"/>
      <c r="D1191" s="61"/>
      <c r="E1191" s="62"/>
      <c r="F1191" s="60"/>
      <c r="H1191" s="60"/>
      <c r="I1191" s="63"/>
      <c r="J1191" s="64"/>
      <c r="K1191" s="60"/>
    </row>
    <row r="1192">
      <c r="A1192" s="51"/>
      <c r="B1192" s="60"/>
      <c r="C1192" s="61"/>
      <c r="D1192" s="61"/>
      <c r="E1192" s="62"/>
      <c r="F1192" s="60"/>
      <c r="H1192" s="60"/>
      <c r="I1192" s="63"/>
      <c r="J1192" s="64"/>
      <c r="K1192" s="60"/>
    </row>
    <row r="1193">
      <c r="A1193" s="51"/>
      <c r="B1193" s="60"/>
      <c r="C1193" s="61"/>
      <c r="D1193" s="61"/>
      <c r="E1193" s="62"/>
      <c r="F1193" s="60"/>
      <c r="H1193" s="60"/>
      <c r="I1193" s="63"/>
      <c r="J1193" s="64"/>
      <c r="K1193" s="60"/>
    </row>
    <row r="1194">
      <c r="A1194" s="51"/>
      <c r="B1194" s="60"/>
      <c r="C1194" s="61"/>
      <c r="D1194" s="61"/>
      <c r="E1194" s="62"/>
      <c r="F1194" s="60"/>
      <c r="H1194" s="60"/>
      <c r="I1194" s="63"/>
      <c r="J1194" s="64"/>
      <c r="K1194" s="60"/>
    </row>
    <row r="1195">
      <c r="A1195" s="51"/>
      <c r="B1195" s="60"/>
      <c r="C1195" s="61"/>
      <c r="D1195" s="61"/>
      <c r="E1195" s="62"/>
      <c r="F1195" s="60"/>
      <c r="H1195" s="60"/>
      <c r="I1195" s="63"/>
      <c r="J1195" s="64"/>
      <c r="K1195" s="60"/>
    </row>
    <row r="1196">
      <c r="A1196" s="51"/>
      <c r="B1196" s="60"/>
      <c r="C1196" s="61"/>
      <c r="D1196" s="61"/>
      <c r="E1196" s="62"/>
      <c r="F1196" s="60"/>
      <c r="H1196" s="60"/>
      <c r="I1196" s="63"/>
      <c r="J1196" s="64"/>
      <c r="K1196" s="60"/>
    </row>
    <row r="1197">
      <c r="A1197" s="51"/>
      <c r="B1197" s="60"/>
      <c r="C1197" s="61"/>
      <c r="D1197" s="61"/>
      <c r="E1197" s="62"/>
      <c r="F1197" s="60"/>
      <c r="H1197" s="60"/>
      <c r="I1197" s="63"/>
      <c r="J1197" s="64"/>
      <c r="K1197" s="60"/>
    </row>
    <row r="1198">
      <c r="A1198" s="51"/>
      <c r="B1198" s="60"/>
      <c r="C1198" s="61"/>
      <c r="D1198" s="61"/>
      <c r="E1198" s="62"/>
      <c r="F1198" s="60"/>
      <c r="H1198" s="60"/>
      <c r="I1198" s="63"/>
      <c r="J1198" s="64"/>
      <c r="K1198" s="60"/>
    </row>
    <row r="1199">
      <c r="A1199" s="51"/>
      <c r="B1199" s="60"/>
      <c r="C1199" s="61"/>
      <c r="D1199" s="61"/>
      <c r="E1199" s="62"/>
      <c r="F1199" s="60"/>
      <c r="H1199" s="60"/>
      <c r="I1199" s="63"/>
      <c r="J1199" s="64"/>
      <c r="K1199" s="60"/>
    </row>
    <row r="1200">
      <c r="A1200" s="51"/>
      <c r="B1200" s="60"/>
      <c r="C1200" s="61"/>
      <c r="D1200" s="61"/>
      <c r="E1200" s="62"/>
      <c r="F1200" s="60"/>
      <c r="H1200" s="60"/>
      <c r="I1200" s="63"/>
      <c r="J1200" s="64"/>
      <c r="K1200" s="60"/>
    </row>
    <row r="1201">
      <c r="A1201" s="51"/>
      <c r="B1201" s="60"/>
      <c r="C1201" s="61"/>
      <c r="D1201" s="61"/>
      <c r="E1201" s="62"/>
      <c r="F1201" s="60"/>
      <c r="H1201" s="60"/>
      <c r="I1201" s="63"/>
      <c r="J1201" s="64"/>
      <c r="K1201" s="60"/>
    </row>
    <row r="1202">
      <c r="A1202" s="51"/>
      <c r="B1202" s="60"/>
      <c r="C1202" s="61"/>
      <c r="D1202" s="61"/>
      <c r="E1202" s="62"/>
      <c r="F1202" s="60"/>
      <c r="H1202" s="60"/>
      <c r="I1202" s="63"/>
      <c r="J1202" s="64"/>
      <c r="K1202" s="60"/>
    </row>
    <row r="1203">
      <c r="A1203" s="51"/>
      <c r="B1203" s="60"/>
      <c r="C1203" s="61"/>
      <c r="D1203" s="61"/>
      <c r="E1203" s="62"/>
      <c r="F1203" s="60"/>
      <c r="H1203" s="60"/>
      <c r="I1203" s="63"/>
      <c r="J1203" s="64"/>
      <c r="K1203" s="60"/>
    </row>
    <row r="1204">
      <c r="A1204" s="51"/>
      <c r="B1204" s="60"/>
      <c r="C1204" s="61"/>
      <c r="D1204" s="61"/>
      <c r="E1204" s="62"/>
      <c r="F1204" s="60"/>
      <c r="H1204" s="60"/>
      <c r="I1204" s="63"/>
      <c r="J1204" s="64"/>
      <c r="K1204" s="60"/>
    </row>
    <row r="1205">
      <c r="A1205" s="51"/>
      <c r="B1205" s="60"/>
      <c r="C1205" s="61"/>
      <c r="D1205" s="61"/>
      <c r="E1205" s="62"/>
      <c r="F1205" s="60"/>
      <c r="H1205" s="60"/>
      <c r="I1205" s="63"/>
      <c r="J1205" s="64"/>
      <c r="K1205" s="60"/>
    </row>
    <row r="1206">
      <c r="A1206" s="51"/>
      <c r="B1206" s="60"/>
      <c r="C1206" s="61"/>
      <c r="D1206" s="61"/>
      <c r="E1206" s="62"/>
      <c r="F1206" s="60"/>
      <c r="H1206" s="60"/>
      <c r="I1206" s="63"/>
      <c r="J1206" s="64"/>
      <c r="K1206" s="60"/>
    </row>
    <row r="1207">
      <c r="A1207" s="51"/>
      <c r="B1207" s="60"/>
      <c r="C1207" s="61"/>
      <c r="D1207" s="61"/>
      <c r="E1207" s="62"/>
      <c r="F1207" s="60"/>
      <c r="H1207" s="60"/>
      <c r="I1207" s="63"/>
      <c r="J1207" s="64"/>
      <c r="K1207" s="60"/>
    </row>
    <row r="1208">
      <c r="A1208" s="51"/>
      <c r="B1208" s="60"/>
      <c r="C1208" s="61"/>
      <c r="D1208" s="61"/>
      <c r="E1208" s="62"/>
      <c r="F1208" s="60"/>
      <c r="H1208" s="60"/>
      <c r="I1208" s="63"/>
      <c r="J1208" s="64"/>
      <c r="K1208" s="60"/>
    </row>
    <row r="1209">
      <c r="A1209" s="51"/>
      <c r="B1209" s="60"/>
      <c r="C1209" s="61"/>
      <c r="D1209" s="61"/>
      <c r="E1209" s="62"/>
      <c r="F1209" s="60"/>
      <c r="H1209" s="60"/>
      <c r="I1209" s="63"/>
      <c r="J1209" s="64"/>
      <c r="K1209" s="60"/>
    </row>
    <row r="1210">
      <c r="A1210" s="51"/>
      <c r="B1210" s="60"/>
      <c r="C1210" s="61"/>
      <c r="D1210" s="61"/>
      <c r="E1210" s="62"/>
      <c r="F1210" s="60"/>
      <c r="H1210" s="60"/>
      <c r="I1210" s="63"/>
      <c r="J1210" s="64"/>
      <c r="K1210" s="60"/>
    </row>
    <row r="1211">
      <c r="A1211" s="51"/>
      <c r="B1211" s="60"/>
      <c r="C1211" s="61"/>
      <c r="D1211" s="61"/>
      <c r="E1211" s="62"/>
      <c r="F1211" s="60"/>
      <c r="H1211" s="60"/>
      <c r="I1211" s="63"/>
      <c r="J1211" s="64"/>
      <c r="K1211" s="60"/>
    </row>
    <row r="1212">
      <c r="A1212" s="51"/>
      <c r="B1212" s="60"/>
      <c r="C1212" s="61"/>
      <c r="D1212" s="61"/>
      <c r="E1212" s="62"/>
      <c r="F1212" s="60"/>
      <c r="H1212" s="60"/>
      <c r="I1212" s="63"/>
      <c r="J1212" s="64"/>
      <c r="K1212" s="60"/>
    </row>
    <row r="1213">
      <c r="A1213" s="51"/>
      <c r="B1213" s="60"/>
      <c r="C1213" s="61"/>
      <c r="D1213" s="61"/>
      <c r="E1213" s="62"/>
      <c r="F1213" s="60"/>
      <c r="H1213" s="60"/>
      <c r="I1213" s="63"/>
      <c r="J1213" s="64"/>
      <c r="K1213" s="60"/>
    </row>
    <row r="1214">
      <c r="A1214" s="51"/>
      <c r="B1214" s="60"/>
      <c r="C1214" s="61"/>
      <c r="D1214" s="61"/>
      <c r="E1214" s="62"/>
      <c r="F1214" s="60"/>
      <c r="H1214" s="60"/>
      <c r="I1214" s="63"/>
      <c r="J1214" s="64"/>
      <c r="K1214" s="60"/>
    </row>
    <row r="1215">
      <c r="A1215" s="51"/>
      <c r="B1215" s="60"/>
      <c r="C1215" s="61"/>
      <c r="D1215" s="61"/>
      <c r="E1215" s="62"/>
      <c r="F1215" s="60"/>
      <c r="H1215" s="60"/>
      <c r="I1215" s="63"/>
      <c r="J1215" s="64"/>
      <c r="K1215" s="60"/>
    </row>
    <row r="1216">
      <c r="A1216" s="51"/>
      <c r="B1216" s="60"/>
      <c r="C1216" s="61"/>
      <c r="D1216" s="61"/>
      <c r="E1216" s="62"/>
      <c r="F1216" s="60"/>
      <c r="H1216" s="60"/>
      <c r="I1216" s="63"/>
      <c r="J1216" s="64"/>
      <c r="K1216" s="60"/>
    </row>
    <row r="1217">
      <c r="A1217" s="51"/>
      <c r="B1217" s="60"/>
      <c r="C1217" s="61"/>
      <c r="D1217" s="61"/>
      <c r="E1217" s="62"/>
      <c r="F1217" s="60"/>
      <c r="H1217" s="60"/>
      <c r="I1217" s="63"/>
      <c r="J1217" s="64"/>
      <c r="K1217" s="60"/>
    </row>
    <row r="1218">
      <c r="A1218" s="51"/>
      <c r="B1218" s="60"/>
      <c r="C1218" s="61"/>
      <c r="D1218" s="61"/>
      <c r="E1218" s="62"/>
      <c r="F1218" s="60"/>
      <c r="H1218" s="60"/>
      <c r="I1218" s="63"/>
      <c r="J1218" s="64"/>
      <c r="K1218" s="60"/>
    </row>
    <row r="1219">
      <c r="A1219" s="51"/>
      <c r="B1219" s="60"/>
      <c r="C1219" s="61"/>
      <c r="D1219" s="61"/>
      <c r="E1219" s="62"/>
      <c r="F1219" s="60"/>
      <c r="H1219" s="60"/>
      <c r="I1219" s="63"/>
      <c r="J1219" s="64"/>
      <c r="K1219" s="60"/>
    </row>
    <row r="1220">
      <c r="A1220" s="51"/>
      <c r="B1220" s="60"/>
      <c r="C1220" s="61"/>
      <c r="D1220" s="61"/>
      <c r="E1220" s="62"/>
      <c r="F1220" s="60"/>
      <c r="H1220" s="60"/>
      <c r="I1220" s="63"/>
      <c r="J1220" s="64"/>
      <c r="K1220" s="60"/>
    </row>
    <row r="1221">
      <c r="A1221" s="51"/>
      <c r="B1221" s="60"/>
      <c r="C1221" s="61"/>
      <c r="D1221" s="61"/>
      <c r="E1221" s="62"/>
      <c r="F1221" s="60"/>
      <c r="H1221" s="60"/>
      <c r="I1221" s="63"/>
      <c r="J1221" s="64"/>
      <c r="K1221" s="60"/>
    </row>
    <row r="1222">
      <c r="A1222" s="51"/>
      <c r="B1222" s="60"/>
      <c r="C1222" s="61"/>
      <c r="D1222" s="61"/>
      <c r="E1222" s="62"/>
      <c r="F1222" s="60"/>
      <c r="H1222" s="60"/>
      <c r="I1222" s="63"/>
      <c r="J1222" s="64"/>
      <c r="K1222" s="60"/>
    </row>
    <row r="1223">
      <c r="A1223" s="51"/>
      <c r="B1223" s="60"/>
      <c r="C1223" s="61"/>
      <c r="D1223" s="61"/>
      <c r="E1223" s="62"/>
      <c r="F1223" s="60"/>
      <c r="H1223" s="60"/>
      <c r="I1223" s="63"/>
      <c r="J1223" s="64"/>
      <c r="K1223" s="60"/>
    </row>
    <row r="1224">
      <c r="A1224" s="51"/>
      <c r="B1224" s="60"/>
      <c r="C1224" s="61"/>
      <c r="D1224" s="61"/>
      <c r="E1224" s="62"/>
      <c r="F1224" s="60"/>
      <c r="H1224" s="60"/>
      <c r="I1224" s="63"/>
      <c r="J1224" s="64"/>
      <c r="K1224" s="60"/>
    </row>
    <row r="1225">
      <c r="A1225" s="51"/>
      <c r="B1225" s="60"/>
      <c r="C1225" s="61"/>
      <c r="D1225" s="61"/>
      <c r="E1225" s="62"/>
      <c r="F1225" s="60"/>
      <c r="H1225" s="60"/>
      <c r="I1225" s="63"/>
      <c r="J1225" s="64"/>
      <c r="K1225" s="60"/>
    </row>
    <row r="1226">
      <c r="A1226" s="51"/>
      <c r="B1226" s="60"/>
      <c r="C1226" s="61"/>
      <c r="D1226" s="61"/>
      <c r="E1226" s="62"/>
      <c r="F1226" s="60"/>
      <c r="H1226" s="60"/>
      <c r="I1226" s="63"/>
      <c r="J1226" s="64"/>
      <c r="K1226" s="60"/>
    </row>
    <row r="1227">
      <c r="A1227" s="51"/>
      <c r="B1227" s="60"/>
      <c r="C1227" s="61"/>
      <c r="D1227" s="61"/>
      <c r="E1227" s="62"/>
      <c r="F1227" s="60"/>
      <c r="H1227" s="60"/>
      <c r="I1227" s="63"/>
      <c r="J1227" s="64"/>
      <c r="K1227" s="60"/>
    </row>
    <row r="1228">
      <c r="A1228" s="51"/>
      <c r="B1228" s="60"/>
      <c r="C1228" s="61"/>
      <c r="D1228" s="61"/>
      <c r="E1228" s="62"/>
      <c r="F1228" s="60"/>
      <c r="H1228" s="60"/>
      <c r="I1228" s="63"/>
      <c r="J1228" s="64"/>
      <c r="K1228" s="60"/>
    </row>
    <row r="1229">
      <c r="A1229" s="51"/>
      <c r="B1229" s="60"/>
      <c r="C1229" s="61"/>
      <c r="D1229" s="61"/>
      <c r="E1229" s="62"/>
      <c r="F1229" s="60"/>
      <c r="H1229" s="60"/>
      <c r="I1229" s="63"/>
      <c r="J1229" s="64"/>
      <c r="K1229" s="60"/>
    </row>
    <row r="1230">
      <c r="A1230" s="51"/>
      <c r="B1230" s="60"/>
      <c r="C1230" s="61"/>
      <c r="D1230" s="61"/>
      <c r="E1230" s="62"/>
      <c r="F1230" s="60"/>
      <c r="H1230" s="60"/>
      <c r="I1230" s="63"/>
      <c r="J1230" s="64"/>
      <c r="K1230" s="60"/>
    </row>
    <row r="1231">
      <c r="A1231" s="51"/>
      <c r="B1231" s="60"/>
      <c r="C1231" s="61"/>
      <c r="D1231" s="61"/>
      <c r="E1231" s="62"/>
      <c r="F1231" s="60"/>
      <c r="H1231" s="60"/>
      <c r="I1231" s="63"/>
      <c r="J1231" s="64"/>
      <c r="K1231" s="60"/>
    </row>
    <row r="1232">
      <c r="A1232" s="51"/>
      <c r="B1232" s="60"/>
      <c r="C1232" s="61"/>
      <c r="D1232" s="61"/>
      <c r="E1232" s="62"/>
      <c r="F1232" s="60"/>
      <c r="H1232" s="60"/>
      <c r="I1232" s="63"/>
      <c r="J1232" s="64"/>
      <c r="K1232" s="60"/>
    </row>
    <row r="1233">
      <c r="A1233" s="51"/>
      <c r="B1233" s="60"/>
      <c r="C1233" s="61"/>
      <c r="D1233" s="61"/>
      <c r="E1233" s="62"/>
      <c r="F1233" s="60"/>
      <c r="H1233" s="60"/>
      <c r="I1233" s="63"/>
      <c r="J1233" s="64"/>
      <c r="K1233" s="60"/>
    </row>
    <row r="1234">
      <c r="A1234" s="51"/>
      <c r="B1234" s="60"/>
      <c r="C1234" s="61"/>
      <c r="D1234" s="61"/>
      <c r="E1234" s="62"/>
      <c r="F1234" s="60"/>
      <c r="H1234" s="60"/>
      <c r="I1234" s="63"/>
      <c r="J1234" s="64"/>
      <c r="K1234" s="60"/>
    </row>
    <row r="1235">
      <c r="A1235" s="51"/>
      <c r="B1235" s="60"/>
      <c r="C1235" s="61"/>
      <c r="D1235" s="61"/>
      <c r="E1235" s="62"/>
      <c r="F1235" s="60"/>
      <c r="H1235" s="60"/>
      <c r="I1235" s="63"/>
      <c r="J1235" s="64"/>
      <c r="K1235" s="60"/>
    </row>
    <row r="1236">
      <c r="A1236" s="51"/>
      <c r="B1236" s="60"/>
      <c r="C1236" s="61"/>
      <c r="D1236" s="61"/>
      <c r="E1236" s="62"/>
      <c r="F1236" s="60"/>
      <c r="H1236" s="60"/>
      <c r="I1236" s="63"/>
      <c r="J1236" s="64"/>
      <c r="K1236" s="60"/>
    </row>
    <row r="1237">
      <c r="A1237" s="51"/>
      <c r="B1237" s="60"/>
      <c r="C1237" s="61"/>
      <c r="D1237" s="61"/>
      <c r="E1237" s="62"/>
      <c r="F1237" s="60"/>
      <c r="H1237" s="60"/>
      <c r="I1237" s="63"/>
      <c r="J1237" s="64"/>
      <c r="K1237" s="60"/>
    </row>
    <row r="1238">
      <c r="A1238" s="51"/>
      <c r="B1238" s="60"/>
      <c r="C1238" s="61"/>
      <c r="D1238" s="61"/>
      <c r="E1238" s="62"/>
      <c r="F1238" s="60"/>
      <c r="H1238" s="60"/>
      <c r="I1238" s="63"/>
      <c r="J1238" s="64"/>
      <c r="K1238" s="60"/>
    </row>
    <row r="1239">
      <c r="A1239" s="51"/>
      <c r="B1239" s="60"/>
      <c r="C1239" s="61"/>
      <c r="D1239" s="61"/>
      <c r="E1239" s="62"/>
      <c r="F1239" s="60"/>
      <c r="H1239" s="60"/>
      <c r="I1239" s="63"/>
      <c r="J1239" s="64"/>
      <c r="K1239" s="60"/>
    </row>
    <row r="1240">
      <c r="A1240" s="51"/>
      <c r="B1240" s="60"/>
      <c r="C1240" s="61"/>
      <c r="D1240" s="61"/>
      <c r="E1240" s="62"/>
      <c r="F1240" s="60"/>
      <c r="H1240" s="60"/>
      <c r="I1240" s="63"/>
      <c r="J1240" s="64"/>
      <c r="K1240" s="60"/>
    </row>
    <row r="1241">
      <c r="A1241" s="51"/>
      <c r="B1241" s="60"/>
      <c r="C1241" s="61"/>
      <c r="D1241" s="61"/>
      <c r="E1241" s="62"/>
      <c r="F1241" s="60"/>
      <c r="H1241" s="60"/>
      <c r="I1241" s="63"/>
      <c r="J1241" s="64"/>
      <c r="K1241" s="60"/>
    </row>
    <row r="1242">
      <c r="A1242" s="51"/>
      <c r="B1242" s="60"/>
      <c r="C1242" s="61"/>
      <c r="D1242" s="61"/>
      <c r="E1242" s="62"/>
      <c r="F1242" s="60"/>
      <c r="H1242" s="60"/>
      <c r="I1242" s="63"/>
      <c r="J1242" s="64"/>
      <c r="K1242" s="60"/>
    </row>
    <row r="1243">
      <c r="A1243" s="51"/>
      <c r="B1243" s="60"/>
      <c r="C1243" s="61"/>
      <c r="D1243" s="61"/>
      <c r="E1243" s="62"/>
      <c r="F1243" s="60"/>
      <c r="H1243" s="60"/>
      <c r="I1243" s="63"/>
      <c r="J1243" s="64"/>
      <c r="K1243" s="60"/>
    </row>
    <row r="1244">
      <c r="A1244" s="51"/>
      <c r="B1244" s="60"/>
      <c r="C1244" s="61"/>
      <c r="D1244" s="61"/>
      <c r="E1244" s="62"/>
      <c r="F1244" s="60"/>
      <c r="H1244" s="60"/>
      <c r="I1244" s="63"/>
      <c r="J1244" s="64"/>
      <c r="K1244" s="60"/>
    </row>
    <row r="1245">
      <c r="A1245" s="51"/>
      <c r="B1245" s="60"/>
      <c r="C1245" s="61"/>
      <c r="D1245" s="61"/>
      <c r="E1245" s="62"/>
      <c r="F1245" s="60"/>
      <c r="H1245" s="60"/>
      <c r="I1245" s="63"/>
      <c r="J1245" s="64"/>
      <c r="K1245" s="60"/>
    </row>
    <row r="1246">
      <c r="A1246" s="51"/>
      <c r="B1246" s="60"/>
      <c r="C1246" s="61"/>
      <c r="D1246" s="61"/>
      <c r="E1246" s="62"/>
      <c r="F1246" s="60"/>
      <c r="H1246" s="60"/>
      <c r="I1246" s="63"/>
      <c r="J1246" s="64"/>
      <c r="K1246" s="60"/>
    </row>
    <row r="1247">
      <c r="A1247" s="51"/>
      <c r="B1247" s="60"/>
      <c r="C1247" s="61"/>
      <c r="D1247" s="61"/>
      <c r="E1247" s="62"/>
      <c r="F1247" s="60"/>
      <c r="H1247" s="60"/>
      <c r="I1247" s="63"/>
      <c r="J1247" s="64"/>
      <c r="K1247" s="60"/>
    </row>
    <row r="1248">
      <c r="A1248" s="51"/>
      <c r="B1248" s="60"/>
      <c r="C1248" s="61"/>
      <c r="D1248" s="61"/>
      <c r="E1248" s="62"/>
      <c r="F1248" s="60"/>
      <c r="H1248" s="60"/>
      <c r="I1248" s="63"/>
      <c r="J1248" s="64"/>
      <c r="K1248" s="60"/>
    </row>
    <row r="1249">
      <c r="A1249" s="51"/>
      <c r="B1249" s="60"/>
      <c r="C1249" s="61"/>
      <c r="D1249" s="61"/>
      <c r="E1249" s="62"/>
      <c r="F1249" s="60"/>
      <c r="H1249" s="60"/>
      <c r="I1249" s="63"/>
      <c r="J1249" s="64"/>
      <c r="K1249" s="60"/>
    </row>
    <row r="1250">
      <c r="A1250" s="51"/>
      <c r="B1250" s="60"/>
      <c r="C1250" s="61"/>
      <c r="D1250" s="61"/>
      <c r="E1250" s="62"/>
      <c r="F1250" s="60"/>
      <c r="H1250" s="60"/>
      <c r="I1250" s="63"/>
      <c r="J1250" s="64"/>
      <c r="K1250" s="60"/>
    </row>
    <row r="1251">
      <c r="A1251" s="51"/>
      <c r="B1251" s="60"/>
      <c r="C1251" s="61"/>
      <c r="D1251" s="61"/>
      <c r="E1251" s="62"/>
      <c r="F1251" s="60"/>
      <c r="H1251" s="60"/>
      <c r="I1251" s="63"/>
      <c r="J1251" s="64"/>
      <c r="K1251" s="60"/>
    </row>
    <row r="1252">
      <c r="A1252" s="51"/>
      <c r="B1252" s="60"/>
      <c r="C1252" s="61"/>
      <c r="D1252" s="61"/>
      <c r="E1252" s="62"/>
      <c r="F1252" s="60"/>
      <c r="H1252" s="60"/>
      <c r="I1252" s="63"/>
      <c r="J1252" s="64"/>
      <c r="K1252" s="60"/>
    </row>
    <row r="1253">
      <c r="A1253" s="51"/>
      <c r="B1253" s="60"/>
      <c r="C1253" s="61"/>
      <c r="D1253" s="61"/>
      <c r="E1253" s="62"/>
      <c r="F1253" s="60"/>
      <c r="H1253" s="60"/>
      <c r="I1253" s="63"/>
      <c r="J1253" s="64"/>
      <c r="K1253" s="60"/>
    </row>
    <row r="1254">
      <c r="A1254" s="51"/>
      <c r="B1254" s="60"/>
      <c r="C1254" s="61"/>
      <c r="D1254" s="61"/>
      <c r="E1254" s="62"/>
      <c r="F1254" s="60"/>
      <c r="H1254" s="60"/>
      <c r="I1254" s="63"/>
      <c r="J1254" s="64"/>
      <c r="K1254" s="60"/>
    </row>
    <row r="1255">
      <c r="A1255" s="51"/>
      <c r="B1255" s="60"/>
      <c r="C1255" s="61"/>
      <c r="D1255" s="61"/>
      <c r="E1255" s="62"/>
      <c r="F1255" s="60"/>
      <c r="H1255" s="60"/>
      <c r="I1255" s="63"/>
      <c r="J1255" s="64"/>
      <c r="K1255" s="60"/>
    </row>
    <row r="1256">
      <c r="A1256" s="51"/>
      <c r="B1256" s="60"/>
      <c r="C1256" s="61"/>
      <c r="D1256" s="61"/>
      <c r="E1256" s="62"/>
      <c r="F1256" s="60"/>
      <c r="H1256" s="60"/>
      <c r="I1256" s="63"/>
      <c r="J1256" s="64"/>
      <c r="K1256" s="60"/>
    </row>
    <row r="1257">
      <c r="A1257" s="51"/>
      <c r="B1257" s="60"/>
      <c r="C1257" s="61"/>
      <c r="D1257" s="61"/>
      <c r="E1257" s="62"/>
      <c r="F1257" s="60"/>
      <c r="H1257" s="60"/>
      <c r="I1257" s="63"/>
      <c r="J1257" s="64"/>
      <c r="K1257" s="60"/>
    </row>
    <row r="1258">
      <c r="A1258" s="51"/>
      <c r="B1258" s="60"/>
      <c r="C1258" s="61"/>
      <c r="D1258" s="61"/>
      <c r="E1258" s="62"/>
      <c r="F1258" s="60"/>
      <c r="H1258" s="60"/>
      <c r="I1258" s="63"/>
      <c r="J1258" s="64"/>
      <c r="K1258" s="60"/>
    </row>
    <row r="1259">
      <c r="A1259" s="51"/>
      <c r="B1259" s="60"/>
      <c r="C1259" s="61"/>
      <c r="D1259" s="61"/>
      <c r="E1259" s="62"/>
      <c r="F1259" s="60"/>
      <c r="H1259" s="60"/>
      <c r="I1259" s="63"/>
      <c r="J1259" s="64"/>
      <c r="K1259" s="60"/>
    </row>
    <row r="1260">
      <c r="A1260" s="51"/>
      <c r="B1260" s="60"/>
      <c r="C1260" s="61"/>
      <c r="D1260" s="61"/>
      <c r="E1260" s="62"/>
      <c r="F1260" s="60"/>
      <c r="H1260" s="60"/>
      <c r="I1260" s="63"/>
      <c r="J1260" s="64"/>
      <c r="K1260" s="60"/>
    </row>
    <row r="1261">
      <c r="A1261" s="51"/>
      <c r="B1261" s="60"/>
      <c r="C1261" s="61"/>
      <c r="D1261" s="61"/>
      <c r="E1261" s="62"/>
      <c r="F1261" s="60"/>
      <c r="H1261" s="60"/>
      <c r="I1261" s="63"/>
      <c r="J1261" s="64"/>
      <c r="K1261" s="60"/>
    </row>
    <row r="1262">
      <c r="A1262" s="51"/>
      <c r="B1262" s="60"/>
      <c r="C1262" s="61"/>
      <c r="D1262" s="61"/>
      <c r="E1262" s="62"/>
      <c r="F1262" s="60"/>
      <c r="H1262" s="60"/>
      <c r="I1262" s="63"/>
      <c r="J1262" s="64"/>
      <c r="K1262" s="60"/>
    </row>
    <row r="1263">
      <c r="A1263" s="51"/>
      <c r="B1263" s="60"/>
      <c r="C1263" s="61"/>
      <c r="D1263" s="61"/>
      <c r="E1263" s="62"/>
      <c r="F1263" s="60"/>
      <c r="H1263" s="60"/>
      <c r="I1263" s="63"/>
      <c r="J1263" s="64"/>
      <c r="K1263" s="60"/>
    </row>
    <row r="1264">
      <c r="A1264" s="51"/>
      <c r="B1264" s="60"/>
      <c r="C1264" s="61"/>
      <c r="D1264" s="61"/>
      <c r="E1264" s="62"/>
      <c r="F1264" s="60"/>
      <c r="H1264" s="60"/>
      <c r="I1264" s="63"/>
      <c r="J1264" s="64"/>
      <c r="K1264" s="60"/>
    </row>
    <row r="1265">
      <c r="A1265" s="51"/>
      <c r="B1265" s="60"/>
      <c r="C1265" s="61"/>
      <c r="D1265" s="61"/>
      <c r="E1265" s="62"/>
      <c r="F1265" s="60"/>
      <c r="H1265" s="60"/>
      <c r="I1265" s="63"/>
      <c r="J1265" s="64"/>
      <c r="K1265" s="60"/>
    </row>
    <row r="1266">
      <c r="A1266" s="51"/>
      <c r="B1266" s="60"/>
      <c r="C1266" s="61"/>
      <c r="D1266" s="61"/>
      <c r="E1266" s="62"/>
      <c r="F1266" s="60"/>
      <c r="H1266" s="60"/>
      <c r="I1266" s="63"/>
      <c r="J1266" s="64"/>
      <c r="K1266" s="60"/>
    </row>
    <row r="1267">
      <c r="A1267" s="51"/>
      <c r="B1267" s="60"/>
      <c r="C1267" s="61"/>
      <c r="D1267" s="61"/>
      <c r="E1267" s="62"/>
      <c r="F1267" s="60"/>
      <c r="H1267" s="60"/>
      <c r="I1267" s="63"/>
      <c r="J1267" s="64"/>
      <c r="K1267" s="60"/>
    </row>
    <row r="1268">
      <c r="A1268" s="51"/>
      <c r="B1268" s="60"/>
      <c r="C1268" s="61"/>
      <c r="D1268" s="61"/>
      <c r="E1268" s="62"/>
      <c r="F1268" s="60"/>
      <c r="H1268" s="60"/>
      <c r="I1268" s="63"/>
      <c r="J1268" s="64"/>
      <c r="K1268" s="60"/>
    </row>
    <row r="1269">
      <c r="A1269" s="51"/>
      <c r="B1269" s="60"/>
      <c r="C1269" s="61"/>
      <c r="D1269" s="61"/>
      <c r="E1269" s="62"/>
      <c r="F1269" s="60"/>
      <c r="H1269" s="60"/>
      <c r="I1269" s="63"/>
      <c r="J1269" s="64"/>
      <c r="K1269" s="60"/>
    </row>
    <row r="1270">
      <c r="A1270" s="51"/>
      <c r="B1270" s="60"/>
      <c r="C1270" s="61"/>
      <c r="D1270" s="61"/>
      <c r="E1270" s="62"/>
      <c r="F1270" s="60"/>
      <c r="H1270" s="60"/>
      <c r="I1270" s="63"/>
      <c r="J1270" s="64"/>
      <c r="K1270" s="60"/>
    </row>
    <row r="1271">
      <c r="A1271" s="51"/>
      <c r="B1271" s="60"/>
      <c r="C1271" s="61"/>
      <c r="D1271" s="61"/>
      <c r="E1271" s="62"/>
      <c r="F1271" s="60"/>
      <c r="H1271" s="60"/>
      <c r="I1271" s="63"/>
      <c r="J1271" s="64"/>
      <c r="K1271" s="60"/>
    </row>
    <row r="1272">
      <c r="A1272" s="51"/>
      <c r="B1272" s="60"/>
      <c r="C1272" s="61"/>
      <c r="D1272" s="61"/>
      <c r="E1272" s="62"/>
      <c r="F1272" s="60"/>
      <c r="H1272" s="60"/>
      <c r="I1272" s="63"/>
      <c r="J1272" s="64"/>
      <c r="K1272" s="60"/>
    </row>
    <row r="1273">
      <c r="A1273" s="51"/>
      <c r="B1273" s="60"/>
      <c r="C1273" s="61"/>
      <c r="D1273" s="61"/>
      <c r="E1273" s="62"/>
      <c r="F1273" s="60"/>
      <c r="H1273" s="60"/>
      <c r="I1273" s="63"/>
      <c r="J1273" s="64"/>
      <c r="K1273" s="60"/>
    </row>
    <row r="1274">
      <c r="A1274" s="51"/>
      <c r="B1274" s="60"/>
      <c r="C1274" s="61"/>
      <c r="D1274" s="61"/>
      <c r="E1274" s="62"/>
      <c r="F1274" s="60"/>
      <c r="H1274" s="60"/>
      <c r="I1274" s="63"/>
      <c r="J1274" s="64"/>
      <c r="K1274" s="60"/>
    </row>
    <row r="1275">
      <c r="A1275" s="51"/>
      <c r="B1275" s="60"/>
      <c r="C1275" s="61"/>
      <c r="D1275" s="61"/>
      <c r="E1275" s="62"/>
      <c r="F1275" s="60"/>
      <c r="H1275" s="60"/>
      <c r="I1275" s="63"/>
      <c r="J1275" s="64"/>
      <c r="K1275" s="60"/>
    </row>
    <row r="1276">
      <c r="A1276" s="51"/>
      <c r="B1276" s="60"/>
      <c r="C1276" s="61"/>
      <c r="D1276" s="61"/>
      <c r="E1276" s="62"/>
      <c r="F1276" s="60"/>
      <c r="H1276" s="60"/>
      <c r="I1276" s="63"/>
      <c r="J1276" s="64"/>
      <c r="K1276" s="60"/>
    </row>
    <row r="1277">
      <c r="A1277" s="51"/>
      <c r="B1277" s="60"/>
      <c r="C1277" s="61"/>
      <c r="D1277" s="61"/>
      <c r="E1277" s="62"/>
      <c r="F1277" s="60"/>
      <c r="H1277" s="60"/>
      <c r="I1277" s="63"/>
      <c r="J1277" s="64"/>
      <c r="K1277" s="60"/>
    </row>
    <row r="1278">
      <c r="A1278" s="51"/>
      <c r="B1278" s="60"/>
      <c r="C1278" s="61"/>
      <c r="D1278" s="61"/>
      <c r="E1278" s="62"/>
      <c r="F1278" s="60"/>
      <c r="H1278" s="60"/>
      <c r="I1278" s="63"/>
      <c r="J1278" s="64"/>
      <c r="K1278" s="60"/>
    </row>
    <row r="1279">
      <c r="A1279" s="51"/>
      <c r="B1279" s="60"/>
      <c r="C1279" s="61"/>
      <c r="D1279" s="61"/>
      <c r="E1279" s="62"/>
      <c r="F1279" s="60"/>
      <c r="H1279" s="60"/>
      <c r="I1279" s="63"/>
      <c r="J1279" s="64"/>
      <c r="K1279" s="60"/>
    </row>
    <row r="1280">
      <c r="A1280" s="51"/>
      <c r="B1280" s="60"/>
      <c r="C1280" s="61"/>
      <c r="D1280" s="61"/>
      <c r="E1280" s="62"/>
      <c r="F1280" s="60"/>
      <c r="H1280" s="60"/>
      <c r="I1280" s="63"/>
      <c r="J1280" s="64"/>
      <c r="K1280" s="60"/>
    </row>
    <row r="1281">
      <c r="A1281" s="51"/>
      <c r="B1281" s="60"/>
      <c r="C1281" s="61"/>
      <c r="D1281" s="61"/>
      <c r="E1281" s="62"/>
      <c r="F1281" s="60"/>
      <c r="H1281" s="60"/>
      <c r="I1281" s="63"/>
      <c r="J1281" s="64"/>
      <c r="K1281" s="60"/>
    </row>
    <row r="1282">
      <c r="A1282" s="51"/>
      <c r="B1282" s="60"/>
      <c r="C1282" s="61"/>
      <c r="D1282" s="61"/>
      <c r="E1282" s="62"/>
      <c r="F1282" s="60"/>
      <c r="H1282" s="60"/>
      <c r="I1282" s="63"/>
      <c r="J1282" s="64"/>
      <c r="K1282" s="60"/>
    </row>
    <row r="1283">
      <c r="A1283" s="51"/>
      <c r="B1283" s="60"/>
      <c r="C1283" s="61"/>
      <c r="D1283" s="61"/>
      <c r="E1283" s="62"/>
      <c r="F1283" s="60"/>
      <c r="H1283" s="60"/>
      <c r="I1283" s="63"/>
      <c r="J1283" s="64"/>
      <c r="K1283" s="60"/>
    </row>
    <row r="1284">
      <c r="A1284" s="51"/>
      <c r="B1284" s="60"/>
      <c r="C1284" s="61"/>
      <c r="D1284" s="61"/>
      <c r="E1284" s="62"/>
      <c r="F1284" s="60"/>
      <c r="H1284" s="60"/>
      <c r="I1284" s="63"/>
      <c r="J1284" s="64"/>
      <c r="K1284" s="60"/>
    </row>
    <row r="1285">
      <c r="A1285" s="51"/>
      <c r="B1285" s="60"/>
      <c r="C1285" s="61"/>
      <c r="D1285" s="61"/>
      <c r="E1285" s="62"/>
      <c r="F1285" s="60"/>
      <c r="H1285" s="60"/>
      <c r="I1285" s="63"/>
      <c r="J1285" s="64"/>
      <c r="K1285" s="60"/>
    </row>
    <row r="1286">
      <c r="A1286" s="51"/>
      <c r="B1286" s="60"/>
      <c r="C1286" s="61"/>
      <c r="D1286" s="61"/>
      <c r="E1286" s="62"/>
      <c r="F1286" s="60"/>
      <c r="H1286" s="60"/>
      <c r="I1286" s="63"/>
      <c r="J1286" s="64"/>
      <c r="K1286" s="60"/>
    </row>
    <row r="1287">
      <c r="A1287" s="51"/>
      <c r="B1287" s="60"/>
      <c r="C1287" s="61"/>
      <c r="D1287" s="61"/>
      <c r="E1287" s="62"/>
      <c r="F1287" s="60"/>
      <c r="H1287" s="60"/>
      <c r="I1287" s="63"/>
      <c r="J1287" s="64"/>
      <c r="K1287" s="60"/>
    </row>
    <row r="1288">
      <c r="A1288" s="51"/>
      <c r="B1288" s="60"/>
      <c r="C1288" s="61"/>
      <c r="D1288" s="61"/>
      <c r="E1288" s="62"/>
      <c r="F1288" s="60"/>
      <c r="H1288" s="60"/>
      <c r="I1288" s="63"/>
      <c r="J1288" s="64"/>
      <c r="K1288" s="60"/>
    </row>
    <row r="1289">
      <c r="A1289" s="51"/>
      <c r="B1289" s="60"/>
      <c r="C1289" s="61"/>
      <c r="D1289" s="61"/>
      <c r="E1289" s="62"/>
      <c r="F1289" s="60"/>
      <c r="H1289" s="60"/>
      <c r="I1289" s="63"/>
      <c r="J1289" s="64"/>
      <c r="K1289" s="60"/>
    </row>
    <row r="1290">
      <c r="A1290" s="51"/>
      <c r="B1290" s="60"/>
      <c r="C1290" s="61"/>
      <c r="D1290" s="61"/>
      <c r="E1290" s="62"/>
      <c r="F1290" s="60"/>
      <c r="H1290" s="60"/>
      <c r="I1290" s="63"/>
      <c r="J1290" s="64"/>
      <c r="K1290" s="60"/>
    </row>
    <row r="1291">
      <c r="A1291" s="51"/>
      <c r="B1291" s="60"/>
      <c r="C1291" s="61"/>
      <c r="D1291" s="61"/>
      <c r="E1291" s="62"/>
      <c r="F1291" s="60"/>
      <c r="H1291" s="60"/>
      <c r="I1291" s="63"/>
      <c r="J1291" s="64"/>
      <c r="K1291" s="60"/>
    </row>
    <row r="1292">
      <c r="A1292" s="51"/>
      <c r="B1292" s="60"/>
      <c r="C1292" s="61"/>
      <c r="D1292" s="61"/>
      <c r="E1292" s="62"/>
      <c r="F1292" s="60"/>
      <c r="H1292" s="60"/>
      <c r="I1292" s="63"/>
      <c r="J1292" s="64"/>
      <c r="K1292" s="60"/>
    </row>
    <row r="1293">
      <c r="A1293" s="51"/>
      <c r="B1293" s="60"/>
      <c r="C1293" s="61"/>
      <c r="D1293" s="61"/>
      <c r="E1293" s="62"/>
      <c r="F1293" s="60"/>
      <c r="H1293" s="60"/>
      <c r="I1293" s="63"/>
      <c r="J1293" s="64"/>
      <c r="K1293" s="60"/>
    </row>
    <row r="1294">
      <c r="A1294" s="51"/>
      <c r="B1294" s="60"/>
      <c r="C1294" s="61"/>
      <c r="D1294" s="61"/>
      <c r="E1294" s="62"/>
      <c r="F1294" s="60"/>
      <c r="H1294" s="60"/>
      <c r="I1294" s="63"/>
      <c r="J1294" s="64"/>
      <c r="K1294" s="60"/>
    </row>
    <row r="1295">
      <c r="A1295" s="51"/>
      <c r="B1295" s="60"/>
      <c r="C1295" s="61"/>
      <c r="D1295" s="61"/>
      <c r="E1295" s="62"/>
      <c r="F1295" s="60"/>
      <c r="H1295" s="60"/>
      <c r="I1295" s="63"/>
      <c r="J1295" s="64"/>
      <c r="K1295" s="60"/>
    </row>
    <row r="1296">
      <c r="A1296" s="51"/>
      <c r="B1296" s="60"/>
      <c r="C1296" s="61"/>
      <c r="D1296" s="61"/>
      <c r="E1296" s="62"/>
      <c r="F1296" s="60"/>
      <c r="H1296" s="60"/>
      <c r="I1296" s="63"/>
      <c r="J1296" s="64"/>
      <c r="K1296" s="60"/>
    </row>
    <row r="1297">
      <c r="A1297" s="51"/>
      <c r="B1297" s="60"/>
      <c r="C1297" s="61"/>
      <c r="D1297" s="61"/>
      <c r="E1297" s="62"/>
      <c r="F1297" s="60"/>
      <c r="H1297" s="60"/>
      <c r="I1297" s="63"/>
      <c r="J1297" s="64"/>
      <c r="K1297" s="60"/>
    </row>
    <row r="1298">
      <c r="A1298" s="51"/>
      <c r="B1298" s="60"/>
      <c r="C1298" s="61"/>
      <c r="D1298" s="61"/>
      <c r="E1298" s="62"/>
      <c r="F1298" s="60"/>
      <c r="H1298" s="60"/>
      <c r="I1298" s="63"/>
      <c r="J1298" s="64"/>
      <c r="K1298" s="60"/>
    </row>
    <row r="1299">
      <c r="A1299" s="51"/>
      <c r="B1299" s="60"/>
      <c r="C1299" s="61"/>
      <c r="D1299" s="61"/>
      <c r="E1299" s="62"/>
      <c r="F1299" s="60"/>
      <c r="H1299" s="60"/>
      <c r="I1299" s="63"/>
      <c r="J1299" s="64"/>
      <c r="K1299" s="60"/>
    </row>
    <row r="1300">
      <c r="A1300" s="51"/>
      <c r="B1300" s="60"/>
      <c r="C1300" s="61"/>
      <c r="D1300" s="61"/>
      <c r="E1300" s="62"/>
      <c r="F1300" s="60"/>
      <c r="H1300" s="60"/>
      <c r="I1300" s="63"/>
      <c r="J1300" s="64"/>
      <c r="K1300" s="60"/>
    </row>
    <row r="1301">
      <c r="A1301" s="51"/>
      <c r="B1301" s="60"/>
      <c r="C1301" s="61"/>
      <c r="D1301" s="61"/>
      <c r="E1301" s="62"/>
      <c r="F1301" s="60"/>
      <c r="H1301" s="60"/>
      <c r="I1301" s="63"/>
      <c r="J1301" s="64"/>
      <c r="K1301" s="60"/>
    </row>
    <row r="1302">
      <c r="A1302" s="51"/>
      <c r="B1302" s="60"/>
      <c r="C1302" s="61"/>
      <c r="D1302" s="61"/>
      <c r="E1302" s="62"/>
      <c r="F1302" s="60"/>
      <c r="H1302" s="60"/>
      <c r="I1302" s="63"/>
      <c r="J1302" s="64"/>
      <c r="K1302" s="60"/>
    </row>
    <row r="1303">
      <c r="A1303" s="51"/>
      <c r="B1303" s="60"/>
      <c r="C1303" s="61"/>
      <c r="D1303" s="61"/>
      <c r="E1303" s="62"/>
      <c r="F1303" s="60"/>
      <c r="H1303" s="60"/>
      <c r="I1303" s="63"/>
      <c r="J1303" s="64"/>
      <c r="K1303" s="60"/>
    </row>
    <row r="1304">
      <c r="A1304" s="51"/>
      <c r="B1304" s="60"/>
      <c r="C1304" s="61"/>
      <c r="D1304" s="61"/>
      <c r="E1304" s="62"/>
      <c r="F1304" s="60"/>
      <c r="H1304" s="60"/>
      <c r="I1304" s="63"/>
      <c r="J1304" s="64"/>
      <c r="K1304" s="60"/>
    </row>
    <row r="1305">
      <c r="A1305" s="51"/>
      <c r="B1305" s="60"/>
      <c r="C1305" s="61"/>
      <c r="D1305" s="61"/>
      <c r="E1305" s="62"/>
      <c r="F1305" s="60"/>
      <c r="H1305" s="60"/>
      <c r="I1305" s="63"/>
      <c r="J1305" s="64"/>
      <c r="K1305" s="60"/>
    </row>
    <row r="1306">
      <c r="A1306" s="51"/>
      <c r="B1306" s="60"/>
      <c r="C1306" s="61"/>
      <c r="D1306" s="61"/>
      <c r="E1306" s="62"/>
      <c r="F1306" s="60"/>
      <c r="H1306" s="60"/>
      <c r="I1306" s="63"/>
      <c r="J1306" s="64"/>
      <c r="K1306" s="60"/>
    </row>
    <row r="1307">
      <c r="A1307" s="51"/>
      <c r="B1307" s="60"/>
      <c r="C1307" s="61"/>
      <c r="D1307" s="61"/>
      <c r="E1307" s="62"/>
      <c r="F1307" s="60"/>
      <c r="H1307" s="60"/>
      <c r="I1307" s="63"/>
      <c r="J1307" s="64"/>
      <c r="K1307" s="60"/>
    </row>
    <row r="1308">
      <c r="A1308" s="51"/>
      <c r="B1308" s="60"/>
      <c r="C1308" s="61"/>
      <c r="D1308" s="61"/>
      <c r="E1308" s="62"/>
      <c r="F1308" s="60"/>
      <c r="H1308" s="60"/>
      <c r="I1308" s="63"/>
      <c r="J1308" s="64"/>
      <c r="K1308" s="60"/>
    </row>
    <row r="1309">
      <c r="A1309" s="51"/>
      <c r="B1309" s="60"/>
      <c r="C1309" s="61"/>
      <c r="D1309" s="61"/>
      <c r="E1309" s="62"/>
      <c r="F1309" s="60"/>
      <c r="H1309" s="60"/>
      <c r="I1309" s="63"/>
      <c r="J1309" s="64"/>
      <c r="K1309" s="60"/>
    </row>
    <row r="1310">
      <c r="A1310" s="51"/>
      <c r="B1310" s="60"/>
      <c r="C1310" s="61"/>
      <c r="D1310" s="61"/>
      <c r="E1310" s="62"/>
      <c r="F1310" s="60"/>
      <c r="H1310" s="60"/>
      <c r="I1310" s="63"/>
      <c r="J1310" s="64"/>
      <c r="K1310" s="60"/>
    </row>
    <row r="1311">
      <c r="A1311" s="51"/>
      <c r="B1311" s="60"/>
      <c r="C1311" s="61"/>
      <c r="D1311" s="61"/>
      <c r="E1311" s="62"/>
      <c r="F1311" s="60"/>
      <c r="H1311" s="60"/>
      <c r="I1311" s="63"/>
      <c r="J1311" s="64"/>
      <c r="K1311" s="60"/>
    </row>
    <row r="1312">
      <c r="A1312" s="51"/>
      <c r="B1312" s="60"/>
      <c r="C1312" s="61"/>
      <c r="D1312" s="61"/>
      <c r="E1312" s="62"/>
      <c r="F1312" s="60"/>
      <c r="H1312" s="60"/>
      <c r="I1312" s="63"/>
      <c r="J1312" s="64"/>
      <c r="K1312" s="60"/>
    </row>
    <row r="1313">
      <c r="A1313" s="51"/>
      <c r="B1313" s="60"/>
      <c r="C1313" s="61"/>
      <c r="D1313" s="61"/>
      <c r="E1313" s="62"/>
      <c r="F1313" s="60"/>
      <c r="H1313" s="60"/>
      <c r="I1313" s="63"/>
      <c r="J1313" s="64"/>
      <c r="K1313" s="60"/>
    </row>
    <row r="1314">
      <c r="A1314" s="51"/>
      <c r="B1314" s="60"/>
      <c r="C1314" s="61"/>
      <c r="D1314" s="61"/>
      <c r="E1314" s="62"/>
      <c r="F1314" s="60"/>
      <c r="H1314" s="60"/>
      <c r="I1314" s="63"/>
      <c r="J1314" s="64"/>
      <c r="K1314" s="60"/>
    </row>
    <row r="1315">
      <c r="A1315" s="51"/>
      <c r="B1315" s="60"/>
      <c r="C1315" s="61"/>
      <c r="D1315" s="61"/>
      <c r="E1315" s="62"/>
      <c r="F1315" s="60"/>
      <c r="H1315" s="60"/>
      <c r="I1315" s="63"/>
      <c r="J1315" s="64"/>
      <c r="K1315" s="60"/>
    </row>
    <row r="1316">
      <c r="A1316" s="51"/>
      <c r="B1316" s="60"/>
      <c r="C1316" s="61"/>
      <c r="D1316" s="61"/>
      <c r="E1316" s="62"/>
      <c r="F1316" s="60"/>
      <c r="H1316" s="60"/>
      <c r="I1316" s="63"/>
      <c r="J1316" s="64"/>
      <c r="K1316" s="60"/>
    </row>
    <row r="1317">
      <c r="A1317" s="51"/>
      <c r="B1317" s="60"/>
      <c r="C1317" s="61"/>
      <c r="D1317" s="61"/>
      <c r="E1317" s="62"/>
      <c r="F1317" s="60"/>
      <c r="H1317" s="60"/>
      <c r="I1317" s="63"/>
      <c r="J1317" s="64"/>
      <c r="K1317" s="60"/>
    </row>
    <row r="1318">
      <c r="A1318" s="51"/>
      <c r="B1318" s="60"/>
      <c r="C1318" s="61"/>
      <c r="D1318" s="61"/>
      <c r="E1318" s="62"/>
      <c r="F1318" s="60"/>
      <c r="H1318" s="60"/>
      <c r="I1318" s="63"/>
      <c r="J1318" s="64"/>
      <c r="K1318" s="60"/>
    </row>
    <row r="1319">
      <c r="A1319" s="51"/>
      <c r="B1319" s="60"/>
      <c r="C1319" s="61"/>
      <c r="D1319" s="61"/>
      <c r="E1319" s="62"/>
      <c r="F1319" s="60"/>
      <c r="H1319" s="60"/>
      <c r="I1319" s="63"/>
      <c r="J1319" s="64"/>
      <c r="K1319" s="60"/>
    </row>
    <row r="1320">
      <c r="A1320" s="51"/>
      <c r="B1320" s="60"/>
      <c r="C1320" s="61"/>
      <c r="D1320" s="61"/>
      <c r="E1320" s="62"/>
      <c r="F1320" s="60"/>
      <c r="H1320" s="60"/>
      <c r="I1320" s="63"/>
      <c r="J1320" s="64"/>
      <c r="K1320" s="60"/>
    </row>
    <row r="1321">
      <c r="A1321" s="51"/>
      <c r="B1321" s="60"/>
      <c r="C1321" s="61"/>
      <c r="D1321" s="61"/>
      <c r="E1321" s="62"/>
      <c r="F1321" s="60"/>
      <c r="H1321" s="60"/>
      <c r="I1321" s="63"/>
      <c r="J1321" s="64"/>
      <c r="K1321" s="60"/>
    </row>
    <row r="1322">
      <c r="A1322" s="51"/>
      <c r="B1322" s="60"/>
      <c r="C1322" s="61"/>
      <c r="D1322" s="61"/>
      <c r="E1322" s="62"/>
      <c r="F1322" s="60"/>
      <c r="H1322" s="60"/>
      <c r="I1322" s="63"/>
      <c r="J1322" s="64"/>
      <c r="K1322" s="60"/>
    </row>
    <row r="1323">
      <c r="A1323" s="51"/>
      <c r="B1323" s="60"/>
      <c r="C1323" s="61"/>
      <c r="D1323" s="61"/>
      <c r="E1323" s="62"/>
      <c r="F1323" s="60"/>
      <c r="H1323" s="60"/>
      <c r="I1323" s="63"/>
      <c r="J1323" s="64"/>
      <c r="K1323" s="60"/>
    </row>
    <row r="1324">
      <c r="A1324" s="51"/>
      <c r="B1324" s="60"/>
      <c r="C1324" s="61"/>
      <c r="D1324" s="61"/>
      <c r="E1324" s="62"/>
      <c r="F1324" s="60"/>
      <c r="H1324" s="60"/>
      <c r="I1324" s="63"/>
      <c r="J1324" s="64"/>
      <c r="K1324" s="60"/>
    </row>
    <row r="1325">
      <c r="A1325" s="51"/>
      <c r="B1325" s="60"/>
      <c r="C1325" s="61"/>
      <c r="D1325" s="61"/>
      <c r="E1325" s="62"/>
      <c r="F1325" s="60"/>
      <c r="H1325" s="60"/>
      <c r="I1325" s="63"/>
      <c r="J1325" s="64"/>
      <c r="K1325" s="60"/>
    </row>
    <row r="1326">
      <c r="A1326" s="51"/>
      <c r="B1326" s="60"/>
      <c r="C1326" s="61"/>
      <c r="D1326" s="61"/>
      <c r="E1326" s="62"/>
      <c r="F1326" s="60"/>
      <c r="H1326" s="60"/>
      <c r="I1326" s="63"/>
      <c r="J1326" s="64"/>
      <c r="K1326" s="60"/>
    </row>
    <row r="1327">
      <c r="A1327" s="51"/>
      <c r="B1327" s="60"/>
      <c r="C1327" s="61"/>
      <c r="D1327" s="61"/>
      <c r="E1327" s="62"/>
      <c r="F1327" s="60"/>
      <c r="H1327" s="60"/>
      <c r="I1327" s="63"/>
      <c r="J1327" s="64"/>
      <c r="K1327" s="60"/>
    </row>
    <row r="1328">
      <c r="A1328" s="51"/>
      <c r="B1328" s="60"/>
      <c r="C1328" s="61"/>
      <c r="D1328" s="61"/>
      <c r="E1328" s="62"/>
      <c r="F1328" s="60"/>
      <c r="H1328" s="60"/>
      <c r="I1328" s="63"/>
      <c r="J1328" s="64"/>
      <c r="K1328" s="60"/>
    </row>
    <row r="1329">
      <c r="A1329" s="51"/>
      <c r="B1329" s="60"/>
      <c r="C1329" s="61"/>
      <c r="D1329" s="61"/>
      <c r="E1329" s="62"/>
      <c r="F1329" s="60"/>
      <c r="H1329" s="60"/>
      <c r="I1329" s="63"/>
      <c r="J1329" s="64"/>
      <c r="K1329" s="60"/>
    </row>
    <row r="1330">
      <c r="A1330" s="51"/>
      <c r="B1330" s="60"/>
      <c r="C1330" s="61"/>
      <c r="D1330" s="61"/>
      <c r="E1330" s="62"/>
      <c r="F1330" s="60"/>
      <c r="H1330" s="60"/>
      <c r="I1330" s="63"/>
      <c r="J1330" s="64"/>
      <c r="K1330" s="60"/>
    </row>
    <row r="1331">
      <c r="A1331" s="51"/>
      <c r="B1331" s="60"/>
      <c r="C1331" s="61"/>
      <c r="D1331" s="61"/>
      <c r="E1331" s="62"/>
      <c r="F1331" s="60"/>
      <c r="H1331" s="60"/>
      <c r="I1331" s="63"/>
      <c r="J1331" s="64"/>
      <c r="K1331" s="60"/>
    </row>
    <row r="1332">
      <c r="A1332" s="51"/>
      <c r="B1332" s="60"/>
      <c r="C1332" s="61"/>
      <c r="D1332" s="61"/>
      <c r="E1332" s="62"/>
      <c r="F1332" s="60"/>
      <c r="H1332" s="60"/>
      <c r="I1332" s="63"/>
      <c r="J1332" s="64"/>
      <c r="K1332" s="60"/>
    </row>
    <row r="1333">
      <c r="A1333" s="51"/>
      <c r="B1333" s="60"/>
      <c r="C1333" s="61"/>
      <c r="D1333" s="61"/>
      <c r="E1333" s="62"/>
      <c r="F1333" s="60"/>
      <c r="H1333" s="60"/>
      <c r="I1333" s="63"/>
      <c r="J1333" s="64"/>
      <c r="K1333" s="60"/>
    </row>
    <row r="1334">
      <c r="A1334" s="51"/>
      <c r="B1334" s="60"/>
      <c r="C1334" s="61"/>
      <c r="D1334" s="61"/>
      <c r="E1334" s="62"/>
      <c r="F1334" s="60"/>
      <c r="H1334" s="60"/>
      <c r="I1334" s="63"/>
      <c r="J1334" s="64"/>
      <c r="K1334" s="60"/>
    </row>
    <row r="1335">
      <c r="A1335" s="51"/>
      <c r="B1335" s="60"/>
      <c r="C1335" s="61"/>
      <c r="D1335" s="61"/>
      <c r="E1335" s="62"/>
      <c r="F1335" s="60"/>
      <c r="H1335" s="60"/>
      <c r="I1335" s="63"/>
      <c r="J1335" s="64"/>
      <c r="K1335" s="60"/>
    </row>
    <row r="1336">
      <c r="A1336" s="51"/>
      <c r="B1336" s="60"/>
      <c r="C1336" s="61"/>
      <c r="D1336" s="61"/>
      <c r="E1336" s="62"/>
      <c r="F1336" s="60"/>
      <c r="H1336" s="60"/>
      <c r="I1336" s="63"/>
      <c r="J1336" s="64"/>
      <c r="K1336" s="60"/>
    </row>
    <row r="1337">
      <c r="A1337" s="51"/>
      <c r="B1337" s="60"/>
      <c r="C1337" s="61"/>
      <c r="D1337" s="61"/>
      <c r="E1337" s="62"/>
      <c r="F1337" s="60"/>
      <c r="H1337" s="60"/>
      <c r="I1337" s="63"/>
      <c r="J1337" s="64"/>
      <c r="K1337" s="60"/>
    </row>
    <row r="1338">
      <c r="A1338" s="51"/>
      <c r="B1338" s="60"/>
      <c r="C1338" s="61"/>
      <c r="D1338" s="61"/>
      <c r="E1338" s="62"/>
      <c r="F1338" s="60"/>
      <c r="H1338" s="60"/>
      <c r="I1338" s="63"/>
      <c r="J1338" s="64"/>
      <c r="K1338" s="60"/>
    </row>
    <row r="1339">
      <c r="A1339" s="51"/>
      <c r="B1339" s="60"/>
      <c r="C1339" s="61"/>
      <c r="D1339" s="61"/>
      <c r="E1339" s="62"/>
      <c r="F1339" s="60"/>
      <c r="H1339" s="60"/>
      <c r="I1339" s="63"/>
      <c r="J1339" s="64"/>
      <c r="K1339" s="60"/>
    </row>
    <row r="1340">
      <c r="A1340" s="51"/>
      <c r="B1340" s="60"/>
      <c r="C1340" s="61"/>
      <c r="D1340" s="61"/>
      <c r="E1340" s="62"/>
      <c r="F1340" s="60"/>
      <c r="H1340" s="60"/>
      <c r="I1340" s="63"/>
      <c r="J1340" s="64"/>
      <c r="K1340" s="60"/>
    </row>
    <row r="1341">
      <c r="A1341" s="51"/>
      <c r="B1341" s="60"/>
      <c r="C1341" s="61"/>
      <c r="D1341" s="61"/>
      <c r="E1341" s="62"/>
      <c r="F1341" s="60"/>
      <c r="H1341" s="60"/>
      <c r="I1341" s="63"/>
      <c r="J1341" s="64"/>
      <c r="K1341" s="60"/>
    </row>
    <row r="1342">
      <c r="A1342" s="51"/>
      <c r="B1342" s="60"/>
      <c r="C1342" s="61"/>
      <c r="D1342" s="61"/>
      <c r="E1342" s="62"/>
      <c r="F1342" s="60"/>
      <c r="H1342" s="60"/>
      <c r="I1342" s="63"/>
      <c r="J1342" s="64"/>
      <c r="K1342" s="60"/>
    </row>
    <row r="1343">
      <c r="A1343" s="51"/>
      <c r="B1343" s="60"/>
      <c r="C1343" s="61"/>
      <c r="D1343" s="61"/>
      <c r="E1343" s="62"/>
      <c r="F1343" s="60"/>
      <c r="H1343" s="60"/>
      <c r="I1343" s="63"/>
      <c r="J1343" s="64"/>
      <c r="K1343" s="60"/>
    </row>
    <row r="1344">
      <c r="A1344" s="51"/>
      <c r="B1344" s="60"/>
      <c r="C1344" s="61"/>
      <c r="D1344" s="61"/>
      <c r="E1344" s="62"/>
      <c r="F1344" s="60"/>
      <c r="H1344" s="60"/>
      <c r="I1344" s="63"/>
      <c r="J1344" s="64"/>
      <c r="K1344" s="60"/>
    </row>
    <row r="1345">
      <c r="A1345" s="51"/>
      <c r="B1345" s="60"/>
      <c r="C1345" s="61"/>
      <c r="D1345" s="61"/>
      <c r="E1345" s="62"/>
      <c r="F1345" s="60"/>
      <c r="H1345" s="60"/>
      <c r="I1345" s="63"/>
      <c r="J1345" s="64"/>
      <c r="K1345" s="60"/>
    </row>
    <row r="1346">
      <c r="A1346" s="51"/>
      <c r="B1346" s="60"/>
      <c r="C1346" s="61"/>
      <c r="D1346" s="61"/>
      <c r="E1346" s="62"/>
      <c r="F1346" s="60"/>
      <c r="H1346" s="60"/>
      <c r="I1346" s="63"/>
      <c r="J1346" s="64"/>
      <c r="K1346" s="60"/>
    </row>
    <row r="1347">
      <c r="A1347" s="51"/>
      <c r="B1347" s="60"/>
      <c r="C1347" s="61"/>
      <c r="D1347" s="61"/>
      <c r="E1347" s="62"/>
      <c r="F1347" s="60"/>
      <c r="H1347" s="60"/>
      <c r="I1347" s="63"/>
      <c r="J1347" s="64"/>
      <c r="K1347" s="60"/>
    </row>
    <row r="1348">
      <c r="A1348" s="51"/>
      <c r="B1348" s="60"/>
      <c r="C1348" s="61"/>
      <c r="D1348" s="61"/>
      <c r="E1348" s="62"/>
      <c r="F1348" s="60"/>
      <c r="H1348" s="60"/>
      <c r="I1348" s="63"/>
      <c r="J1348" s="64"/>
      <c r="K1348" s="60"/>
    </row>
    <row r="1349">
      <c r="A1349" s="51"/>
      <c r="B1349" s="60"/>
      <c r="C1349" s="61"/>
      <c r="D1349" s="61"/>
      <c r="E1349" s="62"/>
      <c r="F1349" s="60"/>
      <c r="H1349" s="60"/>
      <c r="I1349" s="63"/>
      <c r="J1349" s="64"/>
      <c r="K1349" s="60"/>
    </row>
    <row r="1350">
      <c r="A1350" s="51"/>
      <c r="B1350" s="60"/>
      <c r="C1350" s="61"/>
      <c r="D1350" s="61"/>
      <c r="E1350" s="62"/>
      <c r="F1350" s="60"/>
      <c r="H1350" s="60"/>
      <c r="I1350" s="63"/>
      <c r="J1350" s="64"/>
      <c r="K1350" s="60"/>
    </row>
    <row r="1351">
      <c r="A1351" s="51"/>
      <c r="B1351" s="60"/>
      <c r="C1351" s="61"/>
      <c r="D1351" s="61"/>
      <c r="E1351" s="62"/>
      <c r="F1351" s="60"/>
      <c r="H1351" s="60"/>
      <c r="I1351" s="63"/>
      <c r="J1351" s="64"/>
      <c r="K1351" s="60"/>
    </row>
    <row r="1352">
      <c r="A1352" s="51"/>
      <c r="B1352" s="60"/>
      <c r="C1352" s="61"/>
      <c r="D1352" s="61"/>
      <c r="E1352" s="62"/>
      <c r="F1352" s="60"/>
      <c r="H1352" s="60"/>
      <c r="I1352" s="63"/>
      <c r="J1352" s="64"/>
      <c r="K1352" s="60"/>
    </row>
    <row r="1353">
      <c r="A1353" s="51"/>
      <c r="B1353" s="60"/>
      <c r="C1353" s="61"/>
      <c r="D1353" s="61"/>
      <c r="E1353" s="62"/>
      <c r="F1353" s="60"/>
      <c r="H1353" s="60"/>
      <c r="I1353" s="63"/>
      <c r="J1353" s="64"/>
      <c r="K1353" s="60"/>
    </row>
    <row r="1354">
      <c r="A1354" s="51"/>
      <c r="B1354" s="60"/>
      <c r="C1354" s="61"/>
      <c r="D1354" s="61"/>
      <c r="E1354" s="62"/>
      <c r="F1354" s="60"/>
      <c r="H1354" s="60"/>
      <c r="I1354" s="63"/>
      <c r="J1354" s="64"/>
      <c r="K1354" s="60"/>
    </row>
    <row r="1355">
      <c r="A1355" s="51"/>
      <c r="B1355" s="60"/>
      <c r="C1355" s="61"/>
      <c r="D1355" s="61"/>
      <c r="E1355" s="62"/>
      <c r="F1355" s="60"/>
      <c r="H1355" s="60"/>
      <c r="I1355" s="63"/>
      <c r="J1355" s="64"/>
      <c r="K1355" s="60"/>
    </row>
    <row r="1356">
      <c r="A1356" s="51"/>
      <c r="B1356" s="60"/>
      <c r="C1356" s="61"/>
      <c r="D1356" s="61"/>
      <c r="E1356" s="62"/>
      <c r="F1356" s="60"/>
      <c r="H1356" s="60"/>
      <c r="I1356" s="63"/>
      <c r="J1356" s="64"/>
      <c r="K1356" s="60"/>
    </row>
    <row r="1357">
      <c r="A1357" s="51"/>
      <c r="B1357" s="60"/>
      <c r="C1357" s="61"/>
      <c r="D1357" s="61"/>
      <c r="E1357" s="62"/>
      <c r="F1357" s="60"/>
      <c r="H1357" s="60"/>
      <c r="I1357" s="63"/>
      <c r="J1357" s="64"/>
      <c r="K1357" s="60"/>
    </row>
    <row r="1358">
      <c r="A1358" s="51"/>
      <c r="B1358" s="60"/>
      <c r="C1358" s="61"/>
      <c r="D1358" s="61"/>
      <c r="E1358" s="62"/>
      <c r="F1358" s="60"/>
      <c r="H1358" s="60"/>
      <c r="I1358" s="63"/>
      <c r="J1358" s="64"/>
      <c r="K1358" s="60"/>
    </row>
    <row r="1359">
      <c r="A1359" s="51"/>
      <c r="B1359" s="60"/>
      <c r="C1359" s="61"/>
      <c r="D1359" s="61"/>
      <c r="E1359" s="62"/>
      <c r="F1359" s="60"/>
      <c r="H1359" s="60"/>
      <c r="I1359" s="63"/>
      <c r="J1359" s="64"/>
      <c r="K1359" s="60"/>
    </row>
    <row r="1360">
      <c r="A1360" s="51"/>
      <c r="B1360" s="60"/>
      <c r="C1360" s="61"/>
      <c r="D1360" s="61"/>
      <c r="E1360" s="62"/>
      <c r="F1360" s="60"/>
      <c r="H1360" s="60"/>
      <c r="I1360" s="63"/>
      <c r="J1360" s="64"/>
      <c r="K1360" s="60"/>
    </row>
    <row r="1361">
      <c r="A1361" s="51"/>
      <c r="B1361" s="60"/>
      <c r="C1361" s="61"/>
      <c r="D1361" s="61"/>
      <c r="E1361" s="62"/>
      <c r="F1361" s="60"/>
      <c r="H1361" s="60"/>
      <c r="I1361" s="63"/>
      <c r="J1361" s="64"/>
      <c r="K1361" s="60"/>
    </row>
    <row r="1362">
      <c r="A1362" s="51"/>
      <c r="B1362" s="60"/>
      <c r="C1362" s="61"/>
      <c r="D1362" s="61"/>
      <c r="E1362" s="62"/>
      <c r="F1362" s="60"/>
      <c r="H1362" s="60"/>
      <c r="I1362" s="63"/>
      <c r="J1362" s="64"/>
      <c r="K1362" s="60"/>
    </row>
    <row r="1363">
      <c r="A1363" s="51"/>
      <c r="B1363" s="60"/>
      <c r="C1363" s="61"/>
      <c r="D1363" s="61"/>
      <c r="E1363" s="62"/>
      <c r="F1363" s="60"/>
      <c r="H1363" s="60"/>
      <c r="I1363" s="63"/>
      <c r="J1363" s="64"/>
      <c r="K1363" s="60"/>
    </row>
    <row r="1364">
      <c r="A1364" s="51"/>
      <c r="B1364" s="60"/>
      <c r="C1364" s="61"/>
      <c r="D1364" s="61"/>
      <c r="E1364" s="62"/>
      <c r="F1364" s="60"/>
      <c r="H1364" s="60"/>
      <c r="I1364" s="63"/>
      <c r="J1364" s="64"/>
      <c r="K1364" s="60"/>
    </row>
    <row r="1365">
      <c r="A1365" s="51"/>
      <c r="B1365" s="60"/>
      <c r="C1365" s="61"/>
      <c r="D1365" s="61"/>
      <c r="E1365" s="62"/>
      <c r="F1365" s="60"/>
      <c r="H1365" s="60"/>
      <c r="I1365" s="63"/>
      <c r="J1365" s="64"/>
      <c r="K1365" s="60"/>
    </row>
    <row r="1366">
      <c r="A1366" s="51"/>
      <c r="B1366" s="60"/>
      <c r="C1366" s="61"/>
      <c r="D1366" s="61"/>
      <c r="E1366" s="62"/>
      <c r="F1366" s="60"/>
      <c r="H1366" s="60"/>
      <c r="I1366" s="63"/>
      <c r="J1366" s="64"/>
      <c r="K1366" s="60"/>
    </row>
    <row r="1367">
      <c r="A1367" s="51"/>
      <c r="B1367" s="60"/>
      <c r="C1367" s="61"/>
      <c r="D1367" s="61"/>
      <c r="E1367" s="62"/>
      <c r="F1367" s="60"/>
      <c r="H1367" s="60"/>
      <c r="I1367" s="63"/>
      <c r="J1367" s="64"/>
      <c r="K1367" s="60"/>
    </row>
    <row r="1368">
      <c r="A1368" s="51"/>
      <c r="B1368" s="60"/>
      <c r="C1368" s="61"/>
      <c r="D1368" s="61"/>
      <c r="E1368" s="62"/>
      <c r="F1368" s="60"/>
      <c r="H1368" s="60"/>
      <c r="I1368" s="63"/>
      <c r="J1368" s="64"/>
      <c r="K1368" s="60"/>
    </row>
    <row r="1369">
      <c r="A1369" s="51"/>
      <c r="B1369" s="60"/>
      <c r="C1369" s="61"/>
      <c r="D1369" s="61"/>
      <c r="E1369" s="62"/>
      <c r="F1369" s="60"/>
      <c r="H1369" s="60"/>
      <c r="I1369" s="63"/>
      <c r="J1369" s="64"/>
      <c r="K1369" s="60"/>
    </row>
    <row r="1370">
      <c r="A1370" s="51"/>
      <c r="B1370" s="60"/>
      <c r="C1370" s="61"/>
      <c r="D1370" s="61"/>
      <c r="E1370" s="62"/>
      <c r="F1370" s="60"/>
      <c r="H1370" s="60"/>
      <c r="I1370" s="63"/>
      <c r="J1370" s="64"/>
      <c r="K1370" s="60"/>
    </row>
    <row r="1371">
      <c r="A1371" s="51"/>
      <c r="B1371" s="60"/>
      <c r="C1371" s="61"/>
      <c r="D1371" s="61"/>
      <c r="E1371" s="62"/>
      <c r="F1371" s="60"/>
      <c r="H1371" s="60"/>
      <c r="I1371" s="63"/>
      <c r="J1371" s="64"/>
      <c r="K1371" s="60"/>
    </row>
    <row r="1372">
      <c r="A1372" s="51"/>
      <c r="B1372" s="60"/>
      <c r="C1372" s="61"/>
      <c r="D1372" s="61"/>
      <c r="E1372" s="62"/>
      <c r="F1372" s="60"/>
      <c r="H1372" s="60"/>
      <c r="I1372" s="63"/>
      <c r="J1372" s="64"/>
      <c r="K1372" s="60"/>
    </row>
    <row r="1373">
      <c r="A1373" s="51"/>
      <c r="B1373" s="60"/>
      <c r="C1373" s="61"/>
      <c r="D1373" s="61"/>
      <c r="E1373" s="62"/>
      <c r="F1373" s="60"/>
      <c r="H1373" s="60"/>
      <c r="I1373" s="63"/>
      <c r="J1373" s="64"/>
      <c r="K1373" s="60"/>
    </row>
    <row r="1374">
      <c r="A1374" s="51"/>
      <c r="B1374" s="60"/>
      <c r="C1374" s="61"/>
      <c r="D1374" s="61"/>
      <c r="E1374" s="62"/>
      <c r="F1374" s="60"/>
      <c r="H1374" s="60"/>
      <c r="I1374" s="63"/>
      <c r="J1374" s="64"/>
      <c r="K1374" s="60"/>
    </row>
    <row r="1375">
      <c r="A1375" s="51"/>
      <c r="B1375" s="60"/>
      <c r="C1375" s="61"/>
      <c r="D1375" s="61"/>
      <c r="E1375" s="62"/>
      <c r="F1375" s="60"/>
      <c r="H1375" s="60"/>
      <c r="I1375" s="63"/>
      <c r="J1375" s="64"/>
      <c r="K1375" s="60"/>
    </row>
    <row r="1376">
      <c r="A1376" s="51"/>
      <c r="B1376" s="60"/>
      <c r="C1376" s="61"/>
      <c r="D1376" s="61"/>
      <c r="E1376" s="62"/>
      <c r="F1376" s="60"/>
      <c r="H1376" s="60"/>
      <c r="I1376" s="63"/>
      <c r="J1376" s="64"/>
      <c r="K1376" s="60"/>
    </row>
    <row r="1377">
      <c r="A1377" s="51"/>
      <c r="B1377" s="60"/>
      <c r="C1377" s="61"/>
      <c r="D1377" s="61"/>
      <c r="E1377" s="62"/>
      <c r="F1377" s="60"/>
      <c r="H1377" s="60"/>
      <c r="I1377" s="63"/>
      <c r="J1377" s="64"/>
      <c r="K1377" s="60"/>
    </row>
    <row r="1378">
      <c r="A1378" s="51"/>
      <c r="B1378" s="60"/>
      <c r="C1378" s="61"/>
      <c r="D1378" s="61"/>
      <c r="E1378" s="62"/>
      <c r="F1378" s="60"/>
      <c r="H1378" s="60"/>
      <c r="I1378" s="63"/>
      <c r="J1378" s="64"/>
      <c r="K1378" s="60"/>
    </row>
    <row r="1379">
      <c r="A1379" s="51"/>
      <c r="B1379" s="60"/>
      <c r="C1379" s="61"/>
      <c r="D1379" s="61"/>
      <c r="E1379" s="62"/>
      <c r="F1379" s="60"/>
      <c r="H1379" s="60"/>
      <c r="I1379" s="63"/>
      <c r="J1379" s="64"/>
      <c r="K1379" s="60"/>
    </row>
    <row r="1380">
      <c r="A1380" s="51"/>
      <c r="B1380" s="60"/>
      <c r="C1380" s="61"/>
      <c r="D1380" s="61"/>
      <c r="E1380" s="62"/>
      <c r="F1380" s="60"/>
      <c r="H1380" s="60"/>
      <c r="I1380" s="63"/>
      <c r="J1380" s="64"/>
      <c r="K1380" s="60"/>
    </row>
    <row r="1381">
      <c r="A1381" s="51"/>
      <c r="B1381" s="60"/>
      <c r="C1381" s="61"/>
      <c r="D1381" s="61"/>
      <c r="E1381" s="62"/>
      <c r="F1381" s="60"/>
      <c r="H1381" s="60"/>
      <c r="I1381" s="63"/>
      <c r="J1381" s="64"/>
      <c r="K1381" s="60"/>
    </row>
    <row r="1382">
      <c r="A1382" s="51"/>
      <c r="B1382" s="60"/>
      <c r="C1382" s="61"/>
      <c r="D1382" s="61"/>
      <c r="E1382" s="62"/>
      <c r="F1382" s="60"/>
      <c r="H1382" s="60"/>
      <c r="I1382" s="63"/>
      <c r="J1382" s="64"/>
      <c r="K1382" s="60"/>
    </row>
    <row r="1383">
      <c r="A1383" s="51"/>
      <c r="B1383" s="60"/>
      <c r="C1383" s="61"/>
      <c r="D1383" s="61"/>
      <c r="E1383" s="62"/>
      <c r="F1383" s="60"/>
      <c r="H1383" s="60"/>
      <c r="I1383" s="63"/>
      <c r="J1383" s="64"/>
      <c r="K1383" s="60"/>
    </row>
    <row r="1384">
      <c r="A1384" s="51"/>
      <c r="B1384" s="60"/>
      <c r="C1384" s="61"/>
      <c r="D1384" s="61"/>
      <c r="E1384" s="62"/>
      <c r="F1384" s="60"/>
      <c r="H1384" s="60"/>
      <c r="I1384" s="63"/>
      <c r="J1384" s="64"/>
      <c r="K1384" s="60"/>
    </row>
    <row r="1385">
      <c r="A1385" s="51"/>
      <c r="B1385" s="60"/>
      <c r="C1385" s="61"/>
      <c r="D1385" s="61"/>
      <c r="E1385" s="62"/>
      <c r="F1385" s="60"/>
      <c r="H1385" s="60"/>
      <c r="I1385" s="63"/>
      <c r="J1385" s="64"/>
      <c r="K1385" s="60"/>
    </row>
    <row r="1386">
      <c r="A1386" s="51"/>
      <c r="B1386" s="60"/>
      <c r="C1386" s="61"/>
      <c r="D1386" s="61"/>
      <c r="E1386" s="62"/>
      <c r="F1386" s="60"/>
      <c r="H1386" s="60"/>
      <c r="I1386" s="63"/>
      <c r="J1386" s="64"/>
      <c r="K1386" s="60"/>
    </row>
    <row r="1387">
      <c r="A1387" s="51"/>
      <c r="B1387" s="60"/>
      <c r="C1387" s="61"/>
      <c r="D1387" s="61"/>
      <c r="E1387" s="62"/>
      <c r="F1387" s="60"/>
      <c r="H1387" s="60"/>
      <c r="I1387" s="63"/>
      <c r="J1387" s="64"/>
      <c r="K1387" s="60"/>
    </row>
    <row r="1388">
      <c r="A1388" s="51"/>
      <c r="B1388" s="60"/>
      <c r="C1388" s="61"/>
      <c r="D1388" s="61"/>
      <c r="E1388" s="62"/>
      <c r="F1388" s="60"/>
      <c r="H1388" s="60"/>
      <c r="I1388" s="63"/>
      <c r="J1388" s="64"/>
      <c r="K1388" s="60"/>
    </row>
    <row r="1389">
      <c r="A1389" s="51"/>
      <c r="B1389" s="60"/>
      <c r="C1389" s="61"/>
      <c r="D1389" s="61"/>
      <c r="E1389" s="62"/>
      <c r="F1389" s="60"/>
      <c r="H1389" s="60"/>
      <c r="I1389" s="63"/>
      <c r="J1389" s="64"/>
      <c r="K1389" s="60"/>
    </row>
    <row r="1390">
      <c r="A1390" s="51"/>
      <c r="B1390" s="60"/>
      <c r="C1390" s="61"/>
      <c r="D1390" s="61"/>
      <c r="E1390" s="62"/>
      <c r="F1390" s="60"/>
      <c r="H1390" s="60"/>
      <c r="I1390" s="63"/>
      <c r="J1390" s="64"/>
      <c r="K1390" s="60"/>
    </row>
    <row r="1391">
      <c r="A1391" s="51"/>
      <c r="B1391" s="60"/>
      <c r="C1391" s="61"/>
      <c r="D1391" s="61"/>
      <c r="E1391" s="62"/>
      <c r="F1391" s="60"/>
      <c r="H1391" s="60"/>
      <c r="I1391" s="63"/>
      <c r="J1391" s="64"/>
      <c r="K1391" s="60"/>
    </row>
    <row r="1392">
      <c r="A1392" s="51"/>
      <c r="B1392" s="60"/>
      <c r="C1392" s="61"/>
      <c r="D1392" s="61"/>
      <c r="E1392" s="62"/>
      <c r="F1392" s="60"/>
      <c r="H1392" s="60"/>
      <c r="I1392" s="63"/>
      <c r="J1392" s="64"/>
      <c r="K1392" s="60"/>
    </row>
    <row r="1393">
      <c r="A1393" s="51"/>
      <c r="B1393" s="60"/>
      <c r="C1393" s="61"/>
      <c r="D1393" s="61"/>
      <c r="E1393" s="62"/>
      <c r="F1393" s="60"/>
      <c r="H1393" s="60"/>
      <c r="I1393" s="63"/>
      <c r="J1393" s="64"/>
      <c r="K1393" s="60"/>
    </row>
    <row r="1394">
      <c r="A1394" s="51"/>
      <c r="B1394" s="60"/>
      <c r="C1394" s="61"/>
      <c r="D1394" s="61"/>
      <c r="E1394" s="62"/>
      <c r="F1394" s="60"/>
      <c r="H1394" s="60"/>
      <c r="I1394" s="63"/>
      <c r="J1394" s="64"/>
      <c r="K1394" s="60"/>
    </row>
    <row r="1395">
      <c r="A1395" s="51"/>
      <c r="B1395" s="60"/>
      <c r="C1395" s="61"/>
      <c r="D1395" s="61"/>
      <c r="E1395" s="62"/>
      <c r="F1395" s="60"/>
      <c r="H1395" s="60"/>
      <c r="I1395" s="63"/>
      <c r="J1395" s="64"/>
      <c r="K1395" s="60"/>
    </row>
    <row r="1396">
      <c r="A1396" s="51"/>
      <c r="B1396" s="60"/>
      <c r="C1396" s="61"/>
      <c r="D1396" s="61"/>
      <c r="E1396" s="62"/>
      <c r="F1396" s="60"/>
      <c r="H1396" s="60"/>
      <c r="I1396" s="63"/>
      <c r="J1396" s="64"/>
      <c r="K1396" s="60"/>
    </row>
    <row r="1397">
      <c r="A1397" s="51"/>
      <c r="B1397" s="60"/>
      <c r="C1397" s="61"/>
      <c r="D1397" s="61"/>
      <c r="E1397" s="62"/>
      <c r="F1397" s="60"/>
      <c r="H1397" s="60"/>
      <c r="I1397" s="63"/>
      <c r="J1397" s="64"/>
      <c r="K1397" s="60"/>
    </row>
    <row r="1398">
      <c r="A1398" s="51"/>
      <c r="B1398" s="60"/>
      <c r="C1398" s="61"/>
      <c r="D1398" s="61"/>
      <c r="E1398" s="62"/>
      <c r="F1398" s="60"/>
      <c r="H1398" s="60"/>
      <c r="I1398" s="63"/>
      <c r="J1398" s="64"/>
      <c r="K1398" s="60"/>
    </row>
    <row r="1399">
      <c r="A1399" s="51"/>
      <c r="B1399" s="60"/>
      <c r="C1399" s="61"/>
      <c r="D1399" s="61"/>
      <c r="E1399" s="62"/>
      <c r="F1399" s="60"/>
      <c r="H1399" s="60"/>
      <c r="I1399" s="63"/>
      <c r="J1399" s="64"/>
      <c r="K1399" s="60"/>
    </row>
    <row r="1400">
      <c r="A1400" s="51"/>
      <c r="B1400" s="60"/>
      <c r="C1400" s="61"/>
      <c r="D1400" s="61"/>
      <c r="E1400" s="62"/>
      <c r="F1400" s="60"/>
      <c r="H1400" s="60"/>
      <c r="I1400" s="63"/>
      <c r="J1400" s="64"/>
      <c r="K1400" s="60"/>
    </row>
    <row r="1401">
      <c r="A1401" s="51"/>
      <c r="B1401" s="60"/>
      <c r="C1401" s="61"/>
      <c r="D1401" s="61"/>
      <c r="E1401" s="62"/>
      <c r="F1401" s="60"/>
      <c r="H1401" s="60"/>
      <c r="I1401" s="63"/>
      <c r="J1401" s="64"/>
      <c r="K1401" s="60"/>
    </row>
    <row r="1402">
      <c r="A1402" s="51"/>
      <c r="B1402" s="60"/>
      <c r="C1402" s="61"/>
      <c r="D1402" s="61"/>
      <c r="E1402" s="62"/>
      <c r="F1402" s="60"/>
      <c r="H1402" s="60"/>
      <c r="I1402" s="63"/>
      <c r="J1402" s="64"/>
      <c r="K1402" s="60"/>
    </row>
    <row r="1403">
      <c r="A1403" s="51"/>
      <c r="B1403" s="60"/>
      <c r="C1403" s="61"/>
      <c r="D1403" s="61"/>
      <c r="E1403" s="62"/>
      <c r="F1403" s="60"/>
      <c r="H1403" s="60"/>
      <c r="I1403" s="63"/>
      <c r="J1403" s="64"/>
      <c r="K1403" s="60"/>
    </row>
    <row r="1404">
      <c r="A1404" s="51"/>
      <c r="B1404" s="60"/>
      <c r="C1404" s="61"/>
      <c r="D1404" s="61"/>
      <c r="E1404" s="62"/>
      <c r="F1404" s="60"/>
      <c r="H1404" s="60"/>
      <c r="I1404" s="63"/>
      <c r="J1404" s="64"/>
      <c r="K1404" s="60"/>
    </row>
    <row r="1405">
      <c r="A1405" s="51"/>
      <c r="B1405" s="60"/>
      <c r="C1405" s="61"/>
      <c r="D1405" s="61"/>
      <c r="E1405" s="62"/>
      <c r="F1405" s="60"/>
      <c r="H1405" s="60"/>
      <c r="I1405" s="63"/>
      <c r="J1405" s="64"/>
      <c r="K1405" s="60"/>
    </row>
    <row r="1406">
      <c r="A1406" s="51"/>
      <c r="B1406" s="60"/>
      <c r="C1406" s="61"/>
      <c r="D1406" s="61"/>
      <c r="E1406" s="62"/>
      <c r="F1406" s="60"/>
      <c r="H1406" s="60"/>
      <c r="I1406" s="63"/>
      <c r="J1406" s="64"/>
      <c r="K1406" s="60"/>
    </row>
    <row r="1407">
      <c r="A1407" s="51"/>
      <c r="B1407" s="60"/>
      <c r="C1407" s="61"/>
      <c r="D1407" s="61"/>
      <c r="E1407" s="62"/>
      <c r="F1407" s="60"/>
      <c r="H1407" s="60"/>
      <c r="I1407" s="63"/>
      <c r="J1407" s="64"/>
      <c r="K1407" s="60"/>
    </row>
    <row r="1408">
      <c r="A1408" s="51"/>
      <c r="B1408" s="60"/>
      <c r="C1408" s="61"/>
      <c r="D1408" s="61"/>
      <c r="E1408" s="62"/>
      <c r="F1408" s="60"/>
      <c r="H1408" s="60"/>
      <c r="I1408" s="63"/>
      <c r="J1408" s="64"/>
      <c r="K1408" s="60"/>
    </row>
    <row r="1409">
      <c r="A1409" s="51"/>
      <c r="B1409" s="60"/>
      <c r="C1409" s="61"/>
      <c r="D1409" s="61"/>
      <c r="E1409" s="62"/>
      <c r="F1409" s="60"/>
      <c r="H1409" s="60"/>
      <c r="I1409" s="63"/>
      <c r="J1409" s="64"/>
      <c r="K1409" s="60"/>
    </row>
    <row r="1410">
      <c r="A1410" s="51"/>
      <c r="B1410" s="60"/>
      <c r="C1410" s="61"/>
      <c r="D1410" s="61"/>
      <c r="E1410" s="62"/>
      <c r="F1410" s="60"/>
      <c r="H1410" s="60"/>
      <c r="I1410" s="63"/>
      <c r="J1410" s="64"/>
      <c r="K1410" s="60"/>
    </row>
    <row r="1411">
      <c r="A1411" s="51"/>
      <c r="B1411" s="60"/>
      <c r="C1411" s="61"/>
      <c r="D1411" s="61"/>
      <c r="E1411" s="62"/>
      <c r="F1411" s="60"/>
      <c r="H1411" s="60"/>
      <c r="I1411" s="63"/>
      <c r="J1411" s="64"/>
      <c r="K1411" s="60"/>
    </row>
    <row r="1412">
      <c r="A1412" s="51"/>
      <c r="B1412" s="60"/>
      <c r="C1412" s="61"/>
      <c r="D1412" s="61"/>
      <c r="E1412" s="62"/>
      <c r="F1412" s="60"/>
      <c r="H1412" s="60"/>
      <c r="I1412" s="63"/>
      <c r="J1412" s="64"/>
      <c r="K1412" s="60"/>
    </row>
    <row r="1413">
      <c r="A1413" s="51"/>
      <c r="B1413" s="60"/>
      <c r="C1413" s="61"/>
      <c r="D1413" s="61"/>
      <c r="E1413" s="62"/>
      <c r="F1413" s="60"/>
      <c r="H1413" s="60"/>
      <c r="I1413" s="63"/>
      <c r="J1413" s="64"/>
      <c r="K1413" s="60"/>
    </row>
    <row r="1414">
      <c r="A1414" s="51"/>
      <c r="B1414" s="60"/>
      <c r="C1414" s="61"/>
      <c r="D1414" s="61"/>
      <c r="E1414" s="62"/>
      <c r="F1414" s="60"/>
      <c r="H1414" s="60"/>
      <c r="I1414" s="63"/>
      <c r="J1414" s="64"/>
      <c r="K1414" s="60"/>
    </row>
    <row r="1415">
      <c r="A1415" s="51"/>
      <c r="B1415" s="60"/>
      <c r="C1415" s="61"/>
      <c r="D1415" s="61"/>
      <c r="E1415" s="62"/>
      <c r="F1415" s="60"/>
      <c r="H1415" s="60"/>
      <c r="I1415" s="63"/>
      <c r="J1415" s="64"/>
      <c r="K1415" s="60"/>
    </row>
    <row r="1416">
      <c r="A1416" s="51"/>
      <c r="B1416" s="60"/>
      <c r="C1416" s="61"/>
      <c r="D1416" s="61"/>
      <c r="E1416" s="62"/>
      <c r="F1416" s="60"/>
      <c r="H1416" s="60"/>
      <c r="I1416" s="63"/>
      <c r="J1416" s="64"/>
      <c r="K1416" s="60"/>
    </row>
    <row r="1417">
      <c r="A1417" s="51"/>
      <c r="B1417" s="60"/>
      <c r="C1417" s="61"/>
      <c r="D1417" s="61"/>
      <c r="E1417" s="62"/>
      <c r="F1417" s="60"/>
      <c r="H1417" s="60"/>
      <c r="I1417" s="63"/>
      <c r="J1417" s="64"/>
      <c r="K1417" s="60"/>
    </row>
    <row r="1418">
      <c r="A1418" s="51"/>
      <c r="B1418" s="60"/>
      <c r="C1418" s="61"/>
      <c r="D1418" s="61"/>
      <c r="E1418" s="62"/>
      <c r="F1418" s="60"/>
      <c r="H1418" s="60"/>
      <c r="I1418" s="63"/>
      <c r="J1418" s="64"/>
      <c r="K1418" s="60"/>
    </row>
    <row r="1419">
      <c r="A1419" s="51"/>
      <c r="B1419" s="60"/>
      <c r="C1419" s="61"/>
      <c r="D1419" s="61"/>
      <c r="E1419" s="62"/>
      <c r="F1419" s="60"/>
      <c r="H1419" s="60"/>
      <c r="I1419" s="63"/>
      <c r="J1419" s="64"/>
      <c r="K1419" s="60"/>
    </row>
    <row r="1420">
      <c r="A1420" s="51"/>
      <c r="B1420" s="60"/>
      <c r="C1420" s="61"/>
      <c r="D1420" s="61"/>
      <c r="E1420" s="62"/>
      <c r="F1420" s="60"/>
      <c r="H1420" s="60"/>
      <c r="I1420" s="63"/>
      <c r="J1420" s="64"/>
      <c r="K1420" s="60"/>
    </row>
    <row r="1421">
      <c r="A1421" s="51"/>
      <c r="B1421" s="60"/>
      <c r="C1421" s="61"/>
      <c r="D1421" s="61"/>
      <c r="E1421" s="62"/>
      <c r="F1421" s="60"/>
      <c r="H1421" s="60"/>
      <c r="I1421" s="63"/>
      <c r="J1421" s="64"/>
      <c r="K1421" s="60"/>
    </row>
    <row r="1422">
      <c r="A1422" s="51"/>
      <c r="B1422" s="60"/>
      <c r="C1422" s="61"/>
      <c r="D1422" s="61"/>
      <c r="E1422" s="62"/>
      <c r="F1422" s="60"/>
      <c r="H1422" s="60"/>
      <c r="I1422" s="63"/>
      <c r="J1422" s="64"/>
      <c r="K1422" s="60"/>
    </row>
    <row r="1423">
      <c r="A1423" s="51"/>
      <c r="B1423" s="60"/>
      <c r="C1423" s="61"/>
      <c r="D1423" s="61"/>
      <c r="E1423" s="62"/>
      <c r="F1423" s="60"/>
      <c r="H1423" s="60"/>
      <c r="I1423" s="63"/>
      <c r="J1423" s="64"/>
      <c r="K1423" s="60"/>
    </row>
    <row r="1424">
      <c r="A1424" s="51"/>
      <c r="B1424" s="60"/>
      <c r="C1424" s="61"/>
      <c r="D1424" s="61"/>
      <c r="E1424" s="62"/>
      <c r="F1424" s="60"/>
      <c r="H1424" s="60"/>
      <c r="I1424" s="63"/>
      <c r="J1424" s="64"/>
      <c r="K1424" s="60"/>
    </row>
    <row r="1425">
      <c r="A1425" s="51"/>
      <c r="B1425" s="60"/>
      <c r="C1425" s="61"/>
      <c r="D1425" s="61"/>
      <c r="E1425" s="62"/>
      <c r="F1425" s="60"/>
      <c r="H1425" s="60"/>
      <c r="I1425" s="63"/>
      <c r="J1425" s="64"/>
      <c r="K1425" s="60"/>
    </row>
    <row r="1426">
      <c r="A1426" s="51"/>
      <c r="B1426" s="60"/>
      <c r="C1426" s="61"/>
      <c r="D1426" s="61"/>
      <c r="E1426" s="62"/>
      <c r="F1426" s="60"/>
      <c r="H1426" s="60"/>
      <c r="I1426" s="63"/>
      <c r="J1426" s="64"/>
      <c r="K1426" s="60"/>
    </row>
    <row r="1427">
      <c r="A1427" s="51"/>
      <c r="B1427" s="60"/>
      <c r="C1427" s="61"/>
      <c r="D1427" s="61"/>
      <c r="E1427" s="62"/>
      <c r="F1427" s="60"/>
      <c r="H1427" s="60"/>
      <c r="I1427" s="63"/>
      <c r="J1427" s="64"/>
      <c r="K1427" s="60"/>
    </row>
    <row r="1428">
      <c r="A1428" s="51"/>
      <c r="B1428" s="60"/>
      <c r="C1428" s="61"/>
      <c r="D1428" s="61"/>
      <c r="E1428" s="62"/>
      <c r="F1428" s="60"/>
      <c r="H1428" s="60"/>
      <c r="I1428" s="63"/>
      <c r="J1428" s="64"/>
      <c r="K1428" s="60"/>
    </row>
    <row r="1429">
      <c r="A1429" s="51"/>
      <c r="B1429" s="60"/>
      <c r="C1429" s="61"/>
      <c r="D1429" s="61"/>
      <c r="E1429" s="62"/>
      <c r="F1429" s="60"/>
      <c r="H1429" s="60"/>
      <c r="I1429" s="63"/>
      <c r="J1429" s="64"/>
      <c r="K1429" s="60"/>
    </row>
    <row r="1430">
      <c r="A1430" s="51"/>
      <c r="B1430" s="60"/>
      <c r="C1430" s="61"/>
      <c r="D1430" s="61"/>
      <c r="E1430" s="62"/>
      <c r="F1430" s="60"/>
      <c r="H1430" s="60"/>
      <c r="I1430" s="63"/>
      <c r="J1430" s="64"/>
      <c r="K1430" s="60"/>
    </row>
    <row r="1431">
      <c r="A1431" s="51"/>
      <c r="B1431" s="60"/>
      <c r="C1431" s="61"/>
      <c r="D1431" s="61"/>
      <c r="E1431" s="62"/>
      <c r="F1431" s="60"/>
      <c r="H1431" s="60"/>
      <c r="I1431" s="63"/>
      <c r="J1431" s="64"/>
      <c r="K1431" s="60"/>
    </row>
    <row r="1432">
      <c r="A1432" s="51"/>
      <c r="B1432" s="60"/>
      <c r="C1432" s="61"/>
      <c r="D1432" s="61"/>
      <c r="E1432" s="62"/>
      <c r="F1432" s="60"/>
      <c r="H1432" s="60"/>
      <c r="I1432" s="63"/>
      <c r="J1432" s="64"/>
      <c r="K1432" s="60"/>
    </row>
    <row r="1433">
      <c r="A1433" s="51"/>
      <c r="B1433" s="60"/>
      <c r="C1433" s="61"/>
      <c r="D1433" s="61"/>
      <c r="E1433" s="62"/>
      <c r="F1433" s="60"/>
      <c r="H1433" s="60"/>
      <c r="I1433" s="63"/>
      <c r="J1433" s="64"/>
      <c r="K1433" s="60"/>
    </row>
    <row r="1434">
      <c r="A1434" s="51"/>
      <c r="B1434" s="60"/>
      <c r="C1434" s="61"/>
      <c r="D1434" s="61"/>
      <c r="E1434" s="62"/>
      <c r="F1434" s="60"/>
      <c r="H1434" s="60"/>
      <c r="I1434" s="63"/>
      <c r="J1434" s="64"/>
      <c r="K1434" s="60"/>
    </row>
    <row r="1435">
      <c r="A1435" s="51"/>
      <c r="B1435" s="60"/>
      <c r="C1435" s="61"/>
      <c r="D1435" s="61"/>
      <c r="E1435" s="62"/>
      <c r="F1435" s="60"/>
      <c r="H1435" s="60"/>
      <c r="I1435" s="63"/>
      <c r="J1435" s="64"/>
      <c r="K1435" s="60"/>
    </row>
    <row r="1436">
      <c r="A1436" s="51"/>
      <c r="B1436" s="60"/>
      <c r="C1436" s="61"/>
      <c r="D1436" s="61"/>
      <c r="E1436" s="62"/>
      <c r="F1436" s="60"/>
      <c r="H1436" s="60"/>
      <c r="I1436" s="63"/>
      <c r="J1436" s="64"/>
      <c r="K1436" s="60"/>
    </row>
    <row r="1437">
      <c r="A1437" s="51"/>
      <c r="B1437" s="60"/>
      <c r="C1437" s="61"/>
      <c r="D1437" s="61"/>
      <c r="E1437" s="62"/>
      <c r="F1437" s="60"/>
      <c r="H1437" s="60"/>
      <c r="I1437" s="63"/>
      <c r="J1437" s="64"/>
      <c r="K1437" s="60"/>
    </row>
    <row r="1438">
      <c r="A1438" s="51"/>
      <c r="B1438" s="60"/>
      <c r="C1438" s="61"/>
      <c r="D1438" s="61"/>
      <c r="E1438" s="62"/>
      <c r="F1438" s="60"/>
      <c r="H1438" s="60"/>
      <c r="I1438" s="63"/>
      <c r="J1438" s="64"/>
      <c r="K1438" s="60"/>
    </row>
    <row r="1439">
      <c r="A1439" s="51"/>
      <c r="B1439" s="60"/>
      <c r="C1439" s="61"/>
      <c r="D1439" s="61"/>
      <c r="E1439" s="62"/>
      <c r="F1439" s="60"/>
      <c r="H1439" s="60"/>
      <c r="I1439" s="63"/>
      <c r="J1439" s="64"/>
      <c r="K1439" s="60"/>
    </row>
    <row r="1440">
      <c r="A1440" s="51"/>
      <c r="B1440" s="60"/>
      <c r="C1440" s="61"/>
      <c r="D1440" s="61"/>
      <c r="E1440" s="62"/>
      <c r="F1440" s="60"/>
      <c r="H1440" s="60"/>
      <c r="I1440" s="63"/>
      <c r="J1440" s="64"/>
      <c r="K1440" s="60"/>
    </row>
    <row r="1441">
      <c r="A1441" s="51"/>
      <c r="B1441" s="60"/>
      <c r="C1441" s="61"/>
      <c r="D1441" s="61"/>
      <c r="E1441" s="62"/>
      <c r="F1441" s="60"/>
      <c r="H1441" s="60"/>
      <c r="I1441" s="63"/>
      <c r="J1441" s="64"/>
      <c r="K1441" s="60"/>
    </row>
    <row r="1442">
      <c r="A1442" s="51"/>
      <c r="B1442" s="60"/>
      <c r="C1442" s="61"/>
      <c r="D1442" s="61"/>
      <c r="E1442" s="62"/>
      <c r="F1442" s="60"/>
      <c r="H1442" s="60"/>
      <c r="I1442" s="63"/>
      <c r="J1442" s="64"/>
      <c r="K1442" s="60"/>
    </row>
    <row r="1443">
      <c r="A1443" s="51"/>
      <c r="B1443" s="60"/>
      <c r="C1443" s="61"/>
      <c r="D1443" s="61"/>
      <c r="E1443" s="62"/>
      <c r="F1443" s="60"/>
      <c r="H1443" s="60"/>
      <c r="I1443" s="63"/>
      <c r="J1443" s="64"/>
      <c r="K1443" s="60"/>
    </row>
    <row r="1444">
      <c r="A1444" s="51"/>
      <c r="B1444" s="60"/>
      <c r="C1444" s="61"/>
      <c r="D1444" s="61"/>
      <c r="E1444" s="62"/>
      <c r="F1444" s="60"/>
      <c r="H1444" s="60"/>
      <c r="I1444" s="63"/>
      <c r="J1444" s="64"/>
      <c r="K1444" s="60"/>
    </row>
    <row r="1445">
      <c r="A1445" s="51"/>
      <c r="B1445" s="60"/>
      <c r="C1445" s="61"/>
      <c r="D1445" s="61"/>
      <c r="E1445" s="62"/>
      <c r="F1445" s="60"/>
      <c r="H1445" s="60"/>
      <c r="I1445" s="63"/>
      <c r="J1445" s="64"/>
      <c r="K1445" s="60"/>
    </row>
    <row r="1446">
      <c r="A1446" s="51"/>
      <c r="B1446" s="60"/>
      <c r="C1446" s="61"/>
      <c r="D1446" s="61"/>
      <c r="E1446" s="62"/>
      <c r="F1446" s="60"/>
      <c r="H1446" s="60"/>
      <c r="I1446" s="63"/>
      <c r="J1446" s="64"/>
      <c r="K1446" s="60"/>
    </row>
    <row r="1447">
      <c r="A1447" s="51"/>
      <c r="B1447" s="60"/>
      <c r="C1447" s="61"/>
      <c r="D1447" s="61"/>
      <c r="E1447" s="62"/>
      <c r="F1447" s="60"/>
      <c r="H1447" s="60"/>
      <c r="I1447" s="63"/>
      <c r="J1447" s="64"/>
      <c r="K1447" s="60"/>
    </row>
    <row r="1448">
      <c r="A1448" s="51"/>
      <c r="B1448" s="60"/>
      <c r="C1448" s="61"/>
      <c r="D1448" s="61"/>
      <c r="E1448" s="62"/>
      <c r="F1448" s="60"/>
      <c r="H1448" s="60"/>
      <c r="I1448" s="63"/>
      <c r="J1448" s="64"/>
      <c r="K1448" s="60"/>
    </row>
    <row r="1449">
      <c r="A1449" s="51"/>
      <c r="B1449" s="60"/>
      <c r="C1449" s="61"/>
      <c r="D1449" s="61"/>
      <c r="E1449" s="62"/>
      <c r="F1449" s="60"/>
      <c r="H1449" s="60"/>
      <c r="I1449" s="63"/>
      <c r="J1449" s="64"/>
      <c r="K1449" s="60"/>
    </row>
    <row r="1450">
      <c r="A1450" s="51"/>
      <c r="B1450" s="60"/>
      <c r="C1450" s="61"/>
      <c r="D1450" s="61"/>
      <c r="E1450" s="62"/>
      <c r="F1450" s="60"/>
      <c r="H1450" s="60"/>
      <c r="I1450" s="63"/>
      <c r="J1450" s="64"/>
      <c r="K1450" s="60"/>
    </row>
    <row r="1451">
      <c r="A1451" s="51"/>
      <c r="B1451" s="60"/>
      <c r="C1451" s="61"/>
      <c r="D1451" s="61"/>
      <c r="E1451" s="62"/>
      <c r="F1451" s="60"/>
      <c r="H1451" s="60"/>
      <c r="I1451" s="63"/>
      <c r="J1451" s="64"/>
      <c r="K1451" s="60"/>
    </row>
    <row r="1452">
      <c r="A1452" s="51"/>
      <c r="B1452" s="60"/>
      <c r="C1452" s="61"/>
      <c r="D1452" s="61"/>
      <c r="E1452" s="62"/>
      <c r="F1452" s="60"/>
      <c r="H1452" s="60"/>
      <c r="I1452" s="63"/>
      <c r="J1452" s="64"/>
      <c r="K1452" s="60"/>
    </row>
    <row r="1453">
      <c r="A1453" s="51"/>
      <c r="B1453" s="60"/>
      <c r="C1453" s="61"/>
      <c r="D1453" s="61"/>
      <c r="E1453" s="62"/>
      <c r="F1453" s="60"/>
      <c r="H1453" s="60"/>
      <c r="I1453" s="63"/>
      <c r="J1453" s="64"/>
      <c r="K1453" s="60"/>
    </row>
    <row r="1454">
      <c r="A1454" s="51"/>
      <c r="B1454" s="60"/>
      <c r="C1454" s="61"/>
      <c r="D1454" s="61"/>
      <c r="E1454" s="62"/>
      <c r="F1454" s="60"/>
      <c r="H1454" s="60"/>
      <c r="I1454" s="63"/>
      <c r="J1454" s="64"/>
      <c r="K1454" s="60"/>
    </row>
    <row r="1455">
      <c r="A1455" s="51"/>
      <c r="B1455" s="60"/>
      <c r="C1455" s="61"/>
      <c r="D1455" s="61"/>
      <c r="E1455" s="62"/>
      <c r="F1455" s="60"/>
      <c r="H1455" s="60"/>
      <c r="I1455" s="63"/>
      <c r="J1455" s="64"/>
      <c r="K1455" s="60"/>
    </row>
    <row r="1456">
      <c r="A1456" s="51"/>
      <c r="B1456" s="60"/>
      <c r="C1456" s="61"/>
      <c r="D1456" s="61"/>
      <c r="E1456" s="62"/>
      <c r="F1456" s="60"/>
      <c r="H1456" s="60"/>
      <c r="I1456" s="63"/>
      <c r="J1456" s="64"/>
      <c r="K1456" s="60"/>
    </row>
    <row r="1457">
      <c r="A1457" s="51"/>
      <c r="B1457" s="60"/>
      <c r="C1457" s="61"/>
      <c r="D1457" s="61"/>
      <c r="E1457" s="62"/>
      <c r="F1457" s="60"/>
      <c r="H1457" s="60"/>
      <c r="I1457" s="63"/>
      <c r="J1457" s="64"/>
      <c r="K1457" s="60"/>
    </row>
    <row r="1458">
      <c r="A1458" s="51"/>
      <c r="B1458" s="60"/>
      <c r="C1458" s="61"/>
      <c r="D1458" s="61"/>
      <c r="E1458" s="62"/>
      <c r="F1458" s="60"/>
      <c r="H1458" s="60"/>
      <c r="I1458" s="63"/>
      <c r="J1458" s="64"/>
      <c r="K1458" s="60"/>
    </row>
    <row r="1459">
      <c r="A1459" s="51"/>
      <c r="B1459" s="60"/>
      <c r="C1459" s="61"/>
      <c r="D1459" s="61"/>
      <c r="E1459" s="62"/>
      <c r="F1459" s="60"/>
      <c r="H1459" s="60"/>
      <c r="I1459" s="63"/>
      <c r="J1459" s="64"/>
      <c r="K1459" s="60"/>
    </row>
    <row r="1460">
      <c r="A1460" s="51"/>
      <c r="B1460" s="60"/>
      <c r="C1460" s="61"/>
      <c r="D1460" s="61"/>
      <c r="E1460" s="62"/>
      <c r="F1460" s="60"/>
      <c r="H1460" s="60"/>
      <c r="I1460" s="63"/>
      <c r="J1460" s="64"/>
      <c r="K1460" s="60"/>
    </row>
    <row r="1461">
      <c r="A1461" s="51"/>
      <c r="B1461" s="60"/>
      <c r="C1461" s="61"/>
      <c r="D1461" s="61"/>
      <c r="E1461" s="62"/>
      <c r="F1461" s="60"/>
      <c r="H1461" s="60"/>
      <c r="I1461" s="63"/>
      <c r="J1461" s="64"/>
      <c r="K1461" s="60"/>
    </row>
    <row r="1462">
      <c r="A1462" s="51"/>
      <c r="B1462" s="60"/>
      <c r="C1462" s="61"/>
      <c r="D1462" s="61"/>
      <c r="E1462" s="62"/>
      <c r="F1462" s="60"/>
      <c r="H1462" s="60"/>
      <c r="I1462" s="63"/>
      <c r="J1462" s="64"/>
      <c r="K1462" s="60"/>
    </row>
    <row r="1463">
      <c r="A1463" s="51"/>
      <c r="B1463" s="60"/>
      <c r="C1463" s="61"/>
      <c r="D1463" s="61"/>
      <c r="E1463" s="62"/>
      <c r="F1463" s="60"/>
      <c r="H1463" s="60"/>
      <c r="I1463" s="63"/>
      <c r="J1463" s="64"/>
      <c r="K1463" s="60"/>
    </row>
    <row r="1464">
      <c r="A1464" s="51"/>
      <c r="B1464" s="60"/>
      <c r="C1464" s="61"/>
      <c r="D1464" s="61"/>
      <c r="E1464" s="62"/>
      <c r="F1464" s="60"/>
      <c r="H1464" s="60"/>
      <c r="I1464" s="63"/>
      <c r="J1464" s="64"/>
      <c r="K1464" s="60"/>
    </row>
    <row r="1465">
      <c r="A1465" s="51"/>
      <c r="B1465" s="60"/>
      <c r="C1465" s="61"/>
      <c r="D1465" s="61"/>
      <c r="E1465" s="62"/>
      <c r="F1465" s="60"/>
      <c r="H1465" s="60"/>
      <c r="I1465" s="63"/>
      <c r="J1465" s="64"/>
      <c r="K1465" s="60"/>
    </row>
    <row r="1466">
      <c r="A1466" s="51"/>
      <c r="B1466" s="60"/>
      <c r="C1466" s="61"/>
      <c r="D1466" s="61"/>
      <c r="E1466" s="62"/>
      <c r="F1466" s="60"/>
      <c r="H1466" s="60"/>
      <c r="I1466" s="63"/>
      <c r="J1466" s="64"/>
      <c r="K1466" s="60"/>
    </row>
    <row r="1467">
      <c r="A1467" s="51"/>
      <c r="B1467" s="60"/>
      <c r="C1467" s="61"/>
      <c r="D1467" s="61"/>
      <c r="E1467" s="62"/>
      <c r="F1467" s="60"/>
      <c r="H1467" s="60"/>
      <c r="I1467" s="63"/>
      <c r="J1467" s="64"/>
      <c r="K1467" s="60"/>
    </row>
    <row r="1468">
      <c r="A1468" s="51"/>
      <c r="B1468" s="60"/>
      <c r="C1468" s="61"/>
      <c r="D1468" s="61"/>
      <c r="E1468" s="62"/>
      <c r="F1468" s="60"/>
      <c r="H1468" s="60"/>
      <c r="I1468" s="63"/>
      <c r="J1468" s="64"/>
      <c r="K1468" s="60"/>
    </row>
    <row r="1469">
      <c r="A1469" s="51"/>
      <c r="B1469" s="60"/>
      <c r="C1469" s="61"/>
      <c r="D1469" s="61"/>
      <c r="E1469" s="62"/>
      <c r="F1469" s="60"/>
      <c r="H1469" s="60"/>
      <c r="I1469" s="63"/>
      <c r="J1469" s="64"/>
      <c r="K1469" s="60"/>
    </row>
    <row r="1470">
      <c r="A1470" s="51"/>
      <c r="B1470" s="60"/>
      <c r="C1470" s="61"/>
      <c r="D1470" s="61"/>
      <c r="E1470" s="62"/>
      <c r="F1470" s="60"/>
      <c r="H1470" s="60"/>
      <c r="I1470" s="63"/>
      <c r="J1470" s="64"/>
      <c r="K1470" s="60"/>
    </row>
    <row r="1471">
      <c r="A1471" s="51"/>
      <c r="B1471" s="60"/>
      <c r="C1471" s="61"/>
      <c r="D1471" s="61"/>
      <c r="E1471" s="62"/>
      <c r="F1471" s="60"/>
      <c r="H1471" s="60"/>
      <c r="I1471" s="63"/>
      <c r="J1471" s="64"/>
      <c r="K1471" s="60"/>
    </row>
    <row r="1472">
      <c r="A1472" s="51"/>
      <c r="B1472" s="60"/>
      <c r="C1472" s="61"/>
      <c r="D1472" s="61"/>
      <c r="E1472" s="62"/>
      <c r="F1472" s="60"/>
      <c r="H1472" s="60"/>
      <c r="I1472" s="63"/>
      <c r="J1472" s="64"/>
      <c r="K1472" s="60"/>
    </row>
    <row r="1473">
      <c r="A1473" s="51"/>
      <c r="B1473" s="60"/>
      <c r="C1473" s="61"/>
      <c r="D1473" s="61"/>
      <c r="E1473" s="62"/>
      <c r="F1473" s="60"/>
      <c r="H1473" s="60"/>
      <c r="I1473" s="63"/>
      <c r="J1473" s="64"/>
      <c r="K1473" s="60"/>
    </row>
    <row r="1474">
      <c r="A1474" s="51"/>
      <c r="B1474" s="60"/>
      <c r="C1474" s="61"/>
      <c r="D1474" s="61"/>
      <c r="E1474" s="62"/>
      <c r="F1474" s="60"/>
      <c r="H1474" s="60"/>
      <c r="I1474" s="63"/>
      <c r="J1474" s="64"/>
      <c r="K1474" s="60"/>
    </row>
    <row r="1475">
      <c r="A1475" s="51"/>
      <c r="B1475" s="60"/>
      <c r="C1475" s="61"/>
      <c r="D1475" s="61"/>
      <c r="E1475" s="62"/>
      <c r="F1475" s="60"/>
      <c r="H1475" s="60"/>
      <c r="I1475" s="63"/>
      <c r="J1475" s="64"/>
      <c r="K1475" s="60"/>
    </row>
    <row r="1476">
      <c r="A1476" s="51"/>
      <c r="B1476" s="60"/>
      <c r="C1476" s="61"/>
      <c r="D1476" s="61"/>
      <c r="E1476" s="62"/>
      <c r="F1476" s="60"/>
      <c r="H1476" s="60"/>
      <c r="I1476" s="63"/>
      <c r="J1476" s="64"/>
      <c r="K1476" s="60"/>
    </row>
    <row r="1477">
      <c r="A1477" s="51"/>
      <c r="B1477" s="60"/>
      <c r="C1477" s="61"/>
      <c r="D1477" s="61"/>
      <c r="E1477" s="62"/>
      <c r="F1477" s="60"/>
      <c r="H1477" s="60"/>
      <c r="I1477" s="63"/>
      <c r="J1477" s="64"/>
      <c r="K1477" s="60"/>
    </row>
    <row r="1478">
      <c r="A1478" s="51"/>
      <c r="B1478" s="60"/>
      <c r="C1478" s="61"/>
      <c r="D1478" s="61"/>
      <c r="E1478" s="62"/>
      <c r="F1478" s="60"/>
      <c r="H1478" s="60"/>
      <c r="I1478" s="63"/>
      <c r="J1478" s="64"/>
      <c r="K1478" s="60"/>
    </row>
    <row r="1479">
      <c r="A1479" s="51"/>
      <c r="B1479" s="60"/>
      <c r="C1479" s="61"/>
      <c r="D1479" s="61"/>
      <c r="E1479" s="62"/>
      <c r="F1479" s="60"/>
      <c r="H1479" s="60"/>
      <c r="I1479" s="63"/>
      <c r="J1479" s="64"/>
      <c r="K1479" s="60"/>
    </row>
    <row r="1480">
      <c r="A1480" s="51"/>
      <c r="B1480" s="60"/>
      <c r="C1480" s="61"/>
      <c r="D1480" s="61"/>
      <c r="E1480" s="62"/>
      <c r="F1480" s="60"/>
      <c r="H1480" s="60"/>
      <c r="I1480" s="63"/>
      <c r="J1480" s="64"/>
      <c r="K1480" s="60"/>
    </row>
    <row r="1481">
      <c r="A1481" s="51"/>
      <c r="B1481" s="60"/>
      <c r="C1481" s="61"/>
      <c r="D1481" s="61"/>
      <c r="E1481" s="62"/>
      <c r="F1481" s="60"/>
      <c r="H1481" s="60"/>
      <c r="I1481" s="63"/>
      <c r="J1481" s="64"/>
      <c r="K1481" s="60"/>
    </row>
    <row r="1482">
      <c r="A1482" s="51"/>
      <c r="B1482" s="60"/>
      <c r="C1482" s="61"/>
      <c r="D1482" s="61"/>
      <c r="E1482" s="62"/>
      <c r="F1482" s="60"/>
      <c r="H1482" s="60"/>
      <c r="I1482" s="63"/>
      <c r="J1482" s="64"/>
      <c r="K1482" s="60"/>
    </row>
    <row r="1483">
      <c r="A1483" s="51"/>
      <c r="B1483" s="60"/>
      <c r="C1483" s="61"/>
      <c r="D1483" s="61"/>
      <c r="E1483" s="62"/>
      <c r="F1483" s="60"/>
      <c r="H1483" s="60"/>
      <c r="I1483" s="63"/>
      <c r="J1483" s="64"/>
      <c r="K1483" s="60"/>
    </row>
    <row r="1484">
      <c r="A1484" s="51"/>
      <c r="B1484" s="60"/>
      <c r="C1484" s="61"/>
      <c r="D1484" s="61"/>
      <c r="E1484" s="62"/>
      <c r="F1484" s="60"/>
      <c r="H1484" s="60"/>
      <c r="I1484" s="63"/>
      <c r="J1484" s="64"/>
      <c r="K1484" s="60"/>
    </row>
    <row r="1485">
      <c r="A1485" s="51"/>
      <c r="B1485" s="60"/>
      <c r="C1485" s="61"/>
      <c r="D1485" s="61"/>
      <c r="E1485" s="62"/>
      <c r="F1485" s="60"/>
      <c r="H1485" s="60"/>
      <c r="I1485" s="63"/>
      <c r="J1485" s="64"/>
      <c r="K1485" s="60"/>
    </row>
    <row r="1486">
      <c r="A1486" s="51"/>
      <c r="B1486" s="60"/>
      <c r="C1486" s="61"/>
      <c r="D1486" s="61"/>
      <c r="E1486" s="62"/>
      <c r="F1486" s="60"/>
      <c r="H1486" s="60"/>
      <c r="I1486" s="63"/>
      <c r="J1486" s="64"/>
      <c r="K1486" s="60"/>
    </row>
    <row r="1487">
      <c r="A1487" s="51"/>
      <c r="B1487" s="60"/>
      <c r="C1487" s="61"/>
      <c r="D1487" s="61"/>
      <c r="E1487" s="62"/>
      <c r="F1487" s="60"/>
      <c r="H1487" s="60"/>
      <c r="I1487" s="63"/>
      <c r="J1487" s="64"/>
      <c r="K1487" s="60"/>
    </row>
    <row r="1488">
      <c r="A1488" s="51"/>
      <c r="B1488" s="60"/>
      <c r="C1488" s="61"/>
      <c r="D1488" s="61"/>
      <c r="E1488" s="62"/>
      <c r="F1488" s="60"/>
      <c r="H1488" s="60"/>
      <c r="I1488" s="63"/>
      <c r="J1488" s="64"/>
      <c r="K1488" s="60"/>
    </row>
    <row r="1489">
      <c r="A1489" s="51"/>
      <c r="B1489" s="60"/>
      <c r="C1489" s="61"/>
      <c r="D1489" s="61"/>
      <c r="E1489" s="62"/>
      <c r="F1489" s="60"/>
      <c r="H1489" s="60"/>
      <c r="I1489" s="63"/>
      <c r="J1489" s="64"/>
      <c r="K1489" s="60"/>
    </row>
    <row r="1490">
      <c r="A1490" s="51"/>
      <c r="B1490" s="60"/>
      <c r="C1490" s="61"/>
      <c r="D1490" s="61"/>
      <c r="E1490" s="62"/>
      <c r="F1490" s="60"/>
      <c r="H1490" s="60"/>
      <c r="I1490" s="63"/>
      <c r="J1490" s="64"/>
      <c r="K1490" s="60"/>
    </row>
    <row r="1491">
      <c r="A1491" s="51"/>
      <c r="B1491" s="60"/>
      <c r="C1491" s="61"/>
      <c r="D1491" s="61"/>
      <c r="E1491" s="62"/>
      <c r="F1491" s="60"/>
      <c r="H1491" s="60"/>
      <c r="I1491" s="63"/>
      <c r="J1491" s="64"/>
      <c r="K1491" s="60"/>
    </row>
    <row r="1492">
      <c r="A1492" s="51"/>
      <c r="B1492" s="60"/>
      <c r="C1492" s="61"/>
      <c r="D1492" s="61"/>
      <c r="E1492" s="62"/>
      <c r="F1492" s="60"/>
      <c r="H1492" s="60"/>
      <c r="I1492" s="63"/>
      <c r="J1492" s="64"/>
      <c r="K1492" s="60"/>
    </row>
    <row r="1493">
      <c r="A1493" s="51"/>
      <c r="B1493" s="60"/>
      <c r="C1493" s="61"/>
      <c r="D1493" s="61"/>
      <c r="E1493" s="62"/>
      <c r="F1493" s="60"/>
      <c r="H1493" s="60"/>
      <c r="I1493" s="63"/>
      <c r="J1493" s="64"/>
      <c r="K1493" s="60"/>
    </row>
    <row r="1494">
      <c r="A1494" s="51"/>
      <c r="B1494" s="60"/>
      <c r="C1494" s="61"/>
      <c r="D1494" s="61"/>
      <c r="E1494" s="62"/>
      <c r="F1494" s="60"/>
      <c r="H1494" s="60"/>
      <c r="I1494" s="63"/>
      <c r="J1494" s="64"/>
      <c r="K1494" s="60"/>
    </row>
    <row r="1495">
      <c r="A1495" s="51"/>
      <c r="B1495" s="60"/>
      <c r="C1495" s="61"/>
      <c r="D1495" s="61"/>
      <c r="E1495" s="62"/>
      <c r="F1495" s="60"/>
      <c r="H1495" s="60"/>
      <c r="I1495" s="63"/>
      <c r="J1495" s="64"/>
      <c r="K1495" s="60"/>
    </row>
    <row r="1496">
      <c r="A1496" s="51"/>
      <c r="B1496" s="60"/>
      <c r="C1496" s="61"/>
      <c r="D1496" s="61"/>
      <c r="E1496" s="62"/>
      <c r="F1496" s="60"/>
      <c r="H1496" s="60"/>
      <c r="I1496" s="63"/>
      <c r="J1496" s="64"/>
      <c r="K1496" s="60"/>
    </row>
    <row r="1497">
      <c r="A1497" s="51"/>
      <c r="B1497" s="60"/>
      <c r="C1497" s="61"/>
      <c r="D1497" s="61"/>
      <c r="E1497" s="62"/>
      <c r="F1497" s="60"/>
      <c r="H1497" s="60"/>
      <c r="I1497" s="63"/>
      <c r="J1497" s="64"/>
      <c r="K1497" s="60"/>
    </row>
    <row r="1498">
      <c r="A1498" s="51"/>
      <c r="B1498" s="60"/>
      <c r="C1498" s="61"/>
      <c r="D1498" s="61"/>
      <c r="E1498" s="62"/>
      <c r="F1498" s="60"/>
      <c r="H1498" s="60"/>
      <c r="I1498" s="63"/>
      <c r="J1498" s="64"/>
      <c r="K1498" s="60"/>
    </row>
    <row r="1499">
      <c r="A1499" s="51"/>
      <c r="B1499" s="60"/>
      <c r="C1499" s="61"/>
      <c r="D1499" s="61"/>
      <c r="E1499" s="62"/>
      <c r="F1499" s="60"/>
      <c r="H1499" s="60"/>
      <c r="I1499" s="63"/>
      <c r="J1499" s="64"/>
      <c r="K1499" s="60"/>
    </row>
    <row r="1500">
      <c r="A1500" s="51"/>
      <c r="B1500" s="60"/>
      <c r="C1500" s="61"/>
      <c r="D1500" s="61"/>
      <c r="E1500" s="62"/>
      <c r="F1500" s="60"/>
      <c r="H1500" s="60"/>
      <c r="I1500" s="63"/>
      <c r="J1500" s="64"/>
      <c r="K1500" s="60"/>
    </row>
    <row r="1501">
      <c r="A1501" s="51"/>
      <c r="B1501" s="60"/>
      <c r="C1501" s="61"/>
      <c r="D1501" s="61"/>
      <c r="E1501" s="62"/>
      <c r="F1501" s="60"/>
      <c r="H1501" s="60"/>
      <c r="I1501" s="63"/>
      <c r="J1501" s="64"/>
      <c r="K1501" s="60"/>
    </row>
    <row r="1502">
      <c r="A1502" s="51"/>
      <c r="B1502" s="60"/>
      <c r="C1502" s="61"/>
      <c r="D1502" s="61"/>
      <c r="E1502" s="62"/>
      <c r="F1502" s="60"/>
      <c r="H1502" s="60"/>
      <c r="I1502" s="63"/>
      <c r="J1502" s="64"/>
      <c r="K1502" s="60"/>
    </row>
    <row r="1503">
      <c r="A1503" s="51"/>
      <c r="B1503" s="60"/>
      <c r="C1503" s="61"/>
      <c r="D1503" s="61"/>
      <c r="E1503" s="62"/>
      <c r="F1503" s="60"/>
      <c r="H1503" s="60"/>
      <c r="I1503" s="63"/>
      <c r="J1503" s="64"/>
      <c r="K1503" s="60"/>
    </row>
    <row r="1504">
      <c r="A1504" s="51"/>
      <c r="B1504" s="60"/>
      <c r="C1504" s="61"/>
      <c r="D1504" s="61"/>
      <c r="E1504" s="62"/>
      <c r="F1504" s="60"/>
      <c r="H1504" s="60"/>
      <c r="I1504" s="63"/>
      <c r="J1504" s="64"/>
      <c r="K1504" s="60"/>
    </row>
    <row r="1505">
      <c r="A1505" s="51"/>
      <c r="B1505" s="60"/>
      <c r="C1505" s="61"/>
      <c r="D1505" s="61"/>
      <c r="E1505" s="62"/>
      <c r="F1505" s="60"/>
      <c r="H1505" s="60"/>
      <c r="I1505" s="63"/>
      <c r="J1505" s="64"/>
      <c r="K1505" s="60"/>
    </row>
    <row r="1506">
      <c r="A1506" s="51"/>
      <c r="B1506" s="60"/>
      <c r="C1506" s="61"/>
      <c r="D1506" s="61"/>
      <c r="E1506" s="62"/>
      <c r="F1506" s="60"/>
      <c r="H1506" s="60"/>
      <c r="I1506" s="63"/>
      <c r="J1506" s="64"/>
      <c r="K1506" s="60"/>
    </row>
    <row r="1507">
      <c r="A1507" s="51"/>
      <c r="B1507" s="60"/>
      <c r="C1507" s="61"/>
      <c r="D1507" s="61"/>
      <c r="E1507" s="62"/>
      <c r="F1507" s="60"/>
      <c r="H1507" s="60"/>
      <c r="I1507" s="63"/>
      <c r="J1507" s="64"/>
      <c r="K1507" s="60"/>
    </row>
    <row r="1508">
      <c r="A1508" s="51"/>
      <c r="B1508" s="60"/>
      <c r="C1508" s="61"/>
      <c r="D1508" s="61"/>
      <c r="E1508" s="62"/>
      <c r="F1508" s="60"/>
      <c r="H1508" s="60"/>
      <c r="I1508" s="63"/>
      <c r="J1508" s="64"/>
      <c r="K1508" s="60"/>
    </row>
    <row r="1509">
      <c r="A1509" s="51"/>
      <c r="B1509" s="60"/>
      <c r="C1509" s="61"/>
      <c r="D1509" s="61"/>
      <c r="E1509" s="62"/>
      <c r="F1509" s="60"/>
      <c r="H1509" s="60"/>
      <c r="I1509" s="63"/>
      <c r="J1509" s="64"/>
      <c r="K1509" s="60"/>
    </row>
    <row r="1510">
      <c r="A1510" s="51"/>
      <c r="B1510" s="60"/>
      <c r="C1510" s="61"/>
      <c r="D1510" s="61"/>
      <c r="E1510" s="62"/>
      <c r="F1510" s="60"/>
      <c r="H1510" s="60"/>
      <c r="I1510" s="63"/>
      <c r="J1510" s="64"/>
      <c r="K1510" s="60"/>
    </row>
    <row r="1511">
      <c r="A1511" s="51"/>
      <c r="B1511" s="60"/>
      <c r="C1511" s="61"/>
      <c r="D1511" s="61"/>
      <c r="E1511" s="62"/>
      <c r="F1511" s="60"/>
      <c r="H1511" s="60"/>
      <c r="I1511" s="63"/>
      <c r="J1511" s="64"/>
      <c r="K1511" s="60"/>
    </row>
    <row r="1512">
      <c r="A1512" s="51"/>
      <c r="B1512" s="60"/>
      <c r="C1512" s="61"/>
      <c r="D1512" s="61"/>
      <c r="E1512" s="62"/>
      <c r="F1512" s="60"/>
      <c r="H1512" s="60"/>
      <c r="I1512" s="63"/>
      <c r="J1512" s="64"/>
      <c r="K1512" s="60"/>
    </row>
    <row r="1513">
      <c r="A1513" s="51"/>
      <c r="B1513" s="60"/>
      <c r="C1513" s="61"/>
      <c r="D1513" s="61"/>
      <c r="E1513" s="62"/>
      <c r="F1513" s="60"/>
      <c r="H1513" s="60"/>
      <c r="I1513" s="63"/>
      <c r="J1513" s="64"/>
      <c r="K1513" s="60"/>
    </row>
    <row r="1514">
      <c r="A1514" s="51"/>
      <c r="B1514" s="60"/>
      <c r="C1514" s="61"/>
      <c r="D1514" s="61"/>
      <c r="E1514" s="62"/>
      <c r="F1514" s="60"/>
      <c r="H1514" s="60"/>
      <c r="I1514" s="63"/>
      <c r="J1514" s="64"/>
      <c r="K1514" s="60"/>
    </row>
    <row r="1515">
      <c r="A1515" s="51"/>
      <c r="B1515" s="60"/>
      <c r="C1515" s="61"/>
      <c r="D1515" s="61"/>
      <c r="E1515" s="62"/>
      <c r="F1515" s="60"/>
      <c r="H1515" s="60"/>
      <c r="I1515" s="63"/>
      <c r="J1515" s="64"/>
      <c r="K1515" s="60"/>
    </row>
    <row r="1516">
      <c r="A1516" s="51"/>
      <c r="B1516" s="60"/>
      <c r="C1516" s="61"/>
      <c r="D1516" s="61"/>
      <c r="E1516" s="62"/>
      <c r="F1516" s="60"/>
      <c r="H1516" s="60"/>
      <c r="I1516" s="63"/>
      <c r="J1516" s="64"/>
      <c r="K1516" s="60"/>
    </row>
    <row r="1517">
      <c r="A1517" s="51"/>
      <c r="B1517" s="60"/>
      <c r="C1517" s="61"/>
      <c r="D1517" s="61"/>
      <c r="E1517" s="62"/>
      <c r="F1517" s="60"/>
      <c r="H1517" s="60"/>
      <c r="I1517" s="63"/>
      <c r="J1517" s="64"/>
      <c r="K1517" s="60"/>
    </row>
    <row r="1518">
      <c r="A1518" s="51"/>
      <c r="B1518" s="60"/>
      <c r="C1518" s="61"/>
      <c r="D1518" s="61"/>
      <c r="E1518" s="62"/>
      <c r="F1518" s="60"/>
      <c r="H1518" s="60"/>
      <c r="I1518" s="63"/>
      <c r="J1518" s="64"/>
      <c r="K1518" s="60"/>
    </row>
    <row r="1519">
      <c r="A1519" s="51"/>
      <c r="B1519" s="60"/>
      <c r="C1519" s="61"/>
      <c r="D1519" s="61"/>
      <c r="E1519" s="62"/>
      <c r="F1519" s="60"/>
      <c r="H1519" s="60"/>
      <c r="I1519" s="63"/>
      <c r="J1519" s="64"/>
      <c r="K1519" s="60"/>
    </row>
    <row r="1520">
      <c r="A1520" s="51"/>
      <c r="B1520" s="60"/>
      <c r="C1520" s="61"/>
      <c r="D1520" s="61"/>
      <c r="E1520" s="62"/>
      <c r="F1520" s="60"/>
      <c r="H1520" s="60"/>
      <c r="I1520" s="63"/>
      <c r="J1520" s="64"/>
      <c r="K1520" s="60"/>
    </row>
    <row r="1521">
      <c r="A1521" s="51"/>
      <c r="B1521" s="60"/>
      <c r="C1521" s="61"/>
      <c r="D1521" s="61"/>
      <c r="E1521" s="62"/>
      <c r="F1521" s="60"/>
      <c r="H1521" s="60"/>
      <c r="I1521" s="63"/>
      <c r="J1521" s="64"/>
      <c r="K1521" s="60"/>
    </row>
    <row r="1522">
      <c r="A1522" s="51"/>
      <c r="B1522" s="60"/>
      <c r="C1522" s="61"/>
      <c r="D1522" s="61"/>
      <c r="E1522" s="62"/>
      <c r="F1522" s="60"/>
      <c r="H1522" s="60"/>
      <c r="I1522" s="63"/>
      <c r="J1522" s="64"/>
      <c r="K1522" s="60"/>
    </row>
    <row r="1523">
      <c r="A1523" s="51"/>
      <c r="B1523" s="60"/>
      <c r="C1523" s="61"/>
      <c r="D1523" s="61"/>
      <c r="E1523" s="62"/>
      <c r="F1523" s="60"/>
      <c r="H1523" s="60"/>
      <c r="I1523" s="63"/>
      <c r="J1523" s="64"/>
      <c r="K1523" s="60"/>
    </row>
    <row r="1524">
      <c r="A1524" s="51"/>
      <c r="B1524" s="60"/>
      <c r="C1524" s="61"/>
      <c r="D1524" s="61"/>
      <c r="E1524" s="62"/>
      <c r="F1524" s="60"/>
      <c r="H1524" s="60"/>
      <c r="I1524" s="63"/>
      <c r="J1524" s="64"/>
      <c r="K1524" s="60"/>
    </row>
    <row r="1525">
      <c r="A1525" s="51"/>
      <c r="B1525" s="60"/>
      <c r="C1525" s="61"/>
      <c r="D1525" s="61"/>
      <c r="E1525" s="62"/>
      <c r="F1525" s="60"/>
      <c r="H1525" s="60"/>
      <c r="I1525" s="63"/>
      <c r="J1525" s="64"/>
      <c r="K1525" s="60"/>
    </row>
    <row r="1526">
      <c r="A1526" s="51"/>
      <c r="B1526" s="60"/>
      <c r="C1526" s="61"/>
      <c r="D1526" s="61"/>
      <c r="E1526" s="62"/>
      <c r="F1526" s="60"/>
      <c r="H1526" s="60"/>
      <c r="I1526" s="63"/>
      <c r="J1526" s="64"/>
      <c r="K1526" s="60"/>
    </row>
    <row r="1527">
      <c r="A1527" s="51"/>
      <c r="B1527" s="60"/>
      <c r="C1527" s="61"/>
      <c r="D1527" s="61"/>
      <c r="E1527" s="62"/>
      <c r="F1527" s="60"/>
      <c r="H1527" s="60"/>
      <c r="I1527" s="63"/>
      <c r="J1527" s="64"/>
      <c r="K1527" s="60"/>
    </row>
    <row r="1528">
      <c r="A1528" s="51"/>
      <c r="B1528" s="60"/>
      <c r="C1528" s="61"/>
      <c r="D1528" s="61"/>
      <c r="E1528" s="62"/>
      <c r="F1528" s="60"/>
      <c r="H1528" s="60"/>
      <c r="I1528" s="63"/>
      <c r="J1528" s="64"/>
      <c r="K1528" s="60"/>
    </row>
    <row r="1529">
      <c r="A1529" s="51"/>
      <c r="B1529" s="60"/>
      <c r="C1529" s="61"/>
      <c r="D1529" s="61"/>
      <c r="E1529" s="62"/>
      <c r="F1529" s="60"/>
      <c r="H1529" s="60"/>
      <c r="I1529" s="63"/>
      <c r="J1529" s="64"/>
      <c r="K1529" s="60"/>
    </row>
    <row r="1530">
      <c r="A1530" s="51"/>
      <c r="B1530" s="60"/>
      <c r="C1530" s="61"/>
      <c r="D1530" s="61"/>
      <c r="E1530" s="62"/>
      <c r="F1530" s="60"/>
      <c r="H1530" s="60"/>
      <c r="I1530" s="63"/>
      <c r="J1530" s="64"/>
      <c r="K1530" s="60"/>
    </row>
    <row r="1531">
      <c r="A1531" s="51"/>
      <c r="B1531" s="60"/>
      <c r="C1531" s="61"/>
      <c r="D1531" s="61"/>
      <c r="E1531" s="62"/>
      <c r="F1531" s="60"/>
      <c r="H1531" s="60"/>
      <c r="I1531" s="63"/>
      <c r="J1531" s="64"/>
      <c r="K1531" s="60"/>
    </row>
    <row r="1532">
      <c r="A1532" s="51"/>
      <c r="B1532" s="60"/>
      <c r="C1532" s="61"/>
      <c r="D1532" s="61"/>
      <c r="E1532" s="62"/>
      <c r="F1532" s="60"/>
      <c r="H1532" s="60"/>
      <c r="I1532" s="63"/>
      <c r="J1532" s="64"/>
      <c r="K1532" s="60"/>
    </row>
    <row r="1533">
      <c r="A1533" s="51"/>
      <c r="B1533" s="60"/>
      <c r="C1533" s="61"/>
      <c r="D1533" s="61"/>
      <c r="E1533" s="62"/>
      <c r="F1533" s="60"/>
      <c r="H1533" s="60"/>
      <c r="I1533" s="63"/>
      <c r="J1533" s="64"/>
      <c r="K1533" s="60"/>
    </row>
    <row r="1534">
      <c r="A1534" s="51"/>
      <c r="B1534" s="60"/>
      <c r="C1534" s="61"/>
      <c r="D1534" s="61"/>
      <c r="E1534" s="62"/>
      <c r="F1534" s="60"/>
      <c r="H1534" s="60"/>
      <c r="I1534" s="63"/>
      <c r="J1534" s="64"/>
      <c r="K1534" s="60"/>
    </row>
    <row r="1535">
      <c r="A1535" s="51"/>
      <c r="B1535" s="60"/>
      <c r="C1535" s="61"/>
      <c r="D1535" s="61"/>
      <c r="E1535" s="62"/>
      <c r="F1535" s="60"/>
      <c r="H1535" s="60"/>
      <c r="I1535" s="63"/>
      <c r="J1535" s="64"/>
      <c r="K1535" s="60"/>
    </row>
    <row r="1536">
      <c r="A1536" s="51"/>
      <c r="B1536" s="60"/>
      <c r="C1536" s="61"/>
      <c r="D1536" s="61"/>
      <c r="E1536" s="62"/>
      <c r="F1536" s="60"/>
      <c r="H1536" s="60"/>
      <c r="I1536" s="63"/>
      <c r="J1536" s="64"/>
      <c r="K1536" s="60"/>
    </row>
    <row r="1537">
      <c r="A1537" s="51"/>
      <c r="B1537" s="60"/>
      <c r="C1537" s="61"/>
      <c r="D1537" s="61"/>
      <c r="E1537" s="62"/>
      <c r="F1537" s="60"/>
      <c r="H1537" s="60"/>
      <c r="I1537" s="63"/>
      <c r="J1537" s="64"/>
      <c r="K1537" s="60"/>
    </row>
    <row r="1538">
      <c r="A1538" s="51"/>
      <c r="B1538" s="60"/>
      <c r="C1538" s="61"/>
      <c r="D1538" s="61"/>
      <c r="E1538" s="62"/>
      <c r="F1538" s="60"/>
      <c r="H1538" s="60"/>
      <c r="I1538" s="63"/>
      <c r="J1538" s="64"/>
      <c r="K1538" s="60"/>
    </row>
    <row r="1539">
      <c r="A1539" s="51"/>
      <c r="B1539" s="60"/>
      <c r="C1539" s="61"/>
      <c r="D1539" s="61"/>
      <c r="E1539" s="62"/>
      <c r="F1539" s="60"/>
      <c r="H1539" s="60"/>
      <c r="I1539" s="63"/>
      <c r="J1539" s="64"/>
      <c r="K1539" s="60"/>
    </row>
    <row r="1540">
      <c r="A1540" s="51"/>
      <c r="B1540" s="60"/>
      <c r="C1540" s="61"/>
      <c r="D1540" s="61"/>
      <c r="E1540" s="62"/>
      <c r="F1540" s="60"/>
      <c r="H1540" s="60"/>
      <c r="I1540" s="63"/>
      <c r="J1540" s="64"/>
      <c r="K1540" s="60"/>
    </row>
    <row r="1541">
      <c r="A1541" s="51"/>
      <c r="B1541" s="60"/>
      <c r="C1541" s="61"/>
      <c r="D1541" s="61"/>
      <c r="E1541" s="62"/>
      <c r="F1541" s="60"/>
      <c r="H1541" s="60"/>
      <c r="I1541" s="63"/>
      <c r="J1541" s="64"/>
      <c r="K1541" s="60"/>
    </row>
    <row r="1542">
      <c r="A1542" s="51"/>
      <c r="B1542" s="60"/>
      <c r="C1542" s="61"/>
      <c r="D1542" s="61"/>
      <c r="E1542" s="62"/>
      <c r="F1542" s="60"/>
      <c r="H1542" s="60"/>
      <c r="I1542" s="63"/>
      <c r="J1542" s="64"/>
      <c r="K1542" s="60"/>
    </row>
    <row r="1543">
      <c r="A1543" s="51"/>
      <c r="B1543" s="60"/>
      <c r="C1543" s="61"/>
      <c r="D1543" s="61"/>
      <c r="E1543" s="62"/>
      <c r="F1543" s="60"/>
      <c r="H1543" s="60"/>
      <c r="I1543" s="63"/>
      <c r="J1543" s="64"/>
      <c r="K1543" s="60"/>
    </row>
    <row r="1544">
      <c r="A1544" s="51"/>
      <c r="B1544" s="60"/>
      <c r="C1544" s="61"/>
      <c r="D1544" s="61"/>
      <c r="E1544" s="62"/>
      <c r="F1544" s="60"/>
      <c r="H1544" s="60"/>
      <c r="I1544" s="63"/>
      <c r="J1544" s="64"/>
      <c r="K1544" s="60"/>
    </row>
    <row r="1545">
      <c r="A1545" s="51"/>
      <c r="B1545" s="60"/>
      <c r="C1545" s="61"/>
      <c r="D1545" s="61"/>
      <c r="E1545" s="62"/>
      <c r="F1545" s="60"/>
      <c r="H1545" s="60"/>
      <c r="I1545" s="63"/>
      <c r="J1545" s="64"/>
      <c r="K1545" s="60"/>
    </row>
    <row r="1546">
      <c r="A1546" s="51"/>
      <c r="B1546" s="60"/>
      <c r="C1546" s="61"/>
      <c r="D1546" s="61"/>
      <c r="E1546" s="62"/>
      <c r="F1546" s="60"/>
      <c r="H1546" s="60"/>
      <c r="I1546" s="63"/>
      <c r="J1546" s="64"/>
      <c r="K1546" s="60"/>
    </row>
    <row r="1547">
      <c r="A1547" s="51"/>
      <c r="B1547" s="60"/>
      <c r="C1547" s="61"/>
      <c r="D1547" s="61"/>
      <c r="E1547" s="62"/>
      <c r="F1547" s="60"/>
      <c r="H1547" s="60"/>
      <c r="I1547" s="63"/>
      <c r="J1547" s="64"/>
      <c r="K1547" s="60"/>
    </row>
    <row r="1548">
      <c r="A1548" s="51"/>
      <c r="B1548" s="60"/>
      <c r="C1548" s="61"/>
      <c r="D1548" s="61"/>
      <c r="E1548" s="62"/>
      <c r="F1548" s="60"/>
      <c r="H1548" s="60"/>
      <c r="I1548" s="63"/>
      <c r="J1548" s="64"/>
      <c r="K1548" s="60"/>
    </row>
    <row r="1549">
      <c r="A1549" s="51"/>
      <c r="B1549" s="60"/>
      <c r="C1549" s="61"/>
      <c r="D1549" s="61"/>
      <c r="E1549" s="62"/>
      <c r="F1549" s="60"/>
      <c r="H1549" s="60"/>
      <c r="I1549" s="63"/>
      <c r="J1549" s="64"/>
      <c r="K1549" s="60"/>
    </row>
    <row r="1550">
      <c r="A1550" s="51"/>
      <c r="B1550" s="60"/>
      <c r="C1550" s="61"/>
      <c r="D1550" s="61"/>
      <c r="E1550" s="62"/>
      <c r="F1550" s="60"/>
      <c r="H1550" s="60"/>
      <c r="I1550" s="63"/>
      <c r="J1550" s="64"/>
      <c r="K1550" s="60"/>
    </row>
    <row r="1551">
      <c r="A1551" s="51"/>
      <c r="B1551" s="60"/>
      <c r="C1551" s="61"/>
      <c r="D1551" s="61"/>
      <c r="E1551" s="62"/>
      <c r="F1551" s="60"/>
      <c r="H1551" s="60"/>
      <c r="I1551" s="63"/>
      <c r="J1551" s="64"/>
      <c r="K1551" s="60"/>
    </row>
    <row r="1552">
      <c r="A1552" s="51"/>
      <c r="B1552" s="60"/>
      <c r="C1552" s="61"/>
      <c r="D1552" s="61"/>
      <c r="E1552" s="62"/>
      <c r="F1552" s="60"/>
      <c r="H1552" s="60"/>
      <c r="I1552" s="63"/>
      <c r="J1552" s="64"/>
      <c r="K1552" s="60"/>
    </row>
    <row r="1553">
      <c r="A1553" s="51"/>
      <c r="B1553" s="60"/>
      <c r="C1553" s="61"/>
      <c r="D1553" s="61"/>
      <c r="E1553" s="62"/>
      <c r="F1553" s="60"/>
      <c r="H1553" s="60"/>
      <c r="I1553" s="63"/>
      <c r="J1553" s="64"/>
      <c r="K1553" s="60"/>
    </row>
    <row r="1554">
      <c r="A1554" s="51"/>
      <c r="B1554" s="60"/>
      <c r="C1554" s="61"/>
      <c r="D1554" s="61"/>
      <c r="E1554" s="62"/>
      <c r="F1554" s="60"/>
      <c r="H1554" s="60"/>
      <c r="I1554" s="63"/>
      <c r="J1554" s="64"/>
      <c r="K1554" s="60"/>
    </row>
    <row r="1555">
      <c r="A1555" s="51"/>
      <c r="B1555" s="60"/>
      <c r="C1555" s="61"/>
      <c r="D1555" s="61"/>
      <c r="E1555" s="62"/>
      <c r="F1555" s="60"/>
      <c r="H1555" s="60"/>
      <c r="I1555" s="63"/>
      <c r="J1555" s="64"/>
      <c r="K1555" s="60"/>
    </row>
    <row r="1556">
      <c r="A1556" s="51"/>
      <c r="B1556" s="60"/>
      <c r="C1556" s="61"/>
      <c r="D1556" s="61"/>
      <c r="E1556" s="62"/>
      <c r="F1556" s="60"/>
      <c r="H1556" s="60"/>
      <c r="I1556" s="63"/>
      <c r="J1556" s="64"/>
      <c r="K1556" s="60"/>
    </row>
    <row r="1557">
      <c r="A1557" s="51"/>
      <c r="B1557" s="60"/>
      <c r="C1557" s="61"/>
      <c r="D1557" s="61"/>
      <c r="E1557" s="62"/>
      <c r="F1557" s="60"/>
      <c r="H1557" s="60"/>
      <c r="I1557" s="63"/>
      <c r="J1557" s="64"/>
      <c r="K1557" s="60"/>
    </row>
    <row r="1558">
      <c r="A1558" s="51"/>
      <c r="B1558" s="60"/>
      <c r="C1558" s="61"/>
      <c r="D1558" s="61"/>
      <c r="E1558" s="62"/>
      <c r="F1558" s="60"/>
      <c r="H1558" s="60"/>
      <c r="I1558" s="63"/>
      <c r="J1558" s="64"/>
      <c r="K1558" s="60"/>
    </row>
    <row r="1559">
      <c r="A1559" s="51"/>
      <c r="B1559" s="60"/>
      <c r="C1559" s="61"/>
      <c r="D1559" s="61"/>
      <c r="E1559" s="62"/>
      <c r="F1559" s="60"/>
      <c r="H1559" s="60"/>
      <c r="I1559" s="63"/>
      <c r="J1559" s="64"/>
      <c r="K1559" s="60"/>
    </row>
    <row r="1560">
      <c r="A1560" s="51"/>
      <c r="B1560" s="60"/>
      <c r="C1560" s="61"/>
      <c r="D1560" s="61"/>
      <c r="E1560" s="62"/>
      <c r="F1560" s="60"/>
      <c r="H1560" s="60"/>
      <c r="I1560" s="63"/>
      <c r="J1560" s="64"/>
      <c r="K1560" s="60"/>
    </row>
    <row r="1561">
      <c r="A1561" s="51"/>
      <c r="B1561" s="60"/>
      <c r="C1561" s="61"/>
      <c r="D1561" s="61"/>
      <c r="E1561" s="62"/>
      <c r="F1561" s="60"/>
      <c r="H1561" s="60"/>
      <c r="I1561" s="63"/>
      <c r="J1561" s="64"/>
      <c r="K1561" s="60"/>
    </row>
    <row r="1562">
      <c r="A1562" s="51"/>
      <c r="B1562" s="60"/>
      <c r="C1562" s="61"/>
      <c r="D1562" s="61"/>
      <c r="E1562" s="62"/>
      <c r="F1562" s="60"/>
      <c r="H1562" s="60"/>
      <c r="I1562" s="63"/>
      <c r="J1562" s="64"/>
      <c r="K1562" s="60"/>
    </row>
    <row r="1563">
      <c r="A1563" s="51"/>
      <c r="B1563" s="60"/>
      <c r="C1563" s="61"/>
      <c r="D1563" s="61"/>
      <c r="E1563" s="62"/>
      <c r="F1563" s="60"/>
      <c r="H1563" s="60"/>
      <c r="I1563" s="63"/>
      <c r="J1563" s="64"/>
      <c r="K1563" s="60"/>
    </row>
    <row r="1564">
      <c r="A1564" s="51"/>
      <c r="B1564" s="60"/>
      <c r="C1564" s="61"/>
      <c r="D1564" s="61"/>
      <c r="E1564" s="62"/>
      <c r="F1564" s="60"/>
      <c r="H1564" s="60"/>
      <c r="I1564" s="63"/>
      <c r="J1564" s="64"/>
      <c r="K1564" s="60"/>
    </row>
    <row r="1565">
      <c r="A1565" s="51"/>
      <c r="B1565" s="60"/>
      <c r="C1565" s="61"/>
      <c r="D1565" s="61"/>
      <c r="E1565" s="62"/>
      <c r="F1565" s="60"/>
      <c r="H1565" s="60"/>
      <c r="I1565" s="63"/>
      <c r="J1565" s="64"/>
      <c r="K1565" s="60"/>
    </row>
    <row r="1566">
      <c r="A1566" s="51"/>
      <c r="B1566" s="60"/>
      <c r="C1566" s="61"/>
      <c r="D1566" s="61"/>
      <c r="E1566" s="62"/>
      <c r="F1566" s="60"/>
      <c r="H1566" s="60"/>
      <c r="I1566" s="63"/>
      <c r="J1566" s="64"/>
      <c r="K1566" s="60"/>
    </row>
    <row r="1567">
      <c r="A1567" s="51"/>
      <c r="B1567" s="60"/>
      <c r="C1567" s="61"/>
      <c r="D1567" s="61"/>
      <c r="E1567" s="62"/>
      <c r="F1567" s="60"/>
      <c r="H1567" s="60"/>
      <c r="I1567" s="63"/>
      <c r="J1567" s="64"/>
      <c r="K1567" s="60"/>
    </row>
    <row r="1568">
      <c r="A1568" s="51"/>
      <c r="B1568" s="60"/>
      <c r="C1568" s="61"/>
      <c r="D1568" s="61"/>
      <c r="E1568" s="62"/>
      <c r="F1568" s="60"/>
      <c r="H1568" s="60"/>
      <c r="I1568" s="63"/>
      <c r="J1568" s="64"/>
      <c r="K1568" s="60"/>
    </row>
    <row r="1569">
      <c r="A1569" s="51"/>
      <c r="B1569" s="60"/>
      <c r="C1569" s="61"/>
      <c r="D1569" s="61"/>
      <c r="E1569" s="62"/>
      <c r="F1569" s="60"/>
      <c r="H1569" s="60"/>
      <c r="I1569" s="63"/>
      <c r="J1569" s="64"/>
      <c r="K1569" s="60"/>
    </row>
    <row r="1570">
      <c r="A1570" s="51"/>
      <c r="B1570" s="60"/>
      <c r="C1570" s="61"/>
      <c r="D1570" s="61"/>
      <c r="E1570" s="62"/>
      <c r="F1570" s="60"/>
      <c r="H1570" s="60"/>
      <c r="I1570" s="63"/>
      <c r="J1570" s="64"/>
      <c r="K1570" s="60"/>
    </row>
    <row r="1571">
      <c r="A1571" s="51"/>
      <c r="B1571" s="60"/>
      <c r="C1571" s="61"/>
      <c r="D1571" s="61"/>
      <c r="E1571" s="62"/>
      <c r="F1571" s="60"/>
      <c r="H1571" s="60"/>
      <c r="I1571" s="63"/>
      <c r="J1571" s="64"/>
      <c r="K1571" s="60"/>
    </row>
    <row r="1572">
      <c r="A1572" s="51"/>
      <c r="B1572" s="60"/>
      <c r="C1572" s="61"/>
      <c r="D1572" s="61"/>
      <c r="E1572" s="62"/>
      <c r="F1572" s="60"/>
      <c r="H1572" s="60"/>
      <c r="I1572" s="63"/>
      <c r="J1572" s="64"/>
      <c r="K1572" s="60"/>
    </row>
    <row r="1573">
      <c r="A1573" s="51"/>
      <c r="B1573" s="60"/>
      <c r="C1573" s="61"/>
      <c r="D1573" s="61"/>
      <c r="E1573" s="62"/>
      <c r="F1573" s="60"/>
      <c r="H1573" s="60"/>
      <c r="I1573" s="63"/>
      <c r="J1573" s="64"/>
      <c r="K1573" s="60"/>
    </row>
    <row r="1574">
      <c r="A1574" s="51"/>
      <c r="B1574" s="60"/>
      <c r="C1574" s="61"/>
      <c r="D1574" s="61"/>
      <c r="E1574" s="62"/>
      <c r="F1574" s="60"/>
      <c r="H1574" s="60"/>
      <c r="I1574" s="63"/>
      <c r="J1574" s="64"/>
      <c r="K1574" s="60"/>
    </row>
    <row r="1575">
      <c r="A1575" s="51"/>
      <c r="B1575" s="60"/>
      <c r="C1575" s="61"/>
      <c r="D1575" s="61"/>
      <c r="E1575" s="62"/>
      <c r="F1575" s="60"/>
      <c r="H1575" s="60"/>
      <c r="I1575" s="63"/>
      <c r="J1575" s="64"/>
      <c r="K1575" s="60"/>
    </row>
    <row r="1576">
      <c r="A1576" s="51"/>
      <c r="B1576" s="60"/>
      <c r="C1576" s="61"/>
      <c r="D1576" s="61"/>
      <c r="E1576" s="62"/>
      <c r="F1576" s="60"/>
      <c r="H1576" s="60"/>
      <c r="I1576" s="63"/>
      <c r="J1576" s="64"/>
      <c r="K1576" s="60"/>
    </row>
    <row r="1577">
      <c r="A1577" s="51"/>
      <c r="B1577" s="60"/>
      <c r="C1577" s="61"/>
      <c r="D1577" s="61"/>
      <c r="E1577" s="62"/>
      <c r="F1577" s="60"/>
      <c r="H1577" s="60"/>
      <c r="I1577" s="63"/>
      <c r="J1577" s="64"/>
      <c r="K1577" s="60"/>
    </row>
    <row r="1578">
      <c r="A1578" s="51"/>
      <c r="B1578" s="60"/>
      <c r="C1578" s="61"/>
      <c r="D1578" s="61"/>
      <c r="E1578" s="62"/>
      <c r="F1578" s="60"/>
      <c r="H1578" s="60"/>
      <c r="I1578" s="63"/>
      <c r="J1578" s="64"/>
      <c r="K1578" s="60"/>
    </row>
    <row r="1579">
      <c r="A1579" s="51"/>
      <c r="B1579" s="60"/>
      <c r="C1579" s="61"/>
      <c r="D1579" s="61"/>
      <c r="E1579" s="62"/>
      <c r="F1579" s="60"/>
      <c r="H1579" s="60"/>
      <c r="I1579" s="63"/>
      <c r="J1579" s="64"/>
      <c r="K1579" s="60"/>
    </row>
    <row r="1580">
      <c r="A1580" s="51"/>
      <c r="B1580" s="60"/>
      <c r="C1580" s="61"/>
      <c r="D1580" s="61"/>
      <c r="E1580" s="62"/>
      <c r="F1580" s="60"/>
      <c r="H1580" s="60"/>
      <c r="I1580" s="63"/>
      <c r="J1580" s="64"/>
      <c r="K1580" s="60"/>
    </row>
    <row r="1581">
      <c r="A1581" s="51"/>
      <c r="B1581" s="60"/>
      <c r="C1581" s="61"/>
      <c r="D1581" s="61"/>
      <c r="E1581" s="62"/>
      <c r="F1581" s="60"/>
      <c r="H1581" s="60"/>
      <c r="I1581" s="63"/>
      <c r="J1581" s="64"/>
      <c r="K1581" s="60"/>
    </row>
    <row r="1582">
      <c r="A1582" s="51"/>
      <c r="B1582" s="60"/>
      <c r="C1582" s="61"/>
      <c r="D1582" s="61"/>
      <c r="E1582" s="62"/>
      <c r="F1582" s="60"/>
      <c r="H1582" s="60"/>
      <c r="I1582" s="63"/>
      <c r="J1582" s="64"/>
      <c r="K1582" s="60"/>
    </row>
    <row r="1583">
      <c r="A1583" s="51"/>
      <c r="B1583" s="60"/>
      <c r="C1583" s="61"/>
      <c r="D1583" s="61"/>
      <c r="E1583" s="62"/>
      <c r="F1583" s="60"/>
      <c r="H1583" s="60"/>
      <c r="I1583" s="63"/>
      <c r="J1583" s="64"/>
      <c r="K1583" s="60"/>
    </row>
    <row r="1584">
      <c r="A1584" s="51"/>
      <c r="B1584" s="60"/>
      <c r="C1584" s="61"/>
      <c r="D1584" s="61"/>
      <c r="E1584" s="62"/>
      <c r="F1584" s="60"/>
      <c r="H1584" s="60"/>
      <c r="I1584" s="63"/>
      <c r="J1584" s="64"/>
      <c r="K1584" s="60"/>
    </row>
    <row r="1585">
      <c r="A1585" s="51"/>
      <c r="B1585" s="60"/>
      <c r="C1585" s="61"/>
      <c r="D1585" s="61"/>
      <c r="E1585" s="62"/>
      <c r="F1585" s="60"/>
      <c r="H1585" s="60"/>
      <c r="I1585" s="63"/>
      <c r="J1585" s="64"/>
      <c r="K1585" s="60"/>
    </row>
    <row r="1586">
      <c r="A1586" s="51"/>
      <c r="B1586" s="60"/>
      <c r="C1586" s="61"/>
      <c r="D1586" s="61"/>
      <c r="E1586" s="62"/>
      <c r="F1586" s="60"/>
      <c r="H1586" s="60"/>
      <c r="I1586" s="63"/>
      <c r="J1586" s="64"/>
      <c r="K1586" s="60"/>
    </row>
    <row r="1587">
      <c r="A1587" s="51"/>
      <c r="B1587" s="60"/>
      <c r="C1587" s="61"/>
      <c r="D1587" s="61"/>
      <c r="E1587" s="62"/>
      <c r="F1587" s="60"/>
      <c r="H1587" s="60"/>
      <c r="I1587" s="63"/>
      <c r="J1587" s="64"/>
      <c r="K1587" s="60"/>
    </row>
    <row r="1588">
      <c r="A1588" s="51"/>
      <c r="B1588" s="60"/>
      <c r="C1588" s="61"/>
      <c r="D1588" s="61"/>
      <c r="E1588" s="62"/>
      <c r="F1588" s="60"/>
      <c r="H1588" s="60"/>
      <c r="I1588" s="63"/>
      <c r="J1588" s="64"/>
      <c r="K1588" s="60"/>
    </row>
    <row r="1589">
      <c r="A1589" s="51"/>
      <c r="B1589" s="60"/>
      <c r="C1589" s="61"/>
      <c r="D1589" s="61"/>
      <c r="E1589" s="62"/>
      <c r="F1589" s="60"/>
      <c r="H1589" s="60"/>
      <c r="I1589" s="63"/>
      <c r="J1589" s="64"/>
      <c r="K1589" s="60"/>
    </row>
    <row r="1590">
      <c r="A1590" s="51"/>
      <c r="B1590" s="60"/>
      <c r="C1590" s="61"/>
      <c r="D1590" s="61"/>
      <c r="E1590" s="62"/>
      <c r="F1590" s="60"/>
      <c r="H1590" s="60"/>
      <c r="I1590" s="63"/>
      <c r="J1590" s="64"/>
      <c r="K1590" s="60"/>
    </row>
    <row r="1591">
      <c r="A1591" s="51"/>
      <c r="B1591" s="60"/>
      <c r="C1591" s="61"/>
      <c r="D1591" s="61"/>
      <c r="E1591" s="62"/>
      <c r="F1591" s="60"/>
      <c r="H1591" s="60"/>
      <c r="I1591" s="63"/>
      <c r="J1591" s="64"/>
      <c r="K1591" s="60"/>
    </row>
    <row r="1592">
      <c r="A1592" s="51"/>
      <c r="B1592" s="60"/>
      <c r="C1592" s="61"/>
      <c r="D1592" s="61"/>
      <c r="E1592" s="62"/>
      <c r="F1592" s="60"/>
      <c r="H1592" s="60"/>
      <c r="I1592" s="63"/>
      <c r="J1592" s="64"/>
      <c r="K1592" s="60"/>
    </row>
    <row r="1593">
      <c r="A1593" s="51"/>
      <c r="B1593" s="60"/>
      <c r="C1593" s="61"/>
      <c r="D1593" s="61"/>
      <c r="E1593" s="62"/>
      <c r="F1593" s="60"/>
      <c r="H1593" s="60"/>
      <c r="I1593" s="63"/>
      <c r="J1593" s="64"/>
      <c r="K1593" s="60"/>
    </row>
    <row r="1594">
      <c r="A1594" s="51"/>
      <c r="B1594" s="60"/>
      <c r="C1594" s="61"/>
      <c r="D1594" s="61"/>
      <c r="E1594" s="62"/>
      <c r="F1594" s="60"/>
      <c r="H1594" s="60"/>
      <c r="I1594" s="63"/>
      <c r="J1594" s="64"/>
      <c r="K1594" s="60"/>
    </row>
    <row r="1595">
      <c r="A1595" s="51"/>
      <c r="B1595" s="60"/>
      <c r="C1595" s="61"/>
      <c r="D1595" s="61"/>
      <c r="E1595" s="62"/>
      <c r="F1595" s="60"/>
      <c r="H1595" s="60"/>
      <c r="I1595" s="63"/>
      <c r="J1595" s="64"/>
      <c r="K1595" s="60"/>
    </row>
    <row r="1596">
      <c r="A1596" s="51"/>
      <c r="B1596" s="60"/>
      <c r="C1596" s="61"/>
      <c r="D1596" s="61"/>
      <c r="E1596" s="62"/>
      <c r="F1596" s="60"/>
      <c r="H1596" s="60"/>
      <c r="I1596" s="63"/>
      <c r="J1596" s="64"/>
      <c r="K1596" s="60"/>
    </row>
    <row r="1597">
      <c r="A1597" s="51"/>
      <c r="B1597" s="60"/>
      <c r="C1597" s="61"/>
      <c r="D1597" s="61"/>
      <c r="E1597" s="62"/>
      <c r="F1597" s="60"/>
      <c r="H1597" s="60"/>
      <c r="I1597" s="63"/>
      <c r="J1597" s="64"/>
      <c r="K1597" s="60"/>
    </row>
    <row r="1598">
      <c r="A1598" s="51"/>
      <c r="B1598" s="60"/>
      <c r="C1598" s="61"/>
      <c r="D1598" s="61"/>
      <c r="E1598" s="62"/>
      <c r="F1598" s="60"/>
      <c r="H1598" s="60"/>
      <c r="I1598" s="63"/>
      <c r="J1598" s="64"/>
      <c r="K1598" s="60"/>
    </row>
    <row r="1599">
      <c r="A1599" s="51"/>
      <c r="B1599" s="60"/>
      <c r="C1599" s="61"/>
      <c r="D1599" s="61"/>
      <c r="E1599" s="62"/>
      <c r="F1599" s="60"/>
      <c r="H1599" s="60"/>
      <c r="I1599" s="63"/>
      <c r="J1599" s="64"/>
      <c r="K1599" s="60"/>
    </row>
    <row r="1600">
      <c r="A1600" s="51"/>
      <c r="B1600" s="60"/>
      <c r="C1600" s="61"/>
      <c r="D1600" s="61"/>
      <c r="E1600" s="62"/>
      <c r="F1600" s="60"/>
      <c r="H1600" s="60"/>
      <c r="I1600" s="63"/>
      <c r="J1600" s="64"/>
      <c r="K1600" s="60"/>
    </row>
    <row r="1601">
      <c r="A1601" s="51"/>
      <c r="B1601" s="60"/>
      <c r="C1601" s="61"/>
      <c r="D1601" s="61"/>
      <c r="E1601" s="62"/>
      <c r="F1601" s="60"/>
      <c r="H1601" s="60"/>
      <c r="I1601" s="63"/>
      <c r="J1601" s="64"/>
      <c r="K1601" s="60"/>
    </row>
    <row r="1602">
      <c r="A1602" s="51"/>
      <c r="B1602" s="60"/>
      <c r="C1602" s="61"/>
      <c r="D1602" s="61"/>
      <c r="E1602" s="62"/>
      <c r="F1602" s="60"/>
      <c r="H1602" s="60"/>
      <c r="I1602" s="63"/>
      <c r="J1602" s="64"/>
      <c r="K1602" s="60"/>
    </row>
    <row r="1603">
      <c r="A1603" s="51"/>
      <c r="B1603" s="60"/>
      <c r="C1603" s="61"/>
      <c r="D1603" s="61"/>
      <c r="E1603" s="62"/>
      <c r="F1603" s="60"/>
      <c r="H1603" s="60"/>
      <c r="I1603" s="63"/>
      <c r="J1603" s="64"/>
      <c r="K1603" s="60"/>
    </row>
    <row r="1604">
      <c r="A1604" s="51"/>
      <c r="B1604" s="60"/>
      <c r="C1604" s="61"/>
      <c r="D1604" s="61"/>
      <c r="E1604" s="62"/>
      <c r="F1604" s="60"/>
      <c r="H1604" s="60"/>
      <c r="I1604" s="63"/>
      <c r="J1604" s="64"/>
      <c r="K1604" s="60"/>
    </row>
    <row r="1605">
      <c r="A1605" s="51"/>
      <c r="B1605" s="60"/>
      <c r="C1605" s="61"/>
      <c r="D1605" s="61"/>
      <c r="E1605" s="62"/>
      <c r="F1605" s="60"/>
      <c r="H1605" s="60"/>
      <c r="I1605" s="63"/>
      <c r="J1605" s="64"/>
      <c r="K1605" s="60"/>
    </row>
    <row r="1606">
      <c r="A1606" s="51"/>
      <c r="B1606" s="60"/>
      <c r="C1606" s="61"/>
      <c r="D1606" s="61"/>
      <c r="E1606" s="62"/>
      <c r="F1606" s="60"/>
      <c r="H1606" s="60"/>
      <c r="I1606" s="63"/>
      <c r="J1606" s="64"/>
      <c r="K1606" s="60"/>
    </row>
    <row r="1607">
      <c r="A1607" s="51"/>
      <c r="B1607" s="60"/>
      <c r="C1607" s="61"/>
      <c r="D1607" s="61"/>
      <c r="E1607" s="62"/>
      <c r="F1607" s="60"/>
      <c r="H1607" s="60"/>
      <c r="I1607" s="63"/>
      <c r="J1607" s="64"/>
      <c r="K1607" s="60"/>
    </row>
    <row r="1608">
      <c r="A1608" s="51"/>
      <c r="B1608" s="60"/>
      <c r="C1608" s="61"/>
      <c r="D1608" s="61"/>
      <c r="E1608" s="62"/>
      <c r="F1608" s="60"/>
      <c r="H1608" s="60"/>
      <c r="I1608" s="63"/>
      <c r="J1608" s="64"/>
      <c r="K1608" s="60"/>
    </row>
    <row r="1609">
      <c r="A1609" s="51"/>
      <c r="B1609" s="60"/>
      <c r="C1609" s="61"/>
      <c r="D1609" s="61"/>
      <c r="E1609" s="62"/>
      <c r="F1609" s="60"/>
      <c r="H1609" s="60"/>
      <c r="I1609" s="63"/>
      <c r="J1609" s="64"/>
      <c r="K1609" s="60"/>
    </row>
    <row r="1610">
      <c r="A1610" s="51"/>
      <c r="B1610" s="60"/>
      <c r="C1610" s="61"/>
      <c r="D1610" s="61"/>
      <c r="E1610" s="62"/>
      <c r="F1610" s="60"/>
      <c r="H1610" s="60"/>
      <c r="I1610" s="63"/>
      <c r="J1610" s="64"/>
      <c r="K1610" s="60"/>
    </row>
    <row r="1611">
      <c r="A1611" s="51"/>
      <c r="B1611" s="60"/>
      <c r="C1611" s="61"/>
      <c r="D1611" s="61"/>
      <c r="E1611" s="62"/>
      <c r="F1611" s="60"/>
      <c r="H1611" s="60"/>
      <c r="I1611" s="63"/>
      <c r="J1611" s="64"/>
      <c r="K1611" s="60"/>
    </row>
    <row r="1612">
      <c r="A1612" s="51"/>
      <c r="B1612" s="60"/>
      <c r="C1612" s="61"/>
      <c r="D1612" s="61"/>
      <c r="E1612" s="62"/>
      <c r="F1612" s="60"/>
      <c r="H1612" s="60"/>
      <c r="I1612" s="63"/>
      <c r="J1612" s="64"/>
      <c r="K1612" s="60"/>
    </row>
    <row r="1613">
      <c r="A1613" s="51"/>
      <c r="B1613" s="60"/>
      <c r="C1613" s="61"/>
      <c r="D1613" s="61"/>
      <c r="E1613" s="62"/>
      <c r="F1613" s="60"/>
      <c r="H1613" s="60"/>
      <c r="I1613" s="63"/>
      <c r="J1613" s="64"/>
      <c r="K1613" s="60"/>
    </row>
    <row r="1614">
      <c r="A1614" s="51"/>
      <c r="B1614" s="60"/>
      <c r="C1614" s="61"/>
      <c r="D1614" s="61"/>
      <c r="E1614" s="62"/>
      <c r="F1614" s="60"/>
      <c r="H1614" s="60"/>
      <c r="I1614" s="63"/>
      <c r="J1614" s="64"/>
      <c r="K1614" s="60"/>
    </row>
    <row r="1615">
      <c r="A1615" s="51"/>
      <c r="B1615" s="60"/>
      <c r="C1615" s="61"/>
      <c r="D1615" s="61"/>
      <c r="E1615" s="62"/>
      <c r="F1615" s="60"/>
      <c r="H1615" s="60"/>
      <c r="I1615" s="63"/>
      <c r="J1615" s="64"/>
      <c r="K1615" s="60"/>
    </row>
    <row r="1616">
      <c r="A1616" s="51"/>
      <c r="B1616" s="60"/>
      <c r="C1616" s="61"/>
      <c r="D1616" s="61"/>
      <c r="E1616" s="62"/>
      <c r="F1616" s="60"/>
      <c r="H1616" s="60"/>
      <c r="I1616" s="63"/>
      <c r="J1616" s="64"/>
      <c r="K1616" s="60"/>
    </row>
    <row r="1617">
      <c r="A1617" s="51"/>
      <c r="B1617" s="60"/>
      <c r="C1617" s="61"/>
      <c r="D1617" s="61"/>
      <c r="E1617" s="62"/>
      <c r="F1617" s="60"/>
      <c r="H1617" s="60"/>
      <c r="I1617" s="63"/>
      <c r="J1617" s="64"/>
      <c r="K1617" s="60"/>
    </row>
    <row r="1618">
      <c r="A1618" s="51"/>
      <c r="B1618" s="60"/>
      <c r="C1618" s="61"/>
      <c r="D1618" s="61"/>
      <c r="E1618" s="62"/>
      <c r="F1618" s="60"/>
      <c r="H1618" s="60"/>
      <c r="I1618" s="63"/>
      <c r="J1618" s="64"/>
      <c r="K1618" s="60"/>
    </row>
    <row r="1619">
      <c r="A1619" s="51"/>
      <c r="B1619" s="60"/>
      <c r="C1619" s="61"/>
      <c r="D1619" s="61"/>
      <c r="E1619" s="62"/>
      <c r="F1619" s="60"/>
      <c r="H1619" s="60"/>
      <c r="I1619" s="63"/>
      <c r="J1619" s="64"/>
      <c r="K1619" s="60"/>
    </row>
    <row r="1620">
      <c r="A1620" s="51"/>
      <c r="B1620" s="60"/>
      <c r="C1620" s="61"/>
      <c r="D1620" s="61"/>
      <c r="E1620" s="62"/>
      <c r="F1620" s="60"/>
      <c r="H1620" s="60"/>
      <c r="I1620" s="63"/>
      <c r="J1620" s="64"/>
      <c r="K1620" s="60"/>
    </row>
    <row r="1621">
      <c r="A1621" s="51"/>
      <c r="B1621" s="60"/>
      <c r="C1621" s="61"/>
      <c r="D1621" s="61"/>
      <c r="E1621" s="62"/>
      <c r="F1621" s="60"/>
      <c r="H1621" s="60"/>
      <c r="I1621" s="63"/>
      <c r="J1621" s="64"/>
      <c r="K1621" s="60"/>
    </row>
    <row r="1622">
      <c r="A1622" s="51"/>
      <c r="B1622" s="60"/>
      <c r="C1622" s="61"/>
      <c r="D1622" s="61"/>
      <c r="E1622" s="62"/>
      <c r="F1622" s="60"/>
      <c r="H1622" s="60"/>
      <c r="I1622" s="63"/>
      <c r="J1622" s="64"/>
      <c r="K1622" s="60"/>
    </row>
    <row r="1623">
      <c r="A1623" s="51"/>
      <c r="B1623" s="60"/>
      <c r="C1623" s="61"/>
      <c r="D1623" s="61"/>
      <c r="E1623" s="62"/>
      <c r="F1623" s="60"/>
      <c r="H1623" s="60"/>
      <c r="I1623" s="63"/>
      <c r="J1623" s="64"/>
      <c r="K1623" s="60"/>
    </row>
    <row r="1624">
      <c r="A1624" s="51"/>
      <c r="B1624" s="60"/>
      <c r="C1624" s="61"/>
      <c r="D1624" s="61"/>
      <c r="E1624" s="62"/>
      <c r="F1624" s="60"/>
      <c r="H1624" s="60"/>
      <c r="I1624" s="63"/>
      <c r="J1624" s="64"/>
      <c r="K1624" s="60"/>
    </row>
    <row r="1625">
      <c r="A1625" s="51"/>
      <c r="B1625" s="60"/>
      <c r="C1625" s="61"/>
      <c r="D1625" s="61"/>
      <c r="E1625" s="62"/>
      <c r="F1625" s="60"/>
      <c r="H1625" s="60"/>
      <c r="I1625" s="63"/>
      <c r="J1625" s="64"/>
      <c r="K1625" s="60"/>
    </row>
    <row r="1626">
      <c r="A1626" s="51"/>
      <c r="B1626" s="60"/>
      <c r="C1626" s="61"/>
      <c r="D1626" s="61"/>
      <c r="E1626" s="62"/>
      <c r="F1626" s="60"/>
      <c r="H1626" s="60"/>
      <c r="I1626" s="63"/>
      <c r="J1626" s="64"/>
      <c r="K1626" s="60"/>
    </row>
    <row r="1627">
      <c r="A1627" s="51"/>
      <c r="B1627" s="60"/>
      <c r="C1627" s="61"/>
      <c r="D1627" s="61"/>
      <c r="E1627" s="62"/>
      <c r="F1627" s="60"/>
      <c r="H1627" s="60"/>
      <c r="I1627" s="63"/>
      <c r="J1627" s="64"/>
      <c r="K1627" s="60"/>
    </row>
    <row r="1628">
      <c r="A1628" s="51"/>
      <c r="B1628" s="60"/>
      <c r="C1628" s="61"/>
      <c r="D1628" s="61"/>
      <c r="E1628" s="62"/>
      <c r="F1628" s="60"/>
      <c r="H1628" s="60"/>
      <c r="I1628" s="63"/>
      <c r="J1628" s="64"/>
      <c r="K1628" s="60"/>
    </row>
    <row r="1629">
      <c r="A1629" s="51"/>
      <c r="B1629" s="60"/>
      <c r="C1629" s="61"/>
      <c r="D1629" s="61"/>
      <c r="E1629" s="62"/>
      <c r="F1629" s="60"/>
      <c r="H1629" s="60"/>
      <c r="I1629" s="63"/>
      <c r="J1629" s="64"/>
      <c r="K1629" s="60"/>
    </row>
    <row r="1630">
      <c r="A1630" s="51"/>
      <c r="B1630" s="60"/>
      <c r="C1630" s="61"/>
      <c r="D1630" s="61"/>
      <c r="E1630" s="62"/>
      <c r="F1630" s="60"/>
      <c r="H1630" s="60"/>
      <c r="I1630" s="63"/>
      <c r="J1630" s="64"/>
      <c r="K1630" s="60"/>
    </row>
    <row r="1631">
      <c r="A1631" s="51"/>
      <c r="B1631" s="60"/>
      <c r="C1631" s="61"/>
      <c r="D1631" s="61"/>
      <c r="E1631" s="62"/>
      <c r="F1631" s="60"/>
      <c r="H1631" s="60"/>
      <c r="I1631" s="63"/>
      <c r="J1631" s="64"/>
      <c r="K1631" s="60"/>
    </row>
    <row r="1632">
      <c r="A1632" s="51"/>
      <c r="B1632" s="60"/>
      <c r="C1632" s="61"/>
      <c r="D1632" s="61"/>
      <c r="E1632" s="62"/>
      <c r="F1632" s="60"/>
      <c r="H1632" s="60"/>
      <c r="I1632" s="63"/>
      <c r="J1632" s="64"/>
      <c r="K1632" s="60"/>
    </row>
    <row r="1633">
      <c r="A1633" s="51"/>
      <c r="B1633" s="60"/>
      <c r="C1633" s="61"/>
      <c r="D1633" s="61"/>
      <c r="E1633" s="62"/>
      <c r="F1633" s="60"/>
      <c r="H1633" s="60"/>
      <c r="I1633" s="63"/>
      <c r="J1633" s="64"/>
      <c r="K1633" s="60"/>
    </row>
    <row r="1634">
      <c r="A1634" s="51"/>
      <c r="B1634" s="60"/>
      <c r="C1634" s="61"/>
      <c r="D1634" s="61"/>
      <c r="E1634" s="62"/>
      <c r="F1634" s="60"/>
      <c r="H1634" s="60"/>
      <c r="I1634" s="63"/>
      <c r="J1634" s="64"/>
      <c r="K1634" s="60"/>
    </row>
    <row r="1635">
      <c r="A1635" s="51"/>
      <c r="B1635" s="60"/>
      <c r="C1635" s="61"/>
      <c r="D1635" s="61"/>
      <c r="E1635" s="62"/>
      <c r="F1635" s="60"/>
      <c r="H1635" s="60"/>
      <c r="I1635" s="63"/>
      <c r="J1635" s="64"/>
      <c r="K1635" s="60"/>
    </row>
    <row r="1636">
      <c r="A1636" s="51"/>
      <c r="B1636" s="60"/>
      <c r="C1636" s="61"/>
      <c r="D1636" s="61"/>
      <c r="E1636" s="62"/>
      <c r="F1636" s="60"/>
      <c r="H1636" s="60"/>
      <c r="I1636" s="63"/>
      <c r="J1636" s="64"/>
      <c r="K1636" s="60"/>
    </row>
    <row r="1637">
      <c r="A1637" s="51"/>
      <c r="B1637" s="60"/>
      <c r="C1637" s="61"/>
      <c r="D1637" s="61"/>
      <c r="E1637" s="62"/>
      <c r="F1637" s="60"/>
      <c r="H1637" s="60"/>
      <c r="I1637" s="63"/>
      <c r="J1637" s="64"/>
      <c r="K1637" s="60"/>
    </row>
    <row r="1638">
      <c r="A1638" s="51"/>
      <c r="B1638" s="60"/>
      <c r="C1638" s="61"/>
      <c r="D1638" s="61"/>
      <c r="E1638" s="62"/>
      <c r="F1638" s="60"/>
      <c r="H1638" s="60"/>
      <c r="I1638" s="63"/>
      <c r="J1638" s="64"/>
      <c r="K1638" s="60"/>
    </row>
    <row r="1639">
      <c r="A1639" s="51"/>
      <c r="B1639" s="60"/>
      <c r="C1639" s="61"/>
      <c r="D1639" s="61"/>
      <c r="E1639" s="62"/>
      <c r="F1639" s="60"/>
      <c r="H1639" s="60"/>
      <c r="I1639" s="63"/>
      <c r="J1639" s="64"/>
      <c r="K1639" s="60"/>
    </row>
    <row r="1640">
      <c r="A1640" s="51"/>
      <c r="B1640" s="60"/>
      <c r="C1640" s="61"/>
      <c r="D1640" s="61"/>
      <c r="E1640" s="62"/>
      <c r="F1640" s="60"/>
      <c r="H1640" s="60"/>
      <c r="I1640" s="63"/>
      <c r="J1640" s="64"/>
      <c r="K1640" s="60"/>
    </row>
    <row r="1641">
      <c r="A1641" s="51"/>
      <c r="B1641" s="60"/>
      <c r="C1641" s="61"/>
      <c r="D1641" s="61"/>
      <c r="E1641" s="62"/>
      <c r="F1641" s="60"/>
      <c r="H1641" s="60"/>
      <c r="I1641" s="63"/>
      <c r="J1641" s="64"/>
      <c r="K1641" s="60"/>
    </row>
    <row r="1642">
      <c r="A1642" s="51"/>
      <c r="B1642" s="60"/>
      <c r="C1642" s="61"/>
      <c r="D1642" s="61"/>
      <c r="E1642" s="62"/>
      <c r="F1642" s="60"/>
      <c r="H1642" s="60"/>
      <c r="I1642" s="63"/>
      <c r="J1642" s="64"/>
      <c r="K1642" s="60"/>
    </row>
    <row r="1643">
      <c r="A1643" s="51"/>
      <c r="B1643" s="60"/>
      <c r="C1643" s="61"/>
      <c r="D1643" s="61"/>
      <c r="E1643" s="62"/>
      <c r="F1643" s="60"/>
      <c r="H1643" s="60"/>
      <c r="I1643" s="63"/>
      <c r="J1643" s="64"/>
      <c r="K1643" s="60"/>
    </row>
    <row r="1644">
      <c r="A1644" s="51"/>
      <c r="B1644" s="60"/>
      <c r="C1644" s="61"/>
      <c r="D1644" s="61"/>
      <c r="E1644" s="62"/>
      <c r="F1644" s="60"/>
      <c r="H1644" s="60"/>
      <c r="I1644" s="63"/>
      <c r="J1644" s="64"/>
      <c r="K1644" s="60"/>
    </row>
    <row r="1645">
      <c r="A1645" s="51"/>
      <c r="B1645" s="60"/>
      <c r="C1645" s="61"/>
      <c r="D1645" s="61"/>
      <c r="E1645" s="62"/>
      <c r="F1645" s="60"/>
      <c r="H1645" s="60"/>
      <c r="I1645" s="63"/>
      <c r="J1645" s="64"/>
      <c r="K1645" s="60"/>
    </row>
    <row r="1646">
      <c r="A1646" s="51"/>
      <c r="B1646" s="60"/>
      <c r="C1646" s="61"/>
      <c r="D1646" s="61"/>
      <c r="E1646" s="62"/>
      <c r="F1646" s="60"/>
      <c r="H1646" s="60"/>
      <c r="I1646" s="63"/>
      <c r="J1646" s="64"/>
      <c r="K1646" s="60"/>
    </row>
    <row r="1647">
      <c r="A1647" s="51"/>
      <c r="B1647" s="60"/>
      <c r="C1647" s="61"/>
      <c r="D1647" s="61"/>
      <c r="E1647" s="62"/>
      <c r="F1647" s="60"/>
      <c r="H1647" s="60"/>
      <c r="I1647" s="63"/>
      <c r="J1647" s="64"/>
      <c r="K1647" s="60"/>
    </row>
    <row r="1648">
      <c r="A1648" s="51"/>
      <c r="B1648" s="60"/>
      <c r="C1648" s="61"/>
      <c r="D1648" s="61"/>
      <c r="E1648" s="62"/>
      <c r="F1648" s="60"/>
      <c r="H1648" s="60"/>
      <c r="I1648" s="63"/>
      <c r="J1648" s="64"/>
      <c r="K1648" s="60"/>
    </row>
    <row r="1649">
      <c r="A1649" s="51"/>
      <c r="B1649" s="60"/>
      <c r="C1649" s="61"/>
      <c r="D1649" s="61"/>
      <c r="E1649" s="62"/>
      <c r="F1649" s="60"/>
      <c r="H1649" s="60"/>
      <c r="I1649" s="63"/>
      <c r="J1649" s="64"/>
      <c r="K1649" s="60"/>
    </row>
    <row r="1650">
      <c r="A1650" s="51"/>
      <c r="B1650" s="60"/>
      <c r="C1650" s="61"/>
      <c r="D1650" s="61"/>
      <c r="E1650" s="62"/>
      <c r="F1650" s="60"/>
      <c r="H1650" s="60"/>
      <c r="I1650" s="63"/>
      <c r="J1650" s="64"/>
      <c r="K1650" s="60"/>
    </row>
    <row r="1651">
      <c r="A1651" s="51"/>
      <c r="B1651" s="60"/>
      <c r="C1651" s="61"/>
      <c r="D1651" s="61"/>
      <c r="E1651" s="62"/>
      <c r="F1651" s="60"/>
      <c r="H1651" s="60"/>
      <c r="I1651" s="63"/>
      <c r="J1651" s="64"/>
      <c r="K1651" s="60"/>
    </row>
    <row r="1652">
      <c r="A1652" s="51"/>
      <c r="B1652" s="60"/>
      <c r="C1652" s="61"/>
      <c r="D1652" s="61"/>
      <c r="E1652" s="62"/>
      <c r="F1652" s="60"/>
      <c r="H1652" s="60"/>
      <c r="I1652" s="63"/>
      <c r="J1652" s="64"/>
      <c r="K1652" s="60"/>
    </row>
    <row r="1653">
      <c r="A1653" s="51"/>
      <c r="B1653" s="60"/>
      <c r="C1653" s="61"/>
      <c r="D1653" s="61"/>
      <c r="E1653" s="62"/>
      <c r="F1653" s="60"/>
      <c r="H1653" s="60"/>
      <c r="I1653" s="63"/>
      <c r="J1653" s="64"/>
      <c r="K1653" s="60"/>
    </row>
    <row r="1654">
      <c r="A1654" s="51"/>
      <c r="B1654" s="60"/>
      <c r="C1654" s="61"/>
      <c r="D1654" s="61"/>
      <c r="E1654" s="62"/>
      <c r="F1654" s="60"/>
      <c r="H1654" s="60"/>
      <c r="I1654" s="63"/>
      <c r="J1654" s="64"/>
      <c r="K1654" s="60"/>
    </row>
    <row r="1655">
      <c r="A1655" s="51"/>
      <c r="B1655" s="60"/>
      <c r="C1655" s="61"/>
      <c r="D1655" s="61"/>
      <c r="E1655" s="62"/>
      <c r="F1655" s="60"/>
      <c r="H1655" s="60"/>
      <c r="I1655" s="63"/>
      <c r="J1655" s="64"/>
      <c r="K1655" s="60"/>
    </row>
    <row r="1656">
      <c r="A1656" s="51"/>
      <c r="B1656" s="60"/>
      <c r="C1656" s="61"/>
      <c r="D1656" s="61"/>
      <c r="E1656" s="62"/>
      <c r="F1656" s="60"/>
      <c r="H1656" s="60"/>
      <c r="I1656" s="63"/>
      <c r="J1656" s="64"/>
      <c r="K1656" s="60"/>
    </row>
    <row r="1657">
      <c r="A1657" s="51"/>
      <c r="B1657" s="60"/>
      <c r="C1657" s="61"/>
      <c r="D1657" s="61"/>
      <c r="E1657" s="62"/>
      <c r="F1657" s="60"/>
      <c r="H1657" s="60"/>
      <c r="I1657" s="63"/>
      <c r="J1657" s="64"/>
      <c r="K1657" s="60"/>
    </row>
    <row r="1658">
      <c r="A1658" s="51"/>
      <c r="B1658" s="60"/>
      <c r="C1658" s="61"/>
      <c r="D1658" s="61"/>
      <c r="E1658" s="62"/>
      <c r="F1658" s="60"/>
      <c r="H1658" s="60"/>
      <c r="I1658" s="63"/>
      <c r="J1658" s="64"/>
      <c r="K1658" s="60"/>
    </row>
    <row r="1659">
      <c r="A1659" s="51"/>
      <c r="B1659" s="60"/>
      <c r="C1659" s="61"/>
      <c r="D1659" s="61"/>
      <c r="E1659" s="62"/>
      <c r="F1659" s="60"/>
      <c r="H1659" s="60"/>
      <c r="I1659" s="63"/>
      <c r="J1659" s="64"/>
      <c r="K1659" s="60"/>
    </row>
    <row r="1660">
      <c r="A1660" s="51"/>
      <c r="B1660" s="60"/>
      <c r="C1660" s="61"/>
      <c r="D1660" s="61"/>
      <c r="E1660" s="62"/>
      <c r="F1660" s="60"/>
      <c r="H1660" s="60"/>
      <c r="I1660" s="63"/>
      <c r="J1660" s="64"/>
      <c r="K1660" s="60"/>
    </row>
    <row r="1661">
      <c r="A1661" s="51"/>
      <c r="B1661" s="60"/>
      <c r="C1661" s="61"/>
      <c r="D1661" s="61"/>
      <c r="E1661" s="62"/>
      <c r="F1661" s="60"/>
      <c r="H1661" s="60"/>
      <c r="I1661" s="63"/>
      <c r="J1661" s="64"/>
      <c r="K1661" s="60"/>
    </row>
    <row r="1662">
      <c r="A1662" s="51"/>
      <c r="B1662" s="60"/>
      <c r="C1662" s="61"/>
      <c r="D1662" s="61"/>
      <c r="E1662" s="62"/>
      <c r="F1662" s="60"/>
      <c r="H1662" s="60"/>
      <c r="I1662" s="63"/>
      <c r="J1662" s="64"/>
      <c r="K1662" s="60"/>
    </row>
    <row r="1663">
      <c r="A1663" s="51"/>
      <c r="B1663" s="60"/>
      <c r="C1663" s="61"/>
      <c r="D1663" s="61"/>
      <c r="E1663" s="62"/>
      <c r="F1663" s="60"/>
      <c r="H1663" s="60"/>
      <c r="I1663" s="63"/>
      <c r="J1663" s="64"/>
      <c r="K1663" s="60"/>
    </row>
    <row r="1664">
      <c r="A1664" s="51"/>
      <c r="B1664" s="60"/>
      <c r="C1664" s="61"/>
      <c r="D1664" s="61"/>
      <c r="E1664" s="62"/>
      <c r="F1664" s="60"/>
      <c r="H1664" s="60"/>
      <c r="I1664" s="63"/>
      <c r="J1664" s="64"/>
      <c r="K1664" s="60"/>
    </row>
    <row r="1665">
      <c r="A1665" s="51"/>
      <c r="B1665" s="60"/>
      <c r="C1665" s="61"/>
      <c r="D1665" s="61"/>
      <c r="E1665" s="62"/>
      <c r="F1665" s="60"/>
      <c r="H1665" s="60"/>
      <c r="I1665" s="63"/>
      <c r="J1665" s="64"/>
      <c r="K1665" s="60"/>
    </row>
    <row r="1666">
      <c r="A1666" s="51"/>
      <c r="B1666" s="60"/>
      <c r="C1666" s="61"/>
      <c r="D1666" s="61"/>
      <c r="E1666" s="62"/>
      <c r="F1666" s="60"/>
      <c r="H1666" s="60"/>
      <c r="I1666" s="63"/>
      <c r="J1666" s="64"/>
      <c r="K1666" s="60"/>
    </row>
    <row r="1667">
      <c r="A1667" s="51"/>
      <c r="B1667" s="60"/>
      <c r="C1667" s="61"/>
      <c r="D1667" s="61"/>
      <c r="E1667" s="62"/>
      <c r="F1667" s="60"/>
      <c r="H1667" s="60"/>
      <c r="I1667" s="63"/>
      <c r="J1667" s="64"/>
      <c r="K1667" s="60"/>
    </row>
    <row r="1668">
      <c r="A1668" s="51"/>
      <c r="B1668" s="60"/>
      <c r="C1668" s="61"/>
      <c r="D1668" s="61"/>
      <c r="E1668" s="62"/>
      <c r="F1668" s="60"/>
      <c r="H1668" s="60"/>
      <c r="I1668" s="63"/>
      <c r="J1668" s="64"/>
      <c r="K1668" s="60"/>
    </row>
    <row r="1669">
      <c r="A1669" s="51"/>
      <c r="B1669" s="60"/>
      <c r="C1669" s="61"/>
      <c r="D1669" s="61"/>
      <c r="E1669" s="62"/>
      <c r="F1669" s="60"/>
      <c r="H1669" s="60"/>
      <c r="I1669" s="63"/>
      <c r="J1669" s="64"/>
      <c r="K1669" s="60"/>
    </row>
    <row r="1670">
      <c r="A1670" s="51"/>
      <c r="B1670" s="60"/>
      <c r="C1670" s="61"/>
      <c r="D1670" s="61"/>
      <c r="E1670" s="62"/>
      <c r="F1670" s="60"/>
      <c r="H1670" s="60"/>
      <c r="I1670" s="63"/>
      <c r="J1670" s="64"/>
      <c r="K1670" s="60"/>
    </row>
    <row r="1671">
      <c r="A1671" s="51"/>
      <c r="B1671" s="60"/>
      <c r="C1671" s="61"/>
      <c r="D1671" s="61"/>
      <c r="E1671" s="62"/>
      <c r="F1671" s="60"/>
      <c r="H1671" s="60"/>
      <c r="I1671" s="63"/>
      <c r="J1671" s="64"/>
      <c r="K1671" s="60"/>
    </row>
    <row r="1672">
      <c r="A1672" s="51"/>
      <c r="B1672" s="60"/>
      <c r="C1672" s="61"/>
      <c r="D1672" s="61"/>
      <c r="E1672" s="62"/>
      <c r="F1672" s="60"/>
      <c r="H1672" s="60"/>
      <c r="I1672" s="63"/>
      <c r="J1672" s="64"/>
      <c r="K1672" s="60"/>
    </row>
    <row r="1673">
      <c r="A1673" s="51"/>
      <c r="B1673" s="60"/>
      <c r="C1673" s="61"/>
      <c r="D1673" s="61"/>
      <c r="E1673" s="62"/>
      <c r="F1673" s="60"/>
      <c r="H1673" s="60"/>
      <c r="I1673" s="63"/>
      <c r="J1673" s="64"/>
      <c r="K1673" s="60"/>
    </row>
    <row r="1674">
      <c r="A1674" s="51"/>
      <c r="B1674" s="60"/>
      <c r="C1674" s="61"/>
      <c r="D1674" s="61"/>
      <c r="E1674" s="62"/>
      <c r="F1674" s="60"/>
      <c r="H1674" s="60"/>
      <c r="I1674" s="63"/>
      <c r="J1674" s="64"/>
      <c r="K1674" s="60"/>
    </row>
    <row r="1675">
      <c r="A1675" s="51"/>
      <c r="B1675" s="60"/>
      <c r="C1675" s="61"/>
      <c r="D1675" s="61"/>
      <c r="E1675" s="62"/>
      <c r="F1675" s="60"/>
      <c r="H1675" s="60"/>
      <c r="I1675" s="63"/>
      <c r="J1675" s="64"/>
      <c r="K1675" s="60"/>
    </row>
    <row r="1676">
      <c r="A1676" s="51"/>
      <c r="B1676" s="60"/>
      <c r="C1676" s="61"/>
      <c r="D1676" s="61"/>
      <c r="E1676" s="62"/>
      <c r="F1676" s="60"/>
      <c r="H1676" s="60"/>
      <c r="I1676" s="63"/>
      <c r="J1676" s="64"/>
      <c r="K1676" s="60"/>
    </row>
    <row r="1677">
      <c r="A1677" s="51"/>
      <c r="B1677" s="60"/>
      <c r="C1677" s="61"/>
      <c r="D1677" s="61"/>
      <c r="E1677" s="62"/>
      <c r="F1677" s="60"/>
      <c r="H1677" s="60"/>
      <c r="I1677" s="63"/>
      <c r="J1677" s="64"/>
      <c r="K1677" s="60"/>
    </row>
    <row r="1678">
      <c r="A1678" s="51"/>
      <c r="B1678" s="60"/>
      <c r="C1678" s="61"/>
      <c r="D1678" s="61"/>
      <c r="E1678" s="62"/>
      <c r="F1678" s="60"/>
      <c r="H1678" s="60"/>
      <c r="I1678" s="63"/>
      <c r="J1678" s="64"/>
      <c r="K1678" s="60"/>
    </row>
    <row r="1679">
      <c r="A1679" s="51"/>
      <c r="B1679" s="60"/>
      <c r="C1679" s="61"/>
      <c r="D1679" s="61"/>
      <c r="E1679" s="62"/>
      <c r="F1679" s="60"/>
      <c r="H1679" s="60"/>
      <c r="I1679" s="63"/>
      <c r="J1679" s="64"/>
      <c r="K1679" s="60"/>
    </row>
    <row r="1680">
      <c r="A1680" s="51"/>
      <c r="B1680" s="60"/>
      <c r="C1680" s="61"/>
      <c r="D1680" s="61"/>
      <c r="E1680" s="62"/>
      <c r="F1680" s="60"/>
      <c r="H1680" s="60"/>
      <c r="I1680" s="63"/>
      <c r="J1680" s="64"/>
      <c r="K1680" s="60"/>
    </row>
    <row r="1681">
      <c r="A1681" s="51"/>
      <c r="B1681" s="60"/>
      <c r="C1681" s="61"/>
      <c r="D1681" s="61"/>
      <c r="E1681" s="62"/>
      <c r="F1681" s="60"/>
      <c r="H1681" s="60"/>
      <c r="I1681" s="63"/>
      <c r="J1681" s="64"/>
      <c r="K1681" s="60"/>
    </row>
    <row r="1682">
      <c r="A1682" s="51"/>
      <c r="B1682" s="60"/>
      <c r="C1682" s="61"/>
      <c r="D1682" s="61"/>
      <c r="E1682" s="62"/>
      <c r="F1682" s="60"/>
      <c r="H1682" s="60"/>
      <c r="I1682" s="63"/>
      <c r="J1682" s="64"/>
      <c r="K1682" s="60"/>
    </row>
    <row r="1683">
      <c r="A1683" s="51"/>
      <c r="B1683" s="60"/>
      <c r="C1683" s="61"/>
      <c r="D1683" s="61"/>
      <c r="E1683" s="62"/>
      <c r="F1683" s="60"/>
      <c r="H1683" s="60"/>
      <c r="I1683" s="63"/>
      <c r="J1683" s="64"/>
      <c r="K1683" s="60"/>
    </row>
    <row r="1684">
      <c r="A1684" s="51"/>
      <c r="B1684" s="60"/>
      <c r="C1684" s="61"/>
      <c r="D1684" s="61"/>
      <c r="E1684" s="62"/>
      <c r="F1684" s="60"/>
      <c r="H1684" s="60"/>
      <c r="I1684" s="63"/>
      <c r="J1684" s="64"/>
      <c r="K1684" s="60"/>
    </row>
    <row r="1685">
      <c r="A1685" s="51"/>
      <c r="B1685" s="60"/>
      <c r="C1685" s="61"/>
      <c r="D1685" s="61"/>
      <c r="E1685" s="62"/>
      <c r="F1685" s="60"/>
      <c r="H1685" s="60"/>
      <c r="I1685" s="63"/>
      <c r="J1685" s="64"/>
      <c r="K1685" s="60"/>
    </row>
    <row r="1686">
      <c r="A1686" s="51"/>
      <c r="B1686" s="60"/>
      <c r="C1686" s="61"/>
      <c r="D1686" s="61"/>
      <c r="E1686" s="62"/>
      <c r="F1686" s="60"/>
      <c r="H1686" s="60"/>
      <c r="I1686" s="63"/>
      <c r="J1686" s="64"/>
      <c r="K1686" s="60"/>
    </row>
    <row r="1687">
      <c r="A1687" s="51"/>
      <c r="B1687" s="60"/>
      <c r="C1687" s="61"/>
      <c r="D1687" s="61"/>
      <c r="E1687" s="62"/>
      <c r="F1687" s="60"/>
      <c r="H1687" s="60"/>
      <c r="I1687" s="63"/>
      <c r="J1687" s="64"/>
      <c r="K1687" s="60"/>
    </row>
    <row r="1688">
      <c r="A1688" s="51"/>
      <c r="B1688" s="60"/>
      <c r="C1688" s="61"/>
      <c r="D1688" s="61"/>
      <c r="E1688" s="62"/>
      <c r="F1688" s="60"/>
      <c r="H1688" s="60"/>
      <c r="I1688" s="63"/>
      <c r="J1688" s="64"/>
      <c r="K1688" s="60"/>
    </row>
    <row r="1689">
      <c r="A1689" s="51"/>
      <c r="B1689" s="60"/>
      <c r="C1689" s="61"/>
      <c r="D1689" s="61"/>
      <c r="E1689" s="62"/>
      <c r="F1689" s="60"/>
      <c r="H1689" s="60"/>
      <c r="I1689" s="63"/>
      <c r="J1689" s="64"/>
      <c r="K1689" s="60"/>
    </row>
    <row r="1690">
      <c r="A1690" s="51"/>
      <c r="B1690" s="60"/>
      <c r="C1690" s="61"/>
      <c r="D1690" s="61"/>
      <c r="E1690" s="62"/>
      <c r="F1690" s="60"/>
      <c r="H1690" s="60"/>
      <c r="I1690" s="63"/>
      <c r="J1690" s="64"/>
      <c r="K1690" s="60"/>
    </row>
    <row r="1691">
      <c r="A1691" s="51"/>
      <c r="B1691" s="60"/>
      <c r="C1691" s="61"/>
      <c r="D1691" s="61"/>
      <c r="E1691" s="62"/>
      <c r="F1691" s="60"/>
      <c r="H1691" s="60"/>
      <c r="I1691" s="63"/>
      <c r="J1691" s="64"/>
      <c r="K1691" s="60"/>
    </row>
    <row r="1692">
      <c r="A1692" s="51"/>
      <c r="B1692" s="60"/>
      <c r="C1692" s="61"/>
      <c r="D1692" s="61"/>
      <c r="E1692" s="62"/>
      <c r="F1692" s="60"/>
      <c r="H1692" s="60"/>
      <c r="I1692" s="63"/>
      <c r="J1692" s="64"/>
      <c r="K1692" s="60"/>
    </row>
    <row r="1693">
      <c r="A1693" s="51"/>
      <c r="B1693" s="60"/>
      <c r="C1693" s="61"/>
      <c r="D1693" s="61"/>
      <c r="E1693" s="62"/>
      <c r="F1693" s="60"/>
      <c r="H1693" s="60"/>
      <c r="I1693" s="63"/>
      <c r="J1693" s="64"/>
      <c r="K1693" s="60"/>
    </row>
    <row r="1694">
      <c r="A1694" s="51"/>
      <c r="B1694" s="60"/>
      <c r="C1694" s="61"/>
      <c r="D1694" s="61"/>
      <c r="E1694" s="62"/>
      <c r="F1694" s="60"/>
      <c r="H1694" s="60"/>
      <c r="I1694" s="63"/>
      <c r="J1694" s="64"/>
      <c r="K1694" s="60"/>
    </row>
    <row r="1695">
      <c r="A1695" s="51"/>
      <c r="B1695" s="60"/>
      <c r="C1695" s="61"/>
      <c r="D1695" s="61"/>
      <c r="E1695" s="62"/>
      <c r="F1695" s="60"/>
      <c r="H1695" s="60"/>
      <c r="I1695" s="63"/>
      <c r="J1695" s="64"/>
      <c r="K1695" s="60"/>
    </row>
    <row r="1696">
      <c r="A1696" s="51"/>
      <c r="B1696" s="60"/>
      <c r="C1696" s="61"/>
      <c r="D1696" s="61"/>
      <c r="E1696" s="62"/>
      <c r="F1696" s="60"/>
      <c r="H1696" s="60"/>
      <c r="I1696" s="63"/>
      <c r="J1696" s="64"/>
      <c r="K1696" s="60"/>
    </row>
    <row r="1697">
      <c r="A1697" s="51"/>
      <c r="B1697" s="60"/>
      <c r="C1697" s="61"/>
      <c r="D1697" s="61"/>
      <c r="E1697" s="62"/>
      <c r="F1697" s="60"/>
      <c r="H1697" s="60"/>
      <c r="I1697" s="63"/>
      <c r="J1697" s="64"/>
      <c r="K1697" s="60"/>
    </row>
    <row r="1698">
      <c r="A1698" s="51"/>
      <c r="B1698" s="60"/>
      <c r="C1698" s="61"/>
      <c r="D1698" s="61"/>
      <c r="E1698" s="62"/>
      <c r="F1698" s="60"/>
      <c r="H1698" s="60"/>
      <c r="I1698" s="63"/>
      <c r="J1698" s="64"/>
      <c r="K1698" s="60"/>
    </row>
    <row r="1699">
      <c r="A1699" s="51"/>
      <c r="B1699" s="60"/>
      <c r="C1699" s="61"/>
      <c r="D1699" s="61"/>
      <c r="E1699" s="62"/>
      <c r="F1699" s="60"/>
      <c r="H1699" s="60"/>
      <c r="I1699" s="63"/>
      <c r="J1699" s="64"/>
      <c r="K1699" s="60"/>
    </row>
    <row r="1700">
      <c r="A1700" s="51"/>
      <c r="B1700" s="60"/>
      <c r="C1700" s="61"/>
      <c r="D1700" s="61"/>
      <c r="E1700" s="62"/>
      <c r="F1700" s="60"/>
      <c r="H1700" s="60"/>
      <c r="I1700" s="63"/>
      <c r="J1700" s="64"/>
      <c r="K1700" s="60"/>
    </row>
    <row r="1701">
      <c r="A1701" s="51"/>
      <c r="B1701" s="60"/>
      <c r="C1701" s="61"/>
      <c r="D1701" s="61"/>
      <c r="E1701" s="62"/>
      <c r="F1701" s="60"/>
      <c r="H1701" s="60"/>
      <c r="I1701" s="63"/>
      <c r="J1701" s="64"/>
      <c r="K1701" s="60"/>
    </row>
    <row r="1702">
      <c r="A1702" s="51"/>
      <c r="B1702" s="60"/>
      <c r="C1702" s="61"/>
      <c r="D1702" s="61"/>
      <c r="E1702" s="62"/>
      <c r="F1702" s="60"/>
      <c r="H1702" s="60"/>
      <c r="I1702" s="63"/>
      <c r="J1702" s="64"/>
      <c r="K1702" s="60"/>
    </row>
    <row r="1703">
      <c r="A1703" s="51"/>
      <c r="B1703" s="60"/>
      <c r="C1703" s="61"/>
      <c r="D1703" s="61"/>
      <c r="E1703" s="62"/>
      <c r="F1703" s="60"/>
      <c r="H1703" s="60"/>
      <c r="I1703" s="63"/>
      <c r="J1703" s="64"/>
      <c r="K1703" s="60"/>
    </row>
    <row r="1704">
      <c r="A1704" s="51"/>
      <c r="B1704" s="60"/>
      <c r="C1704" s="61"/>
      <c r="D1704" s="61"/>
      <c r="E1704" s="62"/>
      <c r="F1704" s="60"/>
      <c r="H1704" s="60"/>
      <c r="I1704" s="63"/>
      <c r="J1704" s="64"/>
      <c r="K1704" s="60"/>
    </row>
    <row r="1705">
      <c r="A1705" s="51"/>
      <c r="B1705" s="60"/>
      <c r="C1705" s="61"/>
      <c r="D1705" s="61"/>
      <c r="E1705" s="62"/>
      <c r="F1705" s="60"/>
      <c r="H1705" s="60"/>
      <c r="I1705" s="63"/>
      <c r="J1705" s="64"/>
      <c r="K1705" s="60"/>
    </row>
    <row r="1706">
      <c r="A1706" s="51"/>
      <c r="B1706" s="60"/>
      <c r="C1706" s="61"/>
      <c r="D1706" s="61"/>
      <c r="E1706" s="62"/>
      <c r="F1706" s="60"/>
      <c r="H1706" s="60"/>
      <c r="I1706" s="63"/>
      <c r="J1706" s="64"/>
      <c r="K1706" s="60"/>
    </row>
    <row r="1707">
      <c r="A1707" s="51"/>
      <c r="B1707" s="60"/>
      <c r="C1707" s="61"/>
      <c r="D1707" s="61"/>
      <c r="E1707" s="62"/>
      <c r="F1707" s="60"/>
      <c r="H1707" s="60"/>
      <c r="I1707" s="63"/>
      <c r="J1707" s="64"/>
      <c r="K1707" s="60"/>
    </row>
    <row r="1708">
      <c r="A1708" s="51"/>
      <c r="B1708" s="60"/>
      <c r="C1708" s="61"/>
      <c r="D1708" s="61"/>
      <c r="E1708" s="62"/>
      <c r="F1708" s="60"/>
      <c r="H1708" s="60"/>
      <c r="I1708" s="63"/>
      <c r="J1708" s="64"/>
      <c r="K1708" s="60"/>
    </row>
    <row r="1709">
      <c r="A1709" s="51"/>
      <c r="B1709" s="60"/>
      <c r="C1709" s="61"/>
      <c r="D1709" s="61"/>
      <c r="E1709" s="62"/>
      <c r="F1709" s="60"/>
      <c r="H1709" s="60"/>
      <c r="I1709" s="63"/>
      <c r="J1709" s="64"/>
      <c r="K1709" s="60"/>
    </row>
    <row r="1710">
      <c r="A1710" s="51"/>
      <c r="B1710" s="60"/>
      <c r="C1710" s="61"/>
      <c r="D1710" s="61"/>
      <c r="E1710" s="62"/>
      <c r="F1710" s="60"/>
      <c r="H1710" s="60"/>
      <c r="I1710" s="63"/>
      <c r="J1710" s="64"/>
      <c r="K1710" s="60"/>
    </row>
    <row r="1711">
      <c r="A1711" s="51"/>
      <c r="B1711" s="60"/>
      <c r="C1711" s="61"/>
      <c r="D1711" s="61"/>
      <c r="E1711" s="62"/>
      <c r="F1711" s="60"/>
      <c r="H1711" s="60"/>
      <c r="I1711" s="63"/>
      <c r="J1711" s="64"/>
      <c r="K1711" s="60"/>
    </row>
    <row r="1712">
      <c r="A1712" s="51"/>
      <c r="B1712" s="60"/>
      <c r="C1712" s="61"/>
      <c r="D1712" s="61"/>
      <c r="E1712" s="62"/>
      <c r="F1712" s="60"/>
      <c r="H1712" s="60"/>
      <c r="I1712" s="63"/>
      <c r="J1712" s="64"/>
      <c r="K1712" s="60"/>
    </row>
    <row r="1713">
      <c r="A1713" s="51"/>
      <c r="B1713" s="60"/>
      <c r="C1713" s="61"/>
      <c r="D1713" s="61"/>
      <c r="E1713" s="62"/>
      <c r="F1713" s="60"/>
      <c r="H1713" s="60"/>
      <c r="I1713" s="63"/>
      <c r="J1713" s="64"/>
      <c r="K1713" s="60"/>
    </row>
    <row r="1714">
      <c r="A1714" s="51"/>
      <c r="B1714" s="60"/>
      <c r="C1714" s="61"/>
      <c r="D1714" s="61"/>
      <c r="E1714" s="62"/>
      <c r="F1714" s="60"/>
      <c r="H1714" s="60"/>
      <c r="I1714" s="63"/>
      <c r="J1714" s="64"/>
      <c r="K1714" s="60"/>
    </row>
    <row r="1715">
      <c r="A1715" s="51"/>
      <c r="B1715" s="60"/>
      <c r="C1715" s="61"/>
      <c r="D1715" s="61"/>
      <c r="E1715" s="62"/>
      <c r="F1715" s="60"/>
      <c r="H1715" s="60"/>
      <c r="I1715" s="63"/>
      <c r="J1715" s="64"/>
      <c r="K1715" s="60"/>
    </row>
    <row r="1716">
      <c r="A1716" s="51"/>
      <c r="B1716" s="60"/>
      <c r="C1716" s="61"/>
      <c r="D1716" s="61"/>
      <c r="E1716" s="62"/>
      <c r="F1716" s="60"/>
      <c r="H1716" s="60"/>
      <c r="I1716" s="63"/>
      <c r="J1716" s="64"/>
      <c r="K1716" s="60"/>
    </row>
    <row r="1717">
      <c r="A1717" s="51"/>
      <c r="B1717" s="60"/>
      <c r="C1717" s="61"/>
      <c r="D1717" s="61"/>
      <c r="E1717" s="62"/>
      <c r="F1717" s="60"/>
      <c r="H1717" s="60"/>
      <c r="I1717" s="63"/>
      <c r="J1717" s="64"/>
      <c r="K1717" s="60"/>
    </row>
    <row r="1718">
      <c r="A1718" s="51"/>
      <c r="B1718" s="60"/>
      <c r="C1718" s="61"/>
      <c r="D1718" s="61"/>
      <c r="E1718" s="62"/>
      <c r="F1718" s="60"/>
      <c r="H1718" s="60"/>
      <c r="I1718" s="63"/>
      <c r="J1718" s="64"/>
      <c r="K1718" s="60"/>
    </row>
    <row r="1719">
      <c r="A1719" s="51"/>
      <c r="B1719" s="60"/>
      <c r="C1719" s="61"/>
      <c r="D1719" s="61"/>
      <c r="E1719" s="62"/>
      <c r="F1719" s="60"/>
      <c r="H1719" s="60"/>
      <c r="I1719" s="63"/>
      <c r="J1719" s="64"/>
      <c r="K1719" s="60"/>
    </row>
    <row r="1720">
      <c r="A1720" s="51"/>
      <c r="B1720" s="60"/>
      <c r="C1720" s="61"/>
      <c r="D1720" s="61"/>
      <c r="E1720" s="62"/>
      <c r="F1720" s="60"/>
      <c r="H1720" s="60"/>
      <c r="I1720" s="63"/>
      <c r="J1720" s="64"/>
      <c r="K1720" s="60"/>
    </row>
    <row r="1721">
      <c r="A1721" s="51"/>
      <c r="B1721" s="60"/>
      <c r="C1721" s="61"/>
      <c r="D1721" s="61"/>
      <c r="E1721" s="62"/>
      <c r="F1721" s="60"/>
      <c r="H1721" s="60"/>
      <c r="I1721" s="63"/>
      <c r="J1721" s="64"/>
      <c r="K1721" s="60"/>
    </row>
    <row r="1722">
      <c r="A1722" s="51"/>
      <c r="B1722" s="60"/>
      <c r="C1722" s="61"/>
      <c r="D1722" s="61"/>
      <c r="E1722" s="62"/>
      <c r="F1722" s="60"/>
      <c r="H1722" s="60"/>
      <c r="I1722" s="63"/>
      <c r="J1722" s="64"/>
      <c r="K1722" s="60"/>
    </row>
    <row r="1723">
      <c r="A1723" s="51"/>
      <c r="B1723" s="60"/>
      <c r="C1723" s="61"/>
      <c r="D1723" s="61"/>
      <c r="E1723" s="62"/>
      <c r="F1723" s="60"/>
      <c r="H1723" s="60"/>
      <c r="I1723" s="63"/>
      <c r="J1723" s="64"/>
      <c r="K1723" s="60"/>
    </row>
    <row r="1724">
      <c r="A1724" s="51"/>
      <c r="B1724" s="60"/>
      <c r="C1724" s="61"/>
      <c r="D1724" s="61"/>
      <c r="E1724" s="62"/>
      <c r="F1724" s="60"/>
      <c r="H1724" s="60"/>
      <c r="I1724" s="63"/>
      <c r="J1724" s="64"/>
      <c r="K1724" s="60"/>
    </row>
    <row r="1725">
      <c r="A1725" s="51"/>
      <c r="B1725" s="60"/>
      <c r="C1725" s="61"/>
      <c r="D1725" s="61"/>
      <c r="E1725" s="62"/>
      <c r="F1725" s="60"/>
      <c r="H1725" s="60"/>
      <c r="I1725" s="63"/>
      <c r="J1725" s="64"/>
      <c r="K1725" s="60"/>
    </row>
    <row r="1726">
      <c r="A1726" s="51"/>
      <c r="B1726" s="60"/>
      <c r="C1726" s="61"/>
      <c r="D1726" s="61"/>
      <c r="E1726" s="62"/>
      <c r="F1726" s="60"/>
      <c r="H1726" s="60"/>
      <c r="I1726" s="63"/>
      <c r="J1726" s="64"/>
      <c r="K1726" s="60"/>
    </row>
    <row r="1727">
      <c r="A1727" s="51"/>
      <c r="B1727" s="60"/>
      <c r="C1727" s="61"/>
      <c r="D1727" s="61"/>
      <c r="E1727" s="62"/>
      <c r="F1727" s="60"/>
      <c r="H1727" s="60"/>
      <c r="I1727" s="63"/>
      <c r="J1727" s="64"/>
      <c r="K1727" s="60"/>
    </row>
    <row r="1728">
      <c r="A1728" s="51"/>
      <c r="B1728" s="60"/>
      <c r="C1728" s="61"/>
      <c r="D1728" s="61"/>
      <c r="E1728" s="62"/>
      <c r="F1728" s="60"/>
      <c r="H1728" s="60"/>
      <c r="I1728" s="63"/>
      <c r="J1728" s="64"/>
      <c r="K1728" s="60"/>
    </row>
    <row r="1729">
      <c r="A1729" s="51"/>
      <c r="B1729" s="60"/>
      <c r="C1729" s="61"/>
      <c r="D1729" s="61"/>
      <c r="E1729" s="62"/>
      <c r="F1729" s="60"/>
      <c r="H1729" s="60"/>
      <c r="I1729" s="63"/>
      <c r="J1729" s="64"/>
      <c r="K1729" s="60"/>
    </row>
    <row r="1730">
      <c r="A1730" s="51"/>
      <c r="B1730" s="60"/>
      <c r="C1730" s="61"/>
      <c r="D1730" s="61"/>
      <c r="E1730" s="62"/>
      <c r="F1730" s="60"/>
      <c r="H1730" s="60"/>
      <c r="I1730" s="63"/>
      <c r="J1730" s="64"/>
      <c r="K1730" s="60"/>
    </row>
    <row r="1731">
      <c r="A1731" s="51"/>
      <c r="B1731" s="60"/>
      <c r="C1731" s="61"/>
      <c r="D1731" s="61"/>
      <c r="E1731" s="62"/>
      <c r="F1731" s="60"/>
      <c r="H1731" s="60"/>
      <c r="I1731" s="63"/>
      <c r="J1731" s="64"/>
      <c r="K1731" s="60"/>
    </row>
    <row r="1732">
      <c r="A1732" s="51"/>
      <c r="B1732" s="60"/>
      <c r="C1732" s="61"/>
      <c r="D1732" s="61"/>
      <c r="E1732" s="62"/>
      <c r="F1732" s="60"/>
      <c r="H1732" s="60"/>
      <c r="I1732" s="63"/>
      <c r="J1732" s="64"/>
      <c r="K1732" s="60"/>
    </row>
    <row r="1733">
      <c r="A1733" s="51"/>
      <c r="B1733" s="60"/>
      <c r="C1733" s="61"/>
      <c r="D1733" s="61"/>
      <c r="E1733" s="62"/>
      <c r="F1733" s="60"/>
      <c r="H1733" s="60"/>
      <c r="I1733" s="63"/>
      <c r="J1733" s="64"/>
      <c r="K1733" s="60"/>
    </row>
    <row r="1734">
      <c r="A1734" s="51"/>
      <c r="B1734" s="60"/>
      <c r="C1734" s="61"/>
      <c r="D1734" s="61"/>
      <c r="E1734" s="62"/>
      <c r="F1734" s="60"/>
      <c r="H1734" s="60"/>
      <c r="I1734" s="63"/>
      <c r="J1734" s="64"/>
      <c r="K1734" s="60"/>
    </row>
    <row r="1735">
      <c r="A1735" s="51"/>
      <c r="B1735" s="60"/>
      <c r="C1735" s="61"/>
      <c r="D1735" s="61"/>
      <c r="E1735" s="62"/>
      <c r="F1735" s="60"/>
      <c r="H1735" s="60"/>
      <c r="I1735" s="63"/>
      <c r="J1735" s="64"/>
      <c r="K1735" s="60"/>
    </row>
    <row r="1736">
      <c r="A1736" s="51"/>
      <c r="B1736" s="60"/>
      <c r="C1736" s="61"/>
      <c r="D1736" s="61"/>
      <c r="E1736" s="62"/>
      <c r="F1736" s="60"/>
      <c r="H1736" s="60"/>
      <c r="I1736" s="63"/>
      <c r="J1736" s="64"/>
      <c r="K1736" s="60"/>
    </row>
    <row r="1737">
      <c r="A1737" s="51"/>
      <c r="B1737" s="60"/>
      <c r="C1737" s="61"/>
      <c r="D1737" s="61"/>
      <c r="E1737" s="62"/>
      <c r="F1737" s="60"/>
      <c r="H1737" s="60"/>
      <c r="I1737" s="63"/>
      <c r="J1737" s="64"/>
      <c r="K1737" s="60"/>
    </row>
    <row r="1738">
      <c r="A1738" s="51"/>
      <c r="B1738" s="60"/>
      <c r="C1738" s="61"/>
      <c r="D1738" s="61"/>
      <c r="E1738" s="62"/>
      <c r="F1738" s="60"/>
      <c r="H1738" s="60"/>
      <c r="I1738" s="63"/>
      <c r="J1738" s="64"/>
      <c r="K1738" s="60"/>
    </row>
    <row r="1739">
      <c r="A1739" s="51"/>
      <c r="B1739" s="60"/>
      <c r="C1739" s="61"/>
      <c r="D1739" s="61"/>
      <c r="E1739" s="62"/>
      <c r="F1739" s="60"/>
      <c r="H1739" s="60"/>
      <c r="I1739" s="63"/>
      <c r="J1739" s="64"/>
      <c r="K1739" s="60"/>
    </row>
    <row r="1740">
      <c r="A1740" s="51"/>
      <c r="B1740" s="60"/>
      <c r="C1740" s="61"/>
      <c r="D1740" s="61"/>
      <c r="E1740" s="62"/>
      <c r="F1740" s="60"/>
      <c r="H1740" s="60"/>
      <c r="I1740" s="63"/>
      <c r="J1740" s="64"/>
      <c r="K1740" s="60"/>
    </row>
    <row r="1741">
      <c r="A1741" s="51"/>
      <c r="B1741" s="60"/>
      <c r="C1741" s="61"/>
      <c r="D1741" s="61"/>
      <c r="E1741" s="62"/>
      <c r="F1741" s="60"/>
      <c r="H1741" s="60"/>
      <c r="I1741" s="63"/>
      <c r="J1741" s="64"/>
      <c r="K1741" s="60"/>
    </row>
    <row r="1742">
      <c r="A1742" s="51"/>
      <c r="B1742" s="60"/>
      <c r="C1742" s="61"/>
      <c r="D1742" s="61"/>
      <c r="E1742" s="62"/>
      <c r="F1742" s="60"/>
      <c r="H1742" s="60"/>
      <c r="I1742" s="63"/>
      <c r="J1742" s="64"/>
      <c r="K1742" s="60"/>
    </row>
    <row r="1743">
      <c r="A1743" s="51"/>
      <c r="B1743" s="60"/>
      <c r="C1743" s="61"/>
      <c r="D1743" s="61"/>
      <c r="E1743" s="62"/>
      <c r="F1743" s="60"/>
      <c r="H1743" s="60"/>
      <c r="I1743" s="63"/>
      <c r="J1743" s="64"/>
      <c r="K1743" s="60"/>
    </row>
    <row r="1744">
      <c r="A1744" s="51"/>
      <c r="B1744" s="60"/>
      <c r="C1744" s="61"/>
      <c r="D1744" s="61"/>
      <c r="E1744" s="62"/>
      <c r="F1744" s="60"/>
      <c r="H1744" s="60"/>
      <c r="I1744" s="63"/>
      <c r="J1744" s="64"/>
      <c r="K1744" s="60"/>
    </row>
    <row r="1745">
      <c r="A1745" s="51"/>
      <c r="B1745" s="60"/>
      <c r="C1745" s="61"/>
      <c r="D1745" s="61"/>
      <c r="E1745" s="62"/>
      <c r="F1745" s="60"/>
      <c r="H1745" s="60"/>
      <c r="I1745" s="63"/>
      <c r="J1745" s="64"/>
      <c r="K1745" s="60"/>
    </row>
    <row r="1746">
      <c r="A1746" s="51"/>
      <c r="B1746" s="60"/>
      <c r="C1746" s="61"/>
      <c r="D1746" s="61"/>
      <c r="E1746" s="62"/>
      <c r="F1746" s="60"/>
      <c r="H1746" s="60"/>
      <c r="I1746" s="63"/>
      <c r="J1746" s="64"/>
      <c r="K1746" s="60"/>
    </row>
    <row r="1747">
      <c r="A1747" s="51"/>
      <c r="B1747" s="60"/>
      <c r="C1747" s="61"/>
      <c r="D1747" s="61"/>
      <c r="E1747" s="62"/>
      <c r="F1747" s="60"/>
      <c r="H1747" s="60"/>
      <c r="I1747" s="63"/>
      <c r="J1747" s="64"/>
      <c r="K1747" s="60"/>
    </row>
    <row r="1748">
      <c r="A1748" s="51"/>
      <c r="B1748" s="60"/>
      <c r="C1748" s="61"/>
      <c r="D1748" s="61"/>
      <c r="E1748" s="62"/>
      <c r="F1748" s="60"/>
      <c r="H1748" s="60"/>
      <c r="I1748" s="63"/>
      <c r="J1748" s="64"/>
      <c r="K1748" s="60"/>
    </row>
    <row r="1749">
      <c r="A1749" s="51"/>
      <c r="B1749" s="60"/>
      <c r="C1749" s="61"/>
      <c r="D1749" s="61"/>
      <c r="E1749" s="62"/>
      <c r="F1749" s="60"/>
      <c r="H1749" s="60"/>
      <c r="I1749" s="63"/>
      <c r="J1749" s="64"/>
      <c r="K1749" s="60"/>
    </row>
    <row r="1750">
      <c r="A1750" s="51"/>
      <c r="B1750" s="60"/>
      <c r="C1750" s="61"/>
      <c r="D1750" s="61"/>
      <c r="E1750" s="62"/>
      <c r="F1750" s="60"/>
      <c r="H1750" s="60"/>
      <c r="I1750" s="63"/>
      <c r="J1750" s="64"/>
      <c r="K1750" s="60"/>
    </row>
    <row r="1751">
      <c r="A1751" s="51"/>
      <c r="B1751" s="60"/>
      <c r="C1751" s="61"/>
      <c r="D1751" s="61"/>
      <c r="E1751" s="62"/>
      <c r="F1751" s="60"/>
      <c r="H1751" s="60"/>
      <c r="I1751" s="63"/>
      <c r="J1751" s="64"/>
      <c r="K1751" s="60"/>
    </row>
    <row r="1752">
      <c r="A1752" s="51"/>
      <c r="B1752" s="60"/>
      <c r="C1752" s="61"/>
      <c r="D1752" s="61"/>
      <c r="E1752" s="62"/>
      <c r="F1752" s="60"/>
      <c r="H1752" s="60"/>
      <c r="I1752" s="63"/>
      <c r="J1752" s="64"/>
      <c r="K1752" s="60"/>
    </row>
    <row r="1753">
      <c r="A1753" s="51"/>
      <c r="B1753" s="60"/>
      <c r="C1753" s="61"/>
      <c r="D1753" s="61"/>
      <c r="E1753" s="62"/>
      <c r="F1753" s="60"/>
      <c r="H1753" s="60"/>
      <c r="I1753" s="63"/>
      <c r="J1753" s="64"/>
      <c r="K1753" s="60"/>
    </row>
    <row r="1754">
      <c r="A1754" s="51"/>
      <c r="B1754" s="60"/>
      <c r="C1754" s="61"/>
      <c r="D1754" s="61"/>
      <c r="E1754" s="62"/>
      <c r="F1754" s="60"/>
      <c r="H1754" s="60"/>
      <c r="I1754" s="63"/>
      <c r="J1754" s="64"/>
      <c r="K1754" s="60"/>
    </row>
    <row r="1755">
      <c r="A1755" s="51"/>
      <c r="B1755" s="60"/>
      <c r="C1755" s="61"/>
      <c r="D1755" s="61"/>
      <c r="E1755" s="62"/>
      <c r="F1755" s="60"/>
      <c r="H1755" s="60"/>
      <c r="I1755" s="63"/>
      <c r="J1755" s="64"/>
      <c r="K1755" s="60"/>
    </row>
    <row r="1756">
      <c r="A1756" s="51"/>
      <c r="B1756" s="60"/>
      <c r="C1756" s="61"/>
      <c r="D1756" s="61"/>
      <c r="E1756" s="62"/>
      <c r="F1756" s="60"/>
      <c r="H1756" s="60"/>
      <c r="I1756" s="63"/>
      <c r="J1756" s="64"/>
      <c r="K1756" s="60"/>
    </row>
    <row r="1757">
      <c r="A1757" s="51"/>
      <c r="B1757" s="60"/>
      <c r="C1757" s="61"/>
      <c r="D1757" s="61"/>
      <c r="E1757" s="62"/>
      <c r="F1757" s="60"/>
      <c r="H1757" s="60"/>
      <c r="I1757" s="63"/>
      <c r="J1757" s="64"/>
      <c r="K1757" s="60"/>
    </row>
    <row r="1758">
      <c r="A1758" s="51"/>
      <c r="B1758" s="60"/>
      <c r="C1758" s="61"/>
      <c r="D1758" s="61"/>
      <c r="E1758" s="62"/>
      <c r="F1758" s="60"/>
      <c r="H1758" s="60"/>
      <c r="I1758" s="63"/>
      <c r="J1758" s="64"/>
      <c r="K1758" s="60"/>
    </row>
    <row r="1759">
      <c r="A1759" s="51"/>
      <c r="B1759" s="60"/>
      <c r="C1759" s="61"/>
      <c r="D1759" s="61"/>
      <c r="E1759" s="62"/>
      <c r="F1759" s="60"/>
      <c r="H1759" s="60"/>
      <c r="I1759" s="63"/>
      <c r="J1759" s="64"/>
      <c r="K1759" s="60"/>
    </row>
    <row r="1760">
      <c r="A1760" s="51"/>
      <c r="B1760" s="60"/>
      <c r="C1760" s="61"/>
      <c r="D1760" s="61"/>
      <c r="E1760" s="62"/>
      <c r="F1760" s="60"/>
      <c r="H1760" s="60"/>
      <c r="I1760" s="63"/>
      <c r="J1760" s="64"/>
      <c r="K1760" s="60"/>
    </row>
    <row r="1761">
      <c r="A1761" s="51"/>
      <c r="B1761" s="60"/>
      <c r="C1761" s="61"/>
      <c r="D1761" s="61"/>
      <c r="E1761" s="62"/>
      <c r="F1761" s="60"/>
      <c r="H1761" s="60"/>
      <c r="I1761" s="63"/>
      <c r="J1761" s="64"/>
      <c r="K1761" s="60"/>
    </row>
    <row r="1762">
      <c r="A1762" s="51"/>
      <c r="B1762" s="60"/>
      <c r="C1762" s="61"/>
      <c r="D1762" s="61"/>
      <c r="E1762" s="62"/>
      <c r="F1762" s="60"/>
      <c r="H1762" s="60"/>
      <c r="I1762" s="63"/>
      <c r="J1762" s="64"/>
      <c r="K1762" s="60"/>
    </row>
    <row r="1763">
      <c r="A1763" s="51"/>
      <c r="B1763" s="60"/>
      <c r="C1763" s="61"/>
      <c r="D1763" s="61"/>
      <c r="E1763" s="62"/>
      <c r="F1763" s="60"/>
      <c r="H1763" s="60"/>
      <c r="I1763" s="63"/>
      <c r="J1763" s="64"/>
      <c r="K1763" s="60"/>
    </row>
    <row r="1764">
      <c r="A1764" s="51"/>
      <c r="B1764" s="60"/>
      <c r="C1764" s="61"/>
      <c r="D1764" s="61"/>
      <c r="E1764" s="62"/>
      <c r="F1764" s="60"/>
      <c r="H1764" s="60"/>
      <c r="I1764" s="63"/>
      <c r="J1764" s="64"/>
      <c r="K1764" s="60"/>
    </row>
    <row r="1765">
      <c r="A1765" s="51"/>
      <c r="B1765" s="60"/>
      <c r="C1765" s="61"/>
      <c r="D1765" s="61"/>
      <c r="E1765" s="62"/>
      <c r="F1765" s="60"/>
      <c r="H1765" s="60"/>
      <c r="I1765" s="63"/>
      <c r="J1765" s="64"/>
      <c r="K1765" s="60"/>
    </row>
    <row r="1766">
      <c r="A1766" s="51"/>
      <c r="B1766" s="60"/>
      <c r="C1766" s="61"/>
      <c r="D1766" s="61"/>
      <c r="E1766" s="62"/>
      <c r="F1766" s="60"/>
      <c r="H1766" s="60"/>
      <c r="I1766" s="63"/>
      <c r="J1766" s="64"/>
      <c r="K1766" s="60"/>
    </row>
    <row r="1767">
      <c r="A1767" s="51"/>
      <c r="B1767" s="60"/>
      <c r="C1767" s="61"/>
      <c r="D1767" s="61"/>
      <c r="E1767" s="62"/>
      <c r="F1767" s="60"/>
      <c r="H1767" s="60"/>
      <c r="I1767" s="63"/>
      <c r="J1767" s="64"/>
      <c r="K1767" s="60"/>
    </row>
    <row r="1768">
      <c r="A1768" s="51"/>
      <c r="B1768" s="60"/>
      <c r="C1768" s="61"/>
      <c r="D1768" s="61"/>
      <c r="E1768" s="62"/>
      <c r="F1768" s="60"/>
      <c r="H1768" s="60"/>
      <c r="I1768" s="63"/>
      <c r="J1768" s="64"/>
      <c r="K1768" s="60"/>
    </row>
    <row r="1769">
      <c r="A1769" s="51"/>
      <c r="B1769" s="60"/>
      <c r="C1769" s="61"/>
      <c r="D1769" s="61"/>
      <c r="E1769" s="62"/>
      <c r="F1769" s="60"/>
      <c r="H1769" s="60"/>
      <c r="I1769" s="63"/>
      <c r="J1769" s="64"/>
      <c r="K1769" s="60"/>
    </row>
    <row r="1770">
      <c r="A1770" s="51"/>
      <c r="B1770" s="60"/>
      <c r="C1770" s="61"/>
      <c r="D1770" s="61"/>
      <c r="E1770" s="62"/>
      <c r="F1770" s="60"/>
      <c r="H1770" s="60"/>
      <c r="I1770" s="63"/>
      <c r="J1770" s="64"/>
      <c r="K1770" s="60"/>
    </row>
    <row r="1771">
      <c r="A1771" s="51"/>
      <c r="B1771" s="60"/>
      <c r="C1771" s="61"/>
      <c r="D1771" s="61"/>
      <c r="E1771" s="62"/>
      <c r="F1771" s="60"/>
      <c r="H1771" s="60"/>
      <c r="I1771" s="63"/>
      <c r="J1771" s="64"/>
      <c r="K1771" s="60"/>
    </row>
    <row r="1772">
      <c r="A1772" s="51"/>
      <c r="B1772" s="60"/>
      <c r="C1772" s="61"/>
      <c r="D1772" s="61"/>
      <c r="E1772" s="62"/>
      <c r="F1772" s="60"/>
      <c r="H1772" s="60"/>
      <c r="I1772" s="63"/>
      <c r="J1772" s="64"/>
      <c r="K1772" s="60"/>
    </row>
    <row r="1773">
      <c r="A1773" s="51"/>
      <c r="B1773" s="60"/>
      <c r="C1773" s="61"/>
      <c r="D1773" s="61"/>
      <c r="E1773" s="62"/>
      <c r="F1773" s="60"/>
      <c r="H1773" s="60"/>
      <c r="I1773" s="63"/>
      <c r="J1773" s="64"/>
      <c r="K1773" s="60"/>
    </row>
    <row r="1774">
      <c r="A1774" s="51"/>
      <c r="B1774" s="60"/>
      <c r="C1774" s="61"/>
      <c r="D1774" s="61"/>
      <c r="E1774" s="62"/>
      <c r="F1774" s="60"/>
      <c r="H1774" s="60"/>
      <c r="I1774" s="63"/>
      <c r="J1774" s="64"/>
      <c r="K1774" s="60"/>
    </row>
    <row r="1775">
      <c r="A1775" s="51"/>
      <c r="B1775" s="60"/>
      <c r="C1775" s="61"/>
      <c r="D1775" s="61"/>
      <c r="E1775" s="62"/>
      <c r="F1775" s="60"/>
      <c r="H1775" s="60"/>
      <c r="I1775" s="63"/>
      <c r="J1775" s="64"/>
      <c r="K1775" s="60"/>
    </row>
    <row r="1776">
      <c r="A1776" s="51"/>
      <c r="B1776" s="60"/>
      <c r="C1776" s="61"/>
      <c r="D1776" s="61"/>
      <c r="E1776" s="62"/>
      <c r="F1776" s="60"/>
      <c r="H1776" s="60"/>
      <c r="I1776" s="63"/>
      <c r="J1776" s="64"/>
      <c r="K1776" s="60"/>
    </row>
    <row r="1777">
      <c r="A1777" s="51"/>
      <c r="B1777" s="60"/>
      <c r="C1777" s="61"/>
      <c r="D1777" s="61"/>
      <c r="E1777" s="62"/>
      <c r="F1777" s="60"/>
      <c r="H1777" s="60"/>
      <c r="I1777" s="63"/>
      <c r="J1777" s="64"/>
      <c r="K1777" s="60"/>
    </row>
    <row r="1778">
      <c r="A1778" s="51"/>
      <c r="B1778" s="60"/>
      <c r="C1778" s="61"/>
      <c r="D1778" s="61"/>
      <c r="E1778" s="62"/>
      <c r="F1778" s="60"/>
      <c r="H1778" s="60"/>
      <c r="I1778" s="63"/>
      <c r="J1778" s="64"/>
      <c r="K1778" s="60"/>
    </row>
    <row r="1779">
      <c r="A1779" s="51"/>
      <c r="B1779" s="60"/>
      <c r="C1779" s="61"/>
      <c r="D1779" s="61"/>
      <c r="E1779" s="62"/>
      <c r="F1779" s="60"/>
      <c r="H1779" s="60"/>
      <c r="I1779" s="63"/>
      <c r="J1779" s="64"/>
      <c r="K1779" s="60"/>
    </row>
    <row r="1780">
      <c r="A1780" s="51"/>
      <c r="B1780" s="60"/>
      <c r="C1780" s="61"/>
      <c r="D1780" s="61"/>
      <c r="E1780" s="62"/>
      <c r="F1780" s="60"/>
      <c r="H1780" s="60"/>
      <c r="I1780" s="63"/>
      <c r="J1780" s="64"/>
      <c r="K1780" s="60"/>
    </row>
    <row r="1781">
      <c r="A1781" s="51"/>
      <c r="B1781" s="60"/>
      <c r="C1781" s="61"/>
      <c r="D1781" s="61"/>
      <c r="E1781" s="62"/>
      <c r="F1781" s="60"/>
      <c r="H1781" s="60"/>
      <c r="I1781" s="63"/>
      <c r="J1781" s="64"/>
      <c r="K1781" s="60"/>
    </row>
    <row r="1782">
      <c r="A1782" s="51"/>
      <c r="B1782" s="60"/>
      <c r="C1782" s="61"/>
      <c r="D1782" s="61"/>
      <c r="E1782" s="62"/>
      <c r="F1782" s="60"/>
      <c r="H1782" s="60"/>
      <c r="I1782" s="63"/>
      <c r="J1782" s="64"/>
      <c r="K1782" s="60"/>
    </row>
    <row r="1783">
      <c r="A1783" s="51"/>
      <c r="B1783" s="60"/>
      <c r="C1783" s="61"/>
      <c r="D1783" s="61"/>
      <c r="E1783" s="62"/>
      <c r="F1783" s="60"/>
      <c r="H1783" s="60"/>
      <c r="I1783" s="63"/>
      <c r="J1783" s="64"/>
      <c r="K1783" s="60"/>
    </row>
    <row r="1784">
      <c r="A1784" s="51"/>
      <c r="B1784" s="60"/>
      <c r="C1784" s="61"/>
      <c r="D1784" s="61"/>
      <c r="E1784" s="62"/>
      <c r="F1784" s="60"/>
      <c r="H1784" s="60"/>
      <c r="I1784" s="63"/>
      <c r="J1784" s="64"/>
      <c r="K1784" s="60"/>
    </row>
    <row r="1785">
      <c r="A1785" s="51"/>
      <c r="B1785" s="60"/>
      <c r="C1785" s="61"/>
      <c r="D1785" s="61"/>
      <c r="E1785" s="62"/>
      <c r="F1785" s="60"/>
      <c r="H1785" s="60"/>
      <c r="I1785" s="63"/>
      <c r="J1785" s="64"/>
      <c r="K1785" s="60"/>
    </row>
    <row r="1786">
      <c r="A1786" s="51"/>
      <c r="B1786" s="60"/>
      <c r="C1786" s="61"/>
      <c r="D1786" s="61"/>
      <c r="E1786" s="62"/>
      <c r="F1786" s="60"/>
      <c r="H1786" s="60"/>
      <c r="I1786" s="63"/>
      <c r="J1786" s="64"/>
      <c r="K1786" s="60"/>
    </row>
    <row r="1787">
      <c r="A1787" s="51"/>
      <c r="B1787" s="60"/>
      <c r="C1787" s="61"/>
      <c r="D1787" s="61"/>
      <c r="E1787" s="62"/>
      <c r="F1787" s="60"/>
      <c r="H1787" s="60"/>
      <c r="I1787" s="63"/>
      <c r="J1787" s="64"/>
      <c r="K1787" s="60"/>
    </row>
    <row r="1788">
      <c r="A1788" s="51"/>
      <c r="B1788" s="60"/>
      <c r="C1788" s="61"/>
      <c r="D1788" s="61"/>
      <c r="E1788" s="62"/>
      <c r="F1788" s="60"/>
      <c r="H1788" s="60"/>
      <c r="I1788" s="63"/>
      <c r="J1788" s="64"/>
      <c r="K1788" s="60"/>
    </row>
    <row r="1789">
      <c r="A1789" s="51"/>
      <c r="B1789" s="60"/>
      <c r="C1789" s="61"/>
      <c r="D1789" s="61"/>
      <c r="E1789" s="62"/>
      <c r="F1789" s="60"/>
      <c r="H1789" s="60"/>
      <c r="I1789" s="63"/>
      <c r="J1789" s="64"/>
      <c r="K1789" s="60"/>
    </row>
    <row r="1790">
      <c r="A1790" s="51"/>
      <c r="B1790" s="60"/>
      <c r="C1790" s="61"/>
      <c r="D1790" s="61"/>
      <c r="E1790" s="62"/>
      <c r="F1790" s="60"/>
      <c r="H1790" s="60"/>
      <c r="I1790" s="63"/>
      <c r="J1790" s="64"/>
      <c r="K1790" s="60"/>
    </row>
    <row r="1791">
      <c r="A1791" s="51"/>
      <c r="B1791" s="60"/>
      <c r="C1791" s="61"/>
      <c r="D1791" s="61"/>
      <c r="E1791" s="62"/>
      <c r="F1791" s="60"/>
      <c r="H1791" s="60"/>
      <c r="I1791" s="63"/>
      <c r="J1791" s="64"/>
      <c r="K1791" s="60"/>
    </row>
    <row r="1792">
      <c r="A1792" s="51"/>
      <c r="B1792" s="60"/>
      <c r="C1792" s="61"/>
      <c r="D1792" s="61"/>
      <c r="E1792" s="62"/>
      <c r="F1792" s="60"/>
      <c r="H1792" s="60"/>
      <c r="I1792" s="63"/>
      <c r="J1792" s="64"/>
      <c r="K1792" s="60"/>
    </row>
    <row r="1793">
      <c r="A1793" s="51"/>
      <c r="B1793" s="60"/>
      <c r="C1793" s="61"/>
      <c r="D1793" s="61"/>
      <c r="E1793" s="62"/>
      <c r="F1793" s="60"/>
      <c r="H1793" s="60"/>
      <c r="I1793" s="63"/>
      <c r="J1793" s="64"/>
      <c r="K1793" s="60"/>
    </row>
    <row r="1794">
      <c r="A1794" s="51"/>
      <c r="B1794" s="60"/>
      <c r="C1794" s="61"/>
      <c r="D1794" s="61"/>
      <c r="E1794" s="62"/>
      <c r="F1794" s="60"/>
      <c r="H1794" s="60"/>
      <c r="I1794" s="63"/>
      <c r="J1794" s="64"/>
      <c r="K1794" s="60"/>
    </row>
    <row r="1795">
      <c r="A1795" s="51"/>
      <c r="B1795" s="60"/>
      <c r="C1795" s="61"/>
      <c r="D1795" s="61"/>
      <c r="E1795" s="62"/>
      <c r="F1795" s="60"/>
      <c r="H1795" s="60"/>
      <c r="I1795" s="63"/>
      <c r="J1795" s="64"/>
      <c r="K1795" s="60"/>
    </row>
    <row r="1796">
      <c r="A1796" s="51"/>
      <c r="B1796" s="60"/>
      <c r="C1796" s="61"/>
      <c r="D1796" s="61"/>
      <c r="E1796" s="62"/>
      <c r="F1796" s="60"/>
      <c r="H1796" s="60"/>
      <c r="I1796" s="63"/>
      <c r="J1796" s="64"/>
      <c r="K1796" s="60"/>
    </row>
    <row r="1797">
      <c r="A1797" s="51"/>
      <c r="B1797" s="60"/>
      <c r="C1797" s="61"/>
      <c r="D1797" s="61"/>
      <c r="E1797" s="62"/>
      <c r="F1797" s="60"/>
      <c r="H1797" s="60"/>
      <c r="I1797" s="63"/>
      <c r="J1797" s="64"/>
      <c r="K1797" s="60"/>
    </row>
    <row r="1798">
      <c r="A1798" s="51"/>
      <c r="B1798" s="60"/>
      <c r="C1798" s="61"/>
      <c r="D1798" s="61"/>
      <c r="E1798" s="62"/>
      <c r="F1798" s="60"/>
      <c r="H1798" s="60"/>
      <c r="I1798" s="63"/>
      <c r="J1798" s="64"/>
      <c r="K1798" s="60"/>
    </row>
    <row r="1799">
      <c r="A1799" s="51"/>
      <c r="B1799" s="60"/>
      <c r="C1799" s="61"/>
      <c r="D1799" s="61"/>
      <c r="E1799" s="62"/>
      <c r="F1799" s="60"/>
      <c r="H1799" s="60"/>
      <c r="I1799" s="63"/>
      <c r="J1799" s="64"/>
      <c r="K1799" s="60"/>
    </row>
    <row r="1800">
      <c r="A1800" s="51"/>
      <c r="B1800" s="60"/>
      <c r="C1800" s="61"/>
      <c r="D1800" s="61"/>
      <c r="E1800" s="62"/>
      <c r="F1800" s="60"/>
      <c r="H1800" s="60"/>
      <c r="I1800" s="63"/>
      <c r="J1800" s="64"/>
      <c r="K1800" s="60"/>
    </row>
    <row r="1801">
      <c r="A1801" s="51"/>
      <c r="B1801" s="60"/>
      <c r="C1801" s="61"/>
      <c r="D1801" s="61"/>
      <c r="E1801" s="62"/>
      <c r="F1801" s="60"/>
      <c r="H1801" s="60"/>
      <c r="I1801" s="63"/>
      <c r="J1801" s="64"/>
      <c r="K1801" s="60"/>
    </row>
    <row r="1802">
      <c r="A1802" s="51"/>
      <c r="B1802" s="60"/>
      <c r="C1802" s="61"/>
      <c r="D1802" s="61"/>
      <c r="E1802" s="62"/>
      <c r="F1802" s="60"/>
      <c r="H1802" s="60"/>
      <c r="I1802" s="63"/>
      <c r="J1802" s="64"/>
      <c r="K1802" s="60"/>
    </row>
    <row r="1803">
      <c r="A1803" s="51"/>
      <c r="B1803" s="60"/>
      <c r="C1803" s="61"/>
      <c r="D1803" s="61"/>
      <c r="E1803" s="62"/>
      <c r="F1803" s="60"/>
      <c r="H1803" s="60"/>
      <c r="I1803" s="63"/>
      <c r="J1803" s="64"/>
      <c r="K1803" s="60"/>
    </row>
    <row r="1804">
      <c r="A1804" s="51"/>
      <c r="B1804" s="60"/>
      <c r="C1804" s="61"/>
      <c r="D1804" s="61"/>
      <c r="E1804" s="62"/>
      <c r="F1804" s="60"/>
      <c r="H1804" s="60"/>
      <c r="I1804" s="63"/>
      <c r="J1804" s="64"/>
      <c r="K1804" s="60"/>
    </row>
    <row r="1805">
      <c r="A1805" s="51"/>
      <c r="B1805" s="60"/>
      <c r="C1805" s="61"/>
      <c r="D1805" s="61"/>
      <c r="E1805" s="62"/>
      <c r="F1805" s="60"/>
      <c r="H1805" s="60"/>
      <c r="I1805" s="63"/>
      <c r="J1805" s="64"/>
      <c r="K1805" s="60"/>
    </row>
    <row r="1806">
      <c r="A1806" s="51"/>
      <c r="B1806" s="60"/>
      <c r="C1806" s="61"/>
      <c r="D1806" s="61"/>
      <c r="E1806" s="62"/>
      <c r="F1806" s="60"/>
      <c r="H1806" s="60"/>
      <c r="I1806" s="63"/>
      <c r="J1806" s="64"/>
      <c r="K1806" s="60"/>
    </row>
    <row r="1807">
      <c r="A1807" s="51"/>
      <c r="B1807" s="60"/>
      <c r="C1807" s="61"/>
      <c r="D1807" s="61"/>
      <c r="E1807" s="62"/>
      <c r="F1807" s="60"/>
      <c r="H1807" s="60"/>
      <c r="I1807" s="63"/>
      <c r="J1807" s="64"/>
      <c r="K1807" s="60"/>
    </row>
    <row r="1808">
      <c r="A1808" s="51"/>
      <c r="B1808" s="60"/>
      <c r="C1808" s="61"/>
      <c r="D1808" s="61"/>
      <c r="E1808" s="62"/>
      <c r="F1808" s="60"/>
      <c r="H1808" s="60"/>
      <c r="I1808" s="63"/>
      <c r="J1808" s="64"/>
      <c r="K1808" s="60"/>
    </row>
    <row r="1809">
      <c r="A1809" s="51"/>
      <c r="B1809" s="60"/>
      <c r="C1809" s="61"/>
      <c r="D1809" s="61"/>
      <c r="E1809" s="62"/>
      <c r="F1809" s="60"/>
      <c r="H1809" s="60"/>
      <c r="I1809" s="63"/>
      <c r="J1809" s="64"/>
      <c r="K1809" s="60"/>
    </row>
    <row r="1810">
      <c r="A1810" s="51"/>
      <c r="B1810" s="60"/>
      <c r="C1810" s="61"/>
      <c r="D1810" s="61"/>
      <c r="E1810" s="62"/>
      <c r="F1810" s="60"/>
      <c r="H1810" s="60"/>
      <c r="I1810" s="63"/>
      <c r="J1810" s="64"/>
      <c r="K1810" s="60"/>
    </row>
    <row r="1811">
      <c r="A1811" s="51"/>
      <c r="B1811" s="60"/>
      <c r="C1811" s="61"/>
      <c r="D1811" s="61"/>
      <c r="E1811" s="62"/>
      <c r="F1811" s="60"/>
      <c r="H1811" s="60"/>
      <c r="I1811" s="63"/>
      <c r="J1811" s="64"/>
      <c r="K1811" s="60"/>
    </row>
    <row r="1812">
      <c r="A1812" s="51"/>
      <c r="B1812" s="60"/>
      <c r="C1812" s="61"/>
      <c r="D1812" s="61"/>
      <c r="E1812" s="62"/>
      <c r="F1812" s="60"/>
      <c r="H1812" s="60"/>
      <c r="I1812" s="63"/>
      <c r="J1812" s="64"/>
      <c r="K1812" s="60"/>
    </row>
    <row r="1813">
      <c r="A1813" s="51"/>
      <c r="B1813" s="60"/>
      <c r="C1813" s="61"/>
      <c r="D1813" s="61"/>
      <c r="E1813" s="62"/>
      <c r="F1813" s="60"/>
      <c r="H1813" s="60"/>
      <c r="I1813" s="63"/>
      <c r="J1813" s="64"/>
      <c r="K1813" s="60"/>
    </row>
    <row r="1814">
      <c r="A1814" s="51"/>
      <c r="B1814" s="60"/>
      <c r="C1814" s="61"/>
      <c r="D1814" s="61"/>
      <c r="E1814" s="62"/>
      <c r="F1814" s="60"/>
      <c r="H1814" s="60"/>
      <c r="I1814" s="63"/>
      <c r="J1814" s="64"/>
      <c r="K1814" s="60"/>
    </row>
    <row r="1815">
      <c r="A1815" s="51"/>
      <c r="B1815" s="60"/>
      <c r="C1815" s="61"/>
      <c r="D1815" s="61"/>
      <c r="E1815" s="62"/>
      <c r="F1815" s="60"/>
      <c r="H1815" s="60"/>
      <c r="I1815" s="63"/>
      <c r="J1815" s="64"/>
      <c r="K1815" s="60"/>
    </row>
    <row r="1816">
      <c r="A1816" s="51"/>
      <c r="B1816" s="60"/>
      <c r="C1816" s="61"/>
      <c r="D1816" s="61"/>
      <c r="E1816" s="62"/>
      <c r="F1816" s="60"/>
      <c r="H1816" s="60"/>
      <c r="I1816" s="63"/>
      <c r="J1816" s="64"/>
      <c r="K1816" s="60"/>
    </row>
    <row r="1817">
      <c r="A1817" s="51"/>
      <c r="B1817" s="60"/>
      <c r="C1817" s="61"/>
      <c r="D1817" s="61"/>
      <c r="E1817" s="62"/>
      <c r="F1817" s="60"/>
      <c r="H1817" s="60"/>
      <c r="I1817" s="63"/>
      <c r="J1817" s="64"/>
      <c r="K1817" s="60"/>
    </row>
    <row r="1818">
      <c r="A1818" s="51"/>
      <c r="B1818" s="60"/>
      <c r="C1818" s="61"/>
      <c r="D1818" s="61"/>
      <c r="E1818" s="62"/>
      <c r="F1818" s="60"/>
      <c r="H1818" s="60"/>
      <c r="I1818" s="63"/>
      <c r="J1818" s="64"/>
      <c r="K1818" s="60"/>
    </row>
    <row r="1819">
      <c r="A1819" s="51"/>
      <c r="B1819" s="60"/>
      <c r="C1819" s="61"/>
      <c r="D1819" s="61"/>
      <c r="E1819" s="62"/>
      <c r="F1819" s="60"/>
      <c r="H1819" s="60"/>
      <c r="I1819" s="63"/>
      <c r="J1819" s="64"/>
      <c r="K1819" s="60"/>
    </row>
    <row r="1820">
      <c r="A1820" s="51"/>
      <c r="B1820" s="60"/>
      <c r="C1820" s="61"/>
      <c r="D1820" s="61"/>
      <c r="E1820" s="62"/>
      <c r="F1820" s="60"/>
      <c r="H1820" s="60"/>
      <c r="I1820" s="63"/>
      <c r="J1820" s="64"/>
      <c r="K1820" s="60"/>
    </row>
    <row r="1821">
      <c r="A1821" s="51"/>
      <c r="B1821" s="60"/>
      <c r="C1821" s="61"/>
      <c r="D1821" s="61"/>
      <c r="E1821" s="62"/>
      <c r="F1821" s="60"/>
      <c r="H1821" s="60"/>
      <c r="I1821" s="63"/>
      <c r="J1821" s="64"/>
      <c r="K1821" s="60"/>
    </row>
    <row r="1822">
      <c r="A1822" s="51"/>
      <c r="B1822" s="60"/>
      <c r="C1822" s="61"/>
      <c r="D1822" s="61"/>
      <c r="E1822" s="62"/>
      <c r="F1822" s="60"/>
      <c r="H1822" s="60"/>
      <c r="I1822" s="63"/>
      <c r="J1822" s="64"/>
      <c r="K1822" s="60"/>
    </row>
    <row r="1823">
      <c r="A1823" s="51"/>
      <c r="B1823" s="60"/>
      <c r="C1823" s="61"/>
      <c r="D1823" s="61"/>
      <c r="E1823" s="62"/>
      <c r="F1823" s="60"/>
      <c r="H1823" s="60"/>
      <c r="I1823" s="63"/>
      <c r="J1823" s="64"/>
      <c r="K1823" s="60"/>
    </row>
    <row r="1824">
      <c r="A1824" s="51"/>
      <c r="B1824" s="60"/>
      <c r="C1824" s="61"/>
      <c r="D1824" s="61"/>
      <c r="E1824" s="62"/>
      <c r="F1824" s="60"/>
      <c r="H1824" s="60"/>
      <c r="I1824" s="63"/>
      <c r="J1824" s="64"/>
      <c r="K1824" s="60"/>
    </row>
    <row r="1825">
      <c r="A1825" s="51"/>
      <c r="B1825" s="60"/>
      <c r="C1825" s="61"/>
      <c r="D1825" s="61"/>
      <c r="E1825" s="62"/>
      <c r="F1825" s="60"/>
      <c r="H1825" s="60"/>
      <c r="I1825" s="63"/>
      <c r="J1825" s="64"/>
      <c r="K1825" s="60"/>
    </row>
    <row r="1826">
      <c r="A1826" s="51"/>
      <c r="B1826" s="60"/>
      <c r="C1826" s="61"/>
      <c r="D1826" s="61"/>
      <c r="E1826" s="62"/>
      <c r="F1826" s="60"/>
      <c r="H1826" s="60"/>
      <c r="I1826" s="63"/>
      <c r="J1826" s="64"/>
      <c r="K1826" s="60"/>
    </row>
    <row r="1827">
      <c r="A1827" s="51"/>
      <c r="B1827" s="60"/>
      <c r="C1827" s="61"/>
      <c r="D1827" s="61"/>
      <c r="E1827" s="62"/>
      <c r="F1827" s="60"/>
      <c r="H1827" s="60"/>
      <c r="I1827" s="63"/>
      <c r="J1827" s="64"/>
      <c r="K1827" s="60"/>
    </row>
    <row r="1828">
      <c r="A1828" s="51"/>
      <c r="B1828" s="60"/>
      <c r="C1828" s="61"/>
      <c r="D1828" s="61"/>
      <c r="E1828" s="62"/>
      <c r="F1828" s="60"/>
      <c r="H1828" s="60"/>
      <c r="I1828" s="63"/>
      <c r="J1828" s="64"/>
      <c r="K1828" s="60"/>
    </row>
    <row r="1829">
      <c r="A1829" s="51"/>
      <c r="B1829" s="60"/>
      <c r="C1829" s="61"/>
      <c r="D1829" s="61"/>
      <c r="E1829" s="62"/>
      <c r="F1829" s="60"/>
      <c r="H1829" s="60"/>
      <c r="I1829" s="63"/>
      <c r="J1829" s="64"/>
      <c r="K1829" s="60"/>
    </row>
    <row r="1830">
      <c r="A1830" s="51"/>
      <c r="B1830" s="60"/>
      <c r="C1830" s="61"/>
      <c r="D1830" s="61"/>
      <c r="E1830" s="62"/>
      <c r="F1830" s="60"/>
      <c r="H1830" s="60"/>
      <c r="I1830" s="63"/>
      <c r="J1830" s="64"/>
      <c r="K1830" s="60"/>
    </row>
    <row r="1831">
      <c r="A1831" s="51"/>
      <c r="B1831" s="60"/>
      <c r="C1831" s="61"/>
      <c r="D1831" s="61"/>
      <c r="E1831" s="62"/>
      <c r="F1831" s="60"/>
      <c r="H1831" s="60"/>
      <c r="I1831" s="63"/>
      <c r="J1831" s="64"/>
      <c r="K1831" s="60"/>
    </row>
    <row r="1832">
      <c r="A1832" s="51"/>
      <c r="B1832" s="60"/>
      <c r="C1832" s="61"/>
      <c r="D1832" s="61"/>
      <c r="E1832" s="62"/>
      <c r="F1832" s="60"/>
      <c r="H1832" s="60"/>
      <c r="I1832" s="63"/>
      <c r="J1832" s="64"/>
      <c r="K1832" s="60"/>
    </row>
    <row r="1833">
      <c r="A1833" s="51"/>
      <c r="B1833" s="60"/>
      <c r="C1833" s="61"/>
      <c r="D1833" s="61"/>
      <c r="E1833" s="62"/>
      <c r="F1833" s="60"/>
      <c r="H1833" s="60"/>
      <c r="I1833" s="63"/>
      <c r="J1833" s="64"/>
      <c r="K1833" s="60"/>
    </row>
    <row r="1834">
      <c r="A1834" s="51"/>
      <c r="B1834" s="60"/>
      <c r="C1834" s="61"/>
      <c r="D1834" s="61"/>
      <c r="E1834" s="62"/>
      <c r="F1834" s="60"/>
      <c r="H1834" s="60"/>
      <c r="I1834" s="63"/>
      <c r="J1834" s="64"/>
      <c r="K1834" s="60"/>
    </row>
    <row r="1835">
      <c r="A1835" s="51"/>
      <c r="B1835" s="60"/>
      <c r="C1835" s="61"/>
      <c r="D1835" s="61"/>
      <c r="E1835" s="62"/>
      <c r="F1835" s="60"/>
      <c r="H1835" s="60"/>
      <c r="I1835" s="63"/>
      <c r="J1835" s="64"/>
      <c r="K1835" s="60"/>
    </row>
    <row r="1836">
      <c r="A1836" s="51"/>
      <c r="B1836" s="60"/>
      <c r="C1836" s="61"/>
      <c r="D1836" s="61"/>
      <c r="E1836" s="62"/>
      <c r="F1836" s="60"/>
      <c r="H1836" s="60"/>
      <c r="I1836" s="63"/>
      <c r="J1836" s="64"/>
      <c r="K1836" s="60"/>
    </row>
    <row r="1837">
      <c r="A1837" s="51"/>
      <c r="B1837" s="60"/>
      <c r="C1837" s="61"/>
      <c r="D1837" s="61"/>
      <c r="E1837" s="62"/>
      <c r="F1837" s="60"/>
      <c r="H1837" s="60"/>
      <c r="I1837" s="63"/>
      <c r="J1837" s="64"/>
      <c r="K1837" s="60"/>
    </row>
    <row r="1838">
      <c r="A1838" s="51"/>
      <c r="B1838" s="60"/>
      <c r="C1838" s="61"/>
      <c r="D1838" s="61"/>
      <c r="E1838" s="62"/>
      <c r="F1838" s="60"/>
      <c r="H1838" s="60"/>
      <c r="I1838" s="63"/>
      <c r="J1838" s="64"/>
      <c r="K1838" s="60"/>
    </row>
    <row r="1839">
      <c r="A1839" s="51"/>
      <c r="B1839" s="60"/>
      <c r="C1839" s="61"/>
      <c r="D1839" s="61"/>
      <c r="E1839" s="62"/>
      <c r="F1839" s="60"/>
      <c r="H1839" s="60"/>
      <c r="I1839" s="63"/>
      <c r="J1839" s="64"/>
      <c r="K1839" s="60"/>
    </row>
    <row r="1840">
      <c r="A1840" s="51"/>
      <c r="B1840" s="60"/>
      <c r="C1840" s="61"/>
      <c r="D1840" s="61"/>
      <c r="E1840" s="62"/>
      <c r="F1840" s="60"/>
      <c r="H1840" s="60"/>
      <c r="I1840" s="63"/>
      <c r="J1840" s="64"/>
      <c r="K1840" s="60"/>
    </row>
    <row r="1841">
      <c r="A1841" s="51"/>
      <c r="B1841" s="60"/>
      <c r="C1841" s="61"/>
      <c r="D1841" s="61"/>
      <c r="E1841" s="62"/>
      <c r="F1841" s="60"/>
      <c r="H1841" s="60"/>
      <c r="I1841" s="63"/>
      <c r="J1841" s="64"/>
      <c r="K1841" s="60"/>
    </row>
    <row r="1842">
      <c r="A1842" s="51"/>
      <c r="B1842" s="60"/>
      <c r="C1842" s="61"/>
      <c r="D1842" s="61"/>
      <c r="E1842" s="62"/>
      <c r="F1842" s="60"/>
      <c r="H1842" s="60"/>
      <c r="I1842" s="63"/>
      <c r="J1842" s="64"/>
      <c r="K1842" s="60"/>
    </row>
    <row r="1843">
      <c r="A1843" s="51"/>
      <c r="B1843" s="60"/>
      <c r="C1843" s="61"/>
      <c r="D1843" s="61"/>
      <c r="E1843" s="62"/>
      <c r="F1843" s="60"/>
      <c r="H1843" s="60"/>
      <c r="I1843" s="63"/>
      <c r="J1843" s="64"/>
      <c r="K1843" s="60"/>
    </row>
    <row r="1844">
      <c r="A1844" s="51"/>
      <c r="B1844" s="60"/>
      <c r="C1844" s="61"/>
      <c r="D1844" s="61"/>
      <c r="E1844" s="62"/>
      <c r="F1844" s="60"/>
      <c r="H1844" s="60"/>
      <c r="I1844" s="63"/>
      <c r="J1844" s="64"/>
      <c r="K1844" s="60"/>
    </row>
    <row r="1845">
      <c r="A1845" s="51"/>
      <c r="B1845" s="60"/>
      <c r="C1845" s="61"/>
      <c r="D1845" s="61"/>
      <c r="E1845" s="62"/>
      <c r="F1845" s="60"/>
      <c r="H1845" s="60"/>
      <c r="I1845" s="63"/>
      <c r="J1845" s="64"/>
      <c r="K1845" s="60"/>
    </row>
    <row r="1846">
      <c r="A1846" s="51"/>
      <c r="B1846" s="60"/>
      <c r="C1846" s="61"/>
      <c r="D1846" s="61"/>
      <c r="E1846" s="62"/>
      <c r="F1846" s="60"/>
      <c r="H1846" s="60"/>
      <c r="I1846" s="63"/>
      <c r="J1846" s="64"/>
      <c r="K1846" s="60"/>
    </row>
    <row r="1847">
      <c r="A1847" s="51"/>
      <c r="B1847" s="60"/>
      <c r="C1847" s="61"/>
      <c r="D1847" s="61"/>
      <c r="E1847" s="62"/>
      <c r="F1847" s="60"/>
      <c r="H1847" s="60"/>
      <c r="I1847" s="63"/>
      <c r="J1847" s="64"/>
      <c r="K1847" s="60"/>
    </row>
    <row r="1848">
      <c r="A1848" s="51"/>
      <c r="B1848" s="60"/>
      <c r="C1848" s="61"/>
      <c r="D1848" s="61"/>
      <c r="E1848" s="62"/>
      <c r="F1848" s="60"/>
      <c r="H1848" s="60"/>
      <c r="I1848" s="63"/>
      <c r="J1848" s="64"/>
      <c r="K1848" s="60"/>
    </row>
    <row r="1849">
      <c r="A1849" s="51"/>
      <c r="B1849" s="60"/>
      <c r="C1849" s="61"/>
      <c r="D1849" s="61"/>
      <c r="E1849" s="62"/>
      <c r="F1849" s="60"/>
      <c r="H1849" s="60"/>
      <c r="I1849" s="63"/>
      <c r="J1849" s="64"/>
      <c r="K1849" s="60"/>
    </row>
    <row r="1850">
      <c r="A1850" s="51"/>
      <c r="B1850" s="60"/>
      <c r="C1850" s="61"/>
      <c r="D1850" s="61"/>
      <c r="E1850" s="62"/>
      <c r="F1850" s="60"/>
      <c r="H1850" s="60"/>
      <c r="I1850" s="63"/>
      <c r="J1850" s="64"/>
      <c r="K1850" s="60"/>
    </row>
    <row r="1851">
      <c r="A1851" s="51"/>
      <c r="B1851" s="60"/>
      <c r="C1851" s="61"/>
      <c r="D1851" s="61"/>
      <c r="E1851" s="62"/>
      <c r="F1851" s="60"/>
      <c r="H1851" s="60"/>
      <c r="I1851" s="63"/>
      <c r="J1851" s="64"/>
      <c r="K1851" s="60"/>
    </row>
    <row r="1852">
      <c r="A1852" s="51"/>
      <c r="B1852" s="60"/>
      <c r="C1852" s="61"/>
      <c r="D1852" s="61"/>
      <c r="E1852" s="62"/>
      <c r="F1852" s="60"/>
      <c r="H1852" s="60"/>
      <c r="I1852" s="63"/>
      <c r="J1852" s="64"/>
      <c r="K1852" s="60"/>
    </row>
    <row r="1853">
      <c r="A1853" s="51"/>
      <c r="B1853" s="60"/>
      <c r="C1853" s="61"/>
      <c r="D1853" s="61"/>
      <c r="E1853" s="62"/>
      <c r="F1853" s="60"/>
      <c r="H1853" s="60"/>
      <c r="I1853" s="63"/>
      <c r="J1853" s="64"/>
      <c r="K1853" s="60"/>
    </row>
    <row r="1854">
      <c r="A1854" s="51"/>
      <c r="B1854" s="60"/>
      <c r="C1854" s="61"/>
      <c r="D1854" s="61"/>
      <c r="E1854" s="62"/>
      <c r="F1854" s="60"/>
      <c r="H1854" s="60"/>
      <c r="I1854" s="63"/>
      <c r="J1854" s="64"/>
      <c r="K1854" s="60"/>
    </row>
    <row r="1855">
      <c r="A1855" s="51"/>
      <c r="B1855" s="60"/>
      <c r="C1855" s="61"/>
      <c r="D1855" s="61"/>
      <c r="E1855" s="62"/>
      <c r="F1855" s="60"/>
      <c r="H1855" s="60"/>
      <c r="I1855" s="63"/>
      <c r="J1855" s="64"/>
      <c r="K1855" s="60"/>
    </row>
    <row r="1856">
      <c r="A1856" s="51"/>
      <c r="B1856" s="60"/>
      <c r="C1856" s="61"/>
      <c r="D1856" s="61"/>
      <c r="E1856" s="62"/>
      <c r="F1856" s="60"/>
      <c r="H1856" s="60"/>
      <c r="I1856" s="63"/>
      <c r="J1856" s="64"/>
      <c r="K1856" s="60"/>
    </row>
    <row r="1857">
      <c r="A1857" s="51"/>
      <c r="B1857" s="60"/>
      <c r="C1857" s="61"/>
      <c r="D1857" s="61"/>
      <c r="E1857" s="62"/>
      <c r="F1857" s="60"/>
      <c r="H1857" s="60"/>
      <c r="I1857" s="63"/>
      <c r="J1857" s="64"/>
      <c r="K1857" s="60"/>
    </row>
    <row r="1858">
      <c r="A1858" s="51"/>
      <c r="B1858" s="60"/>
      <c r="C1858" s="61"/>
      <c r="D1858" s="61"/>
      <c r="E1858" s="62"/>
      <c r="F1858" s="60"/>
      <c r="H1858" s="60"/>
      <c r="I1858" s="63"/>
      <c r="J1858" s="64"/>
      <c r="K1858" s="60"/>
    </row>
    <row r="1859">
      <c r="A1859" s="51"/>
      <c r="B1859" s="60"/>
      <c r="C1859" s="61"/>
      <c r="D1859" s="61"/>
      <c r="E1859" s="62"/>
      <c r="F1859" s="60"/>
      <c r="H1859" s="60"/>
      <c r="I1859" s="63"/>
      <c r="J1859" s="64"/>
      <c r="K1859" s="60"/>
    </row>
    <row r="1860">
      <c r="A1860" s="51"/>
      <c r="B1860" s="60"/>
      <c r="C1860" s="61"/>
      <c r="D1860" s="61"/>
      <c r="E1860" s="62"/>
      <c r="F1860" s="60"/>
      <c r="H1860" s="60"/>
      <c r="I1860" s="63"/>
      <c r="J1860" s="64"/>
      <c r="K1860" s="60"/>
    </row>
    <row r="1861">
      <c r="A1861" s="51"/>
      <c r="B1861" s="60"/>
      <c r="C1861" s="61"/>
      <c r="D1861" s="61"/>
      <c r="E1861" s="62"/>
      <c r="F1861" s="60"/>
      <c r="H1861" s="60"/>
      <c r="I1861" s="63"/>
      <c r="J1861" s="64"/>
      <c r="K1861" s="60"/>
    </row>
    <row r="1862">
      <c r="A1862" s="51"/>
      <c r="B1862" s="60"/>
      <c r="C1862" s="61"/>
      <c r="D1862" s="61"/>
      <c r="E1862" s="62"/>
      <c r="F1862" s="60"/>
      <c r="H1862" s="60"/>
      <c r="I1862" s="63"/>
      <c r="J1862" s="64"/>
      <c r="K1862" s="60"/>
    </row>
    <row r="1863">
      <c r="A1863" s="51"/>
      <c r="B1863" s="60"/>
      <c r="C1863" s="61"/>
      <c r="D1863" s="61"/>
      <c r="E1863" s="62"/>
      <c r="F1863" s="60"/>
      <c r="H1863" s="60"/>
      <c r="I1863" s="63"/>
      <c r="J1863" s="64"/>
      <c r="K1863" s="60"/>
    </row>
    <row r="1864">
      <c r="A1864" s="51"/>
      <c r="B1864" s="60"/>
      <c r="C1864" s="61"/>
      <c r="D1864" s="61"/>
      <c r="E1864" s="62"/>
      <c r="F1864" s="60"/>
      <c r="H1864" s="60"/>
      <c r="I1864" s="63"/>
      <c r="J1864" s="64"/>
      <c r="K1864" s="60"/>
    </row>
    <row r="1865">
      <c r="A1865" s="51"/>
      <c r="B1865" s="60"/>
      <c r="C1865" s="61"/>
      <c r="D1865" s="61"/>
      <c r="E1865" s="62"/>
      <c r="F1865" s="60"/>
      <c r="H1865" s="60"/>
      <c r="I1865" s="63"/>
      <c r="J1865" s="64"/>
      <c r="K1865" s="60"/>
    </row>
    <row r="1866">
      <c r="A1866" s="51"/>
      <c r="B1866" s="60"/>
      <c r="C1866" s="61"/>
      <c r="D1866" s="61"/>
      <c r="E1866" s="62"/>
      <c r="F1866" s="60"/>
      <c r="H1866" s="60"/>
      <c r="I1866" s="63"/>
      <c r="J1866" s="64"/>
      <c r="K1866" s="60"/>
    </row>
    <row r="1867">
      <c r="A1867" s="51"/>
      <c r="B1867" s="60"/>
      <c r="C1867" s="61"/>
      <c r="D1867" s="61"/>
      <c r="E1867" s="62"/>
      <c r="F1867" s="60"/>
      <c r="H1867" s="60"/>
      <c r="I1867" s="63"/>
      <c r="J1867" s="64"/>
      <c r="K1867" s="60"/>
    </row>
    <row r="1868">
      <c r="A1868" s="51"/>
      <c r="B1868" s="60"/>
      <c r="C1868" s="61"/>
      <c r="D1868" s="61"/>
      <c r="E1868" s="62"/>
      <c r="F1868" s="60"/>
      <c r="H1868" s="60"/>
      <c r="I1868" s="63"/>
      <c r="J1868" s="64"/>
      <c r="K1868" s="60"/>
    </row>
    <row r="1869">
      <c r="A1869" s="51"/>
      <c r="B1869" s="60"/>
      <c r="C1869" s="61"/>
      <c r="D1869" s="61"/>
      <c r="E1869" s="62"/>
      <c r="F1869" s="60"/>
      <c r="H1869" s="60"/>
      <c r="I1869" s="63"/>
      <c r="J1869" s="64"/>
      <c r="K1869" s="60"/>
    </row>
    <row r="1870">
      <c r="A1870" s="51"/>
      <c r="B1870" s="60"/>
      <c r="C1870" s="61"/>
      <c r="D1870" s="61"/>
      <c r="E1870" s="62"/>
      <c r="F1870" s="60"/>
      <c r="H1870" s="60"/>
      <c r="I1870" s="63"/>
      <c r="J1870" s="64"/>
      <c r="K1870" s="60"/>
    </row>
    <row r="1871">
      <c r="A1871" s="51"/>
      <c r="B1871" s="60"/>
      <c r="C1871" s="61"/>
      <c r="D1871" s="61"/>
      <c r="E1871" s="62"/>
      <c r="F1871" s="60"/>
      <c r="H1871" s="60"/>
      <c r="I1871" s="63"/>
      <c r="J1871" s="64"/>
      <c r="K1871" s="60"/>
    </row>
    <row r="1872">
      <c r="A1872" s="51"/>
      <c r="B1872" s="60"/>
      <c r="C1872" s="61"/>
      <c r="D1872" s="61"/>
      <c r="E1872" s="62"/>
      <c r="F1872" s="60"/>
      <c r="H1872" s="60"/>
      <c r="I1872" s="63"/>
      <c r="J1872" s="64"/>
      <c r="K1872" s="60"/>
    </row>
    <row r="1873">
      <c r="A1873" s="51"/>
      <c r="B1873" s="60"/>
      <c r="C1873" s="61"/>
      <c r="D1873" s="61"/>
      <c r="E1873" s="62"/>
      <c r="F1873" s="60"/>
      <c r="H1873" s="60"/>
      <c r="I1873" s="63"/>
      <c r="J1873" s="64"/>
      <c r="K1873" s="60"/>
    </row>
    <row r="1874">
      <c r="A1874" s="51"/>
      <c r="B1874" s="60"/>
      <c r="C1874" s="61"/>
      <c r="D1874" s="61"/>
      <c r="E1874" s="62"/>
      <c r="F1874" s="60"/>
      <c r="H1874" s="60"/>
      <c r="I1874" s="63"/>
      <c r="J1874" s="64"/>
      <c r="K1874" s="60"/>
    </row>
    <row r="1875">
      <c r="A1875" s="51"/>
      <c r="B1875" s="60"/>
      <c r="C1875" s="61"/>
      <c r="D1875" s="61"/>
      <c r="E1875" s="62"/>
      <c r="F1875" s="60"/>
      <c r="H1875" s="60"/>
      <c r="I1875" s="63"/>
      <c r="J1875" s="64"/>
      <c r="K1875" s="60"/>
    </row>
    <row r="1876">
      <c r="A1876" s="51"/>
      <c r="B1876" s="60"/>
      <c r="C1876" s="61"/>
      <c r="D1876" s="61"/>
      <c r="E1876" s="62"/>
      <c r="F1876" s="60"/>
      <c r="H1876" s="60"/>
      <c r="I1876" s="63"/>
      <c r="J1876" s="64"/>
      <c r="K1876" s="60"/>
    </row>
    <row r="1877">
      <c r="A1877" s="51"/>
      <c r="B1877" s="60"/>
      <c r="C1877" s="61"/>
      <c r="D1877" s="61"/>
      <c r="E1877" s="62"/>
      <c r="F1877" s="60"/>
      <c r="H1877" s="60"/>
      <c r="I1877" s="63"/>
      <c r="J1877" s="64"/>
      <c r="K1877" s="60"/>
    </row>
    <row r="1878">
      <c r="A1878" s="51"/>
      <c r="B1878" s="60"/>
      <c r="C1878" s="61"/>
      <c r="D1878" s="61"/>
      <c r="E1878" s="62"/>
      <c r="F1878" s="60"/>
      <c r="H1878" s="60"/>
      <c r="I1878" s="63"/>
      <c r="J1878" s="64"/>
      <c r="K1878" s="60"/>
    </row>
    <row r="1879">
      <c r="A1879" s="51"/>
      <c r="B1879" s="60"/>
      <c r="C1879" s="61"/>
      <c r="D1879" s="61"/>
      <c r="E1879" s="62"/>
      <c r="F1879" s="60"/>
      <c r="H1879" s="60"/>
      <c r="I1879" s="63"/>
      <c r="J1879" s="64"/>
      <c r="K1879" s="60"/>
    </row>
    <row r="1880">
      <c r="A1880" s="51"/>
      <c r="B1880" s="60"/>
      <c r="C1880" s="61"/>
      <c r="D1880" s="61"/>
      <c r="E1880" s="62"/>
      <c r="F1880" s="60"/>
      <c r="H1880" s="60"/>
      <c r="I1880" s="63"/>
      <c r="J1880" s="64"/>
      <c r="K1880" s="60"/>
    </row>
    <row r="1881">
      <c r="A1881" s="51"/>
      <c r="B1881" s="60"/>
      <c r="C1881" s="61"/>
      <c r="D1881" s="61"/>
      <c r="E1881" s="62"/>
      <c r="F1881" s="60"/>
      <c r="H1881" s="60"/>
      <c r="I1881" s="63"/>
      <c r="J1881" s="64"/>
      <c r="K1881" s="60"/>
    </row>
    <row r="1882">
      <c r="A1882" s="51"/>
      <c r="B1882" s="60"/>
      <c r="C1882" s="61"/>
      <c r="D1882" s="61"/>
      <c r="E1882" s="62"/>
      <c r="F1882" s="60"/>
      <c r="H1882" s="60"/>
      <c r="I1882" s="63"/>
      <c r="J1882" s="64"/>
      <c r="K1882" s="60"/>
    </row>
    <row r="1883">
      <c r="A1883" s="51"/>
      <c r="B1883" s="60"/>
      <c r="C1883" s="61"/>
      <c r="D1883" s="61"/>
      <c r="E1883" s="62"/>
      <c r="F1883" s="60"/>
      <c r="H1883" s="60"/>
      <c r="I1883" s="63"/>
      <c r="J1883" s="64"/>
      <c r="K1883" s="60"/>
    </row>
    <row r="1884">
      <c r="A1884" s="51"/>
      <c r="B1884" s="60"/>
      <c r="C1884" s="61"/>
      <c r="D1884" s="61"/>
      <c r="E1884" s="62"/>
      <c r="F1884" s="60"/>
      <c r="H1884" s="60"/>
      <c r="I1884" s="63"/>
      <c r="J1884" s="64"/>
      <c r="K1884" s="60"/>
    </row>
    <row r="1885">
      <c r="A1885" s="51"/>
      <c r="B1885" s="60"/>
      <c r="C1885" s="61"/>
      <c r="D1885" s="61"/>
      <c r="E1885" s="62"/>
      <c r="F1885" s="60"/>
      <c r="H1885" s="60"/>
      <c r="I1885" s="63"/>
      <c r="J1885" s="64"/>
      <c r="K1885" s="60"/>
    </row>
    <row r="1886">
      <c r="A1886" s="51"/>
      <c r="B1886" s="60"/>
      <c r="C1886" s="61"/>
      <c r="D1886" s="61"/>
      <c r="E1886" s="62"/>
      <c r="F1886" s="60"/>
      <c r="H1886" s="60"/>
      <c r="I1886" s="63"/>
      <c r="J1886" s="64"/>
      <c r="K1886" s="60"/>
    </row>
    <row r="1887">
      <c r="A1887" s="51"/>
      <c r="B1887" s="60"/>
      <c r="C1887" s="61"/>
      <c r="D1887" s="61"/>
      <c r="E1887" s="62"/>
      <c r="F1887" s="60"/>
      <c r="H1887" s="60"/>
      <c r="I1887" s="63"/>
      <c r="J1887" s="64"/>
      <c r="K1887" s="60"/>
    </row>
    <row r="1888">
      <c r="A1888" s="51"/>
      <c r="B1888" s="60"/>
      <c r="C1888" s="61"/>
      <c r="D1888" s="61"/>
      <c r="E1888" s="62"/>
      <c r="F1888" s="60"/>
      <c r="H1888" s="60"/>
      <c r="I1888" s="63"/>
      <c r="J1888" s="64"/>
      <c r="K1888" s="60"/>
    </row>
    <row r="1889">
      <c r="A1889" s="51"/>
      <c r="B1889" s="60"/>
      <c r="C1889" s="61"/>
      <c r="D1889" s="61"/>
      <c r="E1889" s="62"/>
      <c r="F1889" s="60"/>
      <c r="H1889" s="60"/>
      <c r="I1889" s="63"/>
      <c r="J1889" s="64"/>
      <c r="K1889" s="60"/>
    </row>
    <row r="1890">
      <c r="A1890" s="51"/>
      <c r="B1890" s="60"/>
      <c r="C1890" s="61"/>
      <c r="D1890" s="61"/>
      <c r="E1890" s="62"/>
      <c r="F1890" s="60"/>
      <c r="H1890" s="60"/>
      <c r="I1890" s="63"/>
      <c r="J1890" s="64"/>
      <c r="K1890" s="60"/>
    </row>
    <row r="1891">
      <c r="A1891" s="51"/>
      <c r="B1891" s="60"/>
      <c r="C1891" s="61"/>
      <c r="D1891" s="61"/>
      <c r="E1891" s="62"/>
      <c r="F1891" s="60"/>
      <c r="H1891" s="60"/>
      <c r="I1891" s="63"/>
      <c r="J1891" s="64"/>
      <c r="K1891" s="60"/>
    </row>
    <row r="1892">
      <c r="A1892" s="51"/>
      <c r="B1892" s="60"/>
      <c r="C1892" s="61"/>
      <c r="D1892" s="61"/>
      <c r="E1892" s="62"/>
      <c r="F1892" s="60"/>
      <c r="H1892" s="60"/>
      <c r="I1892" s="63"/>
      <c r="J1892" s="64"/>
      <c r="K1892" s="60"/>
    </row>
    <row r="1893">
      <c r="A1893" s="51"/>
      <c r="B1893" s="60"/>
      <c r="C1893" s="61"/>
      <c r="D1893" s="61"/>
      <c r="E1893" s="62"/>
      <c r="F1893" s="60"/>
      <c r="H1893" s="60"/>
      <c r="I1893" s="63"/>
      <c r="J1893" s="64"/>
      <c r="K1893" s="60"/>
    </row>
    <row r="1894">
      <c r="A1894" s="51"/>
      <c r="B1894" s="60"/>
      <c r="C1894" s="61"/>
      <c r="D1894" s="61"/>
      <c r="E1894" s="62"/>
      <c r="F1894" s="60"/>
      <c r="H1894" s="60"/>
      <c r="I1894" s="63"/>
      <c r="J1894" s="64"/>
      <c r="K1894" s="60"/>
    </row>
    <row r="1895">
      <c r="A1895" s="51"/>
      <c r="B1895" s="60"/>
      <c r="C1895" s="61"/>
      <c r="D1895" s="61"/>
      <c r="E1895" s="62"/>
      <c r="F1895" s="60"/>
      <c r="H1895" s="60"/>
      <c r="I1895" s="63"/>
      <c r="J1895" s="64"/>
      <c r="K1895" s="60"/>
    </row>
    <row r="1896">
      <c r="A1896" s="51"/>
      <c r="B1896" s="60"/>
      <c r="C1896" s="61"/>
      <c r="D1896" s="61"/>
      <c r="E1896" s="62"/>
      <c r="F1896" s="60"/>
      <c r="H1896" s="60"/>
      <c r="I1896" s="63"/>
      <c r="J1896" s="64"/>
      <c r="K1896" s="60"/>
    </row>
    <row r="1897">
      <c r="A1897" s="51"/>
      <c r="B1897" s="60"/>
      <c r="C1897" s="61"/>
      <c r="D1897" s="61"/>
      <c r="E1897" s="62"/>
      <c r="F1897" s="60"/>
      <c r="H1897" s="60"/>
      <c r="I1897" s="63"/>
      <c r="J1897" s="64"/>
      <c r="K1897" s="60"/>
    </row>
    <row r="1898">
      <c r="A1898" s="51"/>
      <c r="B1898" s="60"/>
      <c r="C1898" s="61"/>
      <c r="D1898" s="61"/>
      <c r="E1898" s="62"/>
      <c r="F1898" s="60"/>
      <c r="H1898" s="60"/>
      <c r="I1898" s="63"/>
      <c r="J1898" s="64"/>
      <c r="K1898" s="60"/>
    </row>
    <row r="1899">
      <c r="A1899" s="51"/>
      <c r="B1899" s="60"/>
      <c r="C1899" s="61"/>
      <c r="D1899" s="61"/>
      <c r="E1899" s="62"/>
      <c r="F1899" s="60"/>
      <c r="H1899" s="60"/>
      <c r="I1899" s="63"/>
      <c r="J1899" s="64"/>
      <c r="K1899" s="60"/>
    </row>
    <row r="1900">
      <c r="A1900" s="51"/>
      <c r="B1900" s="60"/>
      <c r="C1900" s="61"/>
      <c r="D1900" s="61"/>
      <c r="E1900" s="62"/>
      <c r="F1900" s="60"/>
      <c r="H1900" s="60"/>
      <c r="I1900" s="63"/>
      <c r="J1900" s="64"/>
      <c r="K1900" s="60"/>
    </row>
    <row r="1901">
      <c r="A1901" s="51"/>
      <c r="B1901" s="60"/>
      <c r="C1901" s="61"/>
      <c r="D1901" s="61"/>
      <c r="E1901" s="62"/>
      <c r="F1901" s="60"/>
      <c r="H1901" s="60"/>
      <c r="I1901" s="63"/>
      <c r="J1901" s="64"/>
      <c r="K1901" s="60"/>
    </row>
    <row r="1902">
      <c r="A1902" s="51"/>
      <c r="B1902" s="60"/>
      <c r="C1902" s="61"/>
      <c r="D1902" s="61"/>
      <c r="E1902" s="62"/>
      <c r="F1902" s="60"/>
      <c r="H1902" s="60"/>
      <c r="I1902" s="63"/>
      <c r="J1902" s="64"/>
      <c r="K1902" s="60"/>
    </row>
    <row r="1903">
      <c r="A1903" s="51"/>
      <c r="B1903" s="60"/>
      <c r="C1903" s="61"/>
      <c r="D1903" s="61"/>
      <c r="E1903" s="62"/>
      <c r="F1903" s="60"/>
      <c r="H1903" s="60"/>
      <c r="I1903" s="63"/>
      <c r="J1903" s="64"/>
      <c r="K1903" s="60"/>
    </row>
    <row r="1904">
      <c r="A1904" s="51"/>
      <c r="B1904" s="60"/>
      <c r="C1904" s="61"/>
      <c r="D1904" s="61"/>
      <c r="E1904" s="62"/>
      <c r="F1904" s="60"/>
      <c r="H1904" s="60"/>
      <c r="I1904" s="63"/>
      <c r="J1904" s="64"/>
      <c r="K1904" s="60"/>
    </row>
    <row r="1905">
      <c r="A1905" s="51"/>
      <c r="B1905" s="60"/>
      <c r="C1905" s="61"/>
      <c r="D1905" s="61"/>
      <c r="E1905" s="62"/>
      <c r="F1905" s="60"/>
      <c r="H1905" s="60"/>
      <c r="I1905" s="63"/>
      <c r="J1905" s="64"/>
      <c r="K1905" s="60"/>
    </row>
    <row r="1906">
      <c r="A1906" s="51"/>
      <c r="B1906" s="60"/>
      <c r="C1906" s="61"/>
      <c r="D1906" s="61"/>
      <c r="E1906" s="62"/>
      <c r="F1906" s="60"/>
      <c r="H1906" s="60"/>
      <c r="I1906" s="63"/>
      <c r="J1906" s="64"/>
      <c r="K1906" s="60"/>
    </row>
    <row r="1907">
      <c r="A1907" s="51"/>
      <c r="B1907" s="60"/>
      <c r="C1907" s="61"/>
      <c r="D1907" s="61"/>
      <c r="E1907" s="62"/>
      <c r="F1907" s="60"/>
      <c r="H1907" s="60"/>
      <c r="I1907" s="63"/>
      <c r="J1907" s="64"/>
      <c r="K1907" s="60"/>
    </row>
    <row r="1908">
      <c r="A1908" s="51"/>
      <c r="B1908" s="60"/>
      <c r="C1908" s="61"/>
      <c r="D1908" s="61"/>
      <c r="E1908" s="62"/>
      <c r="F1908" s="60"/>
      <c r="H1908" s="60"/>
      <c r="I1908" s="63"/>
      <c r="J1908" s="64"/>
      <c r="K1908" s="60"/>
    </row>
    <row r="1909">
      <c r="A1909" s="51"/>
      <c r="B1909" s="60"/>
      <c r="C1909" s="61"/>
      <c r="D1909" s="61"/>
      <c r="E1909" s="62"/>
      <c r="F1909" s="60"/>
      <c r="H1909" s="60"/>
      <c r="I1909" s="63"/>
      <c r="J1909" s="64"/>
      <c r="K1909" s="60"/>
    </row>
    <row r="1910">
      <c r="A1910" s="51"/>
      <c r="B1910" s="60"/>
      <c r="C1910" s="61"/>
      <c r="D1910" s="61"/>
      <c r="E1910" s="62"/>
      <c r="F1910" s="60"/>
      <c r="H1910" s="60"/>
      <c r="I1910" s="63"/>
      <c r="J1910" s="64"/>
      <c r="K1910" s="60"/>
    </row>
    <row r="1911">
      <c r="A1911" s="51"/>
      <c r="B1911" s="60"/>
      <c r="C1911" s="61"/>
      <c r="D1911" s="61"/>
      <c r="E1911" s="62"/>
      <c r="F1911" s="60"/>
      <c r="H1911" s="60"/>
      <c r="I1911" s="63"/>
      <c r="J1911" s="64"/>
      <c r="K1911" s="60"/>
    </row>
    <row r="1912">
      <c r="A1912" s="51"/>
      <c r="B1912" s="60"/>
      <c r="C1912" s="61"/>
      <c r="D1912" s="61"/>
      <c r="E1912" s="62"/>
      <c r="F1912" s="60"/>
      <c r="H1912" s="60"/>
      <c r="I1912" s="63"/>
      <c r="J1912" s="64"/>
      <c r="K1912" s="60"/>
    </row>
    <row r="1913">
      <c r="A1913" s="51"/>
      <c r="B1913" s="60"/>
      <c r="C1913" s="61"/>
      <c r="D1913" s="61"/>
      <c r="E1913" s="62"/>
      <c r="F1913" s="60"/>
      <c r="H1913" s="60"/>
      <c r="I1913" s="63"/>
      <c r="J1913" s="64"/>
      <c r="K1913" s="60"/>
    </row>
    <row r="1914">
      <c r="A1914" s="51"/>
      <c r="B1914" s="60"/>
      <c r="C1914" s="61"/>
      <c r="D1914" s="61"/>
      <c r="E1914" s="62"/>
      <c r="F1914" s="60"/>
      <c r="H1914" s="60"/>
      <c r="I1914" s="63"/>
      <c r="J1914" s="64"/>
      <c r="K1914" s="60"/>
    </row>
    <row r="1915">
      <c r="A1915" s="51"/>
      <c r="B1915" s="60"/>
      <c r="C1915" s="61"/>
      <c r="D1915" s="61"/>
      <c r="E1915" s="62"/>
      <c r="F1915" s="60"/>
      <c r="H1915" s="60"/>
      <c r="I1915" s="63"/>
      <c r="J1915" s="64"/>
      <c r="K1915" s="60"/>
    </row>
    <row r="1916">
      <c r="A1916" s="51"/>
      <c r="B1916" s="60"/>
      <c r="C1916" s="61"/>
      <c r="D1916" s="61"/>
      <c r="E1916" s="62"/>
      <c r="F1916" s="60"/>
      <c r="H1916" s="60"/>
      <c r="I1916" s="63"/>
      <c r="J1916" s="64"/>
      <c r="K1916" s="60"/>
    </row>
    <row r="1917">
      <c r="A1917" s="51"/>
      <c r="B1917" s="60"/>
      <c r="C1917" s="61"/>
      <c r="D1917" s="61"/>
      <c r="E1917" s="62"/>
      <c r="F1917" s="60"/>
      <c r="H1917" s="60"/>
      <c r="I1917" s="63"/>
      <c r="J1917" s="64"/>
      <c r="K1917" s="60"/>
    </row>
    <row r="1918">
      <c r="A1918" s="51"/>
      <c r="B1918" s="60"/>
      <c r="C1918" s="61"/>
      <c r="D1918" s="61"/>
      <c r="E1918" s="62"/>
      <c r="F1918" s="60"/>
      <c r="H1918" s="60"/>
      <c r="I1918" s="63"/>
      <c r="J1918" s="64"/>
      <c r="K1918" s="60"/>
    </row>
    <row r="1919">
      <c r="A1919" s="51"/>
      <c r="B1919" s="60"/>
      <c r="C1919" s="61"/>
      <c r="D1919" s="61"/>
      <c r="E1919" s="62"/>
      <c r="F1919" s="60"/>
      <c r="H1919" s="60"/>
      <c r="I1919" s="63"/>
      <c r="J1919" s="64"/>
      <c r="K1919" s="60"/>
    </row>
    <row r="1920">
      <c r="A1920" s="51"/>
      <c r="B1920" s="60"/>
      <c r="C1920" s="61"/>
      <c r="D1920" s="61"/>
      <c r="E1920" s="62"/>
      <c r="F1920" s="60"/>
      <c r="H1920" s="60"/>
      <c r="I1920" s="63"/>
      <c r="J1920" s="64"/>
      <c r="K1920" s="60"/>
    </row>
    <row r="1921">
      <c r="A1921" s="51"/>
      <c r="B1921" s="60"/>
      <c r="C1921" s="61"/>
      <c r="D1921" s="61"/>
      <c r="E1921" s="62"/>
      <c r="F1921" s="60"/>
      <c r="H1921" s="60"/>
      <c r="I1921" s="63"/>
      <c r="J1921" s="64"/>
      <c r="K1921" s="60"/>
    </row>
    <row r="1922">
      <c r="A1922" s="51"/>
      <c r="B1922" s="60"/>
      <c r="C1922" s="61"/>
      <c r="D1922" s="61"/>
      <c r="E1922" s="62"/>
      <c r="F1922" s="60"/>
      <c r="H1922" s="60"/>
      <c r="I1922" s="63"/>
      <c r="J1922" s="64"/>
      <c r="K1922" s="60"/>
    </row>
    <row r="1923">
      <c r="A1923" s="51"/>
      <c r="B1923" s="60"/>
      <c r="C1923" s="61"/>
      <c r="D1923" s="61"/>
      <c r="E1923" s="62"/>
      <c r="F1923" s="60"/>
      <c r="H1923" s="60"/>
      <c r="I1923" s="63"/>
      <c r="J1923" s="64"/>
      <c r="K1923" s="60"/>
    </row>
    <row r="1924">
      <c r="A1924" s="51"/>
      <c r="B1924" s="60"/>
      <c r="C1924" s="61"/>
      <c r="D1924" s="61"/>
      <c r="E1924" s="62"/>
      <c r="F1924" s="60"/>
      <c r="H1924" s="60"/>
      <c r="I1924" s="63"/>
      <c r="J1924" s="64"/>
      <c r="K1924" s="60"/>
    </row>
    <row r="1925">
      <c r="A1925" s="51"/>
      <c r="B1925" s="60"/>
      <c r="C1925" s="61"/>
      <c r="D1925" s="61"/>
      <c r="E1925" s="62"/>
      <c r="F1925" s="60"/>
      <c r="H1925" s="60"/>
      <c r="I1925" s="63"/>
      <c r="J1925" s="64"/>
      <c r="K1925" s="60"/>
    </row>
    <row r="1926">
      <c r="A1926" s="51"/>
      <c r="B1926" s="60"/>
      <c r="C1926" s="61"/>
      <c r="D1926" s="61"/>
      <c r="E1926" s="62"/>
      <c r="F1926" s="60"/>
      <c r="H1926" s="60"/>
      <c r="I1926" s="63"/>
      <c r="J1926" s="64"/>
      <c r="K1926" s="60"/>
    </row>
    <row r="1927">
      <c r="A1927" s="51"/>
      <c r="B1927" s="60"/>
      <c r="C1927" s="61"/>
      <c r="D1927" s="61"/>
      <c r="E1927" s="62"/>
      <c r="F1927" s="60"/>
      <c r="H1927" s="60"/>
      <c r="I1927" s="63"/>
      <c r="J1927" s="64"/>
      <c r="K1927" s="60"/>
    </row>
    <row r="1928">
      <c r="A1928" s="51"/>
      <c r="B1928" s="60"/>
      <c r="C1928" s="61"/>
      <c r="D1928" s="61"/>
      <c r="E1928" s="62"/>
      <c r="F1928" s="60"/>
      <c r="H1928" s="60"/>
      <c r="I1928" s="63"/>
      <c r="J1928" s="64"/>
      <c r="K1928" s="60"/>
    </row>
    <row r="1929">
      <c r="A1929" s="51"/>
      <c r="B1929" s="60"/>
      <c r="C1929" s="61"/>
      <c r="D1929" s="61"/>
      <c r="E1929" s="62"/>
      <c r="F1929" s="60"/>
      <c r="H1929" s="60"/>
      <c r="I1929" s="63"/>
      <c r="J1929" s="64"/>
      <c r="K1929" s="60"/>
    </row>
    <row r="1930">
      <c r="A1930" s="51"/>
      <c r="B1930" s="60"/>
      <c r="C1930" s="61"/>
      <c r="D1930" s="61"/>
      <c r="E1930" s="62"/>
      <c r="F1930" s="60"/>
      <c r="H1930" s="60"/>
      <c r="I1930" s="63"/>
      <c r="J1930" s="64"/>
      <c r="K1930" s="60"/>
    </row>
    <row r="1931">
      <c r="A1931" s="51"/>
      <c r="B1931" s="60"/>
      <c r="C1931" s="61"/>
      <c r="D1931" s="61"/>
      <c r="E1931" s="62"/>
      <c r="F1931" s="60"/>
      <c r="H1931" s="60"/>
      <c r="I1931" s="63"/>
      <c r="J1931" s="64"/>
      <c r="K1931" s="60"/>
    </row>
    <row r="1932">
      <c r="A1932" s="51"/>
      <c r="B1932" s="60"/>
      <c r="C1932" s="61"/>
      <c r="D1932" s="61"/>
      <c r="E1932" s="62"/>
      <c r="F1932" s="60"/>
      <c r="H1932" s="60"/>
      <c r="I1932" s="63"/>
      <c r="J1932" s="64"/>
      <c r="K1932" s="60"/>
    </row>
    <row r="1933">
      <c r="A1933" s="51"/>
      <c r="B1933" s="60"/>
      <c r="C1933" s="61"/>
      <c r="D1933" s="61"/>
      <c r="E1933" s="62"/>
      <c r="F1933" s="60"/>
      <c r="H1933" s="60"/>
      <c r="I1933" s="63"/>
      <c r="J1933" s="64"/>
      <c r="K1933" s="60"/>
    </row>
    <row r="1934">
      <c r="A1934" s="51"/>
      <c r="B1934" s="60"/>
      <c r="C1934" s="61"/>
      <c r="D1934" s="61"/>
      <c r="E1934" s="62"/>
      <c r="F1934" s="60"/>
      <c r="H1934" s="60"/>
      <c r="I1934" s="63"/>
      <c r="J1934" s="64"/>
      <c r="K1934" s="60"/>
    </row>
    <row r="1935">
      <c r="A1935" s="51"/>
      <c r="B1935" s="60"/>
      <c r="C1935" s="61"/>
      <c r="D1935" s="61"/>
      <c r="E1935" s="62"/>
      <c r="F1935" s="60"/>
      <c r="H1935" s="60"/>
      <c r="I1935" s="63"/>
      <c r="J1935" s="64"/>
      <c r="K1935" s="60"/>
    </row>
    <row r="1936">
      <c r="A1936" s="51"/>
      <c r="B1936" s="60"/>
      <c r="C1936" s="61"/>
      <c r="D1936" s="61"/>
      <c r="E1936" s="62"/>
      <c r="F1936" s="60"/>
      <c r="H1936" s="60"/>
      <c r="I1936" s="63"/>
      <c r="J1936" s="64"/>
      <c r="K1936" s="60"/>
    </row>
    <row r="1937">
      <c r="A1937" s="51"/>
      <c r="B1937" s="60"/>
      <c r="C1937" s="61"/>
      <c r="D1937" s="61"/>
      <c r="E1937" s="62"/>
      <c r="F1937" s="60"/>
      <c r="H1937" s="60"/>
      <c r="I1937" s="63"/>
      <c r="J1937" s="64"/>
      <c r="K1937" s="60"/>
    </row>
    <row r="1938">
      <c r="A1938" s="51"/>
      <c r="B1938" s="60"/>
      <c r="C1938" s="61"/>
      <c r="D1938" s="61"/>
      <c r="E1938" s="62"/>
      <c r="F1938" s="60"/>
      <c r="H1938" s="60"/>
      <c r="I1938" s="63"/>
      <c r="J1938" s="64"/>
      <c r="K1938" s="60"/>
    </row>
    <row r="1939">
      <c r="A1939" s="51"/>
      <c r="B1939" s="60"/>
      <c r="C1939" s="61"/>
      <c r="D1939" s="61"/>
      <c r="E1939" s="62"/>
      <c r="F1939" s="60"/>
      <c r="H1939" s="60"/>
      <c r="I1939" s="63"/>
      <c r="J1939" s="64"/>
      <c r="K1939" s="60"/>
    </row>
    <row r="1940">
      <c r="A1940" s="51"/>
      <c r="B1940" s="60"/>
      <c r="C1940" s="61"/>
      <c r="D1940" s="61"/>
      <c r="E1940" s="62"/>
      <c r="F1940" s="60"/>
      <c r="H1940" s="60"/>
      <c r="I1940" s="63"/>
      <c r="J1940" s="64"/>
      <c r="K1940" s="60"/>
    </row>
    <row r="1941">
      <c r="A1941" s="51"/>
      <c r="B1941" s="60"/>
      <c r="C1941" s="61"/>
      <c r="D1941" s="61"/>
      <c r="E1941" s="62"/>
      <c r="F1941" s="60"/>
      <c r="H1941" s="60"/>
      <c r="I1941" s="63"/>
      <c r="J1941" s="64"/>
      <c r="K1941" s="60"/>
    </row>
    <row r="1942">
      <c r="A1942" s="51"/>
      <c r="B1942" s="60"/>
      <c r="C1942" s="61"/>
      <c r="D1942" s="61"/>
      <c r="E1942" s="62"/>
      <c r="F1942" s="60"/>
      <c r="H1942" s="60"/>
      <c r="I1942" s="63"/>
      <c r="J1942" s="64"/>
      <c r="K1942" s="60"/>
    </row>
    <row r="1943">
      <c r="A1943" s="51"/>
      <c r="B1943" s="60"/>
      <c r="C1943" s="61"/>
      <c r="D1943" s="61"/>
      <c r="E1943" s="62"/>
      <c r="F1943" s="60"/>
      <c r="H1943" s="60"/>
      <c r="I1943" s="63"/>
      <c r="J1943" s="64"/>
      <c r="K1943" s="60"/>
    </row>
    <row r="1944">
      <c r="A1944" s="51"/>
      <c r="B1944" s="60"/>
      <c r="C1944" s="61"/>
      <c r="D1944" s="61"/>
      <c r="E1944" s="62"/>
      <c r="F1944" s="60"/>
      <c r="H1944" s="60"/>
      <c r="I1944" s="63"/>
      <c r="J1944" s="64"/>
      <c r="K1944" s="60"/>
    </row>
    <row r="1945">
      <c r="A1945" s="51"/>
      <c r="B1945" s="60"/>
      <c r="C1945" s="61"/>
      <c r="D1945" s="61"/>
      <c r="E1945" s="62"/>
      <c r="F1945" s="60"/>
      <c r="H1945" s="60"/>
      <c r="I1945" s="63"/>
      <c r="J1945" s="64"/>
      <c r="K1945" s="60"/>
    </row>
    <row r="1946">
      <c r="A1946" s="51"/>
      <c r="B1946" s="60"/>
      <c r="C1946" s="61"/>
      <c r="D1946" s="61"/>
      <c r="E1946" s="62"/>
      <c r="F1946" s="60"/>
      <c r="H1946" s="60"/>
      <c r="I1946" s="63"/>
      <c r="J1946" s="64"/>
      <c r="K1946" s="60"/>
    </row>
    <row r="1947">
      <c r="A1947" s="51"/>
      <c r="B1947" s="60"/>
      <c r="C1947" s="61"/>
      <c r="D1947" s="61"/>
      <c r="E1947" s="62"/>
      <c r="F1947" s="60"/>
      <c r="H1947" s="60"/>
      <c r="I1947" s="63"/>
      <c r="J1947" s="64"/>
      <c r="K1947" s="60"/>
    </row>
    <row r="1948">
      <c r="A1948" s="51"/>
      <c r="B1948" s="60"/>
      <c r="C1948" s="61"/>
      <c r="D1948" s="61"/>
      <c r="E1948" s="62"/>
      <c r="F1948" s="60"/>
      <c r="H1948" s="60"/>
      <c r="I1948" s="63"/>
      <c r="J1948" s="64"/>
      <c r="K1948" s="60"/>
    </row>
    <row r="1949">
      <c r="A1949" s="51"/>
      <c r="B1949" s="60"/>
      <c r="C1949" s="61"/>
      <c r="D1949" s="61"/>
      <c r="E1949" s="62"/>
      <c r="F1949" s="60"/>
      <c r="H1949" s="60"/>
      <c r="I1949" s="63"/>
      <c r="J1949" s="64"/>
      <c r="K1949" s="60"/>
    </row>
    <row r="1950">
      <c r="A1950" s="51"/>
      <c r="B1950" s="60"/>
      <c r="C1950" s="61"/>
      <c r="D1950" s="61"/>
      <c r="E1950" s="62"/>
      <c r="F1950" s="60"/>
      <c r="H1950" s="60"/>
      <c r="I1950" s="63"/>
      <c r="J1950" s="64"/>
      <c r="K1950" s="60"/>
    </row>
    <row r="1951">
      <c r="A1951" s="51"/>
      <c r="B1951" s="60"/>
      <c r="C1951" s="61"/>
      <c r="D1951" s="61"/>
      <c r="E1951" s="62"/>
      <c r="F1951" s="60"/>
      <c r="H1951" s="60"/>
      <c r="I1951" s="63"/>
      <c r="J1951" s="64"/>
      <c r="K1951" s="60"/>
    </row>
    <row r="1952">
      <c r="A1952" s="51"/>
      <c r="B1952" s="60"/>
      <c r="C1952" s="61"/>
      <c r="D1952" s="61"/>
      <c r="E1952" s="62"/>
      <c r="F1952" s="60"/>
      <c r="H1952" s="60"/>
      <c r="I1952" s="63"/>
      <c r="J1952" s="64"/>
      <c r="K1952" s="60"/>
    </row>
    <row r="1953">
      <c r="A1953" s="51"/>
      <c r="B1953" s="60"/>
      <c r="C1953" s="61"/>
      <c r="D1953" s="61"/>
      <c r="E1953" s="62"/>
      <c r="F1953" s="60"/>
      <c r="H1953" s="60"/>
      <c r="I1953" s="63"/>
      <c r="J1953" s="64"/>
      <c r="K1953" s="60"/>
    </row>
    <row r="1954">
      <c r="A1954" s="51"/>
      <c r="B1954" s="60"/>
      <c r="C1954" s="61"/>
      <c r="D1954" s="61"/>
      <c r="E1954" s="62"/>
      <c r="F1954" s="60"/>
      <c r="H1954" s="60"/>
      <c r="I1954" s="63"/>
      <c r="J1954" s="64"/>
      <c r="K1954" s="60"/>
    </row>
    <row r="1955">
      <c r="A1955" s="51"/>
      <c r="B1955" s="60"/>
      <c r="C1955" s="61"/>
      <c r="D1955" s="61"/>
      <c r="E1955" s="62"/>
      <c r="F1955" s="60"/>
      <c r="H1955" s="60"/>
      <c r="I1955" s="63"/>
      <c r="J1955" s="64"/>
      <c r="K1955" s="60"/>
    </row>
    <row r="1956">
      <c r="A1956" s="51"/>
      <c r="B1956" s="60"/>
      <c r="C1956" s="61"/>
      <c r="D1956" s="61"/>
      <c r="E1956" s="62"/>
      <c r="F1956" s="60"/>
      <c r="H1956" s="60"/>
      <c r="I1956" s="63"/>
      <c r="J1956" s="64"/>
      <c r="K1956" s="60"/>
    </row>
    <row r="1957">
      <c r="A1957" s="51"/>
      <c r="B1957" s="60"/>
      <c r="C1957" s="61"/>
      <c r="D1957" s="61"/>
      <c r="E1957" s="62"/>
      <c r="F1957" s="60"/>
      <c r="H1957" s="60"/>
      <c r="I1957" s="63"/>
      <c r="J1957" s="64"/>
      <c r="K1957" s="60"/>
    </row>
    <row r="1958">
      <c r="A1958" s="51"/>
      <c r="B1958" s="60"/>
      <c r="C1958" s="61"/>
      <c r="D1958" s="61"/>
      <c r="E1958" s="62"/>
      <c r="F1958" s="60"/>
      <c r="H1958" s="60"/>
      <c r="I1958" s="63"/>
      <c r="J1958" s="64"/>
      <c r="K1958" s="60"/>
    </row>
    <row r="1959">
      <c r="A1959" s="51"/>
      <c r="B1959" s="60"/>
      <c r="C1959" s="61"/>
      <c r="D1959" s="61"/>
      <c r="E1959" s="62"/>
      <c r="F1959" s="60"/>
      <c r="H1959" s="60"/>
      <c r="I1959" s="63"/>
      <c r="J1959" s="64"/>
      <c r="K1959" s="60"/>
    </row>
    <row r="1960">
      <c r="A1960" s="51"/>
      <c r="B1960" s="60"/>
      <c r="C1960" s="61"/>
      <c r="D1960" s="61"/>
      <c r="E1960" s="62"/>
      <c r="F1960" s="60"/>
      <c r="H1960" s="60"/>
      <c r="I1960" s="63"/>
      <c r="J1960" s="64"/>
      <c r="K1960" s="60"/>
    </row>
    <row r="1961">
      <c r="A1961" s="51"/>
      <c r="B1961" s="60"/>
      <c r="C1961" s="61"/>
      <c r="D1961" s="61"/>
      <c r="E1961" s="62"/>
      <c r="F1961" s="60"/>
      <c r="H1961" s="60"/>
      <c r="I1961" s="63"/>
      <c r="J1961" s="64"/>
      <c r="K1961" s="60"/>
    </row>
    <row r="1962">
      <c r="A1962" s="51"/>
      <c r="B1962" s="60"/>
      <c r="C1962" s="61"/>
      <c r="D1962" s="61"/>
      <c r="E1962" s="62"/>
      <c r="F1962" s="60"/>
      <c r="H1962" s="60"/>
      <c r="I1962" s="63"/>
      <c r="J1962" s="64"/>
      <c r="K1962" s="60"/>
    </row>
    <row r="1963">
      <c r="A1963" s="51"/>
      <c r="B1963" s="60"/>
      <c r="C1963" s="61"/>
      <c r="D1963" s="61"/>
      <c r="E1963" s="62"/>
      <c r="F1963" s="60"/>
      <c r="H1963" s="60"/>
      <c r="I1963" s="63"/>
      <c r="J1963" s="64"/>
      <c r="K1963" s="60"/>
    </row>
    <row r="1964">
      <c r="A1964" s="51"/>
      <c r="B1964" s="60"/>
      <c r="C1964" s="61"/>
      <c r="D1964" s="61"/>
      <c r="E1964" s="62"/>
      <c r="F1964" s="60"/>
      <c r="H1964" s="60"/>
      <c r="I1964" s="63"/>
      <c r="J1964" s="64"/>
      <c r="K1964" s="60"/>
    </row>
    <row r="1965">
      <c r="A1965" s="51"/>
      <c r="B1965" s="60"/>
      <c r="C1965" s="61"/>
      <c r="D1965" s="61"/>
      <c r="E1965" s="62"/>
      <c r="F1965" s="60"/>
      <c r="H1965" s="60"/>
      <c r="I1965" s="63"/>
      <c r="J1965" s="64"/>
      <c r="K1965" s="60"/>
    </row>
    <row r="1966">
      <c r="A1966" s="51"/>
      <c r="B1966" s="60"/>
      <c r="C1966" s="61"/>
      <c r="D1966" s="61"/>
      <c r="E1966" s="62"/>
      <c r="F1966" s="60"/>
      <c r="H1966" s="60"/>
      <c r="I1966" s="63"/>
      <c r="J1966" s="64"/>
      <c r="K1966" s="60"/>
    </row>
    <row r="1967">
      <c r="A1967" s="51"/>
      <c r="B1967" s="60"/>
      <c r="C1967" s="61"/>
      <c r="D1967" s="61"/>
      <c r="E1967" s="62"/>
      <c r="F1967" s="60"/>
      <c r="H1967" s="60"/>
      <c r="I1967" s="63"/>
      <c r="J1967" s="64"/>
      <c r="K1967" s="60"/>
    </row>
    <row r="1968">
      <c r="A1968" s="51"/>
      <c r="B1968" s="60"/>
      <c r="C1968" s="61"/>
      <c r="D1968" s="61"/>
      <c r="E1968" s="62"/>
      <c r="F1968" s="60"/>
      <c r="H1968" s="60"/>
      <c r="I1968" s="63"/>
      <c r="J1968" s="64"/>
      <c r="K1968" s="60"/>
    </row>
    <row r="1969">
      <c r="A1969" s="51"/>
      <c r="B1969" s="60"/>
      <c r="C1969" s="61"/>
      <c r="D1969" s="61"/>
      <c r="E1969" s="62"/>
      <c r="F1969" s="60"/>
      <c r="H1969" s="60"/>
      <c r="I1969" s="63"/>
      <c r="J1969" s="64"/>
      <c r="K1969" s="60"/>
    </row>
    <row r="1970">
      <c r="A1970" s="51"/>
      <c r="B1970" s="60"/>
      <c r="C1970" s="61"/>
      <c r="D1970" s="61"/>
      <c r="E1970" s="62"/>
      <c r="F1970" s="60"/>
      <c r="H1970" s="60"/>
      <c r="I1970" s="63"/>
      <c r="J1970" s="64"/>
      <c r="K1970" s="60"/>
    </row>
    <row r="1971">
      <c r="A1971" s="51"/>
      <c r="B1971" s="60"/>
      <c r="C1971" s="61"/>
      <c r="D1971" s="61"/>
      <c r="E1971" s="62"/>
      <c r="F1971" s="60"/>
      <c r="H1971" s="60"/>
      <c r="I1971" s="63"/>
      <c r="J1971" s="64"/>
      <c r="K1971" s="60"/>
    </row>
    <row r="1972">
      <c r="A1972" s="51"/>
      <c r="B1972" s="60"/>
      <c r="C1972" s="61"/>
      <c r="D1972" s="61"/>
      <c r="E1972" s="62"/>
      <c r="F1972" s="60"/>
      <c r="H1972" s="60"/>
      <c r="I1972" s="63"/>
      <c r="J1972" s="64"/>
      <c r="K1972" s="60"/>
    </row>
    <row r="1973">
      <c r="A1973" s="51"/>
      <c r="B1973" s="60"/>
      <c r="C1973" s="61"/>
      <c r="D1973" s="61"/>
      <c r="E1973" s="62"/>
      <c r="F1973" s="60"/>
      <c r="H1973" s="60"/>
      <c r="I1973" s="63"/>
      <c r="J1973" s="64"/>
      <c r="K1973" s="60"/>
    </row>
    <row r="1974">
      <c r="A1974" s="51"/>
      <c r="B1974" s="60"/>
      <c r="C1974" s="61"/>
      <c r="D1974" s="61"/>
      <c r="E1974" s="62"/>
      <c r="F1974" s="60"/>
      <c r="H1974" s="60"/>
      <c r="I1974" s="63"/>
      <c r="J1974" s="64"/>
      <c r="K1974" s="60"/>
    </row>
    <row r="1975">
      <c r="A1975" s="51"/>
      <c r="B1975" s="60"/>
      <c r="C1975" s="61"/>
      <c r="D1975" s="61"/>
      <c r="E1975" s="62"/>
      <c r="F1975" s="60"/>
      <c r="H1975" s="60"/>
      <c r="I1975" s="63"/>
      <c r="J1975" s="64"/>
      <c r="K1975" s="60"/>
    </row>
    <row r="1976">
      <c r="A1976" s="51"/>
      <c r="B1976" s="60"/>
      <c r="C1976" s="61"/>
      <c r="D1976" s="61"/>
      <c r="E1976" s="62"/>
      <c r="F1976" s="60"/>
      <c r="H1976" s="60"/>
      <c r="I1976" s="63"/>
      <c r="J1976" s="64"/>
      <c r="K1976" s="60"/>
    </row>
    <row r="1977">
      <c r="A1977" s="51"/>
      <c r="B1977" s="60"/>
      <c r="C1977" s="61"/>
      <c r="D1977" s="61"/>
      <c r="E1977" s="62"/>
      <c r="F1977" s="60"/>
      <c r="H1977" s="60"/>
      <c r="I1977" s="63"/>
      <c r="J1977" s="64"/>
      <c r="K1977" s="60"/>
    </row>
    <row r="1978">
      <c r="A1978" s="51"/>
      <c r="B1978" s="60"/>
      <c r="C1978" s="61"/>
      <c r="D1978" s="61"/>
      <c r="E1978" s="62"/>
      <c r="F1978" s="60"/>
      <c r="H1978" s="60"/>
      <c r="I1978" s="63"/>
      <c r="J1978" s="64"/>
      <c r="K1978" s="60"/>
    </row>
    <row r="1979">
      <c r="A1979" s="51"/>
      <c r="B1979" s="60"/>
      <c r="C1979" s="61"/>
      <c r="D1979" s="61"/>
      <c r="E1979" s="62"/>
      <c r="F1979" s="60"/>
      <c r="H1979" s="60"/>
      <c r="I1979" s="63"/>
      <c r="J1979" s="64"/>
      <c r="K1979" s="60"/>
    </row>
    <row r="1980">
      <c r="A1980" s="51"/>
      <c r="B1980" s="60"/>
      <c r="C1980" s="61"/>
      <c r="D1980" s="61"/>
      <c r="E1980" s="62"/>
      <c r="F1980" s="60"/>
      <c r="H1980" s="60"/>
      <c r="I1980" s="63"/>
      <c r="J1980" s="64"/>
      <c r="K1980" s="60"/>
    </row>
    <row r="1981">
      <c r="A1981" s="51"/>
      <c r="B1981" s="60"/>
      <c r="C1981" s="61"/>
      <c r="D1981" s="61"/>
      <c r="E1981" s="62"/>
      <c r="F1981" s="60"/>
      <c r="H1981" s="60"/>
      <c r="I1981" s="63"/>
      <c r="J1981" s="64"/>
      <c r="K1981" s="60"/>
    </row>
    <row r="1982">
      <c r="A1982" s="51"/>
      <c r="B1982" s="60"/>
      <c r="C1982" s="61"/>
      <c r="D1982" s="61"/>
      <c r="E1982" s="62"/>
      <c r="F1982" s="60"/>
      <c r="H1982" s="60"/>
      <c r="I1982" s="63"/>
      <c r="J1982" s="64"/>
      <c r="K1982" s="60"/>
    </row>
    <row r="1983">
      <c r="A1983" s="51"/>
      <c r="B1983" s="60"/>
      <c r="C1983" s="61"/>
      <c r="D1983" s="61"/>
      <c r="E1983" s="62"/>
      <c r="F1983" s="60"/>
      <c r="H1983" s="60"/>
      <c r="I1983" s="63"/>
      <c r="J1983" s="64"/>
      <c r="K1983" s="60"/>
    </row>
    <row r="1984">
      <c r="A1984" s="51"/>
      <c r="B1984" s="60"/>
      <c r="C1984" s="61"/>
      <c r="D1984" s="61"/>
      <c r="E1984" s="62"/>
      <c r="F1984" s="60"/>
      <c r="H1984" s="60"/>
      <c r="I1984" s="63"/>
      <c r="J1984" s="64"/>
      <c r="K1984" s="60"/>
    </row>
    <row r="1985">
      <c r="A1985" s="51"/>
      <c r="B1985" s="60"/>
      <c r="C1985" s="61"/>
      <c r="D1985" s="61"/>
      <c r="E1985" s="62"/>
      <c r="F1985" s="60"/>
      <c r="H1985" s="60"/>
      <c r="I1985" s="63"/>
      <c r="J1985" s="64"/>
      <c r="K1985" s="60"/>
    </row>
    <row r="1986">
      <c r="A1986" s="51"/>
      <c r="B1986" s="60"/>
      <c r="C1986" s="61"/>
      <c r="D1986" s="61"/>
      <c r="E1986" s="62"/>
      <c r="F1986" s="60"/>
      <c r="H1986" s="60"/>
      <c r="I1986" s="63"/>
      <c r="J1986" s="64"/>
      <c r="K1986" s="60"/>
    </row>
    <row r="1987">
      <c r="A1987" s="51"/>
      <c r="B1987" s="60"/>
      <c r="C1987" s="61"/>
      <c r="D1987" s="61"/>
      <c r="E1987" s="62"/>
      <c r="F1987" s="60"/>
      <c r="H1987" s="60"/>
      <c r="I1987" s="63"/>
      <c r="J1987" s="64"/>
      <c r="K1987" s="60"/>
    </row>
    <row r="1988">
      <c r="A1988" s="51"/>
      <c r="B1988" s="60"/>
      <c r="C1988" s="61"/>
      <c r="D1988" s="61"/>
      <c r="E1988" s="62"/>
      <c r="F1988" s="60"/>
      <c r="H1988" s="60"/>
      <c r="I1988" s="63"/>
      <c r="J1988" s="64"/>
      <c r="K1988" s="60"/>
    </row>
    <row r="1989">
      <c r="A1989" s="51"/>
      <c r="B1989" s="60"/>
      <c r="C1989" s="61"/>
      <c r="D1989" s="61"/>
      <c r="E1989" s="62"/>
      <c r="F1989" s="60"/>
      <c r="H1989" s="60"/>
      <c r="I1989" s="63"/>
      <c r="J1989" s="64"/>
      <c r="K1989" s="60"/>
    </row>
    <row r="1990">
      <c r="A1990" s="51"/>
      <c r="B1990" s="60"/>
      <c r="C1990" s="61"/>
      <c r="D1990" s="61"/>
      <c r="E1990" s="62"/>
      <c r="F1990" s="60"/>
      <c r="H1990" s="60"/>
      <c r="I1990" s="63"/>
      <c r="J1990" s="64"/>
      <c r="K1990" s="60"/>
    </row>
    <row r="1991">
      <c r="A1991" s="51"/>
      <c r="B1991" s="60"/>
      <c r="C1991" s="61"/>
      <c r="D1991" s="61"/>
      <c r="E1991" s="62"/>
      <c r="F1991" s="60"/>
      <c r="H1991" s="60"/>
      <c r="I1991" s="63"/>
      <c r="J1991" s="64"/>
      <c r="K1991" s="60"/>
    </row>
    <row r="1992">
      <c r="A1992" s="51"/>
      <c r="B1992" s="60"/>
      <c r="C1992" s="61"/>
      <c r="D1992" s="61"/>
      <c r="E1992" s="62"/>
      <c r="F1992" s="60"/>
      <c r="H1992" s="60"/>
      <c r="I1992" s="63"/>
      <c r="J1992" s="64"/>
      <c r="K1992" s="60"/>
    </row>
    <row r="1993">
      <c r="A1993" s="51"/>
      <c r="B1993" s="60"/>
      <c r="C1993" s="61"/>
      <c r="D1993" s="61"/>
      <c r="E1993" s="62"/>
      <c r="F1993" s="60"/>
      <c r="H1993" s="60"/>
      <c r="I1993" s="63"/>
      <c r="J1993" s="64"/>
      <c r="K1993" s="60"/>
    </row>
    <row r="1994">
      <c r="A1994" s="51"/>
      <c r="B1994" s="60"/>
      <c r="C1994" s="61"/>
      <c r="D1994" s="61"/>
      <c r="E1994" s="62"/>
      <c r="F1994" s="60"/>
      <c r="H1994" s="60"/>
      <c r="I1994" s="63"/>
      <c r="J1994" s="64"/>
      <c r="K1994" s="60"/>
    </row>
    <row r="1995">
      <c r="A1995" s="51"/>
      <c r="B1995" s="60"/>
      <c r="C1995" s="61"/>
      <c r="D1995" s="61"/>
      <c r="E1995" s="62"/>
      <c r="F1995" s="60"/>
      <c r="H1995" s="60"/>
      <c r="I1995" s="63"/>
      <c r="J1995" s="64"/>
      <c r="K1995" s="60"/>
    </row>
    <row r="1996">
      <c r="A1996" s="51"/>
      <c r="B1996" s="60"/>
      <c r="C1996" s="61"/>
      <c r="D1996" s="61"/>
      <c r="E1996" s="62"/>
      <c r="F1996" s="60"/>
      <c r="H1996" s="60"/>
      <c r="I1996" s="63"/>
      <c r="J1996" s="64"/>
      <c r="K1996" s="60"/>
    </row>
    <row r="1997">
      <c r="A1997" s="51"/>
      <c r="B1997" s="60"/>
      <c r="C1997" s="61"/>
      <c r="D1997" s="61"/>
      <c r="E1997" s="62"/>
      <c r="F1997" s="60"/>
      <c r="H1997" s="60"/>
      <c r="I1997" s="63"/>
      <c r="J1997" s="64"/>
      <c r="K1997" s="60"/>
    </row>
    <row r="1998">
      <c r="A1998" s="51"/>
      <c r="B1998" s="60"/>
      <c r="C1998" s="61"/>
      <c r="D1998" s="61"/>
      <c r="E1998" s="62"/>
      <c r="F1998" s="60"/>
      <c r="H1998" s="60"/>
      <c r="I1998" s="63"/>
      <c r="J1998" s="64"/>
      <c r="K1998" s="60"/>
    </row>
    <row r="1999">
      <c r="A1999" s="51"/>
      <c r="B1999" s="60"/>
      <c r="C1999" s="61"/>
      <c r="D1999" s="61"/>
      <c r="E1999" s="62"/>
      <c r="F1999" s="60"/>
      <c r="H1999" s="60"/>
      <c r="I1999" s="63"/>
      <c r="J1999" s="64"/>
      <c r="K1999" s="60"/>
    </row>
    <row r="2000">
      <c r="A2000" s="51"/>
      <c r="B2000" s="60"/>
      <c r="C2000" s="61"/>
      <c r="D2000" s="61"/>
      <c r="E2000" s="62"/>
      <c r="F2000" s="60"/>
      <c r="H2000" s="60"/>
      <c r="I2000" s="63"/>
      <c r="J2000" s="64"/>
      <c r="K2000" s="60"/>
    </row>
    <row r="2001">
      <c r="A2001" s="51"/>
      <c r="B2001" s="60"/>
      <c r="C2001" s="61"/>
      <c r="D2001" s="61"/>
      <c r="E2001" s="62"/>
      <c r="F2001" s="60"/>
      <c r="H2001" s="60"/>
      <c r="I2001" s="63"/>
      <c r="J2001" s="64"/>
      <c r="K2001" s="60"/>
    </row>
    <row r="2002">
      <c r="A2002" s="51"/>
      <c r="B2002" s="60"/>
      <c r="C2002" s="61"/>
      <c r="D2002" s="61"/>
      <c r="E2002" s="62"/>
      <c r="F2002" s="60"/>
      <c r="H2002" s="60"/>
      <c r="I2002" s="63"/>
      <c r="J2002" s="64"/>
      <c r="K2002" s="60"/>
    </row>
    <row r="2003">
      <c r="A2003" s="51"/>
      <c r="B2003" s="60"/>
      <c r="C2003" s="61"/>
      <c r="D2003" s="61"/>
      <c r="E2003" s="62"/>
      <c r="F2003" s="60"/>
      <c r="H2003" s="60"/>
      <c r="I2003" s="63"/>
      <c r="J2003" s="64"/>
      <c r="K2003" s="60"/>
    </row>
    <row r="2004">
      <c r="A2004" s="51"/>
      <c r="B2004" s="60"/>
      <c r="C2004" s="61"/>
      <c r="D2004" s="61"/>
      <c r="E2004" s="62"/>
      <c r="F2004" s="60"/>
      <c r="H2004" s="60"/>
      <c r="I2004" s="63"/>
      <c r="J2004" s="64"/>
      <c r="K2004" s="60"/>
    </row>
    <row r="2005">
      <c r="A2005" s="51"/>
      <c r="B2005" s="60"/>
      <c r="C2005" s="61"/>
      <c r="D2005" s="61"/>
      <c r="E2005" s="62"/>
      <c r="F2005" s="60"/>
      <c r="H2005" s="60"/>
      <c r="I2005" s="63"/>
      <c r="J2005" s="64"/>
      <c r="K2005" s="60"/>
    </row>
    <row r="2006">
      <c r="A2006" s="51"/>
      <c r="B2006" s="60"/>
      <c r="C2006" s="61"/>
      <c r="D2006" s="61"/>
      <c r="E2006" s="62"/>
      <c r="F2006" s="60"/>
      <c r="H2006" s="60"/>
      <c r="I2006" s="63"/>
      <c r="J2006" s="64"/>
      <c r="K2006" s="60"/>
    </row>
    <row r="2007">
      <c r="A2007" s="51"/>
      <c r="B2007" s="60"/>
      <c r="C2007" s="61"/>
      <c r="D2007" s="61"/>
      <c r="E2007" s="62"/>
      <c r="F2007" s="60"/>
      <c r="H2007" s="60"/>
      <c r="I2007" s="63"/>
      <c r="J2007" s="64"/>
      <c r="K2007" s="60"/>
    </row>
    <row r="2008">
      <c r="A2008" s="51"/>
      <c r="B2008" s="60"/>
      <c r="C2008" s="61"/>
      <c r="D2008" s="61"/>
      <c r="E2008" s="62"/>
      <c r="F2008" s="60"/>
      <c r="H2008" s="60"/>
      <c r="I2008" s="63"/>
      <c r="J2008" s="64"/>
      <c r="K2008" s="60"/>
    </row>
    <row r="2009">
      <c r="A2009" s="51"/>
      <c r="B2009" s="60"/>
      <c r="C2009" s="61"/>
      <c r="D2009" s="61"/>
      <c r="E2009" s="62"/>
      <c r="F2009" s="60"/>
      <c r="H2009" s="60"/>
      <c r="I2009" s="63"/>
      <c r="J2009" s="64"/>
      <c r="K2009" s="60"/>
    </row>
    <row r="2010">
      <c r="A2010" s="51"/>
      <c r="B2010" s="60"/>
      <c r="C2010" s="61"/>
      <c r="D2010" s="61"/>
      <c r="E2010" s="62"/>
      <c r="F2010" s="60"/>
      <c r="H2010" s="60"/>
      <c r="I2010" s="63"/>
      <c r="J2010" s="64"/>
      <c r="K2010" s="60"/>
    </row>
    <row r="2011">
      <c r="A2011" s="51"/>
      <c r="B2011" s="60"/>
      <c r="C2011" s="61"/>
      <c r="D2011" s="61"/>
      <c r="E2011" s="62"/>
      <c r="F2011" s="60"/>
      <c r="H2011" s="60"/>
      <c r="I2011" s="63"/>
      <c r="J2011" s="64"/>
      <c r="K2011" s="60"/>
    </row>
    <row r="2012">
      <c r="A2012" s="51"/>
      <c r="B2012" s="60"/>
      <c r="C2012" s="61"/>
      <c r="D2012" s="61"/>
      <c r="E2012" s="62"/>
      <c r="F2012" s="60"/>
      <c r="H2012" s="60"/>
      <c r="I2012" s="63"/>
      <c r="J2012" s="64"/>
      <c r="K2012" s="60"/>
    </row>
    <row r="2013">
      <c r="A2013" s="51"/>
      <c r="B2013" s="60"/>
      <c r="C2013" s="61"/>
      <c r="D2013" s="61"/>
      <c r="E2013" s="62"/>
      <c r="F2013" s="60"/>
      <c r="H2013" s="60"/>
      <c r="I2013" s="63"/>
      <c r="J2013" s="64"/>
      <c r="K2013" s="60"/>
    </row>
    <row r="2014">
      <c r="A2014" s="51"/>
      <c r="B2014" s="60"/>
      <c r="C2014" s="61"/>
      <c r="D2014" s="61"/>
      <c r="E2014" s="62"/>
      <c r="F2014" s="60"/>
      <c r="H2014" s="60"/>
      <c r="I2014" s="63"/>
      <c r="J2014" s="64"/>
      <c r="K2014" s="60"/>
    </row>
    <row r="2015">
      <c r="A2015" s="51"/>
      <c r="B2015" s="60"/>
      <c r="C2015" s="61"/>
      <c r="D2015" s="61"/>
      <c r="E2015" s="62"/>
      <c r="F2015" s="60"/>
      <c r="H2015" s="60"/>
      <c r="I2015" s="63"/>
      <c r="J2015" s="64"/>
      <c r="K2015" s="60"/>
    </row>
    <row r="2016">
      <c r="A2016" s="51"/>
      <c r="B2016" s="60"/>
      <c r="C2016" s="61"/>
      <c r="D2016" s="61"/>
      <c r="E2016" s="62"/>
      <c r="F2016" s="60"/>
      <c r="H2016" s="60"/>
      <c r="I2016" s="63"/>
      <c r="J2016" s="64"/>
      <c r="K2016" s="60"/>
    </row>
    <row r="2017">
      <c r="A2017" s="51"/>
      <c r="B2017" s="60"/>
      <c r="C2017" s="61"/>
      <c r="D2017" s="61"/>
      <c r="E2017" s="62"/>
      <c r="F2017" s="60"/>
      <c r="H2017" s="60"/>
      <c r="I2017" s="63"/>
      <c r="J2017" s="64"/>
      <c r="K2017" s="60"/>
    </row>
    <row r="2018">
      <c r="A2018" s="51"/>
      <c r="B2018" s="60"/>
      <c r="C2018" s="61"/>
      <c r="D2018" s="61"/>
      <c r="E2018" s="62"/>
      <c r="F2018" s="60"/>
      <c r="H2018" s="60"/>
      <c r="I2018" s="63"/>
      <c r="J2018" s="64"/>
      <c r="K2018" s="60"/>
    </row>
    <row r="2019">
      <c r="A2019" s="51"/>
      <c r="B2019" s="60"/>
      <c r="C2019" s="61"/>
      <c r="D2019" s="61"/>
      <c r="E2019" s="62"/>
      <c r="F2019" s="60"/>
      <c r="H2019" s="60"/>
      <c r="I2019" s="63"/>
      <c r="J2019" s="64"/>
      <c r="K2019" s="60"/>
    </row>
    <row r="2020">
      <c r="A2020" s="51"/>
      <c r="B2020" s="60"/>
      <c r="C2020" s="61"/>
      <c r="D2020" s="61"/>
      <c r="E2020" s="62"/>
      <c r="F2020" s="60"/>
      <c r="H2020" s="60"/>
      <c r="I2020" s="63"/>
      <c r="J2020" s="64"/>
      <c r="K2020" s="60"/>
    </row>
    <row r="2021">
      <c r="A2021" s="51"/>
      <c r="B2021" s="60"/>
      <c r="C2021" s="61"/>
      <c r="D2021" s="61"/>
      <c r="E2021" s="62"/>
      <c r="F2021" s="60"/>
      <c r="H2021" s="60"/>
      <c r="I2021" s="63"/>
      <c r="J2021" s="64"/>
      <c r="K2021" s="60"/>
    </row>
    <row r="2022">
      <c r="A2022" s="51"/>
      <c r="B2022" s="60"/>
      <c r="C2022" s="61"/>
      <c r="D2022" s="61"/>
      <c r="E2022" s="62"/>
      <c r="F2022" s="60"/>
      <c r="H2022" s="60"/>
      <c r="I2022" s="63"/>
      <c r="J2022" s="64"/>
      <c r="K2022" s="60"/>
    </row>
    <row r="2023">
      <c r="A2023" s="51"/>
      <c r="B2023" s="60"/>
      <c r="C2023" s="61"/>
      <c r="D2023" s="61"/>
      <c r="E2023" s="62"/>
      <c r="F2023" s="60"/>
      <c r="H2023" s="60"/>
      <c r="I2023" s="63"/>
      <c r="J2023" s="64"/>
      <c r="K2023" s="60"/>
    </row>
    <row r="2024">
      <c r="A2024" s="51"/>
      <c r="B2024" s="60"/>
      <c r="C2024" s="61"/>
      <c r="D2024" s="61"/>
      <c r="E2024" s="62"/>
      <c r="F2024" s="60"/>
      <c r="H2024" s="60"/>
      <c r="I2024" s="63"/>
      <c r="J2024" s="64"/>
      <c r="K2024" s="60"/>
    </row>
    <row r="2025">
      <c r="A2025" s="51"/>
      <c r="B2025" s="60"/>
      <c r="C2025" s="61"/>
      <c r="D2025" s="61"/>
      <c r="E2025" s="62"/>
      <c r="F2025" s="60"/>
      <c r="H2025" s="60"/>
      <c r="I2025" s="63"/>
      <c r="J2025" s="64"/>
      <c r="K2025" s="60"/>
    </row>
    <row r="2026">
      <c r="A2026" s="51"/>
      <c r="B2026" s="60"/>
      <c r="C2026" s="61"/>
      <c r="D2026" s="61"/>
      <c r="E2026" s="62"/>
      <c r="F2026" s="60"/>
      <c r="H2026" s="60"/>
      <c r="I2026" s="63"/>
      <c r="J2026" s="64"/>
      <c r="K2026" s="60"/>
    </row>
    <row r="2027">
      <c r="A2027" s="51"/>
      <c r="B2027" s="60"/>
      <c r="C2027" s="61"/>
      <c r="D2027" s="61"/>
      <c r="E2027" s="62"/>
      <c r="F2027" s="60"/>
      <c r="H2027" s="60"/>
      <c r="I2027" s="63"/>
      <c r="J2027" s="64"/>
      <c r="K2027" s="60"/>
    </row>
    <row r="2028">
      <c r="A2028" s="51"/>
      <c r="B2028" s="60"/>
      <c r="C2028" s="61"/>
      <c r="D2028" s="61"/>
      <c r="E2028" s="62"/>
      <c r="F2028" s="60"/>
      <c r="H2028" s="60"/>
      <c r="I2028" s="63"/>
      <c r="J2028" s="64"/>
      <c r="K2028" s="60"/>
    </row>
    <row r="2029">
      <c r="A2029" s="51"/>
      <c r="B2029" s="60"/>
      <c r="C2029" s="61"/>
      <c r="D2029" s="61"/>
      <c r="E2029" s="62"/>
      <c r="F2029" s="60"/>
      <c r="H2029" s="60"/>
      <c r="I2029" s="63"/>
      <c r="J2029" s="64"/>
      <c r="K2029" s="60"/>
    </row>
    <row r="2030">
      <c r="A2030" s="51"/>
      <c r="B2030" s="60"/>
      <c r="C2030" s="61"/>
      <c r="D2030" s="61"/>
      <c r="E2030" s="62"/>
      <c r="F2030" s="60"/>
      <c r="H2030" s="60"/>
      <c r="I2030" s="63"/>
      <c r="J2030" s="64"/>
      <c r="K2030" s="60"/>
    </row>
    <row r="2031">
      <c r="A2031" s="51"/>
      <c r="B2031" s="60"/>
      <c r="C2031" s="61"/>
      <c r="D2031" s="61"/>
      <c r="E2031" s="62"/>
      <c r="F2031" s="60"/>
      <c r="H2031" s="60"/>
      <c r="I2031" s="63"/>
      <c r="J2031" s="64"/>
      <c r="K2031" s="60"/>
    </row>
    <row r="2032">
      <c r="A2032" s="51"/>
      <c r="B2032" s="60"/>
      <c r="C2032" s="61"/>
      <c r="D2032" s="61"/>
      <c r="E2032" s="62"/>
      <c r="F2032" s="60"/>
      <c r="H2032" s="60"/>
      <c r="I2032" s="63"/>
      <c r="J2032" s="64"/>
      <c r="K2032" s="60"/>
    </row>
    <row r="2033">
      <c r="A2033" s="51"/>
      <c r="B2033" s="60"/>
      <c r="C2033" s="61"/>
      <c r="D2033" s="61"/>
      <c r="E2033" s="62"/>
      <c r="F2033" s="60"/>
      <c r="H2033" s="60"/>
      <c r="I2033" s="63"/>
      <c r="J2033" s="64"/>
      <c r="K2033" s="60"/>
    </row>
    <row r="2034">
      <c r="A2034" s="51"/>
      <c r="B2034" s="60"/>
      <c r="C2034" s="61"/>
      <c r="D2034" s="61"/>
      <c r="E2034" s="62"/>
      <c r="F2034" s="60"/>
      <c r="H2034" s="60"/>
      <c r="I2034" s="63"/>
      <c r="J2034" s="64"/>
      <c r="K2034" s="60"/>
    </row>
    <row r="2035">
      <c r="A2035" s="51"/>
      <c r="B2035" s="60"/>
      <c r="C2035" s="61"/>
      <c r="D2035" s="61"/>
      <c r="E2035" s="62"/>
      <c r="F2035" s="60"/>
      <c r="H2035" s="60"/>
      <c r="I2035" s="63"/>
      <c r="J2035" s="64"/>
      <c r="K2035" s="60"/>
    </row>
    <row r="2036">
      <c r="A2036" s="51"/>
      <c r="B2036" s="60"/>
      <c r="C2036" s="61"/>
      <c r="D2036" s="61"/>
      <c r="E2036" s="62"/>
      <c r="F2036" s="60"/>
      <c r="H2036" s="60"/>
      <c r="I2036" s="63"/>
      <c r="J2036" s="64"/>
      <c r="K2036" s="60"/>
    </row>
    <row r="2037">
      <c r="A2037" s="51"/>
      <c r="B2037" s="60"/>
      <c r="C2037" s="61"/>
      <c r="D2037" s="61"/>
      <c r="E2037" s="62"/>
      <c r="F2037" s="60"/>
      <c r="H2037" s="60"/>
      <c r="I2037" s="63"/>
      <c r="J2037" s="64"/>
      <c r="K2037" s="60"/>
    </row>
    <row r="2038">
      <c r="A2038" s="51"/>
      <c r="B2038" s="60"/>
      <c r="C2038" s="61"/>
      <c r="D2038" s="61"/>
      <c r="E2038" s="62"/>
      <c r="F2038" s="60"/>
      <c r="H2038" s="60"/>
      <c r="I2038" s="63"/>
      <c r="J2038" s="64"/>
      <c r="K2038" s="60"/>
    </row>
    <row r="2039">
      <c r="A2039" s="51"/>
      <c r="B2039" s="60"/>
      <c r="C2039" s="61"/>
      <c r="D2039" s="61"/>
      <c r="E2039" s="62"/>
      <c r="F2039" s="60"/>
      <c r="H2039" s="60"/>
      <c r="I2039" s="63"/>
      <c r="J2039" s="64"/>
      <c r="K2039" s="60"/>
    </row>
    <row r="2040">
      <c r="A2040" s="51"/>
      <c r="B2040" s="60"/>
      <c r="C2040" s="61"/>
      <c r="D2040" s="61"/>
      <c r="E2040" s="62"/>
      <c r="F2040" s="60"/>
      <c r="H2040" s="60"/>
      <c r="I2040" s="63"/>
      <c r="J2040" s="64"/>
      <c r="K2040" s="60"/>
    </row>
    <row r="2041">
      <c r="A2041" s="51"/>
      <c r="B2041" s="60"/>
      <c r="C2041" s="61"/>
      <c r="D2041" s="61"/>
      <c r="E2041" s="62"/>
      <c r="F2041" s="60"/>
      <c r="H2041" s="60"/>
      <c r="I2041" s="63"/>
      <c r="J2041" s="64"/>
      <c r="K2041" s="60"/>
    </row>
    <row r="2042">
      <c r="A2042" s="51"/>
      <c r="B2042" s="60"/>
      <c r="C2042" s="61"/>
      <c r="D2042" s="61"/>
      <c r="E2042" s="62"/>
      <c r="F2042" s="60"/>
      <c r="H2042" s="60"/>
      <c r="I2042" s="63"/>
      <c r="J2042" s="64"/>
      <c r="K2042" s="60"/>
    </row>
    <row r="2043">
      <c r="A2043" s="51"/>
      <c r="B2043" s="60"/>
      <c r="C2043" s="61"/>
      <c r="D2043" s="61"/>
      <c r="E2043" s="62"/>
      <c r="F2043" s="60"/>
      <c r="H2043" s="60"/>
      <c r="I2043" s="63"/>
      <c r="J2043" s="64"/>
      <c r="K2043" s="60"/>
    </row>
    <row r="2044">
      <c r="A2044" s="51"/>
      <c r="B2044" s="60"/>
      <c r="C2044" s="61"/>
      <c r="D2044" s="61"/>
      <c r="E2044" s="62"/>
      <c r="F2044" s="60"/>
      <c r="H2044" s="60"/>
      <c r="I2044" s="63"/>
      <c r="J2044" s="64"/>
      <c r="K2044" s="60"/>
    </row>
    <row r="2045">
      <c r="A2045" s="51"/>
      <c r="B2045" s="60"/>
      <c r="C2045" s="61"/>
      <c r="D2045" s="61"/>
      <c r="E2045" s="62"/>
      <c r="F2045" s="60"/>
      <c r="H2045" s="60"/>
      <c r="I2045" s="63"/>
      <c r="J2045" s="64"/>
      <c r="K2045" s="60"/>
    </row>
    <row r="2046">
      <c r="A2046" s="51"/>
      <c r="B2046" s="60"/>
      <c r="C2046" s="61"/>
      <c r="D2046" s="61"/>
      <c r="E2046" s="62"/>
      <c r="F2046" s="60"/>
      <c r="H2046" s="60"/>
      <c r="I2046" s="63"/>
      <c r="J2046" s="64"/>
      <c r="K2046" s="60"/>
    </row>
    <row r="2047">
      <c r="A2047" s="51"/>
      <c r="B2047" s="60"/>
      <c r="C2047" s="61"/>
      <c r="D2047" s="61"/>
      <c r="E2047" s="62"/>
      <c r="F2047" s="60"/>
      <c r="H2047" s="60"/>
      <c r="I2047" s="63"/>
      <c r="J2047" s="64"/>
      <c r="K2047" s="60"/>
    </row>
    <row r="2048">
      <c r="A2048" s="51"/>
      <c r="B2048" s="60"/>
      <c r="C2048" s="61"/>
      <c r="D2048" s="61"/>
      <c r="E2048" s="62"/>
      <c r="F2048" s="60"/>
      <c r="H2048" s="60"/>
      <c r="I2048" s="63"/>
      <c r="J2048" s="64"/>
      <c r="K2048" s="60"/>
    </row>
    <row r="2049">
      <c r="A2049" s="51"/>
      <c r="B2049" s="60"/>
      <c r="C2049" s="61"/>
      <c r="D2049" s="61"/>
      <c r="E2049" s="62"/>
      <c r="F2049" s="60"/>
      <c r="H2049" s="60"/>
      <c r="I2049" s="63"/>
      <c r="J2049" s="64"/>
      <c r="K2049" s="60"/>
    </row>
    <row r="2050">
      <c r="A2050" s="51"/>
      <c r="B2050" s="60"/>
      <c r="C2050" s="61"/>
      <c r="D2050" s="61"/>
      <c r="E2050" s="62"/>
      <c r="F2050" s="60"/>
      <c r="H2050" s="60"/>
      <c r="I2050" s="63"/>
      <c r="J2050" s="64"/>
      <c r="K2050" s="60"/>
    </row>
    <row r="2051">
      <c r="A2051" s="51"/>
      <c r="B2051" s="60"/>
      <c r="C2051" s="61"/>
      <c r="D2051" s="61"/>
      <c r="E2051" s="62"/>
      <c r="F2051" s="60"/>
      <c r="H2051" s="60"/>
      <c r="I2051" s="63"/>
      <c r="J2051" s="64"/>
      <c r="K2051" s="60"/>
    </row>
    <row r="2052">
      <c r="A2052" s="51"/>
      <c r="B2052" s="60"/>
      <c r="C2052" s="61"/>
      <c r="D2052" s="61"/>
      <c r="E2052" s="62"/>
      <c r="F2052" s="60"/>
      <c r="H2052" s="60"/>
      <c r="I2052" s="63"/>
      <c r="J2052" s="64"/>
      <c r="K2052" s="60"/>
    </row>
    <row r="2053">
      <c r="A2053" s="51"/>
      <c r="B2053" s="60"/>
      <c r="C2053" s="61"/>
      <c r="D2053" s="61"/>
      <c r="E2053" s="62"/>
      <c r="F2053" s="60"/>
      <c r="H2053" s="60"/>
      <c r="I2053" s="63"/>
      <c r="J2053" s="64"/>
      <c r="K2053" s="60"/>
    </row>
    <row r="2054">
      <c r="A2054" s="51"/>
      <c r="B2054" s="60"/>
      <c r="C2054" s="61"/>
      <c r="D2054" s="61"/>
      <c r="E2054" s="62"/>
      <c r="F2054" s="60"/>
      <c r="H2054" s="60"/>
      <c r="I2054" s="63"/>
      <c r="J2054" s="64"/>
      <c r="K2054" s="60"/>
    </row>
    <row r="2055">
      <c r="A2055" s="51"/>
      <c r="B2055" s="60"/>
      <c r="C2055" s="61"/>
      <c r="D2055" s="61"/>
      <c r="E2055" s="62"/>
      <c r="F2055" s="60"/>
      <c r="H2055" s="60"/>
      <c r="I2055" s="63"/>
      <c r="J2055" s="64"/>
      <c r="K2055" s="60"/>
    </row>
    <row r="2056">
      <c r="A2056" s="51"/>
      <c r="B2056" s="60"/>
      <c r="C2056" s="61"/>
      <c r="D2056" s="61"/>
      <c r="E2056" s="62"/>
      <c r="F2056" s="60"/>
      <c r="H2056" s="60"/>
      <c r="I2056" s="63"/>
      <c r="J2056" s="64"/>
      <c r="K2056" s="60"/>
    </row>
    <row r="2057">
      <c r="A2057" s="51"/>
      <c r="B2057" s="60"/>
      <c r="C2057" s="61"/>
      <c r="D2057" s="61"/>
      <c r="E2057" s="62"/>
      <c r="F2057" s="60"/>
      <c r="H2057" s="60"/>
      <c r="I2057" s="63"/>
      <c r="J2057" s="64"/>
      <c r="K2057" s="60"/>
    </row>
    <row r="2058">
      <c r="A2058" s="51"/>
      <c r="B2058" s="60"/>
      <c r="C2058" s="61"/>
      <c r="D2058" s="61"/>
      <c r="E2058" s="62"/>
      <c r="F2058" s="60"/>
      <c r="H2058" s="60"/>
      <c r="I2058" s="63"/>
      <c r="J2058" s="64"/>
      <c r="K2058" s="60"/>
    </row>
    <row r="2059">
      <c r="A2059" s="51"/>
      <c r="B2059" s="60"/>
      <c r="C2059" s="61"/>
      <c r="D2059" s="61"/>
      <c r="E2059" s="62"/>
      <c r="F2059" s="60"/>
      <c r="H2059" s="60"/>
      <c r="I2059" s="63"/>
      <c r="J2059" s="64"/>
      <c r="K2059" s="60"/>
    </row>
    <row r="2060">
      <c r="A2060" s="51"/>
      <c r="B2060" s="60"/>
      <c r="C2060" s="61"/>
      <c r="D2060" s="61"/>
      <c r="E2060" s="62"/>
      <c r="F2060" s="60"/>
      <c r="H2060" s="60"/>
      <c r="I2060" s="63"/>
      <c r="J2060" s="64"/>
      <c r="K2060" s="60"/>
    </row>
    <row r="2061">
      <c r="A2061" s="51"/>
      <c r="B2061" s="60"/>
      <c r="C2061" s="61"/>
      <c r="D2061" s="61"/>
      <c r="E2061" s="62"/>
      <c r="F2061" s="60"/>
      <c r="H2061" s="60"/>
      <c r="I2061" s="63"/>
      <c r="J2061" s="64"/>
      <c r="K2061" s="60"/>
    </row>
    <row r="2062">
      <c r="A2062" s="51"/>
      <c r="B2062" s="60"/>
      <c r="C2062" s="61"/>
      <c r="D2062" s="61"/>
      <c r="E2062" s="62"/>
      <c r="F2062" s="60"/>
      <c r="H2062" s="60"/>
      <c r="I2062" s="63"/>
      <c r="J2062" s="64"/>
      <c r="K2062" s="60"/>
    </row>
    <row r="2063">
      <c r="A2063" s="51"/>
      <c r="B2063" s="60"/>
      <c r="C2063" s="61"/>
      <c r="D2063" s="61"/>
      <c r="E2063" s="62"/>
      <c r="F2063" s="60"/>
      <c r="H2063" s="60"/>
      <c r="I2063" s="63"/>
      <c r="J2063" s="64"/>
      <c r="K2063" s="60"/>
    </row>
    <row r="2064">
      <c r="A2064" s="51"/>
      <c r="B2064" s="60"/>
      <c r="C2064" s="61"/>
      <c r="D2064" s="61"/>
      <c r="E2064" s="62"/>
      <c r="F2064" s="60"/>
      <c r="H2064" s="60"/>
      <c r="I2064" s="63"/>
      <c r="J2064" s="64"/>
      <c r="K2064" s="60"/>
    </row>
    <row r="2065">
      <c r="A2065" s="51"/>
      <c r="B2065" s="60"/>
      <c r="C2065" s="61"/>
      <c r="D2065" s="61"/>
      <c r="E2065" s="62"/>
      <c r="F2065" s="60"/>
      <c r="H2065" s="60"/>
      <c r="I2065" s="63"/>
      <c r="J2065" s="64"/>
      <c r="K2065" s="60"/>
    </row>
    <row r="2066">
      <c r="A2066" s="51"/>
      <c r="B2066" s="60"/>
      <c r="C2066" s="61"/>
      <c r="D2066" s="61"/>
      <c r="E2066" s="62"/>
      <c r="F2066" s="60"/>
      <c r="H2066" s="60"/>
      <c r="I2066" s="63"/>
      <c r="J2066" s="64"/>
      <c r="K2066" s="60"/>
    </row>
    <row r="2067">
      <c r="A2067" s="51"/>
      <c r="B2067" s="60"/>
      <c r="C2067" s="61"/>
      <c r="D2067" s="61"/>
      <c r="E2067" s="62"/>
      <c r="F2067" s="60"/>
      <c r="H2067" s="60"/>
      <c r="I2067" s="63"/>
      <c r="J2067" s="64"/>
      <c r="K2067" s="60"/>
    </row>
    <row r="2068">
      <c r="A2068" s="51"/>
      <c r="B2068" s="60"/>
      <c r="C2068" s="61"/>
      <c r="D2068" s="61"/>
      <c r="E2068" s="62"/>
      <c r="F2068" s="60"/>
      <c r="H2068" s="60"/>
      <c r="I2068" s="63"/>
      <c r="J2068" s="64"/>
      <c r="K2068" s="60"/>
    </row>
    <row r="2069">
      <c r="A2069" s="51"/>
      <c r="B2069" s="60"/>
      <c r="C2069" s="61"/>
      <c r="D2069" s="61"/>
      <c r="E2069" s="62"/>
      <c r="F2069" s="60"/>
      <c r="H2069" s="60"/>
      <c r="I2069" s="63"/>
      <c r="J2069" s="64"/>
      <c r="K2069" s="60"/>
    </row>
    <row r="2070">
      <c r="A2070" s="51"/>
      <c r="B2070" s="60"/>
      <c r="C2070" s="61"/>
      <c r="D2070" s="61"/>
      <c r="E2070" s="62"/>
      <c r="F2070" s="60"/>
      <c r="H2070" s="60"/>
      <c r="I2070" s="63"/>
      <c r="J2070" s="64"/>
      <c r="K2070" s="60"/>
    </row>
    <row r="2071">
      <c r="A2071" s="51"/>
      <c r="B2071" s="60"/>
      <c r="C2071" s="61"/>
      <c r="D2071" s="61"/>
      <c r="E2071" s="62"/>
      <c r="F2071" s="60"/>
      <c r="H2071" s="60"/>
      <c r="I2071" s="63"/>
      <c r="J2071" s="64"/>
      <c r="K2071" s="60"/>
    </row>
    <row r="2072">
      <c r="A2072" s="51"/>
      <c r="B2072" s="60"/>
      <c r="C2072" s="61"/>
      <c r="D2072" s="61"/>
      <c r="E2072" s="62"/>
      <c r="F2072" s="60"/>
      <c r="H2072" s="60"/>
      <c r="I2072" s="63"/>
      <c r="J2072" s="64"/>
      <c r="K2072" s="60"/>
    </row>
    <row r="2073">
      <c r="A2073" s="51"/>
      <c r="B2073" s="60"/>
      <c r="C2073" s="61"/>
      <c r="D2073" s="61"/>
      <c r="E2073" s="62"/>
      <c r="F2073" s="60"/>
      <c r="H2073" s="60"/>
      <c r="I2073" s="63"/>
      <c r="J2073" s="64"/>
      <c r="K2073" s="60"/>
    </row>
    <row r="2074">
      <c r="A2074" s="51"/>
      <c r="B2074" s="60"/>
      <c r="C2074" s="61"/>
      <c r="D2074" s="61"/>
      <c r="E2074" s="62"/>
      <c r="F2074" s="60"/>
      <c r="H2074" s="60"/>
      <c r="I2074" s="63"/>
      <c r="J2074" s="64"/>
      <c r="K2074" s="60"/>
    </row>
    <row r="2075">
      <c r="A2075" s="51"/>
      <c r="B2075" s="60"/>
      <c r="C2075" s="61"/>
      <c r="D2075" s="61"/>
      <c r="E2075" s="62"/>
      <c r="F2075" s="60"/>
      <c r="H2075" s="60"/>
      <c r="I2075" s="63"/>
      <c r="J2075" s="64"/>
      <c r="K2075" s="60"/>
    </row>
    <row r="2076">
      <c r="A2076" s="51"/>
      <c r="B2076" s="60"/>
      <c r="C2076" s="61"/>
      <c r="D2076" s="61"/>
      <c r="E2076" s="62"/>
      <c r="F2076" s="60"/>
      <c r="H2076" s="60"/>
      <c r="I2076" s="63"/>
      <c r="J2076" s="64"/>
      <c r="K2076" s="60"/>
    </row>
    <row r="2077">
      <c r="A2077" s="51"/>
      <c r="B2077" s="60"/>
      <c r="C2077" s="61"/>
      <c r="D2077" s="61"/>
      <c r="E2077" s="62"/>
      <c r="F2077" s="60"/>
      <c r="H2077" s="60"/>
      <c r="I2077" s="63"/>
      <c r="J2077" s="64"/>
      <c r="K2077" s="60"/>
    </row>
    <row r="2078">
      <c r="A2078" s="51"/>
      <c r="B2078" s="60"/>
      <c r="C2078" s="61"/>
      <c r="D2078" s="61"/>
      <c r="E2078" s="62"/>
      <c r="F2078" s="60"/>
      <c r="H2078" s="60"/>
      <c r="I2078" s="63"/>
      <c r="J2078" s="64"/>
      <c r="K2078" s="60"/>
    </row>
    <row r="2079">
      <c r="A2079" s="51"/>
      <c r="B2079" s="60"/>
      <c r="C2079" s="61"/>
      <c r="D2079" s="61"/>
      <c r="E2079" s="62"/>
      <c r="F2079" s="60"/>
      <c r="H2079" s="60"/>
      <c r="I2079" s="63"/>
      <c r="J2079" s="64"/>
      <c r="K2079" s="60"/>
    </row>
    <row r="2080">
      <c r="A2080" s="51"/>
      <c r="B2080" s="60"/>
      <c r="C2080" s="61"/>
      <c r="D2080" s="61"/>
      <c r="E2080" s="62"/>
      <c r="F2080" s="60"/>
      <c r="H2080" s="60"/>
      <c r="I2080" s="63"/>
      <c r="J2080" s="64"/>
      <c r="K2080" s="60"/>
    </row>
    <row r="2081">
      <c r="A2081" s="51"/>
      <c r="B2081" s="60"/>
      <c r="C2081" s="61"/>
      <c r="D2081" s="61"/>
      <c r="E2081" s="62"/>
      <c r="F2081" s="60"/>
      <c r="H2081" s="60"/>
      <c r="I2081" s="63"/>
      <c r="J2081" s="64"/>
      <c r="K2081" s="60"/>
    </row>
    <row r="2082">
      <c r="A2082" s="51"/>
      <c r="B2082" s="60"/>
      <c r="C2082" s="61"/>
      <c r="D2082" s="61"/>
      <c r="E2082" s="62"/>
      <c r="F2082" s="60"/>
      <c r="H2082" s="60"/>
      <c r="I2082" s="63"/>
      <c r="J2082" s="64"/>
      <c r="K2082" s="60"/>
    </row>
    <row r="2083">
      <c r="A2083" s="51"/>
      <c r="B2083" s="60"/>
      <c r="C2083" s="61"/>
      <c r="D2083" s="61"/>
      <c r="E2083" s="62"/>
      <c r="F2083" s="60"/>
      <c r="H2083" s="60"/>
      <c r="I2083" s="63"/>
      <c r="J2083" s="64"/>
      <c r="K2083" s="60"/>
    </row>
    <row r="2084">
      <c r="A2084" s="51"/>
      <c r="B2084" s="60"/>
      <c r="C2084" s="61"/>
      <c r="D2084" s="61"/>
      <c r="E2084" s="62"/>
      <c r="F2084" s="60"/>
      <c r="H2084" s="60"/>
      <c r="I2084" s="63"/>
      <c r="J2084" s="64"/>
      <c r="K2084" s="60"/>
    </row>
    <row r="2085">
      <c r="A2085" s="51"/>
      <c r="B2085" s="60"/>
      <c r="C2085" s="61"/>
      <c r="D2085" s="61"/>
      <c r="E2085" s="62"/>
      <c r="F2085" s="60"/>
      <c r="H2085" s="60"/>
      <c r="I2085" s="63"/>
      <c r="J2085" s="64"/>
      <c r="K2085" s="60"/>
    </row>
    <row r="2086">
      <c r="A2086" s="51"/>
      <c r="B2086" s="60"/>
      <c r="C2086" s="61"/>
      <c r="D2086" s="61"/>
      <c r="E2086" s="62"/>
      <c r="F2086" s="60"/>
      <c r="H2086" s="60"/>
      <c r="I2086" s="63"/>
      <c r="J2086" s="64"/>
      <c r="K2086" s="60"/>
    </row>
    <row r="2087">
      <c r="A2087" s="51"/>
      <c r="B2087" s="60"/>
      <c r="C2087" s="61"/>
      <c r="D2087" s="61"/>
      <c r="E2087" s="62"/>
      <c r="F2087" s="60"/>
      <c r="H2087" s="60"/>
      <c r="I2087" s="63"/>
      <c r="J2087" s="64"/>
      <c r="K2087" s="60"/>
    </row>
    <row r="2088">
      <c r="A2088" s="51"/>
      <c r="B2088" s="60"/>
      <c r="C2088" s="61"/>
      <c r="D2088" s="61"/>
      <c r="E2088" s="62"/>
      <c r="F2088" s="60"/>
      <c r="H2088" s="60"/>
      <c r="I2088" s="63"/>
      <c r="J2088" s="64"/>
      <c r="K2088" s="60"/>
    </row>
    <row r="2089">
      <c r="A2089" s="51"/>
      <c r="B2089" s="60"/>
      <c r="C2089" s="61"/>
      <c r="D2089" s="61"/>
      <c r="E2089" s="62"/>
      <c r="F2089" s="60"/>
      <c r="H2089" s="60"/>
      <c r="I2089" s="63"/>
      <c r="J2089" s="64"/>
      <c r="K2089" s="60"/>
    </row>
    <row r="2090">
      <c r="A2090" s="51"/>
      <c r="B2090" s="60"/>
      <c r="C2090" s="61"/>
      <c r="D2090" s="61"/>
      <c r="E2090" s="62"/>
      <c r="F2090" s="60"/>
      <c r="H2090" s="60"/>
      <c r="I2090" s="63"/>
      <c r="J2090" s="64"/>
      <c r="K2090" s="60"/>
    </row>
    <row r="2091">
      <c r="A2091" s="51"/>
      <c r="B2091" s="60"/>
      <c r="C2091" s="61"/>
      <c r="D2091" s="61"/>
      <c r="E2091" s="62"/>
      <c r="F2091" s="60"/>
      <c r="H2091" s="60"/>
      <c r="I2091" s="63"/>
      <c r="J2091" s="64"/>
      <c r="K2091" s="60"/>
    </row>
    <row r="2092">
      <c r="A2092" s="51"/>
      <c r="B2092" s="60"/>
      <c r="C2092" s="61"/>
      <c r="D2092" s="61"/>
      <c r="E2092" s="62"/>
      <c r="F2092" s="60"/>
      <c r="H2092" s="60"/>
      <c r="I2092" s="63"/>
      <c r="J2092" s="64"/>
      <c r="K2092" s="60"/>
    </row>
    <row r="2093">
      <c r="A2093" s="51"/>
      <c r="B2093" s="60"/>
      <c r="C2093" s="61"/>
      <c r="D2093" s="61"/>
      <c r="E2093" s="62"/>
      <c r="F2093" s="60"/>
      <c r="H2093" s="60"/>
      <c r="I2093" s="63"/>
      <c r="J2093" s="64"/>
      <c r="K2093" s="60"/>
    </row>
    <row r="2094">
      <c r="A2094" s="51"/>
      <c r="B2094" s="60"/>
      <c r="C2094" s="61"/>
      <c r="D2094" s="61"/>
      <c r="E2094" s="62"/>
      <c r="F2094" s="60"/>
      <c r="H2094" s="60"/>
      <c r="I2094" s="63"/>
      <c r="J2094" s="64"/>
      <c r="K2094" s="60"/>
    </row>
    <row r="2095">
      <c r="A2095" s="51"/>
      <c r="B2095" s="60"/>
      <c r="C2095" s="61"/>
      <c r="D2095" s="61"/>
      <c r="E2095" s="62"/>
      <c r="F2095" s="60"/>
      <c r="H2095" s="60"/>
      <c r="I2095" s="63"/>
      <c r="J2095" s="64"/>
      <c r="K2095" s="60"/>
    </row>
    <row r="2096">
      <c r="A2096" s="51"/>
      <c r="B2096" s="60"/>
      <c r="C2096" s="61"/>
      <c r="D2096" s="61"/>
      <c r="E2096" s="62"/>
      <c r="F2096" s="60"/>
      <c r="H2096" s="60"/>
      <c r="I2096" s="63"/>
      <c r="J2096" s="64"/>
      <c r="K2096" s="60"/>
    </row>
    <row r="2097">
      <c r="A2097" s="51"/>
      <c r="B2097" s="60"/>
      <c r="C2097" s="61"/>
      <c r="D2097" s="61"/>
      <c r="E2097" s="62"/>
      <c r="F2097" s="60"/>
      <c r="H2097" s="60"/>
      <c r="I2097" s="63"/>
      <c r="J2097" s="64"/>
      <c r="K2097" s="60"/>
    </row>
    <row r="2098">
      <c r="A2098" s="51"/>
      <c r="B2098" s="60"/>
      <c r="C2098" s="61"/>
      <c r="D2098" s="61"/>
      <c r="E2098" s="62"/>
      <c r="F2098" s="60"/>
      <c r="H2098" s="60"/>
      <c r="I2098" s="63"/>
      <c r="J2098" s="64"/>
      <c r="K2098" s="60"/>
    </row>
    <row r="2099">
      <c r="A2099" s="51"/>
      <c r="B2099" s="60"/>
      <c r="C2099" s="61"/>
      <c r="D2099" s="61"/>
      <c r="E2099" s="62"/>
      <c r="F2099" s="60"/>
      <c r="H2099" s="60"/>
      <c r="I2099" s="63"/>
      <c r="J2099" s="64"/>
      <c r="K2099" s="60"/>
    </row>
    <row r="2100">
      <c r="A2100" s="51"/>
      <c r="B2100" s="60"/>
      <c r="C2100" s="61"/>
      <c r="D2100" s="61"/>
      <c r="E2100" s="62"/>
      <c r="F2100" s="60"/>
      <c r="H2100" s="60"/>
      <c r="I2100" s="63"/>
      <c r="J2100" s="64"/>
      <c r="K2100" s="60"/>
    </row>
    <row r="2101">
      <c r="A2101" s="51"/>
      <c r="B2101" s="60"/>
      <c r="C2101" s="61"/>
      <c r="D2101" s="61"/>
      <c r="E2101" s="62"/>
      <c r="F2101" s="60"/>
      <c r="H2101" s="60"/>
      <c r="I2101" s="63"/>
      <c r="J2101" s="64"/>
      <c r="K2101" s="60"/>
    </row>
    <row r="2102">
      <c r="A2102" s="51"/>
      <c r="B2102" s="60"/>
      <c r="C2102" s="61"/>
      <c r="D2102" s="61"/>
      <c r="E2102" s="62"/>
      <c r="F2102" s="60"/>
      <c r="H2102" s="60"/>
      <c r="I2102" s="63"/>
      <c r="J2102" s="64"/>
      <c r="K2102" s="60"/>
    </row>
    <row r="2103">
      <c r="A2103" s="51"/>
      <c r="B2103" s="60"/>
      <c r="C2103" s="61"/>
      <c r="D2103" s="61"/>
      <c r="E2103" s="62"/>
      <c r="F2103" s="60"/>
      <c r="H2103" s="60"/>
      <c r="I2103" s="63"/>
      <c r="J2103" s="64"/>
      <c r="K2103" s="60"/>
    </row>
    <row r="2104">
      <c r="A2104" s="51"/>
      <c r="B2104" s="60"/>
      <c r="C2104" s="61"/>
      <c r="D2104" s="61"/>
      <c r="E2104" s="62"/>
      <c r="F2104" s="60"/>
      <c r="H2104" s="60"/>
      <c r="I2104" s="63"/>
      <c r="J2104" s="64"/>
      <c r="K2104" s="60"/>
    </row>
    <row r="2105">
      <c r="A2105" s="51"/>
      <c r="B2105" s="60"/>
      <c r="C2105" s="61"/>
      <c r="D2105" s="61"/>
      <c r="E2105" s="62"/>
      <c r="F2105" s="60"/>
      <c r="H2105" s="60"/>
      <c r="I2105" s="63"/>
      <c r="J2105" s="64"/>
      <c r="K2105" s="60"/>
    </row>
    <row r="2106">
      <c r="A2106" s="51"/>
      <c r="B2106" s="60"/>
      <c r="C2106" s="61"/>
      <c r="D2106" s="61"/>
      <c r="E2106" s="62"/>
      <c r="F2106" s="60"/>
      <c r="H2106" s="60"/>
      <c r="I2106" s="63"/>
      <c r="J2106" s="64"/>
      <c r="K2106" s="60"/>
    </row>
    <row r="2107">
      <c r="A2107" s="51"/>
      <c r="B2107" s="60"/>
      <c r="C2107" s="61"/>
      <c r="D2107" s="61"/>
      <c r="E2107" s="62"/>
      <c r="F2107" s="60"/>
      <c r="H2107" s="60"/>
      <c r="I2107" s="63"/>
      <c r="J2107" s="64"/>
      <c r="K2107" s="60"/>
    </row>
    <row r="2108">
      <c r="A2108" s="51"/>
      <c r="B2108" s="60"/>
      <c r="C2108" s="61"/>
      <c r="D2108" s="61"/>
      <c r="E2108" s="62"/>
      <c r="F2108" s="60"/>
      <c r="H2108" s="60"/>
      <c r="I2108" s="63"/>
      <c r="J2108" s="64"/>
      <c r="K2108" s="60"/>
    </row>
    <row r="2109">
      <c r="A2109" s="51"/>
      <c r="B2109" s="60"/>
      <c r="C2109" s="61"/>
      <c r="D2109" s="61"/>
      <c r="E2109" s="62"/>
      <c r="F2109" s="60"/>
      <c r="H2109" s="60"/>
      <c r="I2109" s="63"/>
      <c r="J2109" s="64"/>
      <c r="K2109" s="60"/>
    </row>
    <row r="2110">
      <c r="A2110" s="51"/>
      <c r="B2110" s="60"/>
      <c r="C2110" s="61"/>
      <c r="D2110" s="61"/>
      <c r="E2110" s="62"/>
      <c r="F2110" s="60"/>
      <c r="H2110" s="60"/>
      <c r="I2110" s="63"/>
      <c r="J2110" s="64"/>
      <c r="K2110" s="60"/>
    </row>
    <row r="2111">
      <c r="A2111" s="51"/>
      <c r="B2111" s="60"/>
      <c r="C2111" s="61"/>
      <c r="D2111" s="61"/>
      <c r="E2111" s="62"/>
      <c r="F2111" s="60"/>
      <c r="H2111" s="60"/>
      <c r="I2111" s="63"/>
      <c r="J2111" s="64"/>
      <c r="K2111" s="60"/>
    </row>
    <row r="2112">
      <c r="A2112" s="51"/>
      <c r="B2112" s="60"/>
      <c r="C2112" s="61"/>
      <c r="D2112" s="61"/>
      <c r="E2112" s="62"/>
      <c r="F2112" s="60"/>
      <c r="H2112" s="60"/>
      <c r="I2112" s="63"/>
      <c r="J2112" s="64"/>
      <c r="K2112" s="60"/>
    </row>
    <row r="2113">
      <c r="A2113" s="51"/>
      <c r="B2113" s="60"/>
      <c r="C2113" s="61"/>
      <c r="D2113" s="61"/>
      <c r="E2113" s="62"/>
      <c r="F2113" s="60"/>
      <c r="H2113" s="60"/>
      <c r="I2113" s="63"/>
      <c r="J2113" s="64"/>
      <c r="K2113" s="60"/>
    </row>
    <row r="2114">
      <c r="A2114" s="51"/>
      <c r="B2114" s="60"/>
      <c r="C2114" s="61"/>
      <c r="D2114" s="61"/>
      <c r="E2114" s="62"/>
      <c r="F2114" s="60"/>
      <c r="H2114" s="60"/>
      <c r="I2114" s="63"/>
      <c r="J2114" s="64"/>
      <c r="K2114" s="60"/>
    </row>
    <row r="2115">
      <c r="A2115" s="51"/>
      <c r="B2115" s="60"/>
      <c r="C2115" s="61"/>
      <c r="D2115" s="61"/>
      <c r="E2115" s="62"/>
      <c r="F2115" s="60"/>
      <c r="H2115" s="60"/>
      <c r="I2115" s="63"/>
      <c r="J2115" s="64"/>
      <c r="K2115" s="60"/>
    </row>
    <row r="2116">
      <c r="A2116" s="51"/>
      <c r="B2116" s="60"/>
      <c r="C2116" s="61"/>
      <c r="D2116" s="61"/>
      <c r="E2116" s="62"/>
      <c r="F2116" s="60"/>
      <c r="H2116" s="60"/>
      <c r="I2116" s="63"/>
      <c r="J2116" s="64"/>
      <c r="K2116" s="60"/>
    </row>
    <row r="2117">
      <c r="A2117" s="51"/>
      <c r="B2117" s="60"/>
      <c r="C2117" s="61"/>
      <c r="D2117" s="61"/>
      <c r="E2117" s="62"/>
      <c r="F2117" s="60"/>
      <c r="H2117" s="60"/>
      <c r="I2117" s="63"/>
      <c r="J2117" s="64"/>
      <c r="K2117" s="60"/>
    </row>
    <row r="2118">
      <c r="A2118" s="51"/>
      <c r="B2118" s="60"/>
      <c r="C2118" s="61"/>
      <c r="D2118" s="61"/>
      <c r="E2118" s="62"/>
      <c r="F2118" s="60"/>
      <c r="H2118" s="60"/>
      <c r="I2118" s="63"/>
      <c r="J2118" s="64"/>
      <c r="K2118" s="60"/>
    </row>
    <row r="2119">
      <c r="A2119" s="51"/>
      <c r="B2119" s="60"/>
      <c r="C2119" s="61"/>
      <c r="D2119" s="61"/>
      <c r="E2119" s="62"/>
      <c r="F2119" s="60"/>
      <c r="H2119" s="60"/>
      <c r="I2119" s="63"/>
      <c r="J2119" s="64"/>
      <c r="K2119" s="60"/>
    </row>
    <row r="2120">
      <c r="A2120" s="51"/>
      <c r="B2120" s="60"/>
      <c r="C2120" s="61"/>
      <c r="D2120" s="61"/>
      <c r="E2120" s="62"/>
      <c r="F2120" s="60"/>
      <c r="H2120" s="60"/>
      <c r="I2120" s="63"/>
      <c r="J2120" s="64"/>
      <c r="K2120" s="60"/>
    </row>
    <row r="2121">
      <c r="A2121" s="51"/>
      <c r="B2121" s="60"/>
      <c r="C2121" s="61"/>
      <c r="D2121" s="61"/>
      <c r="E2121" s="62"/>
      <c r="F2121" s="60"/>
      <c r="H2121" s="60"/>
      <c r="I2121" s="63"/>
      <c r="J2121" s="64"/>
      <c r="K2121" s="60"/>
    </row>
    <row r="2122">
      <c r="A2122" s="51"/>
      <c r="B2122" s="60"/>
      <c r="C2122" s="61"/>
      <c r="D2122" s="61"/>
      <c r="E2122" s="62"/>
      <c r="F2122" s="60"/>
      <c r="H2122" s="60"/>
      <c r="I2122" s="63"/>
      <c r="J2122" s="64"/>
      <c r="K2122" s="60"/>
    </row>
    <row r="2123">
      <c r="A2123" s="51"/>
      <c r="B2123" s="60"/>
      <c r="C2123" s="61"/>
      <c r="D2123" s="61"/>
      <c r="E2123" s="62"/>
      <c r="F2123" s="60"/>
      <c r="H2123" s="60"/>
      <c r="I2123" s="63"/>
      <c r="J2123" s="64"/>
      <c r="K2123" s="60"/>
    </row>
    <row r="2124">
      <c r="A2124" s="51"/>
      <c r="B2124" s="60"/>
      <c r="C2124" s="61"/>
      <c r="D2124" s="61"/>
      <c r="E2124" s="62"/>
      <c r="F2124" s="60"/>
      <c r="H2124" s="60"/>
      <c r="I2124" s="63"/>
      <c r="J2124" s="64"/>
      <c r="K2124" s="60"/>
    </row>
    <row r="2125">
      <c r="A2125" s="51"/>
      <c r="B2125" s="60"/>
      <c r="C2125" s="61"/>
      <c r="D2125" s="61"/>
      <c r="E2125" s="62"/>
      <c r="F2125" s="60"/>
      <c r="H2125" s="60"/>
      <c r="I2125" s="63"/>
      <c r="J2125" s="64"/>
      <c r="K2125" s="60"/>
    </row>
    <row r="2126">
      <c r="A2126" s="51"/>
      <c r="B2126" s="60"/>
      <c r="C2126" s="61"/>
      <c r="D2126" s="61"/>
      <c r="E2126" s="62"/>
      <c r="F2126" s="60"/>
      <c r="H2126" s="60"/>
      <c r="I2126" s="63"/>
      <c r="J2126" s="64"/>
      <c r="K2126" s="60"/>
    </row>
    <row r="2127">
      <c r="A2127" s="51"/>
      <c r="B2127" s="60"/>
      <c r="C2127" s="61"/>
      <c r="D2127" s="61"/>
      <c r="E2127" s="62"/>
      <c r="F2127" s="60"/>
      <c r="H2127" s="60"/>
      <c r="I2127" s="63"/>
      <c r="J2127" s="64"/>
      <c r="K2127" s="60"/>
    </row>
    <row r="2128">
      <c r="A2128" s="51"/>
      <c r="B2128" s="60"/>
      <c r="C2128" s="61"/>
      <c r="D2128" s="61"/>
      <c r="E2128" s="62"/>
      <c r="F2128" s="60"/>
      <c r="H2128" s="60"/>
      <c r="I2128" s="63"/>
      <c r="J2128" s="64"/>
      <c r="K2128" s="60"/>
    </row>
  </sheetData>
  <autoFilter ref="$A$2:$G$2"/>
  <mergeCells count="4">
    <mergeCell ref="A1:G1"/>
    <mergeCell ref="B460:C460"/>
    <mergeCell ref="B551:C551"/>
    <mergeCell ref="B606:C606"/>
  </mergeCells>
  <printOptions/>
  <pageMargins bottom="1.0" footer="0.0" header="0.0" left="0.75" right="0.75" top="1.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4.38"/>
    <col customWidth="1" min="2" max="2" width="26.25"/>
    <col customWidth="1" min="3" max="3" width="7.0"/>
    <col customWidth="1" min="4" max="5" width="15.75"/>
    <col customWidth="1" min="6" max="6" width="26.25"/>
    <col customWidth="1" min="7" max="7" width="21.88"/>
    <col customWidth="1" min="8" max="26" width="7.63"/>
  </cols>
  <sheetData>
    <row r="1" ht="27.75" customHeight="1">
      <c r="A1" s="69" t="s">
        <v>4660</v>
      </c>
      <c r="B1" s="2"/>
      <c r="C1" s="2"/>
      <c r="D1" s="2"/>
      <c r="E1" s="2"/>
      <c r="F1" s="2"/>
      <c r="G1" s="3"/>
    </row>
    <row r="2" ht="19.5" customHeight="1">
      <c r="A2" s="7" t="s">
        <v>3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</row>
    <row r="3" ht="15.75" customHeight="1">
      <c r="A3" s="12">
        <v>1.0</v>
      </c>
      <c r="B3" s="92" t="s">
        <v>290</v>
      </c>
      <c r="C3" s="92">
        <v>88.0</v>
      </c>
      <c r="D3" s="92" t="s">
        <v>291</v>
      </c>
      <c r="E3" s="92" t="s">
        <v>13</v>
      </c>
      <c r="F3" s="92" t="s">
        <v>13</v>
      </c>
      <c r="G3" s="92" t="s">
        <v>15</v>
      </c>
    </row>
    <row r="4" ht="15.75" customHeight="1">
      <c r="A4" s="12">
        <v>2.0</v>
      </c>
      <c r="B4" s="13" t="s">
        <v>292</v>
      </c>
      <c r="C4" s="13">
        <v>32.0</v>
      </c>
      <c r="D4" s="13" t="s">
        <v>13</v>
      </c>
      <c r="E4" s="13">
        <v>2.2262602E7</v>
      </c>
      <c r="F4" s="13" t="s">
        <v>293</v>
      </c>
      <c r="G4" s="13" t="s">
        <v>13</v>
      </c>
    </row>
    <row r="5" ht="15.75" customHeight="1">
      <c r="A5" s="12">
        <v>3.0</v>
      </c>
      <c r="B5" s="13" t="s">
        <v>294</v>
      </c>
      <c r="C5" s="13">
        <v>51.0</v>
      </c>
      <c r="D5" s="13" t="s">
        <v>13</v>
      </c>
      <c r="E5" s="13">
        <v>1.206737E7</v>
      </c>
      <c r="F5" s="13" t="s">
        <v>295</v>
      </c>
      <c r="G5" s="13" t="s">
        <v>13</v>
      </c>
    </row>
    <row r="6" ht="15.75" customHeight="1">
      <c r="A6" s="12">
        <v>4.0</v>
      </c>
      <c r="B6" s="13" t="s">
        <v>296</v>
      </c>
      <c r="C6" s="13">
        <v>51.0</v>
      </c>
      <c r="D6" s="13" t="s">
        <v>14</v>
      </c>
      <c r="E6" s="13" t="s">
        <v>13</v>
      </c>
      <c r="F6" s="13" t="s">
        <v>13</v>
      </c>
      <c r="G6" s="13" t="s">
        <v>15</v>
      </c>
    </row>
    <row r="7" ht="15.75" customHeight="1">
      <c r="A7" s="12">
        <v>5.0</v>
      </c>
      <c r="B7" s="13" t="s">
        <v>297</v>
      </c>
      <c r="C7" s="13">
        <v>74.0</v>
      </c>
      <c r="D7" s="13" t="s">
        <v>13</v>
      </c>
      <c r="E7" s="13" t="s">
        <v>13</v>
      </c>
      <c r="F7" s="13" t="s">
        <v>295</v>
      </c>
      <c r="G7" s="13" t="s">
        <v>13</v>
      </c>
    </row>
    <row r="8" ht="15.75" customHeight="1">
      <c r="A8" s="12">
        <v>6.0</v>
      </c>
      <c r="B8" s="13" t="s">
        <v>298</v>
      </c>
      <c r="C8" s="13">
        <v>43.0</v>
      </c>
      <c r="D8" s="13" t="s">
        <v>13</v>
      </c>
      <c r="E8" s="13" t="s">
        <v>13</v>
      </c>
      <c r="F8" s="13" t="s">
        <v>299</v>
      </c>
      <c r="G8" s="13" t="s">
        <v>13</v>
      </c>
    </row>
    <row r="9" ht="15.75" customHeight="1">
      <c r="A9" s="12">
        <v>7.0</v>
      </c>
      <c r="B9" s="13" t="s">
        <v>300</v>
      </c>
      <c r="C9" s="13">
        <v>63.0</v>
      </c>
      <c r="D9" s="13" t="s">
        <v>13</v>
      </c>
      <c r="E9" s="13" t="s">
        <v>13</v>
      </c>
      <c r="F9" s="13" t="s">
        <v>301</v>
      </c>
      <c r="G9" s="13" t="s">
        <v>13</v>
      </c>
    </row>
    <row r="10" ht="15.75" customHeight="1">
      <c r="A10" s="12">
        <v>8.0</v>
      </c>
      <c r="B10" s="13" t="s">
        <v>302</v>
      </c>
      <c r="C10" s="13" t="s">
        <v>13</v>
      </c>
      <c r="D10" s="13" t="s">
        <v>14</v>
      </c>
      <c r="E10" s="13" t="s">
        <v>13</v>
      </c>
      <c r="F10" s="13" t="s">
        <v>13</v>
      </c>
      <c r="G10" s="13" t="s">
        <v>15</v>
      </c>
    </row>
    <row r="11" ht="15.75" customHeight="1">
      <c r="A11" s="12">
        <v>9.0</v>
      </c>
      <c r="B11" s="13" t="s">
        <v>303</v>
      </c>
      <c r="C11" s="13">
        <v>20.0</v>
      </c>
      <c r="D11" s="13" t="s">
        <v>304</v>
      </c>
      <c r="E11" s="13" t="s">
        <v>13</v>
      </c>
      <c r="F11" s="13" t="s">
        <v>13</v>
      </c>
      <c r="G11" s="13" t="s">
        <v>15</v>
      </c>
    </row>
    <row r="12" ht="15.75" customHeight="1">
      <c r="A12" s="12">
        <v>10.0</v>
      </c>
      <c r="B12" s="13" t="s">
        <v>305</v>
      </c>
      <c r="C12" s="13">
        <v>76.0</v>
      </c>
      <c r="D12" s="13" t="s">
        <v>13</v>
      </c>
      <c r="E12" s="13" t="s">
        <v>13</v>
      </c>
      <c r="F12" s="13" t="s">
        <v>13</v>
      </c>
      <c r="G12" s="13" t="s">
        <v>13</v>
      </c>
    </row>
    <row r="13" ht="15.75" customHeight="1">
      <c r="A13" s="12">
        <v>11.0</v>
      </c>
      <c r="B13" s="13" t="s">
        <v>306</v>
      </c>
      <c r="C13" s="13">
        <v>21.0</v>
      </c>
      <c r="D13" s="13" t="s">
        <v>13</v>
      </c>
      <c r="E13" s="13" t="s">
        <v>13</v>
      </c>
      <c r="F13" s="13" t="s">
        <v>13</v>
      </c>
      <c r="G13" s="13" t="s">
        <v>13</v>
      </c>
    </row>
    <row r="14" ht="15.75" customHeight="1">
      <c r="A14" s="12">
        <v>12.0</v>
      </c>
      <c r="B14" s="13" t="s">
        <v>307</v>
      </c>
      <c r="C14" s="13">
        <v>29.0</v>
      </c>
      <c r="D14" s="13" t="s">
        <v>308</v>
      </c>
      <c r="E14" s="13" t="s">
        <v>13</v>
      </c>
      <c r="F14" s="13" t="s">
        <v>13</v>
      </c>
      <c r="G14" s="13" t="s">
        <v>15</v>
      </c>
    </row>
    <row r="15" ht="15.75" customHeight="1">
      <c r="A15" s="12">
        <v>13.0</v>
      </c>
      <c r="B15" s="13" t="s">
        <v>309</v>
      </c>
      <c r="C15" s="13">
        <v>35.0</v>
      </c>
      <c r="D15" s="13" t="s">
        <v>310</v>
      </c>
      <c r="E15" s="13" t="s">
        <v>13</v>
      </c>
      <c r="F15" s="13" t="s">
        <v>13</v>
      </c>
      <c r="G15" s="13" t="s">
        <v>15</v>
      </c>
    </row>
    <row r="16" ht="15.75" customHeight="1">
      <c r="A16" s="12">
        <v>14.0</v>
      </c>
      <c r="B16" s="13" t="s">
        <v>311</v>
      </c>
      <c r="C16" s="13">
        <v>63.0</v>
      </c>
      <c r="D16" s="13" t="s">
        <v>13</v>
      </c>
      <c r="E16" s="13" t="s">
        <v>13</v>
      </c>
      <c r="F16" s="13" t="s">
        <v>312</v>
      </c>
      <c r="G16" s="13" t="s">
        <v>13</v>
      </c>
    </row>
    <row r="17" ht="15.75" customHeight="1">
      <c r="A17" s="12">
        <v>15.0</v>
      </c>
      <c r="B17" s="13" t="s">
        <v>313</v>
      </c>
      <c r="C17" s="13">
        <v>36.0</v>
      </c>
      <c r="D17" s="13" t="s">
        <v>13</v>
      </c>
      <c r="E17" s="13">
        <v>2.010141E7</v>
      </c>
      <c r="F17" s="13" t="s">
        <v>314</v>
      </c>
      <c r="G17" s="13" t="s">
        <v>13</v>
      </c>
    </row>
    <row r="18" ht="15.75" customHeight="1">
      <c r="A18" s="12">
        <v>16.0</v>
      </c>
      <c r="B18" s="13" t="s">
        <v>315</v>
      </c>
      <c r="C18" s="13">
        <v>72.0</v>
      </c>
      <c r="D18" s="13" t="s">
        <v>13</v>
      </c>
      <c r="E18" s="13">
        <v>4806707.0</v>
      </c>
      <c r="F18" s="13" t="s">
        <v>295</v>
      </c>
      <c r="G18" s="13" t="s">
        <v>13</v>
      </c>
    </row>
    <row r="19" ht="15.75" customHeight="1">
      <c r="A19" s="12">
        <v>17.0</v>
      </c>
      <c r="B19" s="13" t="s">
        <v>316</v>
      </c>
      <c r="C19" s="13">
        <v>62.0</v>
      </c>
      <c r="D19" s="13" t="s">
        <v>13</v>
      </c>
      <c r="E19" s="13" t="s">
        <v>13</v>
      </c>
      <c r="F19" s="13" t="s">
        <v>317</v>
      </c>
      <c r="G19" s="13" t="s">
        <v>13</v>
      </c>
    </row>
    <row r="20" ht="15.75" customHeight="1">
      <c r="A20" s="12">
        <v>18.0</v>
      </c>
      <c r="B20" s="13" t="s">
        <v>318</v>
      </c>
      <c r="C20" s="13">
        <v>85.0</v>
      </c>
      <c r="D20" s="13" t="s">
        <v>13</v>
      </c>
      <c r="E20" s="13" t="s">
        <v>13</v>
      </c>
      <c r="F20" s="13" t="s">
        <v>295</v>
      </c>
      <c r="G20" s="13" t="s">
        <v>13</v>
      </c>
    </row>
    <row r="21" ht="15.75" customHeight="1">
      <c r="A21" s="12">
        <v>19.0</v>
      </c>
      <c r="B21" s="13" t="s">
        <v>319</v>
      </c>
      <c r="C21" s="13">
        <v>59.0</v>
      </c>
      <c r="D21" s="13" t="s">
        <v>13</v>
      </c>
      <c r="E21" s="13" t="s">
        <v>13</v>
      </c>
      <c r="F21" s="13" t="s">
        <v>295</v>
      </c>
      <c r="G21" s="13" t="s">
        <v>13</v>
      </c>
    </row>
    <row r="22" ht="15.75" customHeight="1">
      <c r="A22" s="12">
        <v>20.0</v>
      </c>
      <c r="B22" s="13" t="s">
        <v>320</v>
      </c>
      <c r="C22" s="13">
        <v>77.0</v>
      </c>
      <c r="D22" s="13" t="s">
        <v>13</v>
      </c>
      <c r="E22" s="13" t="s">
        <v>13</v>
      </c>
      <c r="F22" s="13" t="s">
        <v>295</v>
      </c>
      <c r="G22" s="13" t="s">
        <v>13</v>
      </c>
    </row>
    <row r="23" ht="15.75" customHeight="1">
      <c r="A23" s="12">
        <v>21.0</v>
      </c>
      <c r="B23" s="13" t="s">
        <v>321</v>
      </c>
      <c r="C23" s="13">
        <v>5.0</v>
      </c>
      <c r="D23" s="13" t="s">
        <v>13</v>
      </c>
      <c r="E23" s="13" t="s">
        <v>13</v>
      </c>
      <c r="F23" s="13" t="s">
        <v>295</v>
      </c>
      <c r="G23" s="13" t="s">
        <v>13</v>
      </c>
    </row>
    <row r="24" ht="15.75" customHeight="1">
      <c r="A24" s="12">
        <v>22.0</v>
      </c>
      <c r="B24" s="13" t="s">
        <v>322</v>
      </c>
      <c r="C24" s="13">
        <v>47.0</v>
      </c>
      <c r="D24" s="13" t="s">
        <v>13</v>
      </c>
      <c r="E24" s="13" t="s">
        <v>13</v>
      </c>
      <c r="F24" s="13" t="s">
        <v>295</v>
      </c>
      <c r="G24" s="13" t="s">
        <v>13</v>
      </c>
    </row>
    <row r="25" ht="15.75" customHeight="1">
      <c r="A25" s="12">
        <v>23.0</v>
      </c>
      <c r="B25" s="13" t="s">
        <v>323</v>
      </c>
      <c r="C25" s="13">
        <v>15.0</v>
      </c>
      <c r="D25" s="13" t="s">
        <v>13</v>
      </c>
      <c r="E25" s="13" t="s">
        <v>13</v>
      </c>
      <c r="F25" s="13" t="s">
        <v>324</v>
      </c>
      <c r="G25" s="13" t="s">
        <v>13</v>
      </c>
    </row>
    <row r="26" ht="15.75" customHeight="1">
      <c r="A26" s="12">
        <v>24.0</v>
      </c>
      <c r="B26" s="13" t="s">
        <v>325</v>
      </c>
      <c r="C26" s="13">
        <v>45.0</v>
      </c>
      <c r="D26" s="13" t="s">
        <v>13</v>
      </c>
      <c r="E26" s="13" t="s">
        <v>13</v>
      </c>
      <c r="F26" s="13" t="s">
        <v>295</v>
      </c>
      <c r="G26" s="13" t="s">
        <v>13</v>
      </c>
    </row>
    <row r="27" ht="15.75" customHeight="1">
      <c r="A27" s="12">
        <v>25.0</v>
      </c>
      <c r="B27" s="13" t="s">
        <v>326</v>
      </c>
      <c r="C27" s="13">
        <v>64.0</v>
      </c>
      <c r="D27" s="13" t="s">
        <v>13</v>
      </c>
      <c r="E27" s="13" t="s">
        <v>13</v>
      </c>
      <c r="F27" s="13" t="s">
        <v>295</v>
      </c>
      <c r="G27" s="13" t="s">
        <v>13</v>
      </c>
    </row>
    <row r="28" ht="15.75" customHeight="1">
      <c r="A28" s="12">
        <v>26.0</v>
      </c>
      <c r="B28" s="13" t="s">
        <v>327</v>
      </c>
      <c r="C28" s="13">
        <v>72.0</v>
      </c>
      <c r="D28" s="13" t="s">
        <v>14</v>
      </c>
      <c r="E28" s="13" t="s">
        <v>13</v>
      </c>
      <c r="F28" s="13" t="s">
        <v>295</v>
      </c>
      <c r="G28" s="13" t="s">
        <v>328</v>
      </c>
    </row>
    <row r="29" ht="15.75" customHeight="1">
      <c r="A29" s="12">
        <v>27.0</v>
      </c>
      <c r="B29" s="13" t="s">
        <v>329</v>
      </c>
      <c r="C29" s="13">
        <v>64.0</v>
      </c>
      <c r="D29" s="13" t="s">
        <v>13</v>
      </c>
      <c r="E29" s="13">
        <v>9.9289918E7</v>
      </c>
      <c r="F29" s="13" t="s">
        <v>330</v>
      </c>
      <c r="G29" s="13" t="s">
        <v>13</v>
      </c>
    </row>
    <row r="30">
      <c r="A30" s="38">
        <v>28.0</v>
      </c>
      <c r="B30" s="38" t="s">
        <v>331</v>
      </c>
      <c r="C30" s="38">
        <v>64.0</v>
      </c>
      <c r="D30" s="38" t="s">
        <v>13</v>
      </c>
      <c r="E30" s="38" t="s">
        <v>13</v>
      </c>
      <c r="F30" s="38" t="s">
        <v>332</v>
      </c>
      <c r="G30" s="38" t="s">
        <v>13</v>
      </c>
    </row>
    <row r="31">
      <c r="A31" s="38">
        <v>29.0</v>
      </c>
      <c r="B31" s="38" t="s">
        <v>333</v>
      </c>
      <c r="C31" s="38">
        <v>52.0</v>
      </c>
      <c r="D31" s="38" t="s">
        <v>13</v>
      </c>
      <c r="E31" s="38" t="s">
        <v>13</v>
      </c>
      <c r="F31" s="38" t="s">
        <v>334</v>
      </c>
      <c r="G31" s="38" t="s">
        <v>13</v>
      </c>
    </row>
    <row r="32">
      <c r="A32" s="38">
        <v>30.0</v>
      </c>
      <c r="B32" s="38" t="s">
        <v>335</v>
      </c>
      <c r="C32" s="38">
        <v>57.0</v>
      </c>
      <c r="D32" s="38" t="s">
        <v>13</v>
      </c>
      <c r="E32" s="38" t="s">
        <v>13</v>
      </c>
      <c r="F32" s="38" t="s">
        <v>334</v>
      </c>
      <c r="G32" s="38" t="s">
        <v>13</v>
      </c>
    </row>
    <row r="33">
      <c r="A33" s="38">
        <v>31.0</v>
      </c>
      <c r="B33" s="38" t="s">
        <v>336</v>
      </c>
      <c r="C33" s="38">
        <v>44.0</v>
      </c>
      <c r="D33" s="38" t="s">
        <v>13</v>
      </c>
      <c r="E33" s="38" t="s">
        <v>13</v>
      </c>
      <c r="F33" s="38" t="s">
        <v>295</v>
      </c>
      <c r="G33" s="38" t="s">
        <v>13</v>
      </c>
    </row>
    <row r="34">
      <c r="A34" s="38">
        <v>32.0</v>
      </c>
      <c r="B34" s="38" t="s">
        <v>337</v>
      </c>
      <c r="C34" s="38">
        <v>47.0</v>
      </c>
      <c r="D34" s="38" t="s">
        <v>13</v>
      </c>
      <c r="E34" s="38" t="s">
        <v>13</v>
      </c>
      <c r="F34" s="38" t="s">
        <v>299</v>
      </c>
      <c r="G34" s="38" t="s">
        <v>13</v>
      </c>
    </row>
    <row r="35">
      <c r="A35" s="38">
        <v>33.0</v>
      </c>
      <c r="B35" s="38" t="s">
        <v>338</v>
      </c>
      <c r="C35" s="38">
        <v>57.0</v>
      </c>
      <c r="D35" s="38" t="s">
        <v>13</v>
      </c>
      <c r="E35" s="38" t="s">
        <v>13</v>
      </c>
      <c r="F35" s="38" t="s">
        <v>13</v>
      </c>
      <c r="G35" s="38" t="s">
        <v>13</v>
      </c>
    </row>
    <row r="36">
      <c r="A36" s="4"/>
      <c r="B36" s="4"/>
      <c r="C36" s="4"/>
      <c r="D36" s="4"/>
      <c r="E36" s="4"/>
      <c r="F36" s="4"/>
      <c r="G36" s="4"/>
    </row>
    <row r="37">
      <c r="A37" s="4"/>
      <c r="B37" s="4"/>
      <c r="C37" s="4"/>
      <c r="D37" s="4"/>
      <c r="E37" s="4"/>
      <c r="F37" s="4"/>
      <c r="G37" s="4"/>
    </row>
    <row r="38">
      <c r="A38" s="4"/>
      <c r="B38" s="4"/>
      <c r="C38" s="4"/>
      <c r="D38" s="4"/>
      <c r="E38" s="4"/>
      <c r="F38" s="4"/>
      <c r="G38" s="4"/>
    </row>
    <row r="39">
      <c r="A39" s="4"/>
      <c r="B39" s="4"/>
      <c r="C39" s="4"/>
      <c r="D39" s="4"/>
      <c r="E39" s="4"/>
      <c r="F39" s="4"/>
      <c r="G39" s="4"/>
    </row>
    <row r="40">
      <c r="A40" s="4"/>
      <c r="B40" s="4"/>
      <c r="C40" s="4"/>
      <c r="D40" s="4"/>
      <c r="E40" s="4"/>
      <c r="F40" s="4"/>
      <c r="G40" s="4"/>
    </row>
    <row r="41">
      <c r="A41" s="4"/>
      <c r="B41" s="4"/>
      <c r="C41" s="4"/>
      <c r="D41" s="4"/>
      <c r="E41" s="4"/>
      <c r="F41" s="4"/>
      <c r="G41" s="4"/>
    </row>
    <row r="42">
      <c r="A42" s="4"/>
      <c r="B42" s="4"/>
      <c r="C42" s="4"/>
      <c r="D42" s="4"/>
      <c r="E42" s="4"/>
      <c r="F42" s="4"/>
      <c r="G42" s="4"/>
    </row>
    <row r="43">
      <c r="A43" s="4"/>
      <c r="B43" s="4"/>
      <c r="C43" s="4"/>
      <c r="D43" s="4"/>
      <c r="E43" s="4"/>
      <c r="F43" s="4"/>
      <c r="G43" s="4"/>
    </row>
    <row r="44">
      <c r="A44" s="4"/>
      <c r="B44" s="4"/>
      <c r="C44" s="4"/>
      <c r="D44" s="4"/>
      <c r="E44" s="4"/>
      <c r="F44" s="4"/>
      <c r="G44" s="4"/>
    </row>
    <row r="45">
      <c r="A45" s="4"/>
      <c r="B45" s="4"/>
      <c r="C45" s="4"/>
      <c r="D45" s="4"/>
      <c r="E45" s="4"/>
      <c r="F45" s="4"/>
      <c r="G45" s="4"/>
    </row>
    <row r="46">
      <c r="A46" s="4"/>
      <c r="B46" s="4"/>
      <c r="C46" s="4"/>
      <c r="D46" s="4"/>
      <c r="E46" s="4"/>
      <c r="F46" s="4"/>
      <c r="G46" s="4"/>
    </row>
    <row r="47">
      <c r="A47" s="4"/>
      <c r="B47" s="4"/>
      <c r="C47" s="4"/>
      <c r="D47" s="4"/>
      <c r="E47" s="4"/>
      <c r="F47" s="4"/>
      <c r="G47" s="4"/>
    </row>
    <row r="48">
      <c r="A48" s="4"/>
      <c r="B48" s="4"/>
      <c r="C48" s="4"/>
      <c r="D48" s="4"/>
      <c r="E48" s="4"/>
      <c r="F48" s="4"/>
      <c r="G48" s="4"/>
    </row>
    <row r="49">
      <c r="A49" s="4"/>
      <c r="B49" s="4"/>
      <c r="C49" s="4"/>
      <c r="D49" s="4"/>
      <c r="E49" s="4"/>
      <c r="F49" s="4"/>
      <c r="G49" s="4"/>
    </row>
    <row r="50">
      <c r="A50" s="4"/>
      <c r="B50" s="4"/>
      <c r="C50" s="4"/>
      <c r="D50" s="4"/>
      <c r="E50" s="4"/>
      <c r="F50" s="4"/>
      <c r="G50" s="4"/>
    </row>
    <row r="51">
      <c r="A51" s="4"/>
      <c r="B51" s="4"/>
      <c r="C51" s="4"/>
      <c r="D51" s="4"/>
      <c r="E51" s="4"/>
      <c r="F51" s="4"/>
      <c r="G51" s="4"/>
    </row>
    <row r="52">
      <c r="A52" s="4"/>
      <c r="B52" s="4"/>
      <c r="C52" s="4"/>
      <c r="D52" s="4"/>
      <c r="E52" s="4"/>
      <c r="F52" s="4"/>
      <c r="G52" s="4"/>
    </row>
    <row r="53">
      <c r="A53" s="4"/>
      <c r="B53" s="4"/>
      <c r="C53" s="4"/>
      <c r="D53" s="4"/>
      <c r="E53" s="4"/>
      <c r="F53" s="4"/>
      <c r="G53" s="4"/>
    </row>
    <row r="54">
      <c r="A54" s="4"/>
      <c r="B54" s="4"/>
      <c r="C54" s="4"/>
      <c r="D54" s="4"/>
      <c r="E54" s="4"/>
      <c r="F54" s="4"/>
      <c r="G54" s="4"/>
    </row>
    <row r="55">
      <c r="A55" s="4"/>
      <c r="B55" s="4"/>
      <c r="C55" s="4"/>
      <c r="D55" s="4"/>
      <c r="E55" s="4"/>
      <c r="F55" s="4"/>
      <c r="G55" s="4"/>
    </row>
    <row r="56">
      <c r="A56" s="4"/>
      <c r="B56" s="4"/>
      <c r="C56" s="4"/>
      <c r="D56" s="4"/>
      <c r="E56" s="4"/>
      <c r="F56" s="4"/>
      <c r="G56" s="4"/>
    </row>
    <row r="57">
      <c r="A57" s="4"/>
      <c r="B57" s="4"/>
      <c r="C57" s="4"/>
      <c r="D57" s="4"/>
      <c r="E57" s="4"/>
      <c r="F57" s="4"/>
      <c r="G57" s="4"/>
    </row>
    <row r="58">
      <c r="A58" s="4"/>
      <c r="B58" s="4"/>
      <c r="C58" s="4"/>
      <c r="D58" s="4"/>
      <c r="E58" s="4"/>
      <c r="F58" s="4"/>
      <c r="G58" s="4"/>
    </row>
    <row r="59">
      <c r="A59" s="4"/>
      <c r="B59" s="4"/>
      <c r="C59" s="4"/>
      <c r="D59" s="4"/>
      <c r="E59" s="4"/>
      <c r="F59" s="4"/>
      <c r="G59" s="4"/>
    </row>
    <row r="60">
      <c r="A60" s="4"/>
      <c r="B60" s="4"/>
      <c r="C60" s="4"/>
      <c r="D60" s="4"/>
      <c r="E60" s="4"/>
      <c r="F60" s="4"/>
      <c r="G60" s="4"/>
    </row>
    <row r="61">
      <c r="A61" s="4"/>
      <c r="B61" s="4"/>
      <c r="C61" s="4"/>
      <c r="D61" s="4"/>
      <c r="E61" s="4"/>
      <c r="F61" s="4"/>
      <c r="G61" s="4"/>
    </row>
    <row r="62">
      <c r="A62" s="4"/>
      <c r="B62" s="4"/>
      <c r="C62" s="4"/>
      <c r="D62" s="4"/>
      <c r="E62" s="4"/>
      <c r="F62" s="4"/>
      <c r="G62" s="4"/>
    </row>
    <row r="63">
      <c r="A63" s="4"/>
      <c r="B63" s="4"/>
      <c r="C63" s="4"/>
      <c r="D63" s="4"/>
      <c r="E63" s="4"/>
      <c r="F63" s="4"/>
      <c r="G63" s="4"/>
    </row>
    <row r="64">
      <c r="A64" s="4"/>
      <c r="B64" s="4"/>
      <c r="C64" s="4"/>
      <c r="D64" s="4"/>
      <c r="E64" s="4"/>
      <c r="F64" s="4"/>
      <c r="G64" s="4"/>
    </row>
    <row r="65">
      <c r="A65" s="4"/>
      <c r="B65" s="4"/>
      <c r="C65" s="4"/>
      <c r="D65" s="4"/>
      <c r="E65" s="4"/>
      <c r="F65" s="4"/>
      <c r="G65" s="4"/>
    </row>
    <row r="66">
      <c r="A66" s="4"/>
      <c r="B66" s="4"/>
      <c r="C66" s="4"/>
      <c r="D66" s="4"/>
      <c r="E66" s="4"/>
      <c r="F66" s="4"/>
      <c r="G66" s="4"/>
    </row>
    <row r="67">
      <c r="A67" s="4"/>
      <c r="B67" s="4"/>
      <c r="C67" s="4"/>
      <c r="D67" s="4"/>
      <c r="E67" s="4"/>
      <c r="F67" s="4"/>
      <c r="G67" s="4"/>
    </row>
    <row r="68">
      <c r="A68" s="4"/>
      <c r="B68" s="4"/>
      <c r="C68" s="4"/>
      <c r="D68" s="4"/>
      <c r="E68" s="4"/>
      <c r="F68" s="4"/>
      <c r="G68" s="4"/>
    </row>
    <row r="69">
      <c r="A69" s="4"/>
      <c r="B69" s="4"/>
      <c r="C69" s="4"/>
      <c r="D69" s="4"/>
      <c r="E69" s="4"/>
      <c r="F69" s="4"/>
      <c r="G69" s="4"/>
    </row>
    <row r="70">
      <c r="A70" s="4"/>
      <c r="B70" s="4"/>
      <c r="C70" s="4"/>
      <c r="D70" s="4"/>
      <c r="E70" s="4"/>
      <c r="F70" s="4"/>
      <c r="G70" s="4"/>
    </row>
    <row r="71">
      <c r="A71" s="4"/>
      <c r="B71" s="4"/>
      <c r="C71" s="4"/>
      <c r="D71" s="4"/>
      <c r="E71" s="4"/>
      <c r="F71" s="4"/>
      <c r="G71" s="4"/>
    </row>
    <row r="72">
      <c r="A72" s="4"/>
      <c r="B72" s="4"/>
      <c r="C72" s="4"/>
      <c r="D72" s="4"/>
      <c r="E72" s="4"/>
      <c r="F72" s="4"/>
      <c r="G72" s="4"/>
    </row>
    <row r="73">
      <c r="A73" s="4"/>
      <c r="B73" s="4"/>
      <c r="C73" s="4"/>
      <c r="D73" s="4"/>
      <c r="E73" s="4"/>
      <c r="F73" s="4"/>
      <c r="G73" s="4"/>
    </row>
    <row r="74">
      <c r="A74" s="4"/>
      <c r="B74" s="4"/>
      <c r="C74" s="4"/>
      <c r="D74" s="4"/>
      <c r="E74" s="4"/>
      <c r="F74" s="4"/>
      <c r="G74" s="4"/>
    </row>
    <row r="75">
      <c r="A75" s="4"/>
      <c r="B75" s="4"/>
      <c r="C75" s="4"/>
      <c r="D75" s="4"/>
      <c r="E75" s="4"/>
      <c r="F75" s="4"/>
      <c r="G75" s="4"/>
    </row>
    <row r="76">
      <c r="A76" s="4"/>
      <c r="B76" s="4"/>
      <c r="C76" s="4"/>
      <c r="D76" s="4"/>
      <c r="E76" s="4"/>
      <c r="F76" s="4"/>
      <c r="G76" s="4"/>
    </row>
    <row r="77">
      <c r="A77" s="4"/>
      <c r="B77" s="4"/>
      <c r="C77" s="4"/>
      <c r="D77" s="4"/>
      <c r="E77" s="4"/>
      <c r="F77" s="4"/>
      <c r="G77" s="4"/>
    </row>
    <row r="78">
      <c r="A78" s="4"/>
      <c r="B78" s="4"/>
      <c r="C78" s="4"/>
      <c r="D78" s="4"/>
      <c r="E78" s="4"/>
      <c r="F78" s="4"/>
      <c r="G78" s="4"/>
    </row>
    <row r="79">
      <c r="A79" s="4"/>
      <c r="B79" s="4"/>
      <c r="C79" s="4"/>
      <c r="D79" s="4"/>
      <c r="E79" s="4"/>
      <c r="F79" s="4"/>
      <c r="G79" s="4"/>
    </row>
    <row r="80">
      <c r="A80" s="4"/>
      <c r="B80" s="4"/>
      <c r="C80" s="4"/>
      <c r="D80" s="4"/>
      <c r="E80" s="4"/>
      <c r="F80" s="4"/>
      <c r="G80" s="4"/>
    </row>
    <row r="81">
      <c r="A81" s="4"/>
      <c r="B81" s="4"/>
      <c r="C81" s="4"/>
      <c r="D81" s="4"/>
      <c r="E81" s="4"/>
      <c r="F81" s="4"/>
      <c r="G81" s="4"/>
    </row>
    <row r="82">
      <c r="A82" s="4"/>
      <c r="B82" s="4"/>
      <c r="C82" s="4"/>
      <c r="D82" s="4"/>
      <c r="E82" s="4"/>
      <c r="F82" s="4"/>
      <c r="G82" s="4"/>
    </row>
    <row r="83">
      <c r="A83" s="4"/>
      <c r="B83" s="4"/>
      <c r="C83" s="4"/>
      <c r="D83" s="4"/>
      <c r="E83" s="4"/>
      <c r="F83" s="4"/>
      <c r="G83" s="4"/>
    </row>
    <row r="84">
      <c r="A84" s="4"/>
      <c r="B84" s="4"/>
      <c r="C84" s="4"/>
      <c r="D84" s="4"/>
      <c r="E84" s="4"/>
      <c r="F84" s="4"/>
      <c r="G84" s="4"/>
    </row>
    <row r="85">
      <c r="A85" s="4"/>
      <c r="B85" s="4"/>
      <c r="C85" s="4"/>
      <c r="D85" s="4"/>
      <c r="E85" s="4"/>
      <c r="F85" s="4"/>
      <c r="G85" s="4"/>
    </row>
    <row r="86">
      <c r="A86" s="4"/>
      <c r="B86" s="4"/>
      <c r="C86" s="4"/>
      <c r="D86" s="4"/>
      <c r="E86" s="4"/>
      <c r="F86" s="4"/>
      <c r="G86" s="4"/>
    </row>
    <row r="87">
      <c r="A87" s="4"/>
      <c r="B87" s="4"/>
      <c r="C87" s="4"/>
      <c r="D87" s="4"/>
      <c r="E87" s="4"/>
      <c r="F87" s="4"/>
      <c r="G87" s="4"/>
    </row>
    <row r="88">
      <c r="A88" s="4"/>
      <c r="B88" s="4"/>
      <c r="C88" s="4"/>
      <c r="D88" s="4"/>
      <c r="E88" s="4"/>
      <c r="F88" s="4"/>
      <c r="G88" s="4"/>
    </row>
    <row r="89">
      <c r="A89" s="4"/>
      <c r="B89" s="4"/>
      <c r="C89" s="4"/>
      <c r="D89" s="4"/>
      <c r="E89" s="4"/>
      <c r="F89" s="4"/>
      <c r="G89" s="4"/>
    </row>
    <row r="90">
      <c r="A90" s="4"/>
      <c r="B90" s="4"/>
      <c r="C90" s="4"/>
      <c r="D90" s="4"/>
      <c r="E90" s="4"/>
      <c r="F90" s="4"/>
      <c r="G90" s="4"/>
    </row>
    <row r="91">
      <c r="A91" s="4"/>
      <c r="B91" s="4"/>
      <c r="C91" s="4"/>
      <c r="D91" s="4"/>
      <c r="E91" s="4"/>
      <c r="F91" s="4"/>
      <c r="G91" s="4"/>
    </row>
    <row r="92">
      <c r="A92" s="4"/>
      <c r="B92" s="4"/>
      <c r="C92" s="4"/>
      <c r="D92" s="4"/>
      <c r="E92" s="4"/>
      <c r="F92" s="4"/>
      <c r="G92" s="4"/>
    </row>
    <row r="93">
      <c r="A93" s="4"/>
      <c r="B93" s="4"/>
      <c r="C93" s="4"/>
      <c r="D93" s="4"/>
      <c r="E93" s="4"/>
      <c r="F93" s="4"/>
      <c r="G93" s="4"/>
    </row>
    <row r="94">
      <c r="A94" s="4"/>
      <c r="B94" s="4"/>
      <c r="C94" s="4"/>
      <c r="D94" s="4"/>
      <c r="E94" s="4"/>
      <c r="F94" s="4"/>
      <c r="G94" s="4"/>
    </row>
    <row r="95">
      <c r="A95" s="4"/>
      <c r="B95" s="4"/>
      <c r="C95" s="4"/>
      <c r="D95" s="4"/>
      <c r="E95" s="4"/>
      <c r="F95" s="4"/>
      <c r="G95" s="4"/>
    </row>
    <row r="96">
      <c r="A96" s="4"/>
      <c r="B96" s="4"/>
      <c r="C96" s="4"/>
      <c r="D96" s="4"/>
      <c r="E96" s="4"/>
      <c r="F96" s="4"/>
      <c r="G96" s="4"/>
    </row>
    <row r="97">
      <c r="A97" s="4"/>
      <c r="B97" s="4"/>
      <c r="C97" s="4"/>
      <c r="D97" s="4"/>
      <c r="E97" s="4"/>
      <c r="F97" s="4"/>
      <c r="G97" s="4"/>
    </row>
    <row r="98">
      <c r="A98" s="4"/>
      <c r="B98" s="4"/>
      <c r="C98" s="4"/>
      <c r="D98" s="4"/>
      <c r="E98" s="4"/>
      <c r="F98" s="4"/>
      <c r="G98" s="4"/>
    </row>
    <row r="99">
      <c r="A99" s="4"/>
      <c r="B99" s="4"/>
      <c r="C99" s="4"/>
      <c r="D99" s="4"/>
      <c r="E99" s="4"/>
      <c r="F99" s="4"/>
      <c r="G99" s="4"/>
    </row>
    <row r="100">
      <c r="A100" s="4"/>
      <c r="B100" s="4"/>
      <c r="C100" s="4"/>
      <c r="D100" s="4"/>
      <c r="E100" s="4"/>
      <c r="F100" s="4"/>
      <c r="G100" s="4"/>
    </row>
    <row r="101">
      <c r="A101" s="4"/>
      <c r="B101" s="4"/>
      <c r="C101" s="4"/>
      <c r="D101" s="4"/>
      <c r="E101" s="4"/>
      <c r="F101" s="4"/>
      <c r="G101" s="4"/>
    </row>
    <row r="102">
      <c r="A102" s="4"/>
      <c r="B102" s="4"/>
      <c r="C102" s="4"/>
      <c r="D102" s="4"/>
      <c r="E102" s="4"/>
      <c r="F102" s="4"/>
      <c r="G102" s="4"/>
    </row>
    <row r="103">
      <c r="A103" s="4"/>
      <c r="B103" s="4"/>
      <c r="C103" s="4"/>
      <c r="D103" s="4"/>
      <c r="E103" s="4"/>
      <c r="F103" s="4"/>
      <c r="G103" s="4"/>
    </row>
    <row r="104">
      <c r="A104" s="4"/>
      <c r="B104" s="4"/>
      <c r="C104" s="4"/>
      <c r="D104" s="4"/>
      <c r="E104" s="4"/>
      <c r="F104" s="4"/>
      <c r="G104" s="4"/>
    </row>
    <row r="105">
      <c r="A105" s="4"/>
      <c r="B105" s="4"/>
      <c r="C105" s="4"/>
      <c r="D105" s="4"/>
      <c r="E105" s="4"/>
      <c r="F105" s="4"/>
      <c r="G105" s="4"/>
    </row>
    <row r="106">
      <c r="A106" s="4"/>
      <c r="B106" s="4"/>
      <c r="C106" s="4"/>
      <c r="D106" s="4"/>
      <c r="E106" s="4"/>
      <c r="F106" s="4"/>
      <c r="G106" s="4"/>
    </row>
    <row r="107">
      <c r="A107" s="4"/>
      <c r="B107" s="4"/>
      <c r="C107" s="4"/>
      <c r="D107" s="4"/>
      <c r="E107" s="4"/>
      <c r="F107" s="4"/>
      <c r="G107" s="4"/>
    </row>
    <row r="108">
      <c r="A108" s="4"/>
      <c r="B108" s="4"/>
      <c r="C108" s="4"/>
      <c r="D108" s="4"/>
      <c r="E108" s="4"/>
      <c r="F108" s="4"/>
      <c r="G108" s="4"/>
    </row>
    <row r="109">
      <c r="A109" s="4"/>
      <c r="B109" s="4"/>
      <c r="C109" s="4"/>
      <c r="D109" s="4"/>
      <c r="E109" s="4"/>
      <c r="F109" s="4"/>
      <c r="G109" s="4"/>
    </row>
    <row r="110">
      <c r="A110" s="4"/>
      <c r="B110" s="4"/>
      <c r="C110" s="4"/>
      <c r="D110" s="4"/>
      <c r="E110" s="4"/>
      <c r="F110" s="4"/>
      <c r="G110" s="4"/>
    </row>
    <row r="111">
      <c r="A111" s="4"/>
      <c r="B111" s="4"/>
      <c r="C111" s="4"/>
      <c r="D111" s="4"/>
      <c r="E111" s="4"/>
      <c r="F111" s="4"/>
      <c r="G111" s="4"/>
    </row>
    <row r="112">
      <c r="A112" s="4"/>
      <c r="B112" s="4"/>
      <c r="C112" s="4"/>
      <c r="D112" s="4"/>
      <c r="E112" s="4"/>
      <c r="F112" s="4"/>
      <c r="G112" s="4"/>
    </row>
    <row r="113">
      <c r="A113" s="4"/>
      <c r="B113" s="4"/>
      <c r="C113" s="4"/>
      <c r="D113" s="4"/>
      <c r="E113" s="4"/>
      <c r="F113" s="4"/>
      <c r="G113" s="4"/>
    </row>
    <row r="114">
      <c r="A114" s="4"/>
      <c r="B114" s="4"/>
      <c r="C114" s="4"/>
      <c r="D114" s="4"/>
      <c r="E114" s="4"/>
      <c r="F114" s="4"/>
      <c r="G114" s="4"/>
    </row>
    <row r="115">
      <c r="A115" s="4"/>
      <c r="B115" s="4"/>
      <c r="C115" s="4"/>
      <c r="D115" s="4"/>
      <c r="E115" s="4"/>
      <c r="F115" s="4"/>
      <c r="G115" s="4"/>
    </row>
    <row r="116">
      <c r="A116" s="4"/>
      <c r="B116" s="4"/>
      <c r="C116" s="4"/>
      <c r="D116" s="4"/>
      <c r="E116" s="4"/>
      <c r="F116" s="4"/>
      <c r="G116" s="4"/>
    </row>
    <row r="117">
      <c r="A117" s="4"/>
      <c r="B117" s="4"/>
      <c r="C117" s="4"/>
      <c r="D117" s="4"/>
      <c r="E117" s="4"/>
      <c r="F117" s="4"/>
      <c r="G117" s="4"/>
    </row>
    <row r="118">
      <c r="A118" s="4"/>
      <c r="B118" s="4"/>
      <c r="C118" s="4"/>
      <c r="D118" s="4"/>
      <c r="E118" s="4"/>
      <c r="F118" s="4"/>
      <c r="G118" s="4"/>
    </row>
    <row r="119">
      <c r="A119" s="4"/>
      <c r="B119" s="4"/>
      <c r="C119" s="4"/>
      <c r="D119" s="4"/>
      <c r="E119" s="4"/>
      <c r="F119" s="4"/>
      <c r="G119" s="4"/>
    </row>
    <row r="120">
      <c r="A120" s="4"/>
      <c r="B120" s="4"/>
      <c r="C120" s="4"/>
      <c r="D120" s="4"/>
      <c r="E120" s="4"/>
      <c r="F120" s="4"/>
      <c r="G120" s="4"/>
    </row>
    <row r="121">
      <c r="A121" s="4"/>
      <c r="B121" s="4"/>
      <c r="C121" s="4"/>
      <c r="D121" s="4"/>
      <c r="E121" s="4"/>
      <c r="F121" s="4"/>
      <c r="G121" s="4"/>
    </row>
    <row r="122">
      <c r="A122" s="4"/>
      <c r="B122" s="4"/>
      <c r="C122" s="4"/>
      <c r="D122" s="4"/>
      <c r="E122" s="4"/>
      <c r="F122" s="4"/>
      <c r="G122" s="4"/>
    </row>
    <row r="123">
      <c r="A123" s="4"/>
      <c r="B123" s="4"/>
      <c r="C123" s="4"/>
      <c r="D123" s="4"/>
      <c r="E123" s="4"/>
      <c r="F123" s="4"/>
      <c r="G123" s="4"/>
    </row>
    <row r="124">
      <c r="A124" s="4"/>
      <c r="B124" s="4"/>
      <c r="C124" s="4"/>
      <c r="D124" s="4"/>
      <c r="E124" s="4"/>
      <c r="F124" s="4"/>
      <c r="G124" s="4"/>
    </row>
    <row r="125">
      <c r="A125" s="4"/>
      <c r="B125" s="4"/>
      <c r="C125" s="4"/>
      <c r="D125" s="4"/>
      <c r="E125" s="4"/>
      <c r="F125" s="4"/>
      <c r="G125" s="4"/>
    </row>
    <row r="126">
      <c r="A126" s="4"/>
      <c r="B126" s="4"/>
      <c r="C126" s="4"/>
      <c r="D126" s="4"/>
      <c r="E126" s="4"/>
      <c r="F126" s="4"/>
      <c r="G126" s="4"/>
    </row>
    <row r="127">
      <c r="A127" s="4"/>
      <c r="B127" s="4"/>
      <c r="C127" s="4"/>
      <c r="D127" s="4"/>
      <c r="E127" s="4"/>
      <c r="F127" s="4"/>
      <c r="G127" s="4"/>
    </row>
    <row r="128">
      <c r="A128" s="4"/>
      <c r="B128" s="4"/>
      <c r="C128" s="4"/>
      <c r="D128" s="4"/>
      <c r="E128" s="4"/>
      <c r="F128" s="4"/>
      <c r="G128" s="4"/>
    </row>
    <row r="129">
      <c r="A129" s="4"/>
      <c r="B129" s="4"/>
      <c r="C129" s="4"/>
      <c r="D129" s="4"/>
      <c r="E129" s="4"/>
      <c r="F129" s="4"/>
      <c r="G129" s="4"/>
    </row>
    <row r="130">
      <c r="A130" s="4"/>
      <c r="B130" s="4"/>
      <c r="C130" s="4"/>
      <c r="D130" s="4"/>
      <c r="E130" s="4"/>
      <c r="F130" s="4"/>
      <c r="G130" s="4"/>
    </row>
    <row r="131">
      <c r="A131" s="4"/>
      <c r="B131" s="4"/>
      <c r="C131" s="4"/>
      <c r="D131" s="4"/>
      <c r="E131" s="4"/>
      <c r="F131" s="4"/>
      <c r="G131" s="4"/>
    </row>
    <row r="132">
      <c r="A132" s="4"/>
      <c r="B132" s="4"/>
      <c r="C132" s="4"/>
      <c r="D132" s="4"/>
      <c r="E132" s="4"/>
      <c r="F132" s="4"/>
      <c r="G132" s="4"/>
    </row>
    <row r="133">
      <c r="A133" s="4"/>
      <c r="B133" s="4"/>
      <c r="C133" s="4"/>
      <c r="D133" s="4"/>
      <c r="E133" s="4"/>
      <c r="F133" s="4"/>
      <c r="G133" s="4"/>
    </row>
    <row r="134">
      <c r="A134" s="4"/>
      <c r="B134" s="4"/>
      <c r="C134" s="4"/>
      <c r="D134" s="4"/>
      <c r="E134" s="4"/>
      <c r="F134" s="4"/>
      <c r="G134" s="4"/>
    </row>
    <row r="135">
      <c r="A135" s="4"/>
      <c r="B135" s="4"/>
      <c r="C135" s="4"/>
      <c r="D135" s="4"/>
      <c r="E135" s="4"/>
      <c r="F135" s="4"/>
      <c r="G135" s="4"/>
    </row>
    <row r="136">
      <c r="A136" s="4"/>
      <c r="B136" s="4"/>
      <c r="C136" s="4"/>
      <c r="D136" s="4"/>
      <c r="E136" s="4"/>
      <c r="F136" s="4"/>
      <c r="G136" s="4"/>
    </row>
    <row r="137">
      <c r="A137" s="4"/>
      <c r="B137" s="4"/>
      <c r="C137" s="4"/>
      <c r="D137" s="4"/>
      <c r="E137" s="4"/>
      <c r="F137" s="4"/>
      <c r="G137" s="4"/>
    </row>
    <row r="138">
      <c r="A138" s="4"/>
      <c r="B138" s="4"/>
      <c r="C138" s="4"/>
      <c r="D138" s="4"/>
      <c r="E138" s="4"/>
      <c r="F138" s="4"/>
      <c r="G138" s="4"/>
    </row>
    <row r="139">
      <c r="A139" s="4"/>
      <c r="B139" s="4"/>
      <c r="C139" s="4"/>
      <c r="D139" s="4"/>
      <c r="E139" s="4"/>
      <c r="F139" s="4"/>
      <c r="G139" s="4"/>
    </row>
    <row r="140">
      <c r="A140" s="4"/>
      <c r="B140" s="4"/>
      <c r="C140" s="4"/>
      <c r="D140" s="4"/>
      <c r="E140" s="4"/>
      <c r="F140" s="4"/>
      <c r="G140" s="4"/>
    </row>
    <row r="141">
      <c r="A141" s="4"/>
      <c r="B141" s="4"/>
      <c r="C141" s="4"/>
      <c r="D141" s="4"/>
      <c r="E141" s="4"/>
      <c r="F141" s="4"/>
      <c r="G141" s="4"/>
    </row>
    <row r="142">
      <c r="A142" s="4"/>
      <c r="B142" s="4"/>
      <c r="C142" s="4"/>
      <c r="D142" s="4"/>
      <c r="E142" s="4"/>
      <c r="F142" s="4"/>
      <c r="G142" s="4"/>
    </row>
    <row r="143">
      <c r="A143" s="4"/>
      <c r="B143" s="4"/>
      <c r="C143" s="4"/>
      <c r="D143" s="4"/>
      <c r="E143" s="4"/>
      <c r="F143" s="4"/>
      <c r="G143" s="4"/>
    </row>
    <row r="144">
      <c r="A144" s="4"/>
      <c r="B144" s="4"/>
      <c r="C144" s="4"/>
      <c r="D144" s="4"/>
      <c r="E144" s="4"/>
      <c r="F144" s="4"/>
      <c r="G144" s="4"/>
    </row>
    <row r="145">
      <c r="A145" s="4"/>
      <c r="B145" s="4"/>
      <c r="C145" s="4"/>
      <c r="D145" s="4"/>
      <c r="E145" s="4"/>
      <c r="F145" s="4"/>
      <c r="G145" s="4"/>
    </row>
    <row r="146">
      <c r="A146" s="4"/>
      <c r="B146" s="4"/>
      <c r="C146" s="4"/>
      <c r="D146" s="4"/>
      <c r="E146" s="4"/>
      <c r="F146" s="4"/>
      <c r="G146" s="4"/>
    </row>
    <row r="147">
      <c r="A147" s="4"/>
      <c r="B147" s="4"/>
      <c r="C147" s="4"/>
      <c r="D147" s="4"/>
      <c r="E147" s="4"/>
      <c r="F147" s="4"/>
      <c r="G147" s="4"/>
    </row>
    <row r="148">
      <c r="A148" s="4"/>
      <c r="B148" s="4"/>
      <c r="C148" s="4"/>
      <c r="D148" s="4"/>
      <c r="E148" s="4"/>
      <c r="F148" s="4"/>
      <c r="G148" s="4"/>
    </row>
    <row r="149">
      <c r="A149" s="4"/>
      <c r="B149" s="4"/>
      <c r="C149" s="4"/>
      <c r="D149" s="4"/>
      <c r="E149" s="4"/>
      <c r="F149" s="4"/>
      <c r="G149" s="4"/>
    </row>
    <row r="150">
      <c r="A150" s="4"/>
      <c r="B150" s="4"/>
      <c r="C150" s="4"/>
      <c r="D150" s="4"/>
      <c r="E150" s="4"/>
      <c r="F150" s="4"/>
      <c r="G150" s="4"/>
    </row>
    <row r="151">
      <c r="A151" s="4"/>
      <c r="B151" s="4"/>
      <c r="C151" s="4"/>
      <c r="D151" s="4"/>
      <c r="E151" s="4"/>
      <c r="F151" s="4"/>
      <c r="G151" s="4"/>
    </row>
    <row r="152">
      <c r="A152" s="4"/>
      <c r="B152" s="4"/>
      <c r="C152" s="4"/>
      <c r="D152" s="4"/>
      <c r="E152" s="4"/>
      <c r="F152" s="4"/>
      <c r="G152" s="4"/>
    </row>
    <row r="153">
      <c r="A153" s="4"/>
      <c r="B153" s="4"/>
      <c r="C153" s="4"/>
      <c r="D153" s="4"/>
      <c r="E153" s="4"/>
      <c r="F153" s="4"/>
      <c r="G153" s="4"/>
    </row>
    <row r="154">
      <c r="A154" s="4"/>
      <c r="B154" s="4"/>
      <c r="C154" s="4"/>
      <c r="D154" s="4"/>
      <c r="E154" s="4"/>
      <c r="F154" s="4"/>
      <c r="G154" s="4"/>
    </row>
    <row r="155">
      <c r="A155" s="4"/>
      <c r="B155" s="4"/>
      <c r="C155" s="4"/>
      <c r="D155" s="4"/>
      <c r="E155" s="4"/>
      <c r="F155" s="4"/>
      <c r="G155" s="4"/>
    </row>
    <row r="156">
      <c r="A156" s="4"/>
      <c r="B156" s="4"/>
      <c r="C156" s="4"/>
      <c r="D156" s="4"/>
      <c r="E156" s="4"/>
      <c r="F156" s="4"/>
      <c r="G156" s="4"/>
    </row>
    <row r="157">
      <c r="A157" s="4"/>
      <c r="B157" s="4"/>
      <c r="C157" s="4"/>
      <c r="D157" s="4"/>
      <c r="E157" s="4"/>
      <c r="F157" s="4"/>
      <c r="G157" s="4"/>
    </row>
    <row r="158">
      <c r="A158" s="4"/>
      <c r="B158" s="4"/>
      <c r="C158" s="4"/>
      <c r="D158" s="4"/>
      <c r="E158" s="4"/>
      <c r="F158" s="4"/>
      <c r="G158" s="4"/>
    </row>
    <row r="159">
      <c r="A159" s="4"/>
      <c r="B159" s="4"/>
      <c r="C159" s="4"/>
      <c r="D159" s="4"/>
      <c r="E159" s="4"/>
      <c r="F159" s="4"/>
      <c r="G159" s="4"/>
    </row>
    <row r="160">
      <c r="A160" s="4"/>
      <c r="B160" s="4"/>
      <c r="C160" s="4"/>
      <c r="D160" s="4"/>
      <c r="E160" s="4"/>
      <c r="F160" s="4"/>
      <c r="G160" s="4"/>
    </row>
    <row r="161">
      <c r="A161" s="4"/>
      <c r="B161" s="4"/>
      <c r="C161" s="4"/>
      <c r="D161" s="4"/>
      <c r="E161" s="4"/>
      <c r="F161" s="4"/>
      <c r="G161" s="4"/>
    </row>
    <row r="162">
      <c r="A162" s="4"/>
      <c r="B162" s="4"/>
      <c r="C162" s="4"/>
      <c r="D162" s="4"/>
      <c r="E162" s="4"/>
      <c r="F162" s="4"/>
      <c r="G162" s="4"/>
    </row>
    <row r="163">
      <c r="A163" s="4"/>
      <c r="B163" s="4"/>
      <c r="C163" s="4"/>
      <c r="D163" s="4"/>
      <c r="E163" s="4"/>
      <c r="F163" s="4"/>
      <c r="G163" s="4"/>
    </row>
    <row r="164">
      <c r="A164" s="4"/>
      <c r="B164" s="4"/>
      <c r="C164" s="4"/>
      <c r="D164" s="4"/>
      <c r="E164" s="4"/>
      <c r="F164" s="4"/>
      <c r="G164" s="4"/>
    </row>
    <row r="165">
      <c r="A165" s="4"/>
      <c r="B165" s="4"/>
      <c r="C165" s="4"/>
      <c r="D165" s="4"/>
      <c r="E165" s="4"/>
      <c r="F165" s="4"/>
      <c r="G165" s="4"/>
    </row>
    <row r="166">
      <c r="A166" s="4"/>
      <c r="B166" s="4"/>
      <c r="C166" s="4"/>
      <c r="D166" s="4"/>
      <c r="E166" s="4"/>
      <c r="F166" s="4"/>
      <c r="G166" s="4"/>
    </row>
    <row r="167">
      <c r="A167" s="4"/>
      <c r="B167" s="4"/>
      <c r="C167" s="4"/>
      <c r="D167" s="4"/>
      <c r="E167" s="4"/>
      <c r="F167" s="4"/>
      <c r="G167" s="4"/>
    </row>
    <row r="168">
      <c r="A168" s="4"/>
      <c r="B168" s="4"/>
      <c r="C168" s="4"/>
      <c r="D168" s="4"/>
      <c r="E168" s="4"/>
      <c r="F168" s="4"/>
      <c r="G168" s="4"/>
    </row>
    <row r="169">
      <c r="A169" s="4"/>
      <c r="B169" s="4"/>
      <c r="C169" s="4"/>
      <c r="D169" s="4"/>
      <c r="E169" s="4"/>
      <c r="F169" s="4"/>
      <c r="G169" s="4"/>
    </row>
    <row r="170">
      <c r="A170" s="4"/>
      <c r="B170" s="4"/>
      <c r="C170" s="4"/>
      <c r="D170" s="4"/>
      <c r="E170" s="4"/>
      <c r="F170" s="4"/>
      <c r="G170" s="4"/>
    </row>
    <row r="171">
      <c r="A171" s="4"/>
      <c r="B171" s="4"/>
      <c r="C171" s="4"/>
      <c r="D171" s="4"/>
      <c r="E171" s="4"/>
      <c r="F171" s="4"/>
      <c r="G171" s="4"/>
    </row>
    <row r="172">
      <c r="A172" s="4"/>
      <c r="B172" s="4"/>
      <c r="C172" s="4"/>
      <c r="D172" s="4"/>
      <c r="E172" s="4"/>
      <c r="F172" s="4"/>
      <c r="G172" s="4"/>
    </row>
    <row r="173">
      <c r="A173" s="4"/>
      <c r="B173" s="4"/>
      <c r="C173" s="4"/>
      <c r="D173" s="4"/>
      <c r="E173" s="4"/>
      <c r="F173" s="4"/>
      <c r="G173" s="4"/>
    </row>
    <row r="174">
      <c r="A174" s="4"/>
      <c r="B174" s="4"/>
      <c r="C174" s="4"/>
      <c r="D174" s="4"/>
      <c r="E174" s="4"/>
      <c r="F174" s="4"/>
      <c r="G174" s="4"/>
    </row>
    <row r="175">
      <c r="A175" s="4"/>
      <c r="B175" s="4"/>
      <c r="C175" s="4"/>
      <c r="D175" s="4"/>
      <c r="E175" s="4"/>
      <c r="F175" s="4"/>
      <c r="G175" s="4"/>
    </row>
    <row r="176">
      <c r="A176" s="4"/>
      <c r="B176" s="4"/>
      <c r="C176" s="4"/>
      <c r="D176" s="4"/>
      <c r="E176" s="4"/>
      <c r="F176" s="4"/>
      <c r="G176" s="4"/>
    </row>
    <row r="177">
      <c r="A177" s="4"/>
      <c r="B177" s="4"/>
      <c r="C177" s="4"/>
      <c r="D177" s="4"/>
      <c r="E177" s="4"/>
      <c r="F177" s="4"/>
      <c r="G177" s="4"/>
    </row>
    <row r="178">
      <c r="A178" s="4"/>
      <c r="B178" s="4"/>
      <c r="C178" s="4"/>
      <c r="D178" s="4"/>
      <c r="E178" s="4"/>
      <c r="F178" s="4"/>
      <c r="G178" s="4"/>
    </row>
    <row r="179">
      <c r="A179" s="4"/>
      <c r="B179" s="4"/>
      <c r="C179" s="4"/>
      <c r="D179" s="4"/>
      <c r="E179" s="4"/>
      <c r="F179" s="4"/>
      <c r="G179" s="4"/>
    </row>
    <row r="180">
      <c r="A180" s="4"/>
      <c r="B180" s="4"/>
      <c r="C180" s="4"/>
      <c r="D180" s="4"/>
      <c r="E180" s="4"/>
      <c r="F180" s="4"/>
      <c r="G180" s="4"/>
    </row>
    <row r="181">
      <c r="A181" s="4"/>
      <c r="B181" s="4"/>
      <c r="C181" s="4"/>
      <c r="D181" s="4"/>
      <c r="E181" s="4"/>
      <c r="F181" s="4"/>
      <c r="G181" s="4"/>
    </row>
    <row r="182">
      <c r="A182" s="4"/>
      <c r="B182" s="4"/>
      <c r="C182" s="4"/>
      <c r="D182" s="4"/>
      <c r="E182" s="4"/>
      <c r="F182" s="4"/>
      <c r="G182" s="4"/>
    </row>
    <row r="183">
      <c r="A183" s="4"/>
      <c r="B183" s="4"/>
      <c r="C183" s="4"/>
      <c r="D183" s="4"/>
      <c r="E183" s="4"/>
      <c r="F183" s="4"/>
      <c r="G183" s="4"/>
    </row>
    <row r="184">
      <c r="A184" s="4"/>
      <c r="B184" s="4"/>
      <c r="C184" s="4"/>
      <c r="D184" s="4"/>
      <c r="E184" s="4"/>
      <c r="F184" s="4"/>
      <c r="G184" s="4"/>
    </row>
    <row r="185">
      <c r="A185" s="4"/>
      <c r="B185" s="4"/>
      <c r="C185" s="4"/>
      <c r="D185" s="4"/>
      <c r="E185" s="4"/>
      <c r="F185" s="4"/>
      <c r="G185" s="4"/>
    </row>
    <row r="186">
      <c r="A186" s="4"/>
      <c r="B186" s="4"/>
      <c r="C186" s="4"/>
      <c r="D186" s="4"/>
      <c r="E186" s="4"/>
      <c r="F186" s="4"/>
      <c r="G186" s="4"/>
    </row>
    <row r="187">
      <c r="A187" s="4"/>
      <c r="B187" s="4"/>
      <c r="C187" s="4"/>
      <c r="D187" s="4"/>
      <c r="E187" s="4"/>
      <c r="F187" s="4"/>
      <c r="G187" s="4"/>
    </row>
    <row r="188">
      <c r="A188" s="4"/>
      <c r="B188" s="4"/>
      <c r="C188" s="4"/>
      <c r="D188" s="4"/>
      <c r="E188" s="4"/>
      <c r="F188" s="4"/>
      <c r="G188" s="4"/>
    </row>
    <row r="189">
      <c r="A189" s="4"/>
      <c r="B189" s="4"/>
      <c r="C189" s="4"/>
      <c r="D189" s="4"/>
      <c r="E189" s="4"/>
      <c r="F189" s="4"/>
      <c r="G189" s="4"/>
    </row>
    <row r="190">
      <c r="A190" s="4"/>
      <c r="B190" s="4"/>
      <c r="C190" s="4"/>
      <c r="D190" s="4"/>
      <c r="E190" s="4"/>
      <c r="F190" s="4"/>
      <c r="G190" s="4"/>
    </row>
    <row r="191">
      <c r="A191" s="4"/>
      <c r="B191" s="4"/>
      <c r="C191" s="4"/>
      <c r="D191" s="4"/>
      <c r="E191" s="4"/>
      <c r="F191" s="4"/>
      <c r="G191" s="4"/>
    </row>
    <row r="192">
      <c r="A192" s="4"/>
      <c r="B192" s="4"/>
      <c r="C192" s="4"/>
      <c r="D192" s="4"/>
      <c r="E192" s="4"/>
      <c r="F192" s="4"/>
      <c r="G192" s="4"/>
    </row>
    <row r="193">
      <c r="A193" s="4"/>
      <c r="B193" s="4"/>
      <c r="C193" s="4"/>
      <c r="D193" s="4"/>
      <c r="E193" s="4"/>
      <c r="F193" s="4"/>
      <c r="G193" s="4"/>
    </row>
    <row r="194">
      <c r="A194" s="4"/>
      <c r="B194" s="4"/>
      <c r="C194" s="4"/>
      <c r="D194" s="4"/>
      <c r="E194" s="4"/>
      <c r="F194" s="4"/>
      <c r="G194" s="4"/>
    </row>
    <row r="195">
      <c r="A195" s="4"/>
      <c r="B195" s="4"/>
      <c r="C195" s="4"/>
      <c r="D195" s="4"/>
      <c r="E195" s="4"/>
      <c r="F195" s="4"/>
      <c r="G195" s="4"/>
    </row>
    <row r="196">
      <c r="A196" s="4"/>
      <c r="B196" s="4"/>
      <c r="C196" s="4"/>
      <c r="D196" s="4"/>
      <c r="E196" s="4"/>
      <c r="F196" s="4"/>
      <c r="G196" s="4"/>
    </row>
    <row r="197">
      <c r="A197" s="4"/>
      <c r="B197" s="4"/>
      <c r="C197" s="4"/>
      <c r="D197" s="4"/>
      <c r="E197" s="4"/>
      <c r="F197" s="4"/>
      <c r="G197" s="4"/>
    </row>
    <row r="198">
      <c r="A198" s="4"/>
      <c r="B198" s="4"/>
      <c r="C198" s="4"/>
      <c r="D198" s="4"/>
      <c r="E198" s="4"/>
      <c r="F198" s="4"/>
      <c r="G198" s="4"/>
    </row>
    <row r="199">
      <c r="A199" s="4"/>
      <c r="B199" s="4"/>
      <c r="C199" s="4"/>
      <c r="D199" s="4"/>
      <c r="E199" s="4"/>
      <c r="F199" s="4"/>
      <c r="G199" s="4"/>
    </row>
    <row r="200">
      <c r="A200" s="4"/>
      <c r="B200" s="4"/>
      <c r="C200" s="4"/>
      <c r="D200" s="4"/>
      <c r="E200" s="4"/>
      <c r="F200" s="4"/>
      <c r="G200" s="4"/>
    </row>
    <row r="201">
      <c r="A201" s="4"/>
      <c r="B201" s="4"/>
      <c r="C201" s="4"/>
      <c r="D201" s="4"/>
      <c r="E201" s="4"/>
      <c r="F201" s="4"/>
      <c r="G201" s="4"/>
    </row>
    <row r="202">
      <c r="A202" s="4"/>
      <c r="B202" s="4"/>
      <c r="C202" s="4"/>
      <c r="D202" s="4"/>
      <c r="E202" s="4"/>
      <c r="F202" s="4"/>
      <c r="G202" s="4"/>
    </row>
    <row r="203">
      <c r="A203" s="4"/>
      <c r="B203" s="4"/>
      <c r="C203" s="4"/>
      <c r="D203" s="4"/>
      <c r="E203" s="4"/>
      <c r="F203" s="4"/>
      <c r="G203" s="4"/>
    </row>
    <row r="204">
      <c r="A204" s="4"/>
      <c r="B204" s="4"/>
      <c r="C204" s="4"/>
      <c r="D204" s="4"/>
      <c r="E204" s="4"/>
      <c r="F204" s="4"/>
      <c r="G204" s="4"/>
    </row>
    <row r="205">
      <c r="A205" s="4"/>
      <c r="B205" s="4"/>
      <c r="C205" s="4"/>
      <c r="D205" s="4"/>
      <c r="E205" s="4"/>
      <c r="F205" s="4"/>
      <c r="G205" s="4"/>
    </row>
    <row r="206">
      <c r="A206" s="4"/>
      <c r="B206" s="4"/>
      <c r="C206" s="4"/>
      <c r="D206" s="4"/>
      <c r="E206" s="4"/>
      <c r="F206" s="4"/>
      <c r="G206" s="4"/>
    </row>
    <row r="207">
      <c r="A207" s="4"/>
      <c r="B207" s="4"/>
      <c r="C207" s="4"/>
      <c r="D207" s="4"/>
      <c r="E207" s="4"/>
      <c r="F207" s="4"/>
      <c r="G207" s="4"/>
    </row>
    <row r="208">
      <c r="A208" s="4"/>
      <c r="B208" s="4"/>
      <c r="C208" s="4"/>
      <c r="D208" s="4"/>
      <c r="E208" s="4"/>
      <c r="F208" s="4"/>
      <c r="G208" s="4"/>
    </row>
    <row r="209">
      <c r="A209" s="4"/>
      <c r="B209" s="4"/>
      <c r="C209" s="4"/>
      <c r="D209" s="4"/>
      <c r="E209" s="4"/>
      <c r="F209" s="4"/>
      <c r="G209" s="4"/>
    </row>
    <row r="210">
      <c r="A210" s="4"/>
      <c r="B210" s="4"/>
      <c r="C210" s="4"/>
      <c r="D210" s="4"/>
      <c r="E210" s="4"/>
      <c r="F210" s="4"/>
      <c r="G210" s="4"/>
    </row>
    <row r="211">
      <c r="A211" s="4"/>
      <c r="B211" s="4"/>
      <c r="C211" s="4"/>
      <c r="D211" s="4"/>
      <c r="E211" s="4"/>
      <c r="F211" s="4"/>
      <c r="G211" s="4"/>
    </row>
    <row r="212">
      <c r="A212" s="4"/>
      <c r="B212" s="4"/>
      <c r="C212" s="4"/>
      <c r="D212" s="4"/>
      <c r="E212" s="4"/>
      <c r="F212" s="4"/>
      <c r="G212" s="4"/>
    </row>
    <row r="213">
      <c r="A213" s="4"/>
      <c r="B213" s="4"/>
      <c r="C213" s="4"/>
      <c r="D213" s="4"/>
      <c r="E213" s="4"/>
      <c r="F213" s="4"/>
      <c r="G213" s="4"/>
    </row>
    <row r="214">
      <c r="A214" s="4"/>
      <c r="B214" s="4"/>
      <c r="C214" s="4"/>
      <c r="D214" s="4"/>
      <c r="E214" s="4"/>
      <c r="F214" s="4"/>
      <c r="G214" s="4"/>
    </row>
    <row r="215">
      <c r="A215" s="4"/>
      <c r="B215" s="4"/>
      <c r="C215" s="4"/>
      <c r="D215" s="4"/>
      <c r="E215" s="4"/>
      <c r="F215" s="4"/>
      <c r="G215" s="4"/>
    </row>
    <row r="216">
      <c r="A216" s="4"/>
      <c r="B216" s="4"/>
      <c r="C216" s="4"/>
      <c r="D216" s="4"/>
      <c r="E216" s="4"/>
      <c r="F216" s="4"/>
      <c r="G216" s="4"/>
    </row>
    <row r="217">
      <c r="A217" s="4"/>
      <c r="B217" s="4"/>
      <c r="C217" s="4"/>
      <c r="D217" s="4"/>
      <c r="E217" s="4"/>
      <c r="F217" s="4"/>
      <c r="G217" s="4"/>
    </row>
    <row r="218">
      <c r="A218" s="4"/>
      <c r="B218" s="4"/>
      <c r="C218" s="4"/>
      <c r="D218" s="4"/>
      <c r="E218" s="4"/>
      <c r="F218" s="4"/>
      <c r="G218" s="4"/>
    </row>
    <row r="219">
      <c r="A219" s="4"/>
      <c r="B219" s="4"/>
      <c r="C219" s="4"/>
      <c r="D219" s="4"/>
      <c r="E219" s="4"/>
      <c r="F219" s="4"/>
      <c r="G219" s="4"/>
    </row>
    <row r="220">
      <c r="A220" s="4"/>
      <c r="B220" s="4"/>
      <c r="C220" s="4"/>
      <c r="D220" s="4"/>
      <c r="E220" s="4"/>
      <c r="F220" s="4"/>
      <c r="G220" s="4"/>
    </row>
    <row r="221">
      <c r="A221" s="4"/>
      <c r="B221" s="4"/>
      <c r="C221" s="4"/>
      <c r="D221" s="4"/>
      <c r="E221" s="4"/>
      <c r="F221" s="4"/>
      <c r="G221" s="4"/>
    </row>
    <row r="222">
      <c r="A222" s="4"/>
      <c r="B222" s="4"/>
      <c r="C222" s="4"/>
      <c r="D222" s="4"/>
      <c r="E222" s="4"/>
      <c r="F222" s="4"/>
      <c r="G222" s="4"/>
    </row>
    <row r="223">
      <c r="A223" s="4"/>
      <c r="B223" s="4"/>
      <c r="C223" s="4"/>
      <c r="D223" s="4"/>
      <c r="E223" s="4"/>
      <c r="F223" s="4"/>
      <c r="G223" s="4"/>
    </row>
    <row r="224">
      <c r="A224" s="4"/>
      <c r="B224" s="4"/>
      <c r="C224" s="4"/>
      <c r="D224" s="4"/>
      <c r="E224" s="4"/>
      <c r="F224" s="4"/>
      <c r="G224" s="4"/>
    </row>
    <row r="225">
      <c r="A225" s="4"/>
      <c r="B225" s="4"/>
      <c r="C225" s="4"/>
      <c r="D225" s="4"/>
      <c r="E225" s="4"/>
      <c r="F225" s="4"/>
      <c r="G225" s="4"/>
    </row>
    <row r="226">
      <c r="A226" s="4"/>
      <c r="B226" s="4"/>
      <c r="C226" s="4"/>
      <c r="D226" s="4"/>
      <c r="E226" s="4"/>
      <c r="F226" s="4"/>
      <c r="G226" s="4"/>
    </row>
    <row r="227">
      <c r="A227" s="4"/>
      <c r="B227" s="4"/>
      <c r="C227" s="4"/>
      <c r="D227" s="4"/>
      <c r="E227" s="4"/>
      <c r="F227" s="4"/>
      <c r="G227" s="4"/>
    </row>
    <row r="228">
      <c r="A228" s="4"/>
      <c r="B228" s="4"/>
      <c r="C228" s="4"/>
      <c r="D228" s="4"/>
      <c r="E228" s="4"/>
      <c r="F228" s="4"/>
      <c r="G228" s="4"/>
    </row>
    <row r="229">
      <c r="A229" s="4"/>
      <c r="B229" s="4"/>
      <c r="C229" s="4"/>
      <c r="D229" s="4"/>
      <c r="E229" s="4"/>
      <c r="F229" s="4"/>
      <c r="G229" s="4"/>
    </row>
    <row r="230">
      <c r="A230" s="4"/>
      <c r="B230" s="4"/>
      <c r="C230" s="4"/>
      <c r="D230" s="4"/>
      <c r="E230" s="4"/>
      <c r="F230" s="4"/>
      <c r="G230" s="4"/>
    </row>
    <row r="231">
      <c r="A231" s="4"/>
      <c r="B231" s="4"/>
      <c r="C231" s="4"/>
      <c r="D231" s="4"/>
      <c r="E231" s="4"/>
      <c r="F231" s="4"/>
      <c r="G231" s="4"/>
    </row>
    <row r="232">
      <c r="A232" s="4"/>
      <c r="B232" s="4"/>
      <c r="C232" s="4"/>
      <c r="D232" s="4"/>
      <c r="E232" s="4"/>
      <c r="F232" s="4"/>
      <c r="G232" s="4"/>
    </row>
    <row r="233">
      <c r="A233" s="4"/>
      <c r="B233" s="4"/>
      <c r="C233" s="4"/>
      <c r="D233" s="4"/>
      <c r="E233" s="4"/>
      <c r="F233" s="4"/>
      <c r="G233" s="4"/>
    </row>
    <row r="234">
      <c r="A234" s="4"/>
      <c r="B234" s="4"/>
      <c r="C234" s="4"/>
      <c r="D234" s="4"/>
      <c r="E234" s="4"/>
      <c r="F234" s="4"/>
      <c r="G234" s="4"/>
    </row>
    <row r="235">
      <c r="A235" s="4"/>
      <c r="B235" s="4"/>
      <c r="C235" s="4"/>
      <c r="D235" s="4"/>
      <c r="E235" s="4"/>
      <c r="F235" s="4"/>
      <c r="G235" s="4"/>
    </row>
    <row r="236">
      <c r="A236" s="4"/>
      <c r="B236" s="4"/>
      <c r="C236" s="4"/>
      <c r="D236" s="4"/>
      <c r="E236" s="4"/>
      <c r="F236" s="4"/>
      <c r="G236" s="4"/>
    </row>
    <row r="237">
      <c r="A237" s="4"/>
      <c r="B237" s="4"/>
      <c r="C237" s="4"/>
      <c r="D237" s="4"/>
      <c r="E237" s="4"/>
      <c r="F237" s="4"/>
      <c r="G237" s="4"/>
    </row>
    <row r="238">
      <c r="A238" s="4"/>
      <c r="B238" s="4"/>
      <c r="C238" s="4"/>
      <c r="D238" s="4"/>
      <c r="E238" s="4"/>
      <c r="F238" s="4"/>
      <c r="G238" s="4"/>
    </row>
    <row r="239">
      <c r="A239" s="4"/>
      <c r="B239" s="4"/>
      <c r="C239" s="4"/>
      <c r="D239" s="4"/>
      <c r="E239" s="4"/>
      <c r="F239" s="4"/>
      <c r="G239" s="4"/>
    </row>
    <row r="240">
      <c r="A240" s="4"/>
      <c r="B240" s="4"/>
      <c r="C240" s="4"/>
      <c r="D240" s="4"/>
      <c r="E240" s="4"/>
      <c r="F240" s="4"/>
      <c r="G240" s="4"/>
    </row>
    <row r="241">
      <c r="A241" s="4"/>
      <c r="B241" s="4"/>
      <c r="C241" s="4"/>
      <c r="D241" s="4"/>
      <c r="E241" s="4"/>
      <c r="F241" s="4"/>
      <c r="G241" s="4"/>
    </row>
    <row r="242">
      <c r="A242" s="4"/>
      <c r="B242" s="4"/>
      <c r="C242" s="4"/>
      <c r="D242" s="4"/>
      <c r="E242" s="4"/>
      <c r="F242" s="4"/>
      <c r="G242" s="4"/>
    </row>
    <row r="243">
      <c r="A243" s="4"/>
      <c r="B243" s="4"/>
      <c r="C243" s="4"/>
      <c r="D243" s="4"/>
      <c r="E243" s="4"/>
      <c r="F243" s="4"/>
      <c r="G243" s="4"/>
    </row>
    <row r="244">
      <c r="A244" s="4"/>
      <c r="B244" s="4"/>
      <c r="C244" s="4"/>
      <c r="D244" s="4"/>
      <c r="E244" s="4"/>
      <c r="F244" s="4"/>
      <c r="G244" s="4"/>
    </row>
    <row r="245">
      <c r="A245" s="4"/>
      <c r="B245" s="4"/>
      <c r="C245" s="4"/>
      <c r="D245" s="4"/>
      <c r="E245" s="4"/>
      <c r="F245" s="4"/>
      <c r="G245" s="4"/>
    </row>
    <row r="246">
      <c r="A246" s="4"/>
      <c r="B246" s="4"/>
      <c r="C246" s="4"/>
      <c r="D246" s="4"/>
      <c r="E246" s="4"/>
      <c r="F246" s="4"/>
      <c r="G246" s="4"/>
    </row>
    <row r="247">
      <c r="A247" s="4"/>
      <c r="B247" s="4"/>
      <c r="C247" s="4"/>
      <c r="D247" s="4"/>
      <c r="E247" s="4"/>
      <c r="F247" s="4"/>
      <c r="G247" s="4"/>
    </row>
    <row r="248">
      <c r="A248" s="4"/>
      <c r="B248" s="4"/>
      <c r="C248" s="4"/>
      <c r="D248" s="4"/>
      <c r="E248" s="4"/>
      <c r="F248" s="4"/>
      <c r="G248" s="4"/>
    </row>
    <row r="249">
      <c r="A249" s="4"/>
      <c r="B249" s="4"/>
      <c r="C249" s="4"/>
      <c r="D249" s="4"/>
      <c r="E249" s="4"/>
      <c r="F249" s="4"/>
      <c r="G249" s="4"/>
    </row>
    <row r="250">
      <c r="A250" s="4"/>
      <c r="B250" s="4"/>
      <c r="C250" s="4"/>
      <c r="D250" s="4"/>
      <c r="E250" s="4"/>
      <c r="F250" s="4"/>
      <c r="G250" s="4"/>
    </row>
    <row r="251">
      <c r="A251" s="4"/>
      <c r="B251" s="4"/>
      <c r="C251" s="4"/>
      <c r="D251" s="4"/>
      <c r="E251" s="4"/>
      <c r="F251" s="4"/>
      <c r="G251" s="4"/>
    </row>
    <row r="252">
      <c r="A252" s="4"/>
      <c r="B252" s="4"/>
      <c r="C252" s="4"/>
      <c r="D252" s="4"/>
      <c r="E252" s="4"/>
      <c r="F252" s="4"/>
      <c r="G252" s="4"/>
    </row>
    <row r="253">
      <c r="A253" s="4"/>
      <c r="B253" s="4"/>
      <c r="C253" s="4"/>
      <c r="D253" s="4"/>
      <c r="E253" s="4"/>
      <c r="F253" s="4"/>
      <c r="G253" s="4"/>
    </row>
    <row r="254">
      <c r="A254" s="4"/>
      <c r="B254" s="4"/>
      <c r="C254" s="4"/>
      <c r="D254" s="4"/>
      <c r="E254" s="4"/>
      <c r="F254" s="4"/>
      <c r="G254" s="4"/>
    </row>
    <row r="255">
      <c r="A255" s="4"/>
      <c r="B255" s="4"/>
      <c r="C255" s="4"/>
      <c r="D255" s="4"/>
      <c r="E255" s="4"/>
      <c r="F255" s="4"/>
      <c r="G255" s="4"/>
    </row>
    <row r="256">
      <c r="A256" s="4"/>
      <c r="B256" s="4"/>
      <c r="C256" s="4"/>
      <c r="D256" s="4"/>
      <c r="E256" s="4"/>
      <c r="F256" s="4"/>
      <c r="G256" s="4"/>
    </row>
    <row r="257">
      <c r="A257" s="4"/>
      <c r="B257" s="4"/>
      <c r="C257" s="4"/>
      <c r="D257" s="4"/>
      <c r="E257" s="4"/>
      <c r="F257" s="4"/>
      <c r="G257" s="4"/>
    </row>
    <row r="258">
      <c r="A258" s="4"/>
      <c r="B258" s="4"/>
      <c r="C258" s="4"/>
      <c r="D258" s="4"/>
      <c r="E258" s="4"/>
      <c r="F258" s="4"/>
      <c r="G258" s="4"/>
    </row>
    <row r="259">
      <c r="A259" s="4"/>
      <c r="B259" s="4"/>
      <c r="C259" s="4"/>
      <c r="D259" s="4"/>
      <c r="E259" s="4"/>
      <c r="F259" s="4"/>
      <c r="G259" s="4"/>
    </row>
    <row r="260">
      <c r="A260" s="4"/>
      <c r="B260" s="4"/>
      <c r="C260" s="4"/>
      <c r="D260" s="4"/>
      <c r="E260" s="4"/>
      <c r="F260" s="4"/>
      <c r="G260" s="4"/>
    </row>
    <row r="261">
      <c r="A261" s="4"/>
      <c r="B261" s="4"/>
      <c r="C261" s="4"/>
      <c r="D261" s="4"/>
      <c r="E261" s="4"/>
      <c r="F261" s="4"/>
      <c r="G261" s="4"/>
    </row>
    <row r="262">
      <c r="A262" s="4"/>
      <c r="B262" s="4"/>
      <c r="C262" s="4"/>
      <c r="D262" s="4"/>
      <c r="E262" s="4"/>
      <c r="F262" s="4"/>
      <c r="G262" s="4"/>
    </row>
    <row r="263">
      <c r="A263" s="4"/>
      <c r="B263" s="4"/>
      <c r="C263" s="4"/>
      <c r="D263" s="4"/>
      <c r="E263" s="4"/>
      <c r="F263" s="4"/>
      <c r="G263" s="4"/>
    </row>
    <row r="264">
      <c r="A264" s="4"/>
      <c r="B264" s="4"/>
      <c r="C264" s="4"/>
      <c r="D264" s="4"/>
      <c r="E264" s="4"/>
      <c r="F264" s="4"/>
      <c r="G264" s="4"/>
    </row>
    <row r="265">
      <c r="A265" s="4"/>
      <c r="B265" s="4"/>
      <c r="C265" s="4"/>
      <c r="D265" s="4"/>
      <c r="E265" s="4"/>
      <c r="F265" s="4"/>
      <c r="G265" s="4"/>
    </row>
    <row r="266">
      <c r="A266" s="4"/>
      <c r="B266" s="4"/>
      <c r="C266" s="4"/>
      <c r="D266" s="4"/>
      <c r="E266" s="4"/>
      <c r="F266" s="4"/>
      <c r="G266" s="4"/>
    </row>
    <row r="267">
      <c r="A267" s="4"/>
      <c r="B267" s="4"/>
      <c r="C267" s="4"/>
      <c r="D267" s="4"/>
      <c r="E267" s="4"/>
      <c r="F267" s="4"/>
      <c r="G267" s="4"/>
    </row>
    <row r="268">
      <c r="A268" s="4"/>
      <c r="B268" s="4"/>
      <c r="C268" s="4"/>
      <c r="D268" s="4"/>
      <c r="E268" s="4"/>
      <c r="F268" s="4"/>
      <c r="G268" s="4"/>
    </row>
    <row r="269">
      <c r="A269" s="4"/>
      <c r="B269" s="4"/>
      <c r="C269" s="4"/>
      <c r="D269" s="4"/>
      <c r="E269" s="4"/>
      <c r="F269" s="4"/>
      <c r="G269" s="4"/>
    </row>
    <row r="270">
      <c r="A270" s="4"/>
      <c r="B270" s="4"/>
      <c r="C270" s="4"/>
      <c r="D270" s="4"/>
      <c r="E270" s="4"/>
      <c r="F270" s="4"/>
      <c r="G270" s="4"/>
    </row>
    <row r="271">
      <c r="A271" s="4"/>
      <c r="B271" s="4"/>
      <c r="C271" s="4"/>
      <c r="D271" s="4"/>
      <c r="E271" s="4"/>
      <c r="F271" s="4"/>
      <c r="G271" s="4"/>
    </row>
    <row r="272">
      <c r="A272" s="4"/>
      <c r="B272" s="4"/>
      <c r="C272" s="4"/>
      <c r="D272" s="4"/>
      <c r="E272" s="4"/>
      <c r="F272" s="4"/>
      <c r="G272" s="4"/>
    </row>
    <row r="273">
      <c r="A273" s="4"/>
      <c r="B273" s="4"/>
      <c r="C273" s="4"/>
      <c r="D273" s="4"/>
      <c r="E273" s="4"/>
      <c r="F273" s="4"/>
      <c r="G273" s="4"/>
    </row>
    <row r="274">
      <c r="A274" s="4"/>
      <c r="B274" s="4"/>
      <c r="C274" s="4"/>
      <c r="D274" s="4"/>
      <c r="E274" s="4"/>
      <c r="F274" s="4"/>
      <c r="G274" s="4"/>
    </row>
    <row r="275">
      <c r="A275" s="4"/>
      <c r="B275" s="4"/>
      <c r="C275" s="4"/>
      <c r="D275" s="4"/>
      <c r="E275" s="4"/>
      <c r="F275" s="4"/>
      <c r="G275" s="4"/>
    </row>
    <row r="276">
      <c r="A276" s="4"/>
      <c r="B276" s="4"/>
      <c r="C276" s="4"/>
      <c r="D276" s="4"/>
      <c r="E276" s="4"/>
      <c r="F276" s="4"/>
      <c r="G276" s="4"/>
    </row>
    <row r="277">
      <c r="A277" s="4"/>
      <c r="B277" s="4"/>
      <c r="C277" s="4"/>
      <c r="D277" s="4"/>
      <c r="E277" s="4"/>
      <c r="F277" s="4"/>
      <c r="G277" s="4"/>
    </row>
    <row r="278">
      <c r="A278" s="4"/>
      <c r="B278" s="4"/>
      <c r="C278" s="4"/>
      <c r="D278" s="4"/>
      <c r="E278" s="4"/>
      <c r="F278" s="4"/>
      <c r="G278" s="4"/>
    </row>
    <row r="279">
      <c r="A279" s="4"/>
      <c r="B279" s="4"/>
      <c r="C279" s="4"/>
      <c r="D279" s="4"/>
      <c r="E279" s="4"/>
      <c r="F279" s="4"/>
      <c r="G279" s="4"/>
    </row>
    <row r="280">
      <c r="A280" s="4"/>
      <c r="B280" s="4"/>
      <c r="C280" s="4"/>
      <c r="D280" s="4"/>
      <c r="E280" s="4"/>
      <c r="F280" s="4"/>
      <c r="G280" s="4"/>
    </row>
    <row r="281">
      <c r="A281" s="4"/>
      <c r="B281" s="4"/>
      <c r="C281" s="4"/>
      <c r="D281" s="4"/>
      <c r="E281" s="4"/>
      <c r="F281" s="4"/>
      <c r="G281" s="4"/>
    </row>
    <row r="282">
      <c r="A282" s="4"/>
      <c r="B282" s="4"/>
      <c r="C282" s="4"/>
      <c r="D282" s="4"/>
      <c r="E282" s="4"/>
      <c r="F282" s="4"/>
      <c r="G282" s="4"/>
    </row>
    <row r="283">
      <c r="A283" s="4"/>
      <c r="B283" s="4"/>
      <c r="C283" s="4"/>
      <c r="D283" s="4"/>
      <c r="E283" s="4"/>
      <c r="F283" s="4"/>
      <c r="G283" s="4"/>
    </row>
    <row r="284">
      <c r="A284" s="4"/>
      <c r="B284" s="4"/>
      <c r="C284" s="4"/>
      <c r="D284" s="4"/>
      <c r="E284" s="4"/>
      <c r="F284" s="4"/>
      <c r="G284" s="4"/>
    </row>
    <row r="285">
      <c r="A285" s="4"/>
      <c r="B285" s="4"/>
      <c r="C285" s="4"/>
      <c r="D285" s="4"/>
      <c r="E285" s="4"/>
      <c r="F285" s="4"/>
      <c r="G285" s="4"/>
    </row>
    <row r="286">
      <c r="A286" s="4"/>
      <c r="B286" s="4"/>
      <c r="C286" s="4"/>
      <c r="D286" s="4"/>
      <c r="E286" s="4"/>
      <c r="F286" s="4"/>
      <c r="G286" s="4"/>
    </row>
    <row r="287">
      <c r="A287" s="4"/>
      <c r="B287" s="4"/>
      <c r="C287" s="4"/>
      <c r="D287" s="4"/>
      <c r="E287" s="4"/>
      <c r="F287" s="4"/>
      <c r="G287" s="4"/>
    </row>
    <row r="288">
      <c r="A288" s="4"/>
      <c r="B288" s="4"/>
      <c r="C288" s="4"/>
      <c r="D288" s="4"/>
      <c r="E288" s="4"/>
      <c r="F288" s="4"/>
      <c r="G288" s="4"/>
    </row>
    <row r="289">
      <c r="A289" s="4"/>
      <c r="B289" s="4"/>
      <c r="C289" s="4"/>
      <c r="D289" s="4"/>
      <c r="E289" s="4"/>
      <c r="F289" s="4"/>
      <c r="G289" s="4"/>
    </row>
    <row r="290">
      <c r="A290" s="4"/>
      <c r="B290" s="4"/>
      <c r="C290" s="4"/>
      <c r="D290" s="4"/>
      <c r="E290" s="4"/>
      <c r="F290" s="4"/>
      <c r="G290" s="4"/>
    </row>
    <row r="291">
      <c r="A291" s="4"/>
      <c r="B291" s="4"/>
      <c r="C291" s="4"/>
      <c r="D291" s="4"/>
      <c r="E291" s="4"/>
      <c r="F291" s="4"/>
      <c r="G291" s="4"/>
    </row>
    <row r="292">
      <c r="A292" s="4"/>
      <c r="B292" s="4"/>
      <c r="C292" s="4"/>
      <c r="D292" s="4"/>
      <c r="E292" s="4"/>
      <c r="F292" s="4"/>
      <c r="G292" s="4"/>
    </row>
    <row r="293">
      <c r="A293" s="4"/>
      <c r="B293" s="4"/>
      <c r="C293" s="4"/>
      <c r="D293" s="4"/>
      <c r="E293" s="4"/>
      <c r="F293" s="4"/>
      <c r="G293" s="4"/>
    </row>
    <row r="294">
      <c r="A294" s="4"/>
      <c r="B294" s="4"/>
      <c r="C294" s="4"/>
      <c r="D294" s="4"/>
      <c r="E294" s="4"/>
      <c r="F294" s="4"/>
      <c r="G294" s="4"/>
    </row>
    <row r="295">
      <c r="A295" s="4"/>
      <c r="B295" s="4"/>
      <c r="C295" s="4"/>
      <c r="D295" s="4"/>
      <c r="E295" s="4"/>
      <c r="F295" s="4"/>
      <c r="G295" s="4"/>
    </row>
    <row r="296">
      <c r="A296" s="4"/>
      <c r="B296" s="4"/>
      <c r="C296" s="4"/>
      <c r="D296" s="4"/>
      <c r="E296" s="4"/>
      <c r="F296" s="4"/>
      <c r="G296" s="4"/>
    </row>
    <row r="297">
      <c r="A297" s="4"/>
      <c r="B297" s="4"/>
      <c r="C297" s="4"/>
      <c r="D297" s="4"/>
      <c r="E297" s="4"/>
      <c r="F297" s="4"/>
      <c r="G297" s="4"/>
    </row>
    <row r="298">
      <c r="A298" s="4"/>
      <c r="B298" s="4"/>
      <c r="C298" s="4"/>
      <c r="D298" s="4"/>
      <c r="E298" s="4"/>
      <c r="F298" s="4"/>
      <c r="G298" s="4"/>
    </row>
    <row r="299">
      <c r="A299" s="4"/>
      <c r="B299" s="4"/>
      <c r="C299" s="4"/>
      <c r="D299" s="4"/>
      <c r="E299" s="4"/>
      <c r="F299" s="4"/>
      <c r="G299" s="4"/>
    </row>
    <row r="300">
      <c r="A300" s="4"/>
      <c r="B300" s="4"/>
      <c r="C300" s="4"/>
      <c r="D300" s="4"/>
      <c r="E300" s="4"/>
      <c r="F300" s="4"/>
      <c r="G300" s="4"/>
    </row>
    <row r="301">
      <c r="A301" s="4"/>
      <c r="B301" s="4"/>
      <c r="C301" s="4"/>
      <c r="D301" s="4"/>
      <c r="E301" s="4"/>
      <c r="F301" s="4"/>
      <c r="G301" s="4"/>
    </row>
    <row r="302">
      <c r="A302" s="4"/>
      <c r="B302" s="4"/>
      <c r="C302" s="4"/>
      <c r="D302" s="4"/>
      <c r="E302" s="4"/>
      <c r="F302" s="4"/>
      <c r="G302" s="4"/>
    </row>
    <row r="303">
      <c r="A303" s="4"/>
      <c r="B303" s="4"/>
      <c r="C303" s="4"/>
      <c r="D303" s="4"/>
      <c r="E303" s="4"/>
      <c r="F303" s="4"/>
      <c r="G303" s="4"/>
    </row>
    <row r="304">
      <c r="A304" s="4"/>
      <c r="B304" s="4"/>
      <c r="C304" s="4"/>
      <c r="D304" s="4"/>
      <c r="E304" s="4"/>
      <c r="F304" s="4"/>
      <c r="G304" s="4"/>
    </row>
    <row r="305">
      <c r="A305" s="4"/>
      <c r="B305" s="4"/>
      <c r="C305" s="4"/>
      <c r="D305" s="4"/>
      <c r="E305" s="4"/>
      <c r="F305" s="4"/>
      <c r="G305" s="4"/>
    </row>
    <row r="306">
      <c r="A306" s="4"/>
      <c r="B306" s="4"/>
      <c r="C306" s="4"/>
      <c r="D306" s="4"/>
      <c r="E306" s="4"/>
      <c r="F306" s="4"/>
      <c r="G306" s="4"/>
    </row>
    <row r="307">
      <c r="A307" s="4"/>
      <c r="B307" s="4"/>
      <c r="C307" s="4"/>
      <c r="D307" s="4"/>
      <c r="E307" s="4"/>
      <c r="F307" s="4"/>
      <c r="G307" s="4"/>
    </row>
    <row r="308">
      <c r="A308" s="4"/>
      <c r="B308" s="4"/>
      <c r="C308" s="4"/>
      <c r="D308" s="4"/>
      <c r="E308" s="4"/>
      <c r="F308" s="4"/>
      <c r="G308" s="4"/>
    </row>
    <row r="309">
      <c r="A309" s="4"/>
      <c r="B309" s="4"/>
      <c r="C309" s="4"/>
      <c r="D309" s="4"/>
      <c r="E309" s="4"/>
      <c r="F309" s="4"/>
      <c r="G309" s="4"/>
    </row>
    <row r="310">
      <c r="A310" s="4"/>
      <c r="B310" s="4"/>
      <c r="C310" s="4"/>
      <c r="D310" s="4"/>
      <c r="E310" s="4"/>
      <c r="F310" s="4"/>
      <c r="G310" s="4"/>
    </row>
    <row r="311">
      <c r="A311" s="4"/>
      <c r="B311" s="4"/>
      <c r="C311" s="4"/>
      <c r="D311" s="4"/>
      <c r="E311" s="4"/>
      <c r="F311" s="4"/>
      <c r="G311" s="4"/>
    </row>
    <row r="312">
      <c r="A312" s="4"/>
      <c r="B312" s="4"/>
      <c r="C312" s="4"/>
      <c r="D312" s="4"/>
      <c r="E312" s="4"/>
      <c r="F312" s="4"/>
      <c r="G312" s="4"/>
    </row>
    <row r="313">
      <c r="A313" s="4"/>
      <c r="B313" s="4"/>
      <c r="C313" s="4"/>
      <c r="D313" s="4"/>
      <c r="E313" s="4"/>
      <c r="F313" s="4"/>
      <c r="G313" s="4"/>
    </row>
    <row r="314">
      <c r="A314" s="4"/>
      <c r="B314" s="4"/>
      <c r="C314" s="4"/>
      <c r="D314" s="4"/>
      <c r="E314" s="4"/>
      <c r="F314" s="4"/>
      <c r="G314" s="4"/>
    </row>
    <row r="315">
      <c r="A315" s="4"/>
      <c r="B315" s="4"/>
      <c r="C315" s="4"/>
      <c r="D315" s="4"/>
      <c r="E315" s="4"/>
      <c r="F315" s="4"/>
      <c r="G315" s="4"/>
    </row>
    <row r="316">
      <c r="A316" s="4"/>
      <c r="B316" s="4"/>
      <c r="C316" s="4"/>
      <c r="D316" s="4"/>
      <c r="E316" s="4"/>
      <c r="F316" s="4"/>
      <c r="G316" s="4"/>
    </row>
    <row r="317">
      <c r="A317" s="4"/>
      <c r="B317" s="4"/>
      <c r="C317" s="4"/>
      <c r="D317" s="4"/>
      <c r="E317" s="4"/>
      <c r="F317" s="4"/>
      <c r="G317" s="4"/>
    </row>
    <row r="318">
      <c r="A318" s="4"/>
      <c r="B318" s="4"/>
      <c r="C318" s="4"/>
      <c r="D318" s="4"/>
      <c r="E318" s="4"/>
      <c r="F318" s="4"/>
      <c r="G318" s="4"/>
    </row>
    <row r="319">
      <c r="A319" s="4"/>
      <c r="B319" s="4"/>
      <c r="C319" s="4"/>
      <c r="D319" s="4"/>
      <c r="E319" s="4"/>
      <c r="F319" s="4"/>
      <c r="G319" s="4"/>
    </row>
    <row r="320">
      <c r="A320" s="4"/>
      <c r="B320" s="4"/>
      <c r="C320" s="4"/>
      <c r="D320" s="4"/>
      <c r="E320" s="4"/>
      <c r="F320" s="4"/>
      <c r="G320" s="4"/>
    </row>
    <row r="321">
      <c r="A321" s="4"/>
      <c r="B321" s="4"/>
      <c r="C321" s="4"/>
      <c r="D321" s="4"/>
      <c r="E321" s="4"/>
      <c r="F321" s="4"/>
      <c r="G321" s="4"/>
    </row>
    <row r="322">
      <c r="A322" s="4"/>
      <c r="B322" s="4"/>
      <c r="C322" s="4"/>
      <c r="D322" s="4"/>
      <c r="E322" s="4"/>
      <c r="F322" s="4"/>
      <c r="G322" s="4"/>
    </row>
    <row r="323">
      <c r="A323" s="4"/>
      <c r="B323" s="4"/>
      <c r="C323" s="4"/>
      <c r="D323" s="4"/>
      <c r="E323" s="4"/>
      <c r="F323" s="4"/>
      <c r="G323" s="4"/>
    </row>
    <row r="324">
      <c r="A324" s="4"/>
      <c r="B324" s="4"/>
      <c r="C324" s="4"/>
      <c r="D324" s="4"/>
      <c r="E324" s="4"/>
      <c r="F324" s="4"/>
      <c r="G324" s="4"/>
    </row>
    <row r="325">
      <c r="A325" s="4"/>
      <c r="B325" s="4"/>
      <c r="C325" s="4"/>
      <c r="D325" s="4"/>
      <c r="E325" s="4"/>
      <c r="F325" s="4"/>
      <c r="G325" s="4"/>
    </row>
    <row r="326">
      <c r="A326" s="4"/>
      <c r="B326" s="4"/>
      <c r="C326" s="4"/>
      <c r="D326" s="4"/>
      <c r="E326" s="4"/>
      <c r="F326" s="4"/>
      <c r="G326" s="4"/>
    </row>
    <row r="327">
      <c r="A327" s="4"/>
      <c r="B327" s="4"/>
      <c r="C327" s="4"/>
      <c r="D327" s="4"/>
      <c r="E327" s="4"/>
      <c r="F327" s="4"/>
      <c r="G327" s="4"/>
    </row>
    <row r="328">
      <c r="A328" s="4"/>
      <c r="B328" s="4"/>
      <c r="C328" s="4"/>
      <c r="D328" s="4"/>
      <c r="E328" s="4"/>
      <c r="F328" s="4"/>
      <c r="G328" s="4"/>
    </row>
    <row r="329">
      <c r="A329" s="4"/>
      <c r="B329" s="4"/>
      <c r="C329" s="4"/>
      <c r="D329" s="4"/>
      <c r="E329" s="4"/>
      <c r="F329" s="4"/>
      <c r="G329" s="4"/>
    </row>
    <row r="330">
      <c r="A330" s="4"/>
      <c r="B330" s="4"/>
      <c r="C330" s="4"/>
      <c r="D330" s="4"/>
      <c r="E330" s="4"/>
      <c r="F330" s="4"/>
      <c r="G330" s="4"/>
    </row>
    <row r="331">
      <c r="A331" s="4"/>
      <c r="B331" s="4"/>
      <c r="C331" s="4"/>
      <c r="D331" s="4"/>
      <c r="E331" s="4"/>
      <c r="F331" s="4"/>
      <c r="G331" s="4"/>
    </row>
    <row r="332">
      <c r="A332" s="4"/>
      <c r="B332" s="4"/>
      <c r="C332" s="4"/>
      <c r="D332" s="4"/>
      <c r="E332" s="4"/>
      <c r="F332" s="4"/>
      <c r="G332" s="4"/>
    </row>
    <row r="333">
      <c r="A333" s="4"/>
      <c r="B333" s="4"/>
      <c r="C333" s="4"/>
      <c r="D333" s="4"/>
      <c r="E333" s="4"/>
      <c r="F333" s="4"/>
      <c r="G333" s="4"/>
    </row>
    <row r="334">
      <c r="A334" s="4"/>
      <c r="B334" s="4"/>
      <c r="C334" s="4"/>
      <c r="D334" s="4"/>
      <c r="E334" s="4"/>
      <c r="F334" s="4"/>
      <c r="G334" s="4"/>
    </row>
    <row r="335">
      <c r="A335" s="4"/>
      <c r="B335" s="4"/>
      <c r="C335" s="4"/>
      <c r="D335" s="4"/>
      <c r="E335" s="4"/>
      <c r="F335" s="4"/>
      <c r="G335" s="4"/>
    </row>
    <row r="336">
      <c r="A336" s="4"/>
      <c r="B336" s="4"/>
      <c r="C336" s="4"/>
      <c r="D336" s="4"/>
      <c r="E336" s="4"/>
      <c r="F336" s="4"/>
      <c r="G336" s="4"/>
    </row>
    <row r="337">
      <c r="A337" s="4"/>
      <c r="B337" s="4"/>
      <c r="C337" s="4"/>
      <c r="D337" s="4"/>
      <c r="E337" s="4"/>
      <c r="F337" s="4"/>
      <c r="G337" s="4"/>
    </row>
    <row r="338">
      <c r="A338" s="4"/>
      <c r="B338" s="4"/>
      <c r="C338" s="4"/>
      <c r="D338" s="4"/>
      <c r="E338" s="4"/>
      <c r="F338" s="4"/>
      <c r="G338" s="4"/>
    </row>
    <row r="339">
      <c r="A339" s="4"/>
      <c r="B339" s="4"/>
      <c r="C339" s="4"/>
      <c r="D339" s="4"/>
      <c r="E339" s="4"/>
      <c r="F339" s="4"/>
      <c r="G339" s="4"/>
    </row>
    <row r="340">
      <c r="A340" s="4"/>
      <c r="B340" s="4"/>
      <c r="C340" s="4"/>
      <c r="D340" s="4"/>
      <c r="E340" s="4"/>
      <c r="F340" s="4"/>
      <c r="G340" s="4"/>
    </row>
    <row r="341">
      <c r="A341" s="4"/>
      <c r="B341" s="4"/>
      <c r="C341" s="4"/>
      <c r="D341" s="4"/>
      <c r="E341" s="4"/>
      <c r="F341" s="4"/>
      <c r="G341" s="4"/>
    </row>
    <row r="342">
      <c r="A342" s="4"/>
      <c r="B342" s="4"/>
      <c r="C342" s="4"/>
      <c r="D342" s="4"/>
      <c r="E342" s="4"/>
      <c r="F342" s="4"/>
      <c r="G342" s="4"/>
    </row>
    <row r="343">
      <c r="A343" s="4"/>
      <c r="B343" s="4"/>
      <c r="C343" s="4"/>
      <c r="D343" s="4"/>
      <c r="E343" s="4"/>
      <c r="F343" s="4"/>
      <c r="G343" s="4"/>
    </row>
    <row r="344">
      <c r="A344" s="4"/>
      <c r="B344" s="4"/>
      <c r="C344" s="4"/>
      <c r="D344" s="4"/>
      <c r="E344" s="4"/>
      <c r="F344" s="4"/>
      <c r="G344" s="4"/>
    </row>
    <row r="345">
      <c r="A345" s="4"/>
      <c r="B345" s="4"/>
      <c r="C345" s="4"/>
      <c r="D345" s="4"/>
      <c r="E345" s="4"/>
      <c r="F345" s="4"/>
      <c r="G345" s="4"/>
    </row>
    <row r="346">
      <c r="A346" s="4"/>
      <c r="B346" s="4"/>
      <c r="C346" s="4"/>
      <c r="D346" s="4"/>
      <c r="E346" s="4"/>
      <c r="F346" s="4"/>
      <c r="G346" s="4"/>
    </row>
    <row r="347">
      <c r="A347" s="4"/>
      <c r="B347" s="4"/>
      <c r="C347" s="4"/>
      <c r="D347" s="4"/>
      <c r="E347" s="4"/>
      <c r="F347" s="4"/>
      <c r="G347" s="4"/>
    </row>
    <row r="348">
      <c r="A348" s="4"/>
      <c r="B348" s="4"/>
      <c r="C348" s="4"/>
      <c r="D348" s="4"/>
      <c r="E348" s="4"/>
      <c r="F348" s="4"/>
      <c r="G348" s="4"/>
    </row>
    <row r="349">
      <c r="A349" s="4"/>
      <c r="B349" s="4"/>
      <c r="C349" s="4"/>
      <c r="D349" s="4"/>
      <c r="E349" s="4"/>
      <c r="F349" s="4"/>
      <c r="G349" s="4"/>
    </row>
    <row r="350">
      <c r="A350" s="4"/>
      <c r="B350" s="4"/>
      <c r="C350" s="4"/>
      <c r="D350" s="4"/>
      <c r="E350" s="4"/>
      <c r="F350" s="4"/>
      <c r="G350" s="4"/>
    </row>
    <row r="351">
      <c r="A351" s="4"/>
      <c r="B351" s="4"/>
      <c r="C351" s="4"/>
      <c r="D351" s="4"/>
      <c r="E351" s="4"/>
      <c r="F351" s="4"/>
      <c r="G351" s="4"/>
    </row>
    <row r="352">
      <c r="A352" s="4"/>
      <c r="B352" s="4"/>
      <c r="C352" s="4"/>
      <c r="D352" s="4"/>
      <c r="E352" s="4"/>
      <c r="F352" s="4"/>
      <c r="G352" s="4"/>
    </row>
    <row r="353">
      <c r="A353" s="4"/>
      <c r="B353" s="4"/>
      <c r="C353" s="4"/>
      <c r="D353" s="4"/>
      <c r="E353" s="4"/>
      <c r="F353" s="4"/>
      <c r="G353" s="4"/>
    </row>
    <row r="354">
      <c r="A354" s="4"/>
      <c r="B354" s="4"/>
      <c r="C354" s="4"/>
      <c r="D354" s="4"/>
      <c r="E354" s="4"/>
      <c r="F354" s="4"/>
      <c r="G354" s="4"/>
    </row>
    <row r="355">
      <c r="A355" s="4"/>
      <c r="B355" s="4"/>
      <c r="C355" s="4"/>
      <c r="D355" s="4"/>
      <c r="E355" s="4"/>
      <c r="F355" s="4"/>
      <c r="G355" s="4"/>
    </row>
    <row r="356">
      <c r="A356" s="4"/>
      <c r="B356" s="4"/>
      <c r="C356" s="4"/>
      <c r="D356" s="4"/>
      <c r="E356" s="4"/>
      <c r="F356" s="4"/>
      <c r="G356" s="4"/>
    </row>
    <row r="357">
      <c r="A357" s="4"/>
      <c r="B357" s="4"/>
      <c r="C357" s="4"/>
      <c r="D357" s="4"/>
      <c r="E357" s="4"/>
      <c r="F357" s="4"/>
      <c r="G357" s="4"/>
    </row>
    <row r="358">
      <c r="A358" s="4"/>
      <c r="B358" s="4"/>
      <c r="C358" s="4"/>
      <c r="D358" s="4"/>
      <c r="E358" s="4"/>
      <c r="F358" s="4"/>
      <c r="G358" s="4"/>
    </row>
    <row r="359">
      <c r="A359" s="4"/>
      <c r="B359" s="4"/>
      <c r="C359" s="4"/>
      <c r="D359" s="4"/>
      <c r="E359" s="4"/>
      <c r="F359" s="4"/>
      <c r="G359" s="4"/>
    </row>
    <row r="360">
      <c r="A360" s="4"/>
      <c r="B360" s="4"/>
      <c r="C360" s="4"/>
      <c r="D360" s="4"/>
      <c r="E360" s="4"/>
      <c r="F360" s="4"/>
      <c r="G360" s="4"/>
    </row>
    <row r="361">
      <c r="A361" s="4"/>
      <c r="B361" s="4"/>
      <c r="C361" s="4"/>
      <c r="D361" s="4"/>
      <c r="E361" s="4"/>
      <c r="F361" s="4"/>
      <c r="G361" s="4"/>
    </row>
    <row r="362">
      <c r="A362" s="4"/>
      <c r="B362" s="4"/>
      <c r="C362" s="4"/>
      <c r="D362" s="4"/>
      <c r="E362" s="4"/>
      <c r="F362" s="4"/>
      <c r="G362" s="4"/>
    </row>
    <row r="363">
      <c r="A363" s="4"/>
      <c r="B363" s="4"/>
      <c r="C363" s="4"/>
      <c r="D363" s="4"/>
      <c r="E363" s="4"/>
      <c r="F363" s="4"/>
      <c r="G363" s="4"/>
    </row>
    <row r="364">
      <c r="A364" s="4"/>
      <c r="B364" s="4"/>
      <c r="C364" s="4"/>
      <c r="D364" s="4"/>
      <c r="E364" s="4"/>
      <c r="F364" s="4"/>
      <c r="G364" s="4"/>
    </row>
    <row r="365">
      <c r="A365" s="4"/>
      <c r="B365" s="4"/>
      <c r="C365" s="4"/>
      <c r="D365" s="4"/>
      <c r="E365" s="4"/>
      <c r="F365" s="4"/>
      <c r="G365" s="4"/>
    </row>
    <row r="366">
      <c r="A366" s="4"/>
      <c r="B366" s="4"/>
      <c r="C366" s="4"/>
      <c r="D366" s="4"/>
      <c r="E366" s="4"/>
      <c r="F366" s="4"/>
      <c r="G366" s="4"/>
    </row>
    <row r="367">
      <c r="A367" s="4"/>
      <c r="B367" s="4"/>
      <c r="C367" s="4"/>
      <c r="D367" s="4"/>
      <c r="E367" s="4"/>
      <c r="F367" s="4"/>
      <c r="G367" s="4"/>
    </row>
    <row r="368">
      <c r="A368" s="4"/>
      <c r="B368" s="4"/>
      <c r="C368" s="4"/>
      <c r="D368" s="4"/>
      <c r="E368" s="4"/>
      <c r="F368" s="4"/>
      <c r="G368" s="4"/>
    </row>
    <row r="369">
      <c r="A369" s="4"/>
      <c r="B369" s="4"/>
      <c r="C369" s="4"/>
      <c r="D369" s="4"/>
      <c r="E369" s="4"/>
      <c r="F369" s="4"/>
      <c r="G369" s="4"/>
    </row>
    <row r="370">
      <c r="A370" s="4"/>
      <c r="B370" s="4"/>
      <c r="C370" s="4"/>
      <c r="D370" s="4"/>
      <c r="E370" s="4"/>
      <c r="F370" s="4"/>
      <c r="G370" s="4"/>
    </row>
    <row r="371">
      <c r="A371" s="4"/>
      <c r="B371" s="4"/>
      <c r="C371" s="4"/>
      <c r="D371" s="4"/>
      <c r="E371" s="4"/>
      <c r="F371" s="4"/>
      <c r="G371" s="4"/>
    </row>
    <row r="372">
      <c r="A372" s="4"/>
      <c r="B372" s="4"/>
      <c r="C372" s="4"/>
      <c r="D372" s="4"/>
      <c r="E372" s="4"/>
      <c r="F372" s="4"/>
      <c r="G372" s="4"/>
    </row>
    <row r="373">
      <c r="A373" s="4"/>
      <c r="B373" s="4"/>
      <c r="C373" s="4"/>
      <c r="D373" s="4"/>
      <c r="E373" s="4"/>
      <c r="F373" s="4"/>
      <c r="G373" s="4"/>
    </row>
    <row r="374">
      <c r="A374" s="4"/>
      <c r="B374" s="4"/>
      <c r="C374" s="4"/>
      <c r="D374" s="4"/>
      <c r="E374" s="4"/>
      <c r="F374" s="4"/>
      <c r="G374" s="4"/>
    </row>
    <row r="375">
      <c r="A375" s="4"/>
      <c r="B375" s="4"/>
      <c r="C375" s="4"/>
      <c r="D375" s="4"/>
      <c r="E375" s="4"/>
      <c r="F375" s="4"/>
      <c r="G375" s="4"/>
    </row>
    <row r="376">
      <c r="A376" s="4"/>
      <c r="B376" s="4"/>
      <c r="C376" s="4"/>
      <c r="D376" s="4"/>
      <c r="E376" s="4"/>
      <c r="F376" s="4"/>
      <c r="G376" s="4"/>
    </row>
    <row r="377">
      <c r="A377" s="4"/>
      <c r="B377" s="4"/>
      <c r="C377" s="4"/>
      <c r="D377" s="4"/>
      <c r="E377" s="4"/>
      <c r="F377" s="4"/>
      <c r="G377" s="4"/>
    </row>
    <row r="378">
      <c r="A378" s="4"/>
      <c r="B378" s="4"/>
      <c r="C378" s="4"/>
      <c r="D378" s="4"/>
      <c r="E378" s="4"/>
      <c r="F378" s="4"/>
      <c r="G378" s="4"/>
    </row>
    <row r="379">
      <c r="A379" s="4"/>
      <c r="B379" s="4"/>
      <c r="C379" s="4"/>
      <c r="D379" s="4"/>
      <c r="E379" s="4"/>
      <c r="F379" s="4"/>
      <c r="G379" s="4"/>
    </row>
    <row r="380">
      <c r="A380" s="4"/>
      <c r="B380" s="4"/>
      <c r="C380" s="4"/>
      <c r="D380" s="4"/>
      <c r="E380" s="4"/>
      <c r="F380" s="4"/>
      <c r="G380" s="4"/>
    </row>
    <row r="381">
      <c r="A381" s="4"/>
      <c r="B381" s="4"/>
      <c r="C381" s="4"/>
      <c r="D381" s="4"/>
      <c r="E381" s="4"/>
      <c r="F381" s="4"/>
      <c r="G381" s="4"/>
    </row>
    <row r="382">
      <c r="A382" s="4"/>
      <c r="B382" s="4"/>
      <c r="C382" s="4"/>
      <c r="D382" s="4"/>
      <c r="E382" s="4"/>
      <c r="F382" s="4"/>
      <c r="G382" s="4"/>
    </row>
    <row r="383">
      <c r="A383" s="4"/>
      <c r="B383" s="4"/>
      <c r="C383" s="4"/>
      <c r="D383" s="4"/>
      <c r="E383" s="4"/>
      <c r="F383" s="4"/>
      <c r="G383" s="4"/>
    </row>
    <row r="384">
      <c r="A384" s="4"/>
      <c r="B384" s="4"/>
      <c r="C384" s="4"/>
      <c r="D384" s="4"/>
      <c r="E384" s="4"/>
      <c r="F384" s="4"/>
      <c r="G384" s="4"/>
    </row>
    <row r="385">
      <c r="A385" s="4"/>
      <c r="B385" s="4"/>
      <c r="C385" s="4"/>
      <c r="D385" s="4"/>
      <c r="E385" s="4"/>
      <c r="F385" s="4"/>
      <c r="G385" s="4"/>
    </row>
    <row r="386">
      <c r="A386" s="4"/>
      <c r="B386" s="4"/>
      <c r="C386" s="4"/>
      <c r="D386" s="4"/>
      <c r="E386" s="4"/>
      <c r="F386" s="4"/>
      <c r="G386" s="4"/>
    </row>
    <row r="387">
      <c r="A387" s="4"/>
      <c r="B387" s="4"/>
      <c r="C387" s="4"/>
      <c r="D387" s="4"/>
      <c r="E387" s="4"/>
      <c r="F387" s="4"/>
      <c r="G387" s="4"/>
    </row>
    <row r="388">
      <c r="A388" s="4"/>
      <c r="B388" s="4"/>
      <c r="C388" s="4"/>
      <c r="D388" s="4"/>
      <c r="E388" s="4"/>
      <c r="F388" s="4"/>
      <c r="G388" s="4"/>
    </row>
    <row r="389">
      <c r="A389" s="4"/>
      <c r="B389" s="4"/>
      <c r="C389" s="4"/>
      <c r="D389" s="4"/>
      <c r="E389" s="4"/>
      <c r="F389" s="4"/>
      <c r="G389" s="4"/>
    </row>
    <row r="390">
      <c r="A390" s="4"/>
      <c r="B390" s="4"/>
      <c r="C390" s="4"/>
      <c r="D390" s="4"/>
      <c r="E390" s="4"/>
      <c r="F390" s="4"/>
      <c r="G390" s="4"/>
    </row>
    <row r="391">
      <c r="A391" s="4"/>
      <c r="B391" s="4"/>
      <c r="C391" s="4"/>
      <c r="D391" s="4"/>
      <c r="E391" s="4"/>
      <c r="F391" s="4"/>
      <c r="G391" s="4"/>
    </row>
    <row r="392">
      <c r="A392" s="4"/>
      <c r="B392" s="4"/>
      <c r="C392" s="4"/>
      <c r="D392" s="4"/>
      <c r="E392" s="4"/>
      <c r="F392" s="4"/>
      <c r="G392" s="4"/>
    </row>
    <row r="393">
      <c r="A393" s="4"/>
      <c r="B393" s="4"/>
      <c r="C393" s="4"/>
      <c r="D393" s="4"/>
      <c r="E393" s="4"/>
      <c r="F393" s="4"/>
      <c r="G393" s="4"/>
    </row>
    <row r="394">
      <c r="A394" s="4"/>
      <c r="B394" s="4"/>
      <c r="C394" s="4"/>
      <c r="D394" s="4"/>
      <c r="E394" s="4"/>
      <c r="F394" s="4"/>
      <c r="G394" s="4"/>
    </row>
    <row r="395">
      <c r="A395" s="4"/>
      <c r="B395" s="4"/>
      <c r="C395" s="4"/>
      <c r="D395" s="4"/>
      <c r="E395" s="4"/>
      <c r="F395" s="4"/>
      <c r="G395" s="4"/>
    </row>
    <row r="396">
      <c r="A396" s="4"/>
      <c r="B396" s="4"/>
      <c r="C396" s="4"/>
      <c r="D396" s="4"/>
      <c r="E396" s="4"/>
      <c r="F396" s="4"/>
      <c r="G396" s="4"/>
    </row>
    <row r="397">
      <c r="A397" s="4"/>
      <c r="B397" s="4"/>
      <c r="C397" s="4"/>
      <c r="D397" s="4"/>
      <c r="E397" s="4"/>
      <c r="F397" s="4"/>
      <c r="G397" s="4"/>
    </row>
    <row r="398">
      <c r="A398" s="4"/>
      <c r="B398" s="4"/>
      <c r="C398" s="4"/>
      <c r="D398" s="4"/>
      <c r="E398" s="4"/>
      <c r="F398" s="4"/>
      <c r="G398" s="4"/>
    </row>
    <row r="399">
      <c r="A399" s="4"/>
      <c r="B399" s="4"/>
      <c r="C399" s="4"/>
      <c r="D399" s="4"/>
      <c r="E399" s="4"/>
      <c r="F399" s="4"/>
      <c r="G399" s="4"/>
    </row>
    <row r="400">
      <c r="A400" s="4"/>
      <c r="B400" s="4"/>
      <c r="C400" s="4"/>
      <c r="D400" s="4"/>
      <c r="E400" s="4"/>
      <c r="F400" s="4"/>
      <c r="G400" s="4"/>
    </row>
    <row r="401">
      <c r="A401" s="4"/>
      <c r="B401" s="4"/>
      <c r="C401" s="4"/>
      <c r="D401" s="4"/>
      <c r="E401" s="4"/>
      <c r="F401" s="4"/>
      <c r="G401" s="4"/>
    </row>
    <row r="402">
      <c r="A402" s="4"/>
      <c r="B402" s="4"/>
      <c r="C402" s="4"/>
      <c r="D402" s="4"/>
      <c r="E402" s="4"/>
      <c r="F402" s="4"/>
      <c r="G402" s="4"/>
    </row>
    <row r="403">
      <c r="A403" s="4"/>
      <c r="B403" s="4"/>
      <c r="C403" s="4"/>
      <c r="D403" s="4"/>
      <c r="E403" s="4"/>
      <c r="F403" s="4"/>
      <c r="G403" s="4"/>
    </row>
    <row r="404">
      <c r="A404" s="4"/>
      <c r="B404" s="4"/>
      <c r="C404" s="4"/>
      <c r="D404" s="4"/>
      <c r="E404" s="4"/>
      <c r="F404" s="4"/>
      <c r="G404" s="4"/>
    </row>
    <row r="405">
      <c r="A405" s="4"/>
      <c r="B405" s="4"/>
      <c r="C405" s="4"/>
      <c r="D405" s="4"/>
      <c r="E405" s="4"/>
      <c r="F405" s="4"/>
      <c r="G405" s="4"/>
    </row>
    <row r="406">
      <c r="A406" s="4"/>
      <c r="B406" s="4"/>
      <c r="C406" s="4"/>
      <c r="D406" s="4"/>
      <c r="E406" s="4"/>
      <c r="F406" s="4"/>
      <c r="G406" s="4"/>
    </row>
    <row r="407">
      <c r="A407" s="4"/>
      <c r="B407" s="4"/>
      <c r="C407" s="4"/>
      <c r="D407" s="4"/>
      <c r="E407" s="4"/>
      <c r="F407" s="4"/>
      <c r="G407" s="4"/>
    </row>
    <row r="408">
      <c r="A408" s="4"/>
      <c r="B408" s="4"/>
      <c r="C408" s="4"/>
      <c r="D408" s="4"/>
      <c r="E408" s="4"/>
      <c r="F408" s="4"/>
      <c r="G408" s="4"/>
    </row>
    <row r="409">
      <c r="A409" s="4"/>
      <c r="B409" s="4"/>
      <c r="C409" s="4"/>
      <c r="D409" s="4"/>
      <c r="E409" s="4"/>
      <c r="F409" s="4"/>
      <c r="G409" s="4"/>
    </row>
    <row r="410">
      <c r="A410" s="4"/>
      <c r="B410" s="4"/>
      <c r="C410" s="4"/>
      <c r="D410" s="4"/>
      <c r="E410" s="4"/>
      <c r="F410" s="4"/>
      <c r="G410" s="4"/>
    </row>
    <row r="411">
      <c r="A411" s="4"/>
      <c r="B411" s="4"/>
      <c r="C411" s="4"/>
      <c r="D411" s="4"/>
      <c r="E411" s="4"/>
      <c r="F411" s="4"/>
      <c r="G411" s="4"/>
    </row>
    <row r="412">
      <c r="A412" s="4"/>
      <c r="B412" s="4"/>
      <c r="C412" s="4"/>
      <c r="D412" s="4"/>
      <c r="E412" s="4"/>
      <c r="F412" s="4"/>
      <c r="G412" s="4"/>
    </row>
    <row r="413">
      <c r="A413" s="4"/>
      <c r="B413" s="4"/>
      <c r="C413" s="4"/>
      <c r="D413" s="4"/>
      <c r="E413" s="4"/>
      <c r="F413" s="4"/>
      <c r="G413" s="4"/>
    </row>
    <row r="414">
      <c r="A414" s="4"/>
      <c r="B414" s="4"/>
      <c r="C414" s="4"/>
      <c r="D414" s="4"/>
      <c r="E414" s="4"/>
      <c r="F414" s="4"/>
      <c r="G414" s="4"/>
    </row>
    <row r="415">
      <c r="A415" s="4"/>
      <c r="B415" s="4"/>
      <c r="C415" s="4"/>
      <c r="D415" s="4"/>
      <c r="E415" s="4"/>
      <c r="F415" s="4"/>
      <c r="G415" s="4"/>
    </row>
    <row r="416">
      <c r="A416" s="4"/>
      <c r="B416" s="4"/>
      <c r="C416" s="4"/>
      <c r="D416" s="4"/>
      <c r="E416" s="4"/>
      <c r="F416" s="4"/>
      <c r="G416" s="4"/>
    </row>
    <row r="417">
      <c r="A417" s="4"/>
      <c r="B417" s="4"/>
      <c r="C417" s="4"/>
      <c r="D417" s="4"/>
      <c r="E417" s="4"/>
      <c r="F417" s="4"/>
      <c r="G417" s="4"/>
    </row>
    <row r="418">
      <c r="A418" s="4"/>
      <c r="B418" s="4"/>
      <c r="C418" s="4"/>
      <c r="D418" s="4"/>
      <c r="E418" s="4"/>
      <c r="F418" s="4"/>
      <c r="G418" s="4"/>
    </row>
    <row r="419">
      <c r="A419" s="4"/>
      <c r="B419" s="4"/>
      <c r="C419" s="4"/>
      <c r="D419" s="4"/>
      <c r="E419" s="4"/>
      <c r="F419" s="4"/>
      <c r="G419" s="4"/>
    </row>
    <row r="420">
      <c r="A420" s="4"/>
      <c r="B420" s="4"/>
      <c r="C420" s="4"/>
      <c r="D420" s="4"/>
      <c r="E420" s="4"/>
      <c r="F420" s="4"/>
      <c r="G420" s="4"/>
    </row>
    <row r="421">
      <c r="A421" s="4"/>
      <c r="B421" s="4"/>
      <c r="C421" s="4"/>
      <c r="D421" s="4"/>
      <c r="E421" s="4"/>
      <c r="F421" s="4"/>
      <c r="G421" s="4"/>
    </row>
    <row r="422">
      <c r="A422" s="4"/>
      <c r="B422" s="4"/>
      <c r="C422" s="4"/>
      <c r="D422" s="4"/>
      <c r="E422" s="4"/>
      <c r="F422" s="4"/>
      <c r="G422" s="4"/>
    </row>
    <row r="423">
      <c r="A423" s="4"/>
      <c r="B423" s="4"/>
      <c r="C423" s="4"/>
      <c r="D423" s="4"/>
      <c r="E423" s="4"/>
      <c r="F423" s="4"/>
      <c r="G423" s="4"/>
    </row>
    <row r="424">
      <c r="A424" s="4"/>
      <c r="B424" s="4"/>
      <c r="C424" s="4"/>
      <c r="D424" s="4"/>
      <c r="E424" s="4"/>
      <c r="F424" s="4"/>
      <c r="G424" s="4"/>
    </row>
    <row r="425">
      <c r="A425" s="4"/>
      <c r="B425" s="4"/>
      <c r="C425" s="4"/>
      <c r="D425" s="4"/>
      <c r="E425" s="4"/>
      <c r="F425" s="4"/>
      <c r="G425" s="4"/>
    </row>
    <row r="426">
      <c r="A426" s="4"/>
      <c r="B426" s="4"/>
      <c r="C426" s="4"/>
      <c r="D426" s="4"/>
      <c r="E426" s="4"/>
      <c r="F426" s="4"/>
      <c r="G426" s="4"/>
    </row>
    <row r="427">
      <c r="A427" s="4"/>
      <c r="B427" s="4"/>
      <c r="C427" s="4"/>
      <c r="D427" s="4"/>
      <c r="E427" s="4"/>
      <c r="F427" s="4"/>
      <c r="G427" s="4"/>
    </row>
    <row r="428">
      <c r="A428" s="4"/>
      <c r="B428" s="4"/>
      <c r="C428" s="4"/>
      <c r="D428" s="4"/>
      <c r="E428" s="4"/>
      <c r="F428" s="4"/>
      <c r="G428" s="4"/>
    </row>
    <row r="429">
      <c r="A429" s="4"/>
      <c r="B429" s="4"/>
      <c r="C429" s="4"/>
      <c r="D429" s="4"/>
      <c r="E429" s="4"/>
      <c r="F429" s="4"/>
      <c r="G429" s="4"/>
    </row>
    <row r="430">
      <c r="A430" s="4"/>
      <c r="B430" s="4"/>
      <c r="C430" s="4"/>
      <c r="D430" s="4"/>
      <c r="E430" s="4"/>
      <c r="F430" s="4"/>
      <c r="G430" s="4"/>
    </row>
    <row r="431">
      <c r="A431" s="4"/>
      <c r="B431" s="4"/>
      <c r="C431" s="4"/>
      <c r="D431" s="4"/>
      <c r="E431" s="4"/>
      <c r="F431" s="4"/>
      <c r="G431" s="4"/>
    </row>
    <row r="432">
      <c r="A432" s="4"/>
      <c r="B432" s="4"/>
      <c r="C432" s="4"/>
      <c r="D432" s="4"/>
      <c r="E432" s="4"/>
      <c r="F432" s="4"/>
      <c r="G432" s="4"/>
    </row>
    <row r="433">
      <c r="A433" s="4"/>
      <c r="B433" s="4"/>
      <c r="C433" s="4"/>
      <c r="D433" s="4"/>
      <c r="E433" s="4"/>
      <c r="F433" s="4"/>
      <c r="G433" s="4"/>
    </row>
    <row r="434">
      <c r="A434" s="4"/>
      <c r="B434" s="4"/>
      <c r="C434" s="4"/>
      <c r="D434" s="4"/>
      <c r="E434" s="4"/>
      <c r="F434" s="4"/>
      <c r="G434" s="4"/>
    </row>
    <row r="435">
      <c r="A435" s="4"/>
      <c r="B435" s="4"/>
      <c r="C435" s="4"/>
      <c r="D435" s="4"/>
      <c r="E435" s="4"/>
      <c r="F435" s="4"/>
      <c r="G435" s="4"/>
    </row>
    <row r="436">
      <c r="A436" s="4"/>
      <c r="B436" s="4"/>
      <c r="C436" s="4"/>
      <c r="D436" s="4"/>
      <c r="E436" s="4"/>
      <c r="F436" s="4"/>
      <c r="G436" s="4"/>
    </row>
    <row r="437">
      <c r="A437" s="4"/>
      <c r="B437" s="4"/>
      <c r="C437" s="4"/>
      <c r="D437" s="4"/>
      <c r="E437" s="4"/>
      <c r="F437" s="4"/>
      <c r="G437" s="4"/>
    </row>
    <row r="438">
      <c r="A438" s="4"/>
      <c r="B438" s="4"/>
      <c r="C438" s="4"/>
      <c r="D438" s="4"/>
      <c r="E438" s="4"/>
      <c r="F438" s="4"/>
      <c r="G438" s="4"/>
    </row>
    <row r="439">
      <c r="A439" s="4"/>
      <c r="B439" s="4"/>
      <c r="C439" s="4"/>
      <c r="D439" s="4"/>
      <c r="E439" s="4"/>
      <c r="F439" s="4"/>
      <c r="G439" s="4"/>
    </row>
    <row r="440">
      <c r="A440" s="4"/>
      <c r="B440" s="4"/>
      <c r="C440" s="4"/>
      <c r="D440" s="4"/>
      <c r="E440" s="4"/>
      <c r="F440" s="4"/>
      <c r="G440" s="4"/>
    </row>
    <row r="441">
      <c r="A441" s="4"/>
      <c r="B441" s="4"/>
      <c r="C441" s="4"/>
      <c r="D441" s="4"/>
      <c r="E441" s="4"/>
      <c r="F441" s="4"/>
      <c r="G441" s="4"/>
    </row>
    <row r="442">
      <c r="A442" s="4"/>
      <c r="B442" s="4"/>
      <c r="C442" s="4"/>
      <c r="D442" s="4"/>
      <c r="E442" s="4"/>
      <c r="F442" s="4"/>
      <c r="G442" s="4"/>
    </row>
    <row r="443">
      <c r="A443" s="4"/>
      <c r="B443" s="4"/>
      <c r="C443" s="4"/>
      <c r="D443" s="4"/>
      <c r="E443" s="4"/>
      <c r="F443" s="4"/>
      <c r="G443" s="4"/>
    </row>
    <row r="444">
      <c r="A444" s="4"/>
      <c r="B444" s="4"/>
      <c r="C444" s="4"/>
      <c r="D444" s="4"/>
      <c r="E444" s="4"/>
      <c r="F444" s="4"/>
      <c r="G444" s="4"/>
    </row>
    <row r="445">
      <c r="A445" s="4"/>
      <c r="B445" s="4"/>
      <c r="C445" s="4"/>
      <c r="D445" s="4"/>
      <c r="E445" s="4"/>
      <c r="F445" s="4"/>
      <c r="G445" s="4"/>
    </row>
    <row r="446">
      <c r="A446" s="4"/>
      <c r="B446" s="4"/>
      <c r="C446" s="4"/>
      <c r="D446" s="4"/>
      <c r="E446" s="4"/>
      <c r="F446" s="4"/>
      <c r="G446" s="4"/>
    </row>
    <row r="447">
      <c r="A447" s="4"/>
      <c r="B447" s="4"/>
      <c r="C447" s="4"/>
      <c r="D447" s="4"/>
      <c r="E447" s="4"/>
      <c r="F447" s="4"/>
      <c r="G447" s="4"/>
    </row>
    <row r="448">
      <c r="A448" s="4"/>
      <c r="B448" s="4"/>
      <c r="C448" s="4"/>
      <c r="D448" s="4"/>
      <c r="E448" s="4"/>
      <c r="F448" s="4"/>
      <c r="G448" s="4"/>
    </row>
    <row r="449">
      <c r="A449" s="4"/>
      <c r="B449" s="4"/>
      <c r="C449" s="4"/>
      <c r="D449" s="4"/>
      <c r="E449" s="4"/>
      <c r="F449" s="4"/>
      <c r="G449" s="4"/>
    </row>
    <row r="450">
      <c r="A450" s="4"/>
      <c r="B450" s="4"/>
      <c r="C450" s="4"/>
      <c r="D450" s="4"/>
      <c r="E450" s="4"/>
      <c r="F450" s="4"/>
      <c r="G450" s="4"/>
    </row>
    <row r="451">
      <c r="A451" s="4"/>
      <c r="B451" s="4"/>
      <c r="C451" s="4"/>
      <c r="D451" s="4"/>
      <c r="E451" s="4"/>
      <c r="F451" s="4"/>
      <c r="G451" s="4"/>
    </row>
    <row r="452">
      <c r="A452" s="4"/>
      <c r="B452" s="4"/>
      <c r="C452" s="4"/>
      <c r="D452" s="4"/>
      <c r="E452" s="4"/>
      <c r="F452" s="4"/>
      <c r="G452" s="4"/>
    </row>
    <row r="453">
      <c r="A453" s="4"/>
      <c r="B453" s="4"/>
      <c r="C453" s="4"/>
      <c r="D453" s="4"/>
      <c r="E453" s="4"/>
      <c r="F453" s="4"/>
      <c r="G453" s="4"/>
    </row>
    <row r="454">
      <c r="A454" s="4"/>
      <c r="B454" s="4"/>
      <c r="C454" s="4"/>
      <c r="D454" s="4"/>
      <c r="E454" s="4"/>
      <c r="F454" s="4"/>
      <c r="G454" s="4"/>
    </row>
    <row r="455">
      <c r="A455" s="4"/>
      <c r="B455" s="4"/>
      <c r="C455" s="4"/>
      <c r="D455" s="4"/>
      <c r="E455" s="4"/>
      <c r="F455" s="4"/>
      <c r="G455" s="4"/>
    </row>
    <row r="456">
      <c r="A456" s="4"/>
      <c r="B456" s="4"/>
      <c r="C456" s="4"/>
      <c r="D456" s="4"/>
      <c r="E456" s="4"/>
      <c r="F456" s="4"/>
      <c r="G456" s="4"/>
    </row>
    <row r="457">
      <c r="A457" s="4"/>
      <c r="B457" s="4"/>
      <c r="C457" s="4"/>
      <c r="D457" s="4"/>
      <c r="E457" s="4"/>
      <c r="F457" s="4"/>
      <c r="G457" s="4"/>
    </row>
    <row r="458">
      <c r="A458" s="4"/>
      <c r="B458" s="4"/>
      <c r="C458" s="4"/>
      <c r="D458" s="4"/>
      <c r="E458" s="4"/>
      <c r="F458" s="4"/>
      <c r="G458" s="4"/>
    </row>
    <row r="459">
      <c r="A459" s="4"/>
      <c r="B459" s="4"/>
      <c r="C459" s="4"/>
      <c r="D459" s="4"/>
      <c r="E459" s="4"/>
      <c r="F459" s="4"/>
      <c r="G459" s="4"/>
    </row>
    <row r="460">
      <c r="A460" s="4"/>
      <c r="B460" s="4"/>
      <c r="C460" s="4"/>
      <c r="D460" s="4"/>
      <c r="E460" s="4"/>
      <c r="F460" s="4"/>
      <c r="G460" s="4"/>
    </row>
    <row r="461">
      <c r="A461" s="4"/>
      <c r="B461" s="4"/>
      <c r="C461" s="4"/>
      <c r="D461" s="4"/>
      <c r="E461" s="4"/>
      <c r="F461" s="4"/>
      <c r="G461" s="4"/>
    </row>
    <row r="462">
      <c r="A462" s="4"/>
      <c r="B462" s="4"/>
      <c r="C462" s="4"/>
      <c r="D462" s="4"/>
      <c r="E462" s="4"/>
      <c r="F462" s="4"/>
      <c r="G462" s="4"/>
    </row>
    <row r="463">
      <c r="A463" s="4"/>
      <c r="B463" s="4"/>
      <c r="C463" s="4"/>
      <c r="D463" s="4"/>
      <c r="E463" s="4"/>
      <c r="F463" s="4"/>
      <c r="G463" s="4"/>
    </row>
    <row r="464">
      <c r="A464" s="4"/>
      <c r="B464" s="4"/>
      <c r="C464" s="4"/>
      <c r="D464" s="4"/>
      <c r="E464" s="4"/>
      <c r="F464" s="4"/>
      <c r="G464" s="4"/>
    </row>
    <row r="465">
      <c r="A465" s="4"/>
      <c r="B465" s="4"/>
      <c r="C465" s="4"/>
      <c r="D465" s="4"/>
      <c r="E465" s="4"/>
      <c r="F465" s="4"/>
      <c r="G465" s="4"/>
    </row>
    <row r="466">
      <c r="A466" s="4"/>
      <c r="B466" s="4"/>
      <c r="C466" s="4"/>
      <c r="D466" s="4"/>
      <c r="E466" s="4"/>
      <c r="F466" s="4"/>
      <c r="G466" s="4"/>
    </row>
    <row r="467">
      <c r="A467" s="4"/>
      <c r="B467" s="4"/>
      <c r="C467" s="4"/>
      <c r="D467" s="4"/>
      <c r="E467" s="4"/>
      <c r="F467" s="4"/>
      <c r="G467" s="4"/>
    </row>
    <row r="468">
      <c r="A468" s="4"/>
      <c r="B468" s="4"/>
      <c r="C468" s="4"/>
      <c r="D468" s="4"/>
      <c r="E468" s="4"/>
      <c r="F468" s="4"/>
      <c r="G468" s="4"/>
    </row>
    <row r="469">
      <c r="A469" s="4"/>
      <c r="B469" s="4"/>
      <c r="C469" s="4"/>
      <c r="D469" s="4"/>
      <c r="E469" s="4"/>
      <c r="F469" s="4"/>
      <c r="G469" s="4"/>
    </row>
    <row r="470">
      <c r="A470" s="4"/>
      <c r="B470" s="4"/>
      <c r="C470" s="4"/>
      <c r="D470" s="4"/>
      <c r="E470" s="4"/>
      <c r="F470" s="4"/>
      <c r="G470" s="4"/>
    </row>
    <row r="471">
      <c r="A471" s="4"/>
      <c r="B471" s="4"/>
      <c r="C471" s="4"/>
      <c r="D471" s="4"/>
      <c r="E471" s="4"/>
      <c r="F471" s="4"/>
      <c r="G471" s="4"/>
    </row>
    <row r="472">
      <c r="A472" s="4"/>
      <c r="B472" s="4"/>
      <c r="C472" s="4"/>
      <c r="D472" s="4"/>
      <c r="E472" s="4"/>
      <c r="F472" s="4"/>
      <c r="G472" s="4"/>
    </row>
    <row r="473">
      <c r="A473" s="4"/>
      <c r="B473" s="4"/>
      <c r="C473" s="4"/>
      <c r="D473" s="4"/>
      <c r="E473" s="4"/>
      <c r="F473" s="4"/>
      <c r="G473" s="4"/>
    </row>
    <row r="474">
      <c r="A474" s="4"/>
      <c r="B474" s="4"/>
      <c r="C474" s="4"/>
      <c r="D474" s="4"/>
      <c r="E474" s="4"/>
      <c r="F474" s="4"/>
      <c r="G474" s="4"/>
    </row>
    <row r="475">
      <c r="A475" s="4"/>
      <c r="B475" s="4"/>
      <c r="C475" s="4"/>
      <c r="D475" s="4"/>
      <c r="E475" s="4"/>
      <c r="F475" s="4"/>
      <c r="G475" s="4"/>
    </row>
    <row r="476">
      <c r="A476" s="4"/>
      <c r="B476" s="4"/>
      <c r="C476" s="4"/>
      <c r="D476" s="4"/>
      <c r="E476" s="4"/>
      <c r="F476" s="4"/>
      <c r="G476" s="4"/>
    </row>
    <row r="477">
      <c r="A477" s="4"/>
      <c r="B477" s="4"/>
      <c r="C477" s="4"/>
      <c r="D477" s="4"/>
      <c r="E477" s="4"/>
      <c r="F477" s="4"/>
      <c r="G477" s="4"/>
    </row>
    <row r="478">
      <c r="A478" s="4"/>
      <c r="B478" s="4"/>
      <c r="C478" s="4"/>
      <c r="D478" s="4"/>
      <c r="E478" s="4"/>
      <c r="F478" s="4"/>
      <c r="G478" s="4"/>
    </row>
    <row r="479">
      <c r="A479" s="4"/>
      <c r="B479" s="4"/>
      <c r="C479" s="4"/>
      <c r="D479" s="4"/>
      <c r="E479" s="4"/>
      <c r="F479" s="4"/>
      <c r="G479" s="4"/>
    </row>
    <row r="480">
      <c r="A480" s="4"/>
      <c r="B480" s="4"/>
      <c r="C480" s="4"/>
      <c r="D480" s="4"/>
      <c r="E480" s="4"/>
      <c r="F480" s="4"/>
      <c r="G480" s="4"/>
    </row>
    <row r="481">
      <c r="A481" s="4"/>
      <c r="B481" s="4"/>
      <c r="C481" s="4"/>
      <c r="D481" s="4"/>
      <c r="E481" s="4"/>
      <c r="F481" s="4"/>
      <c r="G481" s="4"/>
    </row>
    <row r="482">
      <c r="A482" s="4"/>
      <c r="B482" s="4"/>
      <c r="C482" s="4"/>
      <c r="D482" s="4"/>
      <c r="E482" s="4"/>
      <c r="F482" s="4"/>
      <c r="G482" s="4"/>
    </row>
    <row r="483">
      <c r="A483" s="4"/>
      <c r="B483" s="4"/>
      <c r="C483" s="4"/>
      <c r="D483" s="4"/>
      <c r="E483" s="4"/>
      <c r="F483" s="4"/>
      <c r="G483" s="4"/>
    </row>
    <row r="484">
      <c r="A484" s="4"/>
      <c r="B484" s="4"/>
      <c r="C484" s="4"/>
      <c r="D484" s="4"/>
      <c r="E484" s="4"/>
      <c r="F484" s="4"/>
      <c r="G484" s="4"/>
    </row>
    <row r="485">
      <c r="A485" s="4"/>
      <c r="B485" s="4"/>
      <c r="C485" s="4"/>
      <c r="D485" s="4"/>
      <c r="E485" s="4"/>
      <c r="F485" s="4"/>
      <c r="G485" s="4"/>
    </row>
    <row r="486">
      <c r="A486" s="4"/>
      <c r="B486" s="4"/>
      <c r="C486" s="4"/>
      <c r="D486" s="4"/>
      <c r="E486" s="4"/>
      <c r="F486" s="4"/>
      <c r="G486" s="4"/>
    </row>
    <row r="487">
      <c r="A487" s="4"/>
      <c r="B487" s="4"/>
      <c r="C487" s="4"/>
      <c r="D487" s="4"/>
      <c r="E487" s="4"/>
      <c r="F487" s="4"/>
      <c r="G487" s="4"/>
    </row>
    <row r="488">
      <c r="A488" s="4"/>
      <c r="B488" s="4"/>
      <c r="C488" s="4"/>
      <c r="D488" s="4"/>
      <c r="E488" s="4"/>
      <c r="F488" s="4"/>
      <c r="G488" s="4"/>
    </row>
    <row r="489">
      <c r="A489" s="4"/>
      <c r="B489" s="4"/>
      <c r="C489" s="4"/>
      <c r="D489" s="4"/>
      <c r="E489" s="4"/>
      <c r="F489" s="4"/>
      <c r="G489" s="4"/>
    </row>
    <row r="490">
      <c r="A490" s="4"/>
      <c r="B490" s="4"/>
      <c r="C490" s="4"/>
      <c r="D490" s="4"/>
      <c r="E490" s="4"/>
      <c r="F490" s="4"/>
      <c r="G490" s="4"/>
    </row>
    <row r="491">
      <c r="A491" s="4"/>
      <c r="B491" s="4"/>
      <c r="C491" s="4"/>
      <c r="D491" s="4"/>
      <c r="E491" s="4"/>
      <c r="F491" s="4"/>
      <c r="G491" s="4"/>
    </row>
    <row r="492">
      <c r="A492" s="4"/>
      <c r="B492" s="4"/>
      <c r="C492" s="4"/>
      <c r="D492" s="4"/>
      <c r="E492" s="4"/>
      <c r="F492" s="4"/>
      <c r="G492" s="4"/>
    </row>
    <row r="493">
      <c r="A493" s="4"/>
      <c r="B493" s="4"/>
      <c r="C493" s="4"/>
      <c r="D493" s="4"/>
      <c r="E493" s="4"/>
      <c r="F493" s="4"/>
      <c r="G493" s="4"/>
    </row>
    <row r="494">
      <c r="A494" s="4"/>
      <c r="B494" s="4"/>
      <c r="C494" s="4"/>
      <c r="D494" s="4"/>
      <c r="E494" s="4"/>
      <c r="F494" s="4"/>
      <c r="G494" s="4"/>
    </row>
    <row r="495">
      <c r="A495" s="4"/>
      <c r="B495" s="4"/>
      <c r="C495" s="4"/>
      <c r="D495" s="4"/>
      <c r="E495" s="4"/>
      <c r="F495" s="4"/>
      <c r="G495" s="4"/>
    </row>
    <row r="496">
      <c r="A496" s="4"/>
      <c r="B496" s="4"/>
      <c r="C496" s="4"/>
      <c r="D496" s="4"/>
      <c r="E496" s="4"/>
      <c r="F496" s="4"/>
      <c r="G496" s="4"/>
    </row>
    <row r="497">
      <c r="A497" s="4"/>
      <c r="B497" s="4"/>
      <c r="C497" s="4"/>
      <c r="D497" s="4"/>
      <c r="E497" s="4"/>
      <c r="F497" s="4"/>
      <c r="G497" s="4"/>
    </row>
    <row r="498">
      <c r="A498" s="4"/>
      <c r="B498" s="4"/>
      <c r="C498" s="4"/>
      <c r="D498" s="4"/>
      <c r="E498" s="4"/>
      <c r="F498" s="4"/>
      <c r="G498" s="4"/>
    </row>
    <row r="499">
      <c r="A499" s="4"/>
      <c r="B499" s="4"/>
      <c r="C499" s="4"/>
      <c r="D499" s="4"/>
      <c r="E499" s="4"/>
      <c r="F499" s="4"/>
      <c r="G499" s="4"/>
    </row>
    <row r="500">
      <c r="A500" s="4"/>
      <c r="B500" s="4"/>
      <c r="C500" s="4"/>
      <c r="D500" s="4"/>
      <c r="E500" s="4"/>
      <c r="F500" s="4"/>
      <c r="G500" s="4"/>
    </row>
    <row r="501">
      <c r="A501" s="4"/>
      <c r="B501" s="4"/>
      <c r="C501" s="4"/>
      <c r="D501" s="4"/>
      <c r="E501" s="4"/>
      <c r="F501" s="4"/>
      <c r="G501" s="4"/>
    </row>
    <row r="502">
      <c r="A502" s="4"/>
      <c r="B502" s="4"/>
      <c r="C502" s="4"/>
      <c r="D502" s="4"/>
      <c r="E502" s="4"/>
      <c r="F502" s="4"/>
      <c r="G502" s="4"/>
    </row>
    <row r="503">
      <c r="A503" s="4"/>
      <c r="B503" s="4"/>
      <c r="C503" s="4"/>
      <c r="D503" s="4"/>
      <c r="E503" s="4"/>
      <c r="F503" s="4"/>
      <c r="G503" s="4"/>
    </row>
    <row r="504">
      <c r="A504" s="4"/>
      <c r="B504" s="4"/>
      <c r="C504" s="4"/>
      <c r="D504" s="4"/>
      <c r="E504" s="4"/>
      <c r="F504" s="4"/>
      <c r="G504" s="4"/>
    </row>
    <row r="505">
      <c r="A505" s="4"/>
      <c r="B505" s="4"/>
      <c r="C505" s="4"/>
      <c r="D505" s="4"/>
      <c r="E505" s="4"/>
      <c r="F505" s="4"/>
      <c r="G505" s="4"/>
    </row>
    <row r="506">
      <c r="A506" s="4"/>
      <c r="B506" s="4"/>
      <c r="C506" s="4"/>
      <c r="D506" s="4"/>
      <c r="E506" s="4"/>
      <c r="F506" s="4"/>
      <c r="G506" s="4"/>
    </row>
    <row r="507">
      <c r="A507" s="4"/>
      <c r="B507" s="4"/>
      <c r="C507" s="4"/>
      <c r="D507" s="4"/>
      <c r="E507" s="4"/>
      <c r="F507" s="4"/>
      <c r="G507" s="4"/>
    </row>
    <row r="508">
      <c r="A508" s="4"/>
      <c r="B508" s="4"/>
      <c r="C508" s="4"/>
      <c r="D508" s="4"/>
      <c r="E508" s="4"/>
      <c r="F508" s="4"/>
      <c r="G508" s="4"/>
    </row>
    <row r="509">
      <c r="A509" s="4"/>
      <c r="B509" s="4"/>
      <c r="C509" s="4"/>
      <c r="D509" s="4"/>
      <c r="E509" s="4"/>
      <c r="F509" s="4"/>
      <c r="G509" s="4"/>
    </row>
    <row r="510">
      <c r="A510" s="4"/>
      <c r="B510" s="4"/>
      <c r="C510" s="4"/>
      <c r="D510" s="4"/>
      <c r="E510" s="4"/>
      <c r="F510" s="4"/>
      <c r="G510" s="4"/>
    </row>
    <row r="511">
      <c r="A511" s="4"/>
      <c r="B511" s="4"/>
      <c r="C511" s="4"/>
      <c r="D511" s="4"/>
      <c r="E511" s="4"/>
      <c r="F511" s="4"/>
      <c r="G511" s="4"/>
    </row>
    <row r="512">
      <c r="A512" s="4"/>
      <c r="B512" s="4"/>
      <c r="C512" s="4"/>
      <c r="D512" s="4"/>
      <c r="E512" s="4"/>
      <c r="F512" s="4"/>
      <c r="G512" s="4"/>
    </row>
    <row r="513">
      <c r="A513" s="4"/>
      <c r="B513" s="4"/>
      <c r="C513" s="4"/>
      <c r="D513" s="4"/>
      <c r="E513" s="4"/>
      <c r="F513" s="4"/>
      <c r="G513" s="4"/>
    </row>
    <row r="514">
      <c r="A514" s="4"/>
      <c r="B514" s="4"/>
      <c r="C514" s="4"/>
      <c r="D514" s="4"/>
      <c r="E514" s="4"/>
      <c r="F514" s="4"/>
      <c r="G514" s="4"/>
    </row>
    <row r="515">
      <c r="A515" s="4"/>
      <c r="B515" s="4"/>
      <c r="C515" s="4"/>
      <c r="D515" s="4"/>
      <c r="E515" s="4"/>
      <c r="F515" s="4"/>
      <c r="G515" s="4"/>
    </row>
    <row r="516">
      <c r="A516" s="4"/>
      <c r="B516" s="4"/>
      <c r="C516" s="4"/>
      <c r="D516" s="4"/>
      <c r="E516" s="4"/>
      <c r="F516" s="4"/>
      <c r="G516" s="4"/>
    </row>
    <row r="517">
      <c r="A517" s="4"/>
      <c r="B517" s="4"/>
      <c r="C517" s="4"/>
      <c r="D517" s="4"/>
      <c r="E517" s="4"/>
      <c r="F517" s="4"/>
      <c r="G517" s="4"/>
    </row>
    <row r="518">
      <c r="A518" s="4"/>
      <c r="B518" s="4"/>
      <c r="C518" s="4"/>
      <c r="D518" s="4"/>
      <c r="E518" s="4"/>
      <c r="F518" s="4"/>
      <c r="G518" s="4"/>
    </row>
    <row r="519">
      <c r="A519" s="4"/>
      <c r="B519" s="4"/>
      <c r="C519" s="4"/>
      <c r="D519" s="4"/>
      <c r="E519" s="4"/>
      <c r="F519" s="4"/>
      <c r="G519" s="4"/>
    </row>
    <row r="520">
      <c r="A520" s="4"/>
      <c r="B520" s="4"/>
      <c r="C520" s="4"/>
      <c r="D520" s="4"/>
      <c r="E520" s="4"/>
      <c r="F520" s="4"/>
      <c r="G520" s="4"/>
    </row>
    <row r="521">
      <c r="A521" s="4"/>
      <c r="B521" s="4"/>
      <c r="C521" s="4"/>
      <c r="D521" s="4"/>
      <c r="E521" s="4"/>
      <c r="F521" s="4"/>
      <c r="G521" s="4"/>
    </row>
    <row r="522">
      <c r="A522" s="4"/>
      <c r="B522" s="4"/>
      <c r="C522" s="4"/>
      <c r="D522" s="4"/>
      <c r="E522" s="4"/>
      <c r="F522" s="4"/>
      <c r="G522" s="4"/>
    </row>
    <row r="523">
      <c r="A523" s="4"/>
      <c r="B523" s="4"/>
      <c r="C523" s="4"/>
      <c r="D523" s="4"/>
      <c r="E523" s="4"/>
      <c r="F523" s="4"/>
      <c r="G523" s="4"/>
    </row>
    <row r="524">
      <c r="A524" s="4"/>
      <c r="B524" s="4"/>
      <c r="C524" s="4"/>
      <c r="D524" s="4"/>
      <c r="E524" s="4"/>
      <c r="F524" s="4"/>
      <c r="G524" s="4"/>
    </row>
    <row r="525">
      <c r="A525" s="4"/>
      <c r="B525" s="4"/>
      <c r="C525" s="4"/>
      <c r="D525" s="4"/>
      <c r="E525" s="4"/>
      <c r="F525" s="4"/>
      <c r="G525" s="4"/>
    </row>
    <row r="526">
      <c r="A526" s="4"/>
      <c r="B526" s="4"/>
      <c r="C526" s="4"/>
      <c r="D526" s="4"/>
      <c r="E526" s="4"/>
      <c r="F526" s="4"/>
      <c r="G526" s="4"/>
    </row>
    <row r="527">
      <c r="A527" s="4"/>
      <c r="B527" s="4"/>
      <c r="C527" s="4"/>
      <c r="D527" s="4"/>
      <c r="E527" s="4"/>
      <c r="F527" s="4"/>
      <c r="G527" s="4"/>
    </row>
    <row r="528">
      <c r="A528" s="4"/>
      <c r="B528" s="4"/>
      <c r="C528" s="4"/>
      <c r="D528" s="4"/>
      <c r="E528" s="4"/>
      <c r="F528" s="4"/>
      <c r="G528" s="4"/>
    </row>
    <row r="529">
      <c r="A529" s="4"/>
      <c r="B529" s="4"/>
      <c r="C529" s="4"/>
      <c r="D529" s="4"/>
      <c r="E529" s="4"/>
      <c r="F529" s="4"/>
      <c r="G529" s="4"/>
    </row>
    <row r="530">
      <c r="A530" s="4"/>
      <c r="B530" s="4"/>
      <c r="C530" s="4"/>
      <c r="D530" s="4"/>
      <c r="E530" s="4"/>
      <c r="F530" s="4"/>
      <c r="G530" s="4"/>
    </row>
    <row r="531">
      <c r="A531" s="4"/>
      <c r="B531" s="4"/>
      <c r="C531" s="4"/>
      <c r="D531" s="4"/>
      <c r="E531" s="4"/>
      <c r="F531" s="4"/>
      <c r="G531" s="4"/>
    </row>
    <row r="532">
      <c r="A532" s="4"/>
      <c r="B532" s="4"/>
      <c r="C532" s="4"/>
      <c r="D532" s="4"/>
      <c r="E532" s="4"/>
      <c r="F532" s="4"/>
      <c r="G532" s="4"/>
    </row>
    <row r="533">
      <c r="A533" s="4"/>
      <c r="B533" s="4"/>
      <c r="C533" s="4"/>
      <c r="D533" s="4"/>
      <c r="E533" s="4"/>
      <c r="F533" s="4"/>
      <c r="G533" s="4"/>
    </row>
    <row r="534">
      <c r="A534" s="4"/>
      <c r="B534" s="4"/>
      <c r="C534" s="4"/>
      <c r="D534" s="4"/>
      <c r="E534" s="4"/>
      <c r="F534" s="4"/>
      <c r="G534" s="4"/>
    </row>
    <row r="535">
      <c r="A535" s="4"/>
      <c r="B535" s="4"/>
      <c r="C535" s="4"/>
      <c r="D535" s="4"/>
      <c r="E535" s="4"/>
      <c r="F535" s="4"/>
      <c r="G535" s="4"/>
    </row>
    <row r="536">
      <c r="A536" s="4"/>
      <c r="B536" s="4"/>
      <c r="C536" s="4"/>
      <c r="D536" s="4"/>
      <c r="E536" s="4"/>
      <c r="F536" s="4"/>
      <c r="G536" s="4"/>
    </row>
    <row r="537">
      <c r="A537" s="4"/>
      <c r="B537" s="4"/>
      <c r="C537" s="4"/>
      <c r="D537" s="4"/>
      <c r="E537" s="4"/>
      <c r="F537" s="4"/>
      <c r="G537" s="4"/>
    </row>
    <row r="538">
      <c r="A538" s="4"/>
      <c r="B538" s="4"/>
      <c r="C538" s="4"/>
      <c r="D538" s="4"/>
      <c r="E538" s="4"/>
      <c r="F538" s="4"/>
      <c r="G538" s="4"/>
    </row>
    <row r="539">
      <c r="A539" s="4"/>
      <c r="B539" s="4"/>
      <c r="C539" s="4"/>
      <c r="D539" s="4"/>
      <c r="E539" s="4"/>
      <c r="F539" s="4"/>
      <c r="G539" s="4"/>
    </row>
    <row r="540">
      <c r="A540" s="4"/>
      <c r="B540" s="4"/>
      <c r="C540" s="4"/>
      <c r="D540" s="4"/>
      <c r="E540" s="4"/>
      <c r="F540" s="4"/>
      <c r="G540" s="4"/>
    </row>
    <row r="541">
      <c r="A541" s="4"/>
      <c r="B541" s="4"/>
      <c r="C541" s="4"/>
      <c r="D541" s="4"/>
      <c r="E541" s="4"/>
      <c r="F541" s="4"/>
      <c r="G541" s="4"/>
    </row>
    <row r="542">
      <c r="A542" s="4"/>
      <c r="B542" s="4"/>
      <c r="C542" s="4"/>
      <c r="D542" s="4"/>
      <c r="E542" s="4"/>
      <c r="F542" s="4"/>
      <c r="G542" s="4"/>
    </row>
    <row r="543">
      <c r="A543" s="4"/>
      <c r="B543" s="4"/>
      <c r="C543" s="4"/>
      <c r="D543" s="4"/>
      <c r="E543" s="4"/>
      <c r="F543" s="4"/>
      <c r="G543" s="4"/>
    </row>
    <row r="544">
      <c r="A544" s="4"/>
      <c r="B544" s="4"/>
      <c r="C544" s="4"/>
      <c r="D544" s="4"/>
      <c r="E544" s="4"/>
      <c r="F544" s="4"/>
      <c r="G544" s="4"/>
    </row>
    <row r="545">
      <c r="A545" s="4"/>
      <c r="B545" s="4"/>
      <c r="C545" s="4"/>
      <c r="D545" s="4"/>
      <c r="E545" s="4"/>
      <c r="F545" s="4"/>
      <c r="G545" s="4"/>
    </row>
    <row r="546">
      <c r="A546" s="4"/>
      <c r="B546" s="4"/>
      <c r="C546" s="4"/>
      <c r="D546" s="4"/>
      <c r="E546" s="4"/>
      <c r="F546" s="4"/>
      <c r="G546" s="4"/>
    </row>
    <row r="547">
      <c r="A547" s="4"/>
      <c r="B547" s="4"/>
      <c r="C547" s="4"/>
      <c r="D547" s="4"/>
      <c r="E547" s="4"/>
      <c r="F547" s="4"/>
      <c r="G547" s="4"/>
    </row>
    <row r="548">
      <c r="A548" s="4"/>
      <c r="B548" s="4"/>
      <c r="C548" s="4"/>
      <c r="D548" s="4"/>
      <c r="E548" s="4"/>
      <c r="F548" s="4"/>
      <c r="G548" s="4"/>
    </row>
    <row r="549">
      <c r="A549" s="4"/>
      <c r="B549" s="4"/>
      <c r="C549" s="4"/>
      <c r="D549" s="4"/>
      <c r="E549" s="4"/>
      <c r="F549" s="4"/>
      <c r="G549" s="4"/>
    </row>
    <row r="550">
      <c r="A550" s="4"/>
      <c r="B550" s="4"/>
      <c r="C550" s="4"/>
      <c r="D550" s="4"/>
      <c r="E550" s="4"/>
      <c r="F550" s="4"/>
      <c r="G550" s="4"/>
    </row>
    <row r="551">
      <c r="A551" s="4"/>
      <c r="B551" s="4"/>
      <c r="C551" s="4"/>
      <c r="D551" s="4"/>
      <c r="E551" s="4"/>
      <c r="F551" s="4"/>
      <c r="G551" s="4"/>
    </row>
    <row r="552">
      <c r="A552" s="4"/>
      <c r="B552" s="4"/>
      <c r="C552" s="4"/>
      <c r="D552" s="4"/>
      <c r="E552" s="4"/>
      <c r="F552" s="4"/>
      <c r="G552" s="4"/>
    </row>
    <row r="553">
      <c r="A553" s="4"/>
      <c r="B553" s="4"/>
      <c r="C553" s="4"/>
      <c r="D553" s="4"/>
      <c r="E553" s="4"/>
      <c r="F553" s="4"/>
      <c r="G553" s="4"/>
    </row>
    <row r="554">
      <c r="A554" s="4"/>
      <c r="B554" s="4"/>
      <c r="C554" s="4"/>
      <c r="D554" s="4"/>
      <c r="E554" s="4"/>
      <c r="F554" s="4"/>
      <c r="G554" s="4"/>
    </row>
    <row r="555">
      <c r="A555" s="4"/>
      <c r="B555" s="4"/>
      <c r="C555" s="4"/>
      <c r="D555" s="4"/>
      <c r="E555" s="4"/>
      <c r="F555" s="4"/>
      <c r="G555" s="4"/>
    </row>
    <row r="556">
      <c r="A556" s="4"/>
      <c r="B556" s="4"/>
      <c r="C556" s="4"/>
      <c r="D556" s="4"/>
      <c r="E556" s="4"/>
      <c r="F556" s="4"/>
      <c r="G556" s="4"/>
    </row>
    <row r="557">
      <c r="A557" s="4"/>
      <c r="B557" s="4"/>
      <c r="C557" s="4"/>
      <c r="D557" s="4"/>
      <c r="E557" s="4"/>
      <c r="F557" s="4"/>
      <c r="G557" s="4"/>
    </row>
    <row r="558">
      <c r="A558" s="4"/>
      <c r="B558" s="4"/>
      <c r="C558" s="4"/>
      <c r="D558" s="4"/>
      <c r="E558" s="4"/>
      <c r="F558" s="4"/>
      <c r="G558" s="4"/>
    </row>
    <row r="559">
      <c r="A559" s="4"/>
      <c r="B559" s="4"/>
      <c r="C559" s="4"/>
      <c r="D559" s="4"/>
      <c r="E559" s="4"/>
      <c r="F559" s="4"/>
      <c r="G559" s="4"/>
    </row>
    <row r="560">
      <c r="A560" s="4"/>
      <c r="B560" s="4"/>
      <c r="C560" s="4"/>
      <c r="D560" s="4"/>
      <c r="E560" s="4"/>
      <c r="F560" s="4"/>
      <c r="G560" s="4"/>
    </row>
    <row r="561">
      <c r="A561" s="4"/>
      <c r="B561" s="4"/>
      <c r="C561" s="4"/>
      <c r="D561" s="4"/>
      <c r="E561" s="4"/>
      <c r="F561" s="4"/>
      <c r="G561" s="4"/>
    </row>
    <row r="562">
      <c r="A562" s="4"/>
      <c r="B562" s="4"/>
      <c r="C562" s="4"/>
      <c r="D562" s="4"/>
      <c r="E562" s="4"/>
      <c r="F562" s="4"/>
      <c r="G562" s="4"/>
    </row>
    <row r="563">
      <c r="A563" s="4"/>
      <c r="B563" s="4"/>
      <c r="C563" s="4"/>
      <c r="D563" s="4"/>
      <c r="E563" s="4"/>
      <c r="F563" s="4"/>
      <c r="G563" s="4"/>
    </row>
    <row r="564">
      <c r="A564" s="4"/>
      <c r="B564" s="4"/>
      <c r="C564" s="4"/>
      <c r="D564" s="4"/>
      <c r="E564" s="4"/>
      <c r="F564" s="4"/>
      <c r="G564" s="4"/>
    </row>
    <row r="565">
      <c r="A565" s="4"/>
      <c r="B565" s="4"/>
      <c r="C565" s="4"/>
      <c r="D565" s="4"/>
      <c r="E565" s="4"/>
      <c r="F565" s="4"/>
      <c r="G565" s="4"/>
    </row>
    <row r="566">
      <c r="A566" s="4"/>
      <c r="B566" s="4"/>
      <c r="C566" s="4"/>
      <c r="D566" s="4"/>
      <c r="E566" s="4"/>
      <c r="F566" s="4"/>
      <c r="G566" s="4"/>
    </row>
    <row r="567">
      <c r="A567" s="4"/>
      <c r="B567" s="4"/>
      <c r="C567" s="4"/>
      <c r="D567" s="4"/>
      <c r="E567" s="4"/>
      <c r="F567" s="4"/>
      <c r="G567" s="4"/>
    </row>
    <row r="568">
      <c r="A568" s="4"/>
      <c r="B568" s="4"/>
      <c r="C568" s="4"/>
      <c r="D568" s="4"/>
      <c r="E568" s="4"/>
      <c r="F568" s="4"/>
      <c r="G568" s="4"/>
    </row>
    <row r="569">
      <c r="A569" s="4"/>
      <c r="B569" s="4"/>
      <c r="C569" s="4"/>
      <c r="D569" s="4"/>
      <c r="E569" s="4"/>
      <c r="F569" s="4"/>
      <c r="G569" s="4"/>
    </row>
    <row r="570">
      <c r="A570" s="4"/>
      <c r="B570" s="4"/>
      <c r="C570" s="4"/>
      <c r="D570" s="4"/>
      <c r="E570" s="4"/>
      <c r="F570" s="4"/>
      <c r="G570" s="4"/>
    </row>
    <row r="571">
      <c r="A571" s="4"/>
      <c r="B571" s="4"/>
      <c r="C571" s="4"/>
      <c r="D571" s="4"/>
      <c r="E571" s="4"/>
      <c r="F571" s="4"/>
      <c r="G571" s="4"/>
    </row>
    <row r="572">
      <c r="A572" s="4"/>
      <c r="B572" s="4"/>
      <c r="C572" s="4"/>
      <c r="D572" s="4"/>
      <c r="E572" s="4"/>
      <c r="F572" s="4"/>
      <c r="G572" s="4"/>
    </row>
    <row r="573">
      <c r="A573" s="4"/>
      <c r="B573" s="4"/>
      <c r="C573" s="4"/>
      <c r="D573" s="4"/>
      <c r="E573" s="4"/>
      <c r="F573" s="4"/>
      <c r="G573" s="4"/>
    </row>
    <row r="574">
      <c r="A574" s="4"/>
      <c r="B574" s="4"/>
      <c r="C574" s="4"/>
      <c r="D574" s="4"/>
      <c r="E574" s="4"/>
      <c r="F574" s="4"/>
      <c r="G574" s="4"/>
    </row>
    <row r="575">
      <c r="A575" s="4"/>
      <c r="B575" s="4"/>
      <c r="C575" s="4"/>
      <c r="D575" s="4"/>
      <c r="E575" s="4"/>
      <c r="F575" s="4"/>
      <c r="G575" s="4"/>
    </row>
    <row r="576">
      <c r="A576" s="4"/>
      <c r="B576" s="4"/>
      <c r="C576" s="4"/>
      <c r="D576" s="4"/>
      <c r="E576" s="4"/>
      <c r="F576" s="4"/>
      <c r="G576" s="4"/>
    </row>
    <row r="577">
      <c r="A577" s="4"/>
      <c r="B577" s="4"/>
      <c r="C577" s="4"/>
      <c r="D577" s="4"/>
      <c r="E577" s="4"/>
      <c r="F577" s="4"/>
      <c r="G577" s="4"/>
    </row>
    <row r="578">
      <c r="A578" s="4"/>
      <c r="B578" s="4"/>
      <c r="C578" s="4"/>
      <c r="D578" s="4"/>
      <c r="E578" s="4"/>
      <c r="F578" s="4"/>
      <c r="G578" s="4"/>
    </row>
    <row r="579">
      <c r="A579" s="4"/>
      <c r="B579" s="4"/>
      <c r="C579" s="4"/>
      <c r="D579" s="4"/>
      <c r="E579" s="4"/>
      <c r="F579" s="4"/>
      <c r="G579" s="4"/>
    </row>
    <row r="580">
      <c r="A580" s="4"/>
      <c r="B580" s="4"/>
      <c r="C580" s="4"/>
      <c r="D580" s="4"/>
      <c r="E580" s="4"/>
      <c r="F580" s="4"/>
      <c r="G580" s="4"/>
    </row>
    <row r="581">
      <c r="A581" s="4"/>
      <c r="B581" s="4"/>
      <c r="C581" s="4"/>
      <c r="D581" s="4"/>
      <c r="E581" s="4"/>
      <c r="F581" s="4"/>
      <c r="G581" s="4"/>
    </row>
    <row r="582">
      <c r="A582" s="4"/>
      <c r="B582" s="4"/>
      <c r="C582" s="4"/>
      <c r="D582" s="4"/>
      <c r="E582" s="4"/>
      <c r="F582" s="4"/>
      <c r="G582" s="4"/>
    </row>
    <row r="583">
      <c r="A583" s="4"/>
      <c r="B583" s="4"/>
      <c r="C583" s="4"/>
      <c r="D583" s="4"/>
      <c r="E583" s="4"/>
      <c r="F583" s="4"/>
      <c r="G583" s="4"/>
    </row>
    <row r="584">
      <c r="A584" s="4"/>
      <c r="B584" s="4"/>
      <c r="C584" s="4"/>
      <c r="D584" s="4"/>
      <c r="E584" s="4"/>
      <c r="F584" s="4"/>
      <c r="G584" s="4"/>
    </row>
    <row r="585">
      <c r="A585" s="4"/>
      <c r="B585" s="4"/>
      <c r="C585" s="4"/>
      <c r="D585" s="4"/>
      <c r="E585" s="4"/>
      <c r="F585" s="4"/>
      <c r="G585" s="4"/>
    </row>
    <row r="586">
      <c r="A586" s="4"/>
      <c r="B586" s="4"/>
      <c r="C586" s="4"/>
      <c r="D586" s="4"/>
      <c r="E586" s="4"/>
      <c r="F586" s="4"/>
      <c r="G586" s="4"/>
    </row>
    <row r="587">
      <c r="A587" s="4"/>
      <c r="B587" s="4"/>
      <c r="C587" s="4"/>
      <c r="D587" s="4"/>
      <c r="E587" s="4"/>
      <c r="F587" s="4"/>
      <c r="G587" s="4"/>
    </row>
    <row r="588">
      <c r="A588" s="4"/>
      <c r="B588" s="4"/>
      <c r="C588" s="4"/>
      <c r="D588" s="4"/>
      <c r="E588" s="4"/>
      <c r="F588" s="4"/>
      <c r="G588" s="4"/>
    </row>
    <row r="589">
      <c r="A589" s="4"/>
      <c r="B589" s="4"/>
      <c r="C589" s="4"/>
      <c r="D589" s="4"/>
      <c r="E589" s="4"/>
      <c r="F589" s="4"/>
      <c r="G589" s="4"/>
    </row>
    <row r="590">
      <c r="A590" s="4"/>
      <c r="B590" s="4"/>
      <c r="C590" s="4"/>
      <c r="D590" s="4"/>
      <c r="E590" s="4"/>
      <c r="F590" s="4"/>
      <c r="G590" s="4"/>
    </row>
    <row r="591">
      <c r="A591" s="4"/>
      <c r="B591" s="4"/>
      <c r="C591" s="4"/>
      <c r="D591" s="4"/>
      <c r="E591" s="4"/>
      <c r="F591" s="4"/>
      <c r="G591" s="4"/>
    </row>
    <row r="592">
      <c r="A592" s="4"/>
      <c r="B592" s="4"/>
      <c r="C592" s="4"/>
      <c r="D592" s="4"/>
      <c r="E592" s="4"/>
      <c r="F592" s="4"/>
      <c r="G592" s="4"/>
    </row>
    <row r="593">
      <c r="A593" s="4"/>
      <c r="B593" s="4"/>
      <c r="C593" s="4"/>
      <c r="D593" s="4"/>
      <c r="E593" s="4"/>
      <c r="F593" s="4"/>
      <c r="G593" s="4"/>
    </row>
    <row r="594">
      <c r="A594" s="4"/>
      <c r="B594" s="4"/>
      <c r="C594" s="4"/>
      <c r="D594" s="4"/>
      <c r="E594" s="4"/>
      <c r="F594" s="4"/>
      <c r="G594" s="4"/>
    </row>
    <row r="595">
      <c r="A595" s="4"/>
      <c r="B595" s="4"/>
      <c r="C595" s="4"/>
      <c r="D595" s="4"/>
      <c r="E595" s="4"/>
      <c r="F595" s="4"/>
      <c r="G595" s="4"/>
    </row>
    <row r="596">
      <c r="A596" s="4"/>
      <c r="B596" s="4"/>
      <c r="C596" s="4"/>
      <c r="D596" s="4"/>
      <c r="E596" s="4"/>
      <c r="F596" s="4"/>
      <c r="G596" s="4"/>
    </row>
    <row r="597">
      <c r="A597" s="4"/>
      <c r="B597" s="4"/>
      <c r="C597" s="4"/>
      <c r="D597" s="4"/>
      <c r="E597" s="4"/>
      <c r="F597" s="4"/>
      <c r="G597" s="4"/>
    </row>
    <row r="598">
      <c r="A598" s="4"/>
      <c r="B598" s="4"/>
      <c r="C598" s="4"/>
      <c r="D598" s="4"/>
      <c r="E598" s="4"/>
      <c r="F598" s="4"/>
      <c r="G598" s="4"/>
    </row>
    <row r="599">
      <c r="A599" s="4"/>
      <c r="B599" s="4"/>
      <c r="C599" s="4"/>
      <c r="D599" s="4"/>
      <c r="E599" s="4"/>
      <c r="F599" s="4"/>
      <c r="G599" s="4"/>
    </row>
    <row r="600">
      <c r="A600" s="4"/>
      <c r="B600" s="4"/>
      <c r="C600" s="4"/>
      <c r="D600" s="4"/>
      <c r="E600" s="4"/>
      <c r="F600" s="4"/>
      <c r="G600" s="4"/>
    </row>
    <row r="601">
      <c r="A601" s="4"/>
      <c r="B601" s="4"/>
      <c r="C601" s="4"/>
      <c r="D601" s="4"/>
      <c r="E601" s="4"/>
      <c r="F601" s="4"/>
      <c r="G601" s="4"/>
    </row>
    <row r="602">
      <c r="A602" s="4"/>
      <c r="B602" s="4"/>
      <c r="C602" s="4"/>
      <c r="D602" s="4"/>
      <c r="E602" s="4"/>
      <c r="F602" s="4"/>
      <c r="G602" s="4"/>
    </row>
    <row r="603">
      <c r="A603" s="4"/>
      <c r="B603" s="4"/>
      <c r="C603" s="4"/>
      <c r="D603" s="4"/>
      <c r="E603" s="4"/>
      <c r="F603" s="4"/>
      <c r="G603" s="4"/>
    </row>
    <row r="604">
      <c r="A604" s="4"/>
      <c r="B604" s="4"/>
      <c r="C604" s="4"/>
      <c r="D604" s="4"/>
      <c r="E604" s="4"/>
      <c r="F604" s="4"/>
      <c r="G604" s="4"/>
    </row>
    <row r="605">
      <c r="A605" s="4"/>
      <c r="B605" s="4"/>
      <c r="C605" s="4"/>
      <c r="D605" s="4"/>
      <c r="E605" s="4"/>
      <c r="F605" s="4"/>
      <c r="G605" s="4"/>
    </row>
    <row r="606">
      <c r="A606" s="4"/>
      <c r="B606" s="4"/>
      <c r="C606" s="4"/>
      <c r="D606" s="4"/>
      <c r="E606" s="4"/>
      <c r="F606" s="4"/>
      <c r="G606" s="4"/>
    </row>
    <row r="607">
      <c r="A607" s="4"/>
      <c r="B607" s="4"/>
      <c r="C607" s="4"/>
      <c r="D607" s="4"/>
      <c r="E607" s="4"/>
      <c r="F607" s="4"/>
      <c r="G607" s="4"/>
    </row>
    <row r="608">
      <c r="A608" s="4"/>
      <c r="B608" s="4"/>
      <c r="C608" s="4"/>
      <c r="D608" s="4"/>
      <c r="E608" s="4"/>
      <c r="F608" s="4"/>
      <c r="G608" s="4"/>
    </row>
    <row r="609">
      <c r="A609" s="4"/>
      <c r="B609" s="4"/>
      <c r="C609" s="4"/>
      <c r="D609" s="4"/>
      <c r="E609" s="4"/>
      <c r="F609" s="4"/>
      <c r="G609" s="4"/>
    </row>
    <row r="610">
      <c r="A610" s="4"/>
      <c r="B610" s="4"/>
      <c r="C610" s="4"/>
      <c r="D610" s="4"/>
      <c r="E610" s="4"/>
      <c r="F610" s="4"/>
      <c r="G610" s="4"/>
    </row>
    <row r="611">
      <c r="A611" s="4"/>
      <c r="B611" s="4"/>
      <c r="C611" s="4"/>
      <c r="D611" s="4"/>
      <c r="E611" s="4"/>
      <c r="F611" s="4"/>
      <c r="G611" s="4"/>
    </row>
    <row r="612">
      <c r="A612" s="4"/>
      <c r="B612" s="4"/>
      <c r="C612" s="4"/>
      <c r="D612" s="4"/>
      <c r="E612" s="4"/>
      <c r="F612" s="4"/>
      <c r="G612" s="4"/>
    </row>
    <row r="613">
      <c r="A613" s="4"/>
      <c r="B613" s="4"/>
      <c r="C613" s="4"/>
      <c r="D613" s="4"/>
      <c r="E613" s="4"/>
      <c r="F613" s="4"/>
      <c r="G613" s="4"/>
    </row>
    <row r="614">
      <c r="A614" s="4"/>
      <c r="B614" s="4"/>
      <c r="C614" s="4"/>
      <c r="D614" s="4"/>
      <c r="E614" s="4"/>
      <c r="F614" s="4"/>
      <c r="G614" s="4"/>
    </row>
    <row r="615">
      <c r="A615" s="4"/>
      <c r="B615" s="4"/>
      <c r="C615" s="4"/>
      <c r="D615" s="4"/>
      <c r="E615" s="4"/>
      <c r="F615" s="4"/>
      <c r="G615" s="4"/>
    </row>
    <row r="616">
      <c r="A616" s="4"/>
      <c r="B616" s="4"/>
      <c r="C616" s="4"/>
      <c r="D616" s="4"/>
      <c r="E616" s="4"/>
      <c r="F616" s="4"/>
      <c r="G616" s="4"/>
    </row>
    <row r="617">
      <c r="A617" s="4"/>
      <c r="B617" s="4"/>
      <c r="C617" s="4"/>
      <c r="D617" s="4"/>
      <c r="E617" s="4"/>
      <c r="F617" s="4"/>
      <c r="G617" s="4"/>
    </row>
    <row r="618">
      <c r="A618" s="4"/>
      <c r="B618" s="4"/>
      <c r="C618" s="4"/>
      <c r="D618" s="4"/>
      <c r="E618" s="4"/>
      <c r="F618" s="4"/>
      <c r="G618" s="4"/>
    </row>
    <row r="619">
      <c r="A619" s="4"/>
      <c r="B619" s="4"/>
      <c r="C619" s="4"/>
      <c r="D619" s="4"/>
      <c r="E619" s="4"/>
      <c r="F619" s="4"/>
      <c r="G619" s="4"/>
    </row>
    <row r="620">
      <c r="A620" s="4"/>
      <c r="B620" s="4"/>
      <c r="C620" s="4"/>
      <c r="D620" s="4"/>
      <c r="E620" s="4"/>
      <c r="F620" s="4"/>
      <c r="G620" s="4"/>
    </row>
    <row r="621">
      <c r="A621" s="4"/>
      <c r="B621" s="4"/>
      <c r="C621" s="4"/>
      <c r="D621" s="4"/>
      <c r="E621" s="4"/>
      <c r="F621" s="4"/>
      <c r="G621" s="4"/>
    </row>
    <row r="622">
      <c r="A622" s="4"/>
      <c r="B622" s="4"/>
      <c r="C622" s="4"/>
      <c r="D622" s="4"/>
      <c r="E622" s="4"/>
      <c r="F622" s="4"/>
      <c r="G622" s="4"/>
    </row>
    <row r="623">
      <c r="A623" s="4"/>
      <c r="B623" s="4"/>
      <c r="C623" s="4"/>
      <c r="D623" s="4"/>
      <c r="E623" s="4"/>
      <c r="F623" s="4"/>
      <c r="G623" s="4"/>
    </row>
    <row r="624">
      <c r="A624" s="4"/>
      <c r="B624" s="4"/>
      <c r="C624" s="4"/>
      <c r="D624" s="4"/>
      <c r="E624" s="4"/>
      <c r="F624" s="4"/>
      <c r="G624" s="4"/>
    </row>
    <row r="625">
      <c r="A625" s="4"/>
      <c r="B625" s="4"/>
      <c r="C625" s="4"/>
      <c r="D625" s="4"/>
      <c r="E625" s="4"/>
      <c r="F625" s="4"/>
      <c r="G625" s="4"/>
    </row>
    <row r="626">
      <c r="A626" s="4"/>
      <c r="B626" s="4"/>
      <c r="C626" s="4"/>
      <c r="D626" s="4"/>
      <c r="E626" s="4"/>
      <c r="F626" s="4"/>
      <c r="G626" s="4"/>
    </row>
    <row r="627">
      <c r="A627" s="4"/>
      <c r="B627" s="4"/>
      <c r="C627" s="4"/>
      <c r="D627" s="4"/>
      <c r="E627" s="4"/>
      <c r="F627" s="4"/>
      <c r="G627" s="4"/>
    </row>
    <row r="628">
      <c r="A628" s="4"/>
      <c r="B628" s="4"/>
      <c r="C628" s="4"/>
      <c r="D628" s="4"/>
      <c r="E628" s="4"/>
      <c r="F628" s="4"/>
      <c r="G628" s="4"/>
    </row>
    <row r="629">
      <c r="A629" s="4"/>
      <c r="B629" s="4"/>
      <c r="C629" s="4"/>
      <c r="D629" s="4"/>
      <c r="E629" s="4"/>
      <c r="F629" s="4"/>
      <c r="G629" s="4"/>
    </row>
    <row r="630">
      <c r="A630" s="4"/>
      <c r="B630" s="4"/>
      <c r="C630" s="4"/>
      <c r="D630" s="4"/>
      <c r="E630" s="4"/>
      <c r="F630" s="4"/>
      <c r="G630" s="4"/>
    </row>
    <row r="631">
      <c r="A631" s="4"/>
      <c r="B631" s="4"/>
      <c r="C631" s="4"/>
      <c r="D631" s="4"/>
      <c r="E631" s="4"/>
      <c r="F631" s="4"/>
      <c r="G631" s="4"/>
    </row>
    <row r="632">
      <c r="A632" s="4"/>
      <c r="B632" s="4"/>
      <c r="C632" s="4"/>
      <c r="D632" s="4"/>
      <c r="E632" s="4"/>
      <c r="F632" s="4"/>
      <c r="G632" s="4"/>
    </row>
    <row r="633">
      <c r="A633" s="4"/>
      <c r="B633" s="4"/>
      <c r="C633" s="4"/>
      <c r="D633" s="4"/>
      <c r="E633" s="4"/>
      <c r="F633" s="4"/>
      <c r="G633" s="4"/>
    </row>
    <row r="634">
      <c r="A634" s="4"/>
      <c r="B634" s="4"/>
      <c r="C634" s="4"/>
      <c r="D634" s="4"/>
      <c r="E634" s="4"/>
      <c r="F634" s="4"/>
      <c r="G634" s="4"/>
    </row>
    <row r="635">
      <c r="A635" s="4"/>
      <c r="B635" s="4"/>
      <c r="C635" s="4"/>
      <c r="D635" s="4"/>
      <c r="E635" s="4"/>
      <c r="F635" s="4"/>
      <c r="G635" s="4"/>
    </row>
    <row r="636">
      <c r="A636" s="4"/>
      <c r="B636" s="4"/>
      <c r="C636" s="4"/>
      <c r="D636" s="4"/>
      <c r="E636" s="4"/>
      <c r="F636" s="4"/>
      <c r="G636" s="4"/>
    </row>
    <row r="637">
      <c r="A637" s="4"/>
      <c r="B637" s="4"/>
      <c r="C637" s="4"/>
      <c r="D637" s="4"/>
      <c r="E637" s="4"/>
      <c r="F637" s="4"/>
      <c r="G637" s="4"/>
    </row>
    <row r="638">
      <c r="A638" s="4"/>
      <c r="B638" s="4"/>
      <c r="C638" s="4"/>
      <c r="D638" s="4"/>
      <c r="E638" s="4"/>
      <c r="F638" s="4"/>
      <c r="G638" s="4"/>
    </row>
    <row r="639">
      <c r="A639" s="4"/>
      <c r="B639" s="4"/>
      <c r="C639" s="4"/>
      <c r="D639" s="4"/>
      <c r="E639" s="4"/>
      <c r="F639" s="4"/>
      <c r="G639" s="4"/>
    </row>
    <row r="640">
      <c r="A640" s="4"/>
      <c r="B640" s="4"/>
      <c r="C640" s="4"/>
      <c r="D640" s="4"/>
      <c r="E640" s="4"/>
      <c r="F640" s="4"/>
      <c r="G640" s="4"/>
    </row>
    <row r="641">
      <c r="A641" s="4"/>
      <c r="B641" s="4"/>
      <c r="C641" s="4"/>
      <c r="D641" s="4"/>
      <c r="E641" s="4"/>
      <c r="F641" s="4"/>
      <c r="G641" s="4"/>
    </row>
    <row r="642">
      <c r="A642" s="4"/>
      <c r="B642" s="4"/>
      <c r="C642" s="4"/>
      <c r="D642" s="4"/>
      <c r="E642" s="4"/>
      <c r="F642" s="4"/>
      <c r="G642" s="4"/>
    </row>
    <row r="643">
      <c r="A643" s="4"/>
      <c r="B643" s="4"/>
      <c r="C643" s="4"/>
      <c r="D643" s="4"/>
      <c r="E643" s="4"/>
      <c r="F643" s="4"/>
      <c r="G643" s="4"/>
    </row>
    <row r="644">
      <c r="A644" s="4"/>
      <c r="B644" s="4"/>
      <c r="C644" s="4"/>
      <c r="D644" s="4"/>
      <c r="E644" s="4"/>
      <c r="F644" s="4"/>
      <c r="G644" s="4"/>
    </row>
    <row r="645">
      <c r="A645" s="4"/>
      <c r="B645" s="4"/>
      <c r="C645" s="4"/>
      <c r="D645" s="4"/>
      <c r="E645" s="4"/>
      <c r="F645" s="4"/>
      <c r="G645" s="4"/>
    </row>
    <row r="646">
      <c r="A646" s="4"/>
      <c r="B646" s="4"/>
      <c r="C646" s="4"/>
      <c r="D646" s="4"/>
      <c r="E646" s="4"/>
      <c r="F646" s="4"/>
      <c r="G646" s="4"/>
    </row>
    <row r="647">
      <c r="A647" s="4"/>
      <c r="B647" s="4"/>
      <c r="C647" s="4"/>
      <c r="D647" s="4"/>
      <c r="E647" s="4"/>
      <c r="F647" s="4"/>
      <c r="G647" s="4"/>
    </row>
    <row r="648">
      <c r="A648" s="4"/>
      <c r="B648" s="4"/>
      <c r="C648" s="4"/>
      <c r="D648" s="4"/>
      <c r="E648" s="4"/>
      <c r="F648" s="4"/>
      <c r="G648" s="4"/>
    </row>
    <row r="649">
      <c r="A649" s="4"/>
      <c r="B649" s="4"/>
      <c r="C649" s="4"/>
      <c r="D649" s="4"/>
      <c r="E649" s="4"/>
      <c r="F649" s="4"/>
      <c r="G649" s="4"/>
    </row>
    <row r="650">
      <c r="A650" s="4"/>
      <c r="B650" s="4"/>
      <c r="C650" s="4"/>
      <c r="D650" s="4"/>
      <c r="E650" s="4"/>
      <c r="F650" s="4"/>
      <c r="G650" s="4"/>
    </row>
    <row r="651">
      <c r="A651" s="4"/>
      <c r="B651" s="4"/>
      <c r="C651" s="4"/>
      <c r="D651" s="4"/>
      <c r="E651" s="4"/>
      <c r="F651" s="4"/>
      <c r="G651" s="4"/>
    </row>
    <row r="652">
      <c r="A652" s="4"/>
      <c r="B652" s="4"/>
      <c r="C652" s="4"/>
      <c r="D652" s="4"/>
      <c r="E652" s="4"/>
      <c r="F652" s="4"/>
      <c r="G652" s="4"/>
    </row>
    <row r="653">
      <c r="A653" s="4"/>
      <c r="B653" s="4"/>
      <c r="C653" s="4"/>
      <c r="D653" s="4"/>
      <c r="E653" s="4"/>
      <c r="F653" s="4"/>
      <c r="G653" s="4"/>
    </row>
    <row r="654">
      <c r="A654" s="4"/>
      <c r="B654" s="4"/>
      <c r="C654" s="4"/>
      <c r="D654" s="4"/>
      <c r="E654" s="4"/>
      <c r="F654" s="4"/>
      <c r="G654" s="4"/>
    </row>
    <row r="655">
      <c r="A655" s="4"/>
      <c r="B655" s="4"/>
      <c r="C655" s="4"/>
      <c r="D655" s="4"/>
      <c r="E655" s="4"/>
      <c r="F655" s="4"/>
      <c r="G655" s="4"/>
    </row>
    <row r="656">
      <c r="A656" s="4"/>
      <c r="B656" s="4"/>
      <c r="C656" s="4"/>
      <c r="D656" s="4"/>
      <c r="E656" s="4"/>
      <c r="F656" s="4"/>
      <c r="G656" s="4"/>
    </row>
    <row r="657">
      <c r="A657" s="4"/>
      <c r="B657" s="4"/>
      <c r="C657" s="4"/>
      <c r="D657" s="4"/>
      <c r="E657" s="4"/>
      <c r="F657" s="4"/>
      <c r="G657" s="4"/>
    </row>
    <row r="658">
      <c r="A658" s="4"/>
      <c r="B658" s="4"/>
      <c r="C658" s="4"/>
      <c r="D658" s="4"/>
      <c r="E658" s="4"/>
      <c r="F658" s="4"/>
      <c r="G658" s="4"/>
    </row>
    <row r="659">
      <c r="A659" s="4"/>
      <c r="B659" s="4"/>
      <c r="C659" s="4"/>
      <c r="D659" s="4"/>
      <c r="E659" s="4"/>
      <c r="F659" s="4"/>
      <c r="G659" s="4"/>
    </row>
    <row r="660">
      <c r="A660" s="4"/>
      <c r="B660" s="4"/>
      <c r="C660" s="4"/>
      <c r="D660" s="4"/>
      <c r="E660" s="4"/>
      <c r="F660" s="4"/>
      <c r="G660" s="4"/>
    </row>
    <row r="661">
      <c r="A661" s="4"/>
      <c r="B661" s="4"/>
      <c r="C661" s="4"/>
      <c r="D661" s="4"/>
      <c r="E661" s="4"/>
      <c r="F661" s="4"/>
      <c r="G661" s="4"/>
    </row>
    <row r="662">
      <c r="A662" s="4"/>
      <c r="B662" s="4"/>
      <c r="C662" s="4"/>
      <c r="D662" s="4"/>
      <c r="E662" s="4"/>
      <c r="F662" s="4"/>
      <c r="G662" s="4"/>
    </row>
    <row r="663">
      <c r="A663" s="4"/>
      <c r="B663" s="4"/>
      <c r="C663" s="4"/>
      <c r="D663" s="4"/>
      <c r="E663" s="4"/>
      <c r="F663" s="4"/>
      <c r="G663" s="4"/>
    </row>
    <row r="664">
      <c r="A664" s="4"/>
      <c r="B664" s="4"/>
      <c r="C664" s="4"/>
      <c r="D664" s="4"/>
      <c r="E664" s="4"/>
      <c r="F664" s="4"/>
      <c r="G664" s="4"/>
    </row>
    <row r="665">
      <c r="A665" s="4"/>
      <c r="B665" s="4"/>
      <c r="C665" s="4"/>
      <c r="D665" s="4"/>
      <c r="E665" s="4"/>
      <c r="F665" s="4"/>
      <c r="G665" s="4"/>
    </row>
    <row r="666">
      <c r="A666" s="4"/>
      <c r="B666" s="4"/>
      <c r="C666" s="4"/>
      <c r="D666" s="4"/>
      <c r="E666" s="4"/>
      <c r="F666" s="4"/>
      <c r="G666" s="4"/>
    </row>
    <row r="667">
      <c r="A667" s="4"/>
      <c r="B667" s="4"/>
      <c r="C667" s="4"/>
      <c r="D667" s="4"/>
      <c r="E667" s="4"/>
      <c r="F667" s="4"/>
      <c r="G667" s="4"/>
    </row>
    <row r="668">
      <c r="A668" s="4"/>
      <c r="B668" s="4"/>
      <c r="C668" s="4"/>
      <c r="D668" s="4"/>
      <c r="E668" s="4"/>
      <c r="F668" s="4"/>
      <c r="G668" s="4"/>
    </row>
    <row r="669">
      <c r="A669" s="4"/>
      <c r="B669" s="4"/>
      <c r="C669" s="4"/>
      <c r="D669" s="4"/>
      <c r="E669" s="4"/>
      <c r="F669" s="4"/>
      <c r="G669" s="4"/>
    </row>
    <row r="670">
      <c r="A670" s="4"/>
      <c r="B670" s="4"/>
      <c r="C670" s="4"/>
      <c r="D670" s="4"/>
      <c r="E670" s="4"/>
      <c r="F670" s="4"/>
      <c r="G670" s="4"/>
    </row>
    <row r="671">
      <c r="A671" s="4"/>
      <c r="B671" s="4"/>
      <c r="C671" s="4"/>
      <c r="D671" s="4"/>
      <c r="E671" s="4"/>
      <c r="F671" s="4"/>
      <c r="G671" s="4"/>
    </row>
    <row r="672">
      <c r="A672" s="4"/>
      <c r="B672" s="4"/>
      <c r="C672" s="4"/>
      <c r="D672" s="4"/>
      <c r="E672" s="4"/>
      <c r="F672" s="4"/>
      <c r="G672" s="4"/>
    </row>
    <row r="673">
      <c r="A673" s="4"/>
      <c r="B673" s="4"/>
      <c r="C673" s="4"/>
      <c r="D673" s="4"/>
      <c r="E673" s="4"/>
      <c r="F673" s="4"/>
      <c r="G673" s="4"/>
    </row>
    <row r="674">
      <c r="A674" s="4"/>
      <c r="B674" s="4"/>
      <c r="C674" s="4"/>
      <c r="D674" s="4"/>
      <c r="E674" s="4"/>
      <c r="F674" s="4"/>
      <c r="G674" s="4"/>
    </row>
    <row r="675">
      <c r="A675" s="4"/>
      <c r="B675" s="4"/>
      <c r="C675" s="4"/>
      <c r="D675" s="4"/>
      <c r="E675" s="4"/>
      <c r="F675" s="4"/>
      <c r="G675" s="4"/>
    </row>
    <row r="676">
      <c r="A676" s="4"/>
      <c r="B676" s="4"/>
      <c r="C676" s="4"/>
      <c r="D676" s="4"/>
      <c r="E676" s="4"/>
      <c r="F676" s="4"/>
      <c r="G676" s="4"/>
    </row>
    <row r="677">
      <c r="A677" s="4"/>
      <c r="B677" s="4"/>
      <c r="C677" s="4"/>
      <c r="D677" s="4"/>
      <c r="E677" s="4"/>
      <c r="F677" s="4"/>
      <c r="G677" s="4"/>
    </row>
    <row r="678">
      <c r="A678" s="4"/>
      <c r="B678" s="4"/>
      <c r="C678" s="4"/>
      <c r="D678" s="4"/>
      <c r="E678" s="4"/>
      <c r="F678" s="4"/>
      <c r="G678" s="4"/>
    </row>
    <row r="679">
      <c r="A679" s="4"/>
      <c r="B679" s="4"/>
      <c r="C679" s="4"/>
      <c r="D679" s="4"/>
      <c r="E679" s="4"/>
      <c r="F679" s="4"/>
      <c r="G679" s="4"/>
    </row>
    <row r="680">
      <c r="A680" s="4"/>
      <c r="B680" s="4"/>
      <c r="C680" s="4"/>
      <c r="D680" s="4"/>
      <c r="E680" s="4"/>
      <c r="F680" s="4"/>
      <c r="G680" s="4"/>
    </row>
    <row r="681">
      <c r="A681" s="4"/>
      <c r="B681" s="4"/>
      <c r="C681" s="4"/>
      <c r="D681" s="4"/>
      <c r="E681" s="4"/>
      <c r="F681" s="4"/>
      <c r="G681" s="4"/>
    </row>
    <row r="682">
      <c r="A682" s="4"/>
      <c r="B682" s="4"/>
      <c r="C682" s="4"/>
      <c r="D682" s="4"/>
      <c r="E682" s="4"/>
      <c r="F682" s="4"/>
      <c r="G682" s="4"/>
    </row>
    <row r="683">
      <c r="A683" s="4"/>
      <c r="B683" s="4"/>
      <c r="C683" s="4"/>
      <c r="D683" s="4"/>
      <c r="E683" s="4"/>
      <c r="F683" s="4"/>
      <c r="G683" s="4"/>
    </row>
    <row r="684">
      <c r="A684" s="4"/>
      <c r="B684" s="4"/>
      <c r="C684" s="4"/>
      <c r="D684" s="4"/>
      <c r="E684" s="4"/>
      <c r="F684" s="4"/>
      <c r="G684" s="4"/>
    </row>
    <row r="685">
      <c r="A685" s="4"/>
      <c r="B685" s="4"/>
      <c r="C685" s="4"/>
      <c r="D685" s="4"/>
      <c r="E685" s="4"/>
      <c r="F685" s="4"/>
      <c r="G685" s="4"/>
    </row>
    <row r="686">
      <c r="A686" s="4"/>
      <c r="B686" s="4"/>
      <c r="C686" s="4"/>
      <c r="D686" s="4"/>
      <c r="E686" s="4"/>
      <c r="F686" s="4"/>
      <c r="G686" s="4"/>
    </row>
    <row r="687">
      <c r="A687" s="4"/>
      <c r="B687" s="4"/>
      <c r="C687" s="4"/>
      <c r="D687" s="4"/>
      <c r="E687" s="4"/>
      <c r="F687" s="4"/>
      <c r="G687" s="4"/>
    </row>
    <row r="688">
      <c r="A688" s="4"/>
      <c r="B688" s="4"/>
      <c r="C688" s="4"/>
      <c r="D688" s="4"/>
      <c r="E688" s="4"/>
      <c r="F688" s="4"/>
      <c r="G688" s="4"/>
    </row>
    <row r="689">
      <c r="A689" s="4"/>
      <c r="B689" s="4"/>
      <c r="C689" s="4"/>
      <c r="D689" s="4"/>
      <c r="E689" s="4"/>
      <c r="F689" s="4"/>
      <c r="G689" s="4"/>
    </row>
    <row r="690">
      <c r="A690" s="4"/>
      <c r="B690" s="4"/>
      <c r="C690" s="4"/>
      <c r="D690" s="4"/>
      <c r="E690" s="4"/>
      <c r="F690" s="4"/>
      <c r="G690" s="4"/>
    </row>
    <row r="691">
      <c r="A691" s="4"/>
      <c r="B691" s="4"/>
      <c r="C691" s="4"/>
      <c r="D691" s="4"/>
      <c r="E691" s="4"/>
      <c r="F691" s="4"/>
      <c r="G691" s="4"/>
    </row>
    <row r="692">
      <c r="A692" s="4"/>
      <c r="B692" s="4"/>
      <c r="C692" s="4"/>
      <c r="D692" s="4"/>
      <c r="E692" s="4"/>
      <c r="F692" s="4"/>
      <c r="G692" s="4"/>
    </row>
    <row r="693">
      <c r="A693" s="4"/>
      <c r="B693" s="4"/>
      <c r="C693" s="4"/>
      <c r="D693" s="4"/>
      <c r="E693" s="4"/>
      <c r="F693" s="4"/>
      <c r="G693" s="4"/>
    </row>
    <row r="694">
      <c r="A694" s="4"/>
      <c r="B694" s="4"/>
      <c r="C694" s="4"/>
      <c r="D694" s="4"/>
      <c r="E694" s="4"/>
      <c r="F694" s="4"/>
      <c r="G694" s="4"/>
    </row>
    <row r="695">
      <c r="A695" s="4"/>
      <c r="B695" s="4"/>
      <c r="C695" s="4"/>
      <c r="D695" s="4"/>
      <c r="E695" s="4"/>
      <c r="F695" s="4"/>
      <c r="G695" s="4"/>
    </row>
    <row r="696">
      <c r="A696" s="4"/>
      <c r="B696" s="4"/>
      <c r="C696" s="4"/>
      <c r="D696" s="4"/>
      <c r="E696" s="4"/>
      <c r="F696" s="4"/>
      <c r="G696" s="4"/>
    </row>
    <row r="697">
      <c r="A697" s="4"/>
      <c r="B697" s="4"/>
      <c r="C697" s="4"/>
      <c r="D697" s="4"/>
      <c r="E697" s="4"/>
      <c r="F697" s="4"/>
      <c r="G697" s="4"/>
    </row>
    <row r="698">
      <c r="A698" s="4"/>
      <c r="B698" s="4"/>
      <c r="C698" s="4"/>
      <c r="D698" s="4"/>
      <c r="E698" s="4"/>
      <c r="F698" s="4"/>
      <c r="G698" s="4"/>
    </row>
    <row r="699">
      <c r="A699" s="4"/>
      <c r="B699" s="4"/>
      <c r="C699" s="4"/>
      <c r="D699" s="4"/>
      <c r="E699" s="4"/>
      <c r="F699" s="4"/>
      <c r="G699" s="4"/>
    </row>
    <row r="700">
      <c r="A700" s="4"/>
      <c r="B700" s="4"/>
      <c r="C700" s="4"/>
      <c r="D700" s="4"/>
      <c r="E700" s="4"/>
      <c r="F700" s="4"/>
      <c r="G700" s="4"/>
    </row>
    <row r="701">
      <c r="A701" s="4"/>
      <c r="B701" s="4"/>
      <c r="C701" s="4"/>
      <c r="D701" s="4"/>
      <c r="E701" s="4"/>
      <c r="F701" s="4"/>
      <c r="G701" s="4"/>
    </row>
    <row r="702">
      <c r="A702" s="4"/>
      <c r="B702" s="4"/>
      <c r="C702" s="4"/>
      <c r="D702" s="4"/>
      <c r="E702" s="4"/>
      <c r="F702" s="4"/>
      <c r="G702" s="4"/>
    </row>
    <row r="703">
      <c r="A703" s="4"/>
      <c r="B703" s="4"/>
      <c r="C703" s="4"/>
      <c r="D703" s="4"/>
      <c r="E703" s="4"/>
      <c r="F703" s="4"/>
      <c r="G703" s="4"/>
    </row>
    <row r="704">
      <c r="A704" s="4"/>
      <c r="B704" s="4"/>
      <c r="C704" s="4"/>
      <c r="D704" s="4"/>
      <c r="E704" s="4"/>
      <c r="F704" s="4"/>
      <c r="G704" s="4"/>
    </row>
    <row r="705">
      <c r="A705" s="4"/>
      <c r="B705" s="4"/>
      <c r="C705" s="4"/>
      <c r="D705" s="4"/>
      <c r="E705" s="4"/>
      <c r="F705" s="4"/>
      <c r="G705" s="4"/>
    </row>
    <row r="706">
      <c r="A706" s="4"/>
      <c r="B706" s="4"/>
      <c r="C706" s="4"/>
      <c r="D706" s="4"/>
      <c r="E706" s="4"/>
      <c r="F706" s="4"/>
      <c r="G706" s="4"/>
    </row>
    <row r="707">
      <c r="A707" s="4"/>
      <c r="B707" s="4"/>
      <c r="C707" s="4"/>
      <c r="D707" s="4"/>
      <c r="E707" s="4"/>
      <c r="F707" s="4"/>
      <c r="G707" s="4"/>
    </row>
    <row r="708">
      <c r="A708" s="4"/>
      <c r="B708" s="4"/>
      <c r="C708" s="4"/>
      <c r="D708" s="4"/>
      <c r="E708" s="4"/>
      <c r="F708" s="4"/>
      <c r="G708" s="4"/>
    </row>
    <row r="709">
      <c r="A709" s="4"/>
      <c r="B709" s="4"/>
      <c r="C709" s="4"/>
      <c r="D709" s="4"/>
      <c r="E709" s="4"/>
      <c r="F709" s="4"/>
      <c r="G709" s="4"/>
    </row>
    <row r="710">
      <c r="A710" s="4"/>
      <c r="B710" s="4"/>
      <c r="C710" s="4"/>
      <c r="D710" s="4"/>
      <c r="E710" s="4"/>
      <c r="F710" s="4"/>
      <c r="G710" s="4"/>
    </row>
    <row r="711">
      <c r="A711" s="4"/>
      <c r="B711" s="4"/>
      <c r="C711" s="4"/>
      <c r="D711" s="4"/>
      <c r="E711" s="4"/>
      <c r="F711" s="4"/>
      <c r="G711" s="4"/>
    </row>
    <row r="712">
      <c r="A712" s="4"/>
      <c r="B712" s="4"/>
      <c r="C712" s="4"/>
      <c r="D712" s="4"/>
      <c r="E712" s="4"/>
      <c r="F712" s="4"/>
      <c r="G712" s="4"/>
    </row>
    <row r="713">
      <c r="A713" s="4"/>
      <c r="B713" s="4"/>
      <c r="C713" s="4"/>
      <c r="D713" s="4"/>
      <c r="E713" s="4"/>
      <c r="F713" s="4"/>
      <c r="G713" s="4"/>
    </row>
    <row r="714">
      <c r="A714" s="4"/>
      <c r="B714" s="4"/>
      <c r="C714" s="4"/>
      <c r="D714" s="4"/>
      <c r="E714" s="4"/>
      <c r="F714" s="4"/>
      <c r="G714" s="4"/>
    </row>
    <row r="715">
      <c r="A715" s="4"/>
      <c r="B715" s="4"/>
      <c r="C715" s="4"/>
      <c r="D715" s="4"/>
      <c r="E715" s="4"/>
      <c r="F715" s="4"/>
      <c r="G715" s="4"/>
    </row>
    <row r="716">
      <c r="A716" s="4"/>
      <c r="B716" s="4"/>
      <c r="C716" s="4"/>
      <c r="D716" s="4"/>
      <c r="E716" s="4"/>
      <c r="F716" s="4"/>
      <c r="G716" s="4"/>
    </row>
    <row r="717">
      <c r="A717" s="4"/>
      <c r="B717" s="4"/>
      <c r="C717" s="4"/>
      <c r="D717" s="4"/>
      <c r="E717" s="4"/>
      <c r="F717" s="4"/>
      <c r="G717" s="4"/>
    </row>
    <row r="718">
      <c r="A718" s="4"/>
      <c r="B718" s="4"/>
      <c r="C718" s="4"/>
      <c r="D718" s="4"/>
      <c r="E718" s="4"/>
      <c r="F718" s="4"/>
      <c r="G718" s="4"/>
    </row>
    <row r="719">
      <c r="A719" s="4"/>
      <c r="B719" s="4"/>
      <c r="C719" s="4"/>
      <c r="D719" s="4"/>
      <c r="E719" s="4"/>
      <c r="F719" s="4"/>
      <c r="G719" s="4"/>
    </row>
    <row r="720">
      <c r="A720" s="4"/>
      <c r="B720" s="4"/>
      <c r="C720" s="4"/>
      <c r="D720" s="4"/>
      <c r="E720" s="4"/>
      <c r="F720" s="4"/>
      <c r="G720" s="4"/>
    </row>
    <row r="721">
      <c r="A721" s="4"/>
      <c r="B721" s="4"/>
      <c r="C721" s="4"/>
      <c r="D721" s="4"/>
      <c r="E721" s="4"/>
      <c r="F721" s="4"/>
      <c r="G721" s="4"/>
    </row>
    <row r="722">
      <c r="A722" s="4"/>
      <c r="B722" s="4"/>
      <c r="C722" s="4"/>
      <c r="D722" s="4"/>
      <c r="E722" s="4"/>
      <c r="F722" s="4"/>
      <c r="G722" s="4"/>
    </row>
    <row r="723">
      <c r="A723" s="4"/>
      <c r="B723" s="4"/>
      <c r="C723" s="4"/>
      <c r="D723" s="4"/>
      <c r="E723" s="4"/>
      <c r="F723" s="4"/>
      <c r="G723" s="4"/>
    </row>
    <row r="724">
      <c r="A724" s="4"/>
      <c r="B724" s="4"/>
      <c r="C724" s="4"/>
      <c r="D724" s="4"/>
      <c r="E724" s="4"/>
      <c r="F724" s="4"/>
      <c r="G724" s="4"/>
    </row>
    <row r="725">
      <c r="A725" s="4"/>
      <c r="B725" s="4"/>
      <c r="C725" s="4"/>
      <c r="D725" s="4"/>
      <c r="E725" s="4"/>
      <c r="F725" s="4"/>
      <c r="G725" s="4"/>
    </row>
    <row r="726">
      <c r="A726" s="4"/>
      <c r="B726" s="4"/>
      <c r="C726" s="4"/>
      <c r="D726" s="4"/>
      <c r="E726" s="4"/>
      <c r="F726" s="4"/>
      <c r="G726" s="4"/>
    </row>
    <row r="727">
      <c r="A727" s="4"/>
      <c r="B727" s="4"/>
      <c r="C727" s="4"/>
      <c r="D727" s="4"/>
      <c r="E727" s="4"/>
      <c r="F727" s="4"/>
      <c r="G727" s="4"/>
    </row>
    <row r="728">
      <c r="A728" s="4"/>
      <c r="B728" s="4"/>
      <c r="C728" s="4"/>
      <c r="D728" s="4"/>
      <c r="E728" s="4"/>
      <c r="F728" s="4"/>
      <c r="G728" s="4"/>
    </row>
    <row r="729">
      <c r="A729" s="4"/>
      <c r="B729" s="4"/>
      <c r="C729" s="4"/>
      <c r="D729" s="4"/>
      <c r="E729" s="4"/>
      <c r="F729" s="4"/>
      <c r="G729" s="4"/>
    </row>
    <row r="730">
      <c r="A730" s="4"/>
      <c r="B730" s="4"/>
      <c r="C730" s="4"/>
      <c r="D730" s="4"/>
      <c r="E730" s="4"/>
      <c r="F730" s="4"/>
      <c r="G730" s="4"/>
    </row>
    <row r="731">
      <c r="A731" s="4"/>
      <c r="B731" s="4"/>
      <c r="C731" s="4"/>
      <c r="D731" s="4"/>
      <c r="E731" s="4"/>
      <c r="F731" s="4"/>
      <c r="G731" s="4"/>
    </row>
    <row r="732">
      <c r="A732" s="4"/>
      <c r="B732" s="4"/>
      <c r="C732" s="4"/>
      <c r="D732" s="4"/>
      <c r="E732" s="4"/>
      <c r="F732" s="4"/>
      <c r="G732" s="4"/>
    </row>
    <row r="733">
      <c r="A733" s="4"/>
      <c r="B733" s="4"/>
      <c r="C733" s="4"/>
      <c r="D733" s="4"/>
      <c r="E733" s="4"/>
      <c r="F733" s="4"/>
      <c r="G733" s="4"/>
    </row>
    <row r="734">
      <c r="A734" s="4"/>
      <c r="B734" s="4"/>
      <c r="C734" s="4"/>
      <c r="D734" s="4"/>
      <c r="E734" s="4"/>
      <c r="F734" s="4"/>
      <c r="G734" s="4"/>
    </row>
    <row r="735">
      <c r="A735" s="4"/>
      <c r="B735" s="4"/>
      <c r="C735" s="4"/>
      <c r="D735" s="4"/>
      <c r="E735" s="4"/>
      <c r="F735" s="4"/>
      <c r="G735" s="4"/>
    </row>
    <row r="736">
      <c r="A736" s="4"/>
      <c r="B736" s="4"/>
      <c r="C736" s="4"/>
      <c r="D736" s="4"/>
      <c r="E736" s="4"/>
      <c r="F736" s="4"/>
      <c r="G736" s="4"/>
    </row>
    <row r="737">
      <c r="A737" s="4"/>
      <c r="B737" s="4"/>
      <c r="C737" s="4"/>
      <c r="D737" s="4"/>
      <c r="E737" s="4"/>
      <c r="F737" s="4"/>
      <c r="G737" s="4"/>
    </row>
    <row r="738">
      <c r="A738" s="4"/>
      <c r="B738" s="4"/>
      <c r="C738" s="4"/>
      <c r="D738" s="4"/>
      <c r="E738" s="4"/>
      <c r="F738" s="4"/>
      <c r="G738" s="4"/>
    </row>
    <row r="739">
      <c r="A739" s="4"/>
      <c r="B739" s="4"/>
      <c r="C739" s="4"/>
      <c r="D739" s="4"/>
      <c r="E739" s="4"/>
      <c r="F739" s="4"/>
      <c r="G739" s="4"/>
    </row>
    <row r="740">
      <c r="A740" s="4"/>
      <c r="B740" s="4"/>
      <c r="C740" s="4"/>
      <c r="D740" s="4"/>
      <c r="E740" s="4"/>
      <c r="F740" s="4"/>
      <c r="G740" s="4"/>
    </row>
    <row r="741">
      <c r="A741" s="4"/>
      <c r="B741" s="4"/>
      <c r="C741" s="4"/>
      <c r="D741" s="4"/>
      <c r="E741" s="4"/>
      <c r="F741" s="4"/>
      <c r="G741" s="4"/>
    </row>
    <row r="742">
      <c r="A742" s="4"/>
      <c r="B742" s="4"/>
      <c r="C742" s="4"/>
      <c r="D742" s="4"/>
      <c r="E742" s="4"/>
      <c r="F742" s="4"/>
      <c r="G742" s="4"/>
    </row>
    <row r="743">
      <c r="A743" s="4"/>
      <c r="B743" s="4"/>
      <c r="C743" s="4"/>
      <c r="D743" s="4"/>
      <c r="E743" s="4"/>
      <c r="F743" s="4"/>
      <c r="G743" s="4"/>
    </row>
    <row r="744">
      <c r="A744" s="4"/>
      <c r="B744" s="4"/>
      <c r="C744" s="4"/>
      <c r="D744" s="4"/>
      <c r="E744" s="4"/>
      <c r="F744" s="4"/>
      <c r="G744" s="4"/>
    </row>
    <row r="745">
      <c r="A745" s="4"/>
      <c r="B745" s="4"/>
      <c r="C745" s="4"/>
      <c r="D745" s="4"/>
      <c r="E745" s="4"/>
      <c r="F745" s="4"/>
      <c r="G745" s="4"/>
    </row>
    <row r="746">
      <c r="A746" s="4"/>
      <c r="B746" s="4"/>
      <c r="C746" s="4"/>
      <c r="D746" s="4"/>
      <c r="E746" s="4"/>
      <c r="F746" s="4"/>
      <c r="G746" s="4"/>
    </row>
    <row r="747">
      <c r="A747" s="4"/>
      <c r="B747" s="4"/>
      <c r="C747" s="4"/>
      <c r="D747" s="4"/>
      <c r="E747" s="4"/>
      <c r="F747" s="4"/>
      <c r="G747" s="4"/>
    </row>
    <row r="748">
      <c r="A748" s="4"/>
      <c r="B748" s="4"/>
      <c r="C748" s="4"/>
      <c r="D748" s="4"/>
      <c r="E748" s="4"/>
      <c r="F748" s="4"/>
      <c r="G748" s="4"/>
    </row>
    <row r="749">
      <c r="A749" s="4"/>
      <c r="B749" s="4"/>
      <c r="C749" s="4"/>
      <c r="D749" s="4"/>
      <c r="E749" s="4"/>
      <c r="F749" s="4"/>
      <c r="G749" s="4"/>
    </row>
    <row r="750">
      <c r="A750" s="4"/>
      <c r="B750" s="4"/>
      <c r="C750" s="4"/>
      <c r="D750" s="4"/>
      <c r="E750" s="4"/>
      <c r="F750" s="4"/>
      <c r="G750" s="4"/>
    </row>
    <row r="751">
      <c r="A751" s="4"/>
      <c r="B751" s="4"/>
      <c r="C751" s="4"/>
      <c r="D751" s="4"/>
      <c r="E751" s="4"/>
      <c r="F751" s="4"/>
      <c r="G751" s="4"/>
    </row>
    <row r="752">
      <c r="A752" s="4"/>
      <c r="B752" s="4"/>
      <c r="C752" s="4"/>
      <c r="D752" s="4"/>
      <c r="E752" s="4"/>
      <c r="F752" s="4"/>
      <c r="G752" s="4"/>
    </row>
    <row r="753">
      <c r="A753" s="4"/>
      <c r="B753" s="4"/>
      <c r="C753" s="4"/>
      <c r="D753" s="4"/>
      <c r="E753" s="4"/>
      <c r="F753" s="4"/>
      <c r="G753" s="4"/>
    </row>
    <row r="754">
      <c r="A754" s="4"/>
      <c r="B754" s="4"/>
      <c r="C754" s="4"/>
      <c r="D754" s="4"/>
      <c r="E754" s="4"/>
      <c r="F754" s="4"/>
      <c r="G754" s="4"/>
    </row>
    <row r="755">
      <c r="A755" s="4"/>
      <c r="B755" s="4"/>
      <c r="C755" s="4"/>
      <c r="D755" s="4"/>
      <c r="E755" s="4"/>
      <c r="F755" s="4"/>
      <c r="G755" s="4"/>
    </row>
    <row r="756">
      <c r="A756" s="4"/>
      <c r="B756" s="4"/>
      <c r="C756" s="4"/>
      <c r="D756" s="4"/>
      <c r="E756" s="4"/>
      <c r="F756" s="4"/>
      <c r="G756" s="4"/>
    </row>
    <row r="757">
      <c r="A757" s="4"/>
      <c r="B757" s="4"/>
      <c r="C757" s="4"/>
      <c r="D757" s="4"/>
      <c r="E757" s="4"/>
      <c r="F757" s="4"/>
      <c r="G757" s="4"/>
    </row>
    <row r="758">
      <c r="A758" s="4"/>
      <c r="B758" s="4"/>
      <c r="C758" s="4"/>
      <c r="D758" s="4"/>
      <c r="E758" s="4"/>
      <c r="F758" s="4"/>
      <c r="G758" s="4"/>
    </row>
    <row r="759">
      <c r="A759" s="4"/>
      <c r="B759" s="4"/>
      <c r="C759" s="4"/>
      <c r="D759" s="4"/>
      <c r="E759" s="4"/>
      <c r="F759" s="4"/>
      <c r="G759" s="4"/>
    </row>
    <row r="760">
      <c r="A760" s="4"/>
      <c r="B760" s="4"/>
      <c r="C760" s="4"/>
      <c r="D760" s="4"/>
      <c r="E760" s="4"/>
      <c r="F760" s="4"/>
      <c r="G760" s="4"/>
    </row>
    <row r="761">
      <c r="A761" s="4"/>
      <c r="B761" s="4"/>
      <c r="C761" s="4"/>
      <c r="D761" s="4"/>
      <c r="E761" s="4"/>
      <c r="F761" s="4"/>
      <c r="G761" s="4"/>
    </row>
    <row r="762">
      <c r="A762" s="4"/>
      <c r="B762" s="4"/>
      <c r="C762" s="4"/>
      <c r="D762" s="4"/>
      <c r="E762" s="4"/>
      <c r="F762" s="4"/>
      <c r="G762" s="4"/>
    </row>
    <row r="763">
      <c r="A763" s="4"/>
      <c r="B763" s="4"/>
      <c r="C763" s="4"/>
      <c r="D763" s="4"/>
      <c r="E763" s="4"/>
      <c r="F763" s="4"/>
      <c r="G763" s="4"/>
    </row>
    <row r="764">
      <c r="A764" s="4"/>
      <c r="B764" s="4"/>
      <c r="C764" s="4"/>
      <c r="D764" s="4"/>
      <c r="E764" s="4"/>
      <c r="F764" s="4"/>
      <c r="G764" s="4"/>
    </row>
    <row r="765">
      <c r="A765" s="4"/>
      <c r="B765" s="4"/>
      <c r="C765" s="4"/>
      <c r="D765" s="4"/>
      <c r="E765" s="4"/>
      <c r="F765" s="4"/>
      <c r="G765" s="4"/>
    </row>
    <row r="766">
      <c r="A766" s="4"/>
      <c r="B766" s="4"/>
      <c r="C766" s="4"/>
      <c r="D766" s="4"/>
      <c r="E766" s="4"/>
      <c r="F766" s="4"/>
      <c r="G766" s="4"/>
    </row>
    <row r="767">
      <c r="A767" s="4"/>
      <c r="B767" s="4"/>
      <c r="C767" s="4"/>
      <c r="D767" s="4"/>
      <c r="E767" s="4"/>
      <c r="F767" s="4"/>
      <c r="G767" s="4"/>
    </row>
    <row r="768">
      <c r="A768" s="4"/>
      <c r="B768" s="4"/>
      <c r="C768" s="4"/>
      <c r="D768" s="4"/>
      <c r="E768" s="4"/>
      <c r="F768" s="4"/>
      <c r="G768" s="4"/>
    </row>
    <row r="769">
      <c r="A769" s="4"/>
      <c r="B769" s="4"/>
      <c r="C769" s="4"/>
      <c r="D769" s="4"/>
      <c r="E769" s="4"/>
      <c r="F769" s="4"/>
      <c r="G769" s="4"/>
    </row>
    <row r="770">
      <c r="A770" s="4"/>
      <c r="B770" s="4"/>
      <c r="C770" s="4"/>
      <c r="D770" s="4"/>
      <c r="E770" s="4"/>
      <c r="F770" s="4"/>
      <c r="G770" s="4"/>
    </row>
    <row r="771">
      <c r="A771" s="4"/>
      <c r="B771" s="4"/>
      <c r="C771" s="4"/>
      <c r="D771" s="4"/>
      <c r="E771" s="4"/>
      <c r="F771" s="4"/>
      <c r="G771" s="4"/>
    </row>
    <row r="772">
      <c r="A772" s="4"/>
      <c r="B772" s="4"/>
      <c r="C772" s="4"/>
      <c r="D772" s="4"/>
      <c r="E772" s="4"/>
      <c r="F772" s="4"/>
      <c r="G772" s="4"/>
    </row>
    <row r="773">
      <c r="A773" s="4"/>
      <c r="B773" s="4"/>
      <c r="C773" s="4"/>
      <c r="D773" s="4"/>
      <c r="E773" s="4"/>
      <c r="F773" s="4"/>
      <c r="G773" s="4"/>
    </row>
    <row r="774">
      <c r="A774" s="4"/>
      <c r="B774" s="4"/>
      <c r="C774" s="4"/>
      <c r="D774" s="4"/>
      <c r="E774" s="4"/>
      <c r="F774" s="4"/>
      <c r="G774" s="4"/>
    </row>
    <row r="775">
      <c r="A775" s="4"/>
      <c r="B775" s="4"/>
      <c r="C775" s="4"/>
      <c r="D775" s="4"/>
      <c r="E775" s="4"/>
      <c r="F775" s="4"/>
      <c r="G775" s="4"/>
    </row>
    <row r="776">
      <c r="A776" s="4"/>
      <c r="B776" s="4"/>
      <c r="C776" s="4"/>
      <c r="D776" s="4"/>
      <c r="E776" s="4"/>
      <c r="F776" s="4"/>
      <c r="G776" s="4"/>
    </row>
    <row r="777">
      <c r="A777" s="4"/>
      <c r="B777" s="4"/>
      <c r="C777" s="4"/>
      <c r="D777" s="4"/>
      <c r="E777" s="4"/>
      <c r="F777" s="4"/>
      <c r="G777" s="4"/>
    </row>
    <row r="778">
      <c r="A778" s="4"/>
      <c r="B778" s="4"/>
      <c r="C778" s="4"/>
      <c r="D778" s="4"/>
      <c r="E778" s="4"/>
      <c r="F778" s="4"/>
      <c r="G778" s="4"/>
    </row>
    <row r="779">
      <c r="A779" s="4"/>
      <c r="B779" s="4"/>
      <c r="C779" s="4"/>
      <c r="D779" s="4"/>
      <c r="E779" s="4"/>
      <c r="F779" s="4"/>
      <c r="G779" s="4"/>
    </row>
    <row r="780">
      <c r="A780" s="4"/>
      <c r="B780" s="4"/>
      <c r="C780" s="4"/>
      <c r="D780" s="4"/>
      <c r="E780" s="4"/>
      <c r="F780" s="4"/>
      <c r="G780" s="4"/>
    </row>
    <row r="781">
      <c r="A781" s="4"/>
      <c r="B781" s="4"/>
      <c r="C781" s="4"/>
      <c r="D781" s="4"/>
      <c r="E781" s="4"/>
      <c r="F781" s="4"/>
      <c r="G781" s="4"/>
    </row>
    <row r="782">
      <c r="A782" s="4"/>
      <c r="B782" s="4"/>
      <c r="C782" s="4"/>
      <c r="D782" s="4"/>
      <c r="E782" s="4"/>
      <c r="F782" s="4"/>
      <c r="G782" s="4"/>
    </row>
    <row r="783">
      <c r="A783" s="4"/>
      <c r="B783" s="4"/>
      <c r="C783" s="4"/>
      <c r="D783" s="4"/>
      <c r="E783" s="4"/>
      <c r="F783" s="4"/>
      <c r="G783" s="4"/>
    </row>
    <row r="784">
      <c r="A784" s="4"/>
      <c r="B784" s="4"/>
      <c r="C784" s="4"/>
      <c r="D784" s="4"/>
      <c r="E784" s="4"/>
      <c r="F784" s="4"/>
      <c r="G784" s="4"/>
    </row>
    <row r="785">
      <c r="A785" s="4"/>
      <c r="B785" s="4"/>
      <c r="C785" s="4"/>
      <c r="D785" s="4"/>
      <c r="E785" s="4"/>
      <c r="F785" s="4"/>
      <c r="G785" s="4"/>
    </row>
    <row r="786">
      <c r="A786" s="4"/>
      <c r="B786" s="4"/>
      <c r="C786" s="4"/>
      <c r="D786" s="4"/>
      <c r="E786" s="4"/>
      <c r="F786" s="4"/>
      <c r="G786" s="4"/>
    </row>
    <row r="787">
      <c r="A787" s="4"/>
      <c r="B787" s="4"/>
      <c r="C787" s="4"/>
      <c r="D787" s="4"/>
      <c r="E787" s="4"/>
      <c r="F787" s="4"/>
      <c r="G787" s="4"/>
    </row>
    <row r="788">
      <c r="A788" s="4"/>
      <c r="B788" s="4"/>
      <c r="C788" s="4"/>
      <c r="D788" s="4"/>
      <c r="E788" s="4"/>
      <c r="F788" s="4"/>
      <c r="G788" s="4"/>
    </row>
    <row r="789">
      <c r="A789" s="4"/>
      <c r="B789" s="4"/>
      <c r="C789" s="4"/>
      <c r="D789" s="4"/>
      <c r="E789" s="4"/>
      <c r="F789" s="4"/>
      <c r="G789" s="4"/>
    </row>
    <row r="790">
      <c r="A790" s="4"/>
      <c r="B790" s="4"/>
      <c r="C790" s="4"/>
      <c r="D790" s="4"/>
      <c r="E790" s="4"/>
      <c r="F790" s="4"/>
      <c r="G790" s="4"/>
    </row>
    <row r="791">
      <c r="A791" s="4"/>
      <c r="B791" s="4"/>
      <c r="C791" s="4"/>
      <c r="D791" s="4"/>
      <c r="E791" s="4"/>
      <c r="F791" s="4"/>
      <c r="G791" s="4"/>
    </row>
    <row r="792">
      <c r="A792" s="4"/>
      <c r="B792" s="4"/>
      <c r="C792" s="4"/>
      <c r="D792" s="4"/>
      <c r="E792" s="4"/>
      <c r="F792" s="4"/>
      <c r="G792" s="4"/>
    </row>
    <row r="793">
      <c r="A793" s="4"/>
      <c r="B793" s="4"/>
      <c r="C793" s="4"/>
      <c r="D793" s="4"/>
      <c r="E793" s="4"/>
      <c r="F793" s="4"/>
      <c r="G793" s="4"/>
    </row>
    <row r="794">
      <c r="A794" s="4"/>
      <c r="B794" s="4"/>
      <c r="C794" s="4"/>
      <c r="D794" s="4"/>
      <c r="E794" s="4"/>
      <c r="F794" s="4"/>
      <c r="G794" s="4"/>
    </row>
    <row r="795">
      <c r="A795" s="4"/>
      <c r="B795" s="4"/>
      <c r="C795" s="4"/>
      <c r="D795" s="4"/>
      <c r="E795" s="4"/>
      <c r="F795" s="4"/>
      <c r="G795" s="4"/>
    </row>
    <row r="796">
      <c r="A796" s="4"/>
      <c r="B796" s="4"/>
      <c r="C796" s="4"/>
      <c r="D796" s="4"/>
      <c r="E796" s="4"/>
      <c r="F796" s="4"/>
      <c r="G796" s="4"/>
    </row>
    <row r="797">
      <c r="A797" s="4"/>
      <c r="B797" s="4"/>
      <c r="C797" s="4"/>
      <c r="D797" s="4"/>
      <c r="E797" s="4"/>
      <c r="F797" s="4"/>
      <c r="G797" s="4"/>
    </row>
    <row r="798">
      <c r="A798" s="4"/>
      <c r="B798" s="4"/>
      <c r="C798" s="4"/>
      <c r="D798" s="4"/>
      <c r="E798" s="4"/>
      <c r="F798" s="4"/>
      <c r="G798" s="4"/>
    </row>
    <row r="799">
      <c r="A799" s="4"/>
      <c r="B799" s="4"/>
      <c r="C799" s="4"/>
      <c r="D799" s="4"/>
      <c r="E799" s="4"/>
      <c r="F799" s="4"/>
      <c r="G799" s="4"/>
    </row>
    <row r="800">
      <c r="A800" s="4"/>
      <c r="B800" s="4"/>
      <c r="C800" s="4"/>
      <c r="D800" s="4"/>
      <c r="E800" s="4"/>
      <c r="F800" s="4"/>
      <c r="G800" s="4"/>
    </row>
    <row r="801">
      <c r="A801" s="4"/>
      <c r="B801" s="4"/>
      <c r="C801" s="4"/>
      <c r="D801" s="4"/>
      <c r="E801" s="4"/>
      <c r="F801" s="4"/>
      <c r="G801" s="4"/>
    </row>
    <row r="802">
      <c r="A802" s="4"/>
      <c r="B802" s="4"/>
      <c r="C802" s="4"/>
      <c r="D802" s="4"/>
      <c r="E802" s="4"/>
      <c r="F802" s="4"/>
      <c r="G802" s="4"/>
    </row>
    <row r="803">
      <c r="A803" s="4"/>
      <c r="B803" s="4"/>
      <c r="C803" s="4"/>
      <c r="D803" s="4"/>
      <c r="E803" s="4"/>
      <c r="F803" s="4"/>
      <c r="G803" s="4"/>
    </row>
    <row r="804">
      <c r="A804" s="4"/>
      <c r="B804" s="4"/>
      <c r="C804" s="4"/>
      <c r="D804" s="4"/>
      <c r="E804" s="4"/>
      <c r="F804" s="4"/>
      <c r="G804" s="4"/>
    </row>
    <row r="805">
      <c r="A805" s="4"/>
      <c r="B805" s="4"/>
      <c r="C805" s="4"/>
      <c r="D805" s="4"/>
      <c r="E805" s="4"/>
      <c r="F805" s="4"/>
      <c r="G805" s="4"/>
    </row>
    <row r="806">
      <c r="A806" s="4"/>
      <c r="B806" s="4"/>
      <c r="C806" s="4"/>
      <c r="D806" s="4"/>
      <c r="E806" s="4"/>
      <c r="F806" s="4"/>
      <c r="G806" s="4"/>
    </row>
    <row r="807">
      <c r="A807" s="4"/>
      <c r="B807" s="4"/>
      <c r="C807" s="4"/>
      <c r="D807" s="4"/>
      <c r="E807" s="4"/>
      <c r="F807" s="4"/>
      <c r="G807" s="4"/>
    </row>
    <row r="808">
      <c r="A808" s="4"/>
      <c r="B808" s="4"/>
      <c r="C808" s="4"/>
      <c r="D808" s="4"/>
      <c r="E808" s="4"/>
      <c r="F808" s="4"/>
      <c r="G808" s="4"/>
    </row>
    <row r="809">
      <c r="A809" s="4"/>
      <c r="B809" s="4"/>
      <c r="C809" s="4"/>
      <c r="D809" s="4"/>
      <c r="E809" s="4"/>
      <c r="F809" s="4"/>
      <c r="G809" s="4"/>
    </row>
    <row r="810">
      <c r="A810" s="4"/>
      <c r="B810" s="4"/>
      <c r="C810" s="4"/>
      <c r="D810" s="4"/>
      <c r="E810" s="4"/>
      <c r="F810" s="4"/>
      <c r="G810" s="4"/>
    </row>
    <row r="811">
      <c r="A811" s="4"/>
      <c r="B811" s="4"/>
      <c r="C811" s="4"/>
      <c r="D811" s="4"/>
      <c r="E811" s="4"/>
      <c r="F811" s="4"/>
      <c r="G811" s="4"/>
    </row>
    <row r="812">
      <c r="A812" s="4"/>
      <c r="B812" s="4"/>
      <c r="C812" s="4"/>
      <c r="D812" s="4"/>
      <c r="E812" s="4"/>
      <c r="F812" s="4"/>
      <c r="G812" s="4"/>
    </row>
    <row r="813">
      <c r="A813" s="4"/>
      <c r="B813" s="4"/>
      <c r="C813" s="4"/>
      <c r="D813" s="4"/>
      <c r="E813" s="4"/>
      <c r="F813" s="4"/>
      <c r="G813" s="4"/>
    </row>
    <row r="814">
      <c r="A814" s="4"/>
      <c r="B814" s="4"/>
      <c r="C814" s="4"/>
      <c r="D814" s="4"/>
      <c r="E814" s="4"/>
      <c r="F814" s="4"/>
      <c r="G814" s="4"/>
    </row>
    <row r="815">
      <c r="A815" s="4"/>
      <c r="B815" s="4"/>
      <c r="C815" s="4"/>
      <c r="D815" s="4"/>
      <c r="E815" s="4"/>
      <c r="F815" s="4"/>
      <c r="G815" s="4"/>
    </row>
    <row r="816">
      <c r="A816" s="4"/>
      <c r="B816" s="4"/>
      <c r="C816" s="4"/>
      <c r="D816" s="4"/>
      <c r="E816" s="4"/>
      <c r="F816" s="4"/>
      <c r="G816" s="4"/>
    </row>
    <row r="817">
      <c r="A817" s="4"/>
      <c r="B817" s="4"/>
      <c r="C817" s="4"/>
      <c r="D817" s="4"/>
      <c r="E817" s="4"/>
      <c r="F817" s="4"/>
      <c r="G817" s="4"/>
    </row>
    <row r="818">
      <c r="A818" s="4"/>
      <c r="B818" s="4"/>
      <c r="C818" s="4"/>
      <c r="D818" s="4"/>
      <c r="E818" s="4"/>
      <c r="F818" s="4"/>
      <c r="G818" s="4"/>
    </row>
    <row r="819">
      <c r="A819" s="4"/>
      <c r="B819" s="4"/>
      <c r="C819" s="4"/>
      <c r="D819" s="4"/>
      <c r="E819" s="4"/>
      <c r="F819" s="4"/>
      <c r="G819" s="4"/>
    </row>
    <row r="820">
      <c r="A820" s="4"/>
      <c r="B820" s="4"/>
      <c r="C820" s="4"/>
      <c r="D820" s="4"/>
      <c r="E820" s="4"/>
      <c r="F820" s="4"/>
      <c r="G820" s="4"/>
    </row>
    <row r="821">
      <c r="A821" s="4"/>
      <c r="B821" s="4"/>
      <c r="C821" s="4"/>
      <c r="D821" s="4"/>
      <c r="E821" s="4"/>
      <c r="F821" s="4"/>
      <c r="G821" s="4"/>
    </row>
    <row r="822">
      <c r="A822" s="4"/>
      <c r="B822" s="4"/>
      <c r="C822" s="4"/>
      <c r="D822" s="4"/>
      <c r="E822" s="4"/>
      <c r="F822" s="4"/>
      <c r="G822" s="4"/>
    </row>
    <row r="823">
      <c r="A823" s="4"/>
      <c r="B823" s="4"/>
      <c r="C823" s="4"/>
      <c r="D823" s="4"/>
      <c r="E823" s="4"/>
      <c r="F823" s="4"/>
      <c r="G823" s="4"/>
    </row>
    <row r="824">
      <c r="A824" s="4"/>
      <c r="B824" s="4"/>
      <c r="C824" s="4"/>
      <c r="D824" s="4"/>
      <c r="E824" s="4"/>
      <c r="F824" s="4"/>
      <c r="G824" s="4"/>
    </row>
    <row r="825">
      <c r="A825" s="4"/>
      <c r="B825" s="4"/>
      <c r="C825" s="4"/>
      <c r="D825" s="4"/>
      <c r="E825" s="4"/>
      <c r="F825" s="4"/>
      <c r="G825" s="4"/>
    </row>
    <row r="826">
      <c r="A826" s="4"/>
      <c r="B826" s="4"/>
      <c r="C826" s="4"/>
      <c r="D826" s="4"/>
      <c r="E826" s="4"/>
      <c r="F826" s="4"/>
      <c r="G826" s="4"/>
    </row>
    <row r="827">
      <c r="A827" s="4"/>
      <c r="B827" s="4"/>
      <c r="C827" s="4"/>
      <c r="D827" s="4"/>
      <c r="E827" s="4"/>
      <c r="F827" s="4"/>
      <c r="G827" s="4"/>
    </row>
    <row r="828">
      <c r="A828" s="4"/>
      <c r="B828" s="4"/>
      <c r="C828" s="4"/>
      <c r="D828" s="4"/>
      <c r="E828" s="4"/>
      <c r="F828" s="4"/>
      <c r="G828" s="4"/>
    </row>
    <row r="829">
      <c r="A829" s="4"/>
      <c r="B829" s="4"/>
      <c r="C829" s="4"/>
      <c r="D829" s="4"/>
      <c r="E829" s="4"/>
      <c r="F829" s="4"/>
      <c r="G829" s="4"/>
    </row>
    <row r="830">
      <c r="A830" s="4"/>
      <c r="B830" s="4"/>
      <c r="C830" s="4"/>
      <c r="D830" s="4"/>
      <c r="E830" s="4"/>
      <c r="F830" s="4"/>
      <c r="G830" s="4"/>
    </row>
    <row r="831">
      <c r="A831" s="4"/>
      <c r="B831" s="4"/>
      <c r="C831" s="4"/>
      <c r="D831" s="4"/>
      <c r="E831" s="4"/>
      <c r="F831" s="4"/>
      <c r="G831" s="4"/>
    </row>
    <row r="832">
      <c r="A832" s="4"/>
      <c r="B832" s="4"/>
      <c r="C832" s="4"/>
      <c r="D832" s="4"/>
      <c r="E832" s="4"/>
      <c r="F832" s="4"/>
      <c r="G832" s="4"/>
    </row>
    <row r="833">
      <c r="A833" s="4"/>
      <c r="B833" s="4"/>
      <c r="C833" s="4"/>
      <c r="D833" s="4"/>
      <c r="E833" s="4"/>
      <c r="F833" s="4"/>
      <c r="G833" s="4"/>
    </row>
    <row r="834">
      <c r="A834" s="4"/>
      <c r="B834" s="4"/>
      <c r="C834" s="4"/>
      <c r="D834" s="4"/>
      <c r="E834" s="4"/>
      <c r="F834" s="4"/>
      <c r="G834" s="4"/>
    </row>
    <row r="835">
      <c r="A835" s="4"/>
      <c r="B835" s="4"/>
      <c r="C835" s="4"/>
      <c r="D835" s="4"/>
      <c r="E835" s="4"/>
      <c r="F835" s="4"/>
      <c r="G835" s="4"/>
    </row>
    <row r="836">
      <c r="A836" s="4"/>
      <c r="B836" s="4"/>
      <c r="C836" s="4"/>
      <c r="D836" s="4"/>
      <c r="E836" s="4"/>
      <c r="F836" s="4"/>
      <c r="G836" s="4"/>
    </row>
    <row r="837">
      <c r="A837" s="4"/>
      <c r="B837" s="4"/>
      <c r="C837" s="4"/>
      <c r="D837" s="4"/>
      <c r="E837" s="4"/>
      <c r="F837" s="4"/>
      <c r="G837" s="4"/>
    </row>
    <row r="838">
      <c r="A838" s="4"/>
      <c r="B838" s="4"/>
      <c r="C838" s="4"/>
      <c r="D838" s="4"/>
      <c r="E838" s="4"/>
      <c r="F838" s="4"/>
      <c r="G838" s="4"/>
    </row>
    <row r="839">
      <c r="A839" s="4"/>
      <c r="B839" s="4"/>
      <c r="C839" s="4"/>
      <c r="D839" s="4"/>
      <c r="E839" s="4"/>
      <c r="F839" s="4"/>
      <c r="G839" s="4"/>
    </row>
    <row r="840">
      <c r="A840" s="4"/>
      <c r="B840" s="4"/>
      <c r="C840" s="4"/>
      <c r="D840" s="4"/>
      <c r="E840" s="4"/>
      <c r="F840" s="4"/>
      <c r="G840" s="4"/>
    </row>
    <row r="841">
      <c r="A841" s="4"/>
      <c r="B841" s="4"/>
      <c r="C841" s="4"/>
      <c r="D841" s="4"/>
      <c r="E841" s="4"/>
      <c r="F841" s="4"/>
      <c r="G841" s="4"/>
    </row>
    <row r="842">
      <c r="A842" s="4"/>
      <c r="B842" s="4"/>
      <c r="C842" s="4"/>
      <c r="D842" s="4"/>
      <c r="E842" s="4"/>
      <c r="F842" s="4"/>
      <c r="G842" s="4"/>
    </row>
    <row r="843">
      <c r="A843" s="4"/>
      <c r="B843" s="4"/>
      <c r="C843" s="4"/>
      <c r="D843" s="4"/>
      <c r="E843" s="4"/>
      <c r="F843" s="4"/>
      <c r="G843" s="4"/>
    </row>
    <row r="844">
      <c r="A844" s="4"/>
      <c r="B844" s="4"/>
      <c r="C844" s="4"/>
      <c r="D844" s="4"/>
      <c r="E844" s="4"/>
      <c r="F844" s="4"/>
      <c r="G844" s="4"/>
    </row>
    <row r="845">
      <c r="A845" s="4"/>
      <c r="B845" s="4"/>
      <c r="C845" s="4"/>
      <c r="D845" s="4"/>
      <c r="E845" s="4"/>
      <c r="F845" s="4"/>
      <c r="G845" s="4"/>
    </row>
    <row r="846">
      <c r="A846" s="4"/>
      <c r="B846" s="4"/>
      <c r="C846" s="4"/>
      <c r="D846" s="4"/>
      <c r="E846" s="4"/>
      <c r="F846" s="4"/>
      <c r="G846" s="4"/>
    </row>
    <row r="847">
      <c r="A847" s="4"/>
      <c r="B847" s="4"/>
      <c r="C847" s="4"/>
      <c r="D847" s="4"/>
      <c r="E847" s="4"/>
      <c r="F847" s="4"/>
      <c r="G847" s="4"/>
    </row>
    <row r="848">
      <c r="A848" s="4"/>
      <c r="B848" s="4"/>
      <c r="C848" s="4"/>
      <c r="D848" s="4"/>
      <c r="E848" s="4"/>
      <c r="F848" s="4"/>
      <c r="G848" s="4"/>
    </row>
    <row r="849">
      <c r="A849" s="4"/>
      <c r="B849" s="4"/>
      <c r="C849" s="4"/>
      <c r="D849" s="4"/>
      <c r="E849" s="4"/>
      <c r="F849" s="4"/>
      <c r="G849" s="4"/>
    </row>
    <row r="850">
      <c r="A850" s="4"/>
      <c r="B850" s="4"/>
      <c r="C850" s="4"/>
      <c r="D850" s="4"/>
      <c r="E850" s="4"/>
      <c r="F850" s="4"/>
      <c r="G850" s="4"/>
    </row>
    <row r="851">
      <c r="A851" s="4"/>
      <c r="B851" s="4"/>
      <c r="C851" s="4"/>
      <c r="D851" s="4"/>
      <c r="E851" s="4"/>
      <c r="F851" s="4"/>
      <c r="G851" s="4"/>
    </row>
    <row r="852">
      <c r="A852" s="4"/>
      <c r="B852" s="4"/>
      <c r="C852" s="4"/>
      <c r="D852" s="4"/>
      <c r="E852" s="4"/>
      <c r="F852" s="4"/>
      <c r="G852" s="4"/>
    </row>
    <row r="853">
      <c r="A853" s="4"/>
      <c r="B853" s="4"/>
      <c r="C853" s="4"/>
      <c r="D853" s="4"/>
      <c r="E853" s="4"/>
      <c r="F853" s="4"/>
      <c r="G853" s="4"/>
    </row>
    <row r="854">
      <c r="A854" s="4"/>
      <c r="B854" s="4"/>
      <c r="C854" s="4"/>
      <c r="D854" s="4"/>
      <c r="E854" s="4"/>
      <c r="F854" s="4"/>
      <c r="G854" s="4"/>
    </row>
    <row r="855">
      <c r="A855" s="4"/>
      <c r="B855" s="4"/>
      <c r="C855" s="4"/>
      <c r="D855" s="4"/>
      <c r="E855" s="4"/>
      <c r="F855" s="4"/>
      <c r="G855" s="4"/>
    </row>
    <row r="856">
      <c r="A856" s="4"/>
      <c r="B856" s="4"/>
      <c r="C856" s="4"/>
      <c r="D856" s="4"/>
      <c r="E856" s="4"/>
      <c r="F856" s="4"/>
      <c r="G856" s="4"/>
    </row>
    <row r="857">
      <c r="A857" s="4"/>
      <c r="B857" s="4"/>
      <c r="C857" s="4"/>
      <c r="D857" s="4"/>
      <c r="E857" s="4"/>
      <c r="F857" s="4"/>
      <c r="G857" s="4"/>
    </row>
    <row r="858">
      <c r="A858" s="4"/>
      <c r="B858" s="4"/>
      <c r="C858" s="4"/>
      <c r="D858" s="4"/>
      <c r="E858" s="4"/>
      <c r="F858" s="4"/>
      <c r="G858" s="4"/>
    </row>
    <row r="859">
      <c r="A859" s="4"/>
      <c r="B859" s="4"/>
      <c r="C859" s="4"/>
      <c r="D859" s="4"/>
      <c r="E859" s="4"/>
      <c r="F859" s="4"/>
      <c r="G859" s="4"/>
    </row>
    <row r="860">
      <c r="A860" s="4"/>
      <c r="B860" s="4"/>
      <c r="C860" s="4"/>
      <c r="D860" s="4"/>
      <c r="E860" s="4"/>
      <c r="F860" s="4"/>
      <c r="G860" s="4"/>
    </row>
    <row r="861">
      <c r="A861" s="4"/>
      <c r="B861" s="4"/>
      <c r="C861" s="4"/>
      <c r="D861" s="4"/>
      <c r="E861" s="4"/>
      <c r="F861" s="4"/>
      <c r="G861" s="4"/>
    </row>
    <row r="862">
      <c r="A862" s="4"/>
      <c r="B862" s="4"/>
      <c r="C862" s="4"/>
      <c r="D862" s="4"/>
      <c r="E862" s="4"/>
      <c r="F862" s="4"/>
      <c r="G862" s="4"/>
    </row>
    <row r="863">
      <c r="A863" s="4"/>
      <c r="B863" s="4"/>
      <c r="C863" s="4"/>
      <c r="D863" s="4"/>
      <c r="E863" s="4"/>
      <c r="F863" s="4"/>
      <c r="G863" s="4"/>
    </row>
    <row r="864">
      <c r="A864" s="4"/>
      <c r="B864" s="4"/>
      <c r="C864" s="4"/>
      <c r="D864" s="4"/>
      <c r="E864" s="4"/>
      <c r="F864" s="4"/>
      <c r="G864" s="4"/>
    </row>
    <row r="865">
      <c r="A865" s="4"/>
      <c r="B865" s="4"/>
      <c r="C865" s="4"/>
      <c r="D865" s="4"/>
      <c r="E865" s="4"/>
      <c r="F865" s="4"/>
      <c r="G865" s="4"/>
    </row>
    <row r="866">
      <c r="A866" s="4"/>
      <c r="B866" s="4"/>
      <c r="C866" s="4"/>
      <c r="D866" s="4"/>
      <c r="E866" s="4"/>
      <c r="F866" s="4"/>
      <c r="G866" s="4"/>
    </row>
    <row r="867">
      <c r="A867" s="4"/>
      <c r="B867" s="4"/>
      <c r="C867" s="4"/>
      <c r="D867" s="4"/>
      <c r="E867" s="4"/>
      <c r="F867" s="4"/>
      <c r="G867" s="4"/>
    </row>
    <row r="868">
      <c r="A868" s="4"/>
      <c r="B868" s="4"/>
      <c r="C868" s="4"/>
      <c r="D868" s="4"/>
      <c r="E868" s="4"/>
      <c r="F868" s="4"/>
      <c r="G868" s="4"/>
    </row>
    <row r="869">
      <c r="A869" s="4"/>
      <c r="B869" s="4"/>
      <c r="C869" s="4"/>
      <c r="D869" s="4"/>
      <c r="E869" s="4"/>
      <c r="F869" s="4"/>
      <c r="G869" s="4"/>
    </row>
    <row r="870">
      <c r="A870" s="4"/>
      <c r="B870" s="4"/>
      <c r="C870" s="4"/>
      <c r="D870" s="4"/>
      <c r="E870" s="4"/>
      <c r="F870" s="4"/>
      <c r="G870" s="4"/>
    </row>
    <row r="871">
      <c r="A871" s="4"/>
      <c r="B871" s="4"/>
      <c r="C871" s="4"/>
      <c r="D871" s="4"/>
      <c r="E871" s="4"/>
      <c r="F871" s="4"/>
      <c r="G871" s="4"/>
    </row>
    <row r="872">
      <c r="A872" s="4"/>
      <c r="B872" s="4"/>
      <c r="C872" s="4"/>
      <c r="D872" s="4"/>
      <c r="E872" s="4"/>
      <c r="F872" s="4"/>
      <c r="G872" s="4"/>
    </row>
    <row r="873">
      <c r="A873" s="4"/>
      <c r="B873" s="4"/>
      <c r="C873" s="4"/>
      <c r="D873" s="4"/>
      <c r="E873" s="4"/>
      <c r="F873" s="4"/>
      <c r="G873" s="4"/>
    </row>
    <row r="874">
      <c r="A874" s="4"/>
      <c r="B874" s="4"/>
      <c r="C874" s="4"/>
      <c r="D874" s="4"/>
      <c r="E874" s="4"/>
      <c r="F874" s="4"/>
      <c r="G874" s="4"/>
    </row>
    <row r="875">
      <c r="A875" s="4"/>
      <c r="B875" s="4"/>
      <c r="C875" s="4"/>
      <c r="D875" s="4"/>
      <c r="E875" s="4"/>
      <c r="F875" s="4"/>
      <c r="G875" s="4"/>
    </row>
    <row r="876">
      <c r="A876" s="4"/>
      <c r="B876" s="4"/>
      <c r="C876" s="4"/>
      <c r="D876" s="4"/>
      <c r="E876" s="4"/>
      <c r="F876" s="4"/>
      <c r="G876" s="4"/>
    </row>
    <row r="877">
      <c r="A877" s="4"/>
      <c r="B877" s="4"/>
      <c r="C877" s="4"/>
      <c r="D877" s="4"/>
      <c r="E877" s="4"/>
      <c r="F877" s="4"/>
      <c r="G877" s="4"/>
    </row>
    <row r="878">
      <c r="A878" s="4"/>
      <c r="B878" s="4"/>
      <c r="C878" s="4"/>
      <c r="D878" s="4"/>
      <c r="E878" s="4"/>
      <c r="F878" s="4"/>
      <c r="G878" s="4"/>
    </row>
    <row r="879">
      <c r="A879" s="4"/>
      <c r="B879" s="4"/>
      <c r="C879" s="4"/>
      <c r="D879" s="4"/>
      <c r="E879" s="4"/>
      <c r="F879" s="4"/>
      <c r="G879" s="4"/>
    </row>
    <row r="880">
      <c r="A880" s="4"/>
      <c r="B880" s="4"/>
      <c r="C880" s="4"/>
      <c r="D880" s="4"/>
      <c r="E880" s="4"/>
      <c r="F880" s="4"/>
      <c r="G880" s="4"/>
    </row>
    <row r="881">
      <c r="A881" s="4"/>
      <c r="B881" s="4"/>
      <c r="C881" s="4"/>
      <c r="D881" s="4"/>
      <c r="E881" s="4"/>
      <c r="F881" s="4"/>
      <c r="G881" s="4"/>
    </row>
    <row r="882">
      <c r="A882" s="4"/>
      <c r="B882" s="4"/>
      <c r="C882" s="4"/>
      <c r="D882" s="4"/>
      <c r="E882" s="4"/>
      <c r="F882" s="4"/>
      <c r="G882" s="4"/>
    </row>
    <row r="883">
      <c r="A883" s="4"/>
      <c r="B883" s="4"/>
      <c r="C883" s="4"/>
      <c r="D883" s="4"/>
      <c r="E883" s="4"/>
      <c r="F883" s="4"/>
      <c r="G883" s="4"/>
    </row>
    <row r="884">
      <c r="A884" s="4"/>
      <c r="B884" s="4"/>
      <c r="C884" s="4"/>
      <c r="D884" s="4"/>
      <c r="E884" s="4"/>
      <c r="F884" s="4"/>
      <c r="G884" s="4"/>
    </row>
    <row r="885">
      <c r="A885" s="4"/>
      <c r="B885" s="4"/>
      <c r="C885" s="4"/>
      <c r="D885" s="4"/>
      <c r="E885" s="4"/>
      <c r="F885" s="4"/>
      <c r="G885" s="4"/>
    </row>
    <row r="886">
      <c r="A886" s="4"/>
      <c r="B886" s="4"/>
      <c r="C886" s="4"/>
      <c r="D886" s="4"/>
      <c r="E886" s="4"/>
      <c r="F886" s="4"/>
      <c r="G886" s="4"/>
    </row>
    <row r="887">
      <c r="A887" s="4"/>
      <c r="B887" s="4"/>
      <c r="C887" s="4"/>
      <c r="D887" s="4"/>
      <c r="E887" s="4"/>
      <c r="F887" s="4"/>
      <c r="G887" s="4"/>
    </row>
    <row r="888">
      <c r="A888" s="4"/>
      <c r="B888" s="4"/>
      <c r="C888" s="4"/>
      <c r="D888" s="4"/>
      <c r="E888" s="4"/>
      <c r="F888" s="4"/>
      <c r="G888" s="4"/>
    </row>
    <row r="889">
      <c r="A889" s="4"/>
      <c r="B889" s="4"/>
      <c r="C889" s="4"/>
      <c r="D889" s="4"/>
      <c r="E889" s="4"/>
      <c r="F889" s="4"/>
      <c r="G889" s="4"/>
    </row>
    <row r="890">
      <c r="A890" s="4"/>
      <c r="B890" s="4"/>
      <c r="C890" s="4"/>
      <c r="D890" s="4"/>
      <c r="E890" s="4"/>
      <c r="F890" s="4"/>
      <c r="G890" s="4"/>
    </row>
    <row r="891">
      <c r="A891" s="4"/>
      <c r="B891" s="4"/>
      <c r="C891" s="4"/>
      <c r="D891" s="4"/>
      <c r="E891" s="4"/>
      <c r="F891" s="4"/>
      <c r="G891" s="4"/>
    </row>
    <row r="892">
      <c r="A892" s="4"/>
      <c r="B892" s="4"/>
      <c r="C892" s="4"/>
      <c r="D892" s="4"/>
      <c r="E892" s="4"/>
      <c r="F892" s="4"/>
      <c r="G892" s="4"/>
    </row>
    <row r="893">
      <c r="A893" s="4"/>
      <c r="B893" s="4"/>
      <c r="C893" s="4"/>
      <c r="D893" s="4"/>
      <c r="E893" s="4"/>
      <c r="F893" s="4"/>
      <c r="G893" s="4"/>
    </row>
    <row r="894">
      <c r="A894" s="4"/>
      <c r="B894" s="4"/>
      <c r="C894" s="4"/>
      <c r="D894" s="4"/>
      <c r="E894" s="4"/>
      <c r="F894" s="4"/>
      <c r="G894" s="4"/>
    </row>
    <row r="895">
      <c r="A895" s="4"/>
      <c r="B895" s="4"/>
      <c r="C895" s="4"/>
      <c r="D895" s="4"/>
      <c r="E895" s="4"/>
      <c r="F895" s="4"/>
      <c r="G895" s="4"/>
    </row>
    <row r="896">
      <c r="A896" s="4"/>
      <c r="B896" s="4"/>
      <c r="C896" s="4"/>
      <c r="D896" s="4"/>
      <c r="E896" s="4"/>
      <c r="F896" s="4"/>
      <c r="G896" s="4"/>
    </row>
    <row r="897">
      <c r="A897" s="4"/>
      <c r="B897" s="4"/>
      <c r="C897" s="4"/>
      <c r="D897" s="4"/>
      <c r="E897" s="4"/>
      <c r="F897" s="4"/>
      <c r="G897" s="4"/>
    </row>
    <row r="898">
      <c r="A898" s="4"/>
      <c r="B898" s="4"/>
      <c r="C898" s="4"/>
      <c r="D898" s="4"/>
      <c r="E898" s="4"/>
      <c r="F898" s="4"/>
      <c r="G898" s="4"/>
    </row>
    <row r="899">
      <c r="A899" s="4"/>
      <c r="B899" s="4"/>
      <c r="C899" s="4"/>
      <c r="D899" s="4"/>
      <c r="E899" s="4"/>
      <c r="F899" s="4"/>
      <c r="G899" s="4"/>
    </row>
    <row r="900">
      <c r="A900" s="4"/>
      <c r="B900" s="4"/>
      <c r="C900" s="4"/>
      <c r="D900" s="4"/>
      <c r="E900" s="4"/>
      <c r="F900" s="4"/>
      <c r="G900" s="4"/>
    </row>
    <row r="901">
      <c r="A901" s="4"/>
      <c r="B901" s="4"/>
      <c r="C901" s="4"/>
      <c r="D901" s="4"/>
      <c r="E901" s="4"/>
      <c r="F901" s="4"/>
      <c r="G901" s="4"/>
    </row>
    <row r="902">
      <c r="A902" s="4"/>
      <c r="B902" s="4"/>
      <c r="C902" s="4"/>
      <c r="D902" s="4"/>
      <c r="E902" s="4"/>
      <c r="F902" s="4"/>
      <c r="G902" s="4"/>
    </row>
    <row r="903">
      <c r="A903" s="4"/>
      <c r="B903" s="4"/>
      <c r="C903" s="4"/>
      <c r="D903" s="4"/>
      <c r="E903" s="4"/>
      <c r="F903" s="4"/>
      <c r="G903" s="4"/>
    </row>
    <row r="904">
      <c r="A904" s="4"/>
      <c r="B904" s="4"/>
      <c r="C904" s="4"/>
      <c r="D904" s="4"/>
      <c r="E904" s="4"/>
      <c r="F904" s="4"/>
      <c r="G904" s="4"/>
    </row>
    <row r="905">
      <c r="A905" s="4"/>
      <c r="B905" s="4"/>
      <c r="C905" s="4"/>
      <c r="D905" s="4"/>
      <c r="E905" s="4"/>
      <c r="F905" s="4"/>
      <c r="G905" s="4"/>
    </row>
    <row r="906">
      <c r="A906" s="4"/>
      <c r="B906" s="4"/>
      <c r="C906" s="4"/>
      <c r="D906" s="4"/>
      <c r="E906" s="4"/>
      <c r="F906" s="4"/>
      <c r="G906" s="4"/>
    </row>
    <row r="907">
      <c r="A907" s="4"/>
      <c r="B907" s="4"/>
      <c r="C907" s="4"/>
      <c r="D907" s="4"/>
      <c r="E907" s="4"/>
      <c r="F907" s="4"/>
      <c r="G907" s="4"/>
    </row>
    <row r="908">
      <c r="A908" s="4"/>
      <c r="B908" s="4"/>
      <c r="C908" s="4"/>
      <c r="D908" s="4"/>
      <c r="E908" s="4"/>
      <c r="F908" s="4"/>
      <c r="G908" s="4"/>
    </row>
    <row r="909">
      <c r="A909" s="4"/>
      <c r="B909" s="4"/>
      <c r="C909" s="4"/>
      <c r="D909" s="4"/>
      <c r="E909" s="4"/>
      <c r="F909" s="4"/>
      <c r="G909" s="4"/>
    </row>
    <row r="910">
      <c r="A910" s="4"/>
      <c r="B910" s="4"/>
      <c r="C910" s="4"/>
      <c r="D910" s="4"/>
      <c r="E910" s="4"/>
      <c r="F910" s="4"/>
      <c r="G910" s="4"/>
    </row>
    <row r="911">
      <c r="A911" s="4"/>
      <c r="B911" s="4"/>
      <c r="C911" s="4"/>
      <c r="D911" s="4"/>
      <c r="E911" s="4"/>
      <c r="F911" s="4"/>
      <c r="G911" s="4"/>
    </row>
    <row r="912">
      <c r="A912" s="4"/>
      <c r="B912" s="4"/>
      <c r="C912" s="4"/>
      <c r="D912" s="4"/>
      <c r="E912" s="4"/>
      <c r="F912" s="4"/>
      <c r="G912" s="4"/>
    </row>
    <row r="913">
      <c r="A913" s="4"/>
      <c r="B913" s="4"/>
      <c r="C913" s="4"/>
      <c r="D913" s="4"/>
      <c r="E913" s="4"/>
      <c r="F913" s="4"/>
      <c r="G913" s="4"/>
    </row>
    <row r="914">
      <c r="A914" s="4"/>
      <c r="B914" s="4"/>
      <c r="C914" s="4"/>
      <c r="D914" s="4"/>
      <c r="E914" s="4"/>
      <c r="F914" s="4"/>
      <c r="G914" s="4"/>
    </row>
    <row r="915">
      <c r="A915" s="4"/>
      <c r="B915" s="4"/>
      <c r="C915" s="4"/>
      <c r="D915" s="4"/>
      <c r="E915" s="4"/>
      <c r="F915" s="4"/>
      <c r="G915" s="4"/>
    </row>
    <row r="916">
      <c r="A916" s="4"/>
      <c r="B916" s="4"/>
      <c r="C916" s="4"/>
      <c r="D916" s="4"/>
      <c r="E916" s="4"/>
      <c r="F916" s="4"/>
      <c r="G916" s="4"/>
    </row>
    <row r="917">
      <c r="A917" s="4"/>
      <c r="B917" s="4"/>
      <c r="C917" s="4"/>
      <c r="D917" s="4"/>
      <c r="E917" s="4"/>
      <c r="F917" s="4"/>
      <c r="G917" s="4"/>
    </row>
    <row r="918">
      <c r="A918" s="4"/>
      <c r="B918" s="4"/>
      <c r="C918" s="4"/>
      <c r="D918" s="4"/>
      <c r="E918" s="4"/>
      <c r="F918" s="4"/>
      <c r="G918" s="4"/>
    </row>
    <row r="919">
      <c r="A919" s="4"/>
      <c r="B919" s="4"/>
      <c r="C919" s="4"/>
      <c r="D919" s="4"/>
      <c r="E919" s="4"/>
      <c r="F919" s="4"/>
      <c r="G919" s="4"/>
    </row>
    <row r="920">
      <c r="A920" s="4"/>
      <c r="B920" s="4"/>
      <c r="C920" s="4"/>
      <c r="D920" s="4"/>
      <c r="E920" s="4"/>
      <c r="F920" s="4"/>
      <c r="G920" s="4"/>
    </row>
    <row r="921">
      <c r="A921" s="4"/>
      <c r="B921" s="4"/>
      <c r="C921" s="4"/>
      <c r="D921" s="4"/>
      <c r="E921" s="4"/>
      <c r="F921" s="4"/>
      <c r="G921" s="4"/>
    </row>
    <row r="922">
      <c r="A922" s="4"/>
      <c r="B922" s="4"/>
      <c r="C922" s="4"/>
      <c r="D922" s="4"/>
      <c r="E922" s="4"/>
      <c r="F922" s="4"/>
      <c r="G922" s="4"/>
    </row>
    <row r="923">
      <c r="A923" s="4"/>
      <c r="B923" s="4"/>
      <c r="C923" s="4"/>
      <c r="D923" s="4"/>
      <c r="E923" s="4"/>
      <c r="F923" s="4"/>
      <c r="G923" s="4"/>
    </row>
    <row r="924">
      <c r="A924" s="4"/>
      <c r="B924" s="4"/>
      <c r="C924" s="4"/>
      <c r="D924" s="4"/>
      <c r="E924" s="4"/>
      <c r="F924" s="4"/>
      <c r="G924" s="4"/>
    </row>
    <row r="925">
      <c r="A925" s="4"/>
      <c r="B925" s="4"/>
      <c r="C925" s="4"/>
      <c r="D925" s="4"/>
      <c r="E925" s="4"/>
      <c r="F925" s="4"/>
      <c r="G925" s="4"/>
    </row>
    <row r="926">
      <c r="A926" s="4"/>
      <c r="B926" s="4"/>
      <c r="C926" s="4"/>
      <c r="D926" s="4"/>
      <c r="E926" s="4"/>
      <c r="F926" s="4"/>
      <c r="G926" s="4"/>
    </row>
    <row r="927">
      <c r="A927" s="4"/>
      <c r="B927" s="4"/>
      <c r="C927" s="4"/>
      <c r="D927" s="4"/>
      <c r="E927" s="4"/>
      <c r="F927" s="4"/>
      <c r="G927" s="4"/>
    </row>
    <row r="928">
      <c r="A928" s="4"/>
      <c r="B928" s="4"/>
      <c r="C928" s="4"/>
      <c r="D928" s="4"/>
      <c r="E928" s="4"/>
      <c r="F928" s="4"/>
      <c r="G928" s="4"/>
    </row>
    <row r="929">
      <c r="A929" s="4"/>
      <c r="B929" s="4"/>
      <c r="C929" s="4"/>
      <c r="D929" s="4"/>
      <c r="E929" s="4"/>
      <c r="F929" s="4"/>
      <c r="G929" s="4"/>
    </row>
    <row r="930">
      <c r="A930" s="4"/>
      <c r="B930" s="4"/>
      <c r="C930" s="4"/>
      <c r="D930" s="4"/>
      <c r="E930" s="4"/>
      <c r="F930" s="4"/>
      <c r="G930" s="4"/>
    </row>
    <row r="931">
      <c r="A931" s="4"/>
      <c r="B931" s="4"/>
      <c r="C931" s="4"/>
      <c r="D931" s="4"/>
      <c r="E931" s="4"/>
      <c r="F931" s="4"/>
      <c r="G931" s="4"/>
    </row>
    <row r="932">
      <c r="A932" s="4"/>
      <c r="B932" s="4"/>
      <c r="C932" s="4"/>
      <c r="D932" s="4"/>
      <c r="E932" s="4"/>
      <c r="F932" s="4"/>
      <c r="G932" s="4"/>
    </row>
    <row r="933">
      <c r="A933" s="4"/>
      <c r="B933" s="4"/>
      <c r="C933" s="4"/>
      <c r="D933" s="4"/>
      <c r="E933" s="4"/>
      <c r="F933" s="4"/>
      <c r="G933" s="4"/>
    </row>
    <row r="934">
      <c r="A934" s="4"/>
      <c r="B934" s="4"/>
      <c r="C934" s="4"/>
      <c r="D934" s="4"/>
      <c r="E934" s="4"/>
      <c r="F934" s="4"/>
      <c r="G934" s="4"/>
    </row>
    <row r="935">
      <c r="A935" s="4"/>
      <c r="B935" s="4"/>
      <c r="C935" s="4"/>
      <c r="D935" s="4"/>
      <c r="E935" s="4"/>
      <c r="F935" s="4"/>
      <c r="G935" s="4"/>
    </row>
    <row r="936">
      <c r="A936" s="4"/>
      <c r="B936" s="4"/>
      <c r="C936" s="4"/>
      <c r="D936" s="4"/>
      <c r="E936" s="4"/>
      <c r="F936" s="4"/>
      <c r="G936" s="4"/>
    </row>
    <row r="937">
      <c r="A937" s="4"/>
      <c r="B937" s="4"/>
      <c r="C937" s="4"/>
      <c r="D937" s="4"/>
      <c r="E937" s="4"/>
      <c r="F937" s="4"/>
      <c r="G937" s="4"/>
    </row>
    <row r="938">
      <c r="A938" s="4"/>
      <c r="B938" s="4"/>
      <c r="C938" s="4"/>
      <c r="D938" s="4"/>
      <c r="E938" s="4"/>
      <c r="F938" s="4"/>
      <c r="G938" s="4"/>
    </row>
    <row r="939">
      <c r="A939" s="4"/>
      <c r="B939" s="4"/>
      <c r="C939" s="4"/>
      <c r="D939" s="4"/>
      <c r="E939" s="4"/>
      <c r="F939" s="4"/>
      <c r="G939" s="4"/>
    </row>
    <row r="940">
      <c r="A940" s="4"/>
      <c r="B940" s="4"/>
      <c r="C940" s="4"/>
      <c r="D940" s="4"/>
      <c r="E940" s="4"/>
      <c r="F940" s="4"/>
      <c r="G940" s="4"/>
    </row>
    <row r="941">
      <c r="A941" s="4"/>
      <c r="B941" s="4"/>
      <c r="C941" s="4"/>
      <c r="D941" s="4"/>
      <c r="E941" s="4"/>
      <c r="F941" s="4"/>
      <c r="G941" s="4"/>
    </row>
    <row r="942">
      <c r="A942" s="4"/>
      <c r="B942" s="4"/>
      <c r="C942" s="4"/>
      <c r="D942" s="4"/>
      <c r="E942" s="4"/>
      <c r="F942" s="4"/>
      <c r="G942" s="4"/>
    </row>
    <row r="943">
      <c r="A943" s="4"/>
      <c r="B943" s="4"/>
      <c r="C943" s="4"/>
      <c r="D943" s="4"/>
      <c r="E943" s="4"/>
      <c r="F943" s="4"/>
      <c r="G943" s="4"/>
    </row>
    <row r="944">
      <c r="A944" s="4"/>
      <c r="B944" s="4"/>
      <c r="C944" s="4"/>
      <c r="D944" s="4"/>
      <c r="E944" s="4"/>
      <c r="F944" s="4"/>
      <c r="G944" s="4"/>
    </row>
    <row r="945">
      <c r="A945" s="4"/>
      <c r="B945" s="4"/>
      <c r="C945" s="4"/>
      <c r="D945" s="4"/>
      <c r="E945" s="4"/>
      <c r="F945" s="4"/>
      <c r="G945" s="4"/>
    </row>
    <row r="946">
      <c r="A946" s="4"/>
      <c r="B946" s="4"/>
      <c r="C946" s="4"/>
      <c r="D946" s="4"/>
      <c r="E946" s="4"/>
      <c r="F946" s="4"/>
      <c r="G946" s="4"/>
    </row>
    <row r="947">
      <c r="A947" s="4"/>
      <c r="B947" s="4"/>
      <c r="C947" s="4"/>
      <c r="D947" s="4"/>
      <c r="E947" s="4"/>
      <c r="F947" s="4"/>
      <c r="G947" s="4"/>
    </row>
    <row r="948">
      <c r="A948" s="4"/>
      <c r="B948" s="4"/>
      <c r="C948" s="4"/>
      <c r="D948" s="4"/>
      <c r="E948" s="4"/>
      <c r="F948" s="4"/>
      <c r="G948" s="4"/>
    </row>
    <row r="949">
      <c r="A949" s="4"/>
      <c r="B949" s="4"/>
      <c r="C949" s="4"/>
      <c r="D949" s="4"/>
      <c r="E949" s="4"/>
      <c r="F949" s="4"/>
      <c r="G949" s="4"/>
    </row>
    <row r="950">
      <c r="A950" s="4"/>
      <c r="B950" s="4"/>
      <c r="C950" s="4"/>
      <c r="D950" s="4"/>
      <c r="E950" s="4"/>
      <c r="F950" s="4"/>
      <c r="G950" s="4"/>
    </row>
    <row r="951">
      <c r="A951" s="4"/>
      <c r="B951" s="4"/>
      <c r="C951" s="4"/>
      <c r="D951" s="4"/>
      <c r="E951" s="4"/>
      <c r="F951" s="4"/>
      <c r="G951" s="4"/>
    </row>
    <row r="952">
      <c r="A952" s="4"/>
      <c r="B952" s="4"/>
      <c r="C952" s="4"/>
      <c r="D952" s="4"/>
      <c r="E952" s="4"/>
      <c r="F952" s="4"/>
      <c r="G952" s="4"/>
    </row>
    <row r="953">
      <c r="A953" s="4"/>
      <c r="B953" s="4"/>
      <c r="C953" s="4"/>
      <c r="D953" s="4"/>
      <c r="E953" s="4"/>
      <c r="F953" s="4"/>
      <c r="G953" s="4"/>
    </row>
    <row r="954">
      <c r="A954" s="4"/>
      <c r="B954" s="4"/>
      <c r="C954" s="4"/>
      <c r="D954" s="4"/>
      <c r="E954" s="4"/>
      <c r="F954" s="4"/>
      <c r="G954" s="4"/>
    </row>
    <row r="955">
      <c r="A955" s="4"/>
      <c r="B955" s="4"/>
      <c r="C955" s="4"/>
      <c r="D955" s="4"/>
      <c r="E955" s="4"/>
      <c r="F955" s="4"/>
      <c r="G955" s="4"/>
    </row>
    <row r="956">
      <c r="A956" s="4"/>
      <c r="B956" s="4"/>
      <c r="C956" s="4"/>
      <c r="D956" s="4"/>
      <c r="E956" s="4"/>
      <c r="F956" s="4"/>
      <c r="G956" s="4"/>
    </row>
    <row r="957">
      <c r="A957" s="4"/>
      <c r="B957" s="4"/>
      <c r="C957" s="4"/>
      <c r="D957" s="4"/>
      <c r="E957" s="4"/>
      <c r="F957" s="4"/>
      <c r="G957" s="4"/>
    </row>
    <row r="958">
      <c r="A958" s="4"/>
      <c r="B958" s="4"/>
      <c r="C958" s="4"/>
      <c r="D958" s="4"/>
      <c r="E958" s="4"/>
      <c r="F958" s="4"/>
      <c r="G958" s="4"/>
    </row>
    <row r="959">
      <c r="A959" s="4"/>
      <c r="B959" s="4"/>
      <c r="C959" s="4"/>
      <c r="D959" s="4"/>
      <c r="E959" s="4"/>
      <c r="F959" s="4"/>
      <c r="G959" s="4"/>
    </row>
    <row r="960">
      <c r="A960" s="4"/>
      <c r="B960" s="4"/>
      <c r="C960" s="4"/>
      <c r="D960" s="4"/>
      <c r="E960" s="4"/>
      <c r="F960" s="4"/>
      <c r="G960" s="4"/>
    </row>
    <row r="961">
      <c r="A961" s="4"/>
      <c r="B961" s="4"/>
      <c r="C961" s="4"/>
      <c r="D961" s="4"/>
      <c r="E961" s="4"/>
      <c r="F961" s="4"/>
      <c r="G961" s="4"/>
    </row>
    <row r="962">
      <c r="A962" s="4"/>
      <c r="B962" s="4"/>
      <c r="C962" s="4"/>
      <c r="D962" s="4"/>
      <c r="E962" s="4"/>
      <c r="F962" s="4"/>
      <c r="G962" s="4"/>
    </row>
    <row r="963">
      <c r="A963" s="4"/>
      <c r="B963" s="4"/>
      <c r="C963" s="4"/>
      <c r="D963" s="4"/>
      <c r="E963" s="4"/>
      <c r="F963" s="4"/>
      <c r="G963" s="4"/>
    </row>
    <row r="964">
      <c r="A964" s="4"/>
      <c r="B964" s="4"/>
      <c r="C964" s="4"/>
      <c r="D964" s="4"/>
      <c r="E964" s="4"/>
      <c r="F964" s="4"/>
      <c r="G964" s="4"/>
    </row>
    <row r="965">
      <c r="A965" s="4"/>
      <c r="B965" s="4"/>
      <c r="C965" s="4"/>
      <c r="D965" s="4"/>
      <c r="E965" s="4"/>
      <c r="F965" s="4"/>
      <c r="G965" s="4"/>
    </row>
    <row r="966">
      <c r="A966" s="4"/>
      <c r="B966" s="4"/>
      <c r="C966" s="4"/>
      <c r="D966" s="4"/>
      <c r="E966" s="4"/>
      <c r="F966" s="4"/>
      <c r="G966" s="4"/>
    </row>
    <row r="967">
      <c r="A967" s="4"/>
      <c r="B967" s="4"/>
      <c r="C967" s="4"/>
      <c r="D967" s="4"/>
      <c r="E967" s="4"/>
      <c r="F967" s="4"/>
      <c r="G967" s="4"/>
    </row>
    <row r="968">
      <c r="A968" s="4"/>
      <c r="B968" s="4"/>
      <c r="C968" s="4"/>
      <c r="D968" s="4"/>
      <c r="E968" s="4"/>
      <c r="F968" s="4"/>
      <c r="G968" s="4"/>
    </row>
    <row r="969">
      <c r="A969" s="4"/>
      <c r="B969" s="4"/>
      <c r="C969" s="4"/>
      <c r="D969" s="4"/>
      <c r="E969" s="4"/>
      <c r="F969" s="4"/>
      <c r="G969" s="4"/>
    </row>
    <row r="970">
      <c r="A970" s="4"/>
      <c r="B970" s="4"/>
      <c r="C970" s="4"/>
      <c r="D970" s="4"/>
      <c r="E970" s="4"/>
      <c r="F970" s="4"/>
      <c r="G970" s="4"/>
    </row>
    <row r="971">
      <c r="A971" s="4"/>
      <c r="B971" s="4"/>
      <c r="C971" s="4"/>
      <c r="D971" s="4"/>
      <c r="E971" s="4"/>
      <c r="F971" s="4"/>
      <c r="G971" s="4"/>
    </row>
    <row r="972">
      <c r="A972" s="4"/>
      <c r="B972" s="4"/>
      <c r="C972" s="4"/>
      <c r="D972" s="4"/>
      <c r="E972" s="4"/>
      <c r="F972" s="4"/>
      <c r="G972" s="4"/>
    </row>
    <row r="973">
      <c r="A973" s="4"/>
      <c r="B973" s="4"/>
      <c r="C973" s="4"/>
      <c r="D973" s="4"/>
      <c r="E973" s="4"/>
      <c r="F973" s="4"/>
      <c r="G973" s="4"/>
    </row>
    <row r="974">
      <c r="A974" s="4"/>
      <c r="B974" s="4"/>
      <c r="C974" s="4"/>
      <c r="D974" s="4"/>
      <c r="E974" s="4"/>
      <c r="F974" s="4"/>
      <c r="G974" s="4"/>
    </row>
    <row r="975">
      <c r="A975" s="4"/>
      <c r="B975" s="4"/>
      <c r="C975" s="4"/>
      <c r="D975" s="4"/>
      <c r="E975" s="4"/>
      <c r="F975" s="4"/>
      <c r="G975" s="4"/>
    </row>
    <row r="976">
      <c r="A976" s="4"/>
      <c r="B976" s="4"/>
      <c r="C976" s="4"/>
      <c r="D976" s="4"/>
      <c r="E976" s="4"/>
      <c r="F976" s="4"/>
      <c r="G976" s="4"/>
    </row>
    <row r="977">
      <c r="A977" s="4"/>
      <c r="B977" s="4"/>
      <c r="C977" s="4"/>
      <c r="D977" s="4"/>
      <c r="E977" s="4"/>
      <c r="F977" s="4"/>
      <c r="G977" s="4"/>
    </row>
    <row r="978">
      <c r="A978" s="4"/>
      <c r="B978" s="4"/>
      <c r="C978" s="4"/>
      <c r="D978" s="4"/>
      <c r="E978" s="4"/>
      <c r="F978" s="4"/>
      <c r="G978" s="4"/>
    </row>
    <row r="979">
      <c r="A979" s="4"/>
      <c r="B979" s="4"/>
      <c r="C979" s="4"/>
      <c r="D979" s="4"/>
      <c r="E979" s="4"/>
      <c r="F979" s="4"/>
      <c r="G979" s="4"/>
    </row>
    <row r="980">
      <c r="A980" s="4"/>
      <c r="B980" s="4"/>
      <c r="C980" s="4"/>
      <c r="D980" s="4"/>
      <c r="E980" s="4"/>
      <c r="F980" s="4"/>
      <c r="G980" s="4"/>
    </row>
    <row r="981">
      <c r="A981" s="4"/>
      <c r="B981" s="4"/>
      <c r="C981" s="4"/>
      <c r="D981" s="4"/>
      <c r="E981" s="4"/>
      <c r="F981" s="4"/>
      <c r="G981" s="4"/>
    </row>
    <row r="982">
      <c r="A982" s="4"/>
      <c r="B982" s="4"/>
      <c r="C982" s="4"/>
      <c r="D982" s="4"/>
      <c r="E982" s="4"/>
      <c r="F982" s="4"/>
      <c r="G982" s="4"/>
    </row>
    <row r="983">
      <c r="A983" s="4"/>
      <c r="B983" s="4"/>
      <c r="C983" s="4"/>
      <c r="D983" s="4"/>
      <c r="E983" s="4"/>
      <c r="F983" s="4"/>
      <c r="G983" s="4"/>
    </row>
    <row r="984">
      <c r="A984" s="4"/>
      <c r="B984" s="4"/>
      <c r="C984" s="4"/>
      <c r="D984" s="4"/>
      <c r="E984" s="4"/>
      <c r="F984" s="4"/>
      <c r="G984" s="4"/>
    </row>
    <row r="985">
      <c r="A985" s="4"/>
      <c r="B985" s="4"/>
      <c r="C985" s="4"/>
      <c r="D985" s="4"/>
      <c r="E985" s="4"/>
      <c r="F985" s="4"/>
      <c r="G985" s="4"/>
    </row>
    <row r="986">
      <c r="A986" s="4"/>
      <c r="B986" s="4"/>
      <c r="C986" s="4"/>
      <c r="D986" s="4"/>
      <c r="E986" s="4"/>
      <c r="F986" s="4"/>
      <c r="G986" s="4"/>
    </row>
    <row r="987">
      <c r="A987" s="4"/>
      <c r="B987" s="4"/>
      <c r="C987" s="4"/>
      <c r="D987" s="4"/>
      <c r="E987" s="4"/>
      <c r="F987" s="4"/>
      <c r="G987" s="4"/>
    </row>
    <row r="988">
      <c r="A988" s="4"/>
      <c r="B988" s="4"/>
      <c r="C988" s="4"/>
      <c r="D988" s="4"/>
      <c r="E988" s="4"/>
      <c r="F988" s="4"/>
      <c r="G988" s="4"/>
    </row>
    <row r="989">
      <c r="A989" s="4"/>
      <c r="B989" s="4"/>
      <c r="C989" s="4"/>
      <c r="D989" s="4"/>
      <c r="E989" s="4"/>
      <c r="F989" s="4"/>
      <c r="G989" s="4"/>
    </row>
    <row r="990">
      <c r="A990" s="4"/>
      <c r="B990" s="4"/>
      <c r="C990" s="4"/>
      <c r="D990" s="4"/>
      <c r="E990" s="4"/>
      <c r="F990" s="4"/>
      <c r="G990" s="4"/>
    </row>
    <row r="991">
      <c r="A991" s="4"/>
      <c r="B991" s="4"/>
      <c r="C991" s="4"/>
      <c r="D991" s="4"/>
      <c r="E991" s="4"/>
      <c r="F991" s="4"/>
      <c r="G991" s="4"/>
    </row>
    <row r="992">
      <c r="A992" s="4"/>
      <c r="B992" s="4"/>
      <c r="C992" s="4"/>
      <c r="D992" s="4"/>
      <c r="E992" s="4"/>
      <c r="F992" s="4"/>
      <c r="G992" s="4"/>
    </row>
    <row r="993">
      <c r="A993" s="4"/>
      <c r="B993" s="4"/>
      <c r="C993" s="4"/>
      <c r="D993" s="4"/>
      <c r="E993" s="4"/>
      <c r="F993" s="4"/>
      <c r="G993" s="4"/>
    </row>
    <row r="994">
      <c r="A994" s="4"/>
      <c r="B994" s="4"/>
      <c r="C994" s="4"/>
      <c r="D994" s="4"/>
      <c r="E994" s="4"/>
      <c r="F994" s="4"/>
      <c r="G994" s="4"/>
    </row>
    <row r="995">
      <c r="A995" s="4"/>
      <c r="B995" s="4"/>
      <c r="C995" s="4"/>
      <c r="D995" s="4"/>
      <c r="E995" s="4"/>
      <c r="F995" s="4"/>
      <c r="G995" s="4"/>
    </row>
    <row r="996">
      <c r="A996" s="4"/>
      <c r="B996" s="4"/>
      <c r="C996" s="4"/>
      <c r="D996" s="4"/>
      <c r="E996" s="4"/>
      <c r="F996" s="4"/>
      <c r="G996" s="4"/>
    </row>
    <row r="997">
      <c r="A997" s="4"/>
      <c r="B997" s="4"/>
      <c r="C997" s="4"/>
      <c r="D997" s="4"/>
      <c r="E997" s="4"/>
      <c r="F997" s="4"/>
      <c r="G997" s="4"/>
    </row>
    <row r="998">
      <c r="A998" s="4"/>
      <c r="B998" s="4"/>
      <c r="C998" s="4"/>
      <c r="D998" s="4"/>
      <c r="E998" s="4"/>
      <c r="F998" s="4"/>
      <c r="G998" s="4"/>
    </row>
    <row r="999">
      <c r="A999" s="4"/>
      <c r="B999" s="4"/>
      <c r="C999" s="4"/>
      <c r="D999" s="4"/>
      <c r="E999" s="4"/>
      <c r="F999" s="4"/>
      <c r="G999" s="4"/>
    </row>
    <row r="1000">
      <c r="A1000" s="4"/>
      <c r="B1000" s="4"/>
      <c r="C1000" s="4"/>
      <c r="D1000" s="4"/>
      <c r="E1000" s="4"/>
      <c r="F1000" s="4"/>
      <c r="G1000" s="4"/>
    </row>
  </sheetData>
  <autoFilter ref="$A$2:$G$2"/>
  <mergeCells count="1">
    <mergeCell ref="A1:G1"/>
  </mergeCells>
  <printOptions/>
  <pageMargins bottom="1.0" footer="0.0" header="0.0" left="0.75" right="0.75" top="1.0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4.38"/>
    <col customWidth="1" min="2" max="2" width="26.25"/>
    <col customWidth="1" min="3" max="3" width="7.0"/>
    <col customWidth="1" min="4" max="5" width="15.75"/>
    <col customWidth="1" min="6" max="6" width="26.25"/>
    <col customWidth="1" min="7" max="7" width="21.88"/>
    <col customWidth="1" min="8" max="26" width="7.63"/>
  </cols>
  <sheetData>
    <row r="1" ht="27.75" customHeight="1">
      <c r="A1" s="69" t="s">
        <v>4661</v>
      </c>
      <c r="B1" s="2"/>
      <c r="C1" s="2"/>
      <c r="D1" s="2"/>
      <c r="E1" s="2"/>
      <c r="F1" s="2"/>
      <c r="G1" s="3"/>
    </row>
    <row r="2" ht="19.5" customHeight="1">
      <c r="A2" s="7" t="s">
        <v>3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</row>
    <row r="3" ht="15.75" customHeight="1">
      <c r="A3" s="34">
        <v>1.0</v>
      </c>
      <c r="B3" s="93" t="s">
        <v>2950</v>
      </c>
      <c r="C3" s="93">
        <v>28.0</v>
      </c>
      <c r="D3" s="93" t="s">
        <v>2951</v>
      </c>
      <c r="E3" s="93" t="s">
        <v>13</v>
      </c>
      <c r="F3" s="93" t="s">
        <v>13</v>
      </c>
      <c r="G3" s="93" t="s">
        <v>2952</v>
      </c>
    </row>
    <row r="4" ht="15.75" customHeight="1">
      <c r="A4" s="34">
        <v>2.0</v>
      </c>
      <c r="B4" s="35" t="s">
        <v>2953</v>
      </c>
      <c r="C4" s="35">
        <v>36.0</v>
      </c>
      <c r="D4" s="35" t="s">
        <v>2954</v>
      </c>
      <c r="E4" s="35" t="s">
        <v>13</v>
      </c>
      <c r="F4" s="35" t="s">
        <v>13</v>
      </c>
      <c r="G4" s="35" t="s">
        <v>2952</v>
      </c>
    </row>
    <row r="5" ht="15.75" customHeight="1">
      <c r="A5" s="34">
        <v>3.0</v>
      </c>
      <c r="B5" s="35" t="s">
        <v>2953</v>
      </c>
      <c r="C5" s="35">
        <v>36.0</v>
      </c>
      <c r="D5" s="35">
        <v>2.2036301E8</v>
      </c>
      <c r="E5" s="35" t="s">
        <v>13</v>
      </c>
      <c r="F5" s="35" t="s">
        <v>1731</v>
      </c>
      <c r="G5" s="35" t="s">
        <v>2952</v>
      </c>
    </row>
    <row r="6" ht="15.75" customHeight="1">
      <c r="A6" s="34">
        <v>4.0</v>
      </c>
      <c r="B6" s="35" t="s">
        <v>2955</v>
      </c>
      <c r="C6" s="35">
        <v>23.0</v>
      </c>
      <c r="D6" s="35" t="s">
        <v>13</v>
      </c>
      <c r="E6" s="35" t="s">
        <v>13</v>
      </c>
      <c r="F6" s="35" t="s">
        <v>13</v>
      </c>
      <c r="G6" s="35" t="s">
        <v>2956</v>
      </c>
    </row>
    <row r="7" ht="15.75" customHeight="1">
      <c r="A7" s="34">
        <v>5.0</v>
      </c>
      <c r="B7" s="35" t="s">
        <v>2955</v>
      </c>
      <c r="C7" s="35">
        <v>5.0</v>
      </c>
      <c r="D7" s="35" t="s">
        <v>13</v>
      </c>
      <c r="E7" s="35" t="s">
        <v>13</v>
      </c>
      <c r="F7" s="35" t="s">
        <v>13</v>
      </c>
      <c r="G7" s="35" t="s">
        <v>2957</v>
      </c>
    </row>
    <row r="8" ht="15.75" customHeight="1">
      <c r="A8" s="34">
        <v>6.0</v>
      </c>
      <c r="B8" s="35" t="s">
        <v>2958</v>
      </c>
      <c r="C8" s="35">
        <v>45.0</v>
      </c>
      <c r="D8" s="35" t="s">
        <v>13</v>
      </c>
      <c r="E8" s="35" t="s">
        <v>13</v>
      </c>
      <c r="F8" s="35" t="s">
        <v>13</v>
      </c>
      <c r="G8" s="35" t="s">
        <v>13</v>
      </c>
    </row>
    <row r="9" ht="15.75" customHeight="1">
      <c r="A9" s="34">
        <v>7.0</v>
      </c>
      <c r="B9" s="35" t="s">
        <v>2959</v>
      </c>
      <c r="C9" s="35">
        <v>39.0</v>
      </c>
      <c r="D9" s="35">
        <v>1.7443332E8</v>
      </c>
      <c r="E9" s="35" t="s">
        <v>13</v>
      </c>
      <c r="F9" s="35" t="s">
        <v>1731</v>
      </c>
      <c r="G9" s="35" t="s">
        <v>2952</v>
      </c>
    </row>
    <row r="10" ht="15.75" customHeight="1">
      <c r="A10" s="34">
        <v>8.0</v>
      </c>
      <c r="B10" s="35" t="s">
        <v>2959</v>
      </c>
      <c r="C10" s="35">
        <v>39.0</v>
      </c>
      <c r="D10" s="35" t="s">
        <v>2960</v>
      </c>
      <c r="E10" s="35" t="s">
        <v>13</v>
      </c>
      <c r="F10" s="35" t="s">
        <v>13</v>
      </c>
      <c r="G10" s="35" t="s">
        <v>2952</v>
      </c>
    </row>
    <row r="11" ht="15.75" customHeight="1">
      <c r="A11" s="34">
        <v>9.0</v>
      </c>
      <c r="B11" s="35" t="s">
        <v>2961</v>
      </c>
      <c r="C11" s="35">
        <v>45.0</v>
      </c>
      <c r="D11" s="35" t="s">
        <v>13</v>
      </c>
      <c r="E11" s="35" t="s">
        <v>13</v>
      </c>
      <c r="F11" s="35" t="s">
        <v>13</v>
      </c>
      <c r="G11" s="35" t="s">
        <v>2962</v>
      </c>
    </row>
    <row r="12" ht="15.75" customHeight="1">
      <c r="A12" s="34">
        <v>10.0</v>
      </c>
      <c r="B12" s="35" t="s">
        <v>2963</v>
      </c>
      <c r="C12" s="35" t="s">
        <v>13</v>
      </c>
      <c r="D12" s="35" t="s">
        <v>13</v>
      </c>
      <c r="E12" s="35" t="s">
        <v>13</v>
      </c>
      <c r="F12" s="35" t="s">
        <v>13</v>
      </c>
      <c r="G12" s="35" t="s">
        <v>13</v>
      </c>
    </row>
    <row r="13" ht="15.75" customHeight="1">
      <c r="A13" s="34">
        <v>11.0</v>
      </c>
      <c r="B13" s="35" t="s">
        <v>2964</v>
      </c>
      <c r="C13" s="35">
        <v>21.0</v>
      </c>
      <c r="D13" s="35">
        <v>3.1995517E8</v>
      </c>
      <c r="E13" s="35" t="s">
        <v>13</v>
      </c>
      <c r="F13" s="35" t="s">
        <v>1731</v>
      </c>
      <c r="G13" s="35" t="s">
        <v>2952</v>
      </c>
    </row>
    <row r="14" ht="15.75" customHeight="1">
      <c r="A14" s="34">
        <v>12.0</v>
      </c>
      <c r="B14" s="35" t="s">
        <v>2965</v>
      </c>
      <c r="C14" s="35">
        <v>46.0</v>
      </c>
      <c r="D14" s="35" t="s">
        <v>13</v>
      </c>
      <c r="E14" s="35" t="s">
        <v>13</v>
      </c>
      <c r="F14" s="35" t="s">
        <v>2966</v>
      </c>
      <c r="G14" s="35" t="s">
        <v>13</v>
      </c>
    </row>
    <row r="15" ht="15.75" customHeight="1">
      <c r="A15" s="34">
        <v>13.0</v>
      </c>
      <c r="B15" s="35" t="s">
        <v>2967</v>
      </c>
      <c r="C15" s="35">
        <v>62.0</v>
      </c>
      <c r="D15" s="35" t="s">
        <v>13</v>
      </c>
      <c r="E15" s="35" t="s">
        <v>13</v>
      </c>
      <c r="F15" s="35" t="s">
        <v>2968</v>
      </c>
      <c r="G15" s="35" t="s">
        <v>2969</v>
      </c>
    </row>
    <row r="16" ht="15.75" customHeight="1">
      <c r="A16" s="34">
        <v>14.0</v>
      </c>
      <c r="B16" s="35" t="s">
        <v>2970</v>
      </c>
      <c r="C16" s="35">
        <v>36.0</v>
      </c>
      <c r="D16" s="35">
        <v>2.2036031E8</v>
      </c>
      <c r="E16" s="35" t="s">
        <v>13</v>
      </c>
      <c r="F16" s="35" t="s">
        <v>1731</v>
      </c>
      <c r="G16" s="35" t="s">
        <v>2952</v>
      </c>
    </row>
    <row r="17" ht="15.75" customHeight="1">
      <c r="A17" s="34">
        <v>15.0</v>
      </c>
      <c r="B17" s="35" t="s">
        <v>2971</v>
      </c>
      <c r="C17" s="35">
        <v>38.0</v>
      </c>
      <c r="D17" s="35">
        <v>2.5870399E8</v>
      </c>
      <c r="E17" s="35" t="s">
        <v>13</v>
      </c>
      <c r="F17" s="35" t="s">
        <v>330</v>
      </c>
      <c r="G17" s="35" t="s">
        <v>1731</v>
      </c>
    </row>
    <row r="18" ht="15.75" customHeight="1">
      <c r="A18" s="34">
        <v>16.0</v>
      </c>
      <c r="B18" s="35" t="s">
        <v>2972</v>
      </c>
      <c r="C18" s="35">
        <v>53.0</v>
      </c>
      <c r="D18" s="35">
        <v>1.1666062E8</v>
      </c>
      <c r="E18" s="35" t="s">
        <v>13</v>
      </c>
      <c r="F18" s="35" t="s">
        <v>1731</v>
      </c>
      <c r="G18" s="35" t="s">
        <v>2973</v>
      </c>
    </row>
    <row r="19" ht="15.75" customHeight="1">
      <c r="A19" s="34">
        <v>17.0</v>
      </c>
      <c r="B19" s="35" t="s">
        <v>2974</v>
      </c>
      <c r="C19" s="35">
        <v>65.0</v>
      </c>
      <c r="D19" s="35">
        <v>6.056892E7</v>
      </c>
      <c r="E19" s="35" t="s">
        <v>13</v>
      </c>
      <c r="F19" s="35" t="s">
        <v>1731</v>
      </c>
      <c r="G19" s="35" t="s">
        <v>2952</v>
      </c>
    </row>
    <row r="20" ht="15.75" customHeight="1">
      <c r="A20" s="34">
        <v>18.0</v>
      </c>
      <c r="B20" s="35" t="s">
        <v>2975</v>
      </c>
      <c r="C20" s="35">
        <v>49.0</v>
      </c>
      <c r="D20" s="35">
        <v>1.3571636E8</v>
      </c>
      <c r="E20" s="35" t="s">
        <v>13</v>
      </c>
      <c r="F20" s="35" t="s">
        <v>330</v>
      </c>
      <c r="G20" s="35" t="s">
        <v>1731</v>
      </c>
    </row>
    <row r="21" ht="15.75" customHeight="1">
      <c r="A21" s="34">
        <v>19.0</v>
      </c>
      <c r="B21" s="35" t="s">
        <v>2976</v>
      </c>
      <c r="C21" s="35">
        <v>33.0</v>
      </c>
      <c r="D21" s="35" t="s">
        <v>13</v>
      </c>
      <c r="E21" s="35" t="s">
        <v>13</v>
      </c>
      <c r="F21" s="35" t="s">
        <v>13</v>
      </c>
      <c r="G21" s="35" t="s">
        <v>2977</v>
      </c>
    </row>
    <row r="22" ht="15.75" customHeight="1">
      <c r="A22" s="34">
        <v>20.0</v>
      </c>
      <c r="B22" s="35" t="s">
        <v>2978</v>
      </c>
      <c r="C22" s="35">
        <v>44.0</v>
      </c>
      <c r="D22" s="35">
        <v>1.2700355E8</v>
      </c>
      <c r="E22" s="35" t="s">
        <v>13</v>
      </c>
      <c r="F22" s="35" t="s">
        <v>1731</v>
      </c>
      <c r="G22" s="35" t="s">
        <v>2952</v>
      </c>
    </row>
    <row r="23" ht="15.75" customHeight="1">
      <c r="A23" s="34">
        <v>21.0</v>
      </c>
      <c r="B23" s="35" t="s">
        <v>2979</v>
      </c>
      <c r="C23" s="35">
        <v>26.0</v>
      </c>
      <c r="D23" s="35" t="s">
        <v>13</v>
      </c>
      <c r="E23" s="35" t="s">
        <v>13</v>
      </c>
      <c r="F23" s="35" t="s">
        <v>2980</v>
      </c>
      <c r="G23" s="35" t="s">
        <v>2981</v>
      </c>
    </row>
    <row r="24" ht="15.75" customHeight="1">
      <c r="A24" s="34">
        <v>22.0</v>
      </c>
      <c r="B24" s="35" t="s">
        <v>2982</v>
      </c>
      <c r="C24" s="35">
        <v>22.0</v>
      </c>
      <c r="D24" s="35" t="s">
        <v>13</v>
      </c>
      <c r="E24" s="35" t="s">
        <v>13</v>
      </c>
      <c r="F24" s="35" t="s">
        <v>13</v>
      </c>
      <c r="G24" s="35" t="s">
        <v>2983</v>
      </c>
    </row>
    <row r="25" ht="15.75" customHeight="1">
      <c r="A25" s="34">
        <v>23.0</v>
      </c>
      <c r="B25" s="35" t="s">
        <v>2984</v>
      </c>
      <c r="C25" s="35">
        <v>49.0</v>
      </c>
      <c r="D25" s="35">
        <v>1.3333359E8</v>
      </c>
      <c r="E25" s="35" t="s">
        <v>13</v>
      </c>
      <c r="F25" s="35" t="s">
        <v>1731</v>
      </c>
      <c r="G25" s="35" t="s">
        <v>2952</v>
      </c>
    </row>
    <row r="26" ht="15.75" customHeight="1">
      <c r="A26" s="34">
        <v>24.0</v>
      </c>
      <c r="B26" s="35" t="s">
        <v>2985</v>
      </c>
      <c r="C26" s="35">
        <v>15.0</v>
      </c>
      <c r="D26" s="35" t="s">
        <v>2986</v>
      </c>
      <c r="E26" s="35" t="s">
        <v>13</v>
      </c>
      <c r="F26" s="35" t="s">
        <v>13</v>
      </c>
      <c r="G26" s="35" t="s">
        <v>2987</v>
      </c>
    </row>
    <row r="27" ht="15.75" customHeight="1">
      <c r="A27" s="34">
        <v>25.0</v>
      </c>
      <c r="B27" s="35" t="s">
        <v>302</v>
      </c>
      <c r="C27" s="35">
        <v>26.0</v>
      </c>
      <c r="D27" s="35" t="s">
        <v>13</v>
      </c>
      <c r="E27" s="35" t="s">
        <v>13</v>
      </c>
      <c r="F27" s="35" t="s">
        <v>13</v>
      </c>
      <c r="G27" s="35" t="s">
        <v>2988</v>
      </c>
    </row>
    <row r="28" ht="15.75" customHeight="1">
      <c r="A28" s="34">
        <v>26.0</v>
      </c>
      <c r="B28" s="35" t="s">
        <v>2989</v>
      </c>
      <c r="C28" s="35" t="s">
        <v>13</v>
      </c>
      <c r="D28" s="35" t="s">
        <v>13</v>
      </c>
      <c r="E28" s="35" t="s">
        <v>13</v>
      </c>
      <c r="F28" s="35" t="s">
        <v>13</v>
      </c>
      <c r="G28" s="35" t="s">
        <v>13</v>
      </c>
    </row>
    <row r="29" ht="15.75" customHeight="1">
      <c r="A29" s="34">
        <v>27.0</v>
      </c>
      <c r="B29" s="35" t="s">
        <v>2990</v>
      </c>
      <c r="C29" s="35">
        <v>37.0</v>
      </c>
      <c r="D29" s="35" t="s">
        <v>13</v>
      </c>
      <c r="E29" s="35" t="s">
        <v>13</v>
      </c>
      <c r="F29" s="35" t="s">
        <v>13</v>
      </c>
      <c r="G29" s="35" t="s">
        <v>2991</v>
      </c>
    </row>
    <row r="30" ht="15.75" customHeight="1">
      <c r="A30" s="34">
        <v>28.0</v>
      </c>
      <c r="B30" s="35" t="s">
        <v>2992</v>
      </c>
      <c r="C30" s="35">
        <v>37.0</v>
      </c>
      <c r="D30" s="35" t="s">
        <v>13</v>
      </c>
      <c r="E30" s="35" t="s">
        <v>13</v>
      </c>
      <c r="F30" s="35" t="s">
        <v>13</v>
      </c>
      <c r="G30" s="35" t="s">
        <v>2993</v>
      </c>
    </row>
    <row r="31" ht="15.75" customHeight="1">
      <c r="A31" s="34">
        <v>29.0</v>
      </c>
      <c r="B31" s="35" t="s">
        <v>2994</v>
      </c>
      <c r="C31" s="35">
        <v>21.0</v>
      </c>
      <c r="D31" s="35" t="s">
        <v>2995</v>
      </c>
      <c r="E31" s="35" t="s">
        <v>13</v>
      </c>
      <c r="F31" s="35" t="s">
        <v>13</v>
      </c>
      <c r="G31" s="35" t="s">
        <v>2952</v>
      </c>
    </row>
    <row r="32" ht="15.75" customHeight="1">
      <c r="A32" s="34">
        <v>30.0</v>
      </c>
      <c r="B32" s="35" t="s">
        <v>2996</v>
      </c>
      <c r="C32" s="35">
        <v>29.0</v>
      </c>
      <c r="D32" s="35" t="s">
        <v>13</v>
      </c>
      <c r="E32" s="35" t="s">
        <v>13</v>
      </c>
      <c r="F32" s="35" t="s">
        <v>13</v>
      </c>
      <c r="G32" s="35" t="s">
        <v>13</v>
      </c>
    </row>
    <row r="33" ht="15.75" customHeight="1">
      <c r="A33" s="34">
        <v>31.0</v>
      </c>
      <c r="B33" s="35" t="s">
        <v>2997</v>
      </c>
      <c r="C33" s="35">
        <v>27.0</v>
      </c>
      <c r="D33" s="35" t="s">
        <v>13</v>
      </c>
      <c r="E33" s="35" t="s">
        <v>13</v>
      </c>
      <c r="F33" s="35" t="s">
        <v>13</v>
      </c>
      <c r="G33" s="35" t="s">
        <v>2962</v>
      </c>
    </row>
    <row r="34" ht="15.75" customHeight="1">
      <c r="A34" s="34">
        <v>32.0</v>
      </c>
      <c r="B34" s="35" t="s">
        <v>2998</v>
      </c>
      <c r="C34" s="35">
        <v>3.0</v>
      </c>
      <c r="D34" s="35" t="s">
        <v>13</v>
      </c>
      <c r="E34" s="35" t="s">
        <v>13</v>
      </c>
      <c r="F34" s="35" t="s">
        <v>13</v>
      </c>
      <c r="G34" s="35" t="s">
        <v>13</v>
      </c>
    </row>
    <row r="35" ht="15.75" customHeight="1">
      <c r="A35" s="34">
        <v>33.0</v>
      </c>
      <c r="B35" s="35" t="s">
        <v>2999</v>
      </c>
      <c r="C35" s="35">
        <v>50.0</v>
      </c>
      <c r="D35" s="35" t="s">
        <v>13</v>
      </c>
      <c r="E35" s="35" t="s">
        <v>13</v>
      </c>
      <c r="F35" s="35" t="s">
        <v>330</v>
      </c>
      <c r="G35" s="35" t="s">
        <v>3000</v>
      </c>
    </row>
    <row r="36" ht="15.75" customHeight="1">
      <c r="A36" s="34">
        <v>34.0</v>
      </c>
      <c r="B36" s="35" t="s">
        <v>3001</v>
      </c>
      <c r="C36" s="35">
        <v>24.0</v>
      </c>
      <c r="D36" s="35" t="s">
        <v>13</v>
      </c>
      <c r="E36" s="35" t="s">
        <v>13</v>
      </c>
      <c r="F36" s="35" t="s">
        <v>13</v>
      </c>
      <c r="G36" s="35" t="s">
        <v>2983</v>
      </c>
    </row>
    <row r="37" ht="15.75" customHeight="1">
      <c r="A37" s="34">
        <v>35.0</v>
      </c>
      <c r="B37" s="35" t="s">
        <v>2439</v>
      </c>
      <c r="C37" s="35">
        <v>6.0</v>
      </c>
      <c r="D37" s="35" t="s">
        <v>13</v>
      </c>
      <c r="E37" s="35" t="s">
        <v>13</v>
      </c>
      <c r="F37" s="35" t="s">
        <v>13</v>
      </c>
      <c r="G37" s="35" t="s">
        <v>2952</v>
      </c>
    </row>
    <row r="38" ht="15.75" customHeight="1">
      <c r="A38" s="34">
        <v>36.0</v>
      </c>
      <c r="B38" s="35" t="s">
        <v>3002</v>
      </c>
      <c r="C38" s="35">
        <v>58.0</v>
      </c>
      <c r="D38" s="35" t="s">
        <v>3003</v>
      </c>
      <c r="E38" s="35" t="s">
        <v>13</v>
      </c>
      <c r="F38" s="35" t="s">
        <v>13</v>
      </c>
      <c r="G38" s="35" t="s">
        <v>2987</v>
      </c>
    </row>
    <row r="39" ht="15.75" customHeight="1">
      <c r="A39" s="34">
        <v>37.0</v>
      </c>
      <c r="B39" s="35" t="s">
        <v>3004</v>
      </c>
      <c r="C39" s="35" t="s">
        <v>13</v>
      </c>
      <c r="D39" s="35" t="s">
        <v>13</v>
      </c>
      <c r="E39" s="35" t="s">
        <v>13</v>
      </c>
      <c r="F39" s="35" t="s">
        <v>3005</v>
      </c>
      <c r="G39" s="35" t="s">
        <v>13</v>
      </c>
    </row>
    <row r="40" ht="15.75" customHeight="1">
      <c r="A40" s="34">
        <v>38.0</v>
      </c>
      <c r="B40" s="35" t="s">
        <v>3006</v>
      </c>
      <c r="C40" s="35">
        <v>15.0</v>
      </c>
      <c r="D40" s="35">
        <v>3.2525559E8</v>
      </c>
      <c r="E40" s="35" t="s">
        <v>13</v>
      </c>
      <c r="F40" s="35" t="s">
        <v>1731</v>
      </c>
      <c r="G40" s="35" t="s">
        <v>2952</v>
      </c>
    </row>
    <row r="41" ht="15.75" customHeight="1">
      <c r="A41" s="34">
        <v>39.0</v>
      </c>
      <c r="B41" s="35" t="s">
        <v>3007</v>
      </c>
      <c r="C41" s="35">
        <v>32.0</v>
      </c>
      <c r="D41" s="35" t="s">
        <v>13</v>
      </c>
      <c r="E41" s="35" t="s">
        <v>13</v>
      </c>
      <c r="F41" s="35" t="s">
        <v>3008</v>
      </c>
      <c r="G41" s="35" t="s">
        <v>13</v>
      </c>
    </row>
    <row r="42" ht="15.75" customHeight="1">
      <c r="A42" s="34">
        <v>40.0</v>
      </c>
      <c r="B42" s="35" t="s">
        <v>3009</v>
      </c>
      <c r="C42" s="35">
        <v>64.0</v>
      </c>
      <c r="D42" s="35" t="s">
        <v>13</v>
      </c>
      <c r="E42" s="35" t="s">
        <v>13</v>
      </c>
      <c r="F42" s="35" t="s">
        <v>3010</v>
      </c>
      <c r="G42" s="35" t="s">
        <v>3000</v>
      </c>
    </row>
    <row r="43" ht="15.75" customHeight="1">
      <c r="A43" s="34">
        <v>41.0</v>
      </c>
      <c r="B43" s="35" t="s">
        <v>3011</v>
      </c>
      <c r="C43" s="35">
        <v>61.0</v>
      </c>
      <c r="D43" s="35">
        <v>6.842773E7</v>
      </c>
      <c r="E43" s="35" t="s">
        <v>13</v>
      </c>
      <c r="F43" s="35" t="s">
        <v>1731</v>
      </c>
      <c r="G43" s="35" t="s">
        <v>2952</v>
      </c>
    </row>
    <row r="44" ht="15.75" customHeight="1">
      <c r="A44" s="34">
        <v>42.0</v>
      </c>
      <c r="B44" s="35" t="s">
        <v>3012</v>
      </c>
      <c r="C44" s="35">
        <v>48.0</v>
      </c>
      <c r="D44" s="35" t="s">
        <v>3013</v>
      </c>
      <c r="E44" s="35" t="s">
        <v>13</v>
      </c>
      <c r="F44" s="35" t="s">
        <v>13</v>
      </c>
      <c r="G44" s="35" t="s">
        <v>2952</v>
      </c>
    </row>
    <row r="45" ht="15.75" customHeight="1">
      <c r="A45" s="34">
        <v>43.0</v>
      </c>
      <c r="B45" s="35" t="s">
        <v>3014</v>
      </c>
      <c r="C45" s="35">
        <v>17.0</v>
      </c>
      <c r="D45" s="35" t="s">
        <v>13</v>
      </c>
      <c r="E45" s="35" t="s">
        <v>13</v>
      </c>
      <c r="F45" s="35" t="s">
        <v>13</v>
      </c>
      <c r="G45" s="35" t="s">
        <v>2962</v>
      </c>
    </row>
    <row r="46" ht="15.75" customHeight="1">
      <c r="A46" s="35">
        <v>44.0</v>
      </c>
      <c r="B46" s="35" t="s">
        <v>3015</v>
      </c>
      <c r="C46" s="35">
        <v>51.0</v>
      </c>
      <c r="D46" s="35" t="s">
        <v>13</v>
      </c>
      <c r="E46" s="35" t="s">
        <v>13</v>
      </c>
      <c r="F46" s="35" t="s">
        <v>13</v>
      </c>
      <c r="G46" s="35" t="s">
        <v>2962</v>
      </c>
    </row>
    <row r="47" ht="15.75" customHeight="1">
      <c r="A47" s="35">
        <v>45.0</v>
      </c>
      <c r="B47" s="35" t="s">
        <v>3016</v>
      </c>
      <c r="C47" s="35">
        <v>37.0</v>
      </c>
      <c r="D47" s="35">
        <v>1.818323E8</v>
      </c>
      <c r="E47" s="35" t="s">
        <v>13</v>
      </c>
      <c r="F47" s="35" t="s">
        <v>1731</v>
      </c>
      <c r="G47" s="35" t="s">
        <v>2952</v>
      </c>
    </row>
    <row r="48" ht="15.75" customHeight="1">
      <c r="A48" s="35">
        <v>46.0</v>
      </c>
      <c r="B48" s="35" t="s">
        <v>3017</v>
      </c>
      <c r="C48" s="35">
        <v>49.0</v>
      </c>
      <c r="D48" s="35">
        <v>1.2531664E8</v>
      </c>
      <c r="E48" s="35" t="s">
        <v>13</v>
      </c>
      <c r="F48" s="35" t="s">
        <v>1731</v>
      </c>
      <c r="G48" s="35" t="s">
        <v>2952</v>
      </c>
    </row>
    <row r="49" ht="15.75" customHeight="1">
      <c r="A49" s="35">
        <v>47.0</v>
      </c>
      <c r="B49" s="35" t="s">
        <v>3018</v>
      </c>
      <c r="C49" s="35">
        <v>48.0</v>
      </c>
      <c r="D49" s="35" t="s">
        <v>13</v>
      </c>
      <c r="E49" s="35" t="s">
        <v>13</v>
      </c>
      <c r="F49" s="35" t="s">
        <v>3019</v>
      </c>
      <c r="G49" s="35" t="s">
        <v>13</v>
      </c>
    </row>
    <row r="50" ht="15.75" customHeight="1">
      <c r="A50" s="35">
        <v>48.0</v>
      </c>
      <c r="B50" s="35" t="s">
        <v>3020</v>
      </c>
      <c r="C50" s="35">
        <v>150.0</v>
      </c>
      <c r="D50" s="35" t="s">
        <v>13</v>
      </c>
      <c r="E50" s="35" t="s">
        <v>13</v>
      </c>
      <c r="F50" s="35" t="s">
        <v>3021</v>
      </c>
      <c r="G50" s="35" t="s">
        <v>3022</v>
      </c>
    </row>
    <row r="51" ht="15.75" customHeight="1">
      <c r="A51" s="35">
        <v>49.0</v>
      </c>
      <c r="B51" s="35" t="s">
        <v>3020</v>
      </c>
      <c r="C51" s="35">
        <v>30.0</v>
      </c>
      <c r="D51" s="35">
        <v>2.3718064E8</v>
      </c>
      <c r="E51" s="35" t="s">
        <v>13</v>
      </c>
      <c r="F51" s="35" t="s">
        <v>1503</v>
      </c>
      <c r="G51" s="35" t="s">
        <v>1731</v>
      </c>
    </row>
    <row r="52" ht="15.75" customHeight="1">
      <c r="A52" s="35">
        <v>50.0</v>
      </c>
      <c r="B52" s="35" t="s">
        <v>3023</v>
      </c>
      <c r="C52" s="35">
        <v>70.0</v>
      </c>
      <c r="D52" s="35" t="s">
        <v>13</v>
      </c>
      <c r="E52" s="35" t="s">
        <v>13</v>
      </c>
      <c r="F52" s="35" t="s">
        <v>13</v>
      </c>
      <c r="G52" s="35" t="s">
        <v>13</v>
      </c>
    </row>
    <row r="53" ht="15.75" customHeight="1">
      <c r="A53" s="35">
        <v>51.0</v>
      </c>
      <c r="B53" s="35" t="s">
        <v>3024</v>
      </c>
      <c r="C53" s="35">
        <v>24.0</v>
      </c>
      <c r="D53" s="35" t="s">
        <v>3025</v>
      </c>
      <c r="E53" s="35" t="s">
        <v>13</v>
      </c>
      <c r="F53" s="35" t="s">
        <v>13</v>
      </c>
      <c r="G53" s="35" t="s">
        <v>2952</v>
      </c>
    </row>
    <row r="54" ht="15.75" customHeight="1">
      <c r="A54" s="35">
        <v>52.0</v>
      </c>
      <c r="B54" s="35" t="s">
        <v>3026</v>
      </c>
      <c r="C54" s="35" t="s">
        <v>13</v>
      </c>
      <c r="D54" s="35" t="s">
        <v>13</v>
      </c>
      <c r="E54" s="35" t="s">
        <v>13</v>
      </c>
      <c r="F54" s="35" t="s">
        <v>3027</v>
      </c>
      <c r="G54" s="35" t="s">
        <v>13</v>
      </c>
    </row>
    <row r="55" ht="15.75" customHeight="1">
      <c r="A55" s="35">
        <v>53.0</v>
      </c>
      <c r="B55" s="35" t="s">
        <v>3028</v>
      </c>
      <c r="C55" s="35">
        <v>33.0</v>
      </c>
      <c r="D55" s="35" t="s">
        <v>13</v>
      </c>
      <c r="E55" s="35" t="s">
        <v>13</v>
      </c>
      <c r="F55" s="35" t="s">
        <v>13</v>
      </c>
      <c r="G55" s="35" t="s">
        <v>2977</v>
      </c>
    </row>
    <row r="56" ht="15.75" customHeight="1">
      <c r="A56" s="35">
        <v>54.0</v>
      </c>
      <c r="B56" s="35" t="s">
        <v>3029</v>
      </c>
      <c r="C56" s="35">
        <v>22.0</v>
      </c>
      <c r="D56" s="35">
        <v>3.0580369E8</v>
      </c>
      <c r="E56" s="35" t="s">
        <v>13</v>
      </c>
      <c r="F56" s="35" t="s">
        <v>1731</v>
      </c>
      <c r="G56" s="35" t="s">
        <v>2973</v>
      </c>
    </row>
    <row r="57" ht="15.75" customHeight="1">
      <c r="A57" s="35">
        <v>55.0</v>
      </c>
      <c r="B57" s="35" t="s">
        <v>3030</v>
      </c>
      <c r="C57" s="35">
        <v>6.0</v>
      </c>
      <c r="D57" s="35" t="s">
        <v>13</v>
      </c>
      <c r="E57" s="35" t="s">
        <v>13</v>
      </c>
      <c r="F57" s="35" t="s">
        <v>13</v>
      </c>
      <c r="G57" s="35" t="s">
        <v>2983</v>
      </c>
    </row>
    <row r="58" ht="15.75" customHeight="1">
      <c r="A58" s="35">
        <v>56.0</v>
      </c>
      <c r="B58" s="35" t="s">
        <v>3031</v>
      </c>
      <c r="C58" s="35">
        <v>30.0</v>
      </c>
      <c r="D58" s="35" t="s">
        <v>13</v>
      </c>
      <c r="E58" s="35" t="s">
        <v>13</v>
      </c>
      <c r="F58" s="35" t="s">
        <v>13</v>
      </c>
      <c r="G58" s="35" t="s">
        <v>3032</v>
      </c>
    </row>
    <row r="59" ht="15.75" customHeight="1">
      <c r="A59" s="35">
        <v>57.0</v>
      </c>
      <c r="B59" s="35" t="s">
        <v>3033</v>
      </c>
      <c r="C59" s="35">
        <v>65.0</v>
      </c>
      <c r="D59" s="35" t="s">
        <v>13</v>
      </c>
      <c r="E59" s="35" t="s">
        <v>13</v>
      </c>
      <c r="F59" s="35" t="s">
        <v>3034</v>
      </c>
      <c r="G59" s="35" t="s">
        <v>13</v>
      </c>
    </row>
    <row r="60" ht="15.75" customHeight="1">
      <c r="A60" s="35">
        <v>58.0</v>
      </c>
      <c r="B60" s="35" t="s">
        <v>640</v>
      </c>
      <c r="C60" s="35" t="s">
        <v>13</v>
      </c>
      <c r="D60" s="35" t="s">
        <v>14</v>
      </c>
      <c r="E60" s="35" t="s">
        <v>13</v>
      </c>
      <c r="F60" s="35" t="s">
        <v>13</v>
      </c>
      <c r="G60" s="35" t="s">
        <v>15</v>
      </c>
    </row>
    <row r="61" ht="15.75" customHeight="1">
      <c r="A61" s="35">
        <v>59.0</v>
      </c>
      <c r="B61" s="35" t="s">
        <v>3035</v>
      </c>
      <c r="C61" s="35">
        <v>22.0</v>
      </c>
      <c r="D61" s="35" t="s">
        <v>3036</v>
      </c>
      <c r="E61" s="35" t="s">
        <v>13</v>
      </c>
      <c r="F61" s="35" t="s">
        <v>13</v>
      </c>
      <c r="G61" s="35" t="s">
        <v>2952</v>
      </c>
    </row>
    <row r="62" ht="15.75" customHeight="1">
      <c r="A62" s="35">
        <v>60.0</v>
      </c>
      <c r="B62" s="35" t="s">
        <v>3037</v>
      </c>
      <c r="C62" s="35">
        <v>51.0</v>
      </c>
      <c r="D62" s="35" t="s">
        <v>13</v>
      </c>
      <c r="E62" s="35" t="s">
        <v>13</v>
      </c>
      <c r="F62" s="35" t="s">
        <v>3038</v>
      </c>
      <c r="G62" s="35" t="s">
        <v>13</v>
      </c>
    </row>
    <row r="63" ht="15.75" customHeight="1">
      <c r="A63" s="35">
        <v>61.0</v>
      </c>
      <c r="B63" s="35" t="s">
        <v>3039</v>
      </c>
      <c r="C63" s="35">
        <v>32.0</v>
      </c>
      <c r="D63" s="35" t="s">
        <v>13</v>
      </c>
      <c r="E63" s="35" t="s">
        <v>13</v>
      </c>
      <c r="F63" s="35" t="s">
        <v>13</v>
      </c>
      <c r="G63" s="35" t="s">
        <v>3040</v>
      </c>
    </row>
    <row r="64" ht="15.75" customHeight="1">
      <c r="A64" s="35">
        <v>62.0</v>
      </c>
      <c r="B64" s="35" t="s">
        <v>3041</v>
      </c>
      <c r="C64" s="35">
        <v>52.0</v>
      </c>
      <c r="D64" s="35" t="s">
        <v>3042</v>
      </c>
      <c r="E64" s="35" t="s">
        <v>13</v>
      </c>
      <c r="F64" s="35" t="s">
        <v>13</v>
      </c>
      <c r="G64" s="35" t="s">
        <v>2987</v>
      </c>
    </row>
    <row r="65" ht="15.75" customHeight="1">
      <c r="A65" s="35">
        <v>63.0</v>
      </c>
      <c r="B65" s="35" t="s">
        <v>3043</v>
      </c>
      <c r="C65" s="35" t="s">
        <v>13</v>
      </c>
      <c r="D65" s="35" t="s">
        <v>13</v>
      </c>
      <c r="E65" s="35" t="s">
        <v>13</v>
      </c>
      <c r="F65" s="35" t="s">
        <v>13</v>
      </c>
      <c r="G65" s="35" t="s">
        <v>13</v>
      </c>
    </row>
    <row r="66" ht="15.75" customHeight="1">
      <c r="A66" s="35">
        <v>64.0</v>
      </c>
      <c r="B66" s="35" t="s">
        <v>3044</v>
      </c>
      <c r="C66" s="35">
        <v>63.0</v>
      </c>
      <c r="D66" s="35" t="s">
        <v>13</v>
      </c>
      <c r="E66" s="35" t="s">
        <v>13</v>
      </c>
      <c r="F66" s="35" t="s">
        <v>13</v>
      </c>
      <c r="G66" s="35" t="s">
        <v>3045</v>
      </c>
    </row>
    <row r="67" ht="15.75" customHeight="1">
      <c r="A67" s="35">
        <v>65.0</v>
      </c>
      <c r="B67" s="35" t="s">
        <v>2441</v>
      </c>
      <c r="C67" s="35">
        <v>40.0</v>
      </c>
      <c r="D67" s="35" t="s">
        <v>13</v>
      </c>
      <c r="E67" s="35" t="s">
        <v>13</v>
      </c>
      <c r="F67" s="35" t="s">
        <v>13</v>
      </c>
      <c r="G67" s="35" t="s">
        <v>3046</v>
      </c>
    </row>
    <row r="68" ht="15.75" customHeight="1">
      <c r="A68" s="35">
        <v>66.0</v>
      </c>
      <c r="B68" s="35" t="s">
        <v>3047</v>
      </c>
      <c r="C68" s="35">
        <v>47.0</v>
      </c>
      <c r="D68" s="35" t="s">
        <v>3048</v>
      </c>
      <c r="E68" s="35" t="s">
        <v>13</v>
      </c>
      <c r="F68" s="35" t="s">
        <v>13</v>
      </c>
      <c r="G68" s="35" t="s">
        <v>2952</v>
      </c>
    </row>
    <row r="69" ht="15.75" customHeight="1">
      <c r="A69" s="35">
        <v>67.0</v>
      </c>
      <c r="B69" s="35" t="s">
        <v>3049</v>
      </c>
      <c r="C69" s="35">
        <v>46.0</v>
      </c>
      <c r="D69" s="35" t="s">
        <v>13</v>
      </c>
      <c r="E69" s="35" t="s">
        <v>13</v>
      </c>
      <c r="F69" s="35" t="s">
        <v>2966</v>
      </c>
      <c r="G69" s="35" t="s">
        <v>13</v>
      </c>
    </row>
    <row r="70" ht="15.75" customHeight="1">
      <c r="A70" s="35">
        <v>68.0</v>
      </c>
      <c r="B70" s="35" t="s">
        <v>3050</v>
      </c>
      <c r="C70" s="35" t="s">
        <v>13</v>
      </c>
      <c r="D70" s="35" t="s">
        <v>13</v>
      </c>
      <c r="E70" s="35" t="s">
        <v>13</v>
      </c>
      <c r="F70" s="35" t="s">
        <v>13</v>
      </c>
      <c r="G70" s="35" t="s">
        <v>13</v>
      </c>
    </row>
    <row r="71" ht="15.75" customHeight="1">
      <c r="A71" s="35">
        <v>69.0</v>
      </c>
      <c r="B71" s="35" t="s">
        <v>3051</v>
      </c>
      <c r="C71" s="35">
        <v>20.0</v>
      </c>
      <c r="D71" s="35" t="s">
        <v>13</v>
      </c>
      <c r="E71" s="35" t="s">
        <v>13</v>
      </c>
      <c r="F71" s="35" t="s">
        <v>3052</v>
      </c>
      <c r="G71" s="35" t="s">
        <v>3000</v>
      </c>
    </row>
    <row r="72" ht="15.75" customHeight="1">
      <c r="A72" s="35">
        <v>70.0</v>
      </c>
      <c r="B72" s="35" t="s">
        <v>3053</v>
      </c>
      <c r="C72" s="35">
        <v>52.0</v>
      </c>
      <c r="D72" s="35" t="s">
        <v>13</v>
      </c>
      <c r="E72" s="35" t="s">
        <v>13</v>
      </c>
      <c r="F72" s="35" t="s">
        <v>330</v>
      </c>
      <c r="G72" s="35" t="s">
        <v>3000</v>
      </c>
    </row>
    <row r="73" ht="15.75" customHeight="1">
      <c r="A73" s="35">
        <v>71.0</v>
      </c>
      <c r="B73" s="35" t="s">
        <v>3054</v>
      </c>
      <c r="C73" s="35">
        <v>52.0</v>
      </c>
      <c r="D73" s="35">
        <v>1.1643841E8</v>
      </c>
      <c r="E73" s="35" t="s">
        <v>13</v>
      </c>
      <c r="F73" s="35" t="s">
        <v>1731</v>
      </c>
      <c r="G73" s="35" t="s">
        <v>2952</v>
      </c>
    </row>
    <row r="74" ht="15.75" customHeight="1">
      <c r="A74" s="35">
        <v>72.0</v>
      </c>
      <c r="B74" s="35" t="s">
        <v>3055</v>
      </c>
      <c r="C74" s="35">
        <v>47.0</v>
      </c>
      <c r="D74" s="35">
        <v>1.5573081E8</v>
      </c>
      <c r="E74" s="35" t="s">
        <v>13</v>
      </c>
      <c r="F74" s="35" t="s">
        <v>1731</v>
      </c>
      <c r="G74" s="35" t="s">
        <v>2952</v>
      </c>
    </row>
    <row r="75" ht="15.75" customHeight="1">
      <c r="A75" s="35">
        <v>73.0</v>
      </c>
      <c r="B75" s="35" t="s">
        <v>3056</v>
      </c>
      <c r="C75" s="35">
        <v>41.0</v>
      </c>
      <c r="D75" s="35" t="s">
        <v>13</v>
      </c>
      <c r="E75" s="35" t="s">
        <v>13</v>
      </c>
      <c r="F75" s="35" t="s">
        <v>3057</v>
      </c>
      <c r="G75" s="35" t="s">
        <v>13</v>
      </c>
    </row>
    <row r="76" ht="15.75" customHeight="1">
      <c r="A76" s="35">
        <v>74.0</v>
      </c>
      <c r="B76" s="35" t="s">
        <v>3058</v>
      </c>
      <c r="C76" s="35">
        <v>24.0</v>
      </c>
      <c r="D76" s="35" t="s">
        <v>13</v>
      </c>
      <c r="E76" s="35" t="s">
        <v>13</v>
      </c>
      <c r="F76" s="35" t="s">
        <v>13</v>
      </c>
      <c r="G76" s="35" t="s">
        <v>2983</v>
      </c>
    </row>
    <row r="77" ht="15.75" customHeight="1">
      <c r="A77" s="35">
        <v>75.0</v>
      </c>
      <c r="B77" s="35" t="s">
        <v>3059</v>
      </c>
      <c r="C77" s="35">
        <v>33.0</v>
      </c>
      <c r="D77" s="35" t="s">
        <v>13</v>
      </c>
      <c r="E77" s="35" t="s">
        <v>13</v>
      </c>
      <c r="F77" s="35" t="s">
        <v>13</v>
      </c>
      <c r="G77" s="35" t="s">
        <v>13</v>
      </c>
    </row>
    <row r="78" ht="15.75" customHeight="1">
      <c r="A78" s="35">
        <v>76.0</v>
      </c>
      <c r="B78" s="35" t="s">
        <v>3059</v>
      </c>
      <c r="C78" s="35" t="s">
        <v>13</v>
      </c>
      <c r="D78" s="35" t="s">
        <v>13</v>
      </c>
      <c r="E78" s="35" t="s">
        <v>13</v>
      </c>
      <c r="F78" s="35" t="s">
        <v>13</v>
      </c>
      <c r="G78" s="35" t="s">
        <v>13</v>
      </c>
    </row>
    <row r="79" ht="15.75" customHeight="1">
      <c r="A79" s="35">
        <v>77.0</v>
      </c>
      <c r="B79" s="35" t="s">
        <v>3060</v>
      </c>
      <c r="C79" s="35" t="s">
        <v>13</v>
      </c>
      <c r="D79" s="35" t="s">
        <v>13</v>
      </c>
      <c r="E79" s="35" t="s">
        <v>13</v>
      </c>
      <c r="F79" s="35" t="s">
        <v>13</v>
      </c>
      <c r="G79" s="35" t="s">
        <v>13</v>
      </c>
    </row>
    <row r="80" ht="15.75" customHeight="1">
      <c r="A80" s="35">
        <v>78.0</v>
      </c>
      <c r="B80" s="35" t="s">
        <v>3061</v>
      </c>
      <c r="C80" s="35">
        <v>68.0</v>
      </c>
      <c r="D80" s="35" t="s">
        <v>13</v>
      </c>
      <c r="E80" s="35" t="s">
        <v>13</v>
      </c>
      <c r="F80" s="35" t="s">
        <v>13</v>
      </c>
      <c r="G80" s="35" t="s">
        <v>13</v>
      </c>
    </row>
    <row r="81" ht="15.75" customHeight="1">
      <c r="A81" s="35">
        <v>79.0</v>
      </c>
      <c r="B81" s="35" t="s">
        <v>3062</v>
      </c>
      <c r="C81" s="35">
        <v>61.0</v>
      </c>
      <c r="D81" s="35" t="s">
        <v>13</v>
      </c>
      <c r="E81" s="35" t="s">
        <v>13</v>
      </c>
      <c r="F81" s="35" t="s">
        <v>13</v>
      </c>
      <c r="G81" s="35" t="s">
        <v>2987</v>
      </c>
    </row>
    <row r="82" ht="15.75" customHeight="1">
      <c r="A82" s="35">
        <v>80.0</v>
      </c>
      <c r="B82" s="35" t="s">
        <v>3063</v>
      </c>
      <c r="C82" s="35">
        <v>18.0</v>
      </c>
      <c r="D82" s="35">
        <v>3.1962087E8</v>
      </c>
      <c r="E82" s="35" t="s">
        <v>13</v>
      </c>
      <c r="F82" s="35" t="s">
        <v>3064</v>
      </c>
      <c r="G82" s="35" t="s">
        <v>3065</v>
      </c>
    </row>
    <row r="83" ht="15.75" customHeight="1">
      <c r="A83" s="35">
        <v>81.0</v>
      </c>
      <c r="B83" s="35" t="s">
        <v>694</v>
      </c>
      <c r="C83" s="35" t="s">
        <v>13</v>
      </c>
      <c r="D83" s="35" t="s">
        <v>14</v>
      </c>
      <c r="E83" s="35" t="s">
        <v>13</v>
      </c>
      <c r="F83" s="35" t="s">
        <v>13</v>
      </c>
      <c r="G83" s="35" t="s">
        <v>15</v>
      </c>
    </row>
    <row r="84" ht="15.75" customHeight="1">
      <c r="A84" s="35">
        <v>82.0</v>
      </c>
      <c r="B84" s="35" t="s">
        <v>3066</v>
      </c>
      <c r="C84" s="35">
        <v>58.0</v>
      </c>
      <c r="D84" s="35">
        <v>1.0528878E8</v>
      </c>
      <c r="E84" s="35" t="s">
        <v>13</v>
      </c>
      <c r="F84" s="35" t="s">
        <v>1731</v>
      </c>
      <c r="G84" s="35" t="s">
        <v>3067</v>
      </c>
    </row>
    <row r="85" ht="15.75" customHeight="1">
      <c r="A85" s="35">
        <v>83.0</v>
      </c>
      <c r="B85" s="35" t="s">
        <v>3068</v>
      </c>
      <c r="C85" s="35">
        <v>74.0</v>
      </c>
      <c r="D85" s="35" t="s">
        <v>3069</v>
      </c>
      <c r="E85" s="35" t="s">
        <v>13</v>
      </c>
      <c r="F85" s="35" t="s">
        <v>13</v>
      </c>
      <c r="G85" s="35" t="s">
        <v>2952</v>
      </c>
    </row>
    <row r="86" ht="15.75" customHeight="1">
      <c r="A86" s="35">
        <v>84.0</v>
      </c>
      <c r="B86" s="35" t="s">
        <v>3070</v>
      </c>
      <c r="C86" s="35">
        <v>49.0</v>
      </c>
      <c r="D86" s="35" t="s">
        <v>3071</v>
      </c>
      <c r="E86" s="35" t="s">
        <v>13</v>
      </c>
      <c r="F86" s="35" t="s">
        <v>13</v>
      </c>
      <c r="G86" s="35" t="s">
        <v>2987</v>
      </c>
    </row>
    <row r="87" ht="15.75" customHeight="1">
      <c r="A87" s="35">
        <v>85.0</v>
      </c>
      <c r="B87" s="35" t="s">
        <v>3072</v>
      </c>
      <c r="C87" s="35">
        <v>27.0</v>
      </c>
      <c r="D87" s="35" t="s">
        <v>13</v>
      </c>
      <c r="E87" s="35" t="s">
        <v>13</v>
      </c>
      <c r="F87" s="35" t="s">
        <v>3073</v>
      </c>
      <c r="G87" s="35" t="s">
        <v>3000</v>
      </c>
    </row>
    <row r="88" ht="15.75" customHeight="1">
      <c r="A88" s="35">
        <v>86.0</v>
      </c>
      <c r="B88" s="35" t="s">
        <v>3072</v>
      </c>
      <c r="C88" s="35">
        <v>14.0</v>
      </c>
      <c r="D88" s="35">
        <v>3.4273706E8</v>
      </c>
      <c r="E88" s="35" t="s">
        <v>13</v>
      </c>
      <c r="F88" s="35" t="s">
        <v>1731</v>
      </c>
      <c r="G88" s="35" t="s">
        <v>3067</v>
      </c>
    </row>
    <row r="89" ht="15.75" customHeight="1">
      <c r="A89" s="34">
        <v>87.0</v>
      </c>
      <c r="B89" s="35" t="s">
        <v>3074</v>
      </c>
      <c r="C89" s="35">
        <v>20.0</v>
      </c>
      <c r="D89" s="35" t="s">
        <v>13</v>
      </c>
      <c r="E89" s="35" t="s">
        <v>13</v>
      </c>
      <c r="F89" s="35" t="s">
        <v>13</v>
      </c>
      <c r="G89" s="35" t="s">
        <v>3075</v>
      </c>
    </row>
    <row r="90">
      <c r="A90" s="34">
        <v>88.0</v>
      </c>
      <c r="B90" s="35" t="s">
        <v>3076</v>
      </c>
      <c r="C90" s="35">
        <v>47.0</v>
      </c>
      <c r="D90" s="35">
        <v>1.3827925E8</v>
      </c>
      <c r="E90" s="35" t="s">
        <v>13</v>
      </c>
      <c r="F90" s="35" t="s">
        <v>1731</v>
      </c>
      <c r="G90" s="35" t="s">
        <v>2952</v>
      </c>
    </row>
    <row r="91">
      <c r="A91" s="34">
        <v>89.0</v>
      </c>
      <c r="B91" s="35" t="s">
        <v>3077</v>
      </c>
      <c r="C91" s="35">
        <v>24.0</v>
      </c>
      <c r="D91" s="35" t="s">
        <v>13</v>
      </c>
      <c r="E91" s="35" t="s">
        <v>13</v>
      </c>
      <c r="F91" s="35" t="s">
        <v>343</v>
      </c>
      <c r="G91" s="35" t="s">
        <v>3000</v>
      </c>
    </row>
    <row r="92">
      <c r="A92" s="34">
        <v>90.0</v>
      </c>
      <c r="B92" s="35" t="s">
        <v>3078</v>
      </c>
      <c r="C92" s="35">
        <v>47.0</v>
      </c>
      <c r="D92" s="35">
        <v>1.3515364E8</v>
      </c>
      <c r="E92" s="35" t="s">
        <v>13</v>
      </c>
      <c r="F92" s="35" t="s">
        <v>3079</v>
      </c>
      <c r="G92" s="35" t="s">
        <v>1731</v>
      </c>
    </row>
    <row r="93">
      <c r="A93" s="34">
        <v>91.0</v>
      </c>
      <c r="B93" s="35" t="s">
        <v>3080</v>
      </c>
      <c r="C93" s="35">
        <v>69.0</v>
      </c>
      <c r="D93" s="35" t="s">
        <v>13</v>
      </c>
      <c r="E93" s="35" t="s">
        <v>13</v>
      </c>
      <c r="F93" s="35" t="s">
        <v>13</v>
      </c>
      <c r="G93" s="35" t="s">
        <v>3081</v>
      </c>
    </row>
    <row r="94">
      <c r="A94" s="34">
        <v>92.0</v>
      </c>
      <c r="B94" s="35" t="s">
        <v>3082</v>
      </c>
      <c r="C94" s="35">
        <v>28.0</v>
      </c>
      <c r="D94" s="35" t="s">
        <v>13</v>
      </c>
      <c r="E94" s="35" t="s">
        <v>13</v>
      </c>
      <c r="F94" s="35" t="s">
        <v>3083</v>
      </c>
      <c r="G94" s="35" t="s">
        <v>3000</v>
      </c>
    </row>
    <row r="95">
      <c r="A95" s="34">
        <v>93.0</v>
      </c>
      <c r="B95" s="35" t="s">
        <v>3084</v>
      </c>
      <c r="C95" s="35">
        <v>48.0</v>
      </c>
      <c r="D95" s="35">
        <v>1.3373135E8</v>
      </c>
      <c r="E95" s="35" t="s">
        <v>13</v>
      </c>
      <c r="F95" s="35" t="s">
        <v>1731</v>
      </c>
      <c r="G95" s="35" t="s">
        <v>2952</v>
      </c>
    </row>
    <row r="96">
      <c r="A96" s="34">
        <v>94.0</v>
      </c>
      <c r="B96" s="35" t="s">
        <v>3085</v>
      </c>
      <c r="C96" s="35">
        <v>49.0</v>
      </c>
      <c r="D96" s="35" t="s">
        <v>13</v>
      </c>
      <c r="E96" s="35" t="s">
        <v>13</v>
      </c>
      <c r="F96" s="35" t="s">
        <v>293</v>
      </c>
      <c r="G96" s="35" t="s">
        <v>3000</v>
      </c>
    </row>
    <row r="97">
      <c r="A97" s="34">
        <v>95.0</v>
      </c>
      <c r="B97" s="35" t="s">
        <v>3086</v>
      </c>
      <c r="C97" s="35">
        <v>34.0</v>
      </c>
      <c r="D97" s="35">
        <v>2.4337288E8</v>
      </c>
      <c r="E97" s="35" t="s">
        <v>13</v>
      </c>
      <c r="F97" s="35" t="s">
        <v>1731</v>
      </c>
      <c r="G97" s="35" t="s">
        <v>3067</v>
      </c>
    </row>
    <row r="98">
      <c r="A98" s="34">
        <v>96.0</v>
      </c>
      <c r="B98" s="35" t="s">
        <v>3087</v>
      </c>
      <c r="C98" s="35">
        <v>3.0</v>
      </c>
      <c r="D98" s="35" t="s">
        <v>13</v>
      </c>
      <c r="E98" s="35" t="s">
        <v>13</v>
      </c>
      <c r="F98" s="35" t="s">
        <v>3088</v>
      </c>
      <c r="G98" s="35" t="s">
        <v>13</v>
      </c>
    </row>
    <row r="99">
      <c r="A99" s="34">
        <v>97.0</v>
      </c>
      <c r="B99" s="35" t="s">
        <v>3089</v>
      </c>
      <c r="C99" s="35">
        <v>34.0</v>
      </c>
      <c r="D99" s="35" t="s">
        <v>13</v>
      </c>
      <c r="E99" s="35" t="s">
        <v>13</v>
      </c>
      <c r="F99" s="35" t="s">
        <v>13</v>
      </c>
      <c r="G99" s="35" t="s">
        <v>2983</v>
      </c>
    </row>
    <row r="100">
      <c r="A100" s="34">
        <v>98.0</v>
      </c>
      <c r="B100" s="35" t="s">
        <v>3090</v>
      </c>
      <c r="C100" s="35">
        <v>54.0</v>
      </c>
      <c r="D100" s="35" t="s">
        <v>3091</v>
      </c>
      <c r="E100" s="35" t="s">
        <v>13</v>
      </c>
      <c r="F100" s="35" t="s">
        <v>13</v>
      </c>
      <c r="G100" s="35" t="s">
        <v>2952</v>
      </c>
    </row>
    <row r="101">
      <c r="A101" s="34">
        <v>99.0</v>
      </c>
      <c r="B101" s="35" t="s">
        <v>3090</v>
      </c>
      <c r="C101" s="35">
        <v>54.0</v>
      </c>
      <c r="D101" s="35">
        <v>1.3531664E8</v>
      </c>
      <c r="E101" s="35" t="s">
        <v>13</v>
      </c>
      <c r="F101" s="35" t="s">
        <v>1731</v>
      </c>
      <c r="G101" s="35" t="s">
        <v>2952</v>
      </c>
    </row>
    <row r="102">
      <c r="A102" s="34">
        <v>100.0</v>
      </c>
      <c r="B102" s="35" t="s">
        <v>3092</v>
      </c>
      <c r="C102" s="35">
        <v>28.0</v>
      </c>
      <c r="D102" s="35">
        <v>2.5878556E8</v>
      </c>
      <c r="E102" s="35" t="s">
        <v>13</v>
      </c>
      <c r="F102" s="35" t="s">
        <v>1499</v>
      </c>
      <c r="G102" s="35" t="s">
        <v>1731</v>
      </c>
    </row>
    <row r="103">
      <c r="A103" s="34">
        <v>101.0</v>
      </c>
      <c r="B103" s="35" t="s">
        <v>3093</v>
      </c>
      <c r="C103" s="35">
        <v>30.0</v>
      </c>
      <c r="D103" s="35">
        <v>2.5175345E8</v>
      </c>
      <c r="E103" s="35" t="s">
        <v>13</v>
      </c>
      <c r="F103" s="35" t="s">
        <v>1731</v>
      </c>
      <c r="G103" s="35" t="s">
        <v>2952</v>
      </c>
    </row>
    <row r="104">
      <c r="A104" s="34">
        <v>102.0</v>
      </c>
      <c r="B104" s="35" t="s">
        <v>3094</v>
      </c>
      <c r="C104" s="35">
        <v>68.0</v>
      </c>
      <c r="D104" s="35" t="s">
        <v>13</v>
      </c>
      <c r="E104" s="35" t="s">
        <v>13</v>
      </c>
      <c r="F104" s="35" t="s">
        <v>3095</v>
      </c>
      <c r="G104" s="35" t="s">
        <v>13</v>
      </c>
    </row>
    <row r="105">
      <c r="A105" s="34">
        <v>103.0</v>
      </c>
      <c r="B105" s="35" t="s">
        <v>3096</v>
      </c>
      <c r="C105" s="35">
        <v>38.0</v>
      </c>
      <c r="D105" s="35" t="s">
        <v>3097</v>
      </c>
      <c r="E105" s="35" t="s">
        <v>13</v>
      </c>
      <c r="F105" s="35" t="s">
        <v>13</v>
      </c>
      <c r="G105" s="35" t="s">
        <v>2987</v>
      </c>
    </row>
    <row r="106">
      <c r="A106" s="34">
        <v>104.0</v>
      </c>
      <c r="B106" s="35" t="s">
        <v>3098</v>
      </c>
      <c r="C106" s="35">
        <v>44.0</v>
      </c>
      <c r="D106" s="35" t="s">
        <v>13</v>
      </c>
      <c r="E106" s="35" t="s">
        <v>13</v>
      </c>
      <c r="F106" s="35" t="s">
        <v>13</v>
      </c>
      <c r="G106" s="35" t="s">
        <v>13</v>
      </c>
    </row>
    <row r="107">
      <c r="A107" s="34">
        <v>105.0</v>
      </c>
      <c r="B107" s="35" t="s">
        <v>3099</v>
      </c>
      <c r="C107" s="35">
        <v>29.0</v>
      </c>
      <c r="D107" s="35" t="s">
        <v>13</v>
      </c>
      <c r="E107" s="35" t="s">
        <v>13</v>
      </c>
      <c r="F107" s="35" t="s">
        <v>3100</v>
      </c>
      <c r="G107" s="35" t="s">
        <v>13</v>
      </c>
    </row>
    <row r="108">
      <c r="A108" s="34">
        <v>106.0</v>
      </c>
      <c r="B108" s="35" t="s">
        <v>3101</v>
      </c>
      <c r="C108" s="35">
        <v>22.0</v>
      </c>
      <c r="D108" s="35" t="s">
        <v>13</v>
      </c>
      <c r="E108" s="35" t="s">
        <v>13</v>
      </c>
      <c r="F108" s="35" t="s">
        <v>3102</v>
      </c>
      <c r="G108" s="35" t="s">
        <v>13</v>
      </c>
    </row>
    <row r="109">
      <c r="A109" s="34">
        <v>107.0</v>
      </c>
      <c r="B109" s="35" t="s">
        <v>3103</v>
      </c>
      <c r="C109" s="35">
        <v>20.0</v>
      </c>
      <c r="D109" s="35">
        <v>3.134156E8</v>
      </c>
      <c r="E109" s="35" t="s">
        <v>13</v>
      </c>
      <c r="F109" s="35" t="s">
        <v>13</v>
      </c>
      <c r="G109" s="35" t="s">
        <v>2952</v>
      </c>
    </row>
    <row r="110">
      <c r="A110" s="34">
        <v>108.0</v>
      </c>
      <c r="B110" s="35" t="s">
        <v>3103</v>
      </c>
      <c r="C110" s="35">
        <v>20.0</v>
      </c>
      <c r="D110" s="35" t="s">
        <v>3104</v>
      </c>
      <c r="E110" s="35" t="s">
        <v>13</v>
      </c>
      <c r="F110" s="35" t="s">
        <v>13</v>
      </c>
      <c r="G110" s="35" t="s">
        <v>2952</v>
      </c>
    </row>
    <row r="111">
      <c r="A111" s="34">
        <v>109.0</v>
      </c>
      <c r="B111" s="35" t="s">
        <v>3105</v>
      </c>
      <c r="C111" s="35">
        <v>46.0</v>
      </c>
      <c r="D111" s="35" t="s">
        <v>3106</v>
      </c>
      <c r="E111" s="35" t="s">
        <v>13</v>
      </c>
      <c r="F111" s="35" t="s">
        <v>13</v>
      </c>
      <c r="G111" s="35" t="s">
        <v>2987</v>
      </c>
    </row>
    <row r="112">
      <c r="A112" s="34">
        <v>110.0</v>
      </c>
      <c r="B112" s="35" t="s">
        <v>3107</v>
      </c>
      <c r="C112" s="35">
        <v>22.0</v>
      </c>
      <c r="D112" s="35">
        <v>3.2972237E8</v>
      </c>
      <c r="E112" s="35" t="s">
        <v>13</v>
      </c>
      <c r="F112" s="35" t="s">
        <v>13</v>
      </c>
      <c r="G112" s="35" t="s">
        <v>3108</v>
      </c>
    </row>
    <row r="113">
      <c r="A113" s="34">
        <v>111.0</v>
      </c>
      <c r="B113" s="35" t="s">
        <v>3109</v>
      </c>
      <c r="C113" s="35">
        <v>67.0</v>
      </c>
      <c r="D113" s="35" t="s">
        <v>13</v>
      </c>
      <c r="E113" s="35" t="s">
        <v>13</v>
      </c>
      <c r="F113" s="35" t="s">
        <v>13</v>
      </c>
      <c r="G113" s="35" t="s">
        <v>2962</v>
      </c>
    </row>
    <row r="114">
      <c r="A114" s="34">
        <v>112.0</v>
      </c>
      <c r="B114" s="35" t="s">
        <v>3110</v>
      </c>
      <c r="C114" s="35">
        <v>45.0</v>
      </c>
      <c r="D114" s="35" t="s">
        <v>13</v>
      </c>
      <c r="E114" s="35" t="s">
        <v>13</v>
      </c>
      <c r="F114" s="35" t="s">
        <v>13</v>
      </c>
      <c r="G114" s="35" t="s">
        <v>2983</v>
      </c>
    </row>
    <row r="115">
      <c r="A115" s="34">
        <v>113.0</v>
      </c>
      <c r="B115" s="35" t="s">
        <v>3111</v>
      </c>
      <c r="C115" s="35">
        <v>44.0</v>
      </c>
      <c r="D115" s="35" t="s">
        <v>13</v>
      </c>
      <c r="E115" s="35" t="s">
        <v>13</v>
      </c>
      <c r="F115" s="35" t="s">
        <v>13</v>
      </c>
      <c r="G115" s="35" t="s">
        <v>2983</v>
      </c>
    </row>
    <row r="116">
      <c r="A116" s="34">
        <v>114.0</v>
      </c>
      <c r="B116" s="35" t="s">
        <v>3112</v>
      </c>
      <c r="C116" s="35">
        <v>77.0</v>
      </c>
      <c r="D116" s="35">
        <v>1.0279036E8</v>
      </c>
      <c r="E116" s="35" t="s">
        <v>13</v>
      </c>
      <c r="F116" s="35" t="s">
        <v>1731</v>
      </c>
      <c r="G116" s="35" t="s">
        <v>2952</v>
      </c>
    </row>
    <row r="117">
      <c r="A117" s="34">
        <v>115.0</v>
      </c>
      <c r="B117" s="35" t="s">
        <v>3113</v>
      </c>
      <c r="C117" s="35">
        <v>35.0</v>
      </c>
      <c r="D117" s="35">
        <v>1.9915985E8</v>
      </c>
      <c r="E117" s="35" t="s">
        <v>13</v>
      </c>
      <c r="F117" s="35" t="s">
        <v>1731</v>
      </c>
      <c r="G117" s="35" t="s">
        <v>2952</v>
      </c>
    </row>
    <row r="118">
      <c r="A118" s="34">
        <v>116.0</v>
      </c>
      <c r="B118" s="35" t="s">
        <v>3114</v>
      </c>
      <c r="C118" s="35">
        <v>12.0</v>
      </c>
      <c r="D118" s="35" t="s">
        <v>13</v>
      </c>
      <c r="E118" s="35" t="s">
        <v>13</v>
      </c>
      <c r="F118" s="35" t="s">
        <v>13</v>
      </c>
      <c r="G118" s="35" t="s">
        <v>3032</v>
      </c>
    </row>
    <row r="119">
      <c r="A119" s="34">
        <v>117.0</v>
      </c>
      <c r="B119" s="35" t="s">
        <v>3115</v>
      </c>
      <c r="C119" s="35">
        <v>51.0</v>
      </c>
      <c r="D119" s="35" t="s">
        <v>13</v>
      </c>
      <c r="E119" s="35" t="s">
        <v>13</v>
      </c>
      <c r="F119" s="35" t="s">
        <v>3116</v>
      </c>
      <c r="G119" s="35" t="s">
        <v>3000</v>
      </c>
    </row>
    <row r="120">
      <c r="A120" s="34">
        <v>118.0</v>
      </c>
      <c r="B120" s="35" t="s">
        <v>3117</v>
      </c>
      <c r="C120" s="35">
        <v>50.0</v>
      </c>
      <c r="D120" s="35" t="s">
        <v>13</v>
      </c>
      <c r="E120" s="35" t="s">
        <v>13</v>
      </c>
      <c r="F120" s="35" t="s">
        <v>3118</v>
      </c>
      <c r="G120" s="35" t="s">
        <v>3119</v>
      </c>
    </row>
    <row r="121">
      <c r="A121" s="34">
        <v>119.0</v>
      </c>
      <c r="B121" s="35" t="s">
        <v>3120</v>
      </c>
      <c r="C121" s="35">
        <v>49.0</v>
      </c>
      <c r="D121" s="35" t="s">
        <v>13</v>
      </c>
      <c r="E121" s="35" t="s">
        <v>13</v>
      </c>
      <c r="F121" s="35" t="s">
        <v>13</v>
      </c>
      <c r="G121" s="35" t="s">
        <v>2962</v>
      </c>
    </row>
    <row r="122">
      <c r="A122" s="34">
        <v>120.0</v>
      </c>
      <c r="B122" s="35" t="s">
        <v>3121</v>
      </c>
      <c r="C122" s="35">
        <v>69.0</v>
      </c>
      <c r="D122" s="35" t="s">
        <v>13</v>
      </c>
      <c r="E122" s="35" t="s">
        <v>13</v>
      </c>
      <c r="F122" s="35" t="s">
        <v>13</v>
      </c>
      <c r="G122" s="35" t="s">
        <v>2962</v>
      </c>
    </row>
    <row r="123">
      <c r="A123" s="34">
        <v>121.0</v>
      </c>
      <c r="B123" s="35" t="s">
        <v>3122</v>
      </c>
      <c r="C123" s="35">
        <v>69.0</v>
      </c>
      <c r="D123" s="35" t="s">
        <v>13</v>
      </c>
      <c r="E123" s="35" t="s">
        <v>13</v>
      </c>
      <c r="F123" s="35" t="s">
        <v>13</v>
      </c>
      <c r="G123" s="35" t="s">
        <v>2962</v>
      </c>
    </row>
    <row r="124">
      <c r="A124" s="34">
        <v>122.0</v>
      </c>
      <c r="B124" s="35" t="s">
        <v>3123</v>
      </c>
      <c r="C124" s="35">
        <v>46.0</v>
      </c>
      <c r="D124" s="35">
        <v>1.3853733E8</v>
      </c>
      <c r="E124" s="35" t="s">
        <v>13</v>
      </c>
      <c r="F124" s="35" t="s">
        <v>1731</v>
      </c>
      <c r="G124" s="35" t="s">
        <v>2952</v>
      </c>
    </row>
    <row r="125">
      <c r="A125" s="34">
        <v>123.0</v>
      </c>
      <c r="B125" s="35" t="s">
        <v>3124</v>
      </c>
      <c r="C125" s="35">
        <v>27.0</v>
      </c>
      <c r="D125" s="35" t="s">
        <v>13</v>
      </c>
      <c r="E125" s="35" t="s">
        <v>13</v>
      </c>
      <c r="F125" s="35" t="s">
        <v>13</v>
      </c>
      <c r="G125" s="35" t="s">
        <v>2962</v>
      </c>
    </row>
    <row r="126">
      <c r="A126" s="34">
        <v>124.0</v>
      </c>
      <c r="B126" s="35" t="s">
        <v>3124</v>
      </c>
      <c r="C126" s="35">
        <v>28.0</v>
      </c>
      <c r="D126" s="35" t="s">
        <v>13</v>
      </c>
      <c r="E126" s="35" t="s">
        <v>13</v>
      </c>
      <c r="F126" s="35" t="s">
        <v>13</v>
      </c>
      <c r="G126" s="35" t="s">
        <v>2962</v>
      </c>
    </row>
    <row r="127">
      <c r="A127" s="34">
        <v>125.0</v>
      </c>
      <c r="B127" s="35" t="s">
        <v>3125</v>
      </c>
      <c r="C127" s="35">
        <v>49.0</v>
      </c>
      <c r="D127" s="35" t="s">
        <v>13</v>
      </c>
      <c r="E127" s="35" t="s">
        <v>13</v>
      </c>
      <c r="F127" s="35" t="s">
        <v>13</v>
      </c>
      <c r="G127" s="35" t="s">
        <v>3126</v>
      </c>
    </row>
    <row r="128">
      <c r="A128" s="34">
        <v>126.0</v>
      </c>
      <c r="B128" s="35" t="s">
        <v>3127</v>
      </c>
      <c r="C128" s="35">
        <v>64.0</v>
      </c>
      <c r="D128" s="35">
        <v>8.617776E7</v>
      </c>
      <c r="E128" s="35" t="s">
        <v>13</v>
      </c>
      <c r="F128" s="35" t="s">
        <v>1731</v>
      </c>
      <c r="G128" s="35" t="s">
        <v>2952</v>
      </c>
    </row>
    <row r="129">
      <c r="A129" s="34">
        <v>127.0</v>
      </c>
      <c r="B129" s="35" t="s">
        <v>3128</v>
      </c>
      <c r="C129" s="35">
        <v>40.0</v>
      </c>
      <c r="D129" s="35">
        <v>1.8915676E8</v>
      </c>
      <c r="E129" s="35" t="s">
        <v>13</v>
      </c>
      <c r="F129" s="35" t="s">
        <v>1503</v>
      </c>
      <c r="G129" s="35" t="s">
        <v>1731</v>
      </c>
    </row>
    <row r="130">
      <c r="A130" s="34">
        <v>128.0</v>
      </c>
      <c r="B130" s="35" t="s">
        <v>3129</v>
      </c>
      <c r="C130" s="35">
        <v>22.0</v>
      </c>
      <c r="D130" s="35" t="s">
        <v>13</v>
      </c>
      <c r="E130" s="35" t="s">
        <v>13</v>
      </c>
      <c r="F130" s="35" t="s">
        <v>3130</v>
      </c>
      <c r="G130" s="35" t="s">
        <v>13</v>
      </c>
    </row>
    <row r="131">
      <c r="A131" s="34">
        <v>129.0</v>
      </c>
      <c r="B131" s="35" t="s">
        <v>3131</v>
      </c>
      <c r="C131" s="35">
        <v>30.0</v>
      </c>
      <c r="D131" s="35" t="s">
        <v>13</v>
      </c>
      <c r="E131" s="35" t="s">
        <v>13</v>
      </c>
      <c r="F131" s="35" t="s">
        <v>3132</v>
      </c>
      <c r="G131" s="35" t="s">
        <v>13</v>
      </c>
    </row>
    <row r="132">
      <c r="A132" s="34">
        <v>130.0</v>
      </c>
      <c r="B132" s="35" t="s">
        <v>3133</v>
      </c>
      <c r="C132" s="35">
        <v>56.0</v>
      </c>
      <c r="D132" s="35" t="s">
        <v>13</v>
      </c>
      <c r="E132" s="35" t="s">
        <v>13</v>
      </c>
      <c r="F132" s="35" t="s">
        <v>3134</v>
      </c>
      <c r="G132" s="35" t="s">
        <v>13</v>
      </c>
    </row>
    <row r="133">
      <c r="A133" s="34">
        <v>131.0</v>
      </c>
      <c r="B133" s="35" t="s">
        <v>3135</v>
      </c>
      <c r="C133" s="35">
        <v>36.0</v>
      </c>
      <c r="D133" s="35" t="s">
        <v>13</v>
      </c>
      <c r="E133" s="35" t="s">
        <v>13</v>
      </c>
      <c r="F133" s="35" t="s">
        <v>13</v>
      </c>
      <c r="G133" s="35" t="s">
        <v>13</v>
      </c>
    </row>
    <row r="134">
      <c r="A134" s="34">
        <v>132.0</v>
      </c>
      <c r="B134" s="35" t="s">
        <v>3136</v>
      </c>
      <c r="C134" s="35">
        <v>45.0</v>
      </c>
      <c r="D134" s="35" t="s">
        <v>13</v>
      </c>
      <c r="E134" s="35" t="s">
        <v>13</v>
      </c>
      <c r="F134" s="35" t="s">
        <v>13</v>
      </c>
      <c r="G134" s="35" t="s">
        <v>3137</v>
      </c>
    </row>
    <row r="135">
      <c r="A135" s="34">
        <v>133.0</v>
      </c>
      <c r="B135" s="35" t="s">
        <v>3136</v>
      </c>
      <c r="C135" s="35">
        <v>37.0</v>
      </c>
      <c r="D135" s="35" t="s">
        <v>13</v>
      </c>
      <c r="E135" s="35" t="s">
        <v>13</v>
      </c>
      <c r="F135" s="35" t="s">
        <v>13</v>
      </c>
      <c r="G135" s="35" t="s">
        <v>2962</v>
      </c>
    </row>
    <row r="136">
      <c r="A136" s="34">
        <v>134.0</v>
      </c>
      <c r="B136" s="35" t="s">
        <v>3138</v>
      </c>
      <c r="C136" s="35">
        <v>30.0</v>
      </c>
      <c r="D136" s="35" t="s">
        <v>13</v>
      </c>
      <c r="E136" s="35" t="s">
        <v>13</v>
      </c>
      <c r="F136" s="35" t="s">
        <v>3139</v>
      </c>
      <c r="G136" s="35" t="s">
        <v>13</v>
      </c>
    </row>
    <row r="137">
      <c r="A137" s="34">
        <v>135.0</v>
      </c>
      <c r="B137" s="35" t="s">
        <v>3140</v>
      </c>
      <c r="C137" s="35">
        <v>75.0</v>
      </c>
      <c r="D137" s="35">
        <v>5.64155E7</v>
      </c>
      <c r="E137" s="35" t="s">
        <v>13</v>
      </c>
      <c r="F137" s="35" t="s">
        <v>1731</v>
      </c>
      <c r="G137" s="35" t="s">
        <v>2973</v>
      </c>
    </row>
    <row r="138">
      <c r="A138" s="34">
        <v>136.0</v>
      </c>
      <c r="B138" s="35" t="s">
        <v>3141</v>
      </c>
      <c r="C138" s="35">
        <v>15.0</v>
      </c>
      <c r="D138" s="35" t="s">
        <v>13</v>
      </c>
      <c r="E138" s="35" t="s">
        <v>13</v>
      </c>
      <c r="F138" s="35" t="s">
        <v>3142</v>
      </c>
      <c r="G138" s="35" t="s">
        <v>13</v>
      </c>
    </row>
    <row r="139">
      <c r="A139" s="34">
        <v>137.0</v>
      </c>
      <c r="B139" s="35" t="s">
        <v>3143</v>
      </c>
      <c r="C139" s="35">
        <v>15.0</v>
      </c>
      <c r="D139" s="35" t="s">
        <v>13</v>
      </c>
      <c r="E139" s="35" t="s">
        <v>13</v>
      </c>
      <c r="F139" s="35" t="s">
        <v>13</v>
      </c>
      <c r="G139" s="35" t="s">
        <v>13</v>
      </c>
    </row>
    <row r="140">
      <c r="A140" s="34">
        <v>138.0</v>
      </c>
      <c r="B140" s="35" t="s">
        <v>3144</v>
      </c>
      <c r="C140" s="35">
        <v>52.0</v>
      </c>
      <c r="D140" s="35" t="s">
        <v>3145</v>
      </c>
      <c r="E140" s="35" t="s">
        <v>13</v>
      </c>
      <c r="F140" s="35" t="s">
        <v>13</v>
      </c>
      <c r="G140" s="35" t="s">
        <v>2952</v>
      </c>
    </row>
    <row r="141">
      <c r="A141" s="34">
        <v>139.0</v>
      </c>
      <c r="B141" s="35" t="s">
        <v>3146</v>
      </c>
      <c r="C141" s="35">
        <v>62.0</v>
      </c>
      <c r="D141" s="35" t="s">
        <v>3147</v>
      </c>
      <c r="E141" s="35" t="s">
        <v>13</v>
      </c>
      <c r="F141" s="35" t="s">
        <v>13</v>
      </c>
      <c r="G141" s="35" t="s">
        <v>2952</v>
      </c>
    </row>
    <row r="142">
      <c r="A142" s="34">
        <v>140.0</v>
      </c>
      <c r="B142" s="35" t="s">
        <v>3146</v>
      </c>
      <c r="C142" s="35">
        <v>62.0</v>
      </c>
      <c r="D142" s="35">
        <v>6.887465E7</v>
      </c>
      <c r="E142" s="35" t="s">
        <v>13</v>
      </c>
      <c r="F142" s="35" t="s">
        <v>1731</v>
      </c>
      <c r="G142" s="35" t="s">
        <v>2952</v>
      </c>
    </row>
    <row r="143">
      <c r="A143" s="34">
        <v>141.0</v>
      </c>
      <c r="B143" s="35" t="s">
        <v>3148</v>
      </c>
      <c r="C143" s="35">
        <v>34.0</v>
      </c>
      <c r="D143" s="35" t="s">
        <v>13</v>
      </c>
      <c r="E143" s="35" t="s">
        <v>13</v>
      </c>
      <c r="F143" s="35" t="s">
        <v>13</v>
      </c>
      <c r="G143" s="35" t="s">
        <v>3032</v>
      </c>
    </row>
    <row r="144">
      <c r="A144" s="34">
        <v>142.0</v>
      </c>
      <c r="B144" s="35" t="s">
        <v>3148</v>
      </c>
      <c r="C144" s="35">
        <v>72.0</v>
      </c>
      <c r="D144" s="35" t="s">
        <v>13</v>
      </c>
      <c r="E144" s="35" t="s">
        <v>13</v>
      </c>
      <c r="F144" s="35" t="s">
        <v>13</v>
      </c>
      <c r="G144" s="35" t="s">
        <v>3126</v>
      </c>
    </row>
    <row r="145">
      <c r="A145" s="34">
        <v>143.0</v>
      </c>
      <c r="B145" s="35" t="s">
        <v>3149</v>
      </c>
      <c r="C145" s="35">
        <v>44.0</v>
      </c>
      <c r="D145" s="35" t="s">
        <v>13</v>
      </c>
      <c r="E145" s="35" t="s">
        <v>13</v>
      </c>
      <c r="F145" s="35" t="s">
        <v>13</v>
      </c>
      <c r="G145" s="35" t="s">
        <v>2983</v>
      </c>
    </row>
    <row r="146">
      <c r="A146" s="34">
        <v>144.0</v>
      </c>
      <c r="B146" s="35" t="s">
        <v>3150</v>
      </c>
      <c r="C146" s="35">
        <v>45.0</v>
      </c>
      <c r="D146" s="35" t="s">
        <v>13</v>
      </c>
      <c r="E146" s="35" t="s">
        <v>13</v>
      </c>
      <c r="F146" s="35" t="s">
        <v>13</v>
      </c>
      <c r="G146" s="35" t="s">
        <v>3137</v>
      </c>
    </row>
    <row r="147">
      <c r="A147" s="34">
        <v>145.0</v>
      </c>
      <c r="B147" s="35" t="s">
        <v>3151</v>
      </c>
      <c r="C147" s="35">
        <v>25.0</v>
      </c>
      <c r="D147" s="35">
        <v>2.9591963E8</v>
      </c>
      <c r="E147" s="35" t="s">
        <v>13</v>
      </c>
      <c r="F147" s="35" t="s">
        <v>330</v>
      </c>
      <c r="G147" s="35" t="s">
        <v>1731</v>
      </c>
    </row>
    <row r="148">
      <c r="A148" s="34">
        <v>146.0</v>
      </c>
      <c r="B148" s="35" t="s">
        <v>3152</v>
      </c>
      <c r="C148" s="35">
        <v>57.0</v>
      </c>
      <c r="D148" s="35">
        <v>1.0073429E8</v>
      </c>
      <c r="E148" s="35" t="s">
        <v>13</v>
      </c>
      <c r="F148" s="35" t="s">
        <v>1731</v>
      </c>
      <c r="G148" s="35" t="s">
        <v>2973</v>
      </c>
    </row>
    <row r="149">
      <c r="A149" s="34">
        <v>147.0</v>
      </c>
      <c r="B149" s="35" t="s">
        <v>3153</v>
      </c>
      <c r="C149" s="35">
        <v>45.0</v>
      </c>
      <c r="D149" s="35" t="s">
        <v>13</v>
      </c>
      <c r="E149" s="35" t="s">
        <v>13</v>
      </c>
      <c r="F149" s="35" t="s">
        <v>3010</v>
      </c>
      <c r="G149" s="35" t="s">
        <v>3000</v>
      </c>
    </row>
    <row r="150">
      <c r="A150" s="34">
        <v>148.0</v>
      </c>
      <c r="B150" s="35" t="s">
        <v>3154</v>
      </c>
      <c r="C150" s="35">
        <v>39.0</v>
      </c>
      <c r="D150" s="35" t="s">
        <v>3155</v>
      </c>
      <c r="E150" s="35" t="s">
        <v>13</v>
      </c>
      <c r="F150" s="35" t="s">
        <v>13</v>
      </c>
      <c r="G150" s="35" t="s">
        <v>2952</v>
      </c>
    </row>
    <row r="151">
      <c r="A151" s="34">
        <v>149.0</v>
      </c>
      <c r="B151" s="35" t="s">
        <v>3156</v>
      </c>
      <c r="C151" s="35">
        <v>34.0</v>
      </c>
      <c r="D151" s="35" t="s">
        <v>3157</v>
      </c>
      <c r="E151" s="35" t="s">
        <v>13</v>
      </c>
      <c r="F151" s="35" t="s">
        <v>13</v>
      </c>
      <c r="G151" s="35" t="s">
        <v>2987</v>
      </c>
    </row>
    <row r="152">
      <c r="A152" s="34">
        <v>150.0</v>
      </c>
      <c r="B152" s="35" t="s">
        <v>3156</v>
      </c>
      <c r="C152" s="35">
        <v>34.0</v>
      </c>
      <c r="D152" s="35">
        <v>2.4331288E8</v>
      </c>
      <c r="E152" s="35" t="s">
        <v>13</v>
      </c>
      <c r="F152" s="35" t="s">
        <v>1731</v>
      </c>
      <c r="G152" s="35" t="s">
        <v>2952</v>
      </c>
    </row>
    <row r="153">
      <c r="A153" s="34">
        <v>151.0</v>
      </c>
      <c r="B153" s="35" t="s">
        <v>3158</v>
      </c>
      <c r="C153" s="35">
        <v>70.0</v>
      </c>
      <c r="D153" s="35" t="s">
        <v>13</v>
      </c>
      <c r="E153" s="35" t="s">
        <v>13</v>
      </c>
      <c r="F153" s="35" t="s">
        <v>13</v>
      </c>
      <c r="G153" s="35" t="s">
        <v>3159</v>
      </c>
    </row>
    <row r="154">
      <c r="A154" s="34">
        <v>152.0</v>
      </c>
      <c r="B154" s="35" t="s">
        <v>3160</v>
      </c>
      <c r="C154" s="35">
        <v>24.0</v>
      </c>
      <c r="D154" s="35" t="s">
        <v>13</v>
      </c>
      <c r="E154" s="35" t="s">
        <v>13</v>
      </c>
      <c r="F154" s="35" t="s">
        <v>13</v>
      </c>
      <c r="G154" s="35" t="s">
        <v>13</v>
      </c>
    </row>
    <row r="155">
      <c r="A155" s="34">
        <v>153.0</v>
      </c>
      <c r="B155" s="35" t="s">
        <v>3161</v>
      </c>
      <c r="C155" s="35">
        <v>24.0</v>
      </c>
      <c r="D155" s="35" t="s">
        <v>13</v>
      </c>
      <c r="E155" s="35" t="s">
        <v>13</v>
      </c>
      <c r="F155" s="35" t="s">
        <v>3162</v>
      </c>
      <c r="G155" s="35" t="s">
        <v>13</v>
      </c>
    </row>
    <row r="156">
      <c r="A156" s="34">
        <v>154.0</v>
      </c>
      <c r="B156" s="35" t="s">
        <v>3163</v>
      </c>
      <c r="C156" s="35">
        <v>49.0</v>
      </c>
      <c r="D156" s="35" t="s">
        <v>13</v>
      </c>
      <c r="E156" s="35" t="s">
        <v>13</v>
      </c>
      <c r="F156" s="35" t="s">
        <v>3164</v>
      </c>
      <c r="G156" s="35" t="s">
        <v>3000</v>
      </c>
    </row>
    <row r="157">
      <c r="A157" s="34">
        <v>155.0</v>
      </c>
      <c r="B157" s="35" t="s">
        <v>3165</v>
      </c>
      <c r="C157" s="35">
        <v>49.0</v>
      </c>
      <c r="D157" s="35" t="s">
        <v>13</v>
      </c>
      <c r="E157" s="35" t="s">
        <v>13</v>
      </c>
      <c r="F157" s="35" t="s">
        <v>13</v>
      </c>
      <c r="G157" s="35" t="s">
        <v>3166</v>
      </c>
    </row>
    <row r="158">
      <c r="A158" s="34">
        <v>156.0</v>
      </c>
      <c r="B158" s="35" t="s">
        <v>3167</v>
      </c>
      <c r="C158" s="35">
        <v>40.0</v>
      </c>
      <c r="D158" s="35" t="s">
        <v>13</v>
      </c>
      <c r="E158" s="35" t="s">
        <v>13</v>
      </c>
      <c r="F158" s="35" t="s">
        <v>3168</v>
      </c>
      <c r="G158" s="35" t="s">
        <v>3000</v>
      </c>
    </row>
    <row r="159">
      <c r="A159" s="34">
        <v>157.0</v>
      </c>
      <c r="B159" s="35" t="s">
        <v>3169</v>
      </c>
      <c r="C159" s="35">
        <v>70.0</v>
      </c>
      <c r="D159" s="35">
        <v>5.139601E7</v>
      </c>
      <c r="E159" s="35" t="s">
        <v>13</v>
      </c>
      <c r="F159" s="35" t="s">
        <v>1731</v>
      </c>
      <c r="G159" s="35" t="s">
        <v>2973</v>
      </c>
    </row>
    <row r="160">
      <c r="A160" s="34">
        <v>158.0</v>
      </c>
      <c r="B160" s="35" t="s">
        <v>3170</v>
      </c>
      <c r="C160" s="35">
        <v>45.0</v>
      </c>
      <c r="D160" s="35">
        <v>1.5541032E8</v>
      </c>
      <c r="E160" s="35" t="s">
        <v>13</v>
      </c>
      <c r="F160" s="35" t="s">
        <v>1731</v>
      </c>
      <c r="G160" s="35" t="s">
        <v>2952</v>
      </c>
    </row>
    <row r="161">
      <c r="A161" s="34">
        <v>159.0</v>
      </c>
      <c r="B161" s="35" t="s">
        <v>3171</v>
      </c>
      <c r="C161" s="35">
        <v>72.0</v>
      </c>
      <c r="D161" s="35" t="s">
        <v>13</v>
      </c>
      <c r="E161" s="35" t="s">
        <v>13</v>
      </c>
      <c r="F161" s="35" t="s">
        <v>3172</v>
      </c>
      <c r="G161" s="35" t="s">
        <v>3000</v>
      </c>
    </row>
    <row r="162">
      <c r="A162" s="34">
        <v>160.0</v>
      </c>
      <c r="B162" s="35" t="s">
        <v>3173</v>
      </c>
      <c r="C162" s="35">
        <v>37.0</v>
      </c>
      <c r="D162" s="35" t="s">
        <v>13</v>
      </c>
      <c r="E162" s="35" t="s">
        <v>13</v>
      </c>
      <c r="F162" s="35" t="s">
        <v>13</v>
      </c>
      <c r="G162" s="35" t="s">
        <v>3174</v>
      </c>
    </row>
    <row r="163">
      <c r="A163" s="34">
        <v>161.0</v>
      </c>
      <c r="B163" s="35" t="s">
        <v>3175</v>
      </c>
      <c r="C163" s="35">
        <v>26.0</v>
      </c>
      <c r="D163" s="35" t="s">
        <v>13</v>
      </c>
      <c r="E163" s="35" t="s">
        <v>13</v>
      </c>
      <c r="F163" s="35" t="s">
        <v>13</v>
      </c>
      <c r="G163" s="35" t="s">
        <v>2993</v>
      </c>
    </row>
    <row r="164">
      <c r="A164" s="34">
        <v>162.0</v>
      </c>
      <c r="B164" s="35" t="s">
        <v>3176</v>
      </c>
      <c r="C164" s="35">
        <v>37.0</v>
      </c>
      <c r="D164" s="35" t="s">
        <v>13</v>
      </c>
      <c r="E164" s="35" t="s">
        <v>13</v>
      </c>
      <c r="F164" s="35" t="s">
        <v>3177</v>
      </c>
      <c r="G164" s="35" t="s">
        <v>3000</v>
      </c>
    </row>
    <row r="165">
      <c r="A165" s="34">
        <v>163.0</v>
      </c>
      <c r="B165" s="35" t="s">
        <v>3176</v>
      </c>
      <c r="C165" s="35">
        <v>27.0</v>
      </c>
      <c r="D165" s="35">
        <v>2.0558047E8</v>
      </c>
      <c r="E165" s="35" t="s">
        <v>13</v>
      </c>
      <c r="F165" s="35" t="s">
        <v>1731</v>
      </c>
      <c r="G165" s="35" t="s">
        <v>2952</v>
      </c>
    </row>
    <row r="166">
      <c r="A166" s="34">
        <v>164.0</v>
      </c>
      <c r="B166" s="35" t="s">
        <v>3178</v>
      </c>
      <c r="C166" s="35">
        <v>21.0</v>
      </c>
      <c r="D166" s="35" t="s">
        <v>13</v>
      </c>
      <c r="E166" s="35" t="s">
        <v>13</v>
      </c>
      <c r="F166" s="35" t="s">
        <v>3179</v>
      </c>
      <c r="G166" s="35" t="s">
        <v>13</v>
      </c>
    </row>
    <row r="167">
      <c r="A167" s="34">
        <v>165.0</v>
      </c>
      <c r="B167" s="35" t="s">
        <v>3180</v>
      </c>
      <c r="C167" s="35">
        <v>32.0</v>
      </c>
      <c r="D167" s="35" t="s">
        <v>13</v>
      </c>
      <c r="E167" s="35" t="s">
        <v>13</v>
      </c>
      <c r="F167" s="35" t="s">
        <v>3181</v>
      </c>
      <c r="G167" s="35" t="s">
        <v>13</v>
      </c>
    </row>
    <row r="168">
      <c r="A168" s="34">
        <v>166.0</v>
      </c>
      <c r="B168" s="35" t="s">
        <v>3182</v>
      </c>
      <c r="C168" s="35">
        <v>31.0</v>
      </c>
      <c r="D168" s="35" t="s">
        <v>13</v>
      </c>
      <c r="E168" s="35" t="s">
        <v>13</v>
      </c>
      <c r="F168" s="35" t="s">
        <v>13</v>
      </c>
      <c r="G168" s="35" t="s">
        <v>2983</v>
      </c>
    </row>
    <row r="169">
      <c r="A169" s="34">
        <v>167.0</v>
      </c>
      <c r="B169" s="35" t="s">
        <v>3182</v>
      </c>
      <c r="C169" s="35">
        <v>6.0</v>
      </c>
      <c r="D169" s="35" t="s">
        <v>13</v>
      </c>
      <c r="E169" s="35" t="s">
        <v>13</v>
      </c>
      <c r="F169" s="35" t="s">
        <v>13</v>
      </c>
      <c r="G169" s="35" t="s">
        <v>2983</v>
      </c>
    </row>
    <row r="170">
      <c r="A170" s="34">
        <v>168.0</v>
      </c>
      <c r="B170" s="35" t="s">
        <v>3183</v>
      </c>
      <c r="C170" s="35">
        <v>6.0</v>
      </c>
      <c r="D170" s="35" t="s">
        <v>13</v>
      </c>
      <c r="E170" s="35" t="s">
        <v>13</v>
      </c>
      <c r="F170" s="35" t="s">
        <v>13</v>
      </c>
      <c r="G170" s="35" t="s">
        <v>2983</v>
      </c>
    </row>
    <row r="171">
      <c r="A171" s="34">
        <v>169.0</v>
      </c>
      <c r="B171" s="35" t="s">
        <v>3184</v>
      </c>
      <c r="C171" s="35">
        <v>65.0</v>
      </c>
      <c r="D171" s="35" t="s">
        <v>13</v>
      </c>
      <c r="E171" s="35" t="s">
        <v>13</v>
      </c>
      <c r="F171" s="35" t="s">
        <v>3185</v>
      </c>
      <c r="G171" s="35" t="s">
        <v>13</v>
      </c>
    </row>
    <row r="172">
      <c r="A172" s="34">
        <v>170.0</v>
      </c>
      <c r="B172" s="35" t="s">
        <v>3186</v>
      </c>
      <c r="C172" s="35">
        <v>51.0</v>
      </c>
      <c r="D172" s="35" t="s">
        <v>13</v>
      </c>
      <c r="E172" s="35" t="s">
        <v>13</v>
      </c>
      <c r="F172" s="35" t="s">
        <v>3139</v>
      </c>
      <c r="G172" s="35" t="s">
        <v>13</v>
      </c>
    </row>
    <row r="173">
      <c r="A173" s="34">
        <v>171.0</v>
      </c>
      <c r="B173" s="35" t="s">
        <v>3187</v>
      </c>
      <c r="C173" s="35">
        <v>31.0</v>
      </c>
      <c r="D173" s="35" t="s">
        <v>13</v>
      </c>
      <c r="E173" s="35" t="s">
        <v>13</v>
      </c>
      <c r="F173" s="35" t="s">
        <v>13</v>
      </c>
      <c r="G173" s="35" t="s">
        <v>3188</v>
      </c>
    </row>
    <row r="174">
      <c r="A174" s="34">
        <v>172.0</v>
      </c>
      <c r="B174" s="35" t="s">
        <v>3189</v>
      </c>
      <c r="C174" s="35">
        <v>31.0</v>
      </c>
      <c r="D174" s="35" t="s">
        <v>13</v>
      </c>
      <c r="E174" s="35" t="s">
        <v>13</v>
      </c>
      <c r="F174" s="35" t="s">
        <v>13</v>
      </c>
      <c r="G174" s="35" t="s">
        <v>2983</v>
      </c>
    </row>
    <row r="175">
      <c r="A175" s="34">
        <v>173.0</v>
      </c>
      <c r="B175" s="35" t="s">
        <v>3190</v>
      </c>
      <c r="C175" s="35">
        <v>8.0</v>
      </c>
      <c r="D175" s="35" t="s">
        <v>13</v>
      </c>
      <c r="E175" s="35" t="s">
        <v>13</v>
      </c>
      <c r="F175" s="35" t="s">
        <v>13</v>
      </c>
      <c r="G175" s="35" t="s">
        <v>2952</v>
      </c>
    </row>
    <row r="176">
      <c r="A176" s="34">
        <v>174.0</v>
      </c>
      <c r="B176" s="35" t="s">
        <v>3191</v>
      </c>
      <c r="C176" s="35">
        <v>61.0</v>
      </c>
      <c r="D176" s="35" t="s">
        <v>3192</v>
      </c>
      <c r="E176" s="35" t="s">
        <v>13</v>
      </c>
      <c r="F176" s="35" t="s">
        <v>13</v>
      </c>
      <c r="G176" s="35" t="s">
        <v>2987</v>
      </c>
    </row>
    <row r="177">
      <c r="A177" s="34">
        <v>175.0</v>
      </c>
      <c r="B177" s="35" t="s">
        <v>3193</v>
      </c>
      <c r="C177" s="35">
        <v>45.0</v>
      </c>
      <c r="D177" s="35" t="s">
        <v>13</v>
      </c>
      <c r="E177" s="35" t="s">
        <v>13</v>
      </c>
      <c r="F177" s="35" t="s">
        <v>13</v>
      </c>
      <c r="G177" s="35" t="s">
        <v>3137</v>
      </c>
    </row>
    <row r="178">
      <c r="A178" s="34">
        <v>176.0</v>
      </c>
      <c r="B178" s="35" t="s">
        <v>3194</v>
      </c>
      <c r="C178" s="35">
        <v>69.0</v>
      </c>
      <c r="D178" s="35" t="s">
        <v>13</v>
      </c>
      <c r="E178" s="35" t="s">
        <v>13</v>
      </c>
      <c r="F178" s="35" t="s">
        <v>13</v>
      </c>
      <c r="G178" s="35" t="s">
        <v>2962</v>
      </c>
    </row>
    <row r="179">
      <c r="A179" s="34">
        <v>177.0</v>
      </c>
      <c r="B179" s="35" t="s">
        <v>3194</v>
      </c>
      <c r="C179" s="35">
        <v>67.0</v>
      </c>
      <c r="D179" s="35" t="s">
        <v>13</v>
      </c>
      <c r="E179" s="35" t="s">
        <v>13</v>
      </c>
      <c r="F179" s="35" t="s">
        <v>13</v>
      </c>
      <c r="G179" s="35" t="s">
        <v>2962</v>
      </c>
    </row>
    <row r="180">
      <c r="A180" s="34">
        <v>178.0</v>
      </c>
      <c r="B180" s="35" t="s">
        <v>3195</v>
      </c>
      <c r="C180" s="35">
        <v>67.0</v>
      </c>
      <c r="D180" s="35" t="s">
        <v>13</v>
      </c>
      <c r="E180" s="35" t="s">
        <v>13</v>
      </c>
      <c r="F180" s="35" t="s">
        <v>13</v>
      </c>
      <c r="G180" s="35" t="s">
        <v>2962</v>
      </c>
    </row>
    <row r="181">
      <c r="A181" s="34">
        <v>179.0</v>
      </c>
      <c r="B181" s="35" t="s">
        <v>3196</v>
      </c>
      <c r="C181" s="35">
        <v>45.0</v>
      </c>
      <c r="D181" s="35" t="s">
        <v>3197</v>
      </c>
      <c r="E181" s="35" t="s">
        <v>13</v>
      </c>
      <c r="F181" s="35" t="s">
        <v>13</v>
      </c>
      <c r="G181" s="35" t="s">
        <v>2952</v>
      </c>
    </row>
    <row r="182">
      <c r="A182" s="34">
        <v>180.0</v>
      </c>
      <c r="B182" s="35" t="s">
        <v>3198</v>
      </c>
      <c r="C182" s="35">
        <v>54.0</v>
      </c>
      <c r="D182" s="35" t="s">
        <v>13</v>
      </c>
      <c r="E182" s="35" t="s">
        <v>13</v>
      </c>
      <c r="F182" s="35" t="s">
        <v>3199</v>
      </c>
      <c r="G182" s="35" t="s">
        <v>3000</v>
      </c>
    </row>
    <row r="183">
      <c r="A183" s="34">
        <v>181.0</v>
      </c>
      <c r="B183" s="35" t="s">
        <v>3200</v>
      </c>
      <c r="C183" s="35">
        <v>52.0</v>
      </c>
      <c r="D183" s="35">
        <v>1.216347E8</v>
      </c>
      <c r="E183" s="35" t="s">
        <v>13</v>
      </c>
      <c r="F183" s="35" t="s">
        <v>13</v>
      </c>
      <c r="G183" s="35" t="s">
        <v>2952</v>
      </c>
    </row>
    <row r="184">
      <c r="A184" s="34">
        <v>182.0</v>
      </c>
      <c r="B184" s="35" t="s">
        <v>3200</v>
      </c>
      <c r="C184" s="35">
        <v>52.0</v>
      </c>
      <c r="D184" s="35" t="s">
        <v>3201</v>
      </c>
      <c r="E184" s="35" t="s">
        <v>13</v>
      </c>
      <c r="F184" s="35" t="s">
        <v>13</v>
      </c>
      <c r="G184" s="35" t="s">
        <v>2952</v>
      </c>
    </row>
    <row r="185">
      <c r="A185" s="34">
        <v>183.0</v>
      </c>
      <c r="B185" s="35" t="s">
        <v>3202</v>
      </c>
      <c r="C185" s="35">
        <v>52.0</v>
      </c>
      <c r="D185" s="35" t="s">
        <v>13</v>
      </c>
      <c r="E185" s="35" t="s">
        <v>13</v>
      </c>
      <c r="F185" s="35" t="s">
        <v>3203</v>
      </c>
      <c r="G185" s="35" t="s">
        <v>3000</v>
      </c>
    </row>
    <row r="186">
      <c r="A186" s="34">
        <v>184.0</v>
      </c>
      <c r="B186" s="35" t="s">
        <v>3204</v>
      </c>
      <c r="C186" s="35">
        <v>36.0</v>
      </c>
      <c r="D186" s="35" t="s">
        <v>13</v>
      </c>
      <c r="E186" s="35" t="s">
        <v>13</v>
      </c>
      <c r="F186" s="35" t="s">
        <v>13</v>
      </c>
      <c r="G186" s="35" t="s">
        <v>13</v>
      </c>
    </row>
    <row r="187">
      <c r="A187" s="34">
        <v>185.0</v>
      </c>
      <c r="B187" s="35" t="s">
        <v>3205</v>
      </c>
      <c r="C187" s="35">
        <v>30.0</v>
      </c>
      <c r="D187" s="35" t="s">
        <v>13</v>
      </c>
      <c r="E187" s="35" t="s">
        <v>13</v>
      </c>
      <c r="F187" s="35" t="s">
        <v>13</v>
      </c>
      <c r="G187" s="35" t="s">
        <v>2962</v>
      </c>
    </row>
    <row r="188">
      <c r="A188" s="34">
        <v>186.0</v>
      </c>
      <c r="B188" s="35" t="s">
        <v>3206</v>
      </c>
      <c r="C188" s="35">
        <v>56.0</v>
      </c>
      <c r="D188" s="35" t="s">
        <v>3207</v>
      </c>
      <c r="E188" s="35" t="s">
        <v>13</v>
      </c>
      <c r="F188" s="35" t="s">
        <v>13</v>
      </c>
      <c r="G188" s="35" t="s">
        <v>2987</v>
      </c>
    </row>
    <row r="189">
      <c r="A189" s="34">
        <v>187.0</v>
      </c>
      <c r="B189" s="35" t="s">
        <v>3208</v>
      </c>
      <c r="C189" s="35">
        <v>30.0</v>
      </c>
      <c r="D189" s="35" t="s">
        <v>13</v>
      </c>
      <c r="E189" s="35" t="s">
        <v>13</v>
      </c>
      <c r="F189" s="35" t="s">
        <v>3209</v>
      </c>
      <c r="G189" s="35" t="s">
        <v>13</v>
      </c>
    </row>
    <row r="190">
      <c r="A190" s="34">
        <v>188.0</v>
      </c>
      <c r="B190" s="35" t="s">
        <v>3210</v>
      </c>
      <c r="C190" s="35">
        <v>21.0</v>
      </c>
      <c r="D190" s="35" t="s">
        <v>13</v>
      </c>
      <c r="E190" s="35" t="s">
        <v>13</v>
      </c>
      <c r="F190" s="35" t="s">
        <v>13</v>
      </c>
      <c r="G190" s="35" t="s">
        <v>3211</v>
      </c>
    </row>
    <row r="191">
      <c r="A191" s="34">
        <v>189.0</v>
      </c>
      <c r="B191" s="35" t="s">
        <v>3212</v>
      </c>
      <c r="C191" s="35">
        <v>51.0</v>
      </c>
      <c r="D191" s="35" t="s">
        <v>13</v>
      </c>
      <c r="E191" s="35" t="s">
        <v>13</v>
      </c>
      <c r="F191" s="35" t="s">
        <v>3213</v>
      </c>
      <c r="G191" s="35" t="s">
        <v>13</v>
      </c>
    </row>
    <row r="192">
      <c r="A192" s="34">
        <v>190.0</v>
      </c>
      <c r="B192" s="35" t="s">
        <v>3214</v>
      </c>
      <c r="C192" s="35">
        <v>42.0</v>
      </c>
      <c r="D192" s="35" t="s">
        <v>13</v>
      </c>
      <c r="E192" s="35" t="s">
        <v>13</v>
      </c>
      <c r="F192" s="35" t="s">
        <v>3215</v>
      </c>
      <c r="G192" s="35" t="s">
        <v>13</v>
      </c>
    </row>
    <row r="193">
      <c r="A193" s="34">
        <v>191.0</v>
      </c>
      <c r="B193" s="35" t="s">
        <v>3216</v>
      </c>
      <c r="C193" s="35">
        <v>30.0</v>
      </c>
      <c r="D193" s="35" t="s">
        <v>13</v>
      </c>
      <c r="E193" s="35" t="s">
        <v>13</v>
      </c>
      <c r="F193" s="35" t="s">
        <v>3217</v>
      </c>
      <c r="G193" s="35" t="s">
        <v>2969</v>
      </c>
    </row>
    <row r="194">
      <c r="A194" s="34">
        <v>192.0</v>
      </c>
      <c r="B194" s="35" t="s">
        <v>3218</v>
      </c>
      <c r="C194" s="35">
        <v>17.0</v>
      </c>
      <c r="D194" s="35" t="s">
        <v>13</v>
      </c>
      <c r="E194" s="35" t="s">
        <v>13</v>
      </c>
      <c r="F194" s="35" t="s">
        <v>13</v>
      </c>
      <c r="G194" s="35" t="s">
        <v>2962</v>
      </c>
    </row>
    <row r="195">
      <c r="A195" s="34">
        <v>193.0</v>
      </c>
      <c r="B195" s="35" t="s">
        <v>3219</v>
      </c>
      <c r="C195" s="35">
        <v>64.0</v>
      </c>
      <c r="D195" s="35">
        <v>6.433372E7</v>
      </c>
      <c r="E195" s="35" t="s">
        <v>13</v>
      </c>
      <c r="F195" s="35" t="s">
        <v>1731</v>
      </c>
      <c r="G195" s="35" t="s">
        <v>2952</v>
      </c>
    </row>
    <row r="196">
      <c r="A196" s="34">
        <v>194.0</v>
      </c>
      <c r="B196" s="35" t="s">
        <v>3220</v>
      </c>
      <c r="C196" s="35">
        <v>30.0</v>
      </c>
      <c r="D196" s="35" t="s">
        <v>13</v>
      </c>
      <c r="E196" s="35" t="s">
        <v>13</v>
      </c>
      <c r="F196" s="35" t="s">
        <v>13</v>
      </c>
      <c r="G196" s="35" t="s">
        <v>2983</v>
      </c>
    </row>
    <row r="197">
      <c r="A197" s="34">
        <v>195.0</v>
      </c>
      <c r="B197" s="35" t="s">
        <v>3221</v>
      </c>
      <c r="C197" s="35">
        <v>6.0</v>
      </c>
      <c r="D197" s="35" t="s">
        <v>13</v>
      </c>
      <c r="E197" s="35" t="s">
        <v>13</v>
      </c>
      <c r="F197" s="35" t="s">
        <v>3222</v>
      </c>
      <c r="G197" s="35" t="s">
        <v>13</v>
      </c>
    </row>
    <row r="198">
      <c r="A198" s="34">
        <v>196.0</v>
      </c>
      <c r="B198" s="35" t="s">
        <v>3223</v>
      </c>
      <c r="C198" s="35">
        <v>30.0</v>
      </c>
      <c r="D198" s="35" t="s">
        <v>13</v>
      </c>
      <c r="E198" s="35" t="s">
        <v>13</v>
      </c>
      <c r="F198" s="35" t="s">
        <v>13</v>
      </c>
      <c r="G198" s="35" t="s">
        <v>3224</v>
      </c>
    </row>
    <row r="199">
      <c r="A199" s="34">
        <v>197.0</v>
      </c>
      <c r="B199" s="35" t="s">
        <v>3225</v>
      </c>
      <c r="C199" s="35">
        <v>20.0</v>
      </c>
      <c r="D199" s="35" t="s">
        <v>13</v>
      </c>
      <c r="E199" s="35" t="s">
        <v>13</v>
      </c>
      <c r="F199" s="35" t="s">
        <v>2980</v>
      </c>
      <c r="G199" s="35" t="s">
        <v>3000</v>
      </c>
    </row>
    <row r="200">
      <c r="A200" s="34">
        <v>198.0</v>
      </c>
      <c r="B200" s="35" t="s">
        <v>2443</v>
      </c>
      <c r="C200" s="35">
        <v>49.0</v>
      </c>
      <c r="D200" s="35" t="s">
        <v>13</v>
      </c>
      <c r="E200" s="35" t="s">
        <v>13</v>
      </c>
      <c r="F200" s="35" t="s">
        <v>13</v>
      </c>
      <c r="G200" s="35" t="s">
        <v>2952</v>
      </c>
    </row>
    <row r="201">
      <c r="A201" s="34">
        <v>199.0</v>
      </c>
      <c r="B201" s="35" t="s">
        <v>3226</v>
      </c>
      <c r="C201" s="35">
        <v>64.0</v>
      </c>
      <c r="D201" s="35">
        <v>5.685519E7</v>
      </c>
      <c r="E201" s="35" t="s">
        <v>13</v>
      </c>
      <c r="F201" s="35" t="s">
        <v>1731</v>
      </c>
      <c r="G201" s="35" t="s">
        <v>2952</v>
      </c>
    </row>
    <row r="202">
      <c r="A202" s="34">
        <v>200.0</v>
      </c>
      <c r="B202" s="35" t="s">
        <v>3227</v>
      </c>
      <c r="C202" s="35">
        <v>30.0</v>
      </c>
      <c r="D202" s="35" t="s">
        <v>3228</v>
      </c>
      <c r="E202" s="35" t="s">
        <v>13</v>
      </c>
      <c r="F202" s="35" t="s">
        <v>13</v>
      </c>
      <c r="G202" s="35" t="s">
        <v>2952</v>
      </c>
    </row>
    <row r="203">
      <c r="A203" s="34">
        <v>201.0</v>
      </c>
      <c r="B203" s="35" t="s">
        <v>3229</v>
      </c>
      <c r="C203" s="35">
        <v>6.0</v>
      </c>
      <c r="D203" s="35" t="s">
        <v>13</v>
      </c>
      <c r="E203" s="35" t="s">
        <v>13</v>
      </c>
      <c r="F203" s="35" t="s">
        <v>13</v>
      </c>
      <c r="G203" s="35" t="s">
        <v>13</v>
      </c>
    </row>
    <row r="204">
      <c r="A204" s="34">
        <v>202.0</v>
      </c>
      <c r="B204" s="35" t="s">
        <v>3230</v>
      </c>
      <c r="C204" s="35">
        <v>39.0</v>
      </c>
      <c r="D204" s="35">
        <v>1.8142695E8</v>
      </c>
      <c r="E204" s="35" t="s">
        <v>13</v>
      </c>
      <c r="F204" s="35" t="s">
        <v>1731</v>
      </c>
      <c r="G204" s="35" t="s">
        <v>2952</v>
      </c>
    </row>
    <row r="205">
      <c r="A205" s="34">
        <v>203.0</v>
      </c>
      <c r="B205" s="35" t="s">
        <v>3231</v>
      </c>
      <c r="C205" s="35">
        <v>38.0</v>
      </c>
      <c r="D205" s="35" t="s">
        <v>3232</v>
      </c>
      <c r="E205" s="35" t="s">
        <v>13</v>
      </c>
      <c r="F205" s="35" t="s">
        <v>13</v>
      </c>
      <c r="G205" s="35" t="s">
        <v>2952</v>
      </c>
    </row>
    <row r="206">
      <c r="A206" s="34">
        <v>204.0</v>
      </c>
      <c r="B206" s="35" t="s">
        <v>3231</v>
      </c>
      <c r="C206" s="35">
        <v>38.0</v>
      </c>
      <c r="D206" s="35">
        <v>1.748209E8</v>
      </c>
      <c r="E206" s="35" t="s">
        <v>13</v>
      </c>
      <c r="F206" s="35" t="s">
        <v>13</v>
      </c>
      <c r="G206" s="35" t="s">
        <v>2952</v>
      </c>
    </row>
    <row r="207">
      <c r="A207" s="34">
        <v>205.0</v>
      </c>
      <c r="B207" s="35" t="s">
        <v>3233</v>
      </c>
      <c r="C207" s="35">
        <v>77.0</v>
      </c>
      <c r="D207" s="35" t="s">
        <v>13</v>
      </c>
      <c r="E207" s="35" t="s">
        <v>13</v>
      </c>
      <c r="F207" s="35" t="s">
        <v>13</v>
      </c>
      <c r="G207" s="35" t="s">
        <v>13</v>
      </c>
    </row>
    <row r="208">
      <c r="A208" s="34">
        <v>206.0</v>
      </c>
      <c r="B208" s="35" t="s">
        <v>3234</v>
      </c>
      <c r="C208" s="35">
        <v>55.0</v>
      </c>
      <c r="D208" s="35">
        <v>1.1409997E8</v>
      </c>
      <c r="E208" s="35" t="s">
        <v>13</v>
      </c>
      <c r="F208" s="35" t="s">
        <v>1731</v>
      </c>
      <c r="G208" s="35" t="s">
        <v>2952</v>
      </c>
    </row>
    <row r="209">
      <c r="A209" s="34">
        <v>207.0</v>
      </c>
      <c r="B209" s="35" t="s">
        <v>2925</v>
      </c>
      <c r="C209" s="35">
        <v>54.0</v>
      </c>
      <c r="D209" s="35" t="s">
        <v>3235</v>
      </c>
      <c r="E209" s="35" t="s">
        <v>13</v>
      </c>
      <c r="F209" s="35" t="s">
        <v>1731</v>
      </c>
      <c r="G209" s="35" t="s">
        <v>2952</v>
      </c>
    </row>
    <row r="210">
      <c r="A210" s="34">
        <v>208.0</v>
      </c>
      <c r="B210" s="35" t="s">
        <v>3236</v>
      </c>
      <c r="C210" s="35">
        <v>55.0</v>
      </c>
      <c r="D210" s="35" t="s">
        <v>3237</v>
      </c>
      <c r="E210" s="35" t="s">
        <v>13</v>
      </c>
      <c r="F210" s="35" t="s">
        <v>13</v>
      </c>
      <c r="G210" s="35" t="s">
        <v>2952</v>
      </c>
    </row>
    <row r="211">
      <c r="A211" s="34">
        <v>209.0</v>
      </c>
      <c r="B211" s="35" t="s">
        <v>924</v>
      </c>
      <c r="C211" s="35" t="s">
        <v>13</v>
      </c>
      <c r="D211" s="35" t="s">
        <v>14</v>
      </c>
      <c r="E211" s="35" t="s">
        <v>13</v>
      </c>
      <c r="F211" s="35" t="s">
        <v>13</v>
      </c>
      <c r="G211" s="35" t="s">
        <v>15</v>
      </c>
    </row>
    <row r="212">
      <c r="A212" s="34">
        <v>210.0</v>
      </c>
      <c r="B212" s="35" t="s">
        <v>3238</v>
      </c>
      <c r="C212" s="35">
        <v>37.0</v>
      </c>
      <c r="D212" s="35" t="s">
        <v>3239</v>
      </c>
      <c r="E212" s="35" t="s">
        <v>13</v>
      </c>
      <c r="F212" s="35" t="s">
        <v>13</v>
      </c>
      <c r="G212" s="35" t="s">
        <v>2952</v>
      </c>
    </row>
    <row r="213">
      <c r="A213" s="34">
        <v>211.0</v>
      </c>
      <c r="B213" s="35" t="s">
        <v>2444</v>
      </c>
      <c r="C213" s="35">
        <v>17.0</v>
      </c>
      <c r="D213" s="35" t="s">
        <v>13</v>
      </c>
      <c r="E213" s="35" t="s">
        <v>13</v>
      </c>
      <c r="F213" s="35" t="s">
        <v>13</v>
      </c>
      <c r="G213" s="35" t="s">
        <v>2952</v>
      </c>
    </row>
    <row r="214">
      <c r="A214" s="34">
        <v>212.0</v>
      </c>
      <c r="B214" s="35" t="s">
        <v>3240</v>
      </c>
      <c r="C214" s="35">
        <v>22.0</v>
      </c>
      <c r="D214" s="35">
        <v>3.0114918E8</v>
      </c>
      <c r="E214" s="35" t="s">
        <v>13</v>
      </c>
      <c r="F214" s="35" t="s">
        <v>1731</v>
      </c>
      <c r="G214" s="35" t="s">
        <v>2952</v>
      </c>
    </row>
    <row r="215">
      <c r="A215" s="34">
        <v>213.0</v>
      </c>
      <c r="B215" s="35" t="s">
        <v>3241</v>
      </c>
      <c r="C215" s="35">
        <v>43.0</v>
      </c>
      <c r="D215" s="35" t="s">
        <v>13</v>
      </c>
      <c r="E215" s="35" t="s">
        <v>13</v>
      </c>
      <c r="F215" s="35" t="s">
        <v>13</v>
      </c>
      <c r="G215" s="35" t="s">
        <v>13</v>
      </c>
    </row>
    <row r="216">
      <c r="A216" s="34">
        <v>214.0</v>
      </c>
      <c r="B216" s="35" t="s">
        <v>3242</v>
      </c>
      <c r="C216" s="35">
        <v>22.0</v>
      </c>
      <c r="D216" s="35" t="s">
        <v>13</v>
      </c>
      <c r="E216" s="35" t="s">
        <v>13</v>
      </c>
      <c r="F216" s="35" t="s">
        <v>13</v>
      </c>
      <c r="G216" s="35" t="s">
        <v>2983</v>
      </c>
    </row>
    <row r="217">
      <c r="A217" s="34">
        <v>215.0</v>
      </c>
      <c r="B217" s="35" t="s">
        <v>3243</v>
      </c>
      <c r="C217" s="35">
        <v>44.0</v>
      </c>
      <c r="D217" s="35" t="s">
        <v>13</v>
      </c>
      <c r="E217" s="35" t="s">
        <v>13</v>
      </c>
      <c r="F217" s="35" t="s">
        <v>13</v>
      </c>
      <c r="G217" s="35" t="s">
        <v>2983</v>
      </c>
    </row>
    <row r="218">
      <c r="A218" s="34">
        <v>216.0</v>
      </c>
      <c r="B218" s="35" t="s">
        <v>3244</v>
      </c>
      <c r="C218" s="35">
        <v>18.0</v>
      </c>
      <c r="D218" s="35" t="s">
        <v>13</v>
      </c>
      <c r="E218" s="35" t="s">
        <v>13</v>
      </c>
      <c r="F218" s="35" t="s">
        <v>13</v>
      </c>
      <c r="G218" s="35" t="s">
        <v>13</v>
      </c>
    </row>
    <row r="219">
      <c r="A219" s="34">
        <v>217.0</v>
      </c>
      <c r="B219" s="35" t="s">
        <v>3244</v>
      </c>
      <c r="C219" s="35" t="s">
        <v>13</v>
      </c>
      <c r="D219" s="35" t="s">
        <v>13</v>
      </c>
      <c r="E219" s="35" t="s">
        <v>13</v>
      </c>
      <c r="F219" s="35" t="s">
        <v>13</v>
      </c>
      <c r="G219" s="35" t="s">
        <v>13</v>
      </c>
    </row>
    <row r="220">
      <c r="A220" s="34">
        <v>218.0</v>
      </c>
      <c r="B220" s="35" t="s">
        <v>3245</v>
      </c>
      <c r="C220" s="35">
        <v>14.0</v>
      </c>
      <c r="D220" s="35" t="s">
        <v>3246</v>
      </c>
      <c r="E220" s="35" t="s">
        <v>13</v>
      </c>
      <c r="F220" s="35" t="s">
        <v>13</v>
      </c>
      <c r="G220" s="35" t="s">
        <v>2987</v>
      </c>
    </row>
    <row r="221">
      <c r="A221" s="34">
        <v>219.0</v>
      </c>
      <c r="B221" s="35" t="s">
        <v>3247</v>
      </c>
      <c r="C221" s="35">
        <v>48.0</v>
      </c>
      <c r="D221" s="35" t="s">
        <v>13</v>
      </c>
      <c r="E221" s="35" t="s">
        <v>13</v>
      </c>
      <c r="F221" s="35" t="s">
        <v>13</v>
      </c>
      <c r="G221" s="35" t="s">
        <v>3248</v>
      </c>
    </row>
    <row r="222">
      <c r="A222" s="34">
        <v>220.0</v>
      </c>
      <c r="B222" s="35" t="s">
        <v>3249</v>
      </c>
      <c r="C222" s="35" t="s">
        <v>13</v>
      </c>
      <c r="D222" s="35" t="s">
        <v>13</v>
      </c>
      <c r="E222" s="35" t="s">
        <v>13</v>
      </c>
      <c r="F222" s="35" t="s">
        <v>3250</v>
      </c>
      <c r="G222" s="35" t="s">
        <v>13</v>
      </c>
    </row>
    <row r="223">
      <c r="A223" s="34">
        <v>221.0</v>
      </c>
      <c r="B223" s="35" t="s">
        <v>3251</v>
      </c>
      <c r="C223" s="35">
        <v>41.0</v>
      </c>
      <c r="D223" s="35" t="s">
        <v>13</v>
      </c>
      <c r="E223" s="35" t="s">
        <v>13</v>
      </c>
      <c r="F223" s="35" t="s">
        <v>13</v>
      </c>
      <c r="G223" s="35" t="s">
        <v>13</v>
      </c>
    </row>
    <row r="224">
      <c r="A224" s="34">
        <v>222.0</v>
      </c>
      <c r="B224" s="35" t="s">
        <v>3251</v>
      </c>
      <c r="C224" s="35" t="s">
        <v>13</v>
      </c>
      <c r="D224" s="35" t="s">
        <v>13</v>
      </c>
      <c r="E224" s="35" t="s">
        <v>13</v>
      </c>
      <c r="F224" s="35" t="s">
        <v>3252</v>
      </c>
      <c r="G224" s="35" t="s">
        <v>13</v>
      </c>
    </row>
    <row r="225">
      <c r="A225" s="34">
        <v>223.0</v>
      </c>
      <c r="B225" s="35" t="s">
        <v>3253</v>
      </c>
      <c r="C225" s="35">
        <v>77.0</v>
      </c>
      <c r="D225" s="35" t="s">
        <v>3254</v>
      </c>
      <c r="E225" s="35" t="s">
        <v>13</v>
      </c>
      <c r="F225" s="35" t="s">
        <v>13</v>
      </c>
      <c r="G225" s="35" t="s">
        <v>2952</v>
      </c>
    </row>
    <row r="226">
      <c r="A226" s="34">
        <v>224.0</v>
      </c>
      <c r="B226" s="35" t="s">
        <v>3253</v>
      </c>
      <c r="C226" s="35">
        <v>77.0</v>
      </c>
      <c r="D226" s="35">
        <v>3.55787E7</v>
      </c>
      <c r="E226" s="35" t="s">
        <v>13</v>
      </c>
      <c r="F226" s="35" t="s">
        <v>13</v>
      </c>
      <c r="G226" s="35" t="s">
        <v>2952</v>
      </c>
    </row>
    <row r="227">
      <c r="A227" s="34">
        <v>225.0</v>
      </c>
      <c r="B227" s="35" t="s">
        <v>3255</v>
      </c>
      <c r="C227" s="35">
        <v>54.0</v>
      </c>
      <c r="D227" s="35">
        <v>1.1166237E8</v>
      </c>
      <c r="E227" s="35" t="s">
        <v>13</v>
      </c>
      <c r="F227" s="35" t="s">
        <v>1731</v>
      </c>
      <c r="G227" s="35" t="s">
        <v>2952</v>
      </c>
    </row>
    <row r="228">
      <c r="A228" s="34">
        <v>226.0</v>
      </c>
      <c r="B228" s="35" t="s">
        <v>3256</v>
      </c>
      <c r="C228" s="35" t="s">
        <v>13</v>
      </c>
      <c r="D228" s="35" t="s">
        <v>13</v>
      </c>
      <c r="E228" s="35" t="s">
        <v>13</v>
      </c>
      <c r="F228" s="35" t="s">
        <v>13</v>
      </c>
      <c r="G228" s="35" t="s">
        <v>13</v>
      </c>
    </row>
    <row r="229">
      <c r="A229" s="34">
        <v>227.0</v>
      </c>
      <c r="B229" s="35" t="s">
        <v>3257</v>
      </c>
      <c r="C229" s="35">
        <v>46.0</v>
      </c>
      <c r="D229" s="35" t="s">
        <v>13</v>
      </c>
      <c r="E229" s="35" t="s">
        <v>13</v>
      </c>
      <c r="F229" s="35" t="s">
        <v>13</v>
      </c>
      <c r="G229" s="35" t="s">
        <v>3000</v>
      </c>
    </row>
    <row r="230">
      <c r="A230" s="34">
        <v>228.0</v>
      </c>
      <c r="B230" s="35" t="s">
        <v>3258</v>
      </c>
      <c r="C230" s="35">
        <v>40.0</v>
      </c>
      <c r="D230" s="35" t="s">
        <v>13</v>
      </c>
      <c r="E230" s="35" t="s">
        <v>13</v>
      </c>
      <c r="F230" s="35" t="s">
        <v>3259</v>
      </c>
      <c r="G230" s="35" t="s">
        <v>3000</v>
      </c>
    </row>
    <row r="231">
      <c r="A231" s="34">
        <v>229.0</v>
      </c>
      <c r="B231" s="35" t="s">
        <v>3260</v>
      </c>
      <c r="C231" s="35">
        <v>30.0</v>
      </c>
      <c r="D231" s="35" t="s">
        <v>13</v>
      </c>
      <c r="E231" s="35" t="s">
        <v>13</v>
      </c>
      <c r="F231" s="35" t="s">
        <v>3261</v>
      </c>
      <c r="G231" s="35" t="s">
        <v>13</v>
      </c>
    </row>
    <row r="232">
      <c r="A232" s="34">
        <v>230.0</v>
      </c>
      <c r="B232" s="35" t="s">
        <v>3262</v>
      </c>
      <c r="C232" s="35">
        <v>24.0</v>
      </c>
      <c r="D232" s="35">
        <v>2.9571733E8</v>
      </c>
      <c r="E232" s="35" t="s">
        <v>13</v>
      </c>
      <c r="F232" s="35" t="s">
        <v>1731</v>
      </c>
      <c r="G232" s="35" t="s">
        <v>2952</v>
      </c>
    </row>
    <row r="233">
      <c r="A233" s="34">
        <v>231.0</v>
      </c>
      <c r="B233" s="35" t="s">
        <v>3263</v>
      </c>
      <c r="C233" s="35">
        <v>58.0</v>
      </c>
      <c r="D233" s="35">
        <v>6.340991E7</v>
      </c>
      <c r="E233" s="35" t="s">
        <v>13</v>
      </c>
      <c r="F233" s="35" t="s">
        <v>1731</v>
      </c>
      <c r="G233" s="35" t="s">
        <v>2952</v>
      </c>
    </row>
    <row r="234">
      <c r="A234" s="34">
        <v>232.0</v>
      </c>
      <c r="B234" s="35" t="s">
        <v>3264</v>
      </c>
      <c r="C234" s="35">
        <v>47.0</v>
      </c>
      <c r="D234" s="35">
        <v>1.3828545E8</v>
      </c>
      <c r="E234" s="35" t="s">
        <v>13</v>
      </c>
      <c r="F234" s="35" t="s">
        <v>1731</v>
      </c>
      <c r="G234" s="35" t="s">
        <v>2952</v>
      </c>
    </row>
    <row r="235">
      <c r="A235" s="34">
        <v>233.0</v>
      </c>
      <c r="B235" s="35" t="s">
        <v>3265</v>
      </c>
      <c r="C235" s="35">
        <v>30.0</v>
      </c>
      <c r="D235" s="35" t="s">
        <v>13</v>
      </c>
      <c r="E235" s="35" t="s">
        <v>13</v>
      </c>
      <c r="F235" s="35" t="s">
        <v>3266</v>
      </c>
      <c r="G235" s="35" t="s">
        <v>13</v>
      </c>
    </row>
    <row r="236">
      <c r="A236" s="34">
        <v>234.0</v>
      </c>
      <c r="B236" s="35" t="s">
        <v>3267</v>
      </c>
      <c r="C236" s="35" t="s">
        <v>13</v>
      </c>
      <c r="D236" s="35" t="s">
        <v>13</v>
      </c>
      <c r="E236" s="35" t="s">
        <v>13</v>
      </c>
      <c r="F236" s="35" t="s">
        <v>3268</v>
      </c>
      <c r="G236" s="35" t="s">
        <v>13</v>
      </c>
    </row>
    <row r="237">
      <c r="A237" s="34">
        <v>235.0</v>
      </c>
      <c r="B237" s="35" t="s">
        <v>3269</v>
      </c>
      <c r="C237" s="35">
        <v>56.0</v>
      </c>
      <c r="D237" s="35">
        <v>9.960514E7</v>
      </c>
      <c r="E237" s="35" t="s">
        <v>13</v>
      </c>
      <c r="F237" s="35" t="s">
        <v>1731</v>
      </c>
      <c r="G237" s="35" t="s">
        <v>2973</v>
      </c>
    </row>
    <row r="238">
      <c r="A238" s="85">
        <v>1.0</v>
      </c>
      <c r="B238" s="94" t="s">
        <v>4082</v>
      </c>
      <c r="C238" s="85">
        <v>13.0</v>
      </c>
      <c r="D238" s="86"/>
      <c r="E238" s="86"/>
      <c r="F238" s="86"/>
      <c r="G238" s="94" t="s">
        <v>4662</v>
      </c>
      <c r="H238" s="85" t="s">
        <v>4663</v>
      </c>
      <c r="I238" s="95">
        <v>0.5416666666666666</v>
      </c>
    </row>
    <row r="239">
      <c r="A239" s="88">
        <v>2.0</v>
      </c>
      <c r="B239" s="96" t="s">
        <v>4664</v>
      </c>
      <c r="C239" s="88">
        <v>4.0</v>
      </c>
      <c r="D239" s="89"/>
      <c r="E239" s="89"/>
      <c r="F239" s="89"/>
      <c r="G239" s="96" t="s">
        <v>4662</v>
      </c>
      <c r="H239" s="88" t="s">
        <v>4663</v>
      </c>
      <c r="I239" s="97">
        <v>0.5416666666666666</v>
      </c>
    </row>
    <row r="240">
      <c r="A240" s="85">
        <v>3.0</v>
      </c>
      <c r="B240" s="94" t="s">
        <v>4109</v>
      </c>
      <c r="C240" s="85">
        <v>19.0</v>
      </c>
      <c r="D240" s="86"/>
      <c r="E240" s="86"/>
      <c r="F240" s="86"/>
      <c r="G240" s="94" t="s">
        <v>4662</v>
      </c>
      <c r="H240" s="85" t="s">
        <v>4663</v>
      </c>
      <c r="I240" s="95">
        <v>0.5416666666666666</v>
      </c>
    </row>
    <row r="241">
      <c r="A241" s="88">
        <v>4.0</v>
      </c>
      <c r="B241" s="96" t="s">
        <v>4128</v>
      </c>
      <c r="C241" s="88">
        <v>38.0</v>
      </c>
      <c r="D241" s="89"/>
      <c r="E241" s="89"/>
      <c r="F241" s="89"/>
      <c r="G241" s="96" t="s">
        <v>4662</v>
      </c>
      <c r="H241" s="88" t="s">
        <v>4663</v>
      </c>
      <c r="I241" s="97">
        <v>0.5416666666666666</v>
      </c>
    </row>
    <row r="242">
      <c r="A242" s="85">
        <v>5.0</v>
      </c>
      <c r="B242" s="94" t="s">
        <v>4665</v>
      </c>
      <c r="C242" s="85">
        <v>4.0</v>
      </c>
      <c r="D242" s="86"/>
      <c r="E242" s="86"/>
      <c r="F242" s="86"/>
      <c r="G242" s="94" t="s">
        <v>4662</v>
      </c>
      <c r="H242" s="85" t="s">
        <v>4663</v>
      </c>
      <c r="I242" s="95">
        <v>0.5416666666666666</v>
      </c>
    </row>
    <row r="243">
      <c r="A243" s="88">
        <v>6.0</v>
      </c>
      <c r="B243" s="96" t="s">
        <v>4130</v>
      </c>
      <c r="C243" s="88">
        <v>7.0</v>
      </c>
      <c r="D243" s="89"/>
      <c r="E243" s="89"/>
      <c r="F243" s="89"/>
      <c r="G243" s="96" t="s">
        <v>4662</v>
      </c>
      <c r="H243" s="88" t="s">
        <v>4663</v>
      </c>
      <c r="I243" s="97">
        <v>0.5416666666666666</v>
      </c>
    </row>
    <row r="244">
      <c r="A244" s="85">
        <v>7.0</v>
      </c>
      <c r="B244" s="94" t="s">
        <v>4056</v>
      </c>
      <c r="C244" s="85">
        <v>65.0</v>
      </c>
      <c r="D244" s="86"/>
      <c r="E244" s="86"/>
      <c r="F244" s="86"/>
      <c r="G244" s="94" t="s">
        <v>4662</v>
      </c>
      <c r="H244" s="85" t="s">
        <v>4663</v>
      </c>
      <c r="I244" s="95">
        <v>0.5416666666666666</v>
      </c>
    </row>
    <row r="245">
      <c r="A245" s="88">
        <v>8.0</v>
      </c>
      <c r="B245" s="96" t="s">
        <v>4212</v>
      </c>
      <c r="C245" s="88">
        <v>7.0</v>
      </c>
      <c r="D245" s="89"/>
      <c r="E245" s="89"/>
      <c r="F245" s="89"/>
      <c r="G245" s="96" t="s">
        <v>4662</v>
      </c>
      <c r="H245" s="88" t="s">
        <v>4663</v>
      </c>
      <c r="I245" s="97">
        <v>0.5416666666666666</v>
      </c>
    </row>
    <row r="246">
      <c r="A246" s="85">
        <v>9.0</v>
      </c>
      <c r="B246" s="94" t="s">
        <v>4666</v>
      </c>
      <c r="C246" s="85">
        <v>10.0</v>
      </c>
      <c r="D246" s="86"/>
      <c r="E246" s="86"/>
      <c r="F246" s="86"/>
      <c r="G246" s="94" t="s">
        <v>4662</v>
      </c>
      <c r="H246" s="85" t="s">
        <v>4663</v>
      </c>
      <c r="I246" s="95">
        <v>0.5416666666666666</v>
      </c>
    </row>
    <row r="247">
      <c r="A247" s="88">
        <v>10.0</v>
      </c>
      <c r="B247" s="96" t="s">
        <v>4098</v>
      </c>
      <c r="C247" s="88">
        <v>10.0</v>
      </c>
      <c r="D247" s="89"/>
      <c r="E247" s="89"/>
      <c r="F247" s="89"/>
      <c r="G247" s="96" t="s">
        <v>4662</v>
      </c>
      <c r="H247" s="88" t="s">
        <v>4663</v>
      </c>
      <c r="I247" s="97">
        <v>0.5416666666666666</v>
      </c>
    </row>
    <row r="248">
      <c r="A248" s="85">
        <v>11.0</v>
      </c>
      <c r="B248" s="94" t="s">
        <v>4667</v>
      </c>
      <c r="C248" s="85">
        <v>37.0</v>
      </c>
      <c r="D248" s="86"/>
      <c r="E248" s="86"/>
      <c r="F248" s="86"/>
      <c r="G248" s="94" t="s">
        <v>4662</v>
      </c>
      <c r="H248" s="85" t="s">
        <v>4663</v>
      </c>
      <c r="I248" s="95">
        <v>0.5416666666666666</v>
      </c>
    </row>
    <row r="249">
      <c r="A249" s="88">
        <v>12.0</v>
      </c>
      <c r="B249" s="96" t="s">
        <v>4263</v>
      </c>
      <c r="C249" s="88">
        <v>15.0</v>
      </c>
      <c r="D249" s="89"/>
      <c r="E249" s="89"/>
      <c r="F249" s="89"/>
      <c r="G249" s="96" t="s">
        <v>4662</v>
      </c>
      <c r="H249" s="88" t="s">
        <v>4663</v>
      </c>
      <c r="I249" s="97">
        <v>0.5416666666666666</v>
      </c>
    </row>
    <row r="250">
      <c r="A250" s="85">
        <v>13.0</v>
      </c>
      <c r="B250" s="94" t="s">
        <v>4668</v>
      </c>
      <c r="C250" s="85">
        <v>42.0</v>
      </c>
      <c r="D250" s="86"/>
      <c r="E250" s="86"/>
      <c r="F250" s="86"/>
      <c r="G250" s="94" t="s">
        <v>4662</v>
      </c>
      <c r="H250" s="85" t="s">
        <v>4663</v>
      </c>
      <c r="I250" s="95">
        <v>0.5416666666666666</v>
      </c>
    </row>
    <row r="251">
      <c r="A251" s="88">
        <v>14.0</v>
      </c>
      <c r="B251" s="96" t="s">
        <v>4064</v>
      </c>
      <c r="C251" s="88">
        <v>42.0</v>
      </c>
      <c r="D251" s="89"/>
      <c r="E251" s="89"/>
      <c r="F251" s="89"/>
      <c r="G251" s="96" t="s">
        <v>4662</v>
      </c>
      <c r="H251" s="88" t="s">
        <v>4663</v>
      </c>
      <c r="I251" s="97">
        <v>0.5416666666666666</v>
      </c>
    </row>
    <row r="252">
      <c r="A252" s="85">
        <v>15.0</v>
      </c>
      <c r="B252" s="94" t="s">
        <v>4669</v>
      </c>
      <c r="C252" s="85">
        <v>30.0</v>
      </c>
      <c r="D252" s="86"/>
      <c r="E252" s="86"/>
      <c r="F252" s="86"/>
      <c r="G252" s="94" t="s">
        <v>4662</v>
      </c>
      <c r="H252" s="85" t="s">
        <v>4663</v>
      </c>
      <c r="I252" s="95">
        <v>0.5416666666666666</v>
      </c>
    </row>
    <row r="253">
      <c r="A253" s="88">
        <v>16.0</v>
      </c>
      <c r="B253" s="96" t="s">
        <v>4670</v>
      </c>
      <c r="C253" s="88">
        <v>29.0</v>
      </c>
      <c r="D253" s="89"/>
      <c r="E253" s="89"/>
      <c r="F253" s="89"/>
      <c r="G253" s="96" t="s">
        <v>4662</v>
      </c>
      <c r="H253" s="88" t="s">
        <v>4663</v>
      </c>
      <c r="I253" s="97">
        <v>0.5416666666666666</v>
      </c>
    </row>
    <row r="254">
      <c r="A254" s="85">
        <v>17.0</v>
      </c>
      <c r="B254" s="94" t="s">
        <v>4187</v>
      </c>
      <c r="C254" s="85">
        <v>7.0</v>
      </c>
      <c r="D254" s="86"/>
      <c r="E254" s="86"/>
      <c r="F254" s="86"/>
      <c r="G254" s="94" t="s">
        <v>4671</v>
      </c>
      <c r="H254" s="85" t="s">
        <v>4663</v>
      </c>
      <c r="I254" s="95">
        <v>0.5416666666666666</v>
      </c>
    </row>
    <row r="255">
      <c r="A255" s="88">
        <v>18.0</v>
      </c>
      <c r="B255" s="96" t="s">
        <v>4672</v>
      </c>
      <c r="C255" s="88">
        <v>4.0</v>
      </c>
      <c r="D255" s="89"/>
      <c r="E255" s="89"/>
      <c r="F255" s="88" t="s">
        <v>330</v>
      </c>
      <c r="G255" s="96" t="s">
        <v>4673</v>
      </c>
      <c r="H255" s="88" t="s">
        <v>4663</v>
      </c>
      <c r="I255" s="97">
        <v>0.5416666666666666</v>
      </c>
    </row>
    <row r="256">
      <c r="A256" s="85">
        <v>19.0</v>
      </c>
      <c r="B256" s="94" t="s">
        <v>4674</v>
      </c>
      <c r="C256" s="85">
        <v>13.0</v>
      </c>
      <c r="D256" s="86"/>
      <c r="E256" s="86"/>
      <c r="F256" s="85" t="s">
        <v>330</v>
      </c>
      <c r="G256" s="94" t="s">
        <v>4675</v>
      </c>
      <c r="H256" s="85" t="s">
        <v>4663</v>
      </c>
      <c r="I256" s="95">
        <v>0.5416666666666666</v>
      </c>
    </row>
    <row r="257">
      <c r="A257" s="88">
        <v>20.0</v>
      </c>
      <c r="B257" s="96" t="s">
        <v>4676</v>
      </c>
      <c r="C257" s="88">
        <v>8.0</v>
      </c>
      <c r="D257" s="89"/>
      <c r="E257" s="89"/>
      <c r="F257" s="88" t="s">
        <v>330</v>
      </c>
      <c r="G257" s="96" t="s">
        <v>4675</v>
      </c>
      <c r="H257" s="88" t="s">
        <v>4663</v>
      </c>
      <c r="I257" s="97">
        <v>0.5416666666666666</v>
      </c>
    </row>
    <row r="258">
      <c r="A258" s="85">
        <v>21.0</v>
      </c>
      <c r="B258" s="94" t="s">
        <v>4677</v>
      </c>
      <c r="C258" s="85">
        <v>7.0</v>
      </c>
      <c r="D258" s="86"/>
      <c r="E258" s="86"/>
      <c r="F258" s="85" t="s">
        <v>330</v>
      </c>
      <c r="G258" s="94" t="s">
        <v>4678</v>
      </c>
      <c r="H258" s="85" t="s">
        <v>4663</v>
      </c>
      <c r="I258" s="95">
        <v>0.5416666666666666</v>
      </c>
    </row>
    <row r="259">
      <c r="A259" s="88">
        <v>22.0</v>
      </c>
      <c r="B259" s="96" t="s">
        <v>4458</v>
      </c>
      <c r="C259" s="88">
        <v>7.0</v>
      </c>
      <c r="D259" s="89"/>
      <c r="E259" s="89"/>
      <c r="F259" s="88" t="s">
        <v>330</v>
      </c>
      <c r="G259" s="96" t="s">
        <v>4675</v>
      </c>
      <c r="H259" s="88" t="s">
        <v>4663</v>
      </c>
      <c r="I259" s="97">
        <v>0.5416666666666666</v>
      </c>
    </row>
    <row r="260">
      <c r="A260" s="85">
        <v>23.0</v>
      </c>
      <c r="B260" s="94" t="s">
        <v>4497</v>
      </c>
      <c r="C260" s="85">
        <v>10.0</v>
      </c>
      <c r="D260" s="86"/>
      <c r="E260" s="86"/>
      <c r="F260" s="85" t="s">
        <v>330</v>
      </c>
      <c r="G260" s="94" t="s">
        <v>4675</v>
      </c>
      <c r="H260" s="85" t="s">
        <v>4663</v>
      </c>
      <c r="I260" s="95">
        <v>0.5416666666666666</v>
      </c>
    </row>
    <row r="261">
      <c r="A261" s="88">
        <v>24.0</v>
      </c>
      <c r="B261" s="96" t="s">
        <v>4679</v>
      </c>
      <c r="C261" s="88">
        <v>12.0</v>
      </c>
      <c r="D261" s="89"/>
      <c r="E261" s="89"/>
      <c r="F261" s="88" t="s">
        <v>330</v>
      </c>
      <c r="G261" s="96" t="s">
        <v>4675</v>
      </c>
      <c r="H261" s="88" t="s">
        <v>4663</v>
      </c>
      <c r="I261" s="97">
        <v>0.5416666666666666</v>
      </c>
    </row>
    <row r="262">
      <c r="A262" s="85">
        <v>25.0</v>
      </c>
      <c r="B262" s="94" t="s">
        <v>4342</v>
      </c>
      <c r="C262" s="85">
        <v>19.0</v>
      </c>
      <c r="D262" s="86"/>
      <c r="E262" s="86"/>
      <c r="F262" s="86"/>
      <c r="G262" s="94" t="s">
        <v>4680</v>
      </c>
      <c r="H262" s="85" t="s">
        <v>4663</v>
      </c>
      <c r="I262" s="95">
        <v>0.5416666666666666</v>
      </c>
    </row>
    <row r="263">
      <c r="A263" s="88">
        <v>26.0</v>
      </c>
      <c r="B263" s="96" t="s">
        <v>4681</v>
      </c>
      <c r="C263" s="88">
        <v>62.0</v>
      </c>
      <c r="D263" s="89"/>
      <c r="E263" s="89"/>
      <c r="F263" s="89"/>
      <c r="G263" s="96" t="s">
        <v>4680</v>
      </c>
      <c r="H263" s="88" t="s">
        <v>4663</v>
      </c>
      <c r="I263" s="97">
        <v>0.5416666666666666</v>
      </c>
    </row>
    <row r="264">
      <c r="A264" s="85">
        <v>27.0</v>
      </c>
      <c r="B264" s="94" t="s">
        <v>4337</v>
      </c>
      <c r="C264" s="85">
        <v>46.0</v>
      </c>
      <c r="D264" s="86"/>
      <c r="E264" s="86"/>
      <c r="F264" s="86"/>
      <c r="G264" s="94" t="s">
        <v>4680</v>
      </c>
      <c r="H264" s="85" t="s">
        <v>4663</v>
      </c>
      <c r="I264" s="95">
        <v>0.5416666666666666</v>
      </c>
    </row>
    <row r="265">
      <c r="A265" s="88">
        <v>28.0</v>
      </c>
      <c r="B265" s="96" t="s">
        <v>4682</v>
      </c>
      <c r="C265" s="88">
        <v>46.0</v>
      </c>
      <c r="D265" s="89"/>
      <c r="E265" s="89"/>
      <c r="F265" s="89"/>
      <c r="G265" s="96" t="s">
        <v>4680</v>
      </c>
      <c r="H265" s="88" t="s">
        <v>4663</v>
      </c>
      <c r="I265" s="97">
        <v>0.5416666666666666</v>
      </c>
    </row>
    <row r="266">
      <c r="A266" s="85">
        <v>29.0</v>
      </c>
      <c r="B266" s="94" t="s">
        <v>4309</v>
      </c>
      <c r="C266" s="85">
        <v>13.0</v>
      </c>
      <c r="D266" s="86"/>
      <c r="E266" s="86"/>
      <c r="F266" s="86"/>
      <c r="G266" s="94" t="s">
        <v>4680</v>
      </c>
      <c r="H266" s="85" t="s">
        <v>4663</v>
      </c>
      <c r="I266" s="95">
        <v>0.5416666666666666</v>
      </c>
    </row>
    <row r="267">
      <c r="A267" s="88">
        <v>30.0</v>
      </c>
      <c r="B267" s="96" t="s">
        <v>4683</v>
      </c>
      <c r="C267" s="88">
        <v>16.0</v>
      </c>
      <c r="D267" s="89"/>
      <c r="E267" s="89"/>
      <c r="F267" s="89"/>
      <c r="G267" s="96" t="s">
        <v>4684</v>
      </c>
      <c r="H267" s="88" t="s">
        <v>4663</v>
      </c>
      <c r="I267" s="98"/>
    </row>
    <row r="268">
      <c r="A268" s="85">
        <v>31.0</v>
      </c>
      <c r="B268" s="94" t="s">
        <v>4685</v>
      </c>
      <c r="C268" s="85">
        <v>27.0</v>
      </c>
      <c r="D268" s="86"/>
      <c r="E268" s="86"/>
      <c r="F268" s="86"/>
      <c r="G268" s="94" t="s">
        <v>4684</v>
      </c>
      <c r="H268" s="85" t="s">
        <v>4663</v>
      </c>
      <c r="I268" s="99"/>
    </row>
    <row r="269">
      <c r="A269" s="88">
        <v>32.0</v>
      </c>
      <c r="B269" s="96" t="s">
        <v>4686</v>
      </c>
      <c r="C269" s="88">
        <v>53.0</v>
      </c>
      <c r="D269" s="89"/>
      <c r="E269" s="89"/>
      <c r="F269" s="89"/>
      <c r="G269" s="96" t="s">
        <v>4687</v>
      </c>
      <c r="H269" s="88" t="s">
        <v>4663</v>
      </c>
      <c r="I269" s="97">
        <v>0.5416666666666666</v>
      </c>
    </row>
    <row r="270">
      <c r="A270" s="85">
        <v>33.0</v>
      </c>
      <c r="B270" s="94" t="s">
        <v>4149</v>
      </c>
      <c r="C270" s="85">
        <v>42.0</v>
      </c>
      <c r="D270" s="86"/>
      <c r="E270" s="86"/>
      <c r="F270" s="86"/>
      <c r="G270" s="94" t="s">
        <v>4687</v>
      </c>
      <c r="H270" s="85" t="s">
        <v>4663</v>
      </c>
      <c r="I270" s="95">
        <v>0.5416666666666666</v>
      </c>
    </row>
    <row r="271">
      <c r="A271" s="88">
        <v>34.0</v>
      </c>
      <c r="B271" s="96" t="s">
        <v>4688</v>
      </c>
      <c r="C271" s="88">
        <v>61.0</v>
      </c>
      <c r="D271" s="89"/>
      <c r="E271" s="89"/>
      <c r="F271" s="89"/>
      <c r="G271" s="96" t="s">
        <v>4687</v>
      </c>
      <c r="H271" s="88" t="s">
        <v>4663</v>
      </c>
      <c r="I271" s="97">
        <v>0.5416666666666666</v>
      </c>
    </row>
    <row r="272">
      <c r="A272" s="85">
        <v>35.0</v>
      </c>
      <c r="B272" s="94" t="s">
        <v>4090</v>
      </c>
      <c r="C272" s="85">
        <v>25.0</v>
      </c>
      <c r="D272" s="86"/>
      <c r="E272" s="86"/>
      <c r="F272" s="86"/>
      <c r="G272" s="94" t="s">
        <v>4687</v>
      </c>
      <c r="H272" s="85" t="s">
        <v>4663</v>
      </c>
      <c r="I272" s="95">
        <v>0.5416666666666666</v>
      </c>
    </row>
    <row r="273">
      <c r="A273" s="88">
        <v>36.0</v>
      </c>
      <c r="B273" s="96" t="s">
        <v>4689</v>
      </c>
      <c r="C273" s="88">
        <v>26.0</v>
      </c>
      <c r="D273" s="89"/>
      <c r="E273" s="89"/>
      <c r="F273" s="89"/>
      <c r="G273" s="96" t="s">
        <v>4687</v>
      </c>
      <c r="H273" s="88" t="s">
        <v>4663</v>
      </c>
      <c r="I273" s="97">
        <v>0.5416666666666666</v>
      </c>
    </row>
    <row r="274">
      <c r="A274" s="85">
        <v>37.0</v>
      </c>
      <c r="B274" s="94" t="s">
        <v>4690</v>
      </c>
      <c r="C274" s="85">
        <v>56.0</v>
      </c>
      <c r="D274" s="86"/>
      <c r="E274" s="86"/>
      <c r="F274" s="86"/>
      <c r="G274" s="94" t="s">
        <v>4687</v>
      </c>
      <c r="H274" s="85" t="s">
        <v>4663</v>
      </c>
      <c r="I274" s="95">
        <v>0.5416666666666666</v>
      </c>
    </row>
    <row r="275">
      <c r="A275" s="88">
        <v>38.0</v>
      </c>
      <c r="B275" s="96" t="s">
        <v>4691</v>
      </c>
      <c r="C275" s="88">
        <v>54.0</v>
      </c>
      <c r="D275" s="89"/>
      <c r="E275" s="89"/>
      <c r="F275" s="89"/>
      <c r="G275" s="96" t="s">
        <v>4687</v>
      </c>
      <c r="H275" s="88" t="s">
        <v>4663</v>
      </c>
      <c r="I275" s="97">
        <v>0.5416666666666666</v>
      </c>
    </row>
    <row r="276">
      <c r="A276" s="85">
        <v>39.0</v>
      </c>
      <c r="B276" s="94" t="s">
        <v>4692</v>
      </c>
      <c r="C276" s="85">
        <v>62.0</v>
      </c>
      <c r="D276" s="86"/>
      <c r="E276" s="86"/>
      <c r="F276" s="86"/>
      <c r="G276" s="94" t="s">
        <v>4687</v>
      </c>
      <c r="H276" s="85" t="s">
        <v>4663</v>
      </c>
      <c r="I276" s="95">
        <v>0.5416666666666666</v>
      </c>
    </row>
    <row r="277">
      <c r="A277" s="88">
        <v>40.0</v>
      </c>
      <c r="B277" s="96" t="s">
        <v>4093</v>
      </c>
      <c r="C277" s="88">
        <v>65.0</v>
      </c>
      <c r="D277" s="89"/>
      <c r="E277" s="89"/>
      <c r="F277" s="89"/>
      <c r="G277" s="96" t="s">
        <v>4687</v>
      </c>
      <c r="H277" s="88" t="s">
        <v>4663</v>
      </c>
      <c r="I277" s="97">
        <v>0.5416666666666666</v>
      </c>
    </row>
    <row r="278">
      <c r="A278" s="85">
        <v>41.0</v>
      </c>
      <c r="B278" s="94" t="s">
        <v>4693</v>
      </c>
      <c r="C278" s="85">
        <v>48.0</v>
      </c>
      <c r="D278" s="86"/>
      <c r="E278" s="86"/>
      <c r="F278" s="86"/>
      <c r="G278" s="94" t="s">
        <v>4694</v>
      </c>
      <c r="H278" s="85" t="s">
        <v>4663</v>
      </c>
      <c r="I278" s="99"/>
    </row>
    <row r="279">
      <c r="A279" s="88">
        <v>42.0</v>
      </c>
      <c r="B279" s="96" t="s">
        <v>4695</v>
      </c>
      <c r="C279" s="88">
        <v>23.0</v>
      </c>
      <c r="D279" s="89"/>
      <c r="E279" s="89"/>
      <c r="F279" s="89"/>
      <c r="G279" s="96" t="s">
        <v>4694</v>
      </c>
      <c r="H279" s="88" t="s">
        <v>4663</v>
      </c>
      <c r="I279" s="98"/>
    </row>
    <row r="280">
      <c r="A280" s="85">
        <v>43.0</v>
      </c>
      <c r="B280" s="94" t="s">
        <v>4696</v>
      </c>
      <c r="C280" s="85">
        <v>51.0</v>
      </c>
      <c r="D280" s="86"/>
      <c r="E280" s="86"/>
      <c r="F280" s="86"/>
      <c r="G280" s="94" t="s">
        <v>4694</v>
      </c>
      <c r="H280" s="85" t="s">
        <v>4663</v>
      </c>
      <c r="I280" s="99"/>
    </row>
    <row r="281">
      <c r="A281" s="88">
        <v>44.0</v>
      </c>
      <c r="B281" s="96" t="s">
        <v>4697</v>
      </c>
      <c r="C281" s="88">
        <v>18.0</v>
      </c>
      <c r="D281" s="89"/>
      <c r="E281" s="89"/>
      <c r="F281" s="89"/>
      <c r="G281" s="96" t="s">
        <v>4694</v>
      </c>
      <c r="H281" s="88" t="s">
        <v>4663</v>
      </c>
      <c r="I281" s="98"/>
    </row>
    <row r="282">
      <c r="A282" s="85">
        <v>45.0</v>
      </c>
      <c r="B282" s="94" t="s">
        <v>4698</v>
      </c>
      <c r="C282" s="85">
        <v>28.0</v>
      </c>
      <c r="D282" s="86"/>
      <c r="E282" s="86"/>
      <c r="F282" s="86"/>
      <c r="G282" s="94" t="s">
        <v>4694</v>
      </c>
      <c r="H282" s="85" t="s">
        <v>4663</v>
      </c>
      <c r="I282" s="99"/>
    </row>
    <row r="283">
      <c r="A283" s="88">
        <v>46.0</v>
      </c>
      <c r="B283" s="96" t="s">
        <v>4699</v>
      </c>
      <c r="C283" s="88">
        <v>62.0</v>
      </c>
      <c r="D283" s="89"/>
      <c r="E283" s="89"/>
      <c r="F283" s="89"/>
      <c r="G283" s="96" t="s">
        <v>4700</v>
      </c>
      <c r="H283" s="88" t="s">
        <v>4663</v>
      </c>
      <c r="I283" s="98"/>
    </row>
    <row r="284">
      <c r="A284" s="85">
        <v>47.0</v>
      </c>
      <c r="B284" s="94" t="s">
        <v>4701</v>
      </c>
      <c r="C284" s="85">
        <v>26.0</v>
      </c>
      <c r="D284" s="86"/>
      <c r="E284" s="86"/>
      <c r="F284" s="86"/>
      <c r="G284" s="94" t="s">
        <v>4694</v>
      </c>
      <c r="H284" s="85" t="s">
        <v>4663</v>
      </c>
      <c r="I284" s="99"/>
    </row>
    <row r="285">
      <c r="A285" s="88">
        <v>48.0</v>
      </c>
      <c r="B285" s="96" t="s">
        <v>4702</v>
      </c>
      <c r="C285" s="88">
        <v>54.0</v>
      </c>
      <c r="D285" s="89"/>
      <c r="E285" s="89"/>
      <c r="F285" s="89"/>
      <c r="G285" s="96" t="s">
        <v>4694</v>
      </c>
      <c r="H285" s="88" t="s">
        <v>4663</v>
      </c>
      <c r="I285" s="98"/>
    </row>
    <row r="286">
      <c r="A286" s="85">
        <v>49.0</v>
      </c>
      <c r="B286" s="94" t="s">
        <v>4703</v>
      </c>
      <c r="C286" s="85">
        <v>22.0</v>
      </c>
      <c r="D286" s="86"/>
      <c r="E286" s="86"/>
      <c r="F286" s="86"/>
      <c r="G286" s="94" t="s">
        <v>4694</v>
      </c>
      <c r="H286" s="85" t="s">
        <v>4663</v>
      </c>
      <c r="I286" s="99"/>
    </row>
    <row r="287">
      <c r="A287" s="88">
        <v>50.0</v>
      </c>
      <c r="B287" s="96" t="s">
        <v>4704</v>
      </c>
      <c r="C287" s="88">
        <v>55.0</v>
      </c>
      <c r="D287" s="89"/>
      <c r="E287" s="89"/>
      <c r="F287" s="89"/>
      <c r="G287" s="96" t="s">
        <v>4694</v>
      </c>
      <c r="H287" s="88" t="s">
        <v>4663</v>
      </c>
      <c r="I287" s="98"/>
    </row>
    <row r="288">
      <c r="A288" s="85">
        <v>51.0</v>
      </c>
      <c r="B288" s="94" t="s">
        <v>4705</v>
      </c>
      <c r="C288" s="85">
        <v>13.0</v>
      </c>
      <c r="D288" s="86"/>
      <c r="E288" s="86"/>
      <c r="F288" s="86"/>
      <c r="G288" s="94" t="s">
        <v>4694</v>
      </c>
      <c r="H288" s="85" t="s">
        <v>4663</v>
      </c>
      <c r="I288" s="99"/>
    </row>
    <row r="289">
      <c r="A289" s="88">
        <v>52.0</v>
      </c>
      <c r="B289" s="96" t="s">
        <v>4706</v>
      </c>
      <c r="C289" s="88">
        <v>44.0</v>
      </c>
      <c r="D289" s="89"/>
      <c r="E289" s="89"/>
      <c r="F289" s="89"/>
      <c r="G289" s="96" t="s">
        <v>4694</v>
      </c>
      <c r="H289" s="88" t="s">
        <v>4663</v>
      </c>
      <c r="I289" s="98"/>
    </row>
    <row r="290">
      <c r="A290" s="85">
        <v>53.0</v>
      </c>
      <c r="B290" s="94" t="s">
        <v>4707</v>
      </c>
      <c r="C290" s="85">
        <v>35.0</v>
      </c>
      <c r="D290" s="86"/>
      <c r="E290" s="86"/>
      <c r="F290" s="86"/>
      <c r="G290" s="94" t="s">
        <v>4708</v>
      </c>
      <c r="H290" s="85" t="s">
        <v>4663</v>
      </c>
      <c r="I290" s="99"/>
    </row>
    <row r="291">
      <c r="A291" s="88">
        <v>54.0</v>
      </c>
      <c r="B291" s="96" t="s">
        <v>4709</v>
      </c>
      <c r="C291" s="88">
        <v>88.0</v>
      </c>
      <c r="D291" s="89"/>
      <c r="E291" s="89"/>
      <c r="F291" s="89"/>
      <c r="G291" s="96" t="s">
        <v>4710</v>
      </c>
      <c r="H291" s="88" t="s">
        <v>4663</v>
      </c>
      <c r="I291" s="98"/>
    </row>
    <row r="292">
      <c r="A292" s="85">
        <v>55.0</v>
      </c>
      <c r="B292" s="94" t="s">
        <v>4711</v>
      </c>
      <c r="C292" s="85">
        <v>32.0</v>
      </c>
      <c r="D292" s="86"/>
      <c r="E292" s="86"/>
      <c r="F292" s="86"/>
      <c r="G292" s="94" t="s">
        <v>4710</v>
      </c>
      <c r="H292" s="85" t="s">
        <v>4663</v>
      </c>
      <c r="I292" s="99"/>
    </row>
    <row r="293">
      <c r="A293" s="88">
        <v>56.0</v>
      </c>
      <c r="B293" s="96" t="s">
        <v>4712</v>
      </c>
      <c r="C293" s="88">
        <v>23.0</v>
      </c>
      <c r="D293" s="89"/>
      <c r="E293" s="89"/>
      <c r="F293" s="89"/>
      <c r="G293" s="96" t="s">
        <v>4710</v>
      </c>
      <c r="H293" s="88" t="s">
        <v>4663</v>
      </c>
      <c r="I293" s="98"/>
    </row>
    <row r="294">
      <c r="A294" s="85">
        <v>57.0</v>
      </c>
      <c r="B294" s="94" t="s">
        <v>4713</v>
      </c>
      <c r="C294" s="85">
        <v>41.0</v>
      </c>
      <c r="D294" s="86"/>
      <c r="E294" s="86"/>
      <c r="F294" s="86"/>
      <c r="G294" s="94" t="s">
        <v>4710</v>
      </c>
      <c r="H294" s="85" t="s">
        <v>4663</v>
      </c>
      <c r="I294" s="99"/>
    </row>
    <row r="295">
      <c r="A295" s="88">
        <v>58.0</v>
      </c>
      <c r="B295" s="96" t="s">
        <v>4714</v>
      </c>
      <c r="C295" s="88">
        <v>54.0</v>
      </c>
      <c r="D295" s="89"/>
      <c r="E295" s="89"/>
      <c r="F295" s="89"/>
      <c r="G295" s="96" t="s">
        <v>4710</v>
      </c>
      <c r="H295" s="88" t="s">
        <v>4663</v>
      </c>
      <c r="I295" s="98"/>
    </row>
    <row r="296">
      <c r="A296" s="85">
        <v>59.0</v>
      </c>
      <c r="B296" s="94" t="s">
        <v>4715</v>
      </c>
      <c r="C296" s="85">
        <v>71.0</v>
      </c>
      <c r="D296" s="86"/>
      <c r="E296" s="86"/>
      <c r="F296" s="86"/>
      <c r="G296" s="94" t="s">
        <v>4710</v>
      </c>
      <c r="H296" s="85" t="s">
        <v>4663</v>
      </c>
      <c r="I296" s="99"/>
    </row>
    <row r="297">
      <c r="A297" s="88">
        <v>60.0</v>
      </c>
      <c r="B297" s="96" t="s">
        <v>4428</v>
      </c>
      <c r="C297" s="88">
        <v>54.0</v>
      </c>
      <c r="D297" s="89"/>
      <c r="E297" s="89"/>
      <c r="F297" s="88" t="s">
        <v>330</v>
      </c>
      <c r="G297" s="96" t="s">
        <v>4716</v>
      </c>
      <c r="H297" s="88" t="s">
        <v>4663</v>
      </c>
      <c r="I297" s="98"/>
    </row>
    <row r="298">
      <c r="A298" s="85">
        <v>61.0</v>
      </c>
      <c r="B298" s="94" t="s">
        <v>4717</v>
      </c>
      <c r="C298" s="85">
        <v>37.0</v>
      </c>
      <c r="D298" s="86"/>
      <c r="E298" s="86"/>
      <c r="F298" s="86"/>
      <c r="G298" s="94" t="s">
        <v>4718</v>
      </c>
      <c r="H298" s="85" t="s">
        <v>4663</v>
      </c>
      <c r="I298" s="99"/>
    </row>
    <row r="299">
      <c r="A299" s="88">
        <v>62.0</v>
      </c>
      <c r="B299" s="96" t="s">
        <v>4719</v>
      </c>
      <c r="C299" s="89"/>
      <c r="D299" s="89"/>
      <c r="E299" s="89"/>
      <c r="F299" s="89"/>
      <c r="G299" s="96" t="s">
        <v>4720</v>
      </c>
      <c r="H299" s="88" t="s">
        <v>4663</v>
      </c>
      <c r="I299" s="98"/>
    </row>
    <row r="300">
      <c r="A300" s="85">
        <v>63.0</v>
      </c>
      <c r="B300" s="94" t="s">
        <v>4721</v>
      </c>
      <c r="C300" s="85">
        <v>28.0</v>
      </c>
      <c r="D300" s="86"/>
      <c r="E300" s="86"/>
      <c r="F300" s="86"/>
      <c r="G300" s="94" t="s">
        <v>4722</v>
      </c>
      <c r="H300" s="85" t="s">
        <v>4663</v>
      </c>
      <c r="I300" s="95">
        <v>0.5416666666666666</v>
      </c>
    </row>
    <row r="301">
      <c r="A301" s="88">
        <v>64.0</v>
      </c>
      <c r="B301" s="96" t="s">
        <v>4723</v>
      </c>
      <c r="C301" s="88">
        <v>48.0</v>
      </c>
      <c r="D301" s="89"/>
      <c r="E301" s="89"/>
      <c r="F301" s="89"/>
      <c r="G301" s="96" t="s">
        <v>4724</v>
      </c>
      <c r="H301" s="88" t="s">
        <v>4663</v>
      </c>
      <c r="I301" s="97">
        <v>0.5416666666666666</v>
      </c>
    </row>
    <row r="302">
      <c r="A302" s="85">
        <v>65.0</v>
      </c>
      <c r="B302" s="94" t="s">
        <v>4072</v>
      </c>
      <c r="C302" s="85">
        <v>55.0</v>
      </c>
      <c r="D302" s="86"/>
      <c r="E302" s="86"/>
      <c r="F302" s="86"/>
      <c r="G302" s="94" t="s">
        <v>4722</v>
      </c>
      <c r="H302" s="85" t="s">
        <v>4663</v>
      </c>
      <c r="I302" s="95">
        <v>0.5416666666666666</v>
      </c>
    </row>
    <row r="303">
      <c r="A303" s="88">
        <v>66.0</v>
      </c>
      <c r="B303" s="96" t="s">
        <v>4725</v>
      </c>
      <c r="C303" s="88">
        <v>73.0</v>
      </c>
      <c r="D303" s="89"/>
      <c r="E303" s="89"/>
      <c r="F303" s="89"/>
      <c r="G303" s="96" t="s">
        <v>4726</v>
      </c>
      <c r="H303" s="88" t="s">
        <v>4663</v>
      </c>
      <c r="I303" s="97">
        <v>0.5416666666666666</v>
      </c>
    </row>
    <row r="304">
      <c r="A304" s="85">
        <v>67.0</v>
      </c>
      <c r="B304" s="94" t="s">
        <v>4727</v>
      </c>
      <c r="C304" s="85">
        <v>21.0</v>
      </c>
      <c r="D304" s="86"/>
      <c r="E304" s="86"/>
      <c r="F304" s="86"/>
      <c r="G304" s="94" t="s">
        <v>4722</v>
      </c>
      <c r="H304" s="85" t="s">
        <v>4663</v>
      </c>
      <c r="I304" s="95">
        <v>0.5416666666666666</v>
      </c>
    </row>
    <row r="305">
      <c r="A305" s="88">
        <v>68.0</v>
      </c>
      <c r="B305" s="96" t="s">
        <v>4728</v>
      </c>
      <c r="C305" s="88">
        <v>19.0</v>
      </c>
      <c r="D305" s="89"/>
      <c r="E305" s="89"/>
      <c r="F305" s="89"/>
      <c r="G305" s="96" t="s">
        <v>4722</v>
      </c>
      <c r="H305" s="88" t="s">
        <v>4663</v>
      </c>
      <c r="I305" s="97">
        <v>0.5416666666666666</v>
      </c>
    </row>
    <row r="306">
      <c r="A306" s="85">
        <v>69.0</v>
      </c>
      <c r="B306" s="94" t="s">
        <v>4729</v>
      </c>
      <c r="C306" s="85">
        <v>30.0</v>
      </c>
      <c r="D306" s="86"/>
      <c r="E306" s="86"/>
      <c r="F306" s="86"/>
      <c r="G306" s="94" t="s">
        <v>4730</v>
      </c>
      <c r="H306" s="85" t="s">
        <v>4663</v>
      </c>
      <c r="I306" s="95">
        <v>0.5416666666666666</v>
      </c>
    </row>
    <row r="307">
      <c r="A307" s="88">
        <v>70.0</v>
      </c>
      <c r="B307" s="96" t="s">
        <v>4731</v>
      </c>
      <c r="C307" s="88">
        <v>55.0</v>
      </c>
      <c r="D307" s="89"/>
      <c r="E307" s="89"/>
      <c r="F307" s="89"/>
      <c r="G307" s="96" t="s">
        <v>4722</v>
      </c>
      <c r="H307" s="88" t="s">
        <v>4663</v>
      </c>
      <c r="I307" s="97">
        <v>0.5416666666666666</v>
      </c>
    </row>
    <row r="308">
      <c r="A308" s="85">
        <v>71.0</v>
      </c>
      <c r="B308" s="94" t="s">
        <v>4732</v>
      </c>
      <c r="C308" s="85">
        <v>33.0</v>
      </c>
      <c r="D308" s="86"/>
      <c r="E308" s="86"/>
      <c r="F308" s="86"/>
      <c r="G308" s="94" t="s">
        <v>4733</v>
      </c>
      <c r="H308" s="85" t="s">
        <v>4663</v>
      </c>
      <c r="I308" s="95">
        <v>0.5416666666666666</v>
      </c>
    </row>
    <row r="309">
      <c r="A309" s="88">
        <v>72.0</v>
      </c>
      <c r="B309" s="96" t="s">
        <v>4734</v>
      </c>
      <c r="C309" s="88">
        <v>62.0</v>
      </c>
      <c r="D309" s="89"/>
      <c r="E309" s="89"/>
      <c r="F309" s="89"/>
      <c r="G309" s="96" t="s">
        <v>4735</v>
      </c>
      <c r="H309" s="88" t="s">
        <v>4663</v>
      </c>
      <c r="I309" s="97">
        <v>0.5416666666666666</v>
      </c>
    </row>
    <row r="310">
      <c r="A310" s="85">
        <v>73.0</v>
      </c>
      <c r="B310" s="94" t="s">
        <v>4736</v>
      </c>
      <c r="C310" s="85">
        <v>17.0</v>
      </c>
      <c r="D310" s="86"/>
      <c r="E310" s="86"/>
      <c r="F310" s="86"/>
      <c r="G310" s="94" t="s">
        <v>4722</v>
      </c>
      <c r="H310" s="85" t="s">
        <v>4663</v>
      </c>
      <c r="I310" s="95">
        <v>0.5416666666666666</v>
      </c>
    </row>
    <row r="311">
      <c r="A311" s="88">
        <v>74.0</v>
      </c>
      <c r="B311" s="96" t="s">
        <v>4737</v>
      </c>
      <c r="C311" s="88">
        <v>20.0</v>
      </c>
      <c r="D311" s="89"/>
      <c r="E311" s="89"/>
      <c r="F311" s="89"/>
      <c r="G311" s="96" t="s">
        <v>4722</v>
      </c>
      <c r="H311" s="88" t="s">
        <v>4663</v>
      </c>
      <c r="I311" s="97">
        <v>0.5416666666666666</v>
      </c>
    </row>
    <row r="312">
      <c r="A312" s="85">
        <v>75.0</v>
      </c>
      <c r="B312" s="94" t="s">
        <v>4738</v>
      </c>
      <c r="C312" s="85">
        <v>18.0</v>
      </c>
      <c r="D312" s="86"/>
      <c r="E312" s="86"/>
      <c r="F312" s="86"/>
      <c r="G312" s="94" t="s">
        <v>4739</v>
      </c>
      <c r="H312" s="85" t="s">
        <v>4663</v>
      </c>
      <c r="I312" s="95">
        <v>0.8541666666666666</v>
      </c>
    </row>
    <row r="313">
      <c r="A313" s="88">
        <v>76.0</v>
      </c>
      <c r="B313" s="96" t="s">
        <v>4740</v>
      </c>
      <c r="C313" s="88">
        <v>14.0</v>
      </c>
      <c r="D313" s="89"/>
      <c r="E313" s="89"/>
      <c r="F313" s="89"/>
      <c r="G313" s="96" t="s">
        <v>4739</v>
      </c>
      <c r="H313" s="88" t="s">
        <v>4663</v>
      </c>
      <c r="I313" s="97">
        <v>0.8541666666666666</v>
      </c>
    </row>
    <row r="314">
      <c r="A314" s="85">
        <v>77.0</v>
      </c>
      <c r="B314" s="94" t="s">
        <v>4741</v>
      </c>
      <c r="C314" s="86"/>
      <c r="D314" s="86"/>
      <c r="E314" s="86"/>
      <c r="F314" s="86"/>
      <c r="G314" s="94" t="s">
        <v>4742</v>
      </c>
      <c r="H314" s="85" t="s">
        <v>4663</v>
      </c>
      <c r="I314" s="95">
        <v>0.8541666666666666</v>
      </c>
    </row>
    <row r="315">
      <c r="A315" s="88">
        <v>78.0</v>
      </c>
      <c r="B315" s="96" t="s">
        <v>4743</v>
      </c>
      <c r="C315" s="89"/>
      <c r="D315" s="89"/>
      <c r="E315" s="89"/>
      <c r="F315" s="89"/>
      <c r="G315" s="96" t="s">
        <v>4742</v>
      </c>
      <c r="H315" s="88" t="s">
        <v>4663</v>
      </c>
      <c r="I315" s="97">
        <v>0.8541666666666666</v>
      </c>
    </row>
    <row r="316">
      <c r="A316" s="85">
        <v>79.0</v>
      </c>
      <c r="B316" s="94" t="s">
        <v>4389</v>
      </c>
      <c r="C316" s="86"/>
      <c r="D316" s="86"/>
      <c r="E316" s="86"/>
      <c r="F316" s="86"/>
      <c r="G316" s="94" t="s">
        <v>4742</v>
      </c>
      <c r="H316" s="85" t="s">
        <v>4663</v>
      </c>
      <c r="I316" s="95">
        <v>0.8541666666666666</v>
      </c>
    </row>
    <row r="317">
      <c r="A317" s="88">
        <v>80.0</v>
      </c>
      <c r="B317" s="96" t="s">
        <v>4744</v>
      </c>
      <c r="C317" s="89"/>
      <c r="D317" s="89"/>
      <c r="E317" s="89"/>
      <c r="F317" s="89"/>
      <c r="G317" s="96" t="s">
        <v>4742</v>
      </c>
      <c r="H317" s="88" t="s">
        <v>4663</v>
      </c>
      <c r="I317" s="97">
        <v>0.8541666666666666</v>
      </c>
    </row>
    <row r="318">
      <c r="A318" s="85">
        <v>81.0</v>
      </c>
      <c r="B318" s="94" t="s">
        <v>4745</v>
      </c>
      <c r="C318" s="86"/>
      <c r="D318" s="86"/>
      <c r="E318" s="86"/>
      <c r="F318" s="86"/>
      <c r="G318" s="94" t="s">
        <v>4746</v>
      </c>
      <c r="H318" s="85" t="s">
        <v>4663</v>
      </c>
      <c r="I318" s="95">
        <v>0.8541666666666666</v>
      </c>
    </row>
    <row r="319">
      <c r="A319" s="88">
        <v>82.0</v>
      </c>
      <c r="B319" s="96" t="s">
        <v>4747</v>
      </c>
      <c r="C319" s="89"/>
      <c r="D319" s="89"/>
      <c r="E319" s="89"/>
      <c r="F319" s="89"/>
      <c r="G319" s="96" t="s">
        <v>4748</v>
      </c>
      <c r="H319" s="88" t="s">
        <v>4663</v>
      </c>
      <c r="I319" s="97">
        <v>0.8541666666666666</v>
      </c>
    </row>
    <row r="320">
      <c r="A320" s="85">
        <v>83.0</v>
      </c>
      <c r="B320" s="94" t="s">
        <v>4749</v>
      </c>
      <c r="C320" s="86"/>
      <c r="D320" s="86"/>
      <c r="E320" s="86"/>
      <c r="F320" s="86"/>
      <c r="G320" s="94" t="s">
        <v>4742</v>
      </c>
      <c r="H320" s="85" t="s">
        <v>4663</v>
      </c>
      <c r="I320" s="95">
        <v>0.8541666666666666</v>
      </c>
    </row>
    <row r="321">
      <c r="A321" s="88">
        <v>84.0</v>
      </c>
      <c r="B321" s="96" t="s">
        <v>4750</v>
      </c>
      <c r="C321" s="89"/>
      <c r="D321" s="89"/>
      <c r="E321" s="89"/>
      <c r="F321" s="89"/>
      <c r="G321" s="96" t="s">
        <v>4751</v>
      </c>
      <c r="H321" s="88" t="s">
        <v>4663</v>
      </c>
      <c r="I321" s="97">
        <v>0.8541666666666666</v>
      </c>
    </row>
    <row r="322">
      <c r="A322" s="85">
        <v>85.0</v>
      </c>
      <c r="B322" s="94" t="s">
        <v>4752</v>
      </c>
      <c r="C322" s="86"/>
      <c r="D322" s="86"/>
      <c r="E322" s="86"/>
      <c r="F322" s="86"/>
      <c r="G322" s="94" t="s">
        <v>4753</v>
      </c>
      <c r="H322" s="85" t="s">
        <v>4663</v>
      </c>
      <c r="I322" s="95">
        <v>0.8541666666666666</v>
      </c>
    </row>
    <row r="323">
      <c r="A323" s="88">
        <v>86.0</v>
      </c>
      <c r="B323" s="96" t="s">
        <v>4504</v>
      </c>
      <c r="C323" s="89"/>
      <c r="D323" s="89"/>
      <c r="E323" s="89"/>
      <c r="F323" s="89"/>
      <c r="G323" s="96" t="s">
        <v>4754</v>
      </c>
      <c r="H323" s="88" t="s">
        <v>4663</v>
      </c>
      <c r="I323" s="98"/>
    </row>
    <row r="324">
      <c r="A324" s="85">
        <v>87.0</v>
      </c>
      <c r="B324" s="94" t="s">
        <v>4400</v>
      </c>
      <c r="C324" s="86"/>
      <c r="D324" s="86"/>
      <c r="E324" s="86"/>
      <c r="F324" s="86"/>
      <c r="G324" s="94" t="s">
        <v>4755</v>
      </c>
      <c r="H324" s="85" t="s">
        <v>4663</v>
      </c>
      <c r="I324" s="99"/>
    </row>
    <row r="325">
      <c r="A325" s="88">
        <v>88.0</v>
      </c>
      <c r="B325" s="96" t="s">
        <v>4369</v>
      </c>
      <c r="C325" s="89"/>
      <c r="D325" s="89"/>
      <c r="E325" s="89"/>
      <c r="F325" s="89"/>
      <c r="G325" s="96" t="s">
        <v>4756</v>
      </c>
      <c r="H325" s="88" t="s">
        <v>4663</v>
      </c>
      <c r="I325" s="98"/>
    </row>
    <row r="326">
      <c r="A326" s="85">
        <v>89.0</v>
      </c>
      <c r="B326" s="94" t="s">
        <v>4385</v>
      </c>
      <c r="C326" s="86"/>
      <c r="D326" s="86"/>
      <c r="E326" s="86"/>
      <c r="F326" s="86"/>
      <c r="G326" s="94" t="s">
        <v>4757</v>
      </c>
      <c r="H326" s="85" t="s">
        <v>4663</v>
      </c>
      <c r="I326" s="99"/>
    </row>
    <row r="327">
      <c r="A327" s="88">
        <v>90.0</v>
      </c>
      <c r="B327" s="96" t="s">
        <v>4758</v>
      </c>
      <c r="C327" s="89"/>
      <c r="D327" s="89"/>
      <c r="E327" s="89"/>
      <c r="F327" s="89"/>
      <c r="G327" s="96" t="s">
        <v>4759</v>
      </c>
      <c r="H327" s="88" t="s">
        <v>4663</v>
      </c>
      <c r="I327" s="98"/>
    </row>
    <row r="328">
      <c r="A328" s="85">
        <v>91.0</v>
      </c>
      <c r="B328" s="94" t="s">
        <v>4387</v>
      </c>
      <c r="C328" s="86"/>
      <c r="D328" s="86"/>
      <c r="E328" s="86"/>
      <c r="F328" s="86"/>
      <c r="G328" s="94" t="s">
        <v>4759</v>
      </c>
      <c r="H328" s="85" t="s">
        <v>4663</v>
      </c>
      <c r="I328" s="99"/>
    </row>
    <row r="329">
      <c r="A329" s="88">
        <v>92.0</v>
      </c>
      <c r="B329" s="96" t="s">
        <v>4760</v>
      </c>
      <c r="C329" s="89"/>
      <c r="D329" s="89"/>
      <c r="E329" s="89"/>
      <c r="F329" s="89"/>
      <c r="G329" s="96" t="s">
        <v>4756</v>
      </c>
      <c r="H329" s="88" t="s">
        <v>4663</v>
      </c>
      <c r="I329" s="98"/>
    </row>
    <row r="330">
      <c r="A330" s="85">
        <v>93.0</v>
      </c>
      <c r="B330" s="94" t="s">
        <v>4761</v>
      </c>
      <c r="C330" s="86"/>
      <c r="D330" s="86"/>
      <c r="E330" s="86"/>
      <c r="F330" s="86"/>
      <c r="G330" s="94" t="s">
        <v>4756</v>
      </c>
      <c r="H330" s="85" t="s">
        <v>4663</v>
      </c>
      <c r="I330" s="99"/>
    </row>
    <row r="331">
      <c r="A331" s="88">
        <v>94.0</v>
      </c>
      <c r="B331" s="96" t="s">
        <v>4762</v>
      </c>
      <c r="C331" s="89"/>
      <c r="D331" s="89"/>
      <c r="E331" s="89"/>
      <c r="F331" s="89"/>
      <c r="G331" s="96" t="s">
        <v>4763</v>
      </c>
      <c r="H331" s="88" t="s">
        <v>4663</v>
      </c>
      <c r="I331" s="98"/>
    </row>
    <row r="332">
      <c r="A332" s="85">
        <v>95.0</v>
      </c>
      <c r="B332" s="94" t="s">
        <v>4764</v>
      </c>
      <c r="C332" s="85">
        <v>28.0</v>
      </c>
      <c r="D332" s="86"/>
      <c r="E332" s="86"/>
      <c r="F332" s="86"/>
      <c r="G332" s="94" t="s">
        <v>4765</v>
      </c>
      <c r="H332" s="85" t="s">
        <v>4663</v>
      </c>
      <c r="I332" s="99"/>
    </row>
    <row r="333">
      <c r="A333" s="88">
        <v>96.0</v>
      </c>
      <c r="B333" s="96" t="s">
        <v>4766</v>
      </c>
      <c r="C333" s="88">
        <v>55.0</v>
      </c>
      <c r="D333" s="89"/>
      <c r="E333" s="89"/>
      <c r="F333" s="89"/>
      <c r="G333" s="96" t="s">
        <v>4767</v>
      </c>
      <c r="H333" s="88" t="s">
        <v>4663</v>
      </c>
      <c r="I333" s="98"/>
    </row>
    <row r="334">
      <c r="A334" s="85">
        <v>97.0</v>
      </c>
      <c r="B334" s="94" t="s">
        <v>4768</v>
      </c>
      <c r="C334" s="85">
        <v>21.0</v>
      </c>
      <c r="D334" s="86"/>
      <c r="E334" s="86"/>
      <c r="F334" s="86"/>
      <c r="G334" s="94" t="s">
        <v>4769</v>
      </c>
      <c r="H334" s="85" t="s">
        <v>4663</v>
      </c>
      <c r="I334" s="99"/>
    </row>
    <row r="335">
      <c r="A335" s="88">
        <v>98.0</v>
      </c>
      <c r="B335" s="96" t="s">
        <v>4770</v>
      </c>
      <c r="C335" s="88">
        <v>14.0</v>
      </c>
      <c r="D335" s="89"/>
      <c r="E335" s="89"/>
      <c r="F335" s="89"/>
      <c r="G335" s="96" t="s">
        <v>4771</v>
      </c>
      <c r="H335" s="88" t="s">
        <v>4663</v>
      </c>
      <c r="I335" s="98"/>
    </row>
    <row r="336">
      <c r="A336" s="85">
        <v>99.0</v>
      </c>
      <c r="B336" s="94" t="s">
        <v>4772</v>
      </c>
      <c r="C336" s="86"/>
      <c r="D336" s="86"/>
      <c r="E336" s="86"/>
      <c r="F336" s="86"/>
      <c r="G336" s="94" t="s">
        <v>4773</v>
      </c>
      <c r="H336" s="85" t="s">
        <v>4663</v>
      </c>
      <c r="I336" s="99"/>
    </row>
    <row r="337">
      <c r="A337" s="88">
        <v>100.0</v>
      </c>
      <c r="B337" s="96" t="s">
        <v>4327</v>
      </c>
      <c r="C337" s="89"/>
      <c r="D337" s="89"/>
      <c r="E337" s="89"/>
      <c r="F337" s="89"/>
      <c r="G337" s="96" t="s">
        <v>4773</v>
      </c>
      <c r="H337" s="88" t="s">
        <v>4663</v>
      </c>
      <c r="I337" s="98"/>
    </row>
    <row r="338">
      <c r="A338" s="85">
        <v>101.0</v>
      </c>
      <c r="B338" s="94" t="s">
        <v>4774</v>
      </c>
      <c r="C338" s="86"/>
      <c r="D338" s="86"/>
      <c r="E338" s="86"/>
      <c r="F338" s="86"/>
      <c r="G338" s="94" t="s">
        <v>4773</v>
      </c>
      <c r="H338" s="85" t="s">
        <v>4663</v>
      </c>
      <c r="I338" s="99"/>
    </row>
    <row r="339">
      <c r="A339" s="88">
        <v>102.0</v>
      </c>
      <c r="B339" s="96" t="s">
        <v>4133</v>
      </c>
      <c r="C339" s="89"/>
      <c r="D339" s="89"/>
      <c r="E339" s="89"/>
      <c r="F339" s="89"/>
      <c r="G339" s="96" t="s">
        <v>4773</v>
      </c>
      <c r="H339" s="88" t="s">
        <v>4663</v>
      </c>
      <c r="I339" s="98"/>
    </row>
    <row r="340">
      <c r="A340" s="85">
        <v>103.0</v>
      </c>
      <c r="B340" s="94" t="s">
        <v>4775</v>
      </c>
      <c r="C340" s="86"/>
      <c r="D340" s="86"/>
      <c r="E340" s="86"/>
      <c r="F340" s="86"/>
      <c r="G340" s="94" t="s">
        <v>4773</v>
      </c>
      <c r="H340" s="85" t="s">
        <v>4663</v>
      </c>
      <c r="I340" s="99"/>
    </row>
    <row r="341">
      <c r="A341" s="88">
        <v>104.0</v>
      </c>
      <c r="B341" s="96" t="s">
        <v>4283</v>
      </c>
      <c r="C341" s="89"/>
      <c r="D341" s="89"/>
      <c r="E341" s="89"/>
      <c r="F341" s="89"/>
      <c r="G341" s="96" t="s">
        <v>4773</v>
      </c>
      <c r="H341" s="88" t="s">
        <v>4663</v>
      </c>
      <c r="I341" s="98"/>
    </row>
    <row r="342">
      <c r="A342" s="85">
        <v>105.0</v>
      </c>
      <c r="B342" s="94" t="s">
        <v>4776</v>
      </c>
      <c r="C342" s="86"/>
      <c r="D342" s="86"/>
      <c r="E342" s="86"/>
      <c r="F342" s="86"/>
      <c r="G342" s="94" t="s">
        <v>4773</v>
      </c>
      <c r="H342" s="85" t="s">
        <v>4663</v>
      </c>
      <c r="I342" s="99"/>
    </row>
    <row r="343">
      <c r="A343" s="88">
        <v>106.0</v>
      </c>
      <c r="B343" s="96" t="s">
        <v>4777</v>
      </c>
      <c r="C343" s="89"/>
      <c r="D343" s="89"/>
      <c r="E343" s="89"/>
      <c r="F343" s="89"/>
      <c r="G343" s="96" t="s">
        <v>4773</v>
      </c>
      <c r="H343" s="88" t="s">
        <v>4663</v>
      </c>
      <c r="I343" s="98"/>
    </row>
    <row r="344">
      <c r="A344" s="85">
        <v>107.0</v>
      </c>
      <c r="B344" s="94" t="s">
        <v>4264</v>
      </c>
      <c r="C344" s="86"/>
      <c r="D344" s="86"/>
      <c r="E344" s="86"/>
      <c r="F344" s="86"/>
      <c r="G344" s="94" t="s">
        <v>4773</v>
      </c>
      <c r="H344" s="85" t="s">
        <v>4663</v>
      </c>
      <c r="I344" s="99"/>
    </row>
    <row r="345">
      <c r="A345" s="88">
        <v>108.0</v>
      </c>
      <c r="B345" s="96" t="s">
        <v>4316</v>
      </c>
      <c r="C345" s="89"/>
      <c r="D345" s="89"/>
      <c r="E345" s="89"/>
      <c r="F345" s="89"/>
      <c r="G345" s="96" t="s">
        <v>4773</v>
      </c>
      <c r="H345" s="88" t="s">
        <v>4663</v>
      </c>
      <c r="I345" s="98"/>
    </row>
    <row r="346">
      <c r="A346" s="85">
        <v>109.0</v>
      </c>
      <c r="B346" s="94" t="s">
        <v>4057</v>
      </c>
      <c r="C346" s="86"/>
      <c r="D346" s="86"/>
      <c r="E346" s="86"/>
      <c r="F346" s="86"/>
      <c r="G346" s="94" t="s">
        <v>4773</v>
      </c>
      <c r="H346" s="85" t="s">
        <v>4663</v>
      </c>
      <c r="I346" s="99"/>
    </row>
    <row r="347">
      <c r="A347" s="88">
        <v>110.0</v>
      </c>
      <c r="B347" s="96" t="s">
        <v>4255</v>
      </c>
      <c r="C347" s="89"/>
      <c r="D347" s="89"/>
      <c r="E347" s="89"/>
      <c r="F347" s="89"/>
      <c r="G347" s="96" t="s">
        <v>4773</v>
      </c>
      <c r="H347" s="88" t="s">
        <v>4663</v>
      </c>
      <c r="I347" s="98"/>
    </row>
    <row r="348">
      <c r="A348" s="85">
        <v>111.0</v>
      </c>
      <c r="B348" s="94" t="s">
        <v>4778</v>
      </c>
      <c r="C348" s="86"/>
      <c r="D348" s="86"/>
      <c r="E348" s="86"/>
      <c r="F348" s="86"/>
      <c r="G348" s="94" t="s">
        <v>4773</v>
      </c>
      <c r="H348" s="85" t="s">
        <v>4663</v>
      </c>
      <c r="I348" s="99"/>
    </row>
    <row r="349">
      <c r="A349" s="88">
        <v>112.0</v>
      </c>
      <c r="B349" s="96" t="s">
        <v>4779</v>
      </c>
      <c r="C349" s="89"/>
      <c r="D349" s="89"/>
      <c r="E349" s="89"/>
      <c r="F349" s="89"/>
      <c r="G349" s="96" t="s">
        <v>4773</v>
      </c>
      <c r="H349" s="88" t="s">
        <v>4663</v>
      </c>
      <c r="I349" s="98"/>
    </row>
    <row r="350">
      <c r="A350" s="85">
        <v>113.0</v>
      </c>
      <c r="B350" s="94" t="s">
        <v>4348</v>
      </c>
      <c r="C350" s="86"/>
      <c r="D350" s="86"/>
      <c r="E350" s="86"/>
      <c r="F350" s="86"/>
      <c r="G350" s="94" t="s">
        <v>4773</v>
      </c>
      <c r="H350" s="85" t="s">
        <v>4663</v>
      </c>
      <c r="I350" s="99"/>
    </row>
    <row r="351">
      <c r="A351" s="88">
        <v>114.0</v>
      </c>
      <c r="B351" s="96" t="s">
        <v>4780</v>
      </c>
      <c r="C351" s="89"/>
      <c r="D351" s="89"/>
      <c r="E351" s="89"/>
      <c r="F351" s="89"/>
      <c r="G351" s="96" t="s">
        <v>4781</v>
      </c>
      <c r="H351" s="88" t="s">
        <v>4663</v>
      </c>
      <c r="I351" s="98"/>
    </row>
    <row r="352">
      <c r="A352" s="85">
        <v>115.0</v>
      </c>
      <c r="B352" s="94" t="s">
        <v>4246</v>
      </c>
      <c r="C352" s="86"/>
      <c r="D352" s="86"/>
      <c r="E352" s="86"/>
      <c r="F352" s="86"/>
      <c r="G352" s="94" t="s">
        <v>4773</v>
      </c>
      <c r="H352" s="85" t="s">
        <v>4663</v>
      </c>
      <c r="I352" s="99"/>
    </row>
    <row r="353">
      <c r="A353" s="88">
        <v>116.0</v>
      </c>
      <c r="B353" s="96" t="s">
        <v>4782</v>
      </c>
      <c r="C353" s="88">
        <v>32.0</v>
      </c>
      <c r="D353" s="89"/>
      <c r="E353" s="89"/>
      <c r="F353" s="89"/>
      <c r="G353" s="96" t="s">
        <v>835</v>
      </c>
      <c r="H353" s="88" t="s">
        <v>4663</v>
      </c>
      <c r="I353" s="98"/>
    </row>
    <row r="354">
      <c r="A354" s="85">
        <v>117.0</v>
      </c>
      <c r="B354" s="94" t="s">
        <v>4783</v>
      </c>
      <c r="C354" s="85">
        <v>50.0</v>
      </c>
      <c r="D354" s="86"/>
      <c r="E354" s="86"/>
      <c r="F354" s="85" t="s">
        <v>330</v>
      </c>
      <c r="G354" s="94" t="s">
        <v>4784</v>
      </c>
      <c r="H354" s="85" t="s">
        <v>4663</v>
      </c>
      <c r="I354" s="99"/>
    </row>
    <row r="355">
      <c r="A355" s="88">
        <v>118.0</v>
      </c>
      <c r="B355" s="96" t="s">
        <v>4785</v>
      </c>
      <c r="C355" s="89"/>
      <c r="D355" s="89"/>
      <c r="E355" s="89"/>
      <c r="F355" s="89"/>
      <c r="G355" s="96" t="s">
        <v>4786</v>
      </c>
      <c r="H355" s="88" t="s">
        <v>4663</v>
      </c>
      <c r="I355" s="98"/>
    </row>
    <row r="356">
      <c r="A356" s="85">
        <v>119.0</v>
      </c>
      <c r="B356" s="94" t="s">
        <v>4787</v>
      </c>
      <c r="C356" s="85">
        <v>46.0</v>
      </c>
      <c r="D356" s="86"/>
      <c r="E356" s="86"/>
      <c r="F356" s="85" t="s">
        <v>4191</v>
      </c>
      <c r="G356" s="94" t="s">
        <v>4788</v>
      </c>
      <c r="H356" s="85" t="s">
        <v>4663</v>
      </c>
      <c r="I356" s="99"/>
    </row>
    <row r="357">
      <c r="A357" s="88">
        <v>120.0</v>
      </c>
      <c r="B357" s="96" t="s">
        <v>4789</v>
      </c>
      <c r="C357" s="88">
        <v>62.0</v>
      </c>
      <c r="D357" s="89"/>
      <c r="E357" s="89"/>
      <c r="F357" s="88" t="s">
        <v>330</v>
      </c>
      <c r="G357" s="96" t="s">
        <v>4790</v>
      </c>
      <c r="H357" s="88" t="s">
        <v>4663</v>
      </c>
      <c r="I357" s="98"/>
    </row>
    <row r="358">
      <c r="A358" s="85">
        <v>121.0</v>
      </c>
      <c r="B358" s="94" t="s">
        <v>4791</v>
      </c>
      <c r="C358" s="85">
        <v>19.0</v>
      </c>
      <c r="D358" s="86"/>
      <c r="E358" s="86"/>
      <c r="F358" s="85" t="s">
        <v>330</v>
      </c>
      <c r="G358" s="94" t="s">
        <v>4792</v>
      </c>
      <c r="H358" s="85" t="s">
        <v>4663</v>
      </c>
      <c r="I358" s="99"/>
    </row>
    <row r="359">
      <c r="A359" s="88">
        <v>122.0</v>
      </c>
      <c r="B359" s="96" t="s">
        <v>4793</v>
      </c>
      <c r="C359" s="88">
        <v>46.0</v>
      </c>
      <c r="D359" s="89"/>
      <c r="E359" s="89"/>
      <c r="F359" s="88" t="s">
        <v>330</v>
      </c>
      <c r="G359" s="96" t="s">
        <v>4794</v>
      </c>
      <c r="H359" s="88" t="s">
        <v>4663</v>
      </c>
      <c r="I359" s="98"/>
    </row>
    <row r="360">
      <c r="A360" s="85">
        <v>123.0</v>
      </c>
      <c r="B360" s="94" t="s">
        <v>4795</v>
      </c>
      <c r="C360" s="85">
        <v>54.0</v>
      </c>
      <c r="D360" s="86"/>
      <c r="E360" s="86"/>
      <c r="F360" s="86"/>
      <c r="G360" s="94" t="s">
        <v>4796</v>
      </c>
      <c r="H360" s="85" t="s">
        <v>4663</v>
      </c>
      <c r="I360" s="99"/>
    </row>
    <row r="361">
      <c r="A361" s="88">
        <v>124.0</v>
      </c>
      <c r="B361" s="96" t="s">
        <v>4797</v>
      </c>
      <c r="C361" s="88">
        <v>37.0</v>
      </c>
      <c r="D361" s="89"/>
      <c r="E361" s="89"/>
      <c r="F361" s="89"/>
      <c r="G361" s="96" t="s">
        <v>4798</v>
      </c>
      <c r="H361" s="88" t="s">
        <v>4663</v>
      </c>
      <c r="I361" s="98"/>
    </row>
    <row r="362">
      <c r="A362" s="85">
        <v>125.0</v>
      </c>
      <c r="B362" s="94" t="s">
        <v>4351</v>
      </c>
      <c r="C362" s="85">
        <v>28.0</v>
      </c>
      <c r="D362" s="86"/>
      <c r="E362" s="86"/>
      <c r="F362" s="86"/>
      <c r="G362" s="94" t="s">
        <v>4799</v>
      </c>
      <c r="H362" s="85" t="s">
        <v>4663</v>
      </c>
      <c r="I362" s="99"/>
    </row>
    <row r="363">
      <c r="A363" s="88">
        <v>126.0</v>
      </c>
      <c r="B363" s="96" t="s">
        <v>4304</v>
      </c>
      <c r="C363" s="88">
        <v>12.0</v>
      </c>
      <c r="D363" s="89"/>
      <c r="E363" s="89"/>
      <c r="F363" s="89"/>
      <c r="G363" s="96" t="s">
        <v>4799</v>
      </c>
      <c r="H363" s="88" t="s">
        <v>4663</v>
      </c>
      <c r="I363" s="98"/>
    </row>
    <row r="364">
      <c r="A364" s="85">
        <v>127.0</v>
      </c>
      <c r="B364" s="94" t="s">
        <v>4800</v>
      </c>
      <c r="C364" s="85">
        <v>4.0</v>
      </c>
      <c r="D364" s="86"/>
      <c r="E364" s="86"/>
      <c r="F364" s="86"/>
      <c r="G364" s="94" t="s">
        <v>4799</v>
      </c>
      <c r="H364" s="85" t="s">
        <v>4663</v>
      </c>
      <c r="I364" s="99"/>
    </row>
    <row r="365">
      <c r="A365" s="88">
        <v>128.0</v>
      </c>
      <c r="B365" s="96" t="s">
        <v>4154</v>
      </c>
      <c r="C365" s="88">
        <v>63.0</v>
      </c>
      <c r="D365" s="89"/>
      <c r="E365" s="89"/>
      <c r="F365" s="89"/>
      <c r="G365" s="96" t="s">
        <v>4799</v>
      </c>
      <c r="H365" s="88" t="s">
        <v>4663</v>
      </c>
      <c r="I365" s="98"/>
    </row>
    <row r="366">
      <c r="A366" s="85">
        <v>129.0</v>
      </c>
      <c r="B366" s="94" t="s">
        <v>4048</v>
      </c>
      <c r="C366" s="85">
        <v>25.0</v>
      </c>
      <c r="D366" s="86"/>
      <c r="E366" s="86"/>
      <c r="F366" s="86"/>
      <c r="G366" s="94" t="s">
        <v>4801</v>
      </c>
      <c r="H366" s="85" t="s">
        <v>4663</v>
      </c>
      <c r="I366" s="99"/>
    </row>
    <row r="367">
      <c r="A367" s="88">
        <v>130.0</v>
      </c>
      <c r="B367" s="96" t="s">
        <v>4298</v>
      </c>
      <c r="C367" s="88">
        <v>52.0</v>
      </c>
      <c r="D367" s="89"/>
      <c r="E367" s="89"/>
      <c r="F367" s="89"/>
      <c r="G367" s="96" t="s">
        <v>4799</v>
      </c>
      <c r="H367" s="88" t="s">
        <v>4663</v>
      </c>
      <c r="I367" s="98"/>
    </row>
    <row r="368">
      <c r="A368" s="85">
        <v>131.0</v>
      </c>
      <c r="B368" s="94" t="s">
        <v>4278</v>
      </c>
      <c r="C368" s="85">
        <v>16.0</v>
      </c>
      <c r="D368" s="86"/>
      <c r="E368" s="86"/>
      <c r="F368" s="86"/>
      <c r="G368" s="94" t="s">
        <v>4799</v>
      </c>
      <c r="H368" s="85" t="s">
        <v>4663</v>
      </c>
      <c r="I368" s="99"/>
    </row>
    <row r="369">
      <c r="A369" s="88">
        <v>132.0</v>
      </c>
      <c r="B369" s="96" t="s">
        <v>4802</v>
      </c>
      <c r="C369" s="88">
        <v>42.0</v>
      </c>
      <c r="D369" s="89"/>
      <c r="E369" s="89"/>
      <c r="F369" s="89"/>
      <c r="G369" s="96" t="s">
        <v>4803</v>
      </c>
      <c r="H369" s="88" t="s">
        <v>4663</v>
      </c>
      <c r="I369" s="98"/>
    </row>
    <row r="370">
      <c r="A370" s="85">
        <v>133.0</v>
      </c>
      <c r="B370" s="94" t="s">
        <v>4242</v>
      </c>
      <c r="C370" s="85">
        <v>14.0</v>
      </c>
      <c r="D370" s="86"/>
      <c r="E370" s="86"/>
      <c r="F370" s="86"/>
      <c r="G370" s="94" t="s">
        <v>4804</v>
      </c>
      <c r="H370" s="85" t="s">
        <v>4663</v>
      </c>
      <c r="I370" s="99"/>
    </row>
    <row r="371">
      <c r="A371" s="88">
        <v>134.0</v>
      </c>
      <c r="B371" s="96" t="s">
        <v>4083</v>
      </c>
      <c r="C371" s="88">
        <v>30.0</v>
      </c>
      <c r="D371" s="89"/>
      <c r="E371" s="89"/>
      <c r="F371" s="89"/>
      <c r="G371" s="96" t="s">
        <v>4799</v>
      </c>
      <c r="H371" s="88" t="s">
        <v>4663</v>
      </c>
      <c r="I371" s="98"/>
    </row>
    <row r="372">
      <c r="A372" s="85">
        <v>135.0</v>
      </c>
      <c r="B372" s="94" t="s">
        <v>4805</v>
      </c>
      <c r="C372" s="85">
        <v>42.0</v>
      </c>
      <c r="D372" s="86"/>
      <c r="E372" s="86"/>
      <c r="F372" s="86"/>
      <c r="G372" s="94" t="s">
        <v>4806</v>
      </c>
      <c r="H372" s="85" t="s">
        <v>4663</v>
      </c>
      <c r="I372" s="99"/>
    </row>
    <row r="373">
      <c r="A373" s="88">
        <v>136.0</v>
      </c>
      <c r="B373" s="96" t="s">
        <v>4100</v>
      </c>
      <c r="C373" s="88">
        <v>13.0</v>
      </c>
      <c r="D373" s="89"/>
      <c r="E373" s="89"/>
      <c r="F373" s="89"/>
      <c r="G373" s="96" t="s">
        <v>4799</v>
      </c>
      <c r="H373" s="88" t="s">
        <v>4663</v>
      </c>
      <c r="I373" s="98"/>
    </row>
    <row r="374">
      <c r="A374" s="85">
        <v>137.0</v>
      </c>
      <c r="B374" s="94" t="s">
        <v>4196</v>
      </c>
      <c r="C374" s="85">
        <v>42.0</v>
      </c>
      <c r="D374" s="86"/>
      <c r="E374" s="86"/>
      <c r="F374" s="86"/>
      <c r="G374" s="94" t="s">
        <v>4799</v>
      </c>
      <c r="H374" s="85" t="s">
        <v>4663</v>
      </c>
      <c r="I374" s="99"/>
    </row>
    <row r="375">
      <c r="A375" s="88">
        <v>138.0</v>
      </c>
      <c r="B375" s="96" t="s">
        <v>4807</v>
      </c>
      <c r="C375" s="88">
        <v>10.0</v>
      </c>
      <c r="D375" s="89"/>
      <c r="E375" s="89"/>
      <c r="F375" s="89"/>
      <c r="G375" s="96" t="s">
        <v>4808</v>
      </c>
      <c r="H375" s="88" t="s">
        <v>4663</v>
      </c>
      <c r="I375" s="98"/>
    </row>
    <row r="376">
      <c r="A376" s="85">
        <v>139.0</v>
      </c>
      <c r="B376" s="94" t="s">
        <v>4809</v>
      </c>
      <c r="C376" s="85">
        <v>12.0</v>
      </c>
      <c r="D376" s="86"/>
      <c r="E376" s="86"/>
      <c r="F376" s="86"/>
      <c r="G376" s="94" t="s">
        <v>4799</v>
      </c>
      <c r="H376" s="85" t="s">
        <v>4663</v>
      </c>
      <c r="I376" s="99"/>
    </row>
    <row r="377">
      <c r="A377" s="88">
        <v>140.0</v>
      </c>
      <c r="B377" s="96" t="s">
        <v>4810</v>
      </c>
      <c r="C377" s="88">
        <v>46.0</v>
      </c>
      <c r="D377" s="89"/>
      <c r="E377" s="89"/>
      <c r="F377" s="89"/>
      <c r="G377" s="96" t="s">
        <v>4811</v>
      </c>
      <c r="H377" s="88" t="s">
        <v>4663</v>
      </c>
      <c r="I377" s="98"/>
    </row>
    <row r="378">
      <c r="A378" s="85">
        <v>141.0</v>
      </c>
      <c r="B378" s="94" t="s">
        <v>4812</v>
      </c>
      <c r="C378" s="85">
        <v>15.0</v>
      </c>
      <c r="D378" s="86"/>
      <c r="E378" s="86"/>
      <c r="F378" s="86"/>
      <c r="G378" s="94" t="s">
        <v>4813</v>
      </c>
      <c r="H378" s="85" t="s">
        <v>4663</v>
      </c>
      <c r="I378" s="99"/>
    </row>
    <row r="379">
      <c r="A379" s="88">
        <v>142.0</v>
      </c>
      <c r="B379" s="96" t="s">
        <v>4059</v>
      </c>
      <c r="C379" s="88">
        <v>72.0</v>
      </c>
      <c r="D379" s="89"/>
      <c r="E379" s="89"/>
      <c r="F379" s="89"/>
      <c r="G379" s="96" t="s">
        <v>4799</v>
      </c>
      <c r="H379" s="88" t="s">
        <v>4663</v>
      </c>
      <c r="I379" s="98"/>
    </row>
    <row r="380">
      <c r="A380" s="85">
        <v>143.0</v>
      </c>
      <c r="B380" s="94" t="s">
        <v>4302</v>
      </c>
      <c r="C380" s="85">
        <v>50.0</v>
      </c>
      <c r="D380" s="86"/>
      <c r="E380" s="86"/>
      <c r="F380" s="86"/>
      <c r="G380" s="94" t="s">
        <v>4799</v>
      </c>
      <c r="H380" s="85" t="s">
        <v>4663</v>
      </c>
      <c r="I380" s="99"/>
    </row>
    <row r="381">
      <c r="A381" s="88">
        <v>144.0</v>
      </c>
      <c r="B381" s="96" t="s">
        <v>4814</v>
      </c>
      <c r="C381" s="88">
        <v>22.0</v>
      </c>
      <c r="D381" s="89"/>
      <c r="E381" s="89"/>
      <c r="F381" s="89"/>
      <c r="G381" s="96" t="s">
        <v>4799</v>
      </c>
      <c r="H381" s="88" t="s">
        <v>4663</v>
      </c>
      <c r="I381" s="98"/>
    </row>
    <row r="382">
      <c r="A382" s="85">
        <v>145.0</v>
      </c>
      <c r="B382" s="94" t="s">
        <v>4155</v>
      </c>
      <c r="C382" s="85">
        <v>39.0</v>
      </c>
      <c r="D382" s="86"/>
      <c r="E382" s="86"/>
      <c r="F382" s="86"/>
      <c r="G382" s="94" t="s">
        <v>4799</v>
      </c>
      <c r="H382" s="85" t="s">
        <v>4663</v>
      </c>
      <c r="I382" s="99"/>
    </row>
    <row r="383">
      <c r="A383" s="88">
        <v>146.0</v>
      </c>
      <c r="B383" s="96" t="s">
        <v>4099</v>
      </c>
      <c r="C383" s="88">
        <v>26.0</v>
      </c>
      <c r="D383" s="89"/>
      <c r="E383" s="89"/>
      <c r="F383" s="89"/>
      <c r="G383" s="96" t="s">
        <v>4799</v>
      </c>
      <c r="H383" s="88" t="s">
        <v>4663</v>
      </c>
      <c r="I383" s="98"/>
    </row>
    <row r="384">
      <c r="A384" s="85">
        <v>147.0</v>
      </c>
      <c r="B384" s="94" t="s">
        <v>4122</v>
      </c>
      <c r="C384" s="85">
        <v>55.0</v>
      </c>
      <c r="D384" s="86"/>
      <c r="E384" s="86"/>
      <c r="F384" s="86"/>
      <c r="G384" s="94" t="s">
        <v>4799</v>
      </c>
      <c r="H384" s="85" t="s">
        <v>4663</v>
      </c>
      <c r="I384" s="99"/>
    </row>
    <row r="385">
      <c r="A385" s="88">
        <v>148.0</v>
      </c>
      <c r="B385" s="96" t="s">
        <v>4317</v>
      </c>
      <c r="C385" s="88">
        <v>67.0</v>
      </c>
      <c r="D385" s="89"/>
      <c r="E385" s="89"/>
      <c r="F385" s="89"/>
      <c r="G385" s="96" t="s">
        <v>4799</v>
      </c>
      <c r="H385" s="88" t="s">
        <v>4663</v>
      </c>
      <c r="I385" s="98"/>
    </row>
    <row r="386">
      <c r="A386" s="85">
        <v>149.0</v>
      </c>
      <c r="B386" s="94" t="s">
        <v>4303</v>
      </c>
      <c r="C386" s="86"/>
      <c r="D386" s="86"/>
      <c r="E386" s="86"/>
      <c r="F386" s="86"/>
      <c r="G386" s="94" t="s">
        <v>4815</v>
      </c>
      <c r="H386" s="85" t="s">
        <v>4663</v>
      </c>
      <c r="I386" s="99"/>
    </row>
    <row r="387">
      <c r="A387" s="88">
        <v>150.0</v>
      </c>
      <c r="B387" s="96" t="s">
        <v>4816</v>
      </c>
      <c r="C387" s="88">
        <v>30.0</v>
      </c>
      <c r="D387" s="89"/>
      <c r="E387" s="89"/>
      <c r="F387" s="89"/>
      <c r="G387" s="96" t="s">
        <v>4817</v>
      </c>
      <c r="H387" s="88" t="s">
        <v>4663</v>
      </c>
      <c r="I387" s="98"/>
    </row>
    <row r="388">
      <c r="A388" s="85">
        <v>151.0</v>
      </c>
      <c r="B388" s="94" t="s">
        <v>4818</v>
      </c>
      <c r="C388" s="85">
        <v>57.0</v>
      </c>
      <c r="D388" s="86"/>
      <c r="E388" s="86"/>
      <c r="F388" s="86"/>
      <c r="G388" s="94" t="s">
        <v>4799</v>
      </c>
      <c r="H388" s="85" t="s">
        <v>4663</v>
      </c>
      <c r="I388" s="99"/>
    </row>
    <row r="389">
      <c r="A389" s="88">
        <v>152.0</v>
      </c>
      <c r="B389" s="96" t="s">
        <v>4238</v>
      </c>
      <c r="C389" s="88">
        <v>72.0</v>
      </c>
      <c r="D389" s="89"/>
      <c r="E389" s="89"/>
      <c r="F389" s="89"/>
      <c r="G389" s="96" t="s">
        <v>4799</v>
      </c>
      <c r="H389" s="88" t="s">
        <v>4663</v>
      </c>
      <c r="I389" s="98"/>
    </row>
    <row r="390">
      <c r="A390" s="85">
        <v>153.0</v>
      </c>
      <c r="B390" s="94" t="s">
        <v>4819</v>
      </c>
      <c r="C390" s="85">
        <v>58.0</v>
      </c>
      <c r="D390" s="86"/>
      <c r="E390" s="86"/>
      <c r="F390" s="86"/>
      <c r="G390" s="94" t="s">
        <v>4820</v>
      </c>
      <c r="H390" s="85" t="s">
        <v>4663</v>
      </c>
      <c r="I390" s="99"/>
    </row>
    <row r="391">
      <c r="A391" s="88">
        <v>154.0</v>
      </c>
      <c r="B391" s="96" t="s">
        <v>4821</v>
      </c>
      <c r="C391" s="88">
        <v>9.0</v>
      </c>
      <c r="D391" s="89"/>
      <c r="E391" s="89"/>
      <c r="F391" s="89"/>
      <c r="G391" s="96" t="s">
        <v>4799</v>
      </c>
      <c r="H391" s="88" t="s">
        <v>4663</v>
      </c>
      <c r="I391" s="98"/>
    </row>
    <row r="392">
      <c r="A392" s="85">
        <v>155.0</v>
      </c>
      <c r="B392" s="94" t="s">
        <v>4822</v>
      </c>
      <c r="C392" s="85">
        <v>7.0</v>
      </c>
      <c r="D392" s="86"/>
      <c r="E392" s="86"/>
      <c r="F392" s="86"/>
      <c r="G392" s="94" t="s">
        <v>4823</v>
      </c>
      <c r="H392" s="85" t="s">
        <v>4663</v>
      </c>
      <c r="I392" s="99"/>
    </row>
    <row r="393">
      <c r="A393" s="88">
        <v>156.0</v>
      </c>
      <c r="B393" s="96" t="s">
        <v>4824</v>
      </c>
      <c r="C393" s="88">
        <v>4.0</v>
      </c>
      <c r="D393" s="89"/>
      <c r="E393" s="89"/>
      <c r="F393" s="89"/>
      <c r="G393" s="96" t="s">
        <v>4825</v>
      </c>
      <c r="H393" s="88" t="s">
        <v>4663</v>
      </c>
      <c r="I393" s="98"/>
    </row>
    <row r="394">
      <c r="A394" s="85">
        <v>157.0</v>
      </c>
      <c r="B394" s="94" t="s">
        <v>4265</v>
      </c>
      <c r="C394" s="85">
        <v>68.0</v>
      </c>
      <c r="D394" s="86"/>
      <c r="E394" s="86"/>
      <c r="F394" s="86"/>
      <c r="G394" s="94" t="s">
        <v>4799</v>
      </c>
      <c r="H394" s="85" t="s">
        <v>4663</v>
      </c>
      <c r="I394" s="99"/>
    </row>
    <row r="395">
      <c r="A395" s="88">
        <v>158.0</v>
      </c>
      <c r="B395" s="96" t="s">
        <v>4162</v>
      </c>
      <c r="C395" s="88">
        <v>32.0</v>
      </c>
      <c r="D395" s="89"/>
      <c r="E395" s="89"/>
      <c r="F395" s="89"/>
      <c r="G395" s="96" t="s">
        <v>4799</v>
      </c>
      <c r="H395" s="88" t="s">
        <v>4663</v>
      </c>
      <c r="I395" s="98"/>
    </row>
    <row r="396">
      <c r="A396" s="85">
        <v>159.0</v>
      </c>
      <c r="B396" s="94" t="s">
        <v>4826</v>
      </c>
      <c r="C396" s="85">
        <v>25.0</v>
      </c>
      <c r="D396" s="86"/>
      <c r="E396" s="86"/>
      <c r="F396" s="86"/>
      <c r="G396" s="94" t="s">
        <v>4827</v>
      </c>
      <c r="H396" s="85" t="s">
        <v>4663</v>
      </c>
      <c r="I396" s="99"/>
    </row>
    <row r="397">
      <c r="A397" s="88">
        <v>160.0</v>
      </c>
      <c r="B397" s="96" t="s">
        <v>4213</v>
      </c>
      <c r="C397" s="88">
        <v>10.0</v>
      </c>
      <c r="D397" s="89"/>
      <c r="E397" s="89"/>
      <c r="F397" s="89"/>
      <c r="G397" s="96" t="s">
        <v>4799</v>
      </c>
      <c r="H397" s="88" t="s">
        <v>4663</v>
      </c>
      <c r="I397" s="98"/>
    </row>
    <row r="398">
      <c r="A398" s="85">
        <v>161.0</v>
      </c>
      <c r="B398" s="94" t="s">
        <v>4828</v>
      </c>
      <c r="C398" s="85">
        <v>7.0</v>
      </c>
      <c r="D398" s="86"/>
      <c r="E398" s="86"/>
      <c r="F398" s="86"/>
      <c r="G398" s="94" t="s">
        <v>4829</v>
      </c>
      <c r="H398" s="85" t="s">
        <v>4663</v>
      </c>
      <c r="I398" s="99"/>
    </row>
    <row r="399">
      <c r="A399" s="88">
        <v>162.0</v>
      </c>
      <c r="B399" s="96" t="s">
        <v>4077</v>
      </c>
      <c r="C399" s="88">
        <v>38.0</v>
      </c>
      <c r="D399" s="89"/>
      <c r="E399" s="89"/>
      <c r="F399" s="89"/>
      <c r="G399" s="96" t="s">
        <v>4799</v>
      </c>
      <c r="H399" s="88" t="s">
        <v>4663</v>
      </c>
      <c r="I399" s="98"/>
    </row>
    <row r="400">
      <c r="A400" s="85">
        <v>163.0</v>
      </c>
      <c r="B400" s="94" t="s">
        <v>4830</v>
      </c>
      <c r="C400" s="85">
        <v>73.0</v>
      </c>
      <c r="D400" s="86"/>
      <c r="E400" s="86"/>
      <c r="F400" s="86"/>
      <c r="G400" s="94" t="s">
        <v>4831</v>
      </c>
      <c r="H400" s="85" t="s">
        <v>4663</v>
      </c>
      <c r="I400" s="99"/>
    </row>
    <row r="401">
      <c r="A401" s="88">
        <v>164.0</v>
      </c>
      <c r="B401" s="96" t="s">
        <v>4284</v>
      </c>
      <c r="C401" s="88">
        <v>37.0</v>
      </c>
      <c r="D401" s="89"/>
      <c r="E401" s="89"/>
      <c r="F401" s="89"/>
      <c r="G401" s="96" t="s">
        <v>4799</v>
      </c>
      <c r="H401" s="88" t="s">
        <v>4663</v>
      </c>
      <c r="I401" s="98"/>
    </row>
    <row r="402">
      <c r="A402" s="85">
        <v>165.0</v>
      </c>
      <c r="B402" s="94" t="s">
        <v>4494</v>
      </c>
      <c r="C402" s="85">
        <v>10.0</v>
      </c>
      <c r="D402" s="86"/>
      <c r="E402" s="86"/>
      <c r="F402" s="86"/>
      <c r="G402" s="94" t="s">
        <v>4799</v>
      </c>
      <c r="H402" s="85" t="s">
        <v>4663</v>
      </c>
      <c r="I402" s="99"/>
    </row>
    <row r="403">
      <c r="A403" s="88">
        <v>166.0</v>
      </c>
      <c r="B403" s="96" t="s">
        <v>4040</v>
      </c>
      <c r="C403" s="88">
        <v>13.0</v>
      </c>
      <c r="D403" s="89"/>
      <c r="E403" s="89"/>
      <c r="F403" s="89"/>
      <c r="G403" s="96" t="s">
        <v>4799</v>
      </c>
      <c r="H403" s="88" t="s">
        <v>4663</v>
      </c>
      <c r="I403" s="98"/>
    </row>
    <row r="404">
      <c r="A404" s="85">
        <v>167.0</v>
      </c>
      <c r="B404" s="94" t="s">
        <v>4832</v>
      </c>
      <c r="C404" s="85">
        <v>77.0</v>
      </c>
      <c r="D404" s="86"/>
      <c r="E404" s="86"/>
      <c r="F404" s="86"/>
      <c r="G404" s="94" t="s">
        <v>4799</v>
      </c>
      <c r="H404" s="85" t="s">
        <v>4663</v>
      </c>
      <c r="I404" s="99"/>
    </row>
    <row r="405">
      <c r="A405" s="88">
        <v>168.0</v>
      </c>
      <c r="B405" s="96" t="s">
        <v>4262</v>
      </c>
      <c r="C405" s="88">
        <v>15.0</v>
      </c>
      <c r="D405" s="89"/>
      <c r="E405" s="89"/>
      <c r="F405" s="89"/>
      <c r="G405" s="96" t="s">
        <v>4799</v>
      </c>
      <c r="H405" s="88" t="s">
        <v>4663</v>
      </c>
      <c r="I405" s="98"/>
    </row>
    <row r="406">
      <c r="A406" s="85">
        <v>169.0</v>
      </c>
      <c r="B406" s="94" t="s">
        <v>4833</v>
      </c>
      <c r="C406" s="85">
        <v>23.0</v>
      </c>
      <c r="D406" s="86"/>
      <c r="E406" s="86"/>
      <c r="F406" s="86"/>
      <c r="G406" s="94" t="s">
        <v>4799</v>
      </c>
      <c r="H406" s="85" t="s">
        <v>4663</v>
      </c>
      <c r="I406" s="99"/>
    </row>
    <row r="407">
      <c r="A407" s="88">
        <v>170.0</v>
      </c>
      <c r="B407" s="96" t="s">
        <v>4178</v>
      </c>
      <c r="C407" s="88">
        <v>74.0</v>
      </c>
      <c r="D407" s="89"/>
      <c r="E407" s="89"/>
      <c r="F407" s="89"/>
      <c r="G407" s="96" t="s">
        <v>4799</v>
      </c>
      <c r="H407" s="88" t="s">
        <v>4663</v>
      </c>
      <c r="I407" s="98"/>
    </row>
    <row r="408">
      <c r="A408" s="85">
        <v>171.0</v>
      </c>
      <c r="B408" s="94" t="s">
        <v>4332</v>
      </c>
      <c r="C408" s="85">
        <v>68.0</v>
      </c>
      <c r="D408" s="86"/>
      <c r="E408" s="86"/>
      <c r="F408" s="86"/>
      <c r="G408" s="94" t="s">
        <v>4799</v>
      </c>
      <c r="H408" s="85" t="s">
        <v>4663</v>
      </c>
      <c r="I408" s="99"/>
    </row>
    <row r="409">
      <c r="A409" s="88">
        <v>172.0</v>
      </c>
      <c r="B409" s="96" t="s">
        <v>4834</v>
      </c>
      <c r="C409" s="88">
        <v>34.0</v>
      </c>
      <c r="D409" s="89"/>
      <c r="E409" s="89"/>
      <c r="F409" s="89"/>
      <c r="G409" s="96" t="s">
        <v>4799</v>
      </c>
      <c r="H409" s="88" t="s">
        <v>4663</v>
      </c>
      <c r="I409" s="98"/>
    </row>
    <row r="410">
      <c r="A410" s="85">
        <v>173.0</v>
      </c>
      <c r="B410" s="94" t="s">
        <v>4354</v>
      </c>
      <c r="C410" s="85">
        <v>23.0</v>
      </c>
      <c r="D410" s="86"/>
      <c r="E410" s="86"/>
      <c r="F410" s="86"/>
      <c r="G410" s="94" t="s">
        <v>4799</v>
      </c>
      <c r="H410" s="85" t="s">
        <v>4663</v>
      </c>
      <c r="I410" s="99"/>
    </row>
    <row r="411">
      <c r="A411" s="88">
        <v>174.0</v>
      </c>
      <c r="B411" s="96" t="s">
        <v>4132</v>
      </c>
      <c r="C411" s="88">
        <v>52.0</v>
      </c>
      <c r="D411" s="89"/>
      <c r="E411" s="89"/>
      <c r="F411" s="89"/>
      <c r="G411" s="96" t="s">
        <v>4799</v>
      </c>
      <c r="H411" s="88" t="s">
        <v>4663</v>
      </c>
      <c r="I411" s="98"/>
    </row>
    <row r="412">
      <c r="A412" s="85">
        <v>175.0</v>
      </c>
      <c r="B412" s="94" t="s">
        <v>4271</v>
      </c>
      <c r="C412" s="85">
        <v>63.0</v>
      </c>
      <c r="D412" s="86"/>
      <c r="E412" s="86"/>
      <c r="F412" s="86"/>
      <c r="G412" s="94" t="s">
        <v>4799</v>
      </c>
      <c r="H412" s="85" t="s">
        <v>4663</v>
      </c>
      <c r="I412" s="99"/>
    </row>
    <row r="413">
      <c r="A413" s="88">
        <v>176.0</v>
      </c>
      <c r="B413" s="96" t="s">
        <v>4835</v>
      </c>
      <c r="C413" s="88">
        <v>32.0</v>
      </c>
      <c r="D413" s="89"/>
      <c r="E413" s="89"/>
      <c r="F413" s="89"/>
      <c r="G413" s="96" t="s">
        <v>4799</v>
      </c>
      <c r="H413" s="88" t="s">
        <v>4663</v>
      </c>
      <c r="I413" s="98"/>
    </row>
    <row r="414">
      <c r="A414" s="85">
        <v>177.0</v>
      </c>
      <c r="B414" s="94" t="s">
        <v>4025</v>
      </c>
      <c r="C414" s="85">
        <v>36.0</v>
      </c>
      <c r="D414" s="86"/>
      <c r="E414" s="86"/>
      <c r="F414" s="86"/>
      <c r="G414" s="94" t="s">
        <v>4799</v>
      </c>
      <c r="H414" s="85" t="s">
        <v>4663</v>
      </c>
      <c r="I414" s="99"/>
    </row>
    <row r="415">
      <c r="A415" s="88">
        <v>178.0</v>
      </c>
      <c r="B415" s="96" t="s">
        <v>4299</v>
      </c>
      <c r="C415" s="88">
        <v>65.0</v>
      </c>
      <c r="D415" s="89"/>
      <c r="E415" s="89"/>
      <c r="F415" s="89"/>
      <c r="G415" s="96" t="s">
        <v>4799</v>
      </c>
      <c r="H415" s="88" t="s">
        <v>4663</v>
      </c>
      <c r="I415" s="98"/>
    </row>
    <row r="416">
      <c r="A416" s="85">
        <v>179.0</v>
      </c>
      <c r="B416" s="94" t="s">
        <v>4120</v>
      </c>
      <c r="C416" s="85">
        <v>64.0</v>
      </c>
      <c r="D416" s="86"/>
      <c r="E416" s="86"/>
      <c r="F416" s="86"/>
      <c r="G416" s="94" t="s">
        <v>4799</v>
      </c>
      <c r="H416" s="85" t="s">
        <v>4663</v>
      </c>
      <c r="I416" s="99"/>
    </row>
    <row r="417">
      <c r="A417" s="88">
        <v>180.0</v>
      </c>
      <c r="B417" s="96" t="s">
        <v>4836</v>
      </c>
      <c r="C417" s="88">
        <v>20.0</v>
      </c>
      <c r="D417" s="89"/>
      <c r="E417" s="89"/>
      <c r="F417" s="89"/>
      <c r="G417" s="96" t="s">
        <v>4799</v>
      </c>
      <c r="H417" s="88" t="s">
        <v>4663</v>
      </c>
      <c r="I417" s="98"/>
    </row>
    <row r="418">
      <c r="A418" s="85">
        <v>181.0</v>
      </c>
      <c r="B418" s="94" t="s">
        <v>4837</v>
      </c>
      <c r="C418" s="85">
        <v>19.0</v>
      </c>
      <c r="D418" s="86"/>
      <c r="E418" s="86"/>
      <c r="F418" s="86"/>
      <c r="G418" s="94" t="s">
        <v>4838</v>
      </c>
      <c r="H418" s="85" t="s">
        <v>4663</v>
      </c>
      <c r="I418" s="99"/>
    </row>
    <row r="419">
      <c r="A419" s="88">
        <v>182.0</v>
      </c>
      <c r="B419" s="96" t="s">
        <v>4839</v>
      </c>
      <c r="C419" s="88">
        <v>29.0</v>
      </c>
      <c r="D419" s="89"/>
      <c r="E419" s="89"/>
      <c r="F419" s="89"/>
      <c r="G419" s="96" t="s">
        <v>4840</v>
      </c>
      <c r="H419" s="88" t="s">
        <v>4663</v>
      </c>
      <c r="I419" s="98"/>
    </row>
    <row r="420">
      <c r="A420" s="85">
        <v>183.0</v>
      </c>
      <c r="B420" s="94" t="s">
        <v>4295</v>
      </c>
      <c r="C420" s="85">
        <v>60.0</v>
      </c>
      <c r="D420" s="86"/>
      <c r="E420" s="86"/>
      <c r="F420" s="86"/>
      <c r="G420" s="94" t="s">
        <v>4799</v>
      </c>
      <c r="H420" s="85" t="s">
        <v>4663</v>
      </c>
      <c r="I420" s="99"/>
    </row>
    <row r="421">
      <c r="A421" s="88">
        <v>184.0</v>
      </c>
      <c r="B421" s="96" t="s">
        <v>4073</v>
      </c>
      <c r="C421" s="88">
        <v>6.0</v>
      </c>
      <c r="D421" s="89"/>
      <c r="E421" s="89"/>
      <c r="F421" s="89"/>
      <c r="G421" s="96" t="s">
        <v>4799</v>
      </c>
      <c r="H421" s="88" t="s">
        <v>4663</v>
      </c>
      <c r="I421" s="98"/>
    </row>
    <row r="422">
      <c r="A422" s="85">
        <v>185.0</v>
      </c>
      <c r="B422" s="94" t="s">
        <v>4841</v>
      </c>
      <c r="C422" s="85">
        <v>37.0</v>
      </c>
      <c r="D422" s="86"/>
      <c r="E422" s="86"/>
      <c r="F422" s="86"/>
      <c r="G422" s="94" t="s">
        <v>4799</v>
      </c>
      <c r="H422" s="85" t="s">
        <v>4663</v>
      </c>
      <c r="I422" s="99"/>
    </row>
    <row r="423">
      <c r="A423" s="88">
        <v>186.0</v>
      </c>
      <c r="B423" s="96" t="s">
        <v>4042</v>
      </c>
      <c r="C423" s="88">
        <v>10.0</v>
      </c>
      <c r="D423" s="89"/>
      <c r="E423" s="89"/>
      <c r="F423" s="89"/>
      <c r="G423" s="96" t="s">
        <v>4799</v>
      </c>
      <c r="H423" s="88" t="s">
        <v>4663</v>
      </c>
      <c r="I423" s="98"/>
    </row>
    <row r="424">
      <c r="A424" s="85">
        <v>187.0</v>
      </c>
      <c r="B424" s="94" t="s">
        <v>4038</v>
      </c>
      <c r="C424" s="85">
        <v>47.0</v>
      </c>
      <c r="D424" s="86"/>
      <c r="E424" s="86"/>
      <c r="F424" s="86"/>
      <c r="G424" s="94" t="s">
        <v>4799</v>
      </c>
      <c r="H424" s="85" t="s">
        <v>4663</v>
      </c>
      <c r="I424" s="99"/>
    </row>
    <row r="425">
      <c r="A425" s="88">
        <v>188.0</v>
      </c>
      <c r="B425" s="96" t="s">
        <v>4037</v>
      </c>
      <c r="C425" s="88">
        <v>8.0</v>
      </c>
      <c r="D425" s="89"/>
      <c r="E425" s="89"/>
      <c r="F425" s="89"/>
      <c r="G425" s="96" t="s">
        <v>4799</v>
      </c>
      <c r="H425" s="88" t="s">
        <v>4663</v>
      </c>
      <c r="I425" s="98"/>
    </row>
    <row r="426">
      <c r="A426" s="85">
        <v>189.0</v>
      </c>
      <c r="B426" s="94" t="s">
        <v>4842</v>
      </c>
      <c r="C426" s="85">
        <v>19.0</v>
      </c>
      <c r="D426" s="86"/>
      <c r="E426" s="86"/>
      <c r="F426" s="86"/>
      <c r="G426" s="94" t="s">
        <v>4843</v>
      </c>
      <c r="H426" s="85" t="s">
        <v>4663</v>
      </c>
      <c r="I426" s="99"/>
    </row>
    <row r="427">
      <c r="A427" s="88">
        <v>190.0</v>
      </c>
      <c r="B427" s="96" t="s">
        <v>4190</v>
      </c>
      <c r="C427" s="88">
        <v>40.0</v>
      </c>
      <c r="D427" s="89"/>
      <c r="E427" s="89"/>
      <c r="F427" s="89"/>
      <c r="G427" s="96" t="s">
        <v>4844</v>
      </c>
      <c r="H427" s="88" t="s">
        <v>4663</v>
      </c>
      <c r="I427" s="98"/>
    </row>
    <row r="428">
      <c r="A428" s="85">
        <v>191.0</v>
      </c>
      <c r="B428" s="94" t="s">
        <v>4055</v>
      </c>
      <c r="C428" s="85">
        <v>65.0</v>
      </c>
      <c r="D428" s="86"/>
      <c r="E428" s="86"/>
      <c r="F428" s="86"/>
      <c r="G428" s="94" t="s">
        <v>4845</v>
      </c>
      <c r="H428" s="85" t="s">
        <v>4663</v>
      </c>
      <c r="I428" s="99"/>
    </row>
    <row r="429">
      <c r="A429" s="88">
        <v>192.0</v>
      </c>
      <c r="B429" s="96" t="s">
        <v>4062</v>
      </c>
      <c r="C429" s="88">
        <v>37.0</v>
      </c>
      <c r="D429" s="89"/>
      <c r="E429" s="89"/>
      <c r="F429" s="89"/>
      <c r="G429" s="96" t="s">
        <v>4799</v>
      </c>
      <c r="H429" s="88" t="s">
        <v>4663</v>
      </c>
      <c r="I429" s="98"/>
    </row>
    <row r="430">
      <c r="A430" s="85">
        <v>193.0</v>
      </c>
      <c r="B430" s="94" t="s">
        <v>4846</v>
      </c>
      <c r="C430" s="85">
        <v>25.0</v>
      </c>
      <c r="D430" s="86"/>
      <c r="E430" s="86"/>
      <c r="F430" s="86"/>
      <c r="G430" s="94" t="s">
        <v>4847</v>
      </c>
      <c r="H430" s="85" t="s">
        <v>4663</v>
      </c>
      <c r="I430" s="99"/>
    </row>
    <row r="431">
      <c r="A431" s="88">
        <v>194.0</v>
      </c>
      <c r="B431" s="96" t="s">
        <v>4848</v>
      </c>
      <c r="C431" s="88">
        <v>16.0</v>
      </c>
      <c r="D431" s="89"/>
      <c r="E431" s="89"/>
      <c r="F431" s="89"/>
      <c r="G431" s="96" t="s">
        <v>4799</v>
      </c>
      <c r="H431" s="88" t="s">
        <v>4663</v>
      </c>
      <c r="I431" s="98"/>
    </row>
    <row r="432">
      <c r="A432" s="85">
        <v>195.0</v>
      </c>
      <c r="B432" s="94" t="s">
        <v>4849</v>
      </c>
      <c r="C432" s="85">
        <v>55.0</v>
      </c>
      <c r="D432" s="86"/>
      <c r="E432" s="86"/>
      <c r="F432" s="86"/>
      <c r="G432" s="94" t="s">
        <v>4850</v>
      </c>
      <c r="H432" s="85" t="s">
        <v>4663</v>
      </c>
      <c r="I432" s="99"/>
    </row>
    <row r="433">
      <c r="A433" s="88">
        <v>196.0</v>
      </c>
      <c r="B433" s="96" t="s">
        <v>4851</v>
      </c>
      <c r="C433" s="88">
        <v>13.0</v>
      </c>
      <c r="D433" s="89"/>
      <c r="E433" s="89"/>
      <c r="F433" s="89"/>
      <c r="G433" s="96" t="s">
        <v>4852</v>
      </c>
      <c r="H433" s="88" t="s">
        <v>4663</v>
      </c>
      <c r="I433" s="98"/>
    </row>
    <row r="434">
      <c r="A434" s="85">
        <v>197.0</v>
      </c>
      <c r="B434" s="94" t="s">
        <v>4853</v>
      </c>
      <c r="C434" s="85">
        <v>15.0</v>
      </c>
      <c r="D434" s="86"/>
      <c r="E434" s="86"/>
      <c r="F434" s="86"/>
      <c r="G434" s="94" t="s">
        <v>4799</v>
      </c>
      <c r="H434" s="85" t="s">
        <v>4663</v>
      </c>
      <c r="I434" s="99"/>
    </row>
    <row r="435">
      <c r="A435" s="88">
        <v>198.0</v>
      </c>
      <c r="B435" s="96" t="s">
        <v>4854</v>
      </c>
      <c r="C435" s="88">
        <v>13.0</v>
      </c>
      <c r="D435" s="89"/>
      <c r="E435" s="89"/>
      <c r="F435" s="89"/>
      <c r="G435" s="96" t="s">
        <v>4855</v>
      </c>
      <c r="H435" s="88" t="s">
        <v>4663</v>
      </c>
      <c r="I435" s="98"/>
    </row>
    <row r="436">
      <c r="A436" s="85">
        <v>199.0</v>
      </c>
      <c r="B436" s="94" t="s">
        <v>4856</v>
      </c>
      <c r="C436" s="85">
        <v>62.0</v>
      </c>
      <c r="D436" s="86"/>
      <c r="E436" s="86"/>
      <c r="F436" s="86"/>
      <c r="G436" s="94" t="s">
        <v>4799</v>
      </c>
      <c r="H436" s="85" t="s">
        <v>4663</v>
      </c>
      <c r="I436" s="99"/>
    </row>
    <row r="437">
      <c r="A437" s="88">
        <v>200.0</v>
      </c>
      <c r="B437" s="96" t="s">
        <v>4293</v>
      </c>
      <c r="C437" s="88">
        <v>53.0</v>
      </c>
      <c r="D437" s="89"/>
      <c r="E437" s="89"/>
      <c r="F437" s="89"/>
      <c r="G437" s="96" t="s">
        <v>4799</v>
      </c>
      <c r="H437" s="88" t="s">
        <v>4663</v>
      </c>
      <c r="I437" s="98"/>
    </row>
    <row r="438">
      <c r="A438" s="85">
        <v>201.0</v>
      </c>
      <c r="B438" s="94" t="s">
        <v>4280</v>
      </c>
      <c r="C438" s="85">
        <v>40.0</v>
      </c>
      <c r="D438" s="86"/>
      <c r="E438" s="86"/>
      <c r="F438" s="86"/>
      <c r="G438" s="94" t="s">
        <v>4857</v>
      </c>
      <c r="H438" s="85" t="s">
        <v>4663</v>
      </c>
      <c r="I438" s="99"/>
    </row>
    <row r="439">
      <c r="A439" s="88">
        <v>202.0</v>
      </c>
      <c r="B439" s="96" t="s">
        <v>4328</v>
      </c>
      <c r="C439" s="88">
        <v>62.0</v>
      </c>
      <c r="D439" s="89"/>
      <c r="E439" s="89"/>
      <c r="F439" s="89"/>
      <c r="G439" s="96" t="s">
        <v>4858</v>
      </c>
      <c r="H439" s="88" t="s">
        <v>4663</v>
      </c>
      <c r="I439" s="98"/>
    </row>
    <row r="440">
      <c r="A440" s="85">
        <v>203.0</v>
      </c>
      <c r="B440" s="94" t="s">
        <v>4088</v>
      </c>
      <c r="C440" s="85">
        <v>10.0</v>
      </c>
      <c r="D440" s="86"/>
      <c r="E440" s="86"/>
      <c r="F440" s="86"/>
      <c r="G440" s="94" t="s">
        <v>4799</v>
      </c>
      <c r="H440" s="85" t="s">
        <v>4663</v>
      </c>
      <c r="I440" s="99"/>
    </row>
    <row r="441">
      <c r="A441" s="88">
        <v>204.0</v>
      </c>
      <c r="B441" s="96" t="s">
        <v>4074</v>
      </c>
      <c r="C441" s="88">
        <v>53.0</v>
      </c>
      <c r="D441" s="89"/>
      <c r="E441" s="89"/>
      <c r="F441" s="89"/>
      <c r="G441" s="96" t="s">
        <v>4799</v>
      </c>
      <c r="H441" s="88" t="s">
        <v>4663</v>
      </c>
      <c r="I441" s="98"/>
    </row>
    <row r="442">
      <c r="A442" s="85">
        <v>205.0</v>
      </c>
      <c r="B442" s="94" t="s">
        <v>4859</v>
      </c>
      <c r="C442" s="85">
        <v>23.0</v>
      </c>
      <c r="D442" s="86"/>
      <c r="E442" s="86"/>
      <c r="F442" s="86"/>
      <c r="G442" s="94" t="s">
        <v>4799</v>
      </c>
      <c r="H442" s="85" t="s">
        <v>4663</v>
      </c>
      <c r="I442" s="99"/>
    </row>
    <row r="443">
      <c r="A443" s="88">
        <v>206.0</v>
      </c>
      <c r="B443" s="96" t="s">
        <v>4225</v>
      </c>
      <c r="C443" s="88">
        <v>25.0</v>
      </c>
      <c r="D443" s="89"/>
      <c r="E443" s="89"/>
      <c r="F443" s="89"/>
      <c r="G443" s="96" t="s">
        <v>4799</v>
      </c>
      <c r="H443" s="88" t="s">
        <v>4663</v>
      </c>
      <c r="I443" s="98"/>
    </row>
    <row r="444">
      <c r="A444" s="85">
        <v>207.0</v>
      </c>
      <c r="B444" s="94" t="s">
        <v>4860</v>
      </c>
      <c r="C444" s="85">
        <v>59.0</v>
      </c>
      <c r="D444" s="86"/>
      <c r="E444" s="86"/>
      <c r="F444" s="86"/>
      <c r="G444" s="94" t="s">
        <v>4799</v>
      </c>
      <c r="H444" s="85" t="s">
        <v>4663</v>
      </c>
      <c r="I444" s="99"/>
    </row>
    <row r="445">
      <c r="A445" s="88">
        <v>208.0</v>
      </c>
      <c r="B445" s="96" t="s">
        <v>4861</v>
      </c>
      <c r="C445" s="88">
        <v>43.0</v>
      </c>
      <c r="D445" s="89"/>
      <c r="E445" s="89"/>
      <c r="F445" s="89"/>
      <c r="G445" s="96" t="s">
        <v>4862</v>
      </c>
      <c r="H445" s="88" t="s">
        <v>4663</v>
      </c>
      <c r="I445" s="98"/>
    </row>
    <row r="446">
      <c r="A446" s="4"/>
      <c r="B446" s="4"/>
      <c r="C446" s="4"/>
      <c r="D446" s="4"/>
      <c r="E446" s="4"/>
      <c r="F446" s="4"/>
      <c r="G446" s="4"/>
    </row>
    <row r="447">
      <c r="A447" s="4"/>
      <c r="B447" s="4"/>
      <c r="C447" s="4"/>
      <c r="D447" s="4"/>
      <c r="E447" s="4"/>
      <c r="F447" s="4"/>
      <c r="G447" s="4"/>
    </row>
    <row r="448">
      <c r="A448" s="4"/>
      <c r="B448" s="4"/>
      <c r="C448" s="4"/>
      <c r="D448" s="4"/>
      <c r="E448" s="4"/>
      <c r="F448" s="4"/>
      <c r="G448" s="4"/>
    </row>
    <row r="449">
      <c r="A449" s="4"/>
      <c r="B449" s="4"/>
      <c r="C449" s="4"/>
      <c r="D449" s="4"/>
      <c r="E449" s="4"/>
      <c r="F449" s="4"/>
      <c r="G449" s="4"/>
    </row>
    <row r="450">
      <c r="A450" s="4"/>
      <c r="B450" s="4"/>
      <c r="C450" s="4"/>
      <c r="D450" s="4"/>
      <c r="E450" s="4"/>
      <c r="F450" s="4"/>
      <c r="G450" s="4"/>
    </row>
    <row r="451">
      <c r="A451" s="4"/>
      <c r="B451" s="4"/>
      <c r="C451" s="4"/>
      <c r="D451" s="4"/>
      <c r="E451" s="4"/>
      <c r="F451" s="4"/>
      <c r="G451" s="4"/>
    </row>
    <row r="452">
      <c r="A452" s="4"/>
      <c r="B452" s="4"/>
      <c r="C452" s="4"/>
      <c r="D452" s="4"/>
      <c r="E452" s="4"/>
      <c r="F452" s="4"/>
      <c r="G452" s="4"/>
    </row>
    <row r="453">
      <c r="A453" s="4"/>
      <c r="B453" s="4"/>
      <c r="C453" s="4"/>
      <c r="D453" s="4"/>
      <c r="E453" s="4"/>
      <c r="F453" s="4"/>
      <c r="G453" s="4"/>
    </row>
    <row r="454">
      <c r="A454" s="4"/>
      <c r="B454" s="4"/>
      <c r="C454" s="4"/>
      <c r="D454" s="4"/>
      <c r="E454" s="4"/>
      <c r="F454" s="4"/>
      <c r="G454" s="4"/>
    </row>
    <row r="455">
      <c r="A455" s="4"/>
      <c r="B455" s="4"/>
      <c r="C455" s="4"/>
      <c r="D455" s="4"/>
      <c r="E455" s="4"/>
      <c r="F455" s="4"/>
      <c r="G455" s="4"/>
    </row>
    <row r="456">
      <c r="A456" s="4"/>
      <c r="B456" s="4"/>
      <c r="C456" s="4"/>
      <c r="D456" s="4"/>
      <c r="E456" s="4"/>
      <c r="F456" s="4"/>
      <c r="G456" s="4"/>
    </row>
    <row r="457">
      <c r="A457" s="4"/>
      <c r="B457" s="4"/>
      <c r="C457" s="4"/>
      <c r="D457" s="4"/>
      <c r="E457" s="4"/>
      <c r="F457" s="4"/>
      <c r="G457" s="4"/>
    </row>
    <row r="458">
      <c r="A458" s="4"/>
      <c r="B458" s="4"/>
      <c r="C458" s="4"/>
      <c r="D458" s="4"/>
      <c r="E458" s="4"/>
      <c r="F458" s="4"/>
      <c r="G458" s="4"/>
    </row>
    <row r="459">
      <c r="A459" s="4"/>
      <c r="B459" s="4"/>
      <c r="C459" s="4"/>
      <c r="D459" s="4"/>
      <c r="E459" s="4"/>
      <c r="F459" s="4"/>
      <c r="G459" s="4"/>
    </row>
    <row r="460">
      <c r="A460" s="4"/>
      <c r="B460" s="4"/>
      <c r="C460" s="4"/>
      <c r="D460" s="4"/>
      <c r="E460" s="4"/>
      <c r="F460" s="4"/>
      <c r="G460" s="4"/>
    </row>
    <row r="461">
      <c r="A461" s="4"/>
      <c r="B461" s="4"/>
      <c r="C461" s="4"/>
      <c r="D461" s="4"/>
      <c r="E461" s="4"/>
      <c r="F461" s="4"/>
      <c r="G461" s="4"/>
    </row>
    <row r="462">
      <c r="A462" s="4"/>
      <c r="B462" s="4"/>
      <c r="C462" s="4"/>
      <c r="D462" s="4"/>
      <c r="E462" s="4"/>
      <c r="F462" s="4"/>
      <c r="G462" s="4"/>
    </row>
    <row r="463">
      <c r="A463" s="4"/>
      <c r="B463" s="4"/>
      <c r="C463" s="4"/>
      <c r="D463" s="4"/>
      <c r="E463" s="4"/>
      <c r="F463" s="4"/>
      <c r="G463" s="4"/>
    </row>
    <row r="464">
      <c r="A464" s="4"/>
      <c r="B464" s="4"/>
      <c r="C464" s="4"/>
      <c r="D464" s="4"/>
      <c r="E464" s="4"/>
      <c r="F464" s="4"/>
      <c r="G464" s="4"/>
    </row>
    <row r="465">
      <c r="A465" s="4"/>
      <c r="B465" s="4"/>
      <c r="C465" s="4"/>
      <c r="D465" s="4"/>
      <c r="E465" s="4"/>
      <c r="F465" s="4"/>
      <c r="G465" s="4"/>
    </row>
    <row r="466">
      <c r="A466" s="4"/>
      <c r="B466" s="4"/>
      <c r="C466" s="4"/>
      <c r="D466" s="4"/>
      <c r="E466" s="4"/>
      <c r="F466" s="4"/>
      <c r="G466" s="4"/>
    </row>
    <row r="467">
      <c r="A467" s="4"/>
      <c r="B467" s="4"/>
      <c r="C467" s="4"/>
      <c r="D467" s="4"/>
      <c r="E467" s="4"/>
      <c r="F467" s="4"/>
      <c r="G467" s="4"/>
    </row>
    <row r="468">
      <c r="A468" s="4"/>
      <c r="B468" s="4"/>
      <c r="C468" s="4"/>
      <c r="D468" s="4"/>
      <c r="E468" s="4"/>
      <c r="F468" s="4"/>
      <c r="G468" s="4"/>
    </row>
    <row r="469">
      <c r="A469" s="4"/>
      <c r="B469" s="4"/>
      <c r="C469" s="4"/>
      <c r="D469" s="4"/>
      <c r="E469" s="4"/>
      <c r="F469" s="4"/>
      <c r="G469" s="4"/>
    </row>
    <row r="470">
      <c r="A470" s="4"/>
      <c r="B470" s="4"/>
      <c r="C470" s="4"/>
      <c r="D470" s="4"/>
      <c r="E470" s="4"/>
      <c r="F470" s="4"/>
      <c r="G470" s="4"/>
    </row>
    <row r="471">
      <c r="A471" s="4"/>
      <c r="B471" s="4"/>
      <c r="C471" s="4"/>
      <c r="D471" s="4"/>
      <c r="E471" s="4"/>
      <c r="F471" s="4"/>
      <c r="G471" s="4"/>
    </row>
    <row r="472">
      <c r="A472" s="4"/>
      <c r="B472" s="4"/>
      <c r="C472" s="4"/>
      <c r="D472" s="4"/>
      <c r="E472" s="4"/>
      <c r="F472" s="4"/>
      <c r="G472" s="4"/>
    </row>
    <row r="473">
      <c r="A473" s="4"/>
      <c r="B473" s="4"/>
      <c r="C473" s="4"/>
      <c r="D473" s="4"/>
      <c r="E473" s="4"/>
      <c r="F473" s="4"/>
      <c r="G473" s="4"/>
    </row>
    <row r="474">
      <c r="A474" s="4"/>
      <c r="B474" s="4"/>
      <c r="C474" s="4"/>
      <c r="D474" s="4"/>
      <c r="E474" s="4"/>
      <c r="F474" s="4"/>
      <c r="G474" s="4"/>
    </row>
    <row r="475">
      <c r="A475" s="4"/>
      <c r="B475" s="4"/>
      <c r="C475" s="4"/>
      <c r="D475" s="4"/>
      <c r="E475" s="4"/>
      <c r="F475" s="4"/>
      <c r="G475" s="4"/>
    </row>
    <row r="476">
      <c r="A476" s="4"/>
      <c r="B476" s="4"/>
      <c r="C476" s="4"/>
      <c r="D476" s="4"/>
      <c r="E476" s="4"/>
      <c r="F476" s="4"/>
      <c r="G476" s="4"/>
    </row>
    <row r="477">
      <c r="A477" s="4"/>
      <c r="B477" s="4"/>
      <c r="C477" s="4"/>
      <c r="D477" s="4"/>
      <c r="E477" s="4"/>
      <c r="F477" s="4"/>
      <c r="G477" s="4"/>
    </row>
    <row r="478">
      <c r="A478" s="4"/>
      <c r="B478" s="4"/>
      <c r="C478" s="4"/>
      <c r="D478" s="4"/>
      <c r="E478" s="4"/>
      <c r="F478" s="4"/>
      <c r="G478" s="4"/>
    </row>
    <row r="479">
      <c r="A479" s="4"/>
      <c r="B479" s="4"/>
      <c r="C479" s="4"/>
      <c r="D479" s="4"/>
      <c r="E479" s="4"/>
      <c r="F479" s="4"/>
      <c r="G479" s="4"/>
    </row>
    <row r="480">
      <c r="A480" s="4"/>
      <c r="B480" s="4"/>
      <c r="C480" s="4"/>
      <c r="D480" s="4"/>
      <c r="E480" s="4"/>
      <c r="F480" s="4"/>
      <c r="G480" s="4"/>
    </row>
    <row r="481">
      <c r="A481" s="4"/>
      <c r="B481" s="4"/>
      <c r="C481" s="4"/>
      <c r="D481" s="4"/>
      <c r="E481" s="4"/>
      <c r="F481" s="4"/>
      <c r="G481" s="4"/>
    </row>
    <row r="482">
      <c r="A482" s="4"/>
      <c r="B482" s="4"/>
      <c r="C482" s="4"/>
      <c r="D482" s="4"/>
      <c r="E482" s="4"/>
      <c r="F482" s="4"/>
      <c r="G482" s="4"/>
    </row>
    <row r="483">
      <c r="A483" s="4"/>
      <c r="B483" s="4"/>
      <c r="C483" s="4"/>
      <c r="D483" s="4"/>
      <c r="E483" s="4"/>
      <c r="F483" s="4"/>
      <c r="G483" s="4"/>
    </row>
    <row r="484">
      <c r="A484" s="4"/>
      <c r="B484" s="4"/>
      <c r="C484" s="4"/>
      <c r="D484" s="4"/>
      <c r="E484" s="4"/>
      <c r="F484" s="4"/>
      <c r="G484" s="4"/>
    </row>
    <row r="485">
      <c r="A485" s="4"/>
      <c r="B485" s="4"/>
      <c r="C485" s="4"/>
      <c r="D485" s="4"/>
      <c r="E485" s="4"/>
      <c r="F485" s="4"/>
      <c r="G485" s="4"/>
    </row>
    <row r="486">
      <c r="A486" s="4"/>
      <c r="B486" s="4"/>
      <c r="C486" s="4"/>
      <c r="D486" s="4"/>
      <c r="E486" s="4"/>
      <c r="F486" s="4"/>
      <c r="G486" s="4"/>
    </row>
    <row r="487">
      <c r="A487" s="4"/>
      <c r="B487" s="4"/>
      <c r="C487" s="4"/>
      <c r="D487" s="4"/>
      <c r="E487" s="4"/>
      <c r="F487" s="4"/>
      <c r="G487" s="4"/>
    </row>
    <row r="488">
      <c r="A488" s="4"/>
      <c r="B488" s="4"/>
      <c r="C488" s="4"/>
      <c r="D488" s="4"/>
      <c r="E488" s="4"/>
      <c r="F488" s="4"/>
      <c r="G488" s="4"/>
    </row>
    <row r="489">
      <c r="A489" s="4"/>
      <c r="B489" s="4"/>
      <c r="C489" s="4"/>
      <c r="D489" s="4"/>
      <c r="E489" s="4"/>
      <c r="F489" s="4"/>
      <c r="G489" s="4"/>
    </row>
    <row r="490">
      <c r="A490" s="4"/>
      <c r="B490" s="4"/>
      <c r="C490" s="4"/>
      <c r="D490" s="4"/>
      <c r="E490" s="4"/>
      <c r="F490" s="4"/>
      <c r="G490" s="4"/>
    </row>
    <row r="491">
      <c r="A491" s="4"/>
      <c r="B491" s="4"/>
      <c r="C491" s="4"/>
      <c r="D491" s="4"/>
      <c r="E491" s="4"/>
      <c r="F491" s="4"/>
      <c r="G491" s="4"/>
    </row>
    <row r="492">
      <c r="A492" s="4"/>
      <c r="B492" s="4"/>
      <c r="C492" s="4"/>
      <c r="D492" s="4"/>
      <c r="E492" s="4"/>
      <c r="F492" s="4"/>
      <c r="G492" s="4"/>
    </row>
    <row r="493">
      <c r="A493" s="4"/>
      <c r="B493" s="4"/>
      <c r="C493" s="4"/>
      <c r="D493" s="4"/>
      <c r="E493" s="4"/>
      <c r="F493" s="4"/>
      <c r="G493" s="4"/>
    </row>
    <row r="494">
      <c r="A494" s="4"/>
      <c r="B494" s="4"/>
      <c r="C494" s="4"/>
      <c r="D494" s="4"/>
      <c r="E494" s="4"/>
      <c r="F494" s="4"/>
      <c r="G494" s="4"/>
    </row>
    <row r="495">
      <c r="A495" s="4"/>
      <c r="B495" s="4"/>
      <c r="C495" s="4"/>
      <c r="D495" s="4"/>
      <c r="E495" s="4"/>
      <c r="F495" s="4"/>
      <c r="G495" s="4"/>
    </row>
    <row r="496">
      <c r="A496" s="4"/>
      <c r="B496" s="4"/>
      <c r="C496" s="4"/>
      <c r="D496" s="4"/>
      <c r="E496" s="4"/>
      <c r="F496" s="4"/>
      <c r="G496" s="4"/>
    </row>
    <row r="497">
      <c r="A497" s="4"/>
      <c r="B497" s="4"/>
      <c r="C497" s="4"/>
      <c r="D497" s="4"/>
      <c r="E497" s="4"/>
      <c r="F497" s="4"/>
      <c r="G497" s="4"/>
    </row>
    <row r="498">
      <c r="A498" s="4"/>
      <c r="B498" s="4"/>
      <c r="C498" s="4"/>
      <c r="D498" s="4"/>
      <c r="E498" s="4"/>
      <c r="F498" s="4"/>
      <c r="G498" s="4"/>
    </row>
    <row r="499">
      <c r="A499" s="4"/>
      <c r="B499" s="4"/>
      <c r="C499" s="4"/>
      <c r="D499" s="4"/>
      <c r="E499" s="4"/>
      <c r="F499" s="4"/>
      <c r="G499" s="4"/>
    </row>
    <row r="500">
      <c r="A500" s="4"/>
      <c r="B500" s="4"/>
      <c r="C500" s="4"/>
      <c r="D500" s="4"/>
      <c r="E500" s="4"/>
      <c r="F500" s="4"/>
      <c r="G500" s="4"/>
    </row>
    <row r="501">
      <c r="A501" s="4"/>
      <c r="B501" s="4"/>
      <c r="C501" s="4"/>
      <c r="D501" s="4"/>
      <c r="E501" s="4"/>
      <c r="F501" s="4"/>
      <c r="G501" s="4"/>
    </row>
    <row r="502">
      <c r="A502" s="4"/>
      <c r="B502" s="4"/>
      <c r="C502" s="4"/>
      <c r="D502" s="4"/>
      <c r="E502" s="4"/>
      <c r="F502" s="4"/>
      <c r="G502" s="4"/>
    </row>
    <row r="503">
      <c r="A503" s="4"/>
      <c r="B503" s="4"/>
      <c r="C503" s="4"/>
      <c r="D503" s="4"/>
      <c r="E503" s="4"/>
      <c r="F503" s="4"/>
      <c r="G503" s="4"/>
    </row>
    <row r="504">
      <c r="A504" s="4"/>
      <c r="B504" s="4"/>
      <c r="C504" s="4"/>
      <c r="D504" s="4"/>
      <c r="E504" s="4"/>
      <c r="F504" s="4"/>
      <c r="G504" s="4"/>
    </row>
    <row r="505">
      <c r="A505" s="4"/>
      <c r="B505" s="4"/>
      <c r="C505" s="4"/>
      <c r="D505" s="4"/>
      <c r="E505" s="4"/>
      <c r="F505" s="4"/>
      <c r="G505" s="4"/>
    </row>
    <row r="506">
      <c r="A506" s="4"/>
      <c r="B506" s="4"/>
      <c r="C506" s="4"/>
      <c r="D506" s="4"/>
      <c r="E506" s="4"/>
      <c r="F506" s="4"/>
      <c r="G506" s="4"/>
    </row>
    <row r="507">
      <c r="A507" s="4"/>
      <c r="B507" s="4"/>
      <c r="C507" s="4"/>
      <c r="D507" s="4"/>
      <c r="E507" s="4"/>
      <c r="F507" s="4"/>
      <c r="G507" s="4"/>
    </row>
    <row r="508">
      <c r="A508" s="4"/>
      <c r="B508" s="4"/>
      <c r="C508" s="4"/>
      <c r="D508" s="4"/>
      <c r="E508" s="4"/>
      <c r="F508" s="4"/>
      <c r="G508" s="4"/>
    </row>
    <row r="509">
      <c r="A509" s="4"/>
      <c r="B509" s="4"/>
      <c r="C509" s="4"/>
      <c r="D509" s="4"/>
      <c r="E509" s="4"/>
      <c r="F509" s="4"/>
      <c r="G509" s="4"/>
    </row>
    <row r="510">
      <c r="A510" s="4"/>
      <c r="B510" s="4"/>
      <c r="C510" s="4"/>
      <c r="D510" s="4"/>
      <c r="E510" s="4"/>
      <c r="F510" s="4"/>
      <c r="G510" s="4"/>
    </row>
    <row r="511">
      <c r="A511" s="4"/>
      <c r="B511" s="4"/>
      <c r="C511" s="4"/>
      <c r="D511" s="4"/>
      <c r="E511" s="4"/>
      <c r="F511" s="4"/>
      <c r="G511" s="4"/>
    </row>
    <row r="512">
      <c r="A512" s="4"/>
      <c r="B512" s="4"/>
      <c r="C512" s="4"/>
      <c r="D512" s="4"/>
      <c r="E512" s="4"/>
      <c r="F512" s="4"/>
      <c r="G512" s="4"/>
    </row>
    <row r="513">
      <c r="A513" s="4"/>
      <c r="B513" s="4"/>
      <c r="C513" s="4"/>
      <c r="D513" s="4"/>
      <c r="E513" s="4"/>
      <c r="F513" s="4"/>
      <c r="G513" s="4"/>
    </row>
    <row r="514">
      <c r="A514" s="4"/>
      <c r="B514" s="4"/>
      <c r="C514" s="4"/>
      <c r="D514" s="4"/>
      <c r="E514" s="4"/>
      <c r="F514" s="4"/>
      <c r="G514" s="4"/>
    </row>
    <row r="515">
      <c r="A515" s="4"/>
      <c r="B515" s="4"/>
      <c r="C515" s="4"/>
      <c r="D515" s="4"/>
      <c r="E515" s="4"/>
      <c r="F515" s="4"/>
      <c r="G515" s="4"/>
    </row>
    <row r="516">
      <c r="A516" s="4"/>
      <c r="B516" s="4"/>
      <c r="C516" s="4"/>
      <c r="D516" s="4"/>
      <c r="E516" s="4"/>
      <c r="F516" s="4"/>
      <c r="G516" s="4"/>
    </row>
    <row r="517">
      <c r="A517" s="4"/>
      <c r="B517" s="4"/>
      <c r="C517" s="4"/>
      <c r="D517" s="4"/>
      <c r="E517" s="4"/>
      <c r="F517" s="4"/>
      <c r="G517" s="4"/>
    </row>
    <row r="518">
      <c r="A518" s="4"/>
      <c r="B518" s="4"/>
      <c r="C518" s="4"/>
      <c r="D518" s="4"/>
      <c r="E518" s="4"/>
      <c r="F518" s="4"/>
      <c r="G518" s="4"/>
    </row>
    <row r="519">
      <c r="A519" s="4"/>
      <c r="B519" s="4"/>
      <c r="C519" s="4"/>
      <c r="D519" s="4"/>
      <c r="E519" s="4"/>
      <c r="F519" s="4"/>
      <c r="G519" s="4"/>
    </row>
    <row r="520">
      <c r="A520" s="4"/>
      <c r="B520" s="4"/>
      <c r="C520" s="4"/>
      <c r="D520" s="4"/>
      <c r="E520" s="4"/>
      <c r="F520" s="4"/>
      <c r="G520" s="4"/>
    </row>
    <row r="521">
      <c r="A521" s="4"/>
      <c r="B521" s="4"/>
      <c r="C521" s="4"/>
      <c r="D521" s="4"/>
      <c r="E521" s="4"/>
      <c r="F521" s="4"/>
      <c r="G521" s="4"/>
    </row>
    <row r="522">
      <c r="A522" s="4"/>
      <c r="B522" s="4"/>
      <c r="C522" s="4"/>
      <c r="D522" s="4"/>
      <c r="E522" s="4"/>
      <c r="F522" s="4"/>
      <c r="G522" s="4"/>
    </row>
    <row r="523">
      <c r="A523" s="4"/>
      <c r="B523" s="4"/>
      <c r="C523" s="4"/>
      <c r="D523" s="4"/>
      <c r="E523" s="4"/>
      <c r="F523" s="4"/>
      <c r="G523" s="4"/>
    </row>
    <row r="524">
      <c r="A524" s="4"/>
      <c r="B524" s="4"/>
      <c r="C524" s="4"/>
      <c r="D524" s="4"/>
      <c r="E524" s="4"/>
      <c r="F524" s="4"/>
      <c r="G524" s="4"/>
    </row>
    <row r="525">
      <c r="A525" s="4"/>
      <c r="B525" s="4"/>
      <c r="C525" s="4"/>
      <c r="D525" s="4"/>
      <c r="E525" s="4"/>
      <c r="F525" s="4"/>
      <c r="G525" s="4"/>
    </row>
    <row r="526">
      <c r="A526" s="4"/>
      <c r="B526" s="4"/>
      <c r="C526" s="4"/>
      <c r="D526" s="4"/>
      <c r="E526" s="4"/>
      <c r="F526" s="4"/>
      <c r="G526" s="4"/>
    </row>
    <row r="527">
      <c r="A527" s="4"/>
      <c r="B527" s="4"/>
      <c r="C527" s="4"/>
      <c r="D527" s="4"/>
      <c r="E527" s="4"/>
      <c r="F527" s="4"/>
      <c r="G527" s="4"/>
    </row>
    <row r="528">
      <c r="A528" s="4"/>
      <c r="B528" s="4"/>
      <c r="C528" s="4"/>
      <c r="D528" s="4"/>
      <c r="E528" s="4"/>
      <c r="F528" s="4"/>
      <c r="G528" s="4"/>
    </row>
    <row r="529">
      <c r="A529" s="4"/>
      <c r="B529" s="4"/>
      <c r="C529" s="4"/>
      <c r="D529" s="4"/>
      <c r="E529" s="4"/>
      <c r="F529" s="4"/>
      <c r="G529" s="4"/>
    </row>
    <row r="530">
      <c r="A530" s="4"/>
      <c r="B530" s="4"/>
      <c r="C530" s="4"/>
      <c r="D530" s="4"/>
      <c r="E530" s="4"/>
      <c r="F530" s="4"/>
      <c r="G530" s="4"/>
    </row>
    <row r="531">
      <c r="A531" s="4"/>
      <c r="B531" s="4"/>
      <c r="C531" s="4"/>
      <c r="D531" s="4"/>
      <c r="E531" s="4"/>
      <c r="F531" s="4"/>
      <c r="G531" s="4"/>
    </row>
    <row r="532">
      <c r="A532" s="4"/>
      <c r="B532" s="4"/>
      <c r="C532" s="4"/>
      <c r="D532" s="4"/>
      <c r="E532" s="4"/>
      <c r="F532" s="4"/>
      <c r="G532" s="4"/>
    </row>
    <row r="533">
      <c r="A533" s="4"/>
      <c r="B533" s="4"/>
      <c r="C533" s="4"/>
      <c r="D533" s="4"/>
      <c r="E533" s="4"/>
      <c r="F533" s="4"/>
      <c r="G533" s="4"/>
    </row>
    <row r="534">
      <c r="A534" s="4"/>
      <c r="B534" s="4"/>
      <c r="C534" s="4"/>
      <c r="D534" s="4"/>
      <c r="E534" s="4"/>
      <c r="F534" s="4"/>
      <c r="G534" s="4"/>
    </row>
    <row r="535">
      <c r="A535" s="4"/>
      <c r="B535" s="4"/>
      <c r="C535" s="4"/>
      <c r="D535" s="4"/>
      <c r="E535" s="4"/>
      <c r="F535" s="4"/>
      <c r="G535" s="4"/>
    </row>
    <row r="536">
      <c r="A536" s="4"/>
      <c r="B536" s="4"/>
      <c r="C536" s="4"/>
      <c r="D536" s="4"/>
      <c r="E536" s="4"/>
      <c r="F536" s="4"/>
      <c r="G536" s="4"/>
    </row>
    <row r="537">
      <c r="A537" s="4"/>
      <c r="B537" s="4"/>
      <c r="C537" s="4"/>
      <c r="D537" s="4"/>
      <c r="E537" s="4"/>
      <c r="F537" s="4"/>
      <c r="G537" s="4"/>
    </row>
    <row r="538">
      <c r="A538" s="4"/>
      <c r="B538" s="4"/>
      <c r="C538" s="4"/>
      <c r="D538" s="4"/>
      <c r="E538" s="4"/>
      <c r="F538" s="4"/>
      <c r="G538" s="4"/>
    </row>
    <row r="539">
      <c r="A539" s="4"/>
      <c r="B539" s="4"/>
      <c r="C539" s="4"/>
      <c r="D539" s="4"/>
      <c r="E539" s="4"/>
      <c r="F539" s="4"/>
      <c r="G539" s="4"/>
    </row>
    <row r="540">
      <c r="A540" s="4"/>
      <c r="B540" s="4"/>
      <c r="C540" s="4"/>
      <c r="D540" s="4"/>
      <c r="E540" s="4"/>
      <c r="F540" s="4"/>
      <c r="G540" s="4"/>
    </row>
    <row r="541">
      <c r="A541" s="4"/>
      <c r="B541" s="4"/>
      <c r="C541" s="4"/>
      <c r="D541" s="4"/>
      <c r="E541" s="4"/>
      <c r="F541" s="4"/>
      <c r="G541" s="4"/>
    </row>
    <row r="542">
      <c r="A542" s="4"/>
      <c r="B542" s="4"/>
      <c r="C542" s="4"/>
      <c r="D542" s="4"/>
      <c r="E542" s="4"/>
      <c r="F542" s="4"/>
      <c r="G542" s="4"/>
    </row>
    <row r="543">
      <c r="A543" s="4"/>
      <c r="B543" s="4"/>
      <c r="C543" s="4"/>
      <c r="D543" s="4"/>
      <c r="E543" s="4"/>
      <c r="F543" s="4"/>
      <c r="G543" s="4"/>
    </row>
    <row r="544">
      <c r="A544" s="4"/>
      <c r="B544" s="4"/>
      <c r="C544" s="4"/>
      <c r="D544" s="4"/>
      <c r="E544" s="4"/>
      <c r="F544" s="4"/>
      <c r="G544" s="4"/>
    </row>
    <row r="545">
      <c r="A545" s="4"/>
      <c r="B545" s="4"/>
      <c r="C545" s="4"/>
      <c r="D545" s="4"/>
      <c r="E545" s="4"/>
      <c r="F545" s="4"/>
      <c r="G545" s="4"/>
    </row>
    <row r="546">
      <c r="A546" s="4"/>
      <c r="B546" s="4"/>
      <c r="C546" s="4"/>
      <c r="D546" s="4"/>
      <c r="E546" s="4"/>
      <c r="F546" s="4"/>
      <c r="G546" s="4"/>
    </row>
    <row r="547">
      <c r="A547" s="4"/>
      <c r="B547" s="4"/>
      <c r="C547" s="4"/>
      <c r="D547" s="4"/>
      <c r="E547" s="4"/>
      <c r="F547" s="4"/>
      <c r="G547" s="4"/>
    </row>
    <row r="548">
      <c r="A548" s="4"/>
      <c r="B548" s="4"/>
      <c r="C548" s="4"/>
      <c r="D548" s="4"/>
      <c r="E548" s="4"/>
      <c r="F548" s="4"/>
      <c r="G548" s="4"/>
    </row>
    <row r="549">
      <c r="A549" s="4"/>
      <c r="B549" s="4"/>
      <c r="C549" s="4"/>
      <c r="D549" s="4"/>
      <c r="E549" s="4"/>
      <c r="F549" s="4"/>
      <c r="G549" s="4"/>
    </row>
    <row r="550">
      <c r="A550" s="4"/>
      <c r="B550" s="4"/>
      <c r="C550" s="4"/>
      <c r="D550" s="4"/>
      <c r="E550" s="4"/>
      <c r="F550" s="4"/>
      <c r="G550" s="4"/>
    </row>
    <row r="551">
      <c r="A551" s="4"/>
      <c r="B551" s="4"/>
      <c r="C551" s="4"/>
      <c r="D551" s="4"/>
      <c r="E551" s="4"/>
      <c r="F551" s="4"/>
      <c r="G551" s="4"/>
    </row>
    <row r="552">
      <c r="A552" s="4"/>
      <c r="B552" s="4"/>
      <c r="C552" s="4"/>
      <c r="D552" s="4"/>
      <c r="E552" s="4"/>
      <c r="F552" s="4"/>
      <c r="G552" s="4"/>
    </row>
    <row r="553">
      <c r="A553" s="4"/>
      <c r="B553" s="4"/>
      <c r="C553" s="4"/>
      <c r="D553" s="4"/>
      <c r="E553" s="4"/>
      <c r="F553" s="4"/>
      <c r="G553" s="4"/>
    </row>
    <row r="554">
      <c r="A554" s="4"/>
      <c r="B554" s="4"/>
      <c r="C554" s="4"/>
      <c r="D554" s="4"/>
      <c r="E554" s="4"/>
      <c r="F554" s="4"/>
      <c r="G554" s="4"/>
    </row>
    <row r="555">
      <c r="A555" s="4"/>
      <c r="B555" s="4"/>
      <c r="C555" s="4"/>
      <c r="D555" s="4"/>
      <c r="E555" s="4"/>
      <c r="F555" s="4"/>
      <c r="G555" s="4"/>
    </row>
    <row r="556">
      <c r="A556" s="4"/>
      <c r="B556" s="4"/>
      <c r="C556" s="4"/>
      <c r="D556" s="4"/>
      <c r="E556" s="4"/>
      <c r="F556" s="4"/>
      <c r="G556" s="4"/>
    </row>
    <row r="557">
      <c r="A557" s="4"/>
      <c r="B557" s="4"/>
      <c r="C557" s="4"/>
      <c r="D557" s="4"/>
      <c r="E557" s="4"/>
      <c r="F557" s="4"/>
      <c r="G557" s="4"/>
    </row>
    <row r="558">
      <c r="A558" s="4"/>
      <c r="B558" s="4"/>
      <c r="C558" s="4"/>
      <c r="D558" s="4"/>
      <c r="E558" s="4"/>
      <c r="F558" s="4"/>
      <c r="G558" s="4"/>
    </row>
    <row r="559">
      <c r="A559" s="4"/>
      <c r="B559" s="4"/>
      <c r="C559" s="4"/>
      <c r="D559" s="4"/>
      <c r="E559" s="4"/>
      <c r="F559" s="4"/>
      <c r="G559" s="4"/>
    </row>
    <row r="560">
      <c r="A560" s="4"/>
      <c r="B560" s="4"/>
      <c r="C560" s="4"/>
      <c r="D560" s="4"/>
      <c r="E560" s="4"/>
      <c r="F560" s="4"/>
      <c r="G560" s="4"/>
    </row>
    <row r="561">
      <c r="A561" s="4"/>
      <c r="B561" s="4"/>
      <c r="C561" s="4"/>
      <c r="D561" s="4"/>
      <c r="E561" s="4"/>
      <c r="F561" s="4"/>
      <c r="G561" s="4"/>
    </row>
    <row r="562">
      <c r="A562" s="4"/>
      <c r="B562" s="4"/>
      <c r="C562" s="4"/>
      <c r="D562" s="4"/>
      <c r="E562" s="4"/>
      <c r="F562" s="4"/>
      <c r="G562" s="4"/>
    </row>
    <row r="563">
      <c r="A563" s="4"/>
      <c r="B563" s="4"/>
      <c r="C563" s="4"/>
      <c r="D563" s="4"/>
      <c r="E563" s="4"/>
      <c r="F563" s="4"/>
      <c r="G563" s="4"/>
    </row>
    <row r="564">
      <c r="A564" s="4"/>
      <c r="B564" s="4"/>
      <c r="C564" s="4"/>
      <c r="D564" s="4"/>
      <c r="E564" s="4"/>
      <c r="F564" s="4"/>
      <c r="G564" s="4"/>
    </row>
    <row r="565">
      <c r="A565" s="4"/>
      <c r="B565" s="4"/>
      <c r="C565" s="4"/>
      <c r="D565" s="4"/>
      <c r="E565" s="4"/>
      <c r="F565" s="4"/>
      <c r="G565" s="4"/>
    </row>
    <row r="566">
      <c r="A566" s="4"/>
      <c r="B566" s="4"/>
      <c r="C566" s="4"/>
      <c r="D566" s="4"/>
      <c r="E566" s="4"/>
      <c r="F566" s="4"/>
      <c r="G566" s="4"/>
    </row>
    <row r="567">
      <c r="A567" s="4"/>
      <c r="B567" s="4"/>
      <c r="C567" s="4"/>
      <c r="D567" s="4"/>
      <c r="E567" s="4"/>
      <c r="F567" s="4"/>
      <c r="G567" s="4"/>
    </row>
    <row r="568">
      <c r="A568" s="4"/>
      <c r="B568" s="4"/>
      <c r="C568" s="4"/>
      <c r="D568" s="4"/>
      <c r="E568" s="4"/>
      <c r="F568" s="4"/>
      <c r="G568" s="4"/>
    </row>
    <row r="569">
      <c r="A569" s="4"/>
      <c r="B569" s="4"/>
      <c r="C569" s="4"/>
      <c r="D569" s="4"/>
      <c r="E569" s="4"/>
      <c r="F569" s="4"/>
      <c r="G569" s="4"/>
    </row>
    <row r="570">
      <c r="A570" s="4"/>
      <c r="B570" s="4"/>
      <c r="C570" s="4"/>
      <c r="D570" s="4"/>
      <c r="E570" s="4"/>
      <c r="F570" s="4"/>
      <c r="G570" s="4"/>
    </row>
    <row r="571">
      <c r="A571" s="4"/>
      <c r="B571" s="4"/>
      <c r="C571" s="4"/>
      <c r="D571" s="4"/>
      <c r="E571" s="4"/>
      <c r="F571" s="4"/>
      <c r="G571" s="4"/>
    </row>
    <row r="572">
      <c r="A572" s="4"/>
      <c r="B572" s="4"/>
      <c r="C572" s="4"/>
      <c r="D572" s="4"/>
      <c r="E572" s="4"/>
      <c r="F572" s="4"/>
      <c r="G572" s="4"/>
    </row>
    <row r="573">
      <c r="A573" s="4"/>
      <c r="B573" s="4"/>
      <c r="C573" s="4"/>
      <c r="D573" s="4"/>
      <c r="E573" s="4"/>
      <c r="F573" s="4"/>
      <c r="G573" s="4"/>
    </row>
    <row r="574">
      <c r="A574" s="4"/>
      <c r="B574" s="4"/>
      <c r="C574" s="4"/>
      <c r="D574" s="4"/>
      <c r="E574" s="4"/>
      <c r="F574" s="4"/>
      <c r="G574" s="4"/>
    </row>
    <row r="575">
      <c r="A575" s="4"/>
      <c r="B575" s="4"/>
      <c r="C575" s="4"/>
      <c r="D575" s="4"/>
      <c r="E575" s="4"/>
      <c r="F575" s="4"/>
      <c r="G575" s="4"/>
    </row>
    <row r="576">
      <c r="A576" s="4"/>
      <c r="B576" s="4"/>
      <c r="C576" s="4"/>
      <c r="D576" s="4"/>
      <c r="E576" s="4"/>
      <c r="F576" s="4"/>
      <c r="G576" s="4"/>
    </row>
    <row r="577">
      <c r="A577" s="4"/>
      <c r="B577" s="4"/>
      <c r="C577" s="4"/>
      <c r="D577" s="4"/>
      <c r="E577" s="4"/>
      <c r="F577" s="4"/>
      <c r="G577" s="4"/>
    </row>
    <row r="578">
      <c r="A578" s="4"/>
      <c r="B578" s="4"/>
      <c r="C578" s="4"/>
      <c r="D578" s="4"/>
      <c r="E578" s="4"/>
      <c r="F578" s="4"/>
      <c r="G578" s="4"/>
    </row>
    <row r="579">
      <c r="A579" s="4"/>
      <c r="B579" s="4"/>
      <c r="C579" s="4"/>
      <c r="D579" s="4"/>
      <c r="E579" s="4"/>
      <c r="F579" s="4"/>
      <c r="G579" s="4"/>
    </row>
    <row r="580">
      <c r="A580" s="4"/>
      <c r="B580" s="4"/>
      <c r="C580" s="4"/>
      <c r="D580" s="4"/>
      <c r="E580" s="4"/>
      <c r="F580" s="4"/>
      <c r="G580" s="4"/>
    </row>
    <row r="581">
      <c r="A581" s="4"/>
      <c r="B581" s="4"/>
      <c r="C581" s="4"/>
      <c r="D581" s="4"/>
      <c r="E581" s="4"/>
      <c r="F581" s="4"/>
      <c r="G581" s="4"/>
    </row>
    <row r="582">
      <c r="A582" s="4"/>
      <c r="B582" s="4"/>
      <c r="C582" s="4"/>
      <c r="D582" s="4"/>
      <c r="E582" s="4"/>
      <c r="F582" s="4"/>
      <c r="G582" s="4"/>
    </row>
    <row r="583">
      <c r="A583" s="4"/>
      <c r="B583" s="4"/>
      <c r="C583" s="4"/>
      <c r="D583" s="4"/>
      <c r="E583" s="4"/>
      <c r="F583" s="4"/>
      <c r="G583" s="4"/>
    </row>
    <row r="584">
      <c r="A584" s="4"/>
      <c r="B584" s="4"/>
      <c r="C584" s="4"/>
      <c r="D584" s="4"/>
      <c r="E584" s="4"/>
      <c r="F584" s="4"/>
      <c r="G584" s="4"/>
    </row>
    <row r="585">
      <c r="A585" s="4"/>
      <c r="B585" s="4"/>
      <c r="C585" s="4"/>
      <c r="D585" s="4"/>
      <c r="E585" s="4"/>
      <c r="F585" s="4"/>
      <c r="G585" s="4"/>
    </row>
    <row r="586">
      <c r="A586" s="4"/>
      <c r="B586" s="4"/>
      <c r="C586" s="4"/>
      <c r="D586" s="4"/>
      <c r="E586" s="4"/>
      <c r="F586" s="4"/>
      <c r="G586" s="4"/>
    </row>
    <row r="587">
      <c r="A587" s="4"/>
      <c r="B587" s="4"/>
      <c r="C587" s="4"/>
      <c r="D587" s="4"/>
      <c r="E587" s="4"/>
      <c r="F587" s="4"/>
      <c r="G587" s="4"/>
    </row>
    <row r="588">
      <c r="A588" s="4"/>
      <c r="B588" s="4"/>
      <c r="C588" s="4"/>
      <c r="D588" s="4"/>
      <c r="E588" s="4"/>
      <c r="F588" s="4"/>
      <c r="G588" s="4"/>
    </row>
    <row r="589">
      <c r="A589" s="4"/>
      <c r="B589" s="4"/>
      <c r="C589" s="4"/>
      <c r="D589" s="4"/>
      <c r="E589" s="4"/>
      <c r="F589" s="4"/>
      <c r="G589" s="4"/>
    </row>
    <row r="590">
      <c r="A590" s="4"/>
      <c r="B590" s="4"/>
      <c r="C590" s="4"/>
      <c r="D590" s="4"/>
      <c r="E590" s="4"/>
      <c r="F590" s="4"/>
      <c r="G590" s="4"/>
    </row>
    <row r="591">
      <c r="A591" s="4"/>
      <c r="B591" s="4"/>
      <c r="C591" s="4"/>
      <c r="D591" s="4"/>
      <c r="E591" s="4"/>
      <c r="F591" s="4"/>
      <c r="G591" s="4"/>
    </row>
    <row r="592">
      <c r="A592" s="4"/>
      <c r="B592" s="4"/>
      <c r="C592" s="4"/>
      <c r="D592" s="4"/>
      <c r="E592" s="4"/>
      <c r="F592" s="4"/>
      <c r="G592" s="4"/>
    </row>
    <row r="593">
      <c r="A593" s="4"/>
      <c r="B593" s="4"/>
      <c r="C593" s="4"/>
      <c r="D593" s="4"/>
      <c r="E593" s="4"/>
      <c r="F593" s="4"/>
      <c r="G593" s="4"/>
    </row>
    <row r="594">
      <c r="A594" s="4"/>
      <c r="B594" s="4"/>
      <c r="C594" s="4"/>
      <c r="D594" s="4"/>
      <c r="E594" s="4"/>
      <c r="F594" s="4"/>
      <c r="G594" s="4"/>
    </row>
    <row r="595">
      <c r="A595" s="4"/>
      <c r="B595" s="4"/>
      <c r="C595" s="4"/>
      <c r="D595" s="4"/>
      <c r="E595" s="4"/>
      <c r="F595" s="4"/>
      <c r="G595" s="4"/>
    </row>
    <row r="596">
      <c r="A596" s="4"/>
      <c r="B596" s="4"/>
      <c r="C596" s="4"/>
      <c r="D596" s="4"/>
      <c r="E596" s="4"/>
      <c r="F596" s="4"/>
      <c r="G596" s="4"/>
    </row>
    <row r="597">
      <c r="A597" s="4"/>
      <c r="B597" s="4"/>
      <c r="C597" s="4"/>
      <c r="D597" s="4"/>
      <c r="E597" s="4"/>
      <c r="F597" s="4"/>
      <c r="G597" s="4"/>
    </row>
    <row r="598">
      <c r="A598" s="4"/>
      <c r="B598" s="4"/>
      <c r="C598" s="4"/>
      <c r="D598" s="4"/>
      <c r="E598" s="4"/>
      <c r="F598" s="4"/>
      <c r="G598" s="4"/>
    </row>
    <row r="599">
      <c r="A599" s="4"/>
      <c r="B599" s="4"/>
      <c r="C599" s="4"/>
      <c r="D599" s="4"/>
      <c r="E599" s="4"/>
      <c r="F599" s="4"/>
      <c r="G599" s="4"/>
    </row>
    <row r="600">
      <c r="A600" s="4"/>
      <c r="B600" s="4"/>
      <c r="C600" s="4"/>
      <c r="D600" s="4"/>
      <c r="E600" s="4"/>
      <c r="F600" s="4"/>
      <c r="G600" s="4"/>
    </row>
    <row r="601">
      <c r="A601" s="4"/>
      <c r="B601" s="4"/>
      <c r="C601" s="4"/>
      <c r="D601" s="4"/>
      <c r="E601" s="4"/>
      <c r="F601" s="4"/>
      <c r="G601" s="4"/>
    </row>
    <row r="602">
      <c r="A602" s="4"/>
      <c r="B602" s="4"/>
      <c r="C602" s="4"/>
      <c r="D602" s="4"/>
      <c r="E602" s="4"/>
      <c r="F602" s="4"/>
      <c r="G602" s="4"/>
    </row>
    <row r="603">
      <c r="A603" s="4"/>
      <c r="B603" s="4"/>
      <c r="C603" s="4"/>
      <c r="D603" s="4"/>
      <c r="E603" s="4"/>
      <c r="F603" s="4"/>
      <c r="G603" s="4"/>
    </row>
    <row r="604">
      <c r="A604" s="4"/>
      <c r="B604" s="4"/>
      <c r="C604" s="4"/>
      <c r="D604" s="4"/>
      <c r="E604" s="4"/>
      <c r="F604" s="4"/>
      <c r="G604" s="4"/>
    </row>
    <row r="605">
      <c r="A605" s="4"/>
      <c r="B605" s="4"/>
      <c r="C605" s="4"/>
      <c r="D605" s="4"/>
      <c r="E605" s="4"/>
      <c r="F605" s="4"/>
      <c r="G605" s="4"/>
    </row>
    <row r="606">
      <c r="A606" s="4"/>
      <c r="B606" s="4"/>
      <c r="C606" s="4"/>
      <c r="D606" s="4"/>
      <c r="E606" s="4"/>
      <c r="F606" s="4"/>
      <c r="G606" s="4"/>
    </row>
    <row r="607">
      <c r="A607" s="4"/>
      <c r="B607" s="4"/>
      <c r="C607" s="4"/>
      <c r="D607" s="4"/>
      <c r="E607" s="4"/>
      <c r="F607" s="4"/>
      <c r="G607" s="4"/>
    </row>
    <row r="608">
      <c r="A608" s="4"/>
      <c r="B608" s="4"/>
      <c r="C608" s="4"/>
      <c r="D608" s="4"/>
      <c r="E608" s="4"/>
      <c r="F608" s="4"/>
      <c r="G608" s="4"/>
    </row>
    <row r="609">
      <c r="A609" s="4"/>
      <c r="B609" s="4"/>
      <c r="C609" s="4"/>
      <c r="D609" s="4"/>
      <c r="E609" s="4"/>
      <c r="F609" s="4"/>
      <c r="G609" s="4"/>
    </row>
    <row r="610">
      <c r="A610" s="4"/>
      <c r="B610" s="4"/>
      <c r="C610" s="4"/>
      <c r="D610" s="4"/>
      <c r="E610" s="4"/>
      <c r="F610" s="4"/>
      <c r="G610" s="4"/>
    </row>
    <row r="611">
      <c r="A611" s="4"/>
      <c r="B611" s="4"/>
      <c r="C611" s="4"/>
      <c r="D611" s="4"/>
      <c r="E611" s="4"/>
      <c r="F611" s="4"/>
      <c r="G611" s="4"/>
    </row>
    <row r="612">
      <c r="A612" s="4"/>
      <c r="B612" s="4"/>
      <c r="C612" s="4"/>
      <c r="D612" s="4"/>
      <c r="E612" s="4"/>
      <c r="F612" s="4"/>
      <c r="G612" s="4"/>
    </row>
    <row r="613">
      <c r="A613" s="4"/>
      <c r="B613" s="4"/>
      <c r="C613" s="4"/>
      <c r="D613" s="4"/>
      <c r="E613" s="4"/>
      <c r="F613" s="4"/>
      <c r="G613" s="4"/>
    </row>
    <row r="614">
      <c r="A614" s="4"/>
      <c r="B614" s="4"/>
      <c r="C614" s="4"/>
      <c r="D614" s="4"/>
      <c r="E614" s="4"/>
      <c r="F614" s="4"/>
      <c r="G614" s="4"/>
    </row>
    <row r="615">
      <c r="A615" s="4"/>
      <c r="B615" s="4"/>
      <c r="C615" s="4"/>
      <c r="D615" s="4"/>
      <c r="E615" s="4"/>
      <c r="F615" s="4"/>
      <c r="G615" s="4"/>
    </row>
    <row r="616">
      <c r="A616" s="4"/>
      <c r="B616" s="4"/>
      <c r="C616" s="4"/>
      <c r="D616" s="4"/>
      <c r="E616" s="4"/>
      <c r="F616" s="4"/>
      <c r="G616" s="4"/>
    </row>
    <row r="617">
      <c r="A617" s="4"/>
      <c r="B617" s="4"/>
      <c r="C617" s="4"/>
      <c r="D617" s="4"/>
      <c r="E617" s="4"/>
      <c r="F617" s="4"/>
      <c r="G617" s="4"/>
    </row>
    <row r="618">
      <c r="A618" s="4"/>
      <c r="B618" s="4"/>
      <c r="C618" s="4"/>
      <c r="D618" s="4"/>
      <c r="E618" s="4"/>
      <c r="F618" s="4"/>
      <c r="G618" s="4"/>
    </row>
    <row r="619">
      <c r="A619" s="4"/>
      <c r="B619" s="4"/>
      <c r="C619" s="4"/>
      <c r="D619" s="4"/>
      <c r="E619" s="4"/>
      <c r="F619" s="4"/>
      <c r="G619" s="4"/>
    </row>
    <row r="620">
      <c r="A620" s="4"/>
      <c r="B620" s="4"/>
      <c r="C620" s="4"/>
      <c r="D620" s="4"/>
      <c r="E620" s="4"/>
      <c r="F620" s="4"/>
      <c r="G620" s="4"/>
    </row>
    <row r="621">
      <c r="A621" s="4"/>
      <c r="B621" s="4"/>
      <c r="C621" s="4"/>
      <c r="D621" s="4"/>
      <c r="E621" s="4"/>
      <c r="F621" s="4"/>
      <c r="G621" s="4"/>
    </row>
    <row r="622">
      <c r="A622" s="4"/>
      <c r="B622" s="4"/>
      <c r="C622" s="4"/>
      <c r="D622" s="4"/>
      <c r="E622" s="4"/>
      <c r="F622" s="4"/>
      <c r="G622" s="4"/>
    </row>
    <row r="623">
      <c r="A623" s="4"/>
      <c r="B623" s="4"/>
      <c r="C623" s="4"/>
      <c r="D623" s="4"/>
      <c r="E623" s="4"/>
      <c r="F623" s="4"/>
      <c r="G623" s="4"/>
    </row>
    <row r="624">
      <c r="A624" s="4"/>
      <c r="B624" s="4"/>
      <c r="C624" s="4"/>
      <c r="D624" s="4"/>
      <c r="E624" s="4"/>
      <c r="F624" s="4"/>
      <c r="G624" s="4"/>
    </row>
    <row r="625">
      <c r="A625" s="4"/>
      <c r="B625" s="4"/>
      <c r="C625" s="4"/>
      <c r="D625" s="4"/>
      <c r="E625" s="4"/>
      <c r="F625" s="4"/>
      <c r="G625" s="4"/>
    </row>
    <row r="626">
      <c r="A626" s="4"/>
      <c r="B626" s="4"/>
      <c r="C626" s="4"/>
      <c r="D626" s="4"/>
      <c r="E626" s="4"/>
      <c r="F626" s="4"/>
      <c r="G626" s="4"/>
    </row>
    <row r="627">
      <c r="A627" s="4"/>
      <c r="B627" s="4"/>
      <c r="C627" s="4"/>
      <c r="D627" s="4"/>
      <c r="E627" s="4"/>
      <c r="F627" s="4"/>
      <c r="G627" s="4"/>
    </row>
    <row r="628">
      <c r="A628" s="4"/>
      <c r="B628" s="4"/>
      <c r="C628" s="4"/>
      <c r="D628" s="4"/>
      <c r="E628" s="4"/>
      <c r="F628" s="4"/>
      <c r="G628" s="4"/>
    </row>
    <row r="629">
      <c r="A629" s="4"/>
      <c r="B629" s="4"/>
      <c r="C629" s="4"/>
      <c r="D629" s="4"/>
      <c r="E629" s="4"/>
      <c r="F629" s="4"/>
      <c r="G629" s="4"/>
    </row>
    <row r="630">
      <c r="A630" s="4"/>
      <c r="B630" s="4"/>
      <c r="C630" s="4"/>
      <c r="D630" s="4"/>
      <c r="E630" s="4"/>
      <c r="F630" s="4"/>
      <c r="G630" s="4"/>
    </row>
    <row r="631">
      <c r="A631" s="4"/>
      <c r="B631" s="4"/>
      <c r="C631" s="4"/>
      <c r="D631" s="4"/>
      <c r="E631" s="4"/>
      <c r="F631" s="4"/>
      <c r="G631" s="4"/>
    </row>
    <row r="632">
      <c r="A632" s="4"/>
      <c r="B632" s="4"/>
      <c r="C632" s="4"/>
      <c r="D632" s="4"/>
      <c r="E632" s="4"/>
      <c r="F632" s="4"/>
      <c r="G632" s="4"/>
    </row>
    <row r="633">
      <c r="A633" s="4"/>
      <c r="B633" s="4"/>
      <c r="C633" s="4"/>
      <c r="D633" s="4"/>
      <c r="E633" s="4"/>
      <c r="F633" s="4"/>
      <c r="G633" s="4"/>
    </row>
    <row r="634">
      <c r="A634" s="4"/>
      <c r="B634" s="4"/>
      <c r="C634" s="4"/>
      <c r="D634" s="4"/>
      <c r="E634" s="4"/>
      <c r="F634" s="4"/>
      <c r="G634" s="4"/>
    </row>
    <row r="635">
      <c r="A635" s="4"/>
      <c r="B635" s="4"/>
      <c r="C635" s="4"/>
      <c r="D635" s="4"/>
      <c r="E635" s="4"/>
      <c r="F635" s="4"/>
      <c r="G635" s="4"/>
    </row>
    <row r="636">
      <c r="A636" s="4"/>
      <c r="B636" s="4"/>
      <c r="C636" s="4"/>
      <c r="D636" s="4"/>
      <c r="E636" s="4"/>
      <c r="F636" s="4"/>
      <c r="G636" s="4"/>
    </row>
    <row r="637">
      <c r="A637" s="4"/>
      <c r="B637" s="4"/>
      <c r="C637" s="4"/>
      <c r="D637" s="4"/>
      <c r="E637" s="4"/>
      <c r="F637" s="4"/>
      <c r="G637" s="4"/>
    </row>
    <row r="638">
      <c r="A638" s="4"/>
      <c r="B638" s="4"/>
      <c r="C638" s="4"/>
      <c r="D638" s="4"/>
      <c r="E638" s="4"/>
      <c r="F638" s="4"/>
      <c r="G638" s="4"/>
    </row>
    <row r="639">
      <c r="A639" s="4"/>
      <c r="B639" s="4"/>
      <c r="C639" s="4"/>
      <c r="D639" s="4"/>
      <c r="E639" s="4"/>
      <c r="F639" s="4"/>
      <c r="G639" s="4"/>
    </row>
    <row r="640">
      <c r="A640" s="4"/>
      <c r="B640" s="4"/>
      <c r="C640" s="4"/>
      <c r="D640" s="4"/>
      <c r="E640" s="4"/>
      <c r="F640" s="4"/>
      <c r="G640" s="4"/>
    </row>
    <row r="641">
      <c r="A641" s="4"/>
      <c r="B641" s="4"/>
      <c r="C641" s="4"/>
      <c r="D641" s="4"/>
      <c r="E641" s="4"/>
      <c r="F641" s="4"/>
      <c r="G641" s="4"/>
    </row>
    <row r="642">
      <c r="A642" s="4"/>
      <c r="B642" s="4"/>
      <c r="C642" s="4"/>
      <c r="D642" s="4"/>
      <c r="E642" s="4"/>
      <c r="F642" s="4"/>
      <c r="G642" s="4"/>
    </row>
    <row r="643">
      <c r="A643" s="4"/>
      <c r="B643" s="4"/>
      <c r="C643" s="4"/>
      <c r="D643" s="4"/>
      <c r="E643" s="4"/>
      <c r="F643" s="4"/>
      <c r="G643" s="4"/>
    </row>
    <row r="644">
      <c r="A644" s="4"/>
      <c r="B644" s="4"/>
      <c r="C644" s="4"/>
      <c r="D644" s="4"/>
      <c r="E644" s="4"/>
      <c r="F644" s="4"/>
      <c r="G644" s="4"/>
    </row>
    <row r="645">
      <c r="A645" s="4"/>
      <c r="B645" s="4"/>
      <c r="C645" s="4"/>
      <c r="D645" s="4"/>
      <c r="E645" s="4"/>
      <c r="F645" s="4"/>
      <c r="G645" s="4"/>
    </row>
    <row r="646">
      <c r="A646" s="4"/>
      <c r="B646" s="4"/>
      <c r="C646" s="4"/>
      <c r="D646" s="4"/>
      <c r="E646" s="4"/>
      <c r="F646" s="4"/>
      <c r="G646" s="4"/>
    </row>
    <row r="647">
      <c r="A647" s="4"/>
      <c r="B647" s="4"/>
      <c r="C647" s="4"/>
      <c r="D647" s="4"/>
      <c r="E647" s="4"/>
      <c r="F647" s="4"/>
      <c r="G647" s="4"/>
    </row>
    <row r="648">
      <c r="A648" s="4"/>
      <c r="B648" s="4"/>
      <c r="C648" s="4"/>
      <c r="D648" s="4"/>
      <c r="E648" s="4"/>
      <c r="F648" s="4"/>
      <c r="G648" s="4"/>
    </row>
    <row r="649">
      <c r="A649" s="4"/>
      <c r="B649" s="4"/>
      <c r="C649" s="4"/>
      <c r="D649" s="4"/>
      <c r="E649" s="4"/>
      <c r="F649" s="4"/>
      <c r="G649" s="4"/>
    </row>
    <row r="650">
      <c r="A650" s="4"/>
      <c r="B650" s="4"/>
      <c r="C650" s="4"/>
      <c r="D650" s="4"/>
      <c r="E650" s="4"/>
      <c r="F650" s="4"/>
      <c r="G650" s="4"/>
    </row>
    <row r="651">
      <c r="A651" s="4"/>
      <c r="B651" s="4"/>
      <c r="C651" s="4"/>
      <c r="D651" s="4"/>
      <c r="E651" s="4"/>
      <c r="F651" s="4"/>
      <c r="G651" s="4"/>
    </row>
    <row r="652">
      <c r="A652" s="4"/>
      <c r="B652" s="4"/>
      <c r="C652" s="4"/>
      <c r="D652" s="4"/>
      <c r="E652" s="4"/>
      <c r="F652" s="4"/>
      <c r="G652" s="4"/>
    </row>
    <row r="653">
      <c r="A653" s="4"/>
      <c r="B653" s="4"/>
      <c r="C653" s="4"/>
      <c r="D653" s="4"/>
      <c r="E653" s="4"/>
      <c r="F653" s="4"/>
      <c r="G653" s="4"/>
    </row>
    <row r="654">
      <c r="A654" s="4"/>
      <c r="B654" s="4"/>
      <c r="C654" s="4"/>
      <c r="D654" s="4"/>
      <c r="E654" s="4"/>
      <c r="F654" s="4"/>
      <c r="G654" s="4"/>
    </row>
    <row r="655">
      <c r="A655" s="4"/>
      <c r="B655" s="4"/>
      <c r="C655" s="4"/>
      <c r="D655" s="4"/>
      <c r="E655" s="4"/>
      <c r="F655" s="4"/>
      <c r="G655" s="4"/>
    </row>
    <row r="656">
      <c r="A656" s="4"/>
      <c r="B656" s="4"/>
      <c r="C656" s="4"/>
      <c r="D656" s="4"/>
      <c r="E656" s="4"/>
      <c r="F656" s="4"/>
      <c r="G656" s="4"/>
    </row>
    <row r="657">
      <c r="A657" s="4"/>
      <c r="B657" s="4"/>
      <c r="C657" s="4"/>
      <c r="D657" s="4"/>
      <c r="E657" s="4"/>
      <c r="F657" s="4"/>
      <c r="G657" s="4"/>
    </row>
    <row r="658">
      <c r="A658" s="4"/>
      <c r="B658" s="4"/>
      <c r="C658" s="4"/>
      <c r="D658" s="4"/>
      <c r="E658" s="4"/>
      <c r="F658" s="4"/>
      <c r="G658" s="4"/>
    </row>
    <row r="659">
      <c r="A659" s="4"/>
      <c r="B659" s="4"/>
      <c r="C659" s="4"/>
      <c r="D659" s="4"/>
      <c r="E659" s="4"/>
      <c r="F659" s="4"/>
      <c r="G659" s="4"/>
    </row>
    <row r="660">
      <c r="A660" s="4"/>
      <c r="B660" s="4"/>
      <c r="C660" s="4"/>
      <c r="D660" s="4"/>
      <c r="E660" s="4"/>
      <c r="F660" s="4"/>
      <c r="G660" s="4"/>
    </row>
    <row r="661">
      <c r="A661" s="4"/>
      <c r="B661" s="4"/>
      <c r="C661" s="4"/>
      <c r="D661" s="4"/>
      <c r="E661" s="4"/>
      <c r="F661" s="4"/>
      <c r="G661" s="4"/>
    </row>
    <row r="662">
      <c r="A662" s="4"/>
      <c r="B662" s="4"/>
      <c r="C662" s="4"/>
      <c r="D662" s="4"/>
      <c r="E662" s="4"/>
      <c r="F662" s="4"/>
      <c r="G662" s="4"/>
    </row>
    <row r="663">
      <c r="A663" s="4"/>
      <c r="B663" s="4"/>
      <c r="C663" s="4"/>
      <c r="D663" s="4"/>
      <c r="E663" s="4"/>
      <c r="F663" s="4"/>
      <c r="G663" s="4"/>
    </row>
    <row r="664">
      <c r="A664" s="4"/>
      <c r="B664" s="4"/>
      <c r="C664" s="4"/>
      <c r="D664" s="4"/>
      <c r="E664" s="4"/>
      <c r="F664" s="4"/>
      <c r="G664" s="4"/>
    </row>
    <row r="665">
      <c r="A665" s="4"/>
      <c r="B665" s="4"/>
      <c r="C665" s="4"/>
      <c r="D665" s="4"/>
      <c r="E665" s="4"/>
      <c r="F665" s="4"/>
      <c r="G665" s="4"/>
    </row>
    <row r="666">
      <c r="A666" s="4"/>
      <c r="B666" s="4"/>
      <c r="C666" s="4"/>
      <c r="D666" s="4"/>
      <c r="E666" s="4"/>
      <c r="F666" s="4"/>
      <c r="G666" s="4"/>
    </row>
    <row r="667">
      <c r="A667" s="4"/>
      <c r="B667" s="4"/>
      <c r="C667" s="4"/>
      <c r="D667" s="4"/>
      <c r="E667" s="4"/>
      <c r="F667" s="4"/>
      <c r="G667" s="4"/>
    </row>
    <row r="668">
      <c r="A668" s="4"/>
      <c r="B668" s="4"/>
      <c r="C668" s="4"/>
      <c r="D668" s="4"/>
      <c r="E668" s="4"/>
      <c r="F668" s="4"/>
      <c r="G668" s="4"/>
    </row>
    <row r="669">
      <c r="A669" s="4"/>
      <c r="B669" s="4"/>
      <c r="C669" s="4"/>
      <c r="D669" s="4"/>
      <c r="E669" s="4"/>
      <c r="F669" s="4"/>
      <c r="G669" s="4"/>
    </row>
    <row r="670">
      <c r="A670" s="4"/>
      <c r="B670" s="4"/>
      <c r="C670" s="4"/>
      <c r="D670" s="4"/>
      <c r="E670" s="4"/>
      <c r="F670" s="4"/>
      <c r="G670" s="4"/>
    </row>
    <row r="671">
      <c r="A671" s="4"/>
      <c r="B671" s="4"/>
      <c r="C671" s="4"/>
      <c r="D671" s="4"/>
      <c r="E671" s="4"/>
      <c r="F671" s="4"/>
      <c r="G671" s="4"/>
    </row>
    <row r="672">
      <c r="A672" s="4"/>
      <c r="B672" s="4"/>
      <c r="C672" s="4"/>
      <c r="D672" s="4"/>
      <c r="E672" s="4"/>
      <c r="F672" s="4"/>
      <c r="G672" s="4"/>
    </row>
    <row r="673">
      <c r="A673" s="4"/>
      <c r="B673" s="4"/>
      <c r="C673" s="4"/>
      <c r="D673" s="4"/>
      <c r="E673" s="4"/>
      <c r="F673" s="4"/>
      <c r="G673" s="4"/>
    </row>
    <row r="674">
      <c r="A674" s="4"/>
      <c r="B674" s="4"/>
      <c r="C674" s="4"/>
      <c r="D674" s="4"/>
      <c r="E674" s="4"/>
      <c r="F674" s="4"/>
      <c r="G674" s="4"/>
    </row>
    <row r="675">
      <c r="A675" s="4"/>
      <c r="B675" s="4"/>
      <c r="C675" s="4"/>
      <c r="D675" s="4"/>
      <c r="E675" s="4"/>
      <c r="F675" s="4"/>
      <c r="G675" s="4"/>
    </row>
    <row r="676">
      <c r="A676" s="4"/>
      <c r="B676" s="4"/>
      <c r="C676" s="4"/>
      <c r="D676" s="4"/>
      <c r="E676" s="4"/>
      <c r="F676" s="4"/>
      <c r="G676" s="4"/>
    </row>
    <row r="677">
      <c r="A677" s="4"/>
      <c r="B677" s="4"/>
      <c r="C677" s="4"/>
      <c r="D677" s="4"/>
      <c r="E677" s="4"/>
      <c r="F677" s="4"/>
      <c r="G677" s="4"/>
    </row>
    <row r="678">
      <c r="A678" s="4"/>
      <c r="B678" s="4"/>
      <c r="C678" s="4"/>
      <c r="D678" s="4"/>
      <c r="E678" s="4"/>
      <c r="F678" s="4"/>
      <c r="G678" s="4"/>
    </row>
    <row r="679">
      <c r="A679" s="4"/>
      <c r="B679" s="4"/>
      <c r="C679" s="4"/>
      <c r="D679" s="4"/>
      <c r="E679" s="4"/>
      <c r="F679" s="4"/>
      <c r="G679" s="4"/>
    </row>
    <row r="680">
      <c r="A680" s="4"/>
      <c r="B680" s="4"/>
      <c r="C680" s="4"/>
      <c r="D680" s="4"/>
      <c r="E680" s="4"/>
      <c r="F680" s="4"/>
      <c r="G680" s="4"/>
    </row>
    <row r="681">
      <c r="A681" s="4"/>
      <c r="B681" s="4"/>
      <c r="C681" s="4"/>
      <c r="D681" s="4"/>
      <c r="E681" s="4"/>
      <c r="F681" s="4"/>
      <c r="G681" s="4"/>
    </row>
    <row r="682">
      <c r="A682" s="4"/>
      <c r="B682" s="4"/>
      <c r="C682" s="4"/>
      <c r="D682" s="4"/>
      <c r="E682" s="4"/>
      <c r="F682" s="4"/>
      <c r="G682" s="4"/>
    </row>
    <row r="683">
      <c r="A683" s="4"/>
      <c r="B683" s="4"/>
      <c r="C683" s="4"/>
      <c r="D683" s="4"/>
      <c r="E683" s="4"/>
      <c r="F683" s="4"/>
      <c r="G683" s="4"/>
    </row>
    <row r="684">
      <c r="A684" s="4"/>
      <c r="B684" s="4"/>
      <c r="C684" s="4"/>
      <c r="D684" s="4"/>
      <c r="E684" s="4"/>
      <c r="F684" s="4"/>
      <c r="G684" s="4"/>
    </row>
    <row r="685">
      <c r="A685" s="4"/>
      <c r="B685" s="4"/>
      <c r="C685" s="4"/>
      <c r="D685" s="4"/>
      <c r="E685" s="4"/>
      <c r="F685" s="4"/>
      <c r="G685" s="4"/>
    </row>
    <row r="686">
      <c r="A686" s="4"/>
      <c r="B686" s="4"/>
      <c r="C686" s="4"/>
      <c r="D686" s="4"/>
      <c r="E686" s="4"/>
      <c r="F686" s="4"/>
      <c r="G686" s="4"/>
    </row>
    <row r="687">
      <c r="A687" s="4"/>
      <c r="B687" s="4"/>
      <c r="C687" s="4"/>
      <c r="D687" s="4"/>
      <c r="E687" s="4"/>
      <c r="F687" s="4"/>
      <c r="G687" s="4"/>
    </row>
    <row r="688">
      <c r="A688" s="4"/>
      <c r="B688" s="4"/>
      <c r="C688" s="4"/>
      <c r="D688" s="4"/>
      <c r="E688" s="4"/>
      <c r="F688" s="4"/>
      <c r="G688" s="4"/>
    </row>
    <row r="689">
      <c r="A689" s="4"/>
      <c r="B689" s="4"/>
      <c r="C689" s="4"/>
      <c r="D689" s="4"/>
      <c r="E689" s="4"/>
      <c r="F689" s="4"/>
      <c r="G689" s="4"/>
    </row>
    <row r="690">
      <c r="A690" s="4"/>
      <c r="B690" s="4"/>
      <c r="C690" s="4"/>
      <c r="D690" s="4"/>
      <c r="E690" s="4"/>
      <c r="F690" s="4"/>
      <c r="G690" s="4"/>
    </row>
    <row r="691">
      <c r="A691" s="4"/>
      <c r="B691" s="4"/>
      <c r="C691" s="4"/>
      <c r="D691" s="4"/>
      <c r="E691" s="4"/>
      <c r="F691" s="4"/>
      <c r="G691" s="4"/>
    </row>
    <row r="692">
      <c r="A692" s="4"/>
      <c r="B692" s="4"/>
      <c r="C692" s="4"/>
      <c r="D692" s="4"/>
      <c r="E692" s="4"/>
      <c r="F692" s="4"/>
      <c r="G692" s="4"/>
    </row>
    <row r="693">
      <c r="A693" s="4"/>
      <c r="B693" s="4"/>
      <c r="C693" s="4"/>
      <c r="D693" s="4"/>
      <c r="E693" s="4"/>
      <c r="F693" s="4"/>
      <c r="G693" s="4"/>
    </row>
    <row r="694">
      <c r="A694" s="4"/>
      <c r="B694" s="4"/>
      <c r="C694" s="4"/>
      <c r="D694" s="4"/>
      <c r="E694" s="4"/>
      <c r="F694" s="4"/>
      <c r="G694" s="4"/>
    </row>
    <row r="695">
      <c r="A695" s="4"/>
      <c r="B695" s="4"/>
      <c r="C695" s="4"/>
      <c r="D695" s="4"/>
      <c r="E695" s="4"/>
      <c r="F695" s="4"/>
      <c r="G695" s="4"/>
    </row>
    <row r="696">
      <c r="A696" s="4"/>
      <c r="B696" s="4"/>
      <c r="C696" s="4"/>
      <c r="D696" s="4"/>
      <c r="E696" s="4"/>
      <c r="F696" s="4"/>
      <c r="G696" s="4"/>
    </row>
    <row r="697">
      <c r="A697" s="4"/>
      <c r="B697" s="4"/>
      <c r="C697" s="4"/>
      <c r="D697" s="4"/>
      <c r="E697" s="4"/>
      <c r="F697" s="4"/>
      <c r="G697" s="4"/>
    </row>
    <row r="698">
      <c r="A698" s="4"/>
      <c r="B698" s="4"/>
      <c r="C698" s="4"/>
      <c r="D698" s="4"/>
      <c r="E698" s="4"/>
      <c r="F698" s="4"/>
      <c r="G698" s="4"/>
    </row>
    <row r="699">
      <c r="A699" s="4"/>
      <c r="B699" s="4"/>
      <c r="C699" s="4"/>
      <c r="D699" s="4"/>
      <c r="E699" s="4"/>
      <c r="F699" s="4"/>
      <c r="G699" s="4"/>
    </row>
    <row r="700">
      <c r="A700" s="4"/>
      <c r="B700" s="4"/>
      <c r="C700" s="4"/>
      <c r="D700" s="4"/>
      <c r="E700" s="4"/>
      <c r="F700" s="4"/>
      <c r="G700" s="4"/>
    </row>
    <row r="701">
      <c r="A701" s="4"/>
      <c r="B701" s="4"/>
      <c r="C701" s="4"/>
      <c r="D701" s="4"/>
      <c r="E701" s="4"/>
      <c r="F701" s="4"/>
      <c r="G701" s="4"/>
    </row>
    <row r="702">
      <c r="A702" s="4"/>
      <c r="B702" s="4"/>
      <c r="C702" s="4"/>
      <c r="D702" s="4"/>
      <c r="E702" s="4"/>
      <c r="F702" s="4"/>
      <c r="G702" s="4"/>
    </row>
    <row r="703">
      <c r="A703" s="4"/>
      <c r="B703" s="4"/>
      <c r="C703" s="4"/>
      <c r="D703" s="4"/>
      <c r="E703" s="4"/>
      <c r="F703" s="4"/>
      <c r="G703" s="4"/>
    </row>
    <row r="704">
      <c r="A704" s="4"/>
      <c r="B704" s="4"/>
      <c r="C704" s="4"/>
      <c r="D704" s="4"/>
      <c r="E704" s="4"/>
      <c r="F704" s="4"/>
      <c r="G704" s="4"/>
    </row>
    <row r="705">
      <c r="A705" s="4"/>
      <c r="B705" s="4"/>
      <c r="C705" s="4"/>
      <c r="D705" s="4"/>
      <c r="E705" s="4"/>
      <c r="F705" s="4"/>
      <c r="G705" s="4"/>
    </row>
    <row r="706">
      <c r="A706" s="4"/>
      <c r="B706" s="4"/>
      <c r="C706" s="4"/>
      <c r="D706" s="4"/>
      <c r="E706" s="4"/>
      <c r="F706" s="4"/>
      <c r="G706" s="4"/>
    </row>
    <row r="707">
      <c r="A707" s="4"/>
      <c r="B707" s="4"/>
      <c r="C707" s="4"/>
      <c r="D707" s="4"/>
      <c r="E707" s="4"/>
      <c r="F707" s="4"/>
      <c r="G707" s="4"/>
    </row>
    <row r="708">
      <c r="A708" s="4"/>
      <c r="B708" s="4"/>
      <c r="C708" s="4"/>
      <c r="D708" s="4"/>
      <c r="E708" s="4"/>
      <c r="F708" s="4"/>
      <c r="G708" s="4"/>
    </row>
    <row r="709">
      <c r="A709" s="4"/>
      <c r="B709" s="4"/>
      <c r="C709" s="4"/>
      <c r="D709" s="4"/>
      <c r="E709" s="4"/>
      <c r="F709" s="4"/>
      <c r="G709" s="4"/>
    </row>
    <row r="710">
      <c r="A710" s="4"/>
      <c r="B710" s="4"/>
      <c r="C710" s="4"/>
      <c r="D710" s="4"/>
      <c r="E710" s="4"/>
      <c r="F710" s="4"/>
      <c r="G710" s="4"/>
    </row>
    <row r="711">
      <c r="A711" s="4"/>
      <c r="B711" s="4"/>
      <c r="C711" s="4"/>
      <c r="D711" s="4"/>
      <c r="E711" s="4"/>
      <c r="F711" s="4"/>
      <c r="G711" s="4"/>
    </row>
    <row r="712">
      <c r="A712" s="4"/>
      <c r="B712" s="4"/>
      <c r="C712" s="4"/>
      <c r="D712" s="4"/>
      <c r="E712" s="4"/>
      <c r="F712" s="4"/>
      <c r="G712" s="4"/>
    </row>
    <row r="713">
      <c r="A713" s="4"/>
      <c r="B713" s="4"/>
      <c r="C713" s="4"/>
      <c r="D713" s="4"/>
      <c r="E713" s="4"/>
      <c r="F713" s="4"/>
      <c r="G713" s="4"/>
    </row>
    <row r="714">
      <c r="A714" s="4"/>
      <c r="B714" s="4"/>
      <c r="C714" s="4"/>
      <c r="D714" s="4"/>
      <c r="E714" s="4"/>
      <c r="F714" s="4"/>
      <c r="G714" s="4"/>
    </row>
    <row r="715">
      <c r="A715" s="4"/>
      <c r="B715" s="4"/>
      <c r="C715" s="4"/>
      <c r="D715" s="4"/>
      <c r="E715" s="4"/>
      <c r="F715" s="4"/>
      <c r="G715" s="4"/>
    </row>
    <row r="716">
      <c r="A716" s="4"/>
      <c r="B716" s="4"/>
      <c r="C716" s="4"/>
      <c r="D716" s="4"/>
      <c r="E716" s="4"/>
      <c r="F716" s="4"/>
      <c r="G716" s="4"/>
    </row>
    <row r="717">
      <c r="A717" s="4"/>
      <c r="B717" s="4"/>
      <c r="C717" s="4"/>
      <c r="D717" s="4"/>
      <c r="E717" s="4"/>
      <c r="F717" s="4"/>
      <c r="G717" s="4"/>
    </row>
    <row r="718">
      <c r="A718" s="4"/>
      <c r="B718" s="4"/>
      <c r="C718" s="4"/>
      <c r="D718" s="4"/>
      <c r="E718" s="4"/>
      <c r="F718" s="4"/>
      <c r="G718" s="4"/>
    </row>
    <row r="719">
      <c r="A719" s="4"/>
      <c r="B719" s="4"/>
      <c r="C719" s="4"/>
      <c r="D719" s="4"/>
      <c r="E719" s="4"/>
      <c r="F719" s="4"/>
      <c r="G719" s="4"/>
    </row>
    <row r="720">
      <c r="A720" s="4"/>
      <c r="B720" s="4"/>
      <c r="C720" s="4"/>
      <c r="D720" s="4"/>
      <c r="E720" s="4"/>
      <c r="F720" s="4"/>
      <c r="G720" s="4"/>
    </row>
    <row r="721">
      <c r="A721" s="4"/>
      <c r="B721" s="4"/>
      <c r="C721" s="4"/>
      <c r="D721" s="4"/>
      <c r="E721" s="4"/>
      <c r="F721" s="4"/>
      <c r="G721" s="4"/>
    </row>
    <row r="722">
      <c r="A722" s="4"/>
      <c r="B722" s="4"/>
      <c r="C722" s="4"/>
      <c r="D722" s="4"/>
      <c r="E722" s="4"/>
      <c r="F722" s="4"/>
      <c r="G722" s="4"/>
    </row>
    <row r="723">
      <c r="A723" s="4"/>
      <c r="B723" s="4"/>
      <c r="C723" s="4"/>
      <c r="D723" s="4"/>
      <c r="E723" s="4"/>
      <c r="F723" s="4"/>
      <c r="G723" s="4"/>
    </row>
    <row r="724">
      <c r="A724" s="4"/>
      <c r="B724" s="4"/>
      <c r="C724" s="4"/>
      <c r="D724" s="4"/>
      <c r="E724" s="4"/>
      <c r="F724" s="4"/>
      <c r="G724" s="4"/>
    </row>
    <row r="725">
      <c r="A725" s="4"/>
      <c r="B725" s="4"/>
      <c r="C725" s="4"/>
      <c r="D725" s="4"/>
      <c r="E725" s="4"/>
      <c r="F725" s="4"/>
      <c r="G725" s="4"/>
    </row>
    <row r="726">
      <c r="A726" s="4"/>
      <c r="B726" s="4"/>
      <c r="C726" s="4"/>
      <c r="D726" s="4"/>
      <c r="E726" s="4"/>
      <c r="F726" s="4"/>
      <c r="G726" s="4"/>
    </row>
    <row r="727">
      <c r="A727" s="4"/>
      <c r="B727" s="4"/>
      <c r="C727" s="4"/>
      <c r="D727" s="4"/>
      <c r="E727" s="4"/>
      <c r="F727" s="4"/>
      <c r="G727" s="4"/>
    </row>
    <row r="728">
      <c r="A728" s="4"/>
      <c r="B728" s="4"/>
      <c r="C728" s="4"/>
      <c r="D728" s="4"/>
      <c r="E728" s="4"/>
      <c r="F728" s="4"/>
      <c r="G728" s="4"/>
    </row>
    <row r="729">
      <c r="A729" s="4"/>
      <c r="B729" s="4"/>
      <c r="C729" s="4"/>
      <c r="D729" s="4"/>
      <c r="E729" s="4"/>
      <c r="F729" s="4"/>
      <c r="G729" s="4"/>
    </row>
    <row r="730">
      <c r="A730" s="4"/>
      <c r="B730" s="4"/>
      <c r="C730" s="4"/>
      <c r="D730" s="4"/>
      <c r="E730" s="4"/>
      <c r="F730" s="4"/>
      <c r="G730" s="4"/>
    </row>
    <row r="731">
      <c r="A731" s="4"/>
      <c r="B731" s="4"/>
      <c r="C731" s="4"/>
      <c r="D731" s="4"/>
      <c r="E731" s="4"/>
      <c r="F731" s="4"/>
      <c r="G731" s="4"/>
    </row>
    <row r="732">
      <c r="A732" s="4"/>
      <c r="B732" s="4"/>
      <c r="C732" s="4"/>
      <c r="D732" s="4"/>
      <c r="E732" s="4"/>
      <c r="F732" s="4"/>
      <c r="G732" s="4"/>
    </row>
    <row r="733">
      <c r="A733" s="4"/>
      <c r="B733" s="4"/>
      <c r="C733" s="4"/>
      <c r="D733" s="4"/>
      <c r="E733" s="4"/>
      <c r="F733" s="4"/>
      <c r="G733" s="4"/>
    </row>
    <row r="734">
      <c r="A734" s="4"/>
      <c r="B734" s="4"/>
      <c r="C734" s="4"/>
      <c r="D734" s="4"/>
      <c r="E734" s="4"/>
      <c r="F734" s="4"/>
      <c r="G734" s="4"/>
    </row>
    <row r="735">
      <c r="A735" s="4"/>
      <c r="B735" s="4"/>
      <c r="C735" s="4"/>
      <c r="D735" s="4"/>
      <c r="E735" s="4"/>
      <c r="F735" s="4"/>
      <c r="G735" s="4"/>
    </row>
    <row r="736">
      <c r="A736" s="4"/>
      <c r="B736" s="4"/>
      <c r="C736" s="4"/>
      <c r="D736" s="4"/>
      <c r="E736" s="4"/>
      <c r="F736" s="4"/>
      <c r="G736" s="4"/>
    </row>
    <row r="737">
      <c r="A737" s="4"/>
      <c r="B737" s="4"/>
      <c r="C737" s="4"/>
      <c r="D737" s="4"/>
      <c r="E737" s="4"/>
      <c r="F737" s="4"/>
      <c r="G737" s="4"/>
    </row>
    <row r="738">
      <c r="A738" s="4"/>
      <c r="B738" s="4"/>
      <c r="C738" s="4"/>
      <c r="D738" s="4"/>
      <c r="E738" s="4"/>
      <c r="F738" s="4"/>
      <c r="G738" s="4"/>
    </row>
    <row r="739">
      <c r="A739" s="4"/>
      <c r="B739" s="4"/>
      <c r="C739" s="4"/>
      <c r="D739" s="4"/>
      <c r="E739" s="4"/>
      <c r="F739" s="4"/>
      <c r="G739" s="4"/>
    </row>
    <row r="740">
      <c r="A740" s="4"/>
      <c r="B740" s="4"/>
      <c r="C740" s="4"/>
      <c r="D740" s="4"/>
      <c r="E740" s="4"/>
      <c r="F740" s="4"/>
      <c r="G740" s="4"/>
    </row>
    <row r="741">
      <c r="A741" s="4"/>
      <c r="B741" s="4"/>
      <c r="C741" s="4"/>
      <c r="D741" s="4"/>
      <c r="E741" s="4"/>
      <c r="F741" s="4"/>
      <c r="G741" s="4"/>
    </row>
    <row r="742">
      <c r="A742" s="4"/>
      <c r="B742" s="4"/>
      <c r="C742" s="4"/>
      <c r="D742" s="4"/>
      <c r="E742" s="4"/>
      <c r="F742" s="4"/>
      <c r="G742" s="4"/>
    </row>
    <row r="743">
      <c r="A743" s="4"/>
      <c r="B743" s="4"/>
      <c r="C743" s="4"/>
      <c r="D743" s="4"/>
      <c r="E743" s="4"/>
      <c r="F743" s="4"/>
      <c r="G743" s="4"/>
    </row>
    <row r="744">
      <c r="A744" s="4"/>
      <c r="B744" s="4"/>
      <c r="C744" s="4"/>
      <c r="D744" s="4"/>
      <c r="E744" s="4"/>
      <c r="F744" s="4"/>
      <c r="G744" s="4"/>
    </row>
    <row r="745">
      <c r="A745" s="4"/>
      <c r="B745" s="4"/>
      <c r="C745" s="4"/>
      <c r="D745" s="4"/>
      <c r="E745" s="4"/>
      <c r="F745" s="4"/>
      <c r="G745" s="4"/>
    </row>
    <row r="746">
      <c r="A746" s="4"/>
      <c r="B746" s="4"/>
      <c r="C746" s="4"/>
      <c r="D746" s="4"/>
      <c r="E746" s="4"/>
      <c r="F746" s="4"/>
      <c r="G746" s="4"/>
    </row>
    <row r="747">
      <c r="A747" s="4"/>
      <c r="B747" s="4"/>
      <c r="C747" s="4"/>
      <c r="D747" s="4"/>
      <c r="E747" s="4"/>
      <c r="F747" s="4"/>
      <c r="G747" s="4"/>
    </row>
    <row r="748">
      <c r="A748" s="4"/>
      <c r="B748" s="4"/>
      <c r="C748" s="4"/>
      <c r="D748" s="4"/>
      <c r="E748" s="4"/>
      <c r="F748" s="4"/>
      <c r="G748" s="4"/>
    </row>
    <row r="749">
      <c r="A749" s="4"/>
      <c r="B749" s="4"/>
      <c r="C749" s="4"/>
      <c r="D749" s="4"/>
      <c r="E749" s="4"/>
      <c r="F749" s="4"/>
      <c r="G749" s="4"/>
    </row>
    <row r="750">
      <c r="A750" s="4"/>
      <c r="B750" s="4"/>
      <c r="C750" s="4"/>
      <c r="D750" s="4"/>
      <c r="E750" s="4"/>
      <c r="F750" s="4"/>
      <c r="G750" s="4"/>
    </row>
    <row r="751">
      <c r="A751" s="4"/>
      <c r="B751" s="4"/>
      <c r="C751" s="4"/>
      <c r="D751" s="4"/>
      <c r="E751" s="4"/>
      <c r="F751" s="4"/>
      <c r="G751" s="4"/>
    </row>
    <row r="752">
      <c r="A752" s="4"/>
      <c r="B752" s="4"/>
      <c r="C752" s="4"/>
      <c r="D752" s="4"/>
      <c r="E752" s="4"/>
      <c r="F752" s="4"/>
      <c r="G752" s="4"/>
    </row>
    <row r="753">
      <c r="A753" s="4"/>
      <c r="B753" s="4"/>
      <c r="C753" s="4"/>
      <c r="D753" s="4"/>
      <c r="E753" s="4"/>
      <c r="F753" s="4"/>
      <c r="G753" s="4"/>
    </row>
    <row r="754">
      <c r="A754" s="4"/>
      <c r="B754" s="4"/>
      <c r="C754" s="4"/>
      <c r="D754" s="4"/>
      <c r="E754" s="4"/>
      <c r="F754" s="4"/>
      <c r="G754" s="4"/>
    </row>
    <row r="755">
      <c r="A755" s="4"/>
      <c r="B755" s="4"/>
      <c r="C755" s="4"/>
      <c r="D755" s="4"/>
      <c r="E755" s="4"/>
      <c r="F755" s="4"/>
      <c r="G755" s="4"/>
    </row>
    <row r="756">
      <c r="A756" s="4"/>
      <c r="B756" s="4"/>
      <c r="C756" s="4"/>
      <c r="D756" s="4"/>
      <c r="E756" s="4"/>
      <c r="F756" s="4"/>
      <c r="G756" s="4"/>
    </row>
    <row r="757">
      <c r="A757" s="4"/>
      <c r="B757" s="4"/>
      <c r="C757" s="4"/>
      <c r="D757" s="4"/>
      <c r="E757" s="4"/>
      <c r="F757" s="4"/>
      <c r="G757" s="4"/>
    </row>
    <row r="758">
      <c r="A758" s="4"/>
      <c r="B758" s="4"/>
      <c r="C758" s="4"/>
      <c r="D758" s="4"/>
      <c r="E758" s="4"/>
      <c r="F758" s="4"/>
      <c r="G758" s="4"/>
    </row>
    <row r="759">
      <c r="A759" s="4"/>
      <c r="B759" s="4"/>
      <c r="C759" s="4"/>
      <c r="D759" s="4"/>
      <c r="E759" s="4"/>
      <c r="F759" s="4"/>
      <c r="G759" s="4"/>
    </row>
    <row r="760">
      <c r="A760" s="4"/>
      <c r="B760" s="4"/>
      <c r="C760" s="4"/>
      <c r="D760" s="4"/>
      <c r="E760" s="4"/>
      <c r="F760" s="4"/>
      <c r="G760" s="4"/>
    </row>
    <row r="761">
      <c r="A761" s="4"/>
      <c r="B761" s="4"/>
      <c r="C761" s="4"/>
      <c r="D761" s="4"/>
      <c r="E761" s="4"/>
      <c r="F761" s="4"/>
      <c r="G761" s="4"/>
    </row>
    <row r="762">
      <c r="A762" s="4"/>
      <c r="B762" s="4"/>
      <c r="C762" s="4"/>
      <c r="D762" s="4"/>
      <c r="E762" s="4"/>
      <c r="F762" s="4"/>
      <c r="G762" s="4"/>
    </row>
    <row r="763">
      <c r="A763" s="4"/>
      <c r="B763" s="4"/>
      <c r="C763" s="4"/>
      <c r="D763" s="4"/>
      <c r="E763" s="4"/>
      <c r="F763" s="4"/>
      <c r="G763" s="4"/>
    </row>
    <row r="764">
      <c r="A764" s="4"/>
      <c r="B764" s="4"/>
      <c r="C764" s="4"/>
      <c r="D764" s="4"/>
      <c r="E764" s="4"/>
      <c r="F764" s="4"/>
      <c r="G764" s="4"/>
    </row>
    <row r="765">
      <c r="A765" s="4"/>
      <c r="B765" s="4"/>
      <c r="C765" s="4"/>
      <c r="D765" s="4"/>
      <c r="E765" s="4"/>
      <c r="F765" s="4"/>
      <c r="G765" s="4"/>
    </row>
    <row r="766">
      <c r="A766" s="4"/>
      <c r="B766" s="4"/>
      <c r="C766" s="4"/>
      <c r="D766" s="4"/>
      <c r="E766" s="4"/>
      <c r="F766" s="4"/>
      <c r="G766" s="4"/>
    </row>
    <row r="767">
      <c r="A767" s="4"/>
      <c r="B767" s="4"/>
      <c r="C767" s="4"/>
      <c r="D767" s="4"/>
      <c r="E767" s="4"/>
      <c r="F767" s="4"/>
      <c r="G767" s="4"/>
    </row>
    <row r="768">
      <c r="A768" s="4"/>
      <c r="B768" s="4"/>
      <c r="C768" s="4"/>
      <c r="D768" s="4"/>
      <c r="E768" s="4"/>
      <c r="F768" s="4"/>
      <c r="G768" s="4"/>
    </row>
    <row r="769">
      <c r="A769" s="4"/>
      <c r="B769" s="4"/>
      <c r="C769" s="4"/>
      <c r="D769" s="4"/>
      <c r="E769" s="4"/>
      <c r="F769" s="4"/>
      <c r="G769" s="4"/>
    </row>
    <row r="770">
      <c r="A770" s="4"/>
      <c r="B770" s="4"/>
      <c r="C770" s="4"/>
      <c r="D770" s="4"/>
      <c r="E770" s="4"/>
      <c r="F770" s="4"/>
      <c r="G770" s="4"/>
    </row>
    <row r="771">
      <c r="A771" s="4"/>
      <c r="B771" s="4"/>
      <c r="C771" s="4"/>
      <c r="D771" s="4"/>
      <c r="E771" s="4"/>
      <c r="F771" s="4"/>
      <c r="G771" s="4"/>
    </row>
    <row r="772">
      <c r="A772" s="4"/>
      <c r="B772" s="4"/>
      <c r="C772" s="4"/>
      <c r="D772" s="4"/>
      <c r="E772" s="4"/>
      <c r="F772" s="4"/>
      <c r="G772" s="4"/>
    </row>
    <row r="773">
      <c r="A773" s="4"/>
      <c r="B773" s="4"/>
      <c r="C773" s="4"/>
      <c r="D773" s="4"/>
      <c r="E773" s="4"/>
      <c r="F773" s="4"/>
      <c r="G773" s="4"/>
    </row>
    <row r="774">
      <c r="A774" s="4"/>
      <c r="B774" s="4"/>
      <c r="C774" s="4"/>
      <c r="D774" s="4"/>
      <c r="E774" s="4"/>
      <c r="F774" s="4"/>
      <c r="G774" s="4"/>
    </row>
    <row r="775">
      <c r="A775" s="4"/>
      <c r="B775" s="4"/>
      <c r="C775" s="4"/>
      <c r="D775" s="4"/>
      <c r="E775" s="4"/>
      <c r="F775" s="4"/>
      <c r="G775" s="4"/>
    </row>
    <row r="776">
      <c r="A776" s="4"/>
      <c r="B776" s="4"/>
      <c r="C776" s="4"/>
      <c r="D776" s="4"/>
      <c r="E776" s="4"/>
      <c r="F776" s="4"/>
      <c r="G776" s="4"/>
    </row>
    <row r="777">
      <c r="A777" s="4"/>
      <c r="B777" s="4"/>
      <c r="C777" s="4"/>
      <c r="D777" s="4"/>
      <c r="E777" s="4"/>
      <c r="F777" s="4"/>
      <c r="G777" s="4"/>
    </row>
    <row r="778">
      <c r="A778" s="4"/>
      <c r="B778" s="4"/>
      <c r="C778" s="4"/>
      <c r="D778" s="4"/>
      <c r="E778" s="4"/>
      <c r="F778" s="4"/>
      <c r="G778" s="4"/>
    </row>
    <row r="779">
      <c r="A779" s="4"/>
      <c r="B779" s="4"/>
      <c r="C779" s="4"/>
      <c r="D779" s="4"/>
      <c r="E779" s="4"/>
      <c r="F779" s="4"/>
      <c r="G779" s="4"/>
    </row>
    <row r="780">
      <c r="A780" s="4"/>
      <c r="B780" s="4"/>
      <c r="C780" s="4"/>
      <c r="D780" s="4"/>
      <c r="E780" s="4"/>
      <c r="F780" s="4"/>
      <c r="G780" s="4"/>
    </row>
    <row r="781">
      <c r="A781" s="4"/>
      <c r="B781" s="4"/>
      <c r="C781" s="4"/>
      <c r="D781" s="4"/>
      <c r="E781" s="4"/>
      <c r="F781" s="4"/>
      <c r="G781" s="4"/>
    </row>
    <row r="782">
      <c r="A782" s="4"/>
      <c r="B782" s="4"/>
      <c r="C782" s="4"/>
      <c r="D782" s="4"/>
      <c r="E782" s="4"/>
      <c r="F782" s="4"/>
      <c r="G782" s="4"/>
    </row>
    <row r="783">
      <c r="A783" s="4"/>
      <c r="B783" s="4"/>
      <c r="C783" s="4"/>
      <c r="D783" s="4"/>
      <c r="E783" s="4"/>
      <c r="F783" s="4"/>
      <c r="G783" s="4"/>
    </row>
    <row r="784">
      <c r="A784" s="4"/>
      <c r="B784" s="4"/>
      <c r="C784" s="4"/>
      <c r="D784" s="4"/>
      <c r="E784" s="4"/>
      <c r="F784" s="4"/>
      <c r="G784" s="4"/>
    </row>
    <row r="785">
      <c r="A785" s="4"/>
      <c r="B785" s="4"/>
      <c r="C785" s="4"/>
      <c r="D785" s="4"/>
      <c r="E785" s="4"/>
      <c r="F785" s="4"/>
      <c r="G785" s="4"/>
    </row>
    <row r="786">
      <c r="A786" s="4"/>
      <c r="B786" s="4"/>
      <c r="C786" s="4"/>
      <c r="D786" s="4"/>
      <c r="E786" s="4"/>
      <c r="F786" s="4"/>
      <c r="G786" s="4"/>
    </row>
    <row r="787">
      <c r="A787" s="4"/>
      <c r="B787" s="4"/>
      <c r="C787" s="4"/>
      <c r="D787" s="4"/>
      <c r="E787" s="4"/>
      <c r="F787" s="4"/>
      <c r="G787" s="4"/>
    </row>
    <row r="788">
      <c r="A788" s="4"/>
      <c r="B788" s="4"/>
      <c r="C788" s="4"/>
      <c r="D788" s="4"/>
      <c r="E788" s="4"/>
      <c r="F788" s="4"/>
      <c r="G788" s="4"/>
    </row>
    <row r="789">
      <c r="A789" s="4"/>
      <c r="B789" s="4"/>
      <c r="C789" s="4"/>
      <c r="D789" s="4"/>
      <c r="E789" s="4"/>
      <c r="F789" s="4"/>
      <c r="G789" s="4"/>
    </row>
    <row r="790">
      <c r="A790" s="4"/>
      <c r="B790" s="4"/>
      <c r="C790" s="4"/>
      <c r="D790" s="4"/>
      <c r="E790" s="4"/>
      <c r="F790" s="4"/>
      <c r="G790" s="4"/>
    </row>
    <row r="791">
      <c r="A791" s="4"/>
      <c r="B791" s="4"/>
      <c r="C791" s="4"/>
      <c r="D791" s="4"/>
      <c r="E791" s="4"/>
      <c r="F791" s="4"/>
      <c r="G791" s="4"/>
    </row>
    <row r="792">
      <c r="A792" s="4"/>
      <c r="B792" s="4"/>
      <c r="C792" s="4"/>
      <c r="D792" s="4"/>
      <c r="E792" s="4"/>
      <c r="F792" s="4"/>
      <c r="G792" s="4"/>
    </row>
    <row r="793">
      <c r="A793" s="4"/>
      <c r="B793" s="4"/>
      <c r="C793" s="4"/>
      <c r="D793" s="4"/>
      <c r="E793" s="4"/>
      <c r="F793" s="4"/>
      <c r="G793" s="4"/>
    </row>
    <row r="794">
      <c r="A794" s="4"/>
      <c r="B794" s="4"/>
      <c r="C794" s="4"/>
      <c r="D794" s="4"/>
      <c r="E794" s="4"/>
      <c r="F794" s="4"/>
      <c r="G794" s="4"/>
    </row>
    <row r="795">
      <c r="A795" s="4"/>
      <c r="B795" s="4"/>
      <c r="C795" s="4"/>
      <c r="D795" s="4"/>
      <c r="E795" s="4"/>
      <c r="F795" s="4"/>
      <c r="G795" s="4"/>
    </row>
    <row r="796">
      <c r="A796" s="4"/>
      <c r="B796" s="4"/>
      <c r="C796" s="4"/>
      <c r="D796" s="4"/>
      <c r="E796" s="4"/>
      <c r="F796" s="4"/>
      <c r="G796" s="4"/>
    </row>
    <row r="797">
      <c r="A797" s="4"/>
      <c r="B797" s="4"/>
      <c r="C797" s="4"/>
      <c r="D797" s="4"/>
      <c r="E797" s="4"/>
      <c r="F797" s="4"/>
      <c r="G797" s="4"/>
    </row>
    <row r="798">
      <c r="A798" s="4"/>
      <c r="B798" s="4"/>
      <c r="C798" s="4"/>
      <c r="D798" s="4"/>
      <c r="E798" s="4"/>
      <c r="F798" s="4"/>
      <c r="G798" s="4"/>
    </row>
    <row r="799">
      <c r="A799" s="4"/>
      <c r="B799" s="4"/>
      <c r="C799" s="4"/>
      <c r="D799" s="4"/>
      <c r="E799" s="4"/>
      <c r="F799" s="4"/>
      <c r="G799" s="4"/>
    </row>
    <row r="800">
      <c r="A800" s="4"/>
      <c r="B800" s="4"/>
      <c r="C800" s="4"/>
      <c r="D800" s="4"/>
      <c r="E800" s="4"/>
      <c r="F800" s="4"/>
      <c r="G800" s="4"/>
    </row>
    <row r="801">
      <c r="A801" s="4"/>
      <c r="B801" s="4"/>
      <c r="C801" s="4"/>
      <c r="D801" s="4"/>
      <c r="E801" s="4"/>
      <c r="F801" s="4"/>
      <c r="G801" s="4"/>
    </row>
    <row r="802">
      <c r="A802" s="4"/>
      <c r="B802" s="4"/>
      <c r="C802" s="4"/>
      <c r="D802" s="4"/>
      <c r="E802" s="4"/>
      <c r="F802" s="4"/>
      <c r="G802" s="4"/>
    </row>
    <row r="803">
      <c r="A803" s="4"/>
      <c r="B803" s="4"/>
      <c r="C803" s="4"/>
      <c r="D803" s="4"/>
      <c r="E803" s="4"/>
      <c r="F803" s="4"/>
      <c r="G803" s="4"/>
    </row>
    <row r="804">
      <c r="A804" s="4"/>
      <c r="B804" s="4"/>
      <c r="C804" s="4"/>
      <c r="D804" s="4"/>
      <c r="E804" s="4"/>
      <c r="F804" s="4"/>
      <c r="G804" s="4"/>
    </row>
    <row r="805">
      <c r="A805" s="4"/>
      <c r="B805" s="4"/>
      <c r="C805" s="4"/>
      <c r="D805" s="4"/>
      <c r="E805" s="4"/>
      <c r="F805" s="4"/>
      <c r="G805" s="4"/>
    </row>
    <row r="806">
      <c r="A806" s="4"/>
      <c r="B806" s="4"/>
      <c r="C806" s="4"/>
      <c r="D806" s="4"/>
      <c r="E806" s="4"/>
      <c r="F806" s="4"/>
      <c r="G806" s="4"/>
    </row>
    <row r="807">
      <c r="A807" s="4"/>
      <c r="B807" s="4"/>
      <c r="C807" s="4"/>
      <c r="D807" s="4"/>
      <c r="E807" s="4"/>
      <c r="F807" s="4"/>
      <c r="G807" s="4"/>
    </row>
    <row r="808">
      <c r="A808" s="4"/>
      <c r="B808" s="4"/>
      <c r="C808" s="4"/>
      <c r="D808" s="4"/>
      <c r="E808" s="4"/>
      <c r="F808" s="4"/>
      <c r="G808" s="4"/>
    </row>
    <row r="809">
      <c r="A809" s="4"/>
      <c r="B809" s="4"/>
      <c r="C809" s="4"/>
      <c r="D809" s="4"/>
      <c r="E809" s="4"/>
      <c r="F809" s="4"/>
      <c r="G809" s="4"/>
    </row>
    <row r="810">
      <c r="A810" s="4"/>
      <c r="B810" s="4"/>
      <c r="C810" s="4"/>
      <c r="D810" s="4"/>
      <c r="E810" s="4"/>
      <c r="F810" s="4"/>
      <c r="G810" s="4"/>
    </row>
    <row r="811">
      <c r="A811" s="4"/>
      <c r="B811" s="4"/>
      <c r="C811" s="4"/>
      <c r="D811" s="4"/>
      <c r="E811" s="4"/>
      <c r="F811" s="4"/>
      <c r="G811" s="4"/>
    </row>
    <row r="812">
      <c r="A812" s="4"/>
      <c r="B812" s="4"/>
      <c r="C812" s="4"/>
      <c r="D812" s="4"/>
      <c r="E812" s="4"/>
      <c r="F812" s="4"/>
      <c r="G812" s="4"/>
    </row>
    <row r="813">
      <c r="A813" s="4"/>
      <c r="B813" s="4"/>
      <c r="C813" s="4"/>
      <c r="D813" s="4"/>
      <c r="E813" s="4"/>
      <c r="F813" s="4"/>
      <c r="G813" s="4"/>
    </row>
    <row r="814">
      <c r="A814" s="4"/>
      <c r="B814" s="4"/>
      <c r="C814" s="4"/>
      <c r="D814" s="4"/>
      <c r="E814" s="4"/>
      <c r="F814" s="4"/>
      <c r="G814" s="4"/>
    </row>
    <row r="815">
      <c r="A815" s="4"/>
      <c r="B815" s="4"/>
      <c r="C815" s="4"/>
      <c r="D815" s="4"/>
      <c r="E815" s="4"/>
      <c r="F815" s="4"/>
      <c r="G815" s="4"/>
    </row>
    <row r="816">
      <c r="A816" s="4"/>
      <c r="B816" s="4"/>
      <c r="C816" s="4"/>
      <c r="D816" s="4"/>
      <c r="E816" s="4"/>
      <c r="F816" s="4"/>
      <c r="G816" s="4"/>
    </row>
    <row r="817">
      <c r="A817" s="4"/>
      <c r="B817" s="4"/>
      <c r="C817" s="4"/>
      <c r="D817" s="4"/>
      <c r="E817" s="4"/>
      <c r="F817" s="4"/>
      <c r="G817" s="4"/>
    </row>
    <row r="818">
      <c r="A818" s="4"/>
      <c r="B818" s="4"/>
      <c r="C818" s="4"/>
      <c r="D818" s="4"/>
      <c r="E818" s="4"/>
      <c r="F818" s="4"/>
      <c r="G818" s="4"/>
    </row>
    <row r="819">
      <c r="A819" s="4"/>
      <c r="B819" s="4"/>
      <c r="C819" s="4"/>
      <c r="D819" s="4"/>
      <c r="E819" s="4"/>
      <c r="F819" s="4"/>
      <c r="G819" s="4"/>
    </row>
    <row r="820">
      <c r="A820" s="4"/>
      <c r="B820" s="4"/>
      <c r="C820" s="4"/>
      <c r="D820" s="4"/>
      <c r="E820" s="4"/>
      <c r="F820" s="4"/>
      <c r="G820" s="4"/>
    </row>
    <row r="821">
      <c r="A821" s="4"/>
      <c r="B821" s="4"/>
      <c r="C821" s="4"/>
      <c r="D821" s="4"/>
      <c r="E821" s="4"/>
      <c r="F821" s="4"/>
      <c r="G821" s="4"/>
    </row>
    <row r="822">
      <c r="A822" s="4"/>
      <c r="B822" s="4"/>
      <c r="C822" s="4"/>
      <c r="D822" s="4"/>
      <c r="E822" s="4"/>
      <c r="F822" s="4"/>
      <c r="G822" s="4"/>
    </row>
    <row r="823">
      <c r="A823" s="4"/>
      <c r="B823" s="4"/>
      <c r="C823" s="4"/>
      <c r="D823" s="4"/>
      <c r="E823" s="4"/>
      <c r="F823" s="4"/>
      <c r="G823" s="4"/>
    </row>
    <row r="824">
      <c r="A824" s="4"/>
      <c r="B824" s="4"/>
      <c r="C824" s="4"/>
      <c r="D824" s="4"/>
      <c r="E824" s="4"/>
      <c r="F824" s="4"/>
      <c r="G824" s="4"/>
    </row>
    <row r="825">
      <c r="A825" s="4"/>
      <c r="B825" s="4"/>
      <c r="C825" s="4"/>
      <c r="D825" s="4"/>
      <c r="E825" s="4"/>
      <c r="F825" s="4"/>
      <c r="G825" s="4"/>
    </row>
    <row r="826">
      <c r="A826" s="4"/>
      <c r="B826" s="4"/>
      <c r="C826" s="4"/>
      <c r="D826" s="4"/>
      <c r="E826" s="4"/>
      <c r="F826" s="4"/>
      <c r="G826" s="4"/>
    </row>
    <row r="827">
      <c r="A827" s="4"/>
      <c r="B827" s="4"/>
      <c r="C827" s="4"/>
      <c r="D827" s="4"/>
      <c r="E827" s="4"/>
      <c r="F827" s="4"/>
      <c r="G827" s="4"/>
    </row>
    <row r="828">
      <c r="A828" s="4"/>
      <c r="B828" s="4"/>
      <c r="C828" s="4"/>
      <c r="D828" s="4"/>
      <c r="E828" s="4"/>
      <c r="F828" s="4"/>
      <c r="G828" s="4"/>
    </row>
    <row r="829">
      <c r="A829" s="4"/>
      <c r="B829" s="4"/>
      <c r="C829" s="4"/>
      <c r="D829" s="4"/>
      <c r="E829" s="4"/>
      <c r="F829" s="4"/>
      <c r="G829" s="4"/>
    </row>
    <row r="830">
      <c r="A830" s="4"/>
      <c r="B830" s="4"/>
      <c r="C830" s="4"/>
      <c r="D830" s="4"/>
      <c r="E830" s="4"/>
      <c r="F830" s="4"/>
      <c r="G830" s="4"/>
    </row>
    <row r="831">
      <c r="A831" s="4"/>
      <c r="B831" s="4"/>
      <c r="C831" s="4"/>
      <c r="D831" s="4"/>
      <c r="E831" s="4"/>
      <c r="F831" s="4"/>
      <c r="G831" s="4"/>
    </row>
    <row r="832">
      <c r="A832" s="4"/>
      <c r="B832" s="4"/>
      <c r="C832" s="4"/>
      <c r="D832" s="4"/>
      <c r="E832" s="4"/>
      <c r="F832" s="4"/>
      <c r="G832" s="4"/>
    </row>
    <row r="833">
      <c r="A833" s="4"/>
      <c r="B833" s="4"/>
      <c r="C833" s="4"/>
      <c r="D833" s="4"/>
      <c r="E833" s="4"/>
      <c r="F833" s="4"/>
      <c r="G833" s="4"/>
    </row>
    <row r="834">
      <c r="A834" s="4"/>
      <c r="B834" s="4"/>
      <c r="C834" s="4"/>
      <c r="D834" s="4"/>
      <c r="E834" s="4"/>
      <c r="F834" s="4"/>
      <c r="G834" s="4"/>
    </row>
    <row r="835">
      <c r="A835" s="4"/>
      <c r="B835" s="4"/>
      <c r="C835" s="4"/>
      <c r="D835" s="4"/>
      <c r="E835" s="4"/>
      <c r="F835" s="4"/>
      <c r="G835" s="4"/>
    </row>
    <row r="836">
      <c r="A836" s="4"/>
      <c r="B836" s="4"/>
      <c r="C836" s="4"/>
      <c r="D836" s="4"/>
      <c r="E836" s="4"/>
      <c r="F836" s="4"/>
      <c r="G836" s="4"/>
    </row>
    <row r="837">
      <c r="A837" s="4"/>
      <c r="B837" s="4"/>
      <c r="C837" s="4"/>
      <c r="D837" s="4"/>
      <c r="E837" s="4"/>
      <c r="F837" s="4"/>
      <c r="G837" s="4"/>
    </row>
    <row r="838">
      <c r="A838" s="4"/>
      <c r="B838" s="4"/>
      <c r="C838" s="4"/>
      <c r="D838" s="4"/>
      <c r="E838" s="4"/>
      <c r="F838" s="4"/>
      <c r="G838" s="4"/>
    </row>
    <row r="839">
      <c r="A839" s="4"/>
      <c r="B839" s="4"/>
      <c r="C839" s="4"/>
      <c r="D839" s="4"/>
      <c r="E839" s="4"/>
      <c r="F839" s="4"/>
      <c r="G839" s="4"/>
    </row>
    <row r="840">
      <c r="A840" s="4"/>
      <c r="B840" s="4"/>
      <c r="C840" s="4"/>
      <c r="D840" s="4"/>
      <c r="E840" s="4"/>
      <c r="F840" s="4"/>
      <c r="G840" s="4"/>
    </row>
    <row r="841">
      <c r="A841" s="4"/>
      <c r="B841" s="4"/>
      <c r="C841" s="4"/>
      <c r="D841" s="4"/>
      <c r="E841" s="4"/>
      <c r="F841" s="4"/>
      <c r="G841" s="4"/>
    </row>
    <row r="842">
      <c r="A842" s="4"/>
      <c r="B842" s="4"/>
      <c r="C842" s="4"/>
      <c r="D842" s="4"/>
      <c r="E842" s="4"/>
      <c r="F842" s="4"/>
      <c r="G842" s="4"/>
    </row>
    <row r="843">
      <c r="A843" s="4"/>
      <c r="B843" s="4"/>
      <c r="C843" s="4"/>
      <c r="D843" s="4"/>
      <c r="E843" s="4"/>
      <c r="F843" s="4"/>
      <c r="G843" s="4"/>
    </row>
    <row r="844">
      <c r="A844" s="4"/>
      <c r="B844" s="4"/>
      <c r="C844" s="4"/>
      <c r="D844" s="4"/>
      <c r="E844" s="4"/>
      <c r="F844" s="4"/>
      <c r="G844" s="4"/>
    </row>
    <row r="845">
      <c r="A845" s="4"/>
      <c r="B845" s="4"/>
      <c r="C845" s="4"/>
      <c r="D845" s="4"/>
      <c r="E845" s="4"/>
      <c r="F845" s="4"/>
      <c r="G845" s="4"/>
    </row>
    <row r="846">
      <c r="A846" s="4"/>
      <c r="B846" s="4"/>
      <c r="C846" s="4"/>
      <c r="D846" s="4"/>
      <c r="E846" s="4"/>
      <c r="F846" s="4"/>
      <c r="G846" s="4"/>
    </row>
    <row r="847">
      <c r="A847" s="4"/>
      <c r="B847" s="4"/>
      <c r="C847" s="4"/>
      <c r="D847" s="4"/>
      <c r="E847" s="4"/>
      <c r="F847" s="4"/>
      <c r="G847" s="4"/>
    </row>
    <row r="848">
      <c r="A848" s="4"/>
      <c r="B848" s="4"/>
      <c r="C848" s="4"/>
      <c r="D848" s="4"/>
      <c r="E848" s="4"/>
      <c r="F848" s="4"/>
      <c r="G848" s="4"/>
    </row>
    <row r="849">
      <c r="A849" s="4"/>
      <c r="B849" s="4"/>
      <c r="C849" s="4"/>
      <c r="D849" s="4"/>
      <c r="E849" s="4"/>
      <c r="F849" s="4"/>
      <c r="G849" s="4"/>
    </row>
    <row r="850">
      <c r="A850" s="4"/>
      <c r="B850" s="4"/>
      <c r="C850" s="4"/>
      <c r="D850" s="4"/>
      <c r="E850" s="4"/>
      <c r="F850" s="4"/>
      <c r="G850" s="4"/>
    </row>
    <row r="851">
      <c r="A851" s="4"/>
      <c r="B851" s="4"/>
      <c r="C851" s="4"/>
      <c r="D851" s="4"/>
      <c r="E851" s="4"/>
      <c r="F851" s="4"/>
      <c r="G851" s="4"/>
    </row>
    <row r="852">
      <c r="A852" s="4"/>
      <c r="B852" s="4"/>
      <c r="C852" s="4"/>
      <c r="D852" s="4"/>
      <c r="E852" s="4"/>
      <c r="F852" s="4"/>
      <c r="G852" s="4"/>
    </row>
    <row r="853">
      <c r="A853" s="4"/>
      <c r="B853" s="4"/>
      <c r="C853" s="4"/>
      <c r="D853" s="4"/>
      <c r="E853" s="4"/>
      <c r="F853" s="4"/>
      <c r="G853" s="4"/>
    </row>
    <row r="854">
      <c r="A854" s="4"/>
      <c r="B854" s="4"/>
      <c r="C854" s="4"/>
      <c r="D854" s="4"/>
      <c r="E854" s="4"/>
      <c r="F854" s="4"/>
      <c r="G854" s="4"/>
    </row>
    <row r="855">
      <c r="A855" s="4"/>
      <c r="B855" s="4"/>
      <c r="C855" s="4"/>
      <c r="D855" s="4"/>
      <c r="E855" s="4"/>
      <c r="F855" s="4"/>
      <c r="G855" s="4"/>
    </row>
    <row r="856">
      <c r="A856" s="4"/>
      <c r="B856" s="4"/>
      <c r="C856" s="4"/>
      <c r="D856" s="4"/>
      <c r="E856" s="4"/>
      <c r="F856" s="4"/>
      <c r="G856" s="4"/>
    </row>
    <row r="857">
      <c r="A857" s="4"/>
      <c r="B857" s="4"/>
      <c r="C857" s="4"/>
      <c r="D857" s="4"/>
      <c r="E857" s="4"/>
      <c r="F857" s="4"/>
      <c r="G857" s="4"/>
    </row>
    <row r="858">
      <c r="A858" s="4"/>
      <c r="B858" s="4"/>
      <c r="C858" s="4"/>
      <c r="D858" s="4"/>
      <c r="E858" s="4"/>
      <c r="F858" s="4"/>
      <c r="G858" s="4"/>
    </row>
    <row r="859">
      <c r="A859" s="4"/>
      <c r="B859" s="4"/>
      <c r="C859" s="4"/>
      <c r="D859" s="4"/>
      <c r="E859" s="4"/>
      <c r="F859" s="4"/>
      <c r="G859" s="4"/>
    </row>
    <row r="860">
      <c r="A860" s="4"/>
      <c r="B860" s="4"/>
      <c r="C860" s="4"/>
      <c r="D860" s="4"/>
      <c r="E860" s="4"/>
      <c r="F860" s="4"/>
      <c r="G860" s="4"/>
    </row>
    <row r="861">
      <c r="A861" s="4"/>
      <c r="B861" s="4"/>
      <c r="C861" s="4"/>
      <c r="D861" s="4"/>
      <c r="E861" s="4"/>
      <c r="F861" s="4"/>
      <c r="G861" s="4"/>
    </row>
    <row r="862">
      <c r="A862" s="4"/>
      <c r="B862" s="4"/>
      <c r="C862" s="4"/>
      <c r="D862" s="4"/>
      <c r="E862" s="4"/>
      <c r="F862" s="4"/>
      <c r="G862" s="4"/>
    </row>
    <row r="863">
      <c r="A863" s="4"/>
      <c r="B863" s="4"/>
      <c r="C863" s="4"/>
      <c r="D863" s="4"/>
      <c r="E863" s="4"/>
      <c r="F863" s="4"/>
      <c r="G863" s="4"/>
    </row>
    <row r="864">
      <c r="A864" s="4"/>
      <c r="B864" s="4"/>
      <c r="C864" s="4"/>
      <c r="D864" s="4"/>
      <c r="E864" s="4"/>
      <c r="F864" s="4"/>
      <c r="G864" s="4"/>
    </row>
    <row r="865">
      <c r="A865" s="4"/>
      <c r="B865" s="4"/>
      <c r="C865" s="4"/>
      <c r="D865" s="4"/>
      <c r="E865" s="4"/>
      <c r="F865" s="4"/>
      <c r="G865" s="4"/>
    </row>
    <row r="866">
      <c r="A866" s="4"/>
      <c r="B866" s="4"/>
      <c r="C866" s="4"/>
      <c r="D866" s="4"/>
      <c r="E866" s="4"/>
      <c r="F866" s="4"/>
      <c r="G866" s="4"/>
    </row>
    <row r="867">
      <c r="A867" s="4"/>
      <c r="B867" s="4"/>
      <c r="C867" s="4"/>
      <c r="D867" s="4"/>
      <c r="E867" s="4"/>
      <c r="F867" s="4"/>
      <c r="G867" s="4"/>
    </row>
    <row r="868">
      <c r="A868" s="4"/>
      <c r="B868" s="4"/>
      <c r="C868" s="4"/>
      <c r="D868" s="4"/>
      <c r="E868" s="4"/>
      <c r="F868" s="4"/>
      <c r="G868" s="4"/>
    </row>
    <row r="869">
      <c r="A869" s="4"/>
      <c r="B869" s="4"/>
      <c r="C869" s="4"/>
      <c r="D869" s="4"/>
      <c r="E869" s="4"/>
      <c r="F869" s="4"/>
      <c r="G869" s="4"/>
    </row>
    <row r="870">
      <c r="A870" s="4"/>
      <c r="B870" s="4"/>
      <c r="C870" s="4"/>
      <c r="D870" s="4"/>
      <c r="E870" s="4"/>
      <c r="F870" s="4"/>
      <c r="G870" s="4"/>
    </row>
    <row r="871">
      <c r="A871" s="4"/>
      <c r="B871" s="4"/>
      <c r="C871" s="4"/>
      <c r="D871" s="4"/>
      <c r="E871" s="4"/>
      <c r="F871" s="4"/>
      <c r="G871" s="4"/>
    </row>
    <row r="872">
      <c r="A872" s="4"/>
      <c r="B872" s="4"/>
      <c r="C872" s="4"/>
      <c r="D872" s="4"/>
      <c r="E872" s="4"/>
      <c r="F872" s="4"/>
      <c r="G872" s="4"/>
    </row>
    <row r="873">
      <c r="A873" s="4"/>
      <c r="B873" s="4"/>
      <c r="C873" s="4"/>
      <c r="D873" s="4"/>
      <c r="E873" s="4"/>
      <c r="F873" s="4"/>
      <c r="G873" s="4"/>
    </row>
    <row r="874">
      <c r="A874" s="4"/>
      <c r="B874" s="4"/>
      <c r="C874" s="4"/>
      <c r="D874" s="4"/>
      <c r="E874" s="4"/>
      <c r="F874" s="4"/>
      <c r="G874" s="4"/>
    </row>
    <row r="875">
      <c r="A875" s="4"/>
      <c r="B875" s="4"/>
      <c r="C875" s="4"/>
      <c r="D875" s="4"/>
      <c r="E875" s="4"/>
      <c r="F875" s="4"/>
      <c r="G875" s="4"/>
    </row>
    <row r="876">
      <c r="A876" s="4"/>
      <c r="B876" s="4"/>
      <c r="C876" s="4"/>
      <c r="D876" s="4"/>
      <c r="E876" s="4"/>
      <c r="F876" s="4"/>
      <c r="G876" s="4"/>
    </row>
    <row r="877">
      <c r="A877" s="4"/>
      <c r="B877" s="4"/>
      <c r="C877" s="4"/>
      <c r="D877" s="4"/>
      <c r="E877" s="4"/>
      <c r="F877" s="4"/>
      <c r="G877" s="4"/>
    </row>
    <row r="878">
      <c r="A878" s="4"/>
      <c r="B878" s="4"/>
      <c r="C878" s="4"/>
      <c r="D878" s="4"/>
      <c r="E878" s="4"/>
      <c r="F878" s="4"/>
      <c r="G878" s="4"/>
    </row>
    <row r="879">
      <c r="A879" s="4"/>
      <c r="B879" s="4"/>
      <c r="C879" s="4"/>
      <c r="D879" s="4"/>
      <c r="E879" s="4"/>
      <c r="F879" s="4"/>
      <c r="G879" s="4"/>
    </row>
    <row r="880">
      <c r="A880" s="4"/>
      <c r="B880" s="4"/>
      <c r="C880" s="4"/>
      <c r="D880" s="4"/>
      <c r="E880" s="4"/>
      <c r="F880" s="4"/>
      <c r="G880" s="4"/>
    </row>
    <row r="881">
      <c r="A881" s="4"/>
      <c r="B881" s="4"/>
      <c r="C881" s="4"/>
      <c r="D881" s="4"/>
      <c r="E881" s="4"/>
      <c r="F881" s="4"/>
      <c r="G881" s="4"/>
    </row>
    <row r="882">
      <c r="A882" s="4"/>
      <c r="B882" s="4"/>
      <c r="C882" s="4"/>
      <c r="D882" s="4"/>
      <c r="E882" s="4"/>
      <c r="F882" s="4"/>
      <c r="G882" s="4"/>
    </row>
    <row r="883">
      <c r="A883" s="4"/>
      <c r="B883" s="4"/>
      <c r="C883" s="4"/>
      <c r="D883" s="4"/>
      <c r="E883" s="4"/>
      <c r="F883" s="4"/>
      <c r="G883" s="4"/>
    </row>
    <row r="884">
      <c r="A884" s="4"/>
      <c r="B884" s="4"/>
      <c r="C884" s="4"/>
      <c r="D884" s="4"/>
      <c r="E884" s="4"/>
      <c r="F884" s="4"/>
      <c r="G884" s="4"/>
    </row>
    <row r="885">
      <c r="A885" s="4"/>
      <c r="B885" s="4"/>
      <c r="C885" s="4"/>
      <c r="D885" s="4"/>
      <c r="E885" s="4"/>
      <c r="F885" s="4"/>
      <c r="G885" s="4"/>
    </row>
    <row r="886">
      <c r="A886" s="4"/>
      <c r="B886" s="4"/>
      <c r="C886" s="4"/>
      <c r="D886" s="4"/>
      <c r="E886" s="4"/>
      <c r="F886" s="4"/>
      <c r="G886" s="4"/>
    </row>
    <row r="887">
      <c r="A887" s="4"/>
      <c r="B887" s="4"/>
      <c r="C887" s="4"/>
      <c r="D887" s="4"/>
      <c r="E887" s="4"/>
      <c r="F887" s="4"/>
      <c r="G887" s="4"/>
    </row>
    <row r="888">
      <c r="A888" s="4"/>
      <c r="B888" s="4"/>
      <c r="C888" s="4"/>
      <c r="D888" s="4"/>
      <c r="E888" s="4"/>
      <c r="F888" s="4"/>
      <c r="G888" s="4"/>
    </row>
    <row r="889">
      <c r="A889" s="4"/>
      <c r="B889" s="4"/>
      <c r="C889" s="4"/>
      <c r="D889" s="4"/>
      <c r="E889" s="4"/>
      <c r="F889" s="4"/>
      <c r="G889" s="4"/>
    </row>
    <row r="890">
      <c r="A890" s="4"/>
      <c r="B890" s="4"/>
      <c r="C890" s="4"/>
      <c r="D890" s="4"/>
      <c r="E890" s="4"/>
      <c r="F890" s="4"/>
      <c r="G890" s="4"/>
    </row>
    <row r="891">
      <c r="A891" s="4"/>
      <c r="B891" s="4"/>
      <c r="C891" s="4"/>
      <c r="D891" s="4"/>
      <c r="E891" s="4"/>
      <c r="F891" s="4"/>
      <c r="G891" s="4"/>
    </row>
    <row r="892">
      <c r="A892" s="4"/>
      <c r="B892" s="4"/>
      <c r="C892" s="4"/>
      <c r="D892" s="4"/>
      <c r="E892" s="4"/>
      <c r="F892" s="4"/>
      <c r="G892" s="4"/>
    </row>
    <row r="893">
      <c r="A893" s="4"/>
      <c r="B893" s="4"/>
      <c r="C893" s="4"/>
      <c r="D893" s="4"/>
      <c r="E893" s="4"/>
      <c r="F893" s="4"/>
      <c r="G893" s="4"/>
    </row>
    <row r="894">
      <c r="A894" s="4"/>
      <c r="B894" s="4"/>
      <c r="C894" s="4"/>
      <c r="D894" s="4"/>
      <c r="E894" s="4"/>
      <c r="F894" s="4"/>
      <c r="G894" s="4"/>
    </row>
    <row r="895">
      <c r="A895" s="4"/>
      <c r="B895" s="4"/>
      <c r="C895" s="4"/>
      <c r="D895" s="4"/>
      <c r="E895" s="4"/>
      <c r="F895" s="4"/>
      <c r="G895" s="4"/>
    </row>
    <row r="896">
      <c r="A896" s="4"/>
      <c r="B896" s="4"/>
      <c r="C896" s="4"/>
      <c r="D896" s="4"/>
      <c r="E896" s="4"/>
      <c r="F896" s="4"/>
      <c r="G896" s="4"/>
    </row>
    <row r="897">
      <c r="A897" s="4"/>
      <c r="B897" s="4"/>
      <c r="C897" s="4"/>
      <c r="D897" s="4"/>
      <c r="E897" s="4"/>
      <c r="F897" s="4"/>
      <c r="G897" s="4"/>
    </row>
    <row r="898">
      <c r="A898" s="4"/>
      <c r="B898" s="4"/>
      <c r="C898" s="4"/>
      <c r="D898" s="4"/>
      <c r="E898" s="4"/>
      <c r="F898" s="4"/>
      <c r="G898" s="4"/>
    </row>
    <row r="899">
      <c r="A899" s="4"/>
      <c r="B899" s="4"/>
      <c r="C899" s="4"/>
      <c r="D899" s="4"/>
      <c r="E899" s="4"/>
      <c r="F899" s="4"/>
      <c r="G899" s="4"/>
    </row>
    <row r="900">
      <c r="A900" s="4"/>
      <c r="B900" s="4"/>
      <c r="C900" s="4"/>
      <c r="D900" s="4"/>
      <c r="E900" s="4"/>
      <c r="F900" s="4"/>
      <c r="G900" s="4"/>
    </row>
    <row r="901">
      <c r="A901" s="4"/>
      <c r="B901" s="4"/>
      <c r="C901" s="4"/>
      <c r="D901" s="4"/>
      <c r="E901" s="4"/>
      <c r="F901" s="4"/>
      <c r="G901" s="4"/>
    </row>
    <row r="902">
      <c r="A902" s="4"/>
      <c r="B902" s="4"/>
      <c r="C902" s="4"/>
      <c r="D902" s="4"/>
      <c r="E902" s="4"/>
      <c r="F902" s="4"/>
      <c r="G902" s="4"/>
    </row>
    <row r="903">
      <c r="A903" s="4"/>
      <c r="B903" s="4"/>
      <c r="C903" s="4"/>
      <c r="D903" s="4"/>
      <c r="E903" s="4"/>
      <c r="F903" s="4"/>
      <c r="G903" s="4"/>
    </row>
    <row r="904">
      <c r="A904" s="4"/>
      <c r="B904" s="4"/>
      <c r="C904" s="4"/>
      <c r="D904" s="4"/>
      <c r="E904" s="4"/>
      <c r="F904" s="4"/>
      <c r="G904" s="4"/>
    </row>
    <row r="905">
      <c r="A905" s="4"/>
      <c r="B905" s="4"/>
      <c r="C905" s="4"/>
      <c r="D905" s="4"/>
      <c r="E905" s="4"/>
      <c r="F905" s="4"/>
      <c r="G905" s="4"/>
    </row>
    <row r="906">
      <c r="A906" s="4"/>
      <c r="B906" s="4"/>
      <c r="C906" s="4"/>
      <c r="D906" s="4"/>
      <c r="E906" s="4"/>
      <c r="F906" s="4"/>
      <c r="G906" s="4"/>
    </row>
    <row r="907">
      <c r="A907" s="4"/>
      <c r="B907" s="4"/>
      <c r="C907" s="4"/>
      <c r="D907" s="4"/>
      <c r="E907" s="4"/>
      <c r="F907" s="4"/>
      <c r="G907" s="4"/>
    </row>
    <row r="908">
      <c r="A908" s="4"/>
      <c r="B908" s="4"/>
      <c r="C908" s="4"/>
      <c r="D908" s="4"/>
      <c r="E908" s="4"/>
      <c r="F908" s="4"/>
      <c r="G908" s="4"/>
    </row>
    <row r="909">
      <c r="A909" s="4"/>
      <c r="B909" s="4"/>
      <c r="C909" s="4"/>
      <c r="D909" s="4"/>
      <c r="E909" s="4"/>
      <c r="F909" s="4"/>
      <c r="G909" s="4"/>
    </row>
    <row r="910">
      <c r="A910" s="4"/>
      <c r="B910" s="4"/>
      <c r="C910" s="4"/>
      <c r="D910" s="4"/>
      <c r="E910" s="4"/>
      <c r="F910" s="4"/>
      <c r="G910" s="4"/>
    </row>
    <row r="911">
      <c r="A911" s="4"/>
      <c r="B911" s="4"/>
      <c r="C911" s="4"/>
      <c r="D911" s="4"/>
      <c r="E911" s="4"/>
      <c r="F911" s="4"/>
      <c r="G911" s="4"/>
    </row>
    <row r="912">
      <c r="A912" s="4"/>
      <c r="B912" s="4"/>
      <c r="C912" s="4"/>
      <c r="D912" s="4"/>
      <c r="E912" s="4"/>
      <c r="F912" s="4"/>
      <c r="G912" s="4"/>
    </row>
    <row r="913">
      <c r="A913" s="4"/>
      <c r="B913" s="4"/>
      <c r="C913" s="4"/>
      <c r="D913" s="4"/>
      <c r="E913" s="4"/>
      <c r="F913" s="4"/>
      <c r="G913" s="4"/>
    </row>
    <row r="914">
      <c r="A914" s="4"/>
      <c r="B914" s="4"/>
      <c r="C914" s="4"/>
      <c r="D914" s="4"/>
      <c r="E914" s="4"/>
      <c r="F914" s="4"/>
      <c r="G914" s="4"/>
    </row>
    <row r="915">
      <c r="A915" s="4"/>
      <c r="B915" s="4"/>
      <c r="C915" s="4"/>
      <c r="D915" s="4"/>
      <c r="E915" s="4"/>
      <c r="F915" s="4"/>
      <c r="G915" s="4"/>
    </row>
    <row r="916">
      <c r="A916" s="4"/>
      <c r="B916" s="4"/>
      <c r="C916" s="4"/>
      <c r="D916" s="4"/>
      <c r="E916" s="4"/>
      <c r="F916" s="4"/>
      <c r="G916" s="4"/>
    </row>
    <row r="917">
      <c r="A917" s="4"/>
      <c r="B917" s="4"/>
      <c r="C917" s="4"/>
      <c r="D917" s="4"/>
      <c r="E917" s="4"/>
      <c r="F917" s="4"/>
      <c r="G917" s="4"/>
    </row>
    <row r="918">
      <c r="A918" s="4"/>
      <c r="B918" s="4"/>
      <c r="C918" s="4"/>
      <c r="D918" s="4"/>
      <c r="E918" s="4"/>
      <c r="F918" s="4"/>
      <c r="G918" s="4"/>
    </row>
    <row r="919">
      <c r="A919" s="4"/>
      <c r="B919" s="4"/>
      <c r="C919" s="4"/>
      <c r="D919" s="4"/>
      <c r="E919" s="4"/>
      <c r="F919" s="4"/>
      <c r="G919" s="4"/>
    </row>
    <row r="920">
      <c r="A920" s="4"/>
      <c r="B920" s="4"/>
      <c r="C920" s="4"/>
      <c r="D920" s="4"/>
      <c r="E920" s="4"/>
      <c r="F920" s="4"/>
      <c r="G920" s="4"/>
    </row>
    <row r="921">
      <c r="A921" s="4"/>
      <c r="B921" s="4"/>
      <c r="C921" s="4"/>
      <c r="D921" s="4"/>
      <c r="E921" s="4"/>
      <c r="F921" s="4"/>
      <c r="G921" s="4"/>
    </row>
    <row r="922">
      <c r="A922" s="4"/>
      <c r="B922" s="4"/>
      <c r="C922" s="4"/>
      <c r="D922" s="4"/>
      <c r="E922" s="4"/>
      <c r="F922" s="4"/>
      <c r="G922" s="4"/>
    </row>
    <row r="923">
      <c r="A923" s="4"/>
      <c r="B923" s="4"/>
      <c r="C923" s="4"/>
      <c r="D923" s="4"/>
      <c r="E923" s="4"/>
      <c r="F923" s="4"/>
      <c r="G923" s="4"/>
    </row>
    <row r="924">
      <c r="A924" s="4"/>
      <c r="B924" s="4"/>
      <c r="C924" s="4"/>
      <c r="D924" s="4"/>
      <c r="E924" s="4"/>
      <c r="F924" s="4"/>
      <c r="G924" s="4"/>
    </row>
    <row r="925">
      <c r="A925" s="4"/>
      <c r="B925" s="4"/>
      <c r="C925" s="4"/>
      <c r="D925" s="4"/>
      <c r="E925" s="4"/>
      <c r="F925" s="4"/>
      <c r="G925" s="4"/>
    </row>
    <row r="926">
      <c r="A926" s="4"/>
      <c r="B926" s="4"/>
      <c r="C926" s="4"/>
      <c r="D926" s="4"/>
      <c r="E926" s="4"/>
      <c r="F926" s="4"/>
      <c r="G926" s="4"/>
    </row>
    <row r="927">
      <c r="A927" s="4"/>
      <c r="B927" s="4"/>
      <c r="C927" s="4"/>
      <c r="D927" s="4"/>
      <c r="E927" s="4"/>
      <c r="F927" s="4"/>
      <c r="G927" s="4"/>
    </row>
    <row r="928">
      <c r="A928" s="4"/>
      <c r="B928" s="4"/>
      <c r="C928" s="4"/>
      <c r="D928" s="4"/>
      <c r="E928" s="4"/>
      <c r="F928" s="4"/>
      <c r="G928" s="4"/>
    </row>
    <row r="929">
      <c r="A929" s="4"/>
      <c r="B929" s="4"/>
      <c r="C929" s="4"/>
      <c r="D929" s="4"/>
      <c r="E929" s="4"/>
      <c r="F929" s="4"/>
      <c r="G929" s="4"/>
    </row>
    <row r="930">
      <c r="A930" s="4"/>
      <c r="B930" s="4"/>
      <c r="C930" s="4"/>
      <c r="D930" s="4"/>
      <c r="E930" s="4"/>
      <c r="F930" s="4"/>
      <c r="G930" s="4"/>
    </row>
    <row r="931">
      <c r="A931" s="4"/>
      <c r="B931" s="4"/>
      <c r="C931" s="4"/>
      <c r="D931" s="4"/>
      <c r="E931" s="4"/>
      <c r="F931" s="4"/>
      <c r="G931" s="4"/>
    </row>
    <row r="932">
      <c r="A932" s="4"/>
      <c r="B932" s="4"/>
      <c r="C932" s="4"/>
      <c r="D932" s="4"/>
      <c r="E932" s="4"/>
      <c r="F932" s="4"/>
      <c r="G932" s="4"/>
    </row>
    <row r="933">
      <c r="A933" s="4"/>
      <c r="B933" s="4"/>
      <c r="C933" s="4"/>
      <c r="D933" s="4"/>
      <c r="E933" s="4"/>
      <c r="F933" s="4"/>
      <c r="G933" s="4"/>
    </row>
    <row r="934">
      <c r="A934" s="4"/>
      <c r="B934" s="4"/>
      <c r="C934" s="4"/>
      <c r="D934" s="4"/>
      <c r="E934" s="4"/>
      <c r="F934" s="4"/>
      <c r="G934" s="4"/>
    </row>
    <row r="935">
      <c r="A935" s="4"/>
      <c r="B935" s="4"/>
      <c r="C935" s="4"/>
      <c r="D935" s="4"/>
      <c r="E935" s="4"/>
      <c r="F935" s="4"/>
      <c r="G935" s="4"/>
    </row>
    <row r="936">
      <c r="A936" s="4"/>
      <c r="B936" s="4"/>
      <c r="C936" s="4"/>
      <c r="D936" s="4"/>
      <c r="E936" s="4"/>
      <c r="F936" s="4"/>
      <c r="G936" s="4"/>
    </row>
    <row r="937">
      <c r="A937" s="4"/>
      <c r="B937" s="4"/>
      <c r="C937" s="4"/>
      <c r="D937" s="4"/>
      <c r="E937" s="4"/>
      <c r="F937" s="4"/>
      <c r="G937" s="4"/>
    </row>
    <row r="938">
      <c r="A938" s="4"/>
      <c r="B938" s="4"/>
      <c r="C938" s="4"/>
      <c r="D938" s="4"/>
      <c r="E938" s="4"/>
      <c r="F938" s="4"/>
      <c r="G938" s="4"/>
    </row>
    <row r="939">
      <c r="A939" s="4"/>
      <c r="B939" s="4"/>
      <c r="C939" s="4"/>
      <c r="D939" s="4"/>
      <c r="E939" s="4"/>
      <c r="F939" s="4"/>
      <c r="G939" s="4"/>
    </row>
    <row r="940">
      <c r="A940" s="4"/>
      <c r="B940" s="4"/>
      <c r="C940" s="4"/>
      <c r="D940" s="4"/>
      <c r="E940" s="4"/>
      <c r="F940" s="4"/>
      <c r="G940" s="4"/>
    </row>
    <row r="941">
      <c r="A941" s="4"/>
      <c r="B941" s="4"/>
      <c r="C941" s="4"/>
      <c r="D941" s="4"/>
      <c r="E941" s="4"/>
      <c r="F941" s="4"/>
      <c r="G941" s="4"/>
    </row>
    <row r="942">
      <c r="A942" s="4"/>
      <c r="B942" s="4"/>
      <c r="C942" s="4"/>
      <c r="D942" s="4"/>
      <c r="E942" s="4"/>
      <c r="F942" s="4"/>
      <c r="G942" s="4"/>
    </row>
    <row r="943">
      <c r="A943" s="4"/>
      <c r="B943" s="4"/>
      <c r="C943" s="4"/>
      <c r="D943" s="4"/>
      <c r="E943" s="4"/>
      <c r="F943" s="4"/>
      <c r="G943" s="4"/>
    </row>
    <row r="944">
      <c r="A944" s="4"/>
      <c r="B944" s="4"/>
      <c r="C944" s="4"/>
      <c r="D944" s="4"/>
      <c r="E944" s="4"/>
      <c r="F944" s="4"/>
      <c r="G944" s="4"/>
    </row>
    <row r="945">
      <c r="A945" s="4"/>
      <c r="B945" s="4"/>
      <c r="C945" s="4"/>
      <c r="D945" s="4"/>
      <c r="E945" s="4"/>
      <c r="F945" s="4"/>
      <c r="G945" s="4"/>
    </row>
    <row r="946">
      <c r="A946" s="4"/>
      <c r="B946" s="4"/>
      <c r="C946" s="4"/>
      <c r="D946" s="4"/>
      <c r="E946" s="4"/>
      <c r="F946" s="4"/>
      <c r="G946" s="4"/>
    </row>
    <row r="947">
      <c r="A947" s="4"/>
      <c r="B947" s="4"/>
      <c r="C947" s="4"/>
      <c r="D947" s="4"/>
      <c r="E947" s="4"/>
      <c r="F947" s="4"/>
      <c r="G947" s="4"/>
    </row>
    <row r="948">
      <c r="A948" s="4"/>
      <c r="B948" s="4"/>
      <c r="C948" s="4"/>
      <c r="D948" s="4"/>
      <c r="E948" s="4"/>
      <c r="F948" s="4"/>
      <c r="G948" s="4"/>
    </row>
    <row r="949">
      <c r="A949" s="4"/>
      <c r="B949" s="4"/>
      <c r="C949" s="4"/>
      <c r="D949" s="4"/>
      <c r="E949" s="4"/>
      <c r="F949" s="4"/>
      <c r="G949" s="4"/>
    </row>
    <row r="950">
      <c r="A950" s="4"/>
      <c r="B950" s="4"/>
      <c r="C950" s="4"/>
      <c r="D950" s="4"/>
      <c r="E950" s="4"/>
      <c r="F950" s="4"/>
      <c r="G950" s="4"/>
    </row>
    <row r="951">
      <c r="A951" s="4"/>
      <c r="B951" s="4"/>
      <c r="C951" s="4"/>
      <c r="D951" s="4"/>
      <c r="E951" s="4"/>
      <c r="F951" s="4"/>
      <c r="G951" s="4"/>
    </row>
    <row r="952">
      <c r="A952" s="4"/>
      <c r="B952" s="4"/>
      <c r="C952" s="4"/>
      <c r="D952" s="4"/>
      <c r="E952" s="4"/>
      <c r="F952" s="4"/>
      <c r="G952" s="4"/>
    </row>
    <row r="953">
      <c r="A953" s="4"/>
      <c r="B953" s="4"/>
      <c r="C953" s="4"/>
      <c r="D953" s="4"/>
      <c r="E953" s="4"/>
      <c r="F953" s="4"/>
      <c r="G953" s="4"/>
    </row>
    <row r="954">
      <c r="A954" s="4"/>
      <c r="B954" s="4"/>
      <c r="C954" s="4"/>
      <c r="D954" s="4"/>
      <c r="E954" s="4"/>
      <c r="F954" s="4"/>
      <c r="G954" s="4"/>
    </row>
    <row r="955">
      <c r="A955" s="4"/>
      <c r="B955" s="4"/>
      <c r="C955" s="4"/>
      <c r="D955" s="4"/>
      <c r="E955" s="4"/>
      <c r="F955" s="4"/>
      <c r="G955" s="4"/>
    </row>
    <row r="956">
      <c r="A956" s="4"/>
      <c r="B956" s="4"/>
      <c r="C956" s="4"/>
      <c r="D956" s="4"/>
      <c r="E956" s="4"/>
      <c r="F956" s="4"/>
      <c r="G956" s="4"/>
    </row>
    <row r="957">
      <c r="A957" s="4"/>
      <c r="B957" s="4"/>
      <c r="C957" s="4"/>
      <c r="D957" s="4"/>
      <c r="E957" s="4"/>
      <c r="F957" s="4"/>
      <c r="G957" s="4"/>
    </row>
    <row r="958">
      <c r="A958" s="4"/>
      <c r="B958" s="4"/>
      <c r="C958" s="4"/>
      <c r="D958" s="4"/>
      <c r="E958" s="4"/>
      <c r="F958" s="4"/>
      <c r="G958" s="4"/>
    </row>
    <row r="959">
      <c r="A959" s="4"/>
      <c r="B959" s="4"/>
      <c r="C959" s="4"/>
      <c r="D959" s="4"/>
      <c r="E959" s="4"/>
      <c r="F959" s="4"/>
      <c r="G959" s="4"/>
    </row>
    <row r="960">
      <c r="A960" s="4"/>
      <c r="B960" s="4"/>
      <c r="C960" s="4"/>
      <c r="D960" s="4"/>
      <c r="E960" s="4"/>
      <c r="F960" s="4"/>
      <c r="G960" s="4"/>
    </row>
    <row r="961">
      <c r="A961" s="4"/>
      <c r="B961" s="4"/>
      <c r="C961" s="4"/>
      <c r="D961" s="4"/>
      <c r="E961" s="4"/>
      <c r="F961" s="4"/>
      <c r="G961" s="4"/>
    </row>
    <row r="962">
      <c r="A962" s="4"/>
      <c r="B962" s="4"/>
      <c r="C962" s="4"/>
      <c r="D962" s="4"/>
      <c r="E962" s="4"/>
      <c r="F962" s="4"/>
      <c r="G962" s="4"/>
    </row>
    <row r="963">
      <c r="A963" s="4"/>
      <c r="B963" s="4"/>
      <c r="C963" s="4"/>
      <c r="D963" s="4"/>
      <c r="E963" s="4"/>
      <c r="F963" s="4"/>
      <c r="G963" s="4"/>
    </row>
    <row r="964">
      <c r="A964" s="4"/>
      <c r="B964" s="4"/>
      <c r="C964" s="4"/>
      <c r="D964" s="4"/>
      <c r="E964" s="4"/>
      <c r="F964" s="4"/>
      <c r="G964" s="4"/>
    </row>
    <row r="965">
      <c r="A965" s="4"/>
      <c r="B965" s="4"/>
      <c r="C965" s="4"/>
      <c r="D965" s="4"/>
      <c r="E965" s="4"/>
      <c r="F965" s="4"/>
      <c r="G965" s="4"/>
    </row>
    <row r="966">
      <c r="A966" s="4"/>
      <c r="B966" s="4"/>
      <c r="C966" s="4"/>
      <c r="D966" s="4"/>
      <c r="E966" s="4"/>
      <c r="F966" s="4"/>
      <c r="G966" s="4"/>
    </row>
    <row r="967">
      <c r="A967" s="4"/>
      <c r="B967" s="4"/>
      <c r="C967" s="4"/>
      <c r="D967" s="4"/>
      <c r="E967" s="4"/>
      <c r="F967" s="4"/>
      <c r="G967" s="4"/>
    </row>
    <row r="968">
      <c r="A968" s="4"/>
      <c r="B968" s="4"/>
      <c r="C968" s="4"/>
      <c r="D968" s="4"/>
      <c r="E968" s="4"/>
      <c r="F968" s="4"/>
      <c r="G968" s="4"/>
    </row>
    <row r="969">
      <c r="A969" s="4"/>
      <c r="B969" s="4"/>
      <c r="C969" s="4"/>
      <c r="D969" s="4"/>
      <c r="E969" s="4"/>
      <c r="F969" s="4"/>
      <c r="G969" s="4"/>
    </row>
    <row r="970">
      <c r="A970" s="4"/>
      <c r="B970" s="4"/>
      <c r="C970" s="4"/>
      <c r="D970" s="4"/>
      <c r="E970" s="4"/>
      <c r="F970" s="4"/>
      <c r="G970" s="4"/>
    </row>
    <row r="971">
      <c r="A971" s="4"/>
      <c r="B971" s="4"/>
      <c r="C971" s="4"/>
      <c r="D971" s="4"/>
      <c r="E971" s="4"/>
      <c r="F971" s="4"/>
      <c r="G971" s="4"/>
    </row>
    <row r="972">
      <c r="A972" s="4"/>
      <c r="B972" s="4"/>
      <c r="C972" s="4"/>
      <c r="D972" s="4"/>
      <c r="E972" s="4"/>
      <c r="F972" s="4"/>
      <c r="G972" s="4"/>
    </row>
    <row r="973">
      <c r="A973" s="4"/>
      <c r="B973" s="4"/>
      <c r="C973" s="4"/>
      <c r="D973" s="4"/>
      <c r="E973" s="4"/>
      <c r="F973" s="4"/>
      <c r="G973" s="4"/>
    </row>
    <row r="974">
      <c r="A974" s="4"/>
      <c r="B974" s="4"/>
      <c r="C974" s="4"/>
      <c r="D974" s="4"/>
      <c r="E974" s="4"/>
      <c r="F974" s="4"/>
      <c r="G974" s="4"/>
    </row>
    <row r="975">
      <c r="A975" s="4"/>
      <c r="B975" s="4"/>
      <c r="C975" s="4"/>
      <c r="D975" s="4"/>
      <c r="E975" s="4"/>
      <c r="F975" s="4"/>
      <c r="G975" s="4"/>
    </row>
    <row r="976">
      <c r="A976" s="4"/>
      <c r="B976" s="4"/>
      <c r="C976" s="4"/>
      <c r="D976" s="4"/>
      <c r="E976" s="4"/>
      <c r="F976" s="4"/>
      <c r="G976" s="4"/>
    </row>
    <row r="977">
      <c r="A977" s="4"/>
      <c r="B977" s="4"/>
      <c r="C977" s="4"/>
      <c r="D977" s="4"/>
      <c r="E977" s="4"/>
      <c r="F977" s="4"/>
      <c r="G977" s="4"/>
    </row>
    <row r="978">
      <c r="A978" s="4"/>
      <c r="B978" s="4"/>
      <c r="C978" s="4"/>
      <c r="D978" s="4"/>
      <c r="E978" s="4"/>
      <c r="F978" s="4"/>
      <c r="G978" s="4"/>
    </row>
    <row r="979">
      <c r="A979" s="4"/>
      <c r="B979" s="4"/>
      <c r="C979" s="4"/>
      <c r="D979" s="4"/>
      <c r="E979" s="4"/>
      <c r="F979" s="4"/>
      <c r="G979" s="4"/>
    </row>
    <row r="980">
      <c r="A980" s="4"/>
      <c r="B980" s="4"/>
      <c r="C980" s="4"/>
      <c r="D980" s="4"/>
      <c r="E980" s="4"/>
      <c r="F980" s="4"/>
      <c r="G980" s="4"/>
    </row>
    <row r="981">
      <c r="A981" s="4"/>
      <c r="B981" s="4"/>
      <c r="C981" s="4"/>
      <c r="D981" s="4"/>
      <c r="E981" s="4"/>
      <c r="F981" s="4"/>
      <c r="G981" s="4"/>
    </row>
    <row r="982">
      <c r="A982" s="4"/>
      <c r="B982" s="4"/>
      <c r="C982" s="4"/>
      <c r="D982" s="4"/>
      <c r="E982" s="4"/>
      <c r="F982" s="4"/>
      <c r="G982" s="4"/>
    </row>
    <row r="983">
      <c r="A983" s="4"/>
      <c r="B983" s="4"/>
      <c r="C983" s="4"/>
      <c r="D983" s="4"/>
      <c r="E983" s="4"/>
      <c r="F983" s="4"/>
      <c r="G983" s="4"/>
    </row>
    <row r="984">
      <c r="A984" s="4"/>
      <c r="B984" s="4"/>
      <c r="C984" s="4"/>
      <c r="D984" s="4"/>
      <c r="E984" s="4"/>
      <c r="F984" s="4"/>
      <c r="G984" s="4"/>
    </row>
    <row r="985">
      <c r="A985" s="4"/>
      <c r="B985" s="4"/>
      <c r="C985" s="4"/>
      <c r="D985" s="4"/>
      <c r="E985" s="4"/>
      <c r="F985" s="4"/>
      <c r="G985" s="4"/>
    </row>
    <row r="986">
      <c r="A986" s="4"/>
      <c r="B986" s="4"/>
      <c r="C986" s="4"/>
      <c r="D986" s="4"/>
      <c r="E986" s="4"/>
      <c r="F986" s="4"/>
      <c r="G986" s="4"/>
    </row>
    <row r="987">
      <c r="A987" s="4"/>
      <c r="B987" s="4"/>
      <c r="C987" s="4"/>
      <c r="D987" s="4"/>
      <c r="E987" s="4"/>
      <c r="F987" s="4"/>
      <c r="G987" s="4"/>
    </row>
    <row r="988">
      <c r="A988" s="4"/>
      <c r="B988" s="4"/>
      <c r="C988" s="4"/>
      <c r="D988" s="4"/>
      <c r="E988" s="4"/>
      <c r="F988" s="4"/>
      <c r="G988" s="4"/>
    </row>
    <row r="989">
      <c r="A989" s="4"/>
      <c r="B989" s="4"/>
      <c r="C989" s="4"/>
      <c r="D989" s="4"/>
      <c r="E989" s="4"/>
      <c r="F989" s="4"/>
      <c r="G989" s="4"/>
    </row>
    <row r="990">
      <c r="A990" s="4"/>
      <c r="B990" s="4"/>
      <c r="C990" s="4"/>
      <c r="D990" s="4"/>
      <c r="E990" s="4"/>
      <c r="F990" s="4"/>
      <c r="G990" s="4"/>
    </row>
    <row r="991">
      <c r="A991" s="4"/>
      <c r="B991" s="4"/>
      <c r="C991" s="4"/>
      <c r="D991" s="4"/>
      <c r="E991" s="4"/>
      <c r="F991" s="4"/>
      <c r="G991" s="4"/>
    </row>
    <row r="992">
      <c r="A992" s="4"/>
      <c r="B992" s="4"/>
      <c r="C992" s="4"/>
      <c r="D992" s="4"/>
      <c r="E992" s="4"/>
      <c r="F992" s="4"/>
      <c r="G992" s="4"/>
    </row>
    <row r="993">
      <c r="A993" s="4"/>
      <c r="B993" s="4"/>
      <c r="C993" s="4"/>
      <c r="D993" s="4"/>
      <c r="E993" s="4"/>
      <c r="F993" s="4"/>
      <c r="G993" s="4"/>
    </row>
    <row r="994">
      <c r="A994" s="4"/>
      <c r="B994" s="4"/>
      <c r="C994" s="4"/>
      <c r="D994" s="4"/>
      <c r="E994" s="4"/>
      <c r="F994" s="4"/>
      <c r="G994" s="4"/>
    </row>
    <row r="995">
      <c r="A995" s="4"/>
      <c r="B995" s="4"/>
      <c r="C995" s="4"/>
      <c r="D995" s="4"/>
      <c r="E995" s="4"/>
      <c r="F995" s="4"/>
      <c r="G995" s="4"/>
    </row>
    <row r="996">
      <c r="A996" s="4"/>
      <c r="B996" s="4"/>
      <c r="C996" s="4"/>
      <c r="D996" s="4"/>
      <c r="E996" s="4"/>
      <c r="F996" s="4"/>
      <c r="G996" s="4"/>
    </row>
    <row r="997">
      <c r="A997" s="4"/>
      <c r="B997" s="4"/>
      <c r="C997" s="4"/>
      <c r="D997" s="4"/>
      <c r="E997" s="4"/>
      <c r="F997" s="4"/>
      <c r="G997" s="4"/>
    </row>
    <row r="998">
      <c r="A998" s="4"/>
      <c r="B998" s="4"/>
      <c r="C998" s="4"/>
      <c r="D998" s="4"/>
      <c r="E998" s="4"/>
      <c r="F998" s="4"/>
      <c r="G998" s="4"/>
    </row>
    <row r="999">
      <c r="A999" s="4"/>
      <c r="B999" s="4"/>
      <c r="C999" s="4"/>
      <c r="D999" s="4"/>
      <c r="E999" s="4"/>
      <c r="F999" s="4"/>
      <c r="G999" s="4"/>
    </row>
  </sheetData>
  <autoFilter ref="$A$2:$G$2"/>
  <mergeCells count="1">
    <mergeCell ref="A1:G1"/>
  </mergeCells>
  <printOptions/>
  <pageMargins bottom="1.0" footer="0.0" header="0.0" left="0.75" right="0.75" top="1.0"/>
  <pageSetup paperSize="9" orientation="portrait"/>
  <drawing r:id="rId1"/>
</worksheet>
</file>